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SingleCells1.xml" ContentType="application/vnd.openxmlformats-officedocument.spreadsheetml.tableSingleCell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trlProps/ctrlProp8.xml" ContentType="application/vnd.ms-excel.controlproperties+xml"/>
  <Override PartName="/xl/tables/tableSingleCells2.xml" ContentType="application/vnd.openxmlformats-officedocument.spreadsheetml.tableSingleCell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929" codeName="{1AED2BDD-1FA3-CEF2-32D4-FBADEFEB71EE}"/>
  <workbookPr codeName="ThisWorkbook" defaultThemeVersion="124226"/>
  <mc:AlternateContent xmlns:mc="http://schemas.openxmlformats.org/markup-compatibility/2006">
    <mc:Choice Requires="x15">
      <x15ac:absPath xmlns:x15ac="http://schemas.microsoft.com/office/spreadsheetml/2010/11/ac" url="\\enfs1\itshare\Juned\Projects\GUW-PC-UM\2020\R4.3_4.3.1_4.4_Regression_QA3_Sep17\"/>
    </mc:Choice>
  </mc:AlternateContent>
  <xr:revisionPtr revIDLastSave="0" documentId="8_{0529A6E9-10A7-491B-98F7-B418756D56EF}" xr6:coauthVersionLast="44" xr6:coauthVersionMax="44" xr10:uidLastSave="{00000000-0000-0000-0000-000000000000}"/>
  <bookViews>
    <workbookView xWindow="-120" yWindow="-120" windowWidth="20730" windowHeight="9825" firstSheet="1" activeTab="2" xr2:uid="{00000000-000D-0000-FFFF-FFFF00000000}"/>
  </bookViews>
  <sheets>
    <sheet name="Information" sheetId="1" state="hidden" r:id="rId1"/>
    <sheet name="Account Info" sheetId="10" r:id="rId2"/>
    <sheet name="Rater" sheetId="12" r:id="rId3"/>
    <sheet name="D&amp;O-EPL-Crime-Fidu ILFs" sheetId="13" state="hidden" r:id="rId4"/>
    <sheet name="Crime ILFs" sheetId="14" state="hidden" r:id="rId5"/>
    <sheet name="K&amp;R ILFs" sheetId="15" state="hidden" r:id="rId6"/>
    <sheet name="Cyber ILFs" sheetId="16" state="hidden" r:id="rId7"/>
    <sheet name="MPL and Law ILFs" sheetId="17" state="hidden" r:id="rId8"/>
    <sheet name="States" sheetId="18" state="hidden" r:id="rId9"/>
    <sheet name="Tables" sheetId="19" state="hidden" r:id="rId10"/>
    <sheet name="NAICS" sheetId="20" state="hidden" r:id="rId11"/>
    <sheet name="WINS Coding" sheetId="4" r:id="rId12"/>
    <sheet name="Workbook names" sheetId="9" state="hidden" r:id="rId13"/>
    <sheet name="Escape" sheetId="2" state="hidden" r:id="rId14"/>
    <sheet name="Lookups" sheetId="21" state="hidden" r:id="rId15"/>
    <sheet name="Version" sheetId="22" state="hidden" r:id="rId16"/>
  </sheets>
  <functionGroups builtInGroupCount="19"/>
  <externalReferences>
    <externalReference r:id="rId17"/>
    <externalReference r:id="rId18"/>
    <externalReference r:id="rId19"/>
  </externalReferences>
  <definedNames>
    <definedName name="_AtRisk_FitDataRange_FIT_3D1FB_70FA" hidden="1">#REF!</definedName>
    <definedName name="_AtRisk_FitDataRange_FIT_804E2_BCBAD" hidden="1">#REF!</definedName>
    <definedName name="_AtRisk_FitDataRange_FIT_C2F39_517DB" hidden="1">#REF!</definedName>
    <definedName name="_AtRisk_FitDataRange_FIT_C5319_8F256" hidden="1">[1]ILFs!#REF!</definedName>
    <definedName name="_AtRisk_FitDataRange_FIT_E51E9_928D1" hidden="1">[1]ILFs!#REF!</definedName>
    <definedName name="_AtRisk_SimSetting_AutomaticallyGenerateReports" hidden="1">FALSE</definedName>
    <definedName name="_AtRisk_SimSetting_AutomaticResultsDisplayMode" localSheetId="1" hidden="1">2</definedName>
    <definedName name="_AtRisk_SimSetting_AutomaticResultsDisplayMode" localSheetId="4" hidden="1">2</definedName>
    <definedName name="_AtRisk_SimSetting_AutomaticResultsDisplayMode" localSheetId="6" hidden="1">2</definedName>
    <definedName name="_AtRisk_SimSetting_AutomaticResultsDisplayMode" localSheetId="3" hidden="1">2</definedName>
    <definedName name="_AtRisk_SimSetting_AutomaticResultsDisplayMode" localSheetId="5" hidden="1">2</definedName>
    <definedName name="_AtRisk_SimSetting_AutomaticResultsDisplayMode" localSheetId="7" hidden="1">2</definedName>
    <definedName name="_AtRisk_SimSetting_AutomaticResultsDisplayMode" localSheetId="10" hidden="1">2</definedName>
    <definedName name="_AtRisk_SimSetting_AutomaticResultsDisplayMode" localSheetId="2" hidden="1">2</definedName>
    <definedName name="_AtRisk_SimSetting_AutomaticResultsDisplayMode" localSheetId="8" hidden="1">2</definedName>
    <definedName name="_AtRisk_SimSetting_AutomaticResultsDisplayMode" localSheetId="9" hidden="1">2</definedName>
    <definedName name="_AtRisk_SimSetting_AutomaticResultsDisplayMode" localSheetId="11" hidden="1">2</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localSheetId="1" hidden="1">FALSE</definedName>
    <definedName name="_AtRisk_SimSetting_LiveUpdate" localSheetId="4" hidden="1">FALSE</definedName>
    <definedName name="_AtRisk_SimSetting_LiveUpdate" localSheetId="6" hidden="1">FALSE</definedName>
    <definedName name="_AtRisk_SimSetting_LiveUpdate" localSheetId="3" hidden="1">FALSE</definedName>
    <definedName name="_AtRisk_SimSetting_LiveUpdate" localSheetId="5" hidden="1">FALSE</definedName>
    <definedName name="_AtRisk_SimSetting_LiveUpdate" localSheetId="7" hidden="1">FALSE</definedName>
    <definedName name="_AtRisk_SimSetting_LiveUpdate" localSheetId="10" hidden="1">FALSE</definedName>
    <definedName name="_AtRisk_SimSetting_LiveUpdate" localSheetId="2" hidden="1">FALSE</definedName>
    <definedName name="_AtRisk_SimSetting_LiveUpdate" localSheetId="8" hidden="1">FALSE</definedName>
    <definedName name="_AtRisk_SimSetting_LiveUpdate" localSheetId="9" hidden="1">FALSE</definedName>
    <definedName name="_AtRisk_SimSetting_LiveUpdate" localSheetId="11" hidden="1">FALSE</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localSheetId="1" hidden="1">516</definedName>
    <definedName name="_AtRisk_SimSetting_ReportsList" localSheetId="4" hidden="1">516</definedName>
    <definedName name="_AtRisk_SimSetting_ReportsList" localSheetId="6" hidden="1">516</definedName>
    <definedName name="_AtRisk_SimSetting_ReportsList" localSheetId="3" hidden="1">516</definedName>
    <definedName name="_AtRisk_SimSetting_ReportsList" localSheetId="5" hidden="1">516</definedName>
    <definedName name="_AtRisk_SimSetting_ReportsList" localSheetId="7" hidden="1">516</definedName>
    <definedName name="_AtRisk_SimSetting_ReportsList" localSheetId="10" hidden="1">516</definedName>
    <definedName name="_AtRisk_SimSetting_ReportsList" localSheetId="2" hidden="1">516</definedName>
    <definedName name="_AtRisk_SimSetting_ReportsList" localSheetId="8" hidden="1">516</definedName>
    <definedName name="_AtRisk_SimSetting_ReportsList" localSheetId="9" hidden="1">516</definedName>
    <definedName name="_AtRisk_SimSetting_ReportsList" localSheetId="11" hidden="1">516</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localSheetId="1" hidden="1">0</definedName>
    <definedName name="_AtRisk_SimSetting_StatisticFunctionUpdating" localSheetId="4" hidden="1">0</definedName>
    <definedName name="_AtRisk_SimSetting_StatisticFunctionUpdating" localSheetId="6" hidden="1">0</definedName>
    <definedName name="_AtRisk_SimSetting_StatisticFunctionUpdating" localSheetId="3" hidden="1">0</definedName>
    <definedName name="_AtRisk_SimSetting_StatisticFunctionUpdating" localSheetId="5" hidden="1">0</definedName>
    <definedName name="_AtRisk_SimSetting_StatisticFunctionUpdating" localSheetId="7" hidden="1">0</definedName>
    <definedName name="_AtRisk_SimSetting_StatisticFunctionUpdating" localSheetId="10" hidden="1">0</definedName>
    <definedName name="_AtRisk_SimSetting_StatisticFunctionUpdating" localSheetId="2" hidden="1">0</definedName>
    <definedName name="_AtRisk_SimSetting_StatisticFunctionUpdating" localSheetId="8" hidden="1">0</definedName>
    <definedName name="_AtRisk_SimSetting_StatisticFunctionUpdating" localSheetId="9" hidden="1">0</definedName>
    <definedName name="_AtRisk_SimSetting_StatisticFunctionUpdating" localSheetId="11" hidden="1">0</definedName>
    <definedName name="_AtRisk_SimSetting_StatisticFunctionUpdating" hidden="1">1</definedName>
    <definedName name="_AtRisk_SimSetting_StdRecalcActiveSimulationNumber" hidden="1">1</definedName>
    <definedName name="_AtRisk_SimSetting_StdRecalcBehavior" localSheetId="1" hidden="1">0</definedName>
    <definedName name="_AtRisk_SimSetting_StdRecalcBehavior" localSheetId="4" hidden="1">0</definedName>
    <definedName name="_AtRisk_SimSetting_StdRecalcBehavior" localSheetId="6" hidden="1">0</definedName>
    <definedName name="_AtRisk_SimSetting_StdRecalcBehavior" localSheetId="3" hidden="1">0</definedName>
    <definedName name="_AtRisk_SimSetting_StdRecalcBehavior" localSheetId="5" hidden="1">0</definedName>
    <definedName name="_AtRisk_SimSetting_StdRecalcBehavior" localSheetId="7" hidden="1">0</definedName>
    <definedName name="_AtRisk_SimSetting_StdRecalcBehavior" localSheetId="10" hidden="1">0</definedName>
    <definedName name="_AtRisk_SimSetting_StdRecalcBehavior" localSheetId="2" hidden="1">0</definedName>
    <definedName name="_AtRisk_SimSetting_StdRecalcBehavior" localSheetId="8" hidden="1">0</definedName>
    <definedName name="_AtRisk_SimSetting_StdRecalcBehavior" localSheetId="9" hidden="1">0</definedName>
    <definedName name="_AtRisk_SimSetting_StdRecalcBehavior" localSheetId="11" hidden="1">0</definedName>
    <definedName name="_AtRisk_SimSetting_StdRecalcBehavior" hidden="1">1</definedName>
    <definedName name="_AtRisk_SimSetting_StdRecalcWithoutRiskStatic" hidden="1">0</definedName>
    <definedName name="_AtRisk_SimSetting_StdRecalcWithoutRiskStaticPercentile" hidden="1">0.5</definedName>
    <definedName name="_xlnm._FilterDatabase" localSheetId="14" hidden="1">Lookups!$BY$1:$CB$358</definedName>
    <definedName name="_xlnm._FilterDatabase" localSheetId="10" hidden="1">NAICS!$B$1:$J$2404</definedName>
    <definedName name="_Order1" hidden="1">255</definedName>
    <definedName name="_Order2" hidden="1">255</definedName>
    <definedName name="a" hidden="1">#REF!</definedName>
    <definedName name="AddNum1">'WINS Coding'!$C$12</definedName>
    <definedName name="AggLmtDO">'WINS Coding'!$T$32</definedName>
    <definedName name="AgtCd">'WINS Coding'!$C$10</definedName>
    <definedName name="APLet">Rater!$L$152</definedName>
    <definedName name="APLet1">'WINS Coding'!$E$384</definedName>
    <definedName name="AttPtDOL">'WINS Coding'!$I$32</definedName>
    <definedName name="AttPtSideA">'WINS Coding'!$I$37</definedName>
    <definedName name="BillType">'WINS Coding'!$E$12</definedName>
    <definedName name="bkadd1">Information!$B$14</definedName>
    <definedName name="bkadd2">Information!$B$15</definedName>
    <definedName name="bkcty">Information!$B$16</definedName>
    <definedName name="bkemail">Information!$B$20</definedName>
    <definedName name="bkph">Information!$B$19</definedName>
    <definedName name="bkst">Information!$B$17</definedName>
    <definedName name="bkzip">Information!$B$18</definedName>
    <definedName name="Br">Information!$B$44</definedName>
    <definedName name="BrCdNm">'WINS Coding'!$I$14</definedName>
    <definedName name="brkerNm">Information!$B$13</definedName>
    <definedName name="Brokers2">'[2]BDX Coding Tables'!$B$4:$B$383</definedName>
    <definedName name="BusSegDesc">Information!$B$42</definedName>
    <definedName name="ClaimsCode2">'[2]BDX Coding Tables'!$B$1239:$B$1240</definedName>
    <definedName name="CoId">'WINS Coding'!$C$9</definedName>
    <definedName name="Comm">Information!$B$40</definedName>
    <definedName name="Comm2">'Account Info'!$F$9</definedName>
    <definedName name="CommDO">'WINS Coding'!$AB$32</definedName>
    <definedName name="Commission">'WINS Coding'!$E$10</definedName>
    <definedName name="cont">Information!$B$12</definedName>
    <definedName name="CorpAssetDO">Rater!$D$11</definedName>
    <definedName name="Country">'Account Info'!$L$12</definedName>
    <definedName name="Crime21">Rater!$X$324:$X$327</definedName>
    <definedName name="Crime210">Rater!$X$366:$X$368</definedName>
    <definedName name="Crime211">Rater!$X$369:$X$372</definedName>
    <definedName name="Crime213">Rater!$X$375:$X$377</definedName>
    <definedName name="Crime214">Rater!$X$379:$X$382</definedName>
    <definedName name="Crime22">Rater!$X$329:$X$331</definedName>
    <definedName name="Crime23">Rater!$X$333:$X$335</definedName>
    <definedName name="Crime24">Rater!$X$337:$X$340</definedName>
    <definedName name="Crime25">Rater!$X$346:$X$348</definedName>
    <definedName name="Crime26">Rater!$X$350:$X$352</definedName>
    <definedName name="Crime27">Rater!$X$354:$X$356</definedName>
    <definedName name="Crime28">Rater!$X$358:$X$360</definedName>
    <definedName name="Crime29">Rater!$X$362:$X$364</definedName>
    <definedName name="Crime38">Rater!$AD$343:$AD$345</definedName>
    <definedName name="CrimeClassCode">'WINS Coding'!$F$32</definedName>
    <definedName name="CrimeEndtFac">Rater!$AD$326:$AD$330</definedName>
    <definedName name="CrimePolType">'WINS Coding'!$G$32</definedName>
    <definedName name="CrmAdtFct">Rater!$L$313</definedName>
    <definedName name="CrmAdtFct1">'WINS Coding'!$E$312</definedName>
    <definedName name="CrmCCFrdDed">Rater!$E$369</definedName>
    <definedName name="CrmCCFrdDed1">'WINS Coding'!$M$251</definedName>
    <definedName name="CrmCCFrdLmt">Rater!$C$369</definedName>
    <definedName name="CrmCCFrdLmt1">'WINS Coding'!$L$251</definedName>
    <definedName name="CrmCCFrdPrm">Rater!$M$369</definedName>
    <definedName name="CrmCCFrdPrm1">'WINS Coding'!$AK$266</definedName>
    <definedName name="CrmClass">'WINS Coding'!$F$259</definedName>
    <definedName name="CrmClntCovDed">Rater!$E$372</definedName>
    <definedName name="CrmClntCovDed1">'WINS Coding'!$M$252</definedName>
    <definedName name="CrmClntCovLmt">Rater!$C$372</definedName>
    <definedName name="CrmClntCovLmt1">'WINS Coding'!$L$252</definedName>
    <definedName name="CrmClntCovPrm">Rater!$M$372</definedName>
    <definedName name="CrmClntCovPrm1">'WINS Coding'!$AK$267</definedName>
    <definedName name="CrmComm">'WINS Coding'!$AH$259</definedName>
    <definedName name="CrmDed">Rater!$T$26</definedName>
    <definedName name="CrmDed1">'WINS Coding'!$I$259</definedName>
    <definedName name="CrmEF">Rater!$L$347</definedName>
    <definedName name="CrmEF1">'WINS Coding'!$E$319</definedName>
    <definedName name="CrmEmpNum">'WINS Coding'!$Y$259</definedName>
    <definedName name="CrmEmpThfPrm1">'WINS Coding'!$AK$259</definedName>
    <definedName name="CrmExpCovDed">Rater!$E$378</definedName>
    <definedName name="CrmExpCovLmt">Rater!$C$378</definedName>
    <definedName name="CrmExpCovLmt1">'WINS Coding'!$L$254</definedName>
    <definedName name="CrmExpCovPrm">Rater!$M$378</definedName>
    <definedName name="CrmExpCovPrm1">'WINS Coding'!$AK$269</definedName>
    <definedName name="CrmFndsDed">Rater!$E$363</definedName>
    <definedName name="CrmFndsDed1">'WINS Coding'!$M$249</definedName>
    <definedName name="CrmFndsLmt">Rater!$C$363</definedName>
    <definedName name="CrmFndsLmt1">'WINS Coding'!$L$249</definedName>
    <definedName name="CrmFndsPrm">Rater!$M$363</definedName>
    <definedName name="CrmFndsPrm1">'WINS Coding'!$AK$264</definedName>
    <definedName name="CrmFrdDed">Rater!$E$360</definedName>
    <definedName name="CrmFrdDed1">'WINS Coding'!$M$248</definedName>
    <definedName name="CrmFrdLmt">Rater!$C$360</definedName>
    <definedName name="CrmFrdLmt1">'WINS Coding'!$L$248</definedName>
    <definedName name="CrmFrdPrm">Rater!$M$360</definedName>
    <definedName name="CrmFrdPrm1">'WINS Coding'!$AK$263</definedName>
    <definedName name="CrmFrgDed">Rater!$E$357</definedName>
    <definedName name="CrmFrgDed1">'WINS Coding'!$M$247</definedName>
    <definedName name="CrmFrgLmt">Rater!$C$357</definedName>
    <definedName name="CrmFrgLmt1">'WINS Coding'!$L$247</definedName>
    <definedName name="CrmFrgLoc">Rater!$L$307</definedName>
    <definedName name="CrmFrgLoc1">'WINS Coding'!$E$310</definedName>
    <definedName name="CrmFrgPrm">Rater!$M$357</definedName>
    <definedName name="CrmFrgPrm1">'WINS Coding'!$AK$262</definedName>
    <definedName name="CrmHVPM">Rater!$L$310</definedName>
    <definedName name="CrmHVPM1">'WINS Coding'!$E$311</definedName>
    <definedName name="crmIC">Rater!$L$316</definedName>
    <definedName name="crmIC1">'WINS Coding'!$E$313</definedName>
    <definedName name="CrmIM">Rater!$L$322</definedName>
    <definedName name="CrmIM1">'WINS Coding'!$E$315</definedName>
    <definedName name="CrmInTransDed">Rater!$E$354</definedName>
    <definedName name="CrmInTransDed1">'WINS Coding'!$M$246</definedName>
    <definedName name="CrmInTransLmt">Rater!$C$354</definedName>
    <definedName name="CrmInTransLmt1">'WINS Coding'!$L$246</definedName>
    <definedName name="CrmInTransPrm">Rater!$M$354</definedName>
    <definedName name="CrmInTransPrm1">'WINS Coding'!$AK$261</definedName>
    <definedName name="CrmKYcouTx">'WINS Coding'!$AK$271</definedName>
    <definedName name="CrmKYmunTax">'WINS Coding'!$AK$270</definedName>
    <definedName name="CrmKYpb">'WINS Coding'!$AK$272</definedName>
    <definedName name="CrmLimit">'WINS Coding'!$X$259</definedName>
    <definedName name="CrmLmt">Rater!$T$24</definedName>
    <definedName name="CrmLmt1">'WINS Coding'!$L$255</definedName>
    <definedName name="CrmMAA">Rater!$L$331</definedName>
    <definedName name="CrmMAA1">'WINS Coding'!$E$318</definedName>
    <definedName name="CrmMnyDed">Rater!$E$366</definedName>
    <definedName name="CrmMnyDed1">'WINS Coding'!$M$250</definedName>
    <definedName name="CrmMnyLmt">Rater!$C$366</definedName>
    <definedName name="CrmMnyLmt1">'WINS Coding'!$L$250</definedName>
    <definedName name="CrmMnyPrm">Rater!$M$366</definedName>
    <definedName name="CrmMnyPrm1">'WINS Coding'!$AK$265</definedName>
    <definedName name="CrmNJpliga">'WINS Coding'!$AK$274</definedName>
    <definedName name="CrmNO">Rater!$L$298</definedName>
    <definedName name="CrmNtOp">'WINS Coding'!$E$307</definedName>
    <definedName name="CrmOrg">Rater!$L$304</definedName>
    <definedName name="CrmOrgCmp">'WINS Coding'!$E$309</definedName>
    <definedName name="CrmPolType">'WINS Coding'!$G$259</definedName>
    <definedName name="CrmPrc">'WINS Coding'!$F$305</definedName>
    <definedName name="CrmPreEmp">Rater!$L$319</definedName>
    <definedName name="CrmPreEmp1">'WINS Coding'!$E$314</definedName>
    <definedName name="CrmPremisDed">Rater!$E$351</definedName>
    <definedName name="CrmPremisDed1">'WINS Coding'!$M$245</definedName>
    <definedName name="CrmPremisLmt">Rater!$C$351</definedName>
    <definedName name="CrmPremisLmt1">'WINS Coding'!$L$245</definedName>
    <definedName name="CrmPremisPrm">Rater!$M$351</definedName>
    <definedName name="CrmPremisPrm1">'WINS Coding'!$AK$260</definedName>
    <definedName name="CrmPrm">Rater!$T$21</definedName>
    <definedName name="crmPrm1">Rater!$T$28</definedName>
    <definedName name="CrmProfWk">Rater!$L$301</definedName>
    <definedName name="CrmRtEmp">'WINS Coding'!$Z$259</definedName>
    <definedName name="CrmRtMod">'WINS Coding'!$AD$259</definedName>
    <definedName name="CrmSchdRt">Rater!$W$343</definedName>
    <definedName name="CrmSchdRt1">Rater!$K$341</definedName>
    <definedName name="CrmSchMd">'WINS Coding'!$E$306</definedName>
    <definedName name="CrmSocEngDed">Rater!$E$375</definedName>
    <definedName name="CrmSocEngDed1">'WINS Coding'!$M$253</definedName>
    <definedName name="CrmSocEngLmt">Rater!$C$375</definedName>
    <definedName name="CrmSocEngLmt1">'WINS Coding'!$L$253</definedName>
    <definedName name="CrmSocEngPrm">Rater!$M$375</definedName>
    <definedName name="CrmSocEngPrm1">'WINS Coding'!$AK$268</definedName>
    <definedName name="CrmSocRtGro">'WINS Coding'!$AF$268</definedName>
    <definedName name="CrmTotalLoc">'WINS Coding'!$V$259</definedName>
    <definedName name="CrmTotLoc">Rater!$H$351</definedName>
    <definedName name="crmVM">Rater!$L$325</definedName>
    <definedName name="crmVM1">'WINS Coding'!$E$316</definedName>
    <definedName name="CrmWk">'WINS Coding'!$E$308</definedName>
    <definedName name="CrmWVsur">'WINS Coding'!$AK$275</definedName>
    <definedName name="crmYB">Rater!$L$328</definedName>
    <definedName name="crmYB1">'WINS Coding'!$E$317</definedName>
    <definedName name="cty">Information!$B$5</definedName>
    <definedName name="CtyStZip">'WINS Coding'!$C$13</definedName>
    <definedName name="CY1class">'WINS Coding'!$F$61</definedName>
    <definedName name="CY1Lmt">'WINS Coding'!$N$61</definedName>
    <definedName name="CY1PolTyp">'WINS Coding'!$G$61</definedName>
    <definedName name="CY1PolType">'WINS Coding'!#REF!</definedName>
    <definedName name="Cy1RtGrpBrch">'WINS Coding'!$Z$61</definedName>
    <definedName name="Cy1RtGrpBrch2">'WINS Coding'!$AC$95</definedName>
    <definedName name="Cy1RtGrpRP">'WINS Coding'!$AC$96</definedName>
    <definedName name="Cy2AggLmt">'WINS Coding'!$P$95</definedName>
    <definedName name="CY2Class">'WINS Coding'!$F$95</definedName>
    <definedName name="Cy2Comm">'WINS Coding'!$AE$95</definedName>
    <definedName name="Cy2Ded">'WINS Coding'!$O$95</definedName>
    <definedName name="CY2KYcouTx">'WINS Coding'!$AG$103</definedName>
    <definedName name="CY2kymunTax">'WINS Coding'!$AG$104</definedName>
    <definedName name="cy2KYpb">'WINS Coding'!$AG$105</definedName>
    <definedName name="cy2NJpliga">'WINS Coding'!$AG$106</definedName>
    <definedName name="CY2occLmt">'WINS Coding'!$V$95</definedName>
    <definedName name="Cy2PolTyp">'WINS Coding'!$G$95</definedName>
    <definedName name="Cy2RtMd">'WINS Coding'!$Z$95</definedName>
    <definedName name="cy2WVsur">'WINS Coding'!$AH$107</definedName>
    <definedName name="Cy3AggLmt">'WINS Coding'!$M$81</definedName>
    <definedName name="Cy3ErrdLmt">'WINS Coding'!$F$81</definedName>
    <definedName name="Cy3Lmt">'WINS Coding'!$N$95</definedName>
    <definedName name="CY3LmtMd">'WINS Coding'!$N$99</definedName>
    <definedName name="CY3LmtPCI">'WINS Coding'!$N$97</definedName>
    <definedName name="CY3LmtPCIre">'WINS Coding'!$N$98</definedName>
    <definedName name="Cy3LmtRP">'WINS Coding'!$N$96</definedName>
    <definedName name="CY3LmtSD">'WINS Coding'!$N$102</definedName>
    <definedName name="CY3LmtTechEO">'WINS Coding'!$N$100</definedName>
    <definedName name="CY3LmtWC">'WINS Coding'!$N$101</definedName>
    <definedName name="Cy3MedLmt">'WINS Coding'!$M$83</definedName>
    <definedName name="Cy3PciLmt">'WINS Coding'!$M$84</definedName>
    <definedName name="Cy3PrcLmt">'WINS Coding'!$M$85</definedName>
    <definedName name="CY3RegLmt">'WINS Coding'!$M$82</definedName>
    <definedName name="Cy3RegRet">Rater!$E$446</definedName>
    <definedName name="Cy3RegRet1">'WINS Coding'!$O$82</definedName>
    <definedName name="Cy3Ret">'WINS Coding'!$O$81</definedName>
    <definedName name="Cy3SdLmt">'WINS Coding'!$M$88</definedName>
    <definedName name="Cy3TechLmt">'WINS Coding'!$M$86</definedName>
    <definedName name="Cy3WrngLmt">'WINS Coding'!$M$87</definedName>
    <definedName name="CyAccCnt">Rater!$L$411</definedName>
    <definedName name="CyAccCnt1">'WINS Coding'!$E$341</definedName>
    <definedName name="CyAsInv">Rater!$L$399</definedName>
    <definedName name="CyAsInv1">'WINS Coding'!$E$337</definedName>
    <definedName name="Cyber21">Rater!$AJ$383:$AJ$386</definedName>
    <definedName name="Cyber210">Rater!$AJ$421:$AJ$423</definedName>
    <definedName name="Cyber211">Rater!$AJ$425:$AJ$427</definedName>
    <definedName name="Cyber212">Rater!$AJ$429:$AJ$431</definedName>
    <definedName name="Cyber213">Rater!$AJ$433:$AJ$435</definedName>
    <definedName name="Cyber214">Rater!$AJ$437:$AJ$439</definedName>
    <definedName name="Cyber215">Rater!$AJ$441:$AJ$443</definedName>
    <definedName name="Cyber22">Rater!$AJ$388:$AJ$390</definedName>
    <definedName name="Cyber23">Rater!$AJ$392:$AJ$394</definedName>
    <definedName name="Cyber24">Rater!$AJ$396:$AJ$399</definedName>
    <definedName name="Cyber25">Rater!$AJ$401:$AJ$403</definedName>
    <definedName name="Cyber26">Rater!$AJ$405:$AJ$407</definedName>
    <definedName name="Cyber27">Rater!$AJ$409:$AJ$411</definedName>
    <definedName name="Cyber28">Rater!$AJ$413:$AJ$415</definedName>
    <definedName name="Cyber29">Rater!$AJ$417:$AJ$419</definedName>
    <definedName name="CYbiAggLmt1">'WINS Coding'!$M$52</definedName>
    <definedName name="CyBIExp">Rater!$H$462</definedName>
    <definedName name="CYbiLmt">Rater!$C$462</definedName>
    <definedName name="CYbiLmt1">'WINS Coding'!$F$52</definedName>
    <definedName name="CYbilPrem">Rater!$M$462</definedName>
    <definedName name="CYbilPrem1">'WINS Coding'!$AD$64</definedName>
    <definedName name="CYbiRet">Rater!$E$462</definedName>
    <definedName name="CYbiRet1">'WINS Coding'!$O$52</definedName>
    <definedName name="CYbrcAggLmt1">'WINS Coding'!$M$50</definedName>
    <definedName name="CyBrcExp">Rater!$H$450</definedName>
    <definedName name="CyBrcExp1">'WINS Coding'!$X$95</definedName>
    <definedName name="CyBrcLiaPrm1">'WINS Coding'!$AG$95</definedName>
    <definedName name="CYbrcLmt">Rater!$C$450</definedName>
    <definedName name="CYbrcLmt1">'WINS Coding'!$F$49</definedName>
    <definedName name="CyBRCPrem">Rater!$M$450</definedName>
    <definedName name="CyBRCPrem1">'WINS Coding'!$AD$61</definedName>
    <definedName name="CYbrcRet">Rater!$E$450</definedName>
    <definedName name="CYbrcRet1">'WINS Coding'!$O$50</definedName>
    <definedName name="CybSec4">Rater!$AO$389:$AO$392</definedName>
    <definedName name="CybSec41">Rater!$AO$383:$AO$387</definedName>
    <definedName name="CYcbiAggLmt1">'WINS Coding'!$M$53</definedName>
    <definedName name="CYcbiLmt">Rater!$C$467</definedName>
    <definedName name="CYcbiLmt1">'WINS Coding'!$F$53</definedName>
    <definedName name="CYcbiPrem">Rater!$M$467</definedName>
    <definedName name="CYcbiPrem1">'WINS Coding'!$AD$65</definedName>
    <definedName name="CYcbiRet">Rater!$E$467</definedName>
    <definedName name="CYcbiRet1">'WINS Coding'!$O$53</definedName>
    <definedName name="CyCbrm">Rater!$L$423</definedName>
    <definedName name="CyCbrm1">'WINS Coding'!$E$345</definedName>
    <definedName name="CyCbWp">Rater!$H$469</definedName>
    <definedName name="CYcecPrem">Rater!$M$458</definedName>
    <definedName name="CYcecPrem1">'WINS Coding'!$AD$62</definedName>
    <definedName name="CyCntBIExp">Rater!$H$467</definedName>
    <definedName name="CYComm">'WINS Coding'!$AB$61</definedName>
    <definedName name="CYcycRet">Rater!$E$458</definedName>
    <definedName name="CYcycRet1">'WINS Coding'!$O$51</definedName>
    <definedName name="CyDataLcExp">Rater!$H$472</definedName>
    <definedName name="Cydcl">Rater!$I$508</definedName>
    <definedName name="CyDedCd">'WINS Coding'!$T$61</definedName>
    <definedName name="CyDedCd2">'WINS Coding'!$H$95</definedName>
    <definedName name="CYdlcaggLmt1">'WINS Coding'!$M$54</definedName>
    <definedName name="CYdlcLmt">Rater!$C$472</definedName>
    <definedName name="CYdlcLmt1">'WINS Coding'!$F$54</definedName>
    <definedName name="CYdlcPrem">Rater!$M$472</definedName>
    <definedName name="CYdlcPrem1">'WINS Coding'!$AD$63</definedName>
    <definedName name="CYdlRet">Rater!$E$472</definedName>
    <definedName name="CYdlRet1">'WINS Coding'!$O$54</definedName>
    <definedName name="CyEmpTr">Rater!$L$408</definedName>
    <definedName name="CyEmpTr1">'WINS Coding'!$E$340</definedName>
    <definedName name="CyEncy">Rater!$L$414</definedName>
    <definedName name="CyEncy1">'WINS Coding'!$E$342</definedName>
    <definedName name="CyEndFct">Rater!$L$442</definedName>
    <definedName name="CyEndFct1">'WINS Coding'!$E$347</definedName>
    <definedName name="CYextAggLmt1">'WINS Coding'!$M$51</definedName>
    <definedName name="CyExtCstExp">Rater!$H$458</definedName>
    <definedName name="CYextLmt">Rater!$C$458</definedName>
    <definedName name="CYextLmt1">'WINS Coding'!$F$51</definedName>
    <definedName name="CyExtRpExp1">'WINS Coding'!$X$108</definedName>
    <definedName name="CyExtRpLmt1">'WINS Coding'!$V$108</definedName>
    <definedName name="CyExtRpPrm1">'WINS Coding'!$AG$108</definedName>
    <definedName name="CyFBCD">Rater!$L$393</definedName>
    <definedName name="CyFBCD1">'WINS Coding'!$E$335</definedName>
    <definedName name="CyFIRP">Rater!$L$390</definedName>
    <definedName name="CyFIRP1">'WINS Coding'!$E$334</definedName>
    <definedName name="CYKYcouTx">'WINS Coding'!$AD$70</definedName>
    <definedName name="CYkymunTax">'WINS Coding'!$AD$69</definedName>
    <definedName name="cyKYpb">'WINS Coding'!$AD$71</definedName>
    <definedName name="CyLmt">Rater!$D$41</definedName>
    <definedName name="CyLmt1">'WINS Coding'!$M$49</definedName>
    <definedName name="CyLocFct">Rater!$L$387</definedName>
    <definedName name="CyLocFct1">'WINS Coding'!$E$333</definedName>
    <definedName name="CyMA">Rater!$L$426</definedName>
    <definedName name="CyMA1">'WINS Coding'!$E$346</definedName>
    <definedName name="CyMediaAggLmt">'WINS Coding'!$P$99</definedName>
    <definedName name="CyMediaLmt">Rater!$C$476</definedName>
    <definedName name="CyMedRet">Rater!$E$476</definedName>
    <definedName name="CyMedRet1">'WINS Coding'!$O$83</definedName>
    <definedName name="CyMlExp">Rater!$H$476</definedName>
    <definedName name="CyMlExp1">'WINS Coding'!$X$99</definedName>
    <definedName name="CyMlLmt1">'WINS Coding'!$V$99</definedName>
    <definedName name="CyMlPrm">Rater!$M$476</definedName>
    <definedName name="CyMlPrm1">'WINS Coding'!$AG$99</definedName>
    <definedName name="cyNJpliga">'WINS Coding'!$AD$73</definedName>
    <definedName name="CyNtrAmt">Rater!$L$384</definedName>
    <definedName name="CyNtrAmt1">'WINS Coding'!$E$332</definedName>
    <definedName name="CyOs">Rater!$L$420</definedName>
    <definedName name="CyOs1">'WINS Coding'!$E$344</definedName>
    <definedName name="CyPciAssAggLmt">'WINS Coding'!$P$97</definedName>
    <definedName name="CyPciExp">Rater!$H$480</definedName>
    <definedName name="CyPciExp1">'WINS Coding'!$X$97</definedName>
    <definedName name="CyPciLmt">Rater!$C$480</definedName>
    <definedName name="CyPciLmt1">'WINS Coding'!$V$97</definedName>
    <definedName name="CyPciPrm">Rater!$M$480</definedName>
    <definedName name="CyPciPrm1">'WINS Coding'!$AG$97</definedName>
    <definedName name="CyPCIreAggLmt">'WINS Coding'!$P$98</definedName>
    <definedName name="CyPciReExp">Rater!$H$484</definedName>
    <definedName name="CyPciReExp1">'WINS Coding'!$X$98</definedName>
    <definedName name="CyPciReLmt">Rater!$C$484</definedName>
    <definedName name="CyPciReLmt1">'WINS Coding'!$V$98</definedName>
    <definedName name="CyPciRePrm">Rater!$M$484</definedName>
    <definedName name="CyPciRePrm1">'WINS Coding'!$AG$98</definedName>
    <definedName name="CyPciReRet">Rater!$E$484</definedName>
    <definedName name="CyPciReRet1">'WINS Coding'!$O$85</definedName>
    <definedName name="CyPciRet">Rater!$E$480</definedName>
    <definedName name="CyPciRet1">'WINS Coding'!$O$84</definedName>
    <definedName name="CyPremium">Rater!$D$45</definedName>
    <definedName name="CyRCV">Rater!$L$417</definedName>
    <definedName name="CyRCV1">'WINS Coding'!$E$343</definedName>
    <definedName name="CyRegPnAggLmt">'WINS Coding'!$P$96</definedName>
    <definedName name="CyRet">Rater!$D$43</definedName>
    <definedName name="CyRet1">'WINS Coding'!$O$49</definedName>
    <definedName name="CyRev1">'WINS Coding'!$F$329</definedName>
    <definedName name="CyRpExp">Rater!$H$446</definedName>
    <definedName name="CyRpExp1">'WINS Coding'!$X$96</definedName>
    <definedName name="CyRpLmt">Rater!$C$446</definedName>
    <definedName name="CyRpLmt1">'WINS Coding'!$V$96</definedName>
    <definedName name="CyRpPrm">Rater!$M$446</definedName>
    <definedName name="CyRpPrm1">'WINS Coding'!$AG$96</definedName>
    <definedName name="CYrrAggLmt1">'WINS Coding'!$M$55</definedName>
    <definedName name="CyRRExp">Rater!$H$454</definedName>
    <definedName name="CYrrLmt">Rater!$C$454</definedName>
    <definedName name="CYrrLmt1">'WINS Coding'!$F$55</definedName>
    <definedName name="CYrrPrem">Rater!$M$454</definedName>
    <definedName name="CYrrPrem1">'WINS Coding'!$AD$66</definedName>
    <definedName name="CYrrRet">Rater!$E$454</definedName>
    <definedName name="CYrrRet1">'WINS Coding'!$O$55</definedName>
    <definedName name="CyRtGrpBI">'WINS Coding'!$Z$64</definedName>
    <definedName name="CyRtGrpCntBI">'WINS Coding'!$Z$65</definedName>
    <definedName name="CyRtGrpDataLC">'WINS Coding'!$Z$63</definedName>
    <definedName name="CyRtGrpExtCst">'WINS Coding'!$Z$62</definedName>
    <definedName name="CyRtGrpML">'WINS Coding'!$AC$99</definedName>
    <definedName name="CyRtGrpPCI">'WINS Coding'!$AC$97</definedName>
    <definedName name="CyRtGrpPCIRe">'WINS Coding'!$AC$98</definedName>
    <definedName name="CyRtGrpRR">'WINS Coding'!$Z$66</definedName>
    <definedName name="CyRtGrpSocEng">'WINS Coding'!$Z$67</definedName>
    <definedName name="CyRtGrpSysEng">'WINS Coding'!$Z$68</definedName>
    <definedName name="CyRtGrpTechEo">'WINS Coding'!$AC$100</definedName>
    <definedName name="CyRtGrpWrgCol">'WINS Coding'!$AC$101</definedName>
    <definedName name="CyRtMd">'WINS Coding'!$X$61</definedName>
    <definedName name="CySchdMod">Rater!$K$436</definedName>
    <definedName name="CySchMd1">'WINS Coding'!$E$331</definedName>
    <definedName name="CySD">'WINS Coding'!$AG$102</definedName>
    <definedName name="CySDAggLmt">'WINS Coding'!$P$102</definedName>
    <definedName name="CySDlmt">Rater!$I$506</definedName>
    <definedName name="CYseAggLmt1">'WINS Coding'!$M$56</definedName>
    <definedName name="CySecConf">Rater!$L$402</definedName>
    <definedName name="CySecConf1">'WINS Coding'!$E$338</definedName>
    <definedName name="CYseLmt">Rater!$C$488</definedName>
    <definedName name="CYseLmt1">'WINS Coding'!$F$56</definedName>
    <definedName name="CYsePrem">Rater!$M$488</definedName>
    <definedName name="CYsePrem1">'WINS Coding'!$AD$67</definedName>
    <definedName name="CYseRet">Rater!$E$488</definedName>
    <definedName name="CYseRet1">'WINS Coding'!$O$56</definedName>
    <definedName name="CYsfAggLmt1">'WINS Coding'!$M$57</definedName>
    <definedName name="CYsfLmt">Rater!$C$496</definedName>
    <definedName name="CYsfLmt1">'WINS Coding'!$F$57</definedName>
    <definedName name="CYsfPrem">Rater!$M$496</definedName>
    <definedName name="CYsfPrem1">'WINS Coding'!$AD$68</definedName>
    <definedName name="CYsfRet">Rater!$E$496</definedName>
    <definedName name="CYsfRet1">'WINS Coding'!$O$57</definedName>
    <definedName name="CyShrCI">Rater!$L$396</definedName>
    <definedName name="CyShrCI1">'WINS Coding'!$E$336</definedName>
    <definedName name="CyShrDefLmtCrd1">'WINS Coding'!$E$348</definedName>
    <definedName name="CySlc">Rater!$I$504</definedName>
    <definedName name="CySlc1">'WINS Coding'!$E$330</definedName>
    <definedName name="CySocEngExp">Rater!$H$488</definedName>
    <definedName name="CySysExpExp">Rater!$H$496</definedName>
    <definedName name="CyTechAggLmt">'WINS Coding'!$P$100</definedName>
    <definedName name="CyTechEOExp">Rater!$H$492</definedName>
    <definedName name="CyTechEOExp1">'WINS Coding'!$X$100</definedName>
    <definedName name="CyTechEOLmt1">'WINS Coding'!$V$100</definedName>
    <definedName name="CyTechEOPrm">Rater!$M$492</definedName>
    <definedName name="CyTechEOPrm1">'WINS Coding'!$AG$100</definedName>
    <definedName name="CYtechLmt">Rater!$C$492</definedName>
    <definedName name="CyTechRet">Rater!$E$492</definedName>
    <definedName name="CyTechRet1">'WINS Coding'!$O$86</definedName>
    <definedName name="CyVAR">Rater!$L$405</definedName>
    <definedName name="CyVAR1">'WINS Coding'!$E$339</definedName>
    <definedName name="CyWP">Rater!$H$464</definedName>
    <definedName name="CyWrgColExp">Rater!$H$500</definedName>
    <definedName name="CyWrgColExp1">'WINS Coding'!$X$101</definedName>
    <definedName name="CyWrgColLmt">Rater!$C$500</definedName>
    <definedName name="CyWrgColLmt1">'WINS Coding'!$V$101</definedName>
    <definedName name="CyWrgColPrm">Rater!$M$500</definedName>
    <definedName name="CyWrgColPrm1">'WINS Coding'!$AG$101</definedName>
    <definedName name="CyWrgRet">Rater!$E$500</definedName>
    <definedName name="CyWrgRet1">'WINS Coding'!$O$87</definedName>
    <definedName name="CyWrngAggLmt">'WINS Coding'!$P$101</definedName>
    <definedName name="cyWVsur">'WINS Coding'!$AD$74</definedName>
    <definedName name="DandO21">Rater!$X$100:$X$133</definedName>
    <definedName name="DandO210">Rater!$X$195:$X$198</definedName>
    <definedName name="DandO211">Rater!$X$200:$X$204</definedName>
    <definedName name="DandO212">Rater!$X$215:$X$219</definedName>
    <definedName name="DandO213">Rater!$X$221:$X$225</definedName>
    <definedName name="DandO214">Rater!$X$228:$X$232</definedName>
    <definedName name="DandO215">Rater!$X$234:$X$238</definedName>
    <definedName name="DandO216">Rater!$X$241:$X$244</definedName>
    <definedName name="DandO22">Rater!$X$135:$X$138</definedName>
    <definedName name="DandO23">Rater!$X$140:$X$141</definedName>
    <definedName name="DandO24">Rater!$X$152:$X$154</definedName>
    <definedName name="DandO25">Rater!$X$157:$X$160</definedName>
    <definedName name="DandO26">Rater!$X$162:$X$163</definedName>
    <definedName name="DandO27">Rater!$X$179:$X$182</definedName>
    <definedName name="DandO28">Rater!$X$184:$X$187</definedName>
    <definedName name="DandO29">Rater!$X$190:$X$193</definedName>
    <definedName name="DandO31">Rater!$X$264:$X$266</definedName>
    <definedName name="DandO32">Rater!$X$268:$X$269</definedName>
    <definedName name="DandO33">Rater!$X$273:$X$277</definedName>
    <definedName name="DandO34">Rater!$X$281:$X$288</definedName>
    <definedName name="DandO35">Rater!$X$290:$X$297</definedName>
    <definedName name="DandOEPLBasic" localSheetId="4">'Crime ILFs'!$A$4:$A$16</definedName>
    <definedName name="DandOEPLBasic" localSheetId="6">'Cyber ILFs'!$A$4:$A$20</definedName>
    <definedName name="DandOEPLBasic" localSheetId="5">'K&amp;R ILFs'!$A$4:$A$19</definedName>
    <definedName name="DandOEPLBasic" localSheetId="7">'MPL and Law ILFs'!$A$4:$A$15</definedName>
    <definedName name="DandOEPLBasic">'D&amp;O-EPL-Crime-Fidu ILFs'!$A$4:$A$16</definedName>
    <definedName name="DandOEPLLimits" localSheetId="4">'Crime ILFs'!$A$4:$A$22</definedName>
    <definedName name="DandOEPLLimits" localSheetId="6">'Cyber ILFs'!$A$4:$A$31</definedName>
    <definedName name="DandOEPLLimits" localSheetId="5">'K&amp;R ILFs'!$A$4:$A$26</definedName>
    <definedName name="DandOEPLLimits" localSheetId="7">'MPL and Law ILFs'!$A$4:$A$20</definedName>
    <definedName name="DandOEPLLimits">'D&amp;O-EPL-Crime-Fidu ILFs'!$A$4:$A$22</definedName>
    <definedName name="DedAmtDO">'WINS Coding'!$S$32</definedName>
    <definedName name="DefLimit">Rater!$Z$122:$Z$128</definedName>
    <definedName name="dept">'Account Info'!$J$9</definedName>
    <definedName name="DistDesc">Information!$B$41</definedName>
    <definedName name="DOacpPrem">'WINS Coding'!$AD$34</definedName>
    <definedName name="DOapcLmt">Rater!$D$113</definedName>
    <definedName name="DOapcPrem">Rater!$I$113</definedName>
    <definedName name="DOapLmt">'WINS Coding'!$N$26</definedName>
    <definedName name="DoAssets1">'WINS Coding'!$F$352</definedName>
    <definedName name="DOasstProAgglmt">'WINS Coding'!$T$34</definedName>
    <definedName name="DoBs">Rater!$L$82</definedName>
    <definedName name="DoBs1">'WINS Coding'!$E$361</definedName>
    <definedName name="DOdcs">Rater!$I$124</definedName>
    <definedName name="DoDDSf">Rater!$L$104</definedName>
    <definedName name="DoDDSf1">'WINS Coding'!$E$364</definedName>
    <definedName name="DoDtDsf">Rater!$D$104</definedName>
    <definedName name="DoEf">Rater!$L$107</definedName>
    <definedName name="DoEf1">'WINS Coding'!$E$365</definedName>
    <definedName name="DOerodLmt">'WINS Coding'!$G$24</definedName>
    <definedName name="DOicLmt">Rater!$D$110</definedName>
    <definedName name="DOicPrem">'WINS Coding'!$AD$33</definedName>
    <definedName name="DOicSubLmt">'WINS Coding'!$N$25</definedName>
    <definedName name="DOinvCostPrem">Rater!$I$110</definedName>
    <definedName name="DOinvCstAggLmt">'WINS Coding'!$T$33</definedName>
    <definedName name="DOL">'WINS Coding'!$C$32</definedName>
    <definedName name="DoLH">Rater!$L$73</definedName>
    <definedName name="DoLH1">'WINS Coding'!$E$358</definedName>
    <definedName name="DOLmt">'WINS Coding'!$N$24</definedName>
    <definedName name="DOma">Rater!$L$64</definedName>
    <definedName name="DOma1">'WINS Coding'!$E$355</definedName>
    <definedName name="DoMo">Rater!$L$67</definedName>
    <definedName name="DoMo1">'WINS Coding'!$E$356</definedName>
    <definedName name="DoMs">Rater!$L$79</definedName>
    <definedName name="DoMs1">'WINS Coding'!$E$360</definedName>
    <definedName name="DOno">Rater!$L$55</definedName>
    <definedName name="DOno1">'WINS Coding'!$E$351</definedName>
    <definedName name="DONoSub">Rater!$L$61</definedName>
    <definedName name="DONoSub1">'WINS Coding'!$E$354</definedName>
    <definedName name="DOnoYrs">Rater!$L$58</definedName>
    <definedName name="DOnoYrs1">'WINS Coding'!$E$353</definedName>
    <definedName name="DOoccSIR">'WINS Coding'!$M$24</definedName>
    <definedName name="DOprcAggLmt">'WINS Coding'!$T$35</definedName>
    <definedName name="DoPrem">'WINS Coding'!$AD$32</definedName>
    <definedName name="DOpremium">Rater!$D$28</definedName>
    <definedName name="DOprLmt">Rater!$D$116</definedName>
    <definedName name="DOprLmt1">'WINS Coding'!$N$27</definedName>
    <definedName name="DOPrPrem">Rater!$I$116</definedName>
    <definedName name="DOprPrm">'WINS Coding'!$AD$35</definedName>
    <definedName name="DoQlyIncSt">Rater!$L$85</definedName>
    <definedName name="DoQlyIncSt1">'WINS Coding'!$E$362</definedName>
    <definedName name="DoQSCF">Rater!$L$88</definedName>
    <definedName name="DoQSCF1">'WINS Coding'!$E$363</definedName>
    <definedName name="DOrtMd">'WINS Coding'!$Y$32</definedName>
    <definedName name="DOschdMd">Rater!$K$98</definedName>
    <definedName name="DOschdMd1">'WINS Coding'!$E$350</definedName>
    <definedName name="DoSdAggLmt">'WINS Coding'!$T$36</definedName>
    <definedName name="DOsdcLmt">Rater!$I$122</definedName>
    <definedName name="DOsdcLmt1">'WINS Coding'!$N$29</definedName>
    <definedName name="DOsdcPrem">'WINS Coding'!$AD$36</definedName>
    <definedName name="DOsdcPrm">Rater!$J$122</definedName>
    <definedName name="DoSDLC">Rater!$L$51</definedName>
    <definedName name="DoSDLC1">'WINS Coding'!$E$366</definedName>
    <definedName name="DOSideA">Rater!$X$309:$X$315</definedName>
    <definedName name="DOsideAaggLmt">'WINS Coding'!$T$37</definedName>
    <definedName name="DOsideALmt">Rater!$I$128</definedName>
    <definedName name="DOsideAlmt1">'WINS Coding'!$N$28</definedName>
    <definedName name="DOsideAPrem">'WINS Coding'!$AD$37</definedName>
    <definedName name="DOsideAprm">Rater!$J$128</definedName>
    <definedName name="DOSLC">Rater!$V$51</definedName>
    <definedName name="DOSLC1">'WINS Coding'!$E$349</definedName>
    <definedName name="DoSOA">Rater!$L$70</definedName>
    <definedName name="DoSOA1">'WINS Coding'!$E$357</definedName>
    <definedName name="DOste">Rater!$L$76</definedName>
    <definedName name="DOste1">'WINS Coding'!$E$359</definedName>
    <definedName name="DOTerritory">'WINS Coding'!$AE$32</definedName>
    <definedName name="eff">Information!$B$8</definedName>
    <definedName name="effdt">'WINS Coding'!$C$8</definedName>
    <definedName name="EffDt2">'Account Info'!$F$7</definedName>
    <definedName name="ELdcl">Rater!$I$562</definedName>
    <definedName name="ELDtDsf">Rater!$D$548</definedName>
    <definedName name="EllAggLmt">'WINS Coding'!$O$227</definedName>
    <definedName name="ELLBasePrem">Rater!$I$38</definedName>
    <definedName name="ELLBasePrem1">'WINS Coding'!$AH$232</definedName>
    <definedName name="EllClassCode">'WINS Coding'!$F$232</definedName>
    <definedName name="ELLComm">'WINS Coding'!$AE$232</definedName>
    <definedName name="EllDed">'WINS Coding'!$Q$232</definedName>
    <definedName name="EllDedCd">'WINS Coding'!$I$232</definedName>
    <definedName name="EllDerodLmt">'WINS Coding'!$H$227</definedName>
    <definedName name="Ellexp1">'WINS Coding'!$AA$232</definedName>
    <definedName name="Ellexp2">'WINS Coding'!$AA$233</definedName>
    <definedName name="Ellexp3">'WINS Coding'!$AA$239</definedName>
    <definedName name="EllKYcouTx">'WINS Coding'!$AH$235</definedName>
    <definedName name="EllKYmunTax">'WINS Coding'!$AH$234</definedName>
    <definedName name="EllKYpb">'WINS Coding'!$AH$236</definedName>
    <definedName name="EllLawyers">Rater!$I$36</definedName>
    <definedName name="EllLmt">Rater!$I$41</definedName>
    <definedName name="EllLmtCd">'WINS Coding'!$O$232</definedName>
    <definedName name="EllNJpliga">'WINS Coding'!$AH$237</definedName>
    <definedName name="EllOccLmt">'WINS Coding'!$S$232</definedName>
    <definedName name="Ellpoltype">'WINS Coding'!$H$232</definedName>
    <definedName name="ELLpremium">Rater!$I$45</definedName>
    <definedName name="EllRet">Rater!$I$43</definedName>
    <definedName name="EllRet1">'WINS Coding'!$N$227</definedName>
    <definedName name="EllRtMd">'WINS Coding'!$AB$232</definedName>
    <definedName name="EllSdAggLmt">'WINS Coding'!$O$228</definedName>
    <definedName name="EllSDEerrLmt">'WINS Coding'!$H$228</definedName>
    <definedName name="EllSdLmt">Rater!$I$560</definedName>
    <definedName name="EllSDLmtCd">'WINS Coding'!$O$233</definedName>
    <definedName name="EllSDPrm">Rater!$J$560</definedName>
    <definedName name="EllSDPrm1">'WINS Coding'!$AH$233</definedName>
    <definedName name="EllTerrCd1">'WINS Coding'!$G$232</definedName>
    <definedName name="EllTerrCd2">'WINS Coding'!$G$233</definedName>
    <definedName name="EllTerrCd3">'WINS Coding'!$G$239</definedName>
    <definedName name="EllWVsur">'WINS Coding'!$AH$238</definedName>
    <definedName name="ELPwvAggLmt">'WINS Coding'!$P$180</definedName>
    <definedName name="EMLaop">Rater!$L$514</definedName>
    <definedName name="EMLaop1">'WINS Coding'!$E$367</definedName>
    <definedName name="EMLddsf">Rater!$L$548</definedName>
    <definedName name="EMLddsf1">'WINS Coding'!$E$374</definedName>
    <definedName name="EMLeel">Rater!$L$529</definedName>
    <definedName name="EMLeel1">'WINS Coding'!$E$372</definedName>
    <definedName name="EMLef">Rater!$L$551</definedName>
    <definedName name="EMLef1">'WINS Coding'!$E$375</definedName>
    <definedName name="EMLelr">Rater!$L$526</definedName>
    <definedName name="EMLelr1">'WINS Coding'!$E$371</definedName>
    <definedName name="EMLlh">Rater!$L$517</definedName>
    <definedName name="EMLlh1">'WINS Coding'!$E$368</definedName>
    <definedName name="EMLma">Rater!$L$523</definedName>
    <definedName name="EMLma1">'WINS Coding'!$E$370</definedName>
    <definedName name="EMLnoEmp1">'WINS Coding'!$F$429</definedName>
    <definedName name="EMLols">Rater!$L$532</definedName>
    <definedName name="EMLols1">'WINS Coding'!$E$373</definedName>
    <definedName name="EMLpde">Rater!$L$520</definedName>
    <definedName name="EMLpde1">'WINS Coding'!$E$369</definedName>
    <definedName name="EMLscf">Rater!$L$554</definedName>
    <definedName name="EMLscf1">'WINS Coding'!$E$376</definedName>
    <definedName name="EMLsdlc1">'WINS Coding'!$E$377</definedName>
    <definedName name="EMLsm">Rater!$K$542</definedName>
    <definedName name="EMLsm1">'WINS Coding'!$E$431</definedName>
    <definedName name="EPLace">Rater!$L$149</definedName>
    <definedName name="EPLace1">'WINS Coding'!$E$383</definedName>
    <definedName name="EPLaddClAggLmt">'WINS Coding'!$P$183</definedName>
    <definedName name="EPLaggLmt">'WINS Coding'!$P$179</definedName>
    <definedName name="EPLAggLmt1">'WINS Coding'!$O$170</definedName>
    <definedName name="EPLcePrm">Rater!$J$210</definedName>
    <definedName name="EPLcePrm1">'WINS Coding'!$AF$183</definedName>
    <definedName name="EPLclassCd">'WINS Coding'!$F$179</definedName>
    <definedName name="EPLclmExLmt">Rater!$I$210</definedName>
    <definedName name="EPLclmExLmt1">'WINS Coding'!$O$175</definedName>
    <definedName name="EPLclmExLmtCd">'WINS Coding'!$M$183</definedName>
    <definedName name="EPLcomm">'WINS Coding'!$AD$179</definedName>
    <definedName name="EPLcrAggLmt">'WINS Coding'!$P$181</definedName>
    <definedName name="EPLcrePrm">Rater!$I$198</definedName>
    <definedName name="EPLcrePrm1">'WINS Coding'!$AF$181</definedName>
    <definedName name="EPLcrisisLmt">Rater!$D$198</definedName>
    <definedName name="EPLcrisisLmt1">'WINS Coding'!$O$173</definedName>
    <definedName name="EPLcrisisLmtCd">'WINS Coding'!$M$181</definedName>
    <definedName name="EPLdcl">Rater!$I$206</definedName>
    <definedName name="EPLded">'WINS Coding'!$O$179</definedName>
    <definedName name="EPLdedCd">'WINS Coding'!$J$179</definedName>
    <definedName name="EPLdod">Rater!$L$180</definedName>
    <definedName name="EPLdod1">'WINS Coding'!$E$389</definedName>
    <definedName name="EPLDtDsf">Rater!$D$180</definedName>
    <definedName name="EPLef">Rater!$L$189</definedName>
    <definedName name="EPLef1">'WINS Coding'!$E$392</definedName>
    <definedName name="EPLemplyCt">Rater!$I$19</definedName>
    <definedName name="EPLerodLmt">'WINS Coding'!$H$170</definedName>
    <definedName name="EPLexp">'WINS Coding'!$Y$179</definedName>
    <definedName name="EPLhcl">Rater!$L$134</definedName>
    <definedName name="EPLhcl1">'WINS Coding'!$E$378</definedName>
    <definedName name="EPLhr">Rater!$L$164</definedName>
    <definedName name="EPLhr1">'WINS Coding'!$E$388</definedName>
    <definedName name="EPLI21">Rater!$AD$130:$AD$133</definedName>
    <definedName name="EPLI210">Rater!$AD$195:$AD$198</definedName>
    <definedName name="EPLI211">Rater!$AD$200:$AD$203</definedName>
    <definedName name="EPLI212">Rater!$AD$215:$AD$218</definedName>
    <definedName name="EPLI213">Rater!$AD$221:$AD$225</definedName>
    <definedName name="EPLI214">Rater!$AD$228:$AD$232</definedName>
    <definedName name="EPLI215">Rater!$AD$234:$AD$238</definedName>
    <definedName name="EPLI22">Rater!$AD$135:$AD$138</definedName>
    <definedName name="EPLI23">Rater!$AD$140:$AD$143</definedName>
    <definedName name="EPLI24">Rater!$AD$152:$AD$154</definedName>
    <definedName name="EPLI25">Rater!$AD$157:$AD$158</definedName>
    <definedName name="EPLI26">Rater!$AD$162:$AD$165</definedName>
    <definedName name="EPLI27">Rater!$AD$179:$AD$182</definedName>
    <definedName name="EPLI28">Rater!$AD$184:$AD$186</definedName>
    <definedName name="EPLI29">Rater!$AD$190:$AD$193</definedName>
    <definedName name="EPLI31">Rater!$AD$264:$AD$266</definedName>
    <definedName name="EPLI32">Rater!$AD$268:$AD$269</definedName>
    <definedName name="EPLI33">Rater!$AD$273:$AD$277</definedName>
    <definedName name="EPLI34">Rater!$AD$280:$AD$284</definedName>
    <definedName name="EPLI35">Rater!$AD$288:$AD$295</definedName>
    <definedName name="EPLI36">Rater!$AD$297:$AD$304</definedName>
    <definedName name="EPLI37">Rater!$AD$306:$AD$313</definedName>
    <definedName name="EPLI38">Rater!$AD$315:$AD$321</definedName>
    <definedName name="EplKYcouTx">'WINS Coding'!$AF$185</definedName>
    <definedName name="EplKYmunTax">'WINS Coding'!$AF$184</definedName>
    <definedName name="EplKYpb">'WINS Coding'!$AF$186</definedName>
    <definedName name="EPLlh">Rater!$L$155</definedName>
    <definedName name="EPLlh1">'WINS Coding'!$E$385</definedName>
    <definedName name="EPLlmt">Rater!$I$24</definedName>
    <definedName name="EPLLmtCd">'WINS Coding'!$M$179</definedName>
    <definedName name="EPLma">Rater!$L$143</definedName>
    <definedName name="EPLma1">'WINS Coding'!$E$381</definedName>
    <definedName name="EPLms">Rater!$L$161</definedName>
    <definedName name="EPLms1">'WINS Coding'!$E$387</definedName>
    <definedName name="EplNJpliga">'WINS Coding'!$AF$187</definedName>
    <definedName name="EPLno">Rater!$L$137</definedName>
    <definedName name="EPLno1">'WINS Coding'!$E$379</definedName>
    <definedName name="EPLnoemp1">'WINS Coding'!$F$394</definedName>
    <definedName name="EPLnyb">Rater!$L$140</definedName>
    <definedName name="EPLnyb1">'WINS Coding'!$E$380</definedName>
    <definedName name="EPLoccLmt">'WINS Coding'!$Q$179</definedName>
    <definedName name="EPLpcl">Rater!$L$146</definedName>
    <definedName name="EPLpcl1">'WINS Coding'!$E$382</definedName>
    <definedName name="EPLpoltype">'WINS Coding'!$I$179</definedName>
    <definedName name="EPLpremium">Rater!$I$28</definedName>
    <definedName name="EPLret">Rater!$I$26</definedName>
    <definedName name="EPLret1">'WINS Coding'!$N$170</definedName>
    <definedName name="EPLRtMod">'WINS Coding'!$Z$179</definedName>
    <definedName name="EPLschmod">Rater!$K$174</definedName>
    <definedName name="EPLschmod1">'WINS Coding'!$E$396</definedName>
    <definedName name="EPLsdAggLmt">'WINS Coding'!$P$182</definedName>
    <definedName name="EPLsdcPrm">Rater!$J$204</definedName>
    <definedName name="EPLsdcPrm1">'WINS Coding'!$AF$182</definedName>
    <definedName name="EplSDEerrLmt">'WINS Coding'!$H$174</definedName>
    <definedName name="EPLsdlc1">'WINS Coding'!$E$393</definedName>
    <definedName name="EPLsdLmt">Rater!$I$204</definedName>
    <definedName name="EPLsdLmt1">'WINS Coding'!$O$174</definedName>
    <definedName name="EPLsdLmtCd">'WINS Coding'!$M$182</definedName>
    <definedName name="EPLslc1">'WINS Coding'!$E$395</definedName>
    <definedName name="EPLste">Rater!$L$158</definedName>
    <definedName name="EPLste1">'WINS Coding'!$E$386</definedName>
    <definedName name="EPLsubPrem">Rater!$X$176</definedName>
    <definedName name="EPLsubPrem1">'WINS Coding'!$AF$179</definedName>
    <definedName name="EPLterritory">'WINS Coding'!$G$179</definedName>
    <definedName name="EPLtpe">Rater!$L$186</definedName>
    <definedName name="EPLtpe1">'WINS Coding'!$E$391</definedName>
    <definedName name="EPLtpl">Rater!$L$183</definedName>
    <definedName name="EPLtpl1">'WINS Coding'!$E$390</definedName>
    <definedName name="EPLwageLmt">Rater!$D$192</definedName>
    <definedName name="EPLwageLmt1">'WINS Coding'!$O$171</definedName>
    <definedName name="EPLwkvLmt">Rater!$D$195</definedName>
    <definedName name="EPLwkvLmt1">'WINS Coding'!$O$172</definedName>
    <definedName name="EPLwkvLmtCd">'WINS Coding'!$M$180</definedName>
    <definedName name="EPLwpvPrm">Rater!$I$195</definedName>
    <definedName name="EPLwpvPrm1">'WINS Coding'!$AF$180</definedName>
    <definedName name="EplWVsur">'WINS Coding'!$AF$188</definedName>
    <definedName name="ERP">'WINS Coding'!$C$43</definedName>
    <definedName name="ExCy1CB">'WINS Coding'!$E$450</definedName>
    <definedName name="ExCy1scl">'WINS Coding'!$E$476</definedName>
    <definedName name="ExCy1ssdcl">'WINS Coding'!$E$483</definedName>
    <definedName name="ExCy1WP">'WINS Coding'!$E$449</definedName>
    <definedName name="ExCy3scl">'WINS Coding'!$E$475</definedName>
    <definedName name="ExCy3ssdcl">'WINS Coding'!$E$482</definedName>
    <definedName name="ExDoDD">'WINS Coding'!$E$465</definedName>
    <definedName name="ExDOscl">'WINS Coding'!$E$470</definedName>
    <definedName name="ExDOssdcl">'WINS Coding'!$E$477</definedName>
    <definedName name="ExELLDD">'WINS Coding'!$E$468</definedName>
    <definedName name="ExELLssdcl">'WINS Coding'!$E$480</definedName>
    <definedName name="ExELscl">'WINS Coding'!$E$473</definedName>
    <definedName name="ExEplDD">'WINS Coding'!$E$466</definedName>
    <definedName name="ExEPLscl">'WINS Coding'!$E$471</definedName>
    <definedName name="ExEPLssdcl">'WINS Coding'!$E$478</definedName>
    <definedName name="ExFidDD">'WINS Coding'!$E$467</definedName>
    <definedName name="ExFidscl">'WINS Coding'!$E$472</definedName>
    <definedName name="ExFidssdcl">'WINS Coding'!$E$479</definedName>
    <definedName name="ExMiscscl">'WINS Coding'!$E$474</definedName>
    <definedName name="ExMiscssdcl">'WINS Coding'!$E$481</definedName>
    <definedName name="exp">Information!$B$9</definedName>
    <definedName name="ExpDO">'WINS Coding'!$X$32</definedName>
    <definedName name="ExpDt">'WINS Coding'!$C$15</definedName>
    <definedName name="ExpDt2">'Account Info'!$H$7</definedName>
    <definedName name="Fid502AggLmt">'WINS Coding'!$N$210</definedName>
    <definedName name="FidacaAggLmt">'WINS Coding'!$N$212</definedName>
    <definedName name="FidAcaLmt">Rater!$D$277</definedName>
    <definedName name="FidAcaLmt1">'WINS Coding'!$O$200</definedName>
    <definedName name="FidAcaPrm">Rater!$I$277</definedName>
    <definedName name="FidAcaPrm1">'WINS Coding'!$AJ$212</definedName>
    <definedName name="FidAddAggLmt">'WINS Coding'!$N$215</definedName>
    <definedName name="FidAeLmt">Rater!$I$292</definedName>
    <definedName name="FidAeLmt1">'WINS Coding'!$O$203</definedName>
    <definedName name="FidAePrm">Rater!$J$292</definedName>
    <definedName name="FidAePrm1">'WINS Coding'!$AJ$215</definedName>
    <definedName name="FidAggLmt">'WINS Coding'!$N$207</definedName>
    <definedName name="FidAsst1">'WINS Coding'!$F$398</definedName>
    <definedName name="FidClassCode">'WINS Coding'!$F$207</definedName>
    <definedName name="FidComm">'WINS Coding'!$AH$207</definedName>
    <definedName name="Fiddcl">Rater!$I$288</definedName>
    <definedName name="FidDed">'WINS Coding'!$M$207</definedName>
    <definedName name="FidDedCd">'WINS Coding'!$J$207</definedName>
    <definedName name="FIDdod">Rater!$L$259</definedName>
    <definedName name="FIDdod1">'WINS Coding'!$E$408</definedName>
    <definedName name="FidDtD">Rater!$D$259</definedName>
    <definedName name="FIDef">Rater!$L$262</definedName>
    <definedName name="FIDef1">'WINS Coding'!$E$409</definedName>
    <definedName name="FIDerodLmt">'WINS Coding'!$H$195</definedName>
    <definedName name="FidErsaLmt">Rater!$D$271</definedName>
    <definedName name="FidErsaLmt1">'WINS Coding'!$O$198</definedName>
    <definedName name="FidErsaPrm">Rater!$I$271</definedName>
    <definedName name="FidErsaPrm1">'WINS Coding'!$AJ$210</definedName>
    <definedName name="FIDesop">Rater!$L$228</definedName>
    <definedName name="FIDesop1">'WINS Coding'!$E$402</definedName>
    <definedName name="FidExp">'WINS Coding'!$R$207</definedName>
    <definedName name="FidFsdb">Rater!$L$231</definedName>
    <definedName name="FidFsdb1">'WINS Coding'!$E$403</definedName>
    <definedName name="FidHipLmt">Rater!$D$268</definedName>
    <definedName name="FidHipLmt1">'WINS Coding'!$O$197</definedName>
    <definedName name="FidHippaAggLmt">'WINS Coding'!$N$209</definedName>
    <definedName name="FidhippaPrem">Rater!$I$268</definedName>
    <definedName name="FidhippaPrem1">'WINS Coding'!$AJ$209</definedName>
    <definedName name="FidIRCAggLmt">'WINS Coding'!$N$213</definedName>
    <definedName name="FidIrcLmt">Rater!$D$280</definedName>
    <definedName name="FidIrcLmt1">'WINS Coding'!$O$201</definedName>
    <definedName name="FidIrcPrm">Rater!$I$280</definedName>
    <definedName name="FidIrcPrm1">'WINS Coding'!$AJ$213</definedName>
    <definedName name="FidKYcouTx">'WINS Coding'!$AJ$217</definedName>
    <definedName name="FidKYmunTax">'WINS Coding'!$AJ$216</definedName>
    <definedName name="FidKYpb">'WINS Coding'!$AJ$218</definedName>
    <definedName name="FIDlh">Rater!$L$237</definedName>
    <definedName name="FIDlh1">'WINS Coding'!$E$405</definedName>
    <definedName name="FidLmt">Rater!$P$24</definedName>
    <definedName name="FidLmt1">'WINS Coding'!$O$195</definedName>
    <definedName name="FidLmtCd">'WINS Coding'!$K$207</definedName>
    <definedName name="FidNJpliga">'WINS Coding'!$AJ$219</definedName>
    <definedName name="FidNo">Rater!$L$216</definedName>
    <definedName name="FidNo1">'WINS Coding'!$E$397</definedName>
    <definedName name="Fidnoyb">Rater!$L$219</definedName>
    <definedName name="Fidnoyb1">'WINS Coding'!$E$399</definedName>
    <definedName name="FidOccLmt">'WINS Coding'!$O$207</definedName>
    <definedName name="FidpenAggLmt">'WINS Coding'!$N$211</definedName>
    <definedName name="FidPenLmt">Rater!$D$274</definedName>
    <definedName name="FidPenLmt1">'WINS Coding'!$O$199</definedName>
    <definedName name="FidPenPrm">Rater!$I$274</definedName>
    <definedName name="FidPenPrm1">'WINS Coding'!$AJ$211</definedName>
    <definedName name="FidPlnAst">Rater!$P$11</definedName>
    <definedName name="FIDplntyp">Rater!$L$225</definedName>
    <definedName name="FIDplntyp1">'WINS Coding'!$E$401</definedName>
    <definedName name="FIDpoltype">'WINS Coding'!$I$207</definedName>
    <definedName name="Fidpp">Rater!$L$234</definedName>
    <definedName name="Fidpp1">'WINS Coding'!$E$404</definedName>
    <definedName name="FidPrem">Rater!$P$28</definedName>
    <definedName name="FidPrem1">'WINS Coding'!$AJ$207</definedName>
    <definedName name="FIDpt">Rater!$L$222</definedName>
    <definedName name="FIDpt1">'WINS Coding'!$E$400</definedName>
    <definedName name="FIDqdp">Rater!$L$243</definedName>
    <definedName name="FIDqdp1">'WINS Coding'!$E$407</definedName>
    <definedName name="FidRet">Rater!$P$26</definedName>
    <definedName name="FidRet1">'WINS Coding'!$N$195</definedName>
    <definedName name="FidRtMd">'WINS Coding'!$AB$207</definedName>
    <definedName name="FidSDAggLmt">'WINS Coding'!$N$214</definedName>
    <definedName name="FidSDEerrLmt">'WINS Coding'!$H$202</definedName>
    <definedName name="FIDsdlc1">'WINS Coding'!$E$410</definedName>
    <definedName name="FidSdLmt">Rater!$I$286</definedName>
    <definedName name="FidSdLmt1">'WINS Coding'!$O$202</definedName>
    <definedName name="FidSdPrm">Rater!$J$286</definedName>
    <definedName name="FidSdPrm1">'WINS Coding'!$AJ$214</definedName>
    <definedName name="FIDslc1">'WINS Coding'!$E$411</definedName>
    <definedName name="FIDsm">Rater!$K$253</definedName>
    <definedName name="FIDsm1">'WINS Coding'!$E$412</definedName>
    <definedName name="FIDste">Rater!$L$240</definedName>
    <definedName name="FIDste1">'WINS Coding'!$E$406</definedName>
    <definedName name="FidTerrCd">'WINS Coding'!$G$207</definedName>
    <definedName name="Fidu21">Rater!$AJ$130:$AJ$133</definedName>
    <definedName name="Fidu210">Rater!$AJ$195:$AJ$198</definedName>
    <definedName name="Fidu211">Rater!$AJ$200:$AJ$203</definedName>
    <definedName name="Fidu212">Rater!$AJ$215:$AJ$218</definedName>
    <definedName name="Fidu213">Rater!$AJ$221:$AJ$226</definedName>
    <definedName name="Fidu214">Rater!$AJ$228:$AJ$232</definedName>
    <definedName name="Fidu215">Rater!$AJ$234:$AJ$239</definedName>
    <definedName name="Fidu22">Rater!$AJ$135:$AJ$138</definedName>
    <definedName name="Fidu23">Rater!$AJ$140:$AJ$141</definedName>
    <definedName name="Fidu24">Rater!$AJ$152:$AJ$155</definedName>
    <definedName name="Fidu25">Rater!$AJ$157:$AJ$160</definedName>
    <definedName name="Fidu26">Rater!$AJ$162:$AJ$164</definedName>
    <definedName name="Fidu27">Rater!$AJ$179:$AJ$182</definedName>
    <definedName name="Fidu28">Rater!$AJ$184:$AJ$187</definedName>
    <definedName name="Fidu29">Rater!$AJ$190:$AJ$192</definedName>
    <definedName name="Fidu31">Rater!$AJ$264:$AJ$266</definedName>
    <definedName name="Fidu32">Rater!$AJ$268:$AJ$272</definedName>
    <definedName name="Fidu33">Rater!$AJ$274:$AJ$284</definedName>
    <definedName name="Fidu34">Rater!$AJ$287:$AJ$297</definedName>
    <definedName name="Fidu35">Rater!$AJ$301:$AJ$311</definedName>
    <definedName name="Fidu36">Rater!$AJ$315:$AJ$325</definedName>
    <definedName name="Fidu37">Rater!$AJ$329:$AJ$339</definedName>
    <definedName name="Fidu38">Rater!$AJ$342:$AJ$352</definedName>
    <definedName name="Fidu39">Rater!$AJ$356:$AJ$589</definedName>
    <definedName name="FiduBasic" localSheetId="7">'MPL and Law ILFs'!$A$32:$A$43</definedName>
    <definedName name="FiduBasic">'D&amp;O-EPL-Crime-Fidu ILFs'!$A$32:$A$42</definedName>
    <definedName name="FiduLimits" localSheetId="7">'MPL and Law ILFs'!$A$32:$A$49</definedName>
    <definedName name="FiduLimits">'D&amp;O-EPL-Crime-Fidu ILFs'!$A$32:$A$47</definedName>
    <definedName name="FidvcAggLmt">'WINS Coding'!$N$208</definedName>
    <definedName name="FidVcLmt">Rater!$D$265</definedName>
    <definedName name="FidVcLmt1">'WINS Coding'!$O$196</definedName>
    <definedName name="FidVcpcPrem">Rater!$I$265</definedName>
    <definedName name="FidVcpcPrem1">'WINS Coding'!$AJ$208</definedName>
    <definedName name="FidWVsur">'WINS Coding'!$AJ$220</definedName>
    <definedName name="Hazard2">Rater!$AE$287:$AG$287</definedName>
    <definedName name="HazardClass2">'[2]BDX Coding Tables'!$B$1242:$B$1244</definedName>
    <definedName name="InfoAdd1">Information!$B$3</definedName>
    <definedName name="InfoAdd2">Information!$B$4</definedName>
    <definedName name="InsAdd2">'Account Info'!$F$14</definedName>
    <definedName name="InsNm">'WINS Coding'!$C$11</definedName>
    <definedName name="InsType">'Account Info'!$J$7</definedName>
    <definedName name="InsZip">'Account Info'!$L$16</definedName>
    <definedName name="IQ_AE_BR" hidden="1">"c10"</definedName>
    <definedName name="IQ_AP_BR" hidden="1">"c34"</definedName>
    <definedName name="IQ_AR_BR" hidden="1">"c41"</definedName>
    <definedName name="IQ_ASSET_WRITEDOWN_BR" hidden="1">"c50"</definedName>
    <definedName name="IQ_ASSET_WRITEDOWN_CF_BR" hidden="1">"c53"</definedName>
    <definedName name="IQ_CAPEX_BR" hidden="1">"c111"</definedName>
    <definedName name="IQ_CH" hidden="1">110000</definedName>
    <definedName name="IQ_CHANGE_AP_BR" hidden="1">"c135"</definedName>
    <definedName name="IQ_CHANGE_AR_BR" hidden="1">"c142"</definedName>
    <definedName name="IQ_CHANGE_OTHER_WORK_CAP_BR" hidden="1">"c154"</definedName>
    <definedName name="IQ_COMMERCIAL_DOM" hidden="1">"c177"</definedName>
    <definedName name="IQ_COMMERCIAL_MORT" hidden="1">"c179"</definedName>
    <definedName name="IQ_COMMON_APIC_BR" hidden="1">"c185"</definedName>
    <definedName name="IQ_COMMON_ISSUED_BR" hidden="1">"c199"</definedName>
    <definedName name="IQ_COMMON_REP_BR" hidden="1">"c208"</definedName>
    <definedName name="IQ_CQ" hidden="1">5000</definedName>
    <definedName name="IQ_CURRENCY_GAIN_BR" hidden="1">"c236"</definedName>
    <definedName name="IQ_CURRENT_PORT_DEBT_BR" hidden="1">"c1567"</definedName>
    <definedName name="IQ_CY" hidden="1">10000</definedName>
    <definedName name="IQ_DA_BR" hidden="1">"c248"</definedName>
    <definedName name="IQ_DA_CF_BR" hidden="1">"c251"</definedName>
    <definedName name="IQ_DA_SUPPL_BR" hidden="1">"c260"</definedName>
    <definedName name="IQ_DA_SUPPL_CF_BR" hidden="1">"c263"</definedName>
    <definedName name="IQ_DAILY" hidden="1">500000</definedName>
    <definedName name="IQ_DEF_AMORT_BR" hidden="1">"c278"</definedName>
    <definedName name="IQ_DEF_CHARGES_BR" hidden="1">"c288"</definedName>
    <definedName name="IQ_DEF_CHARGES_LT_BR" hidden="1">"c294"</definedName>
    <definedName name="IQ_DEF_TAX_ASSET_LT_BR" hidden="1">"c304"</definedName>
    <definedName name="IQ_DEF_TAX_LIAB_LT_BR" hidden="1">"c315"</definedName>
    <definedName name="IQ_DNTM" hidden="1">700000</definedName>
    <definedName name="IQ_EBT_BR" hidden="1">"c378"</definedName>
    <definedName name="IQ_EBT_EXCL_BR" hidden="1">"c381"</definedName>
    <definedName name="IQ_EXTRA_ACC_ITEMS_BR" hidden="1">"c412"</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GAIN_ASSETS_BR" hidden="1">"c454"</definedName>
    <definedName name="IQ_GAIN_ASSETS_CF_BR" hidden="1">"c457"</definedName>
    <definedName name="IQ_GAIN_ASSETS_REV_BR" hidden="1">"c474"</definedName>
    <definedName name="IQ_GAIN_INVEST_BR" hidden="1">"c1464"</definedName>
    <definedName name="IQ_GAIN_INVEST_CF_BR" hidden="1">"c482"</definedName>
    <definedName name="IQ_GAIN_INVEST_REV_BR" hidden="1">"c496"</definedName>
    <definedName name="IQ_GW_AMORT_BR" hidden="1">"c532"</definedName>
    <definedName name="IQ_GW_INTAN_AMORT_BR" hidden="1">"c1470"</definedName>
    <definedName name="IQ_GW_INTAN_AMORT_CF_BR" hidden="1">"c1473"</definedName>
    <definedName name="IQ_INC_EQUITY_BR" hidden="1">"c550"</definedName>
    <definedName name="IQ_INS_SETTLE_BR" hidden="1">"c572"</definedName>
    <definedName name="IQ_INT_EXP_BR" hidden="1">"c586"</definedName>
    <definedName name="IQ_INT_INC_BR" hidden="1">"c593"</definedName>
    <definedName name="IQ_INVEST_LOANS_CF_BR" hidden="1">"c630"</definedName>
    <definedName name="IQ_INVEST_SECURITY_CF_BR" hidden="1">"c639"</definedName>
    <definedName name="IQ_LATESTK" hidden="1">1000</definedName>
    <definedName name="IQ_LATESTQ" hidden="1">500</definedName>
    <definedName name="IQ_LEGAL_SETTLE_BR" hidden="1">"c649"</definedName>
    <definedName name="IQ_LOANS_CF_BR" hidden="1">"c661"</definedName>
    <definedName name="IQ_LT_DEBT_BR" hidden="1">"c676"</definedName>
    <definedName name="IQ_LT_DEBT_ISSUED_BR" hidden="1">"c683"</definedName>
    <definedName name="IQ_LT_DEBT_REPAID_BR" hidden="1">"c691"</definedName>
    <definedName name="IQ_LT_INVEST_BR" hidden="1">"c698"</definedName>
    <definedName name="IQ_LTM" hidden="1">2000</definedName>
    <definedName name="IQ_LTMMONTH" hidden="1">120000</definedName>
    <definedName name="IQ_MERGER_BR" hidden="1">"c715"</definedName>
    <definedName name="IQ_MERGER_RESTRUCTURE_BR" hidden="1">"c721"</definedName>
    <definedName name="IQ_MINORITY_INTEREST_BR" hidden="1">"c729"</definedName>
    <definedName name="IQ_MONTH" hidden="1">15000</definedName>
    <definedName name="IQ_MTD" hidden="1">800000</definedName>
    <definedName name="IQ_NAMES_REVISION_DATE_" hidden="1">41533.6436805556</definedName>
    <definedName name="IQ_NET_DEBT_ISSUED_BR" hidden="1">"c753"</definedName>
    <definedName name="IQ_NET_INT_INC_BR" hidden="1">"c765"</definedName>
    <definedName name="IQ_NTM" hidden="1">6000</definedName>
    <definedName name="IQ_OPER_INC_BR" hidden="1">"c850"</definedName>
    <definedName name="IQ_OTHER_ASSETS_BR" hidden="1">"c862"</definedName>
    <definedName name="IQ_OTHER_CA_SUPPL_BR" hidden="1">"c871"</definedName>
    <definedName name="IQ_OTHER_CL_SUPPL_BR" hidden="1">"c880"</definedName>
    <definedName name="IQ_OTHER_EQUITY_BR" hidden="1">"c888"</definedName>
    <definedName name="IQ_OTHER_FINANCE_ACT_BR" hidden="1">"c895"</definedName>
    <definedName name="IQ_OTHER_FINANCE_ACT_SUPPL_BR" hidden="1">"c901"</definedName>
    <definedName name="IQ_OTHER_INTAN_BR" hidden="1">"c909"</definedName>
    <definedName name="IQ_OTHER_INVEST_ACT_BR" hidden="1">"c918"</definedName>
    <definedName name="IQ_OTHER_INVEST_ACT_SUPPL_BR" hidden="1">"c924"</definedName>
    <definedName name="IQ_OTHER_LIAB_BR" hidden="1">"c932"</definedName>
    <definedName name="IQ_OTHER_LIAB_LT_BR" hidden="1">"c937"</definedName>
    <definedName name="IQ_OTHER_LT_ASSETS_BR" hidden="1">"c948"</definedName>
    <definedName name="IQ_OTHER_NON_OPER_EXP_BR" hidden="1">"c957"</definedName>
    <definedName name="IQ_OTHER_NON_OPER_EXP_SUPPL_BR" hidden="1">"c962"</definedName>
    <definedName name="IQ_OTHER_OPER_ACT_BR" hidden="1">"c985"</definedName>
    <definedName name="IQ_OTHER_OPER_BR" hidden="1">"c990"</definedName>
    <definedName name="IQ_OTHER_OPER_SUPPL_BR" hidden="1">"c994"</definedName>
    <definedName name="IQ_OTHER_OPER_TOT_BR" hidden="1">"c1000"</definedName>
    <definedName name="IQ_OTHER_REV_BR" hidden="1">"c1011"</definedName>
    <definedName name="IQ_OTHER_REV_SUPPL_BR" hidden="1">"c1016"</definedName>
    <definedName name="IQ_OTHER_UNUSUAL_BR" hidden="1">"c1561"</definedName>
    <definedName name="IQ_OTHER_UNUSUAL_SUPPL_BR" hidden="1">"c1496"</definedName>
    <definedName name="IQ_PC_WRITTEN" hidden="1">"c1027"</definedName>
    <definedName name="IQ_PREF_ISSUED_BR" hidden="1">"c1047"</definedName>
    <definedName name="IQ_PREF_OTHER_BR" hidden="1">"c1055"</definedName>
    <definedName name="IQ_PREF_REP_BR" hidden="1">"c1062"</definedName>
    <definedName name="IQ_QTD" hidden="1">750000</definedName>
    <definedName name="IQ_RESIDENTIAL_LOANS" hidden="1">"c1102"</definedName>
    <definedName name="IQ_RESTRUCTURE_BR" hidden="1">"c1106"</definedName>
    <definedName name="IQ_RETURN_ASSETS_BROK" hidden="1">"c1115"</definedName>
    <definedName name="IQ_RETURN_EQUITY_BROK" hidden="1">"c1120"</definedName>
    <definedName name="IQ_SALE_INTAN_CF_BR" hidden="1">"c1133"</definedName>
    <definedName name="IQ_SALE_PPE_CF_BR" hidden="1">"c1139"</definedName>
    <definedName name="IQ_SALE_REAL_ESTATE_CF_BR" hidden="1">"c1145"</definedName>
    <definedName name="IQ_SHAREOUTSTANDING" hidden="1">"c1347"</definedName>
    <definedName name="IQ_SPECIAL_DIV_CF_BR" hidden="1">"c1171"</definedName>
    <definedName name="IQ_ST_DEBT_BR" hidden="1">"c1178"</definedName>
    <definedName name="IQ_ST_DEBT_ISSUED_BR" hidden="1">"c1183"</definedName>
    <definedName name="IQ_ST_DEBT_REPAID_BR" hidden="1">"c1191"</definedName>
    <definedName name="IQ_TODAY" hidden="1">0</definedName>
    <definedName name="IQ_TOTAL_AR_BR" hidden="1">"c1231"</definedName>
    <definedName name="IQ_TOTAL_DEBT_ISSUED_BR" hidden="1">"c1253"</definedName>
    <definedName name="IQ_TOTAL_DEBT_REPAID_BR" hidden="1">"c1260"</definedName>
    <definedName name="IQ_TOTAL_LIAB_BR" hidden="1">"c1278"</definedName>
    <definedName name="IQ_TOTAL_OPER_EXP_BR" hidden="1">"c1284"</definedName>
    <definedName name="IQ_TOTAL_REV_BR" hidden="1">"c1303"</definedName>
    <definedName name="IQ_TREASURY_OTHER_EQUITY_BR" hidden="1">"c1314"</definedName>
    <definedName name="IQ_UNEARN_REV_CURRENT_BR" hidden="1">"c1324"</definedName>
    <definedName name="IQ_WEEK" hidden="1">50000</definedName>
    <definedName name="IQ_YTD" hidden="1">3000</definedName>
    <definedName name="IQ_YTDMONTH" hidden="1">130000</definedName>
    <definedName name="issco">Information!$B$35</definedName>
    <definedName name="KandR21">Rater!$AN$130:$AN$133</definedName>
    <definedName name="KandR22">Rater!$AN$135:$AN$138</definedName>
    <definedName name="KandR23">Rater!$AN$140:$AN$143</definedName>
    <definedName name="KandR24">Rater!$AN$152:$AN$155</definedName>
    <definedName name="KandR25">Rater!$AN$157:$AN$160</definedName>
    <definedName name="KandR26">Rater!$AN$162:$AN$165</definedName>
    <definedName name="KRAgg">Rater!$X$666:$X$669</definedName>
    <definedName name="KRded">'WINS Coding'!$P$151</definedName>
    <definedName name="KreAggLmt1">'WINS Coding'!$O$135</definedName>
    <definedName name="KreAggLmt2">'WINS Coding'!$O$136</definedName>
    <definedName name="KreBiAggLmt">Rater!$H$679</definedName>
    <definedName name="KreBiAggLmt1">'WINS Coding'!$O$139</definedName>
    <definedName name="KreBiLmt">Rater!$C$677</definedName>
    <definedName name="KreBiLmt1">'WINS Coding'!$L$139</definedName>
    <definedName name="KreBiLmt2">'WINS Coding'!$K$155</definedName>
    <definedName name="KreBiPrm">Rater!$M$679</definedName>
    <definedName name="KreBiPrm1">'WINS Coding'!$AE$155</definedName>
    <definedName name="KREClass">'WINS Coding'!$F$151</definedName>
    <definedName name="KREcomm">'WINS Coding'!$AC$151</definedName>
    <definedName name="KREcoreLmt1">'WINS Coding'!$K$151</definedName>
    <definedName name="KreDed">Rater!$T$43</definedName>
    <definedName name="KreDed1">'WINS Coding'!$M$129</definedName>
    <definedName name="KreDisLmt">Rater!$C$672</definedName>
    <definedName name="KreDisLmt1">'WINS Coding'!$L$138</definedName>
    <definedName name="KreDisLmt2">'WINS Coding'!$K$154</definedName>
    <definedName name="KreDisPrm">Rater!$M$672</definedName>
    <definedName name="KreDisPrm1">'WINS Coding'!$AE$154</definedName>
    <definedName name="KREef">Rater!$L$659</definedName>
    <definedName name="KREef1">'WINS Coding'!$E$328</definedName>
    <definedName name="KREempl">Rater!$T$36</definedName>
    <definedName name="KREempl1">'WINS Coding'!$T$151</definedName>
    <definedName name="KreExAggLmt">Rater!$H$689</definedName>
    <definedName name="KreExAggLmt1">'WINS Coding'!$O$143</definedName>
    <definedName name="KREfqtrvl">Rater!$L$631</definedName>
    <definedName name="KREfqtrvl1">'WINS Coding'!$E$323</definedName>
    <definedName name="KREig">Rater!$L$637</definedName>
    <definedName name="KREig1">'WINS Coding'!$E$325</definedName>
    <definedName name="KreKYcouTx">'WINS Coding'!$AE$159</definedName>
    <definedName name="KreKYmunTax">'WINS Coding'!$AE$158</definedName>
    <definedName name="KreKYpb">'WINS Coding'!$AE$160</definedName>
    <definedName name="KreNJpliga">'WINS Coding'!$AE$162</definedName>
    <definedName name="KREoccLmt">'WINS Coding'!$L$129</definedName>
    <definedName name="KREPolType">'WINS Coding'!$G$151</definedName>
    <definedName name="KREprdex">Rater!$L$643</definedName>
    <definedName name="KREprdex1">'WINS Coding'!$E$327</definedName>
    <definedName name="KREprem">'WINS Coding'!$AE$151</definedName>
    <definedName name="KREprem1">Rater!$W$655</definedName>
    <definedName name="KrePremis">Rater!$T$47</definedName>
    <definedName name="KrePremis1">'WINS Coding'!$R$151</definedName>
    <definedName name="KREpremium">Rater!$T$45</definedName>
    <definedName name="KRErct">Rater!$L$628</definedName>
    <definedName name="KRErct1">'WINS Coding'!$E$322</definedName>
    <definedName name="KRErecallLmt">Rater!$C$664</definedName>
    <definedName name="KRErecallLmt1">'WINS Coding'!$K$152</definedName>
    <definedName name="KreRePrem">Rater!$M$664</definedName>
    <definedName name="KreRePrem1">'WINS Coding'!$AE$152</definedName>
    <definedName name="KRErev1">'WINS Coding'!$F$320</definedName>
    <definedName name="KREschedMod1">'WINS Coding'!$E$321</definedName>
    <definedName name="KreSecLmt">Rater!$C$687</definedName>
    <definedName name="KreSecLmt1">'WINS Coding'!$L$143</definedName>
    <definedName name="KreSecLmt2">'WINS Coding'!$K$157</definedName>
    <definedName name="KreSecPrm">Rater!$M$689</definedName>
    <definedName name="KreSecPrm1">'WINS Coding'!$AE$157</definedName>
    <definedName name="KREsm">Rater!$L$634</definedName>
    <definedName name="KREsm1">'WINS Coding'!$E$324</definedName>
    <definedName name="KREtap">Rater!$L$640</definedName>
    <definedName name="KREtap1">'WINS Coding'!$E$326</definedName>
    <definedName name="KreThrtLmt">Rater!$C$668</definedName>
    <definedName name="KreThrtLmt1">'WINS Coding'!$L$137</definedName>
    <definedName name="KreThrtLmt2">'WINS Coding'!$K$153</definedName>
    <definedName name="KreThrtPrm">Rater!$M$668</definedName>
    <definedName name="KreThrtPrm1">'WINS Coding'!$AE$153</definedName>
    <definedName name="KREtotalMod">Rater!$K$653</definedName>
    <definedName name="KreTSLmt">Rater!$C$682</definedName>
    <definedName name="KreTSLmt1">'WINS Coding'!$L$140</definedName>
    <definedName name="KreTSLmt2">'WINS Coding'!$K$156</definedName>
    <definedName name="KreTSPrm">Rater!$M$684</definedName>
    <definedName name="KreTSPrm1">'WINS Coding'!$AE$156</definedName>
    <definedName name="KreTvlAggLmt">Rater!$H$684</definedName>
    <definedName name="KreTvlAggLmt1">'WINS Coding'!$O$140</definedName>
    <definedName name="KreWVsur">'WINS Coding'!$AE$163</definedName>
    <definedName name="KRlmt">Rater!$T$41</definedName>
    <definedName name="KRRtMd">'WINS Coding'!$X$151</definedName>
    <definedName name="KYcouTx">'WINS Coding'!$AD$39</definedName>
    <definedName name="KYmunTax">'WINS Coding'!$AD$38</definedName>
    <definedName name="KYpb">'WINS Coding'!$AD$40</definedName>
    <definedName name="Laweo21">Rater!$AD$592:$AD$594</definedName>
    <definedName name="laweo210">Rater!$AD$634:$AD$637</definedName>
    <definedName name="laweo22">Rater!$AD$596:$AD$598</definedName>
    <definedName name="laweo23">Rater!$AD$600:$AD$603</definedName>
    <definedName name="laweo24">Rater!$AD$605:$AD$606</definedName>
    <definedName name="laweo25">Rater!$AD$610:$AD$614</definedName>
    <definedName name="laweo26">Rater!$AD$616:$AD$619</definedName>
    <definedName name="laweo27">Rater!$AD$621:$AD$623</definedName>
    <definedName name="laweo28">Rater!$AD$626:$AD$628</definedName>
    <definedName name="laweo29">Rater!$AD$630:$AD$632</definedName>
    <definedName name="laweo31">Rater!$AD$532:$AD$534</definedName>
    <definedName name="laweo32">Rater!$AD$536:$AD$540</definedName>
    <definedName name="laweo33">Rater!$AD$542:$AD$543</definedName>
    <definedName name="LmtCdDOL">'WINS Coding'!$M$32</definedName>
    <definedName name="LmtDO">Rater!$D$24</definedName>
    <definedName name="LocAdd">'WINS Coding'!$N$8</definedName>
    <definedName name="LocCtyst">'WINS Coding'!$N$9</definedName>
    <definedName name="LocZip">'WINS Coding'!$N$10</definedName>
    <definedName name="MarkSeg" localSheetId="10">Tables!$A$2:$A$14</definedName>
    <definedName name="MarkSeg">Tables!$A$2:$A$14</definedName>
    <definedName name="MarkSegCML2">'Account Info'!$AD$23:$AD$36</definedName>
    <definedName name="MarkSegFI2">'Account Info'!$AD$23:$AD$36</definedName>
    <definedName name="MiscAggLmt">'WINS Coding'!$R$287</definedName>
    <definedName name="MiscCI">Rater!$L$592</definedName>
    <definedName name="MiscCI1">'WINS Coding'!$E$424</definedName>
    <definedName name="MiscClassCode">'WINS Coding'!$F$287</definedName>
    <definedName name="MiscComm">'WINS Coding'!$AF$287</definedName>
    <definedName name="MiscCr">Rater!$L$571</definedName>
    <definedName name="MiscCr1">'WINS Coding'!$E$417</definedName>
    <definedName name="Miscdcl">Rater!$I$622</definedName>
    <definedName name="MiscDedAmt">'WINS Coding'!$Q$287</definedName>
    <definedName name="MiscDedCd">'WINS Coding'!$I$287</definedName>
    <definedName name="MiscDerodLmt">'WINS Coding'!$H$282</definedName>
    <definedName name="MiscDod">Rater!$L$608</definedName>
    <definedName name="MiscDod1">'WINS Coding'!$E$425</definedName>
    <definedName name="MiscDtDsf">Rater!$D$608</definedName>
    <definedName name="MiscEf">Rater!$L$611</definedName>
    <definedName name="MiscEf1">'WINS Coding'!$E$426</definedName>
    <definedName name="MiscExp1">'WINS Coding'!$AA$287</definedName>
    <definedName name="MiscHistCd">'WINS Coding'!$AD$287</definedName>
    <definedName name="MiscKYcouTx">'WINS Coding'!$AH$290</definedName>
    <definedName name="MiscKYmunTax">'WINS Coding'!$AH$289</definedName>
    <definedName name="MiscKYpb">'WINS Coding'!$AH$291</definedName>
    <definedName name="MiscLmt">Rater!$P$41</definedName>
    <definedName name="MiscLmt1">'WINS Coding'!$O$282</definedName>
    <definedName name="MiscLmt2">'WINS Coding'!$O$283</definedName>
    <definedName name="MiscLmtCd">'WINS Coding'!$O$287</definedName>
    <definedName name="MiscMlcf">Rater!$L$614</definedName>
    <definedName name="MiscMlcf1">'WINS Coding'!$E$427</definedName>
    <definedName name="MiscNJpliga">'WINS Coding'!$AH$292</definedName>
    <definedName name="MiscOcc">'WINS Coding'!$N$282</definedName>
    <definedName name="MiscOccLmt">'WINS Coding'!$S$287</definedName>
    <definedName name="MiscPac">Rater!$L$586</definedName>
    <definedName name="MiscPac1">'WINS Coding'!$E$422</definedName>
    <definedName name="MiscPe">Rater!$L$574</definedName>
    <definedName name="MiscPe1">'WINS Coding'!$E$418</definedName>
    <definedName name="MiscPolType">'WINS Coding'!$H$287</definedName>
    <definedName name="MiscPremium">Rater!$P$45</definedName>
    <definedName name="MiscPrm1">'WINS Coding'!$AH$287</definedName>
    <definedName name="MiscPrm2">Rater!$W$604</definedName>
    <definedName name="MiscRet">Rater!$P$43</definedName>
    <definedName name="MiscRev">Rater!$P$36</definedName>
    <definedName name="MiscRev1">'WINS Coding'!$F$413</definedName>
    <definedName name="Miscrm">Rater!$L$583</definedName>
    <definedName name="Miscrm1">'WINS Coding'!$E$421</definedName>
    <definedName name="MiscRtMd">'WINS Coding'!$AB$287</definedName>
    <definedName name="MiscSdAggLmt">'WINS Coding'!$R$288</definedName>
    <definedName name="MiscSDEerrLmt">'WINS Coding'!$H$283</definedName>
    <definedName name="MiscSDLC1">'WINS Coding'!$E$428</definedName>
    <definedName name="MiscSdLmt">Rater!$I$620</definedName>
    <definedName name="MiscSDPrm">Rater!$J$620</definedName>
    <definedName name="MiscSDPrm1">'WINS Coding'!$AH$288</definedName>
    <definedName name="miscSlc1">'WINS Coding'!$E$414</definedName>
    <definedName name="MiscSM">Rater!$K$602</definedName>
    <definedName name="MiscSM1">'WINS Coding'!$E$415</definedName>
    <definedName name="MiscSP">Rater!$L$580</definedName>
    <definedName name="MiscSP1">'WINS Coding'!$E$420</definedName>
    <definedName name="MiscTerrCd1">'WINS Coding'!$G$287</definedName>
    <definedName name="MiscTO">Rater!$L$589</definedName>
    <definedName name="MiscTO1">'WINS Coding'!$E$423</definedName>
    <definedName name="MiscWC">Rater!$L$577</definedName>
    <definedName name="MiscWC1">'WINS Coding'!$E$419</definedName>
    <definedName name="MiscWVsur">'WINS Coding'!$AH$293</definedName>
    <definedName name="MiscYB">Rater!$L$568</definedName>
    <definedName name="MiscYB1">'WINS Coding'!$E$416</definedName>
    <definedName name="MisDD">'WINS Coding'!$E$469</definedName>
    <definedName name="MktSeg">'WINS Coding'!$I$15</definedName>
    <definedName name="MktSegDesc">Information!$B$43</definedName>
    <definedName name="MPLHaz">Rater!$X$32:$X$35</definedName>
    <definedName name="MPLI21">Rater!$X$594:$X$596</definedName>
    <definedName name="MPLI210">Rater!$X$636:$X$639</definedName>
    <definedName name="MPLI22">Rater!$X$598:$X$600</definedName>
    <definedName name="MPLI23">Rater!$X$607:$X$609</definedName>
    <definedName name="MPLI24">Rater!$X$611:$X$614</definedName>
    <definedName name="MPLI25">Rater!$X$616:$X$618</definedName>
    <definedName name="MPLI26">Rater!$X$620:$X$622</definedName>
    <definedName name="MPLI27">Rater!$X$625:$X$628</definedName>
    <definedName name="MPLI28">Rater!$X$630:$X$632</definedName>
    <definedName name="MPLI29">Rater!$X$634:$X$636</definedName>
    <definedName name="MPLI31">Rater!$X$534:$X$536</definedName>
    <definedName name="MPLI32">Rater!$X$547:$X$551</definedName>
    <definedName name="MPLI33">Rater!$X$553:$X$554</definedName>
    <definedName name="MPLsubTot">Rater!$I$616</definedName>
    <definedName name="NAIC">Information!$B$36</definedName>
    <definedName name="NAICDesc">Information!$B$37</definedName>
    <definedName name="NAICS">NAICS!$C$2:$C$2205</definedName>
    <definedName name="NAICS2">'Account Info'!$J$18</definedName>
    <definedName name="NAICSCd">'WINS Coding'!$E$8</definedName>
    <definedName name="NFP">'Account Info'!$AA$9</definedName>
    <definedName name="NJpliga">'WINS Coding'!$AD$41</definedName>
    <definedName name="NmIns">Information!$B$2</definedName>
    <definedName name="NmIns2">'Account Info'!$F$12</definedName>
    <definedName name="NmInsCity">'Account Info'!$F$16</definedName>
    <definedName name="NYFTZcd">'WINS Coding'!$I$13</definedName>
    <definedName name="NYFTZcl">'WINS Coding'!$I$12</definedName>
    <definedName name="OccLmtDO">'WINS Coding'!$V$32</definedName>
    <definedName name="Pal_Workbook_GUID" localSheetId="1" hidden="1">"1QAVLEKRXGCJNLGZKBHB9QEI"</definedName>
    <definedName name="Pal_Workbook_GUID" localSheetId="4" hidden="1">"1QAVLEKRXGCJNLGZKBHB9QEI"</definedName>
    <definedName name="Pal_Workbook_GUID" localSheetId="6" hidden="1">"1QAVLEKRXGCJNLGZKBHB9QEI"</definedName>
    <definedName name="Pal_Workbook_GUID" localSheetId="3" hidden="1">"1QAVLEKRXGCJNLGZKBHB9QEI"</definedName>
    <definedName name="Pal_Workbook_GUID" localSheetId="5" hidden="1">"1QAVLEKRXGCJNLGZKBHB9QEI"</definedName>
    <definedName name="Pal_Workbook_GUID" localSheetId="7" hidden="1">"1QAVLEKRXGCJNLGZKBHB9QEI"</definedName>
    <definedName name="Pal_Workbook_GUID" localSheetId="10" hidden="1">"1QAVLEKRXGCJNLGZKBHB9QEI"</definedName>
    <definedName name="Pal_Workbook_GUID" localSheetId="2" hidden="1">"1QAVLEKRXGCJNLGZKBHB9QEI"</definedName>
    <definedName name="Pal_Workbook_GUID" localSheetId="8" hidden="1">"1QAVLEKRXGCJNLGZKBHB9QEI"</definedName>
    <definedName name="Pal_Workbook_GUID" localSheetId="9" hidden="1">"1QAVLEKRXGCJNLGZKBHB9QEI"</definedName>
    <definedName name="Pal_Workbook_GUID" localSheetId="11" hidden="1">"1QAVLEKRXGCJNLGZKBHB9QEI"</definedName>
    <definedName name="Pal_Workbook_GUID" hidden="1">"E59S8FACK6AHR2MF9C4VRQML"</definedName>
    <definedName name="PayPlan">'Account Info'!$H$9</definedName>
    <definedName name="pol">Information!$B$33</definedName>
    <definedName name="PolNum">Information!$B$33</definedName>
    <definedName name="PolNum2">'Account Info'!$F$5</definedName>
    <definedName name="PolNumWins">'WINS Coding'!$C$7</definedName>
    <definedName name="PolPrem">'WINS Coding'!$C$17</definedName>
    <definedName name="PolRev1">'WINS Coding'!$F$432</definedName>
    <definedName name="PolTot">Rater!$D$5</definedName>
    <definedName name="PremDOL">'WINS Coding'!$AC$32</definedName>
    <definedName name="PrePolNum">'WINS Coding'!$C$6</definedName>
    <definedName name="PrePolNum2">'Account Info'!$H$5</definedName>
    <definedName name="prevpol">Information!$B$34</definedName>
    <definedName name="PRF">Information!#REF!</definedName>
    <definedName name="_xlnm.Print_Area" localSheetId="5">'K&amp;R ILFs'!$A$1:$H$22</definedName>
    <definedName name="_xlnm.Print_Area" localSheetId="7">'MPL and Law ILFs'!$A$1:$N$18</definedName>
    <definedName name="_xlnm.Print_Titles" localSheetId="10">NAICS!$1:$1</definedName>
    <definedName name="_xlnm.Print_Titles" localSheetId="9">Tables!$1:$1</definedName>
    <definedName name="Product" localSheetId="4">'Account Info'!$AB$7:$AB$9</definedName>
    <definedName name="Product" localSheetId="6">'Account Info'!$AB$7:$AB$9</definedName>
    <definedName name="Product" localSheetId="3">'Account Info'!$AB$7:$AB$9</definedName>
    <definedName name="Product" localSheetId="5">'Account Info'!$AB$7:$AB$9</definedName>
    <definedName name="Product" localSheetId="7">'Account Info'!$AB$7:$AB$9</definedName>
    <definedName name="Product" localSheetId="10">'Account Info'!$AB$7:$AB$8</definedName>
    <definedName name="Product" localSheetId="2">'Account Info'!$AB$7:$AB$9</definedName>
    <definedName name="Product" localSheetId="8">'Account Info'!$AB$7:$AB$9</definedName>
    <definedName name="Product" localSheetId="9">'Account Info'!$AB$7:$AB$9</definedName>
    <definedName name="Product">'Account Info'!$AB$7:$AB$9</definedName>
    <definedName name="RetDO">Rater!$D$26</definedName>
    <definedName name="Retention" localSheetId="4">'Crime ILFs'!$B$3:$O$3</definedName>
    <definedName name="Retention" localSheetId="6">'Cyber ILFs'!$B$3:$F$3</definedName>
    <definedName name="Retention" localSheetId="3">'D&amp;O-EPL-Crime-Fidu ILFs'!$B$3:$O$3</definedName>
    <definedName name="Retention" localSheetId="5">'K&amp;R ILFs'!$B$3:$H$3</definedName>
    <definedName name="Retention" localSheetId="7">'MPL and Law ILFs'!$B$3:$N$3</definedName>
    <definedName name="RetroDt">'Account Info'!$L$7</definedName>
    <definedName name="RiskAfterRecalcMacro" hidden="1">""</definedName>
    <definedName name="RiskAfterSimMacro" hidden="1">""</definedName>
    <definedName name="RiskBeforeRecalcMacro" hidden="1">""</definedName>
    <definedName name="RiskBeforeSimMacro" hidden="1">""</definedName>
    <definedName name="RiskCollectDistributionSamples" localSheetId="1" hidden="1">0</definedName>
    <definedName name="RiskCollectDistributionSamples" localSheetId="4" hidden="1">0</definedName>
    <definedName name="RiskCollectDistributionSamples" localSheetId="6" hidden="1">0</definedName>
    <definedName name="RiskCollectDistributionSamples" localSheetId="3" hidden="1">0</definedName>
    <definedName name="RiskCollectDistributionSamples" localSheetId="5" hidden="1">0</definedName>
    <definedName name="RiskCollectDistributionSamples" localSheetId="7" hidden="1">0</definedName>
    <definedName name="RiskCollectDistributionSamples" localSheetId="10" hidden="1">0</definedName>
    <definedName name="RiskCollectDistributionSamples" localSheetId="2" hidden="1">0</definedName>
    <definedName name="RiskCollectDistributionSamples" localSheetId="8" hidden="1">0</definedName>
    <definedName name="RiskCollectDistributionSamples" localSheetId="9" hidden="1">0</definedName>
    <definedName name="RiskCollectDistributionSamples" localSheetId="11" hidden="1">0</definedName>
    <definedName name="RiskCollectDistributionSamples" hidden="1">2</definedName>
    <definedName name="RiskFixedSeed" localSheetId="1" hidden="1">12345</definedName>
    <definedName name="RiskFixedSeed" localSheetId="4" hidden="1">12345</definedName>
    <definedName name="RiskFixedSeed" localSheetId="6" hidden="1">12345</definedName>
    <definedName name="RiskFixedSeed" localSheetId="3" hidden="1">12345</definedName>
    <definedName name="RiskFixedSeed" localSheetId="5" hidden="1">12345</definedName>
    <definedName name="RiskFixedSeed" localSheetId="7" hidden="1">12345</definedName>
    <definedName name="RiskFixedSeed" localSheetId="10" hidden="1">12345</definedName>
    <definedName name="RiskFixedSeed" localSheetId="2" hidden="1">12345</definedName>
    <definedName name="RiskFixedSeed" localSheetId="8" hidden="1">12345</definedName>
    <definedName name="RiskFixedSeed" localSheetId="9" hidden="1">12345</definedName>
    <definedName name="RiskFixedSeed" localSheetId="11" hidden="1">12345</definedName>
    <definedName name="RiskFixedSeed" hidden="1">1</definedName>
    <definedName name="RiskHasSettings" localSheetId="1" hidden="1">5</definedName>
    <definedName name="RiskHasSettings" localSheetId="4" hidden="1">5</definedName>
    <definedName name="RiskHasSettings" localSheetId="6" hidden="1">5</definedName>
    <definedName name="RiskHasSettings" localSheetId="3" hidden="1">5</definedName>
    <definedName name="RiskHasSettings" localSheetId="5" hidden="1">5</definedName>
    <definedName name="RiskHasSettings" localSheetId="7" hidden="1">5</definedName>
    <definedName name="RiskHasSettings" localSheetId="10" hidden="1">5</definedName>
    <definedName name="RiskHasSettings" localSheetId="2" hidden="1">5</definedName>
    <definedName name="RiskHasSettings" localSheetId="8" hidden="1">5</definedName>
    <definedName name="RiskHasSettings" localSheetId="9" hidden="1">5</definedName>
    <definedName name="RiskHasSettings" localSheetId="11" hidden="1">5</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localSheetId="1" hidden="1">10000</definedName>
    <definedName name="RiskNumIterations" localSheetId="4" hidden="1">10000</definedName>
    <definedName name="RiskNumIterations" localSheetId="6" hidden="1">10000</definedName>
    <definedName name="RiskNumIterations" localSheetId="3" hidden="1">10000</definedName>
    <definedName name="RiskNumIterations" localSheetId="5" hidden="1">10000</definedName>
    <definedName name="RiskNumIterations" localSheetId="7" hidden="1">10000</definedName>
    <definedName name="RiskNumIterations" localSheetId="10" hidden="1">10000</definedName>
    <definedName name="RiskNumIterations" localSheetId="2" hidden="1">10000</definedName>
    <definedName name="RiskNumIterations" localSheetId="8" hidden="1">10000</definedName>
    <definedName name="RiskNumIterations" localSheetId="9" hidden="1">10000</definedName>
    <definedName name="RiskNumIterations" localSheetId="11" hidden="1">10000</definedName>
    <definedName name="RiskNumIterations" hidden="1">100</definedName>
    <definedName name="RiskNumSimulations" hidden="1">1</definedName>
    <definedName name="RiskPauseOnError" hidden="1">FALSE</definedName>
    <definedName name="RiskRealTimeResults">FALSE</definedName>
    <definedName name="RiskResultsUpdateFreq">100</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localSheetId="1" hidden="1">2</definedName>
    <definedName name="RiskSamplingType" localSheetId="4" hidden="1">2</definedName>
    <definedName name="RiskSamplingType" localSheetId="6" hidden="1">2</definedName>
    <definedName name="RiskSamplingType" localSheetId="3" hidden="1">2</definedName>
    <definedName name="RiskSamplingType" localSheetId="5" hidden="1">2</definedName>
    <definedName name="RiskSamplingType" localSheetId="7" hidden="1">2</definedName>
    <definedName name="RiskSamplingType" localSheetId="10" hidden="1">2</definedName>
    <definedName name="RiskSamplingType" localSheetId="2" hidden="1">2</definedName>
    <definedName name="RiskSamplingType" localSheetId="8" hidden="1">2</definedName>
    <definedName name="RiskSamplingType" localSheetId="9" hidden="1">2</definedName>
    <definedName name="RiskSamplingType" localSheetId="11" hidden="1">2</definedName>
    <definedName name="RiskSamplingType" hidden="1">3</definedName>
    <definedName name="RiskStandardRecalc" localSheetId="1" hidden="1">1</definedName>
    <definedName name="RiskStandardRecalc" localSheetId="4" hidden="1">1</definedName>
    <definedName name="RiskStandardRecalc" localSheetId="6" hidden="1">1</definedName>
    <definedName name="RiskStandardRecalc" localSheetId="3" hidden="1">1</definedName>
    <definedName name="RiskStandardRecalc" localSheetId="5" hidden="1">1</definedName>
    <definedName name="RiskStandardRecalc" localSheetId="7" hidden="1">1</definedName>
    <definedName name="RiskStandardRecalc" localSheetId="10" hidden="1">1</definedName>
    <definedName name="RiskStandardRecalc" localSheetId="2" hidden="1">1</definedName>
    <definedName name="RiskStandardRecalc" localSheetId="8" hidden="1">1</definedName>
    <definedName name="RiskStandardRecalc" localSheetId="9" hidden="1">1</definedName>
    <definedName name="RiskStandardRecalc" localSheetId="11" hidden="1">1</definedName>
    <definedName name="RiskStandardRecalc" hidden="1">2</definedName>
    <definedName name="RiskStatFunctionsUpdateFreq">1</definedName>
    <definedName name="RiskUpdateDisplay" localSheetId="1" hidden="1">TRUE</definedName>
    <definedName name="RiskUpdateDisplay" localSheetId="4" hidden="1">TRUE</definedName>
    <definedName name="RiskUpdateDisplay" localSheetId="6" hidden="1">TRUE</definedName>
    <definedName name="RiskUpdateDisplay" localSheetId="3" hidden="1">TRUE</definedName>
    <definedName name="RiskUpdateDisplay" localSheetId="5" hidden="1">TRUE</definedName>
    <definedName name="RiskUpdateDisplay" localSheetId="7" hidden="1">TRUE</definedName>
    <definedName name="RiskUpdateDisplay" localSheetId="10" hidden="1">TRUE</definedName>
    <definedName name="RiskUpdateDisplay" localSheetId="2" hidden="1">TRUE</definedName>
    <definedName name="RiskUpdateDisplay" localSheetId="8" hidden="1">TRUE</definedName>
    <definedName name="RiskUpdateDisplay" localSheetId="9" hidden="1">TRUE</definedName>
    <definedName name="RiskUpdateDisplay" localSheetId="11" hidden="1">TRUE</definedName>
    <definedName name="RiskUpdateDisplay" hidden="1">FALSE</definedName>
    <definedName name="RiskUpdateStatFunctions">TRUE</definedName>
    <definedName name="RiskUseDifferentSeedForEachSim" hidden="1">FALSE</definedName>
    <definedName name="RiskUseFixedSeed" localSheetId="1" hidden="1">TRUE</definedName>
    <definedName name="RiskUseFixedSeed" localSheetId="4" hidden="1">TRUE</definedName>
    <definedName name="RiskUseFixedSeed" localSheetId="6" hidden="1">TRUE</definedName>
    <definedName name="RiskUseFixedSeed" localSheetId="3" hidden="1">TRUE</definedName>
    <definedName name="RiskUseFixedSeed" localSheetId="5" hidden="1">TRUE</definedName>
    <definedName name="RiskUseFixedSeed" localSheetId="7" hidden="1">TRUE</definedName>
    <definedName name="RiskUseFixedSeed" localSheetId="10" hidden="1">TRUE</definedName>
    <definedName name="RiskUseFixedSeed" localSheetId="2" hidden="1">TRUE</definedName>
    <definedName name="RiskUseFixedSeed" localSheetId="8" hidden="1">TRUE</definedName>
    <definedName name="RiskUseFixedSeed" localSheetId="9" hidden="1">TRUE</definedName>
    <definedName name="RiskUseFixedSeed" localSheetId="11" hidden="1">TRUE</definedName>
    <definedName name="RiskUseFixedSeed" hidden="1">FALSE</definedName>
    <definedName name="RiskUseMultipleCPUs" hidden="1">TRUE</definedName>
    <definedName name="RtStCd">'WINS Coding'!$D$30</definedName>
    <definedName name="SDEerrLmt">'WINS Coding'!$G$29</definedName>
    <definedName name="SIC">Information!$B$38</definedName>
    <definedName name="SICCd">'WINS Coding'!$E$9</definedName>
    <definedName name="SICDESC">Information!$B$39</definedName>
    <definedName name="SocialTxt">Rater!$E$373</definedName>
    <definedName name="st">Information!$B$6</definedName>
    <definedName name="State">'Account Info'!$AB$4:$AB$5</definedName>
    <definedName name="States" localSheetId="10">States!$A$2:$A$60</definedName>
    <definedName name="States" localSheetId="9">States!$A$2:$A$60</definedName>
    <definedName name="States">States!$A$2:$A$61</definedName>
    <definedName name="sub">Information!$B$32</definedName>
    <definedName name="Substat">Information!$B$45</definedName>
    <definedName name="Trans">'WINS Coding'!$E$11</definedName>
    <definedName name="transtype">Information!$B$31</definedName>
    <definedName name="Type" localSheetId="1">'Account Info'!$J$5</definedName>
    <definedName name="ua">Information!$B$29</definedName>
    <definedName name="Underwriter">'WINS Coding'!$E$17</definedName>
    <definedName name="uw">Information!$B$24</definedName>
    <definedName name="uwadd">Information!$B$25</definedName>
    <definedName name="uwemail">Information!$B$27</definedName>
    <definedName name="uwph">Information!$B$26</definedName>
    <definedName name="uwtitle">Information!$B$28</definedName>
    <definedName name="WaitPeriod">Rater!$AT$408:$AT$417</definedName>
    <definedName name="WinsAudit">'WINS Coding'!$E$13</definedName>
    <definedName name="WinsAuditFq">'WINS Coding'!$E$14</definedName>
    <definedName name="WINSBusSeg">'WINS Coding'!$E$7</definedName>
    <definedName name="WINScountry">'WINS Coding'!$C$18</definedName>
    <definedName name="WinsCy">'WINS Coding'!$AG$94</definedName>
    <definedName name="WinsFEIN">'WINS Coding'!$E$16</definedName>
    <definedName name="WinsInsType">'WINS Coding'!$C$16</definedName>
    <definedName name="WinsPayPlan">'WINS Coding'!$I$7</definedName>
    <definedName name="WinsRetroDt">'WINS Coding'!$I$10</definedName>
    <definedName name="WVsur">'WINS Coding'!$AD$42</definedName>
    <definedName name="YN">Rater!$X$124:$X$125</definedName>
    <definedName name="zip">Information!$B$7</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446" i="12" l="1"/>
  <c r="E446" i="12"/>
  <c r="AH288" i="4"/>
  <c r="AD257" i="4"/>
  <c r="AH233" i="4"/>
  <c r="AB230" i="4"/>
  <c r="AB205" i="4"/>
  <c r="Z177" i="4"/>
  <c r="X149" i="4"/>
  <c r="AC36" i="4"/>
  <c r="AD36" i="4"/>
  <c r="Y30" i="4"/>
  <c r="A506" i="12" l="1"/>
  <c r="A505" i="12"/>
  <c r="AA10" i="10" l="1"/>
  <c r="AA9" i="10"/>
  <c r="D48" i="13" s="1"/>
  <c r="A227" i="12" l="1"/>
  <c r="A229" i="12"/>
  <c r="Y15" i="12"/>
  <c r="AA14" i="12" s="1"/>
  <c r="Y23" i="12"/>
  <c r="AA22" i="12" s="1"/>
  <c r="AN14" i="12"/>
  <c r="AP13" i="12" s="1"/>
  <c r="AN22" i="12"/>
  <c r="AP21" i="12" s="1"/>
  <c r="AN30" i="12"/>
  <c r="AP29" i="12" s="1"/>
  <c r="AV13" i="12"/>
  <c r="AX12" i="12" s="1"/>
  <c r="AV17" i="12"/>
  <c r="AX16" i="12" s="1"/>
  <c r="AV25" i="12"/>
  <c r="AX24" i="12" s="1"/>
  <c r="AV29" i="12"/>
  <c r="AX28" i="12" s="1"/>
  <c r="BD12" i="12"/>
  <c r="BF11" i="12" s="1"/>
  <c r="BD16" i="12"/>
  <c r="BF15" i="12" s="1"/>
  <c r="BD20" i="12"/>
  <c r="BF19" i="12" s="1"/>
  <c r="BD24" i="12"/>
  <c r="BF23" i="12" s="1"/>
  <c r="BD28" i="12"/>
  <c r="BF27" i="12" s="1"/>
  <c r="D75" i="12"/>
  <c r="D230" i="12"/>
  <c r="E4" i="13"/>
  <c r="E4" i="14" s="1"/>
  <c r="M4" i="13"/>
  <c r="M4" i="14" s="1"/>
  <c r="G5" i="13"/>
  <c r="G5" i="14" s="1"/>
  <c r="O5" i="13"/>
  <c r="O5" i="14" s="1"/>
  <c r="I6" i="13"/>
  <c r="I6" i="14" s="1"/>
  <c r="E7" i="13"/>
  <c r="E7" i="14" s="1"/>
  <c r="B8" i="13"/>
  <c r="B8" i="14" s="1"/>
  <c r="L8" i="13"/>
  <c r="L8" i="14" s="1"/>
  <c r="I9" i="13"/>
  <c r="I9" i="14" s="1"/>
  <c r="F10" i="13"/>
  <c r="F10" i="14" s="1"/>
  <c r="B11" i="13"/>
  <c r="B11" i="14" s="1"/>
  <c r="B12" i="13"/>
  <c r="B12" i="14" s="1"/>
  <c r="H15" i="13"/>
  <c r="H15" i="14" s="1"/>
  <c r="L17" i="13"/>
  <c r="L17" i="14" s="1"/>
  <c r="F35" i="13"/>
  <c r="N47" i="13"/>
  <c r="D233" i="12"/>
  <c r="B4" i="13"/>
  <c r="B4" i="14" s="1"/>
  <c r="F4" i="13"/>
  <c r="F4" i="14" s="1"/>
  <c r="J4" i="13"/>
  <c r="J4" i="14" s="1"/>
  <c r="N4" i="13"/>
  <c r="N4" i="14" s="1"/>
  <c r="D5" i="13"/>
  <c r="D5" i="14" s="1"/>
  <c r="H5" i="13"/>
  <c r="H5" i="14" s="1"/>
  <c r="L5" i="13"/>
  <c r="L5" i="14" s="1"/>
  <c r="B6" i="13"/>
  <c r="B6" i="14" s="1"/>
  <c r="F6" i="13"/>
  <c r="F6" i="14" s="1"/>
  <c r="J6" i="13"/>
  <c r="J6" i="14" s="1"/>
  <c r="O6" i="13"/>
  <c r="O6" i="14" s="1"/>
  <c r="F7" i="13"/>
  <c r="F7" i="14" s="1"/>
  <c r="L7" i="13"/>
  <c r="L7" i="14" s="1"/>
  <c r="C8" i="13"/>
  <c r="C8" i="14" s="1"/>
  <c r="H8" i="13"/>
  <c r="H8" i="14" s="1"/>
  <c r="N8" i="13"/>
  <c r="N8" i="14" s="1"/>
  <c r="E9" i="13"/>
  <c r="E9" i="14" s="1"/>
  <c r="J9" i="13"/>
  <c r="J9" i="14" s="1"/>
  <c r="B10" i="13"/>
  <c r="B10" i="14" s="1"/>
  <c r="G10" i="13"/>
  <c r="G10" i="14" s="1"/>
  <c r="L10" i="13"/>
  <c r="L10" i="14" s="1"/>
  <c r="D11" i="13"/>
  <c r="D11" i="14" s="1"/>
  <c r="I11" i="13"/>
  <c r="I11" i="14" s="1"/>
  <c r="F12" i="13"/>
  <c r="F12" i="14" s="1"/>
  <c r="H13" i="13"/>
  <c r="H13" i="14" s="1"/>
  <c r="J14" i="13"/>
  <c r="J14" i="14" s="1"/>
  <c r="L15" i="13"/>
  <c r="L15" i="14" s="1"/>
  <c r="N16" i="13"/>
  <c r="N16" i="14" s="1"/>
  <c r="B18" i="13"/>
  <c r="B18" i="14" s="1"/>
  <c r="D32" i="13"/>
  <c r="F33" i="13"/>
  <c r="H34" i="13"/>
  <c r="J35" i="13"/>
  <c r="L36" i="13"/>
  <c r="N37" i="13"/>
  <c r="B39" i="13"/>
  <c r="D40" i="13"/>
  <c r="F41" i="13"/>
  <c r="H42" i="13"/>
  <c r="J43" i="13"/>
  <c r="L44" i="13"/>
  <c r="N45" i="13"/>
  <c r="B47" i="13"/>
  <c r="O48" i="13"/>
  <c r="K48" i="13"/>
  <c r="G48" i="13"/>
  <c r="C48" i="13"/>
  <c r="M47" i="13"/>
  <c r="I47" i="13"/>
  <c r="E47" i="13"/>
  <c r="O46" i="13"/>
  <c r="K46" i="13"/>
  <c r="G46" i="13"/>
  <c r="C46" i="13"/>
  <c r="M45" i="13"/>
  <c r="I45" i="13"/>
  <c r="E45" i="13"/>
  <c r="O44" i="13"/>
  <c r="K44" i="13"/>
  <c r="G44" i="13"/>
  <c r="C44" i="13"/>
  <c r="M43" i="13"/>
  <c r="I43" i="13"/>
  <c r="E43" i="13"/>
  <c r="O42" i="13"/>
  <c r="K42" i="13"/>
  <c r="G42" i="13"/>
  <c r="C42" i="13"/>
  <c r="M41" i="13"/>
  <c r="I41" i="13"/>
  <c r="E41" i="13"/>
  <c r="O40" i="13"/>
  <c r="K40" i="13"/>
  <c r="G40" i="13"/>
  <c r="C40" i="13"/>
  <c r="M39" i="13"/>
  <c r="I39" i="13"/>
  <c r="E39" i="13"/>
  <c r="O38" i="13"/>
  <c r="K38" i="13"/>
  <c r="G38" i="13"/>
  <c r="C38" i="13"/>
  <c r="M37" i="13"/>
  <c r="I37" i="13"/>
  <c r="E37" i="13"/>
  <c r="O36" i="13"/>
  <c r="K36" i="13"/>
  <c r="G36" i="13"/>
  <c r="C36" i="13"/>
  <c r="M35" i="13"/>
  <c r="I35" i="13"/>
  <c r="E35" i="13"/>
  <c r="O34" i="13"/>
  <c r="K34" i="13"/>
  <c r="G34" i="13"/>
  <c r="C34" i="13"/>
  <c r="M33" i="13"/>
  <c r="I33" i="13"/>
  <c r="E33" i="13"/>
  <c r="O32" i="13"/>
  <c r="K32" i="13"/>
  <c r="G32" i="13"/>
  <c r="C32" i="13"/>
  <c r="M18" i="13"/>
  <c r="M18" i="14" s="1"/>
  <c r="I18" i="13"/>
  <c r="I18" i="14" s="1"/>
  <c r="E18" i="13"/>
  <c r="E18" i="14" s="1"/>
  <c r="O17" i="13"/>
  <c r="O17" i="14" s="1"/>
  <c r="K17" i="13"/>
  <c r="K17" i="14" s="1"/>
  <c r="G17" i="13"/>
  <c r="G17" i="14" s="1"/>
  <c r="C17" i="13"/>
  <c r="C17" i="14" s="1"/>
  <c r="M16" i="13"/>
  <c r="M16" i="14" s="1"/>
  <c r="I16" i="13"/>
  <c r="I16" i="14" s="1"/>
  <c r="E16" i="13"/>
  <c r="E16" i="14" s="1"/>
  <c r="O15" i="13"/>
  <c r="O15" i="14" s="1"/>
  <c r="K15" i="13"/>
  <c r="K15" i="14" s="1"/>
  <c r="G15" i="13"/>
  <c r="G15" i="14" s="1"/>
  <c r="C15" i="13"/>
  <c r="C15" i="14" s="1"/>
  <c r="M14" i="13"/>
  <c r="M14" i="14" s="1"/>
  <c r="I14" i="13"/>
  <c r="I14" i="14" s="1"/>
  <c r="E14" i="13"/>
  <c r="E14" i="14" s="1"/>
  <c r="O13" i="13"/>
  <c r="O13" i="14" s="1"/>
  <c r="K13" i="13"/>
  <c r="K13" i="14" s="1"/>
  <c r="G13" i="13"/>
  <c r="G13" i="14" s="1"/>
  <c r="C13" i="13"/>
  <c r="C13" i="14" s="1"/>
  <c r="M12" i="13"/>
  <c r="M12" i="14" s="1"/>
  <c r="I12" i="13"/>
  <c r="I12" i="14" s="1"/>
  <c r="E12" i="13"/>
  <c r="E12" i="14" s="1"/>
  <c r="O11" i="13"/>
  <c r="O11" i="14" s="1"/>
  <c r="K11" i="13"/>
  <c r="K11" i="14" s="1"/>
  <c r="G11" i="13"/>
  <c r="G11" i="14" s="1"/>
  <c r="C11" i="13"/>
  <c r="C11" i="14" s="1"/>
  <c r="M10" i="13"/>
  <c r="M10" i="14" s="1"/>
  <c r="I10" i="13"/>
  <c r="I10" i="14" s="1"/>
  <c r="E10" i="13"/>
  <c r="E10" i="14" s="1"/>
  <c r="O9" i="13"/>
  <c r="O9" i="14" s="1"/>
  <c r="K9" i="13"/>
  <c r="K9" i="14" s="1"/>
  <c r="G9" i="13"/>
  <c r="G9" i="14" s="1"/>
  <c r="C9" i="13"/>
  <c r="C9" i="14" s="1"/>
  <c r="M8" i="13"/>
  <c r="M8" i="14" s="1"/>
  <c r="I8" i="13"/>
  <c r="I8" i="14" s="1"/>
  <c r="E8" i="13"/>
  <c r="E8" i="14" s="1"/>
  <c r="O7" i="13"/>
  <c r="O7" i="14" s="1"/>
  <c r="K7" i="13"/>
  <c r="K7" i="14" s="1"/>
  <c r="G7" i="13"/>
  <c r="G7" i="14" s="1"/>
  <c r="C7" i="13"/>
  <c r="C7" i="14" s="1"/>
  <c r="M6" i="13"/>
  <c r="M6" i="14" s="1"/>
  <c r="N48" i="13"/>
  <c r="J48" i="13"/>
  <c r="F48" i="13"/>
  <c r="B48" i="13"/>
  <c r="L47" i="13"/>
  <c r="H47" i="13"/>
  <c r="D47" i="13"/>
  <c r="N46" i="13"/>
  <c r="J46" i="13"/>
  <c r="F46" i="13"/>
  <c r="B46" i="13"/>
  <c r="L45" i="13"/>
  <c r="H45" i="13"/>
  <c r="D45" i="13"/>
  <c r="N44" i="13"/>
  <c r="J44" i="13"/>
  <c r="F44" i="13"/>
  <c r="B44" i="13"/>
  <c r="L43" i="13"/>
  <c r="H43" i="13"/>
  <c r="D43" i="13"/>
  <c r="N42" i="13"/>
  <c r="J42" i="13"/>
  <c r="F42" i="13"/>
  <c r="B42" i="13"/>
  <c r="L41" i="13"/>
  <c r="H41" i="13"/>
  <c r="D41" i="13"/>
  <c r="N40" i="13"/>
  <c r="J40" i="13"/>
  <c r="F40" i="13"/>
  <c r="B40" i="13"/>
  <c r="L39" i="13"/>
  <c r="H39" i="13"/>
  <c r="D39" i="13"/>
  <c r="N38" i="13"/>
  <c r="J38" i="13"/>
  <c r="F38" i="13"/>
  <c r="B38" i="13"/>
  <c r="L37" i="13"/>
  <c r="H37" i="13"/>
  <c r="D37" i="13"/>
  <c r="N36" i="13"/>
  <c r="J36" i="13"/>
  <c r="F36" i="13"/>
  <c r="B36" i="13"/>
  <c r="L35" i="13"/>
  <c r="H35" i="13"/>
  <c r="D35" i="13"/>
  <c r="N34" i="13"/>
  <c r="J34" i="13"/>
  <c r="F34" i="13"/>
  <c r="B34" i="13"/>
  <c r="L33" i="13"/>
  <c r="H33" i="13"/>
  <c r="D33" i="13"/>
  <c r="N32" i="13"/>
  <c r="J32" i="13"/>
  <c r="F32" i="13"/>
  <c r="B32" i="13"/>
  <c r="L18" i="13"/>
  <c r="L18" i="14" s="1"/>
  <c r="H18" i="13"/>
  <c r="H18" i="14" s="1"/>
  <c r="D18" i="13"/>
  <c r="D18" i="14" s="1"/>
  <c r="N17" i="13"/>
  <c r="N17" i="14" s="1"/>
  <c r="J17" i="13"/>
  <c r="J17" i="14" s="1"/>
  <c r="F17" i="13"/>
  <c r="F17" i="14" s="1"/>
  <c r="B17" i="13"/>
  <c r="B17" i="14" s="1"/>
  <c r="L16" i="13"/>
  <c r="L16" i="14" s="1"/>
  <c r="H16" i="13"/>
  <c r="H16" i="14" s="1"/>
  <c r="D16" i="13"/>
  <c r="D16" i="14" s="1"/>
  <c r="N15" i="13"/>
  <c r="N15" i="14" s="1"/>
  <c r="J15" i="13"/>
  <c r="J15" i="14" s="1"/>
  <c r="F15" i="13"/>
  <c r="F15" i="14" s="1"/>
  <c r="B15" i="13"/>
  <c r="B15" i="14" s="1"/>
  <c r="L14" i="13"/>
  <c r="L14" i="14" s="1"/>
  <c r="H14" i="13"/>
  <c r="H14" i="14" s="1"/>
  <c r="D14" i="13"/>
  <c r="D14" i="14" s="1"/>
  <c r="N13" i="13"/>
  <c r="N13" i="14" s="1"/>
  <c r="J13" i="13"/>
  <c r="J13" i="14" s="1"/>
  <c r="F13" i="13"/>
  <c r="F13" i="14" s="1"/>
  <c r="B13" i="13"/>
  <c r="B13" i="14" s="1"/>
  <c r="L12" i="13"/>
  <c r="L12" i="14" s="1"/>
  <c r="H12" i="13"/>
  <c r="H12" i="14" s="1"/>
  <c r="D12" i="13"/>
  <c r="D12" i="14" s="1"/>
  <c r="N11" i="13"/>
  <c r="N11" i="14" s="1"/>
  <c r="M48" i="13"/>
  <c r="I48" i="13"/>
  <c r="E48" i="13"/>
  <c r="O47" i="13"/>
  <c r="K47" i="13"/>
  <c r="G47" i="13"/>
  <c r="C47" i="13"/>
  <c r="M46" i="13"/>
  <c r="I46" i="13"/>
  <c r="E46" i="13"/>
  <c r="O45" i="13"/>
  <c r="K45" i="13"/>
  <c r="G45" i="13"/>
  <c r="C45" i="13"/>
  <c r="M44" i="13"/>
  <c r="I44" i="13"/>
  <c r="E44" i="13"/>
  <c r="O43" i="13"/>
  <c r="K43" i="13"/>
  <c r="G43" i="13"/>
  <c r="C43" i="13"/>
  <c r="M42" i="13"/>
  <c r="I42" i="13"/>
  <c r="E42" i="13"/>
  <c r="O41" i="13"/>
  <c r="K41" i="13"/>
  <c r="G41" i="13"/>
  <c r="C41" i="13"/>
  <c r="M40" i="13"/>
  <c r="I40" i="13"/>
  <c r="E40" i="13"/>
  <c r="O39" i="13"/>
  <c r="K39" i="13"/>
  <c r="G39" i="13"/>
  <c r="C39" i="13"/>
  <c r="M38" i="13"/>
  <c r="I38" i="13"/>
  <c r="E38" i="13"/>
  <c r="O37" i="13"/>
  <c r="K37" i="13"/>
  <c r="G37" i="13"/>
  <c r="C37" i="13"/>
  <c r="M36" i="13"/>
  <c r="I36" i="13"/>
  <c r="E36" i="13"/>
  <c r="O35" i="13"/>
  <c r="K35" i="13"/>
  <c r="G35" i="13"/>
  <c r="C35" i="13"/>
  <c r="M34" i="13"/>
  <c r="I34" i="13"/>
  <c r="E34" i="13"/>
  <c r="O33" i="13"/>
  <c r="K33" i="13"/>
  <c r="G33" i="13"/>
  <c r="C33" i="13"/>
  <c r="M32" i="13"/>
  <c r="I32" i="13"/>
  <c r="E32" i="13"/>
  <c r="O18" i="13"/>
  <c r="O18" i="14" s="1"/>
  <c r="K18" i="13"/>
  <c r="K18" i="14" s="1"/>
  <c r="G18" i="13"/>
  <c r="G18" i="14" s="1"/>
  <c r="C18" i="13"/>
  <c r="C18" i="14" s="1"/>
  <c r="M17" i="13"/>
  <c r="M17" i="14" s="1"/>
  <c r="I17" i="13"/>
  <c r="I17" i="14" s="1"/>
  <c r="E17" i="13"/>
  <c r="E17" i="14" s="1"/>
  <c r="O16" i="13"/>
  <c r="O16" i="14" s="1"/>
  <c r="K16" i="13"/>
  <c r="K16" i="14" s="1"/>
  <c r="G16" i="13"/>
  <c r="G16" i="14" s="1"/>
  <c r="C16" i="13"/>
  <c r="C16" i="14" s="1"/>
  <c r="M15" i="13"/>
  <c r="M15" i="14" s="1"/>
  <c r="I15" i="13"/>
  <c r="I15" i="14" s="1"/>
  <c r="E15" i="13"/>
  <c r="E15" i="14" s="1"/>
  <c r="O14" i="13"/>
  <c r="O14" i="14" s="1"/>
  <c r="K14" i="13"/>
  <c r="K14" i="14" s="1"/>
  <c r="G14" i="13"/>
  <c r="G14" i="14" s="1"/>
  <c r="C14" i="13"/>
  <c r="C14" i="14" s="1"/>
  <c r="M13" i="13"/>
  <c r="M13" i="14" s="1"/>
  <c r="I13" i="13"/>
  <c r="I13" i="14" s="1"/>
  <c r="E13" i="13"/>
  <c r="E13" i="14" s="1"/>
  <c r="O12" i="13"/>
  <c r="O12" i="14" s="1"/>
  <c r="K12" i="13"/>
  <c r="K12" i="14" s="1"/>
  <c r="G12" i="13"/>
  <c r="G12" i="14" s="1"/>
  <c r="C12" i="13"/>
  <c r="C12" i="14" s="1"/>
  <c r="M11" i="13"/>
  <c r="M11" i="14" s="1"/>
  <c r="Y10" i="12"/>
  <c r="AA9" i="12" s="1"/>
  <c r="Y14" i="12"/>
  <c r="AA13" i="12" s="1"/>
  <c r="Y18" i="12"/>
  <c r="AA17" i="12" s="1"/>
  <c r="Y22" i="12"/>
  <c r="AA21" i="12" s="1"/>
  <c r="AN9" i="12"/>
  <c r="AN13" i="12"/>
  <c r="AP12" i="12" s="1"/>
  <c r="AN17" i="12"/>
  <c r="AP16" i="12" s="1"/>
  <c r="AN21" i="12"/>
  <c r="AP20" i="12" s="1"/>
  <c r="AN25" i="12"/>
  <c r="AP24" i="12" s="1"/>
  <c r="AN29" i="12"/>
  <c r="AP28" i="12" s="1"/>
  <c r="AV12" i="12"/>
  <c r="AX11" i="12" s="1"/>
  <c r="AV16" i="12"/>
  <c r="AX15" i="12" s="1"/>
  <c r="AV20" i="12"/>
  <c r="AX19" i="12" s="1"/>
  <c r="AV24" i="12"/>
  <c r="AX23" i="12" s="1"/>
  <c r="AV28" i="12"/>
  <c r="AX27" i="12" s="1"/>
  <c r="BD11" i="12"/>
  <c r="BF10" i="12" s="1"/>
  <c r="BD15" i="12"/>
  <c r="BF14" i="12" s="1"/>
  <c r="BD19" i="12"/>
  <c r="BF18" i="12" s="1"/>
  <c r="BD23" i="12"/>
  <c r="BF22" i="12" s="1"/>
  <c r="BD27" i="12"/>
  <c r="BF26" i="12" s="1"/>
  <c r="A66" i="12"/>
  <c r="D72" i="12"/>
  <c r="D84" i="12"/>
  <c r="Y11" i="12"/>
  <c r="AA10" i="12" s="1"/>
  <c r="Y19" i="12"/>
  <c r="AA18" i="12" s="1"/>
  <c r="AN10" i="12"/>
  <c r="AP9" i="12" s="1"/>
  <c r="AN18" i="12"/>
  <c r="AP17" i="12" s="1"/>
  <c r="AN26" i="12"/>
  <c r="AP25" i="12" s="1"/>
  <c r="AV9" i="12"/>
  <c r="AV21" i="12"/>
  <c r="AX20" i="12" s="1"/>
  <c r="A67" i="12"/>
  <c r="D87" i="12"/>
  <c r="D242" i="12"/>
  <c r="I4" i="13"/>
  <c r="I4" i="14" s="1"/>
  <c r="C5" i="13"/>
  <c r="C5" i="14" s="1"/>
  <c r="K5" i="13"/>
  <c r="K5" i="14" s="1"/>
  <c r="E6" i="13"/>
  <c r="E6" i="14" s="1"/>
  <c r="N6" i="13"/>
  <c r="N6" i="14" s="1"/>
  <c r="J7" i="13"/>
  <c r="J7" i="14" s="1"/>
  <c r="G8" i="13"/>
  <c r="G8" i="14" s="1"/>
  <c r="D9" i="13"/>
  <c r="D9" i="14" s="1"/>
  <c r="N9" i="13"/>
  <c r="N9" i="14" s="1"/>
  <c r="K10" i="13"/>
  <c r="K10" i="14" s="1"/>
  <c r="H11" i="13"/>
  <c r="H11" i="14" s="1"/>
  <c r="D13" i="13"/>
  <c r="D13" i="14" s="1"/>
  <c r="F14" i="13"/>
  <c r="F14" i="14" s="1"/>
  <c r="J16" i="13"/>
  <c r="J16" i="14" s="1"/>
  <c r="N18" i="13"/>
  <c r="N18" i="14" s="1"/>
  <c r="B33" i="13"/>
  <c r="D34" i="13"/>
  <c r="H36" i="13"/>
  <c r="J37" i="13"/>
  <c r="L38" i="13"/>
  <c r="N39" i="13"/>
  <c r="B41" i="13"/>
  <c r="D42" i="13"/>
  <c r="F43" i="13"/>
  <c r="H44" i="13"/>
  <c r="J45" i="13"/>
  <c r="L46" i="13"/>
  <c r="Y8" i="12"/>
  <c r="Y12" i="12"/>
  <c r="AA11" i="12" s="1"/>
  <c r="Y16" i="12"/>
  <c r="AA15" i="12" s="1"/>
  <c r="Y20" i="12"/>
  <c r="AA19" i="12" s="1"/>
  <c r="Y24" i="12"/>
  <c r="AA23" i="12" s="1"/>
  <c r="AN11" i="12"/>
  <c r="AP10" i="12" s="1"/>
  <c r="AN15" i="12"/>
  <c r="AP14" i="12" s="1"/>
  <c r="AN19" i="12"/>
  <c r="AP18" i="12" s="1"/>
  <c r="AN23" i="12"/>
  <c r="AP22" i="12" s="1"/>
  <c r="AN27" i="12"/>
  <c r="AP26" i="12" s="1"/>
  <c r="AV10" i="12"/>
  <c r="AX9" i="12" s="1"/>
  <c r="AV14" i="12"/>
  <c r="AX13" i="12" s="1"/>
  <c r="AV18" i="12"/>
  <c r="AX17" i="12" s="1"/>
  <c r="AV22" i="12"/>
  <c r="AX21" i="12" s="1"/>
  <c r="AV26" i="12"/>
  <c r="AX25" i="12" s="1"/>
  <c r="AV30" i="12"/>
  <c r="AX29" i="12" s="1"/>
  <c r="BD9" i="12"/>
  <c r="BD13" i="12"/>
  <c r="BF12" i="12" s="1"/>
  <c r="BD17" i="12"/>
  <c r="BF16" i="12" s="1"/>
  <c r="BD21" i="12"/>
  <c r="BF20" i="12" s="1"/>
  <c r="BD25" i="12"/>
  <c r="BF24" i="12" s="1"/>
  <c r="BD29" i="12"/>
  <c r="BF28" i="12" s="1"/>
  <c r="A68" i="12"/>
  <c r="D78" i="12"/>
  <c r="Y9" i="12"/>
  <c r="AA8" i="12" s="1"/>
  <c r="Y13" i="12"/>
  <c r="AA12" i="12" s="1"/>
  <c r="Y17" i="12"/>
  <c r="AA16" i="12" s="1"/>
  <c r="Y21" i="12"/>
  <c r="AA20" i="12" s="1"/>
  <c r="Y25" i="12"/>
  <c r="AA24" i="12" s="1"/>
  <c r="AN12" i="12"/>
  <c r="AP11" i="12" s="1"/>
  <c r="AN16" i="12"/>
  <c r="AP15" i="12" s="1"/>
  <c r="AN20" i="12"/>
  <c r="AP19" i="12" s="1"/>
  <c r="AN24" i="12"/>
  <c r="AP23" i="12" s="1"/>
  <c r="AN28" i="12"/>
  <c r="AP27" i="12" s="1"/>
  <c r="AV11" i="12"/>
  <c r="AX10" i="12" s="1"/>
  <c r="AV15" i="12"/>
  <c r="AX14" i="12" s="1"/>
  <c r="AV19" i="12"/>
  <c r="AX18" i="12" s="1"/>
  <c r="AV23" i="12"/>
  <c r="AX22" i="12" s="1"/>
  <c r="AV27" i="12"/>
  <c r="AX26" i="12" s="1"/>
  <c r="BD10" i="12"/>
  <c r="BF9" i="12" s="1"/>
  <c r="BD14" i="12"/>
  <c r="BF13" i="12" s="1"/>
  <c r="BD18" i="12"/>
  <c r="BF17" i="12" s="1"/>
  <c r="BD22" i="12"/>
  <c r="BF21" i="12" s="1"/>
  <c r="BD26" i="12"/>
  <c r="BF25" i="12" s="1"/>
  <c r="BD30" i="12"/>
  <c r="BF29" i="12" s="1"/>
  <c r="D69" i="12"/>
  <c r="D81" i="12"/>
  <c r="A228" i="12"/>
  <c r="D236" i="12"/>
  <c r="C4" i="13"/>
  <c r="C4" i="14" s="1"/>
  <c r="G4" i="13"/>
  <c r="G4" i="14" s="1"/>
  <c r="K4" i="13"/>
  <c r="K4" i="14" s="1"/>
  <c r="O4" i="13"/>
  <c r="O4" i="14" s="1"/>
  <c r="E5" i="13"/>
  <c r="E5" i="14" s="1"/>
  <c r="I5" i="13"/>
  <c r="I5" i="14" s="1"/>
  <c r="M5" i="13"/>
  <c r="M5" i="14" s="1"/>
  <c r="C6" i="13"/>
  <c r="C6" i="14" s="1"/>
  <c r="G6" i="13"/>
  <c r="G6" i="14" s="1"/>
  <c r="K6" i="13"/>
  <c r="K6" i="14" s="1"/>
  <c r="B7" i="13"/>
  <c r="B7" i="14" s="1"/>
  <c r="H7" i="13"/>
  <c r="H7" i="14" s="1"/>
  <c r="M7" i="13"/>
  <c r="M7" i="14" s="1"/>
  <c r="D8" i="13"/>
  <c r="D8" i="14" s="1"/>
  <c r="J8" i="13"/>
  <c r="J8" i="14" s="1"/>
  <c r="O8" i="13"/>
  <c r="O8" i="14" s="1"/>
  <c r="F9" i="13"/>
  <c r="F9" i="14" s="1"/>
  <c r="L9" i="13"/>
  <c r="L9" i="14" s="1"/>
  <c r="C10" i="13"/>
  <c r="C10" i="14" s="1"/>
  <c r="H10" i="13"/>
  <c r="H10" i="14" s="1"/>
  <c r="N10" i="13"/>
  <c r="N10" i="14" s="1"/>
  <c r="E11" i="13"/>
  <c r="E11" i="14" s="1"/>
  <c r="J11" i="13"/>
  <c r="J11" i="14" s="1"/>
  <c r="J12" i="13"/>
  <c r="J12" i="14" s="1"/>
  <c r="L13" i="13"/>
  <c r="L13" i="14" s="1"/>
  <c r="N14" i="13"/>
  <c r="N14" i="14" s="1"/>
  <c r="B16" i="13"/>
  <c r="B16" i="14" s="1"/>
  <c r="D17" i="13"/>
  <c r="D17" i="14" s="1"/>
  <c r="F18" i="13"/>
  <c r="F18" i="14" s="1"/>
  <c r="H32" i="13"/>
  <c r="J33" i="13"/>
  <c r="L34" i="13"/>
  <c r="N35" i="13"/>
  <c r="B37" i="13"/>
  <c r="D38" i="13"/>
  <c r="F39" i="13"/>
  <c r="H40" i="13"/>
  <c r="J41" i="13"/>
  <c r="L42" i="13"/>
  <c r="N43" i="13"/>
  <c r="B45" i="13"/>
  <c r="D46" i="13"/>
  <c r="F47" i="13"/>
  <c r="H48" i="13"/>
  <c r="D239" i="12"/>
  <c r="D4" i="13"/>
  <c r="D4" i="14" s="1"/>
  <c r="H4" i="13"/>
  <c r="H4" i="14" s="1"/>
  <c r="L4" i="13"/>
  <c r="L4" i="14" s="1"/>
  <c r="B5" i="13"/>
  <c r="B5" i="14" s="1"/>
  <c r="F5" i="13"/>
  <c r="F5" i="14" s="1"/>
  <c r="J5" i="13"/>
  <c r="J5" i="14" s="1"/>
  <c r="N5" i="13"/>
  <c r="N5" i="14" s="1"/>
  <c r="D6" i="13"/>
  <c r="D6" i="14" s="1"/>
  <c r="H6" i="13"/>
  <c r="H6" i="14" s="1"/>
  <c r="L6" i="13"/>
  <c r="L6" i="14" s="1"/>
  <c r="D7" i="13"/>
  <c r="D7" i="14" s="1"/>
  <c r="I7" i="13"/>
  <c r="I7" i="14" s="1"/>
  <c r="N7" i="13"/>
  <c r="N7" i="14" s="1"/>
  <c r="F8" i="13"/>
  <c r="F8" i="14" s="1"/>
  <c r="K8" i="13"/>
  <c r="K8" i="14" s="1"/>
  <c r="B9" i="13"/>
  <c r="B9" i="14" s="1"/>
  <c r="H9" i="13"/>
  <c r="H9" i="14" s="1"/>
  <c r="M9" i="13"/>
  <c r="M9" i="14" s="1"/>
  <c r="D10" i="13"/>
  <c r="D10" i="14" s="1"/>
  <c r="J10" i="13"/>
  <c r="J10" i="14" s="1"/>
  <c r="O10" i="13"/>
  <c r="O10" i="14" s="1"/>
  <c r="F11" i="13"/>
  <c r="F11" i="14" s="1"/>
  <c r="L11" i="13"/>
  <c r="L11" i="14" s="1"/>
  <c r="N12" i="13"/>
  <c r="N12" i="14" s="1"/>
  <c r="B14" i="13"/>
  <c r="B14" i="14" s="1"/>
  <c r="D15" i="13"/>
  <c r="D15" i="14" s="1"/>
  <c r="F16" i="13"/>
  <c r="F16" i="14" s="1"/>
  <c r="H17" i="13"/>
  <c r="H17" i="14" s="1"/>
  <c r="J18" i="13"/>
  <c r="J18" i="14" s="1"/>
  <c r="L32" i="13"/>
  <c r="N33" i="13"/>
  <c r="B35" i="13"/>
  <c r="D36" i="13"/>
  <c r="F37" i="13"/>
  <c r="H38" i="13"/>
  <c r="J39" i="13"/>
  <c r="L40" i="13"/>
  <c r="N41" i="13"/>
  <c r="B43" i="13"/>
  <c r="D44" i="13"/>
  <c r="F45" i="13"/>
  <c r="H46" i="13"/>
  <c r="J47" i="13"/>
  <c r="L48" i="13"/>
  <c r="AA14" i="10"/>
  <c r="AA4" i="10" l="1"/>
  <c r="L1" i="18"/>
  <c r="AA17" i="10"/>
  <c r="J292" i="12" l="1"/>
  <c r="J210" i="12"/>
  <c r="K60" i="18"/>
  <c r="K52" i="18"/>
  <c r="K44" i="18"/>
  <c r="K36" i="18"/>
  <c r="K28" i="18"/>
  <c r="K20" i="18"/>
  <c r="K12" i="18"/>
  <c r="K4" i="18"/>
  <c r="J55" i="18"/>
  <c r="J47" i="18"/>
  <c r="J39" i="18"/>
  <c r="J31" i="18"/>
  <c r="J23" i="18"/>
  <c r="J15" i="18"/>
  <c r="J7" i="18"/>
  <c r="I58" i="18"/>
  <c r="I50" i="18"/>
  <c r="I42" i="18"/>
  <c r="I34" i="18"/>
  <c r="I26" i="18"/>
  <c r="I18" i="18"/>
  <c r="I10" i="18"/>
  <c r="I2" i="18"/>
  <c r="H53" i="18"/>
  <c r="H45" i="18"/>
  <c r="H37" i="18"/>
  <c r="H29" i="18"/>
  <c r="H21" i="18"/>
  <c r="H13" i="18"/>
  <c r="H5" i="18"/>
  <c r="K59" i="18"/>
  <c r="K43" i="18"/>
  <c r="K35" i="18"/>
  <c r="K27" i="18"/>
  <c r="K11" i="18"/>
  <c r="J54" i="18"/>
  <c r="J38" i="18"/>
  <c r="J22" i="18"/>
  <c r="J6" i="18"/>
  <c r="I49" i="18"/>
  <c r="I33" i="18"/>
  <c r="I17" i="18"/>
  <c r="H60" i="18"/>
  <c r="H44" i="18"/>
  <c r="H28" i="18"/>
  <c r="H4" i="18"/>
  <c r="K50" i="18"/>
  <c r="K34" i="18"/>
  <c r="K2" i="18"/>
  <c r="J37" i="18"/>
  <c r="J13" i="18"/>
  <c r="I40" i="18"/>
  <c r="H51" i="18"/>
  <c r="H3" i="18"/>
  <c r="K17" i="18"/>
  <c r="J28" i="18"/>
  <c r="I47" i="18"/>
  <c r="H58" i="18"/>
  <c r="H18" i="18"/>
  <c r="K18" i="18"/>
  <c r="K10" i="18"/>
  <c r="J53" i="18"/>
  <c r="J29" i="18"/>
  <c r="J5" i="18"/>
  <c r="I16" i="18"/>
  <c r="H43" i="18"/>
  <c r="K57" i="18"/>
  <c r="K9" i="18"/>
  <c r="J12" i="18"/>
  <c r="I23" i="18"/>
  <c r="H26" i="18"/>
  <c r="K56" i="18"/>
  <c r="K48" i="18"/>
  <c r="K40" i="18"/>
  <c r="K32" i="18"/>
  <c r="K24" i="18"/>
  <c r="K16" i="18"/>
  <c r="K8" i="18"/>
  <c r="J59" i="18"/>
  <c r="J51" i="18"/>
  <c r="J43" i="18"/>
  <c r="J35" i="18"/>
  <c r="J27" i="18"/>
  <c r="J19" i="18"/>
  <c r="J11" i="18"/>
  <c r="J3" i="18"/>
  <c r="I54" i="18"/>
  <c r="I46" i="18"/>
  <c r="I38" i="18"/>
  <c r="I30" i="18"/>
  <c r="I22" i="18"/>
  <c r="I14" i="18"/>
  <c r="I6" i="18"/>
  <c r="H57" i="18"/>
  <c r="H49" i="18"/>
  <c r="H41" i="18"/>
  <c r="H33" i="18"/>
  <c r="H25" i="18"/>
  <c r="H17" i="18"/>
  <c r="H9" i="18"/>
  <c r="H16" i="18"/>
  <c r="K54" i="18"/>
  <c r="K38" i="18"/>
  <c r="K30" i="18"/>
  <c r="K14" i="18"/>
  <c r="J57" i="18"/>
  <c r="J41" i="18"/>
  <c r="J25" i="18"/>
  <c r="I60" i="18"/>
  <c r="I44" i="18"/>
  <c r="I28" i="18"/>
  <c r="I12" i="18"/>
  <c r="H15" i="18"/>
  <c r="I32" i="18"/>
  <c r="H35" i="18"/>
  <c r="K49" i="18"/>
  <c r="J60" i="18"/>
  <c r="J20" i="18"/>
  <c r="I31" i="18"/>
  <c r="H42" i="18"/>
  <c r="K55" i="18"/>
  <c r="K47" i="18"/>
  <c r="K39" i="18"/>
  <c r="K31" i="18"/>
  <c r="K23" i="18"/>
  <c r="K15" i="18"/>
  <c r="K7" i="18"/>
  <c r="J58" i="18"/>
  <c r="J50" i="18"/>
  <c r="J42" i="18"/>
  <c r="J34" i="18"/>
  <c r="J26" i="18"/>
  <c r="J18" i="18"/>
  <c r="J10" i="18"/>
  <c r="J2" i="18"/>
  <c r="I53" i="18"/>
  <c r="I45" i="18"/>
  <c r="I37" i="18"/>
  <c r="I29" i="18"/>
  <c r="I21" i="18"/>
  <c r="I13" i="18"/>
  <c r="I5" i="18"/>
  <c r="H56" i="18"/>
  <c r="H48" i="18"/>
  <c r="H40" i="18"/>
  <c r="H32" i="18"/>
  <c r="H24" i="18"/>
  <c r="H8" i="18"/>
  <c r="K46" i="18"/>
  <c r="K22" i="18"/>
  <c r="K6" i="18"/>
  <c r="J49" i="18"/>
  <c r="J33" i="18"/>
  <c r="J17" i="18"/>
  <c r="J9" i="18"/>
  <c r="I52" i="18"/>
  <c r="I36" i="18"/>
  <c r="I20" i="18"/>
  <c r="I4" i="18"/>
  <c r="H23" i="18"/>
  <c r="I56" i="18"/>
  <c r="H59" i="18"/>
  <c r="H19" i="18"/>
  <c r="K41" i="18"/>
  <c r="J36" i="18"/>
  <c r="I39" i="18"/>
  <c r="H50" i="18"/>
  <c r="H10" i="18"/>
  <c r="H55" i="18"/>
  <c r="H47" i="18"/>
  <c r="H39" i="18"/>
  <c r="H31" i="18"/>
  <c r="H7" i="18"/>
  <c r="I24" i="18"/>
  <c r="H27" i="18"/>
  <c r="K33" i="18"/>
  <c r="J52" i="18"/>
  <c r="J4" i="18"/>
  <c r="I7" i="18"/>
  <c r="H2" i="18"/>
  <c r="K53" i="18"/>
  <c r="K45" i="18"/>
  <c r="K37" i="18"/>
  <c r="K29" i="18"/>
  <c r="K21" i="18"/>
  <c r="K13" i="18"/>
  <c r="K5" i="18"/>
  <c r="J56" i="18"/>
  <c r="J48" i="18"/>
  <c r="J40" i="18"/>
  <c r="J32" i="18"/>
  <c r="J24" i="18"/>
  <c r="J16" i="18"/>
  <c r="J8" i="18"/>
  <c r="I59" i="18"/>
  <c r="I51" i="18"/>
  <c r="I43" i="18"/>
  <c r="I35" i="18"/>
  <c r="I27" i="18"/>
  <c r="I19" i="18"/>
  <c r="I11" i="18"/>
  <c r="I3" i="18"/>
  <c r="H54" i="18"/>
  <c r="H46" i="18"/>
  <c r="H38" i="18"/>
  <c r="H30" i="18"/>
  <c r="H22" i="18"/>
  <c r="H14" i="18"/>
  <c r="H6" i="18"/>
  <c r="K51" i="18"/>
  <c r="K19" i="18"/>
  <c r="K3" i="18"/>
  <c r="J46" i="18"/>
  <c r="J30" i="18"/>
  <c r="J14" i="18"/>
  <c r="I57" i="18"/>
  <c r="I41" i="18"/>
  <c r="I25" i="18"/>
  <c r="I9" i="18"/>
  <c r="H52" i="18"/>
  <c r="H36" i="18"/>
  <c r="H20" i="18"/>
  <c r="H12" i="18"/>
  <c r="K58" i="18"/>
  <c r="K42" i="18"/>
  <c r="K26" i="18"/>
  <c r="J45" i="18"/>
  <c r="J21" i="18"/>
  <c r="I48" i="18"/>
  <c r="I8" i="18"/>
  <c r="H11" i="18"/>
  <c r="K25" i="18"/>
  <c r="J44" i="18"/>
  <c r="I55" i="18"/>
  <c r="I15" i="18"/>
  <c r="H34" i="18"/>
  <c r="AH320" i="12"/>
  <c r="AI320" i="12" s="1"/>
  <c r="AH318" i="12"/>
  <c r="W98" i="12" l="1"/>
  <c r="X98" i="12"/>
  <c r="X253" i="12" s="1"/>
  <c r="W602" i="12"/>
  <c r="V341" i="12"/>
  <c r="W174" i="12"/>
  <c r="W542" i="12"/>
  <c r="W653" i="12"/>
  <c r="W436" i="12"/>
  <c r="W253" i="12"/>
  <c r="X653" i="12"/>
  <c r="X174" i="12"/>
  <c r="AH315" i="12"/>
  <c r="X542" i="12" l="1"/>
  <c r="X436" i="12"/>
  <c r="W341" i="12"/>
  <c r="X602" i="12"/>
  <c r="AI315" i="12"/>
  <c r="AI318" i="12" s="1"/>
  <c r="J620" i="12" l="1"/>
  <c r="J560" i="12"/>
  <c r="J506" i="12"/>
  <c r="AG102" i="4" s="1"/>
  <c r="M500" i="12"/>
  <c r="AG101" i="4" s="1"/>
  <c r="M454" i="12"/>
  <c r="AD66" i="4" s="1"/>
  <c r="J122" i="12"/>
  <c r="A504" i="12"/>
  <c r="A503" i="12"/>
  <c r="S40" i="14" l="1"/>
  <c r="AN32" i="13"/>
  <c r="AN33" i="13" s="1"/>
  <c r="AK32" i="13"/>
  <c r="AK33" i="13" s="1"/>
  <c r="V32" i="13"/>
  <c r="S32" i="13"/>
  <c r="AN8" i="13"/>
  <c r="AN4" i="13"/>
  <c r="AN5" i="13" s="1"/>
  <c r="AN6" i="13" s="1"/>
  <c r="AK8" i="13"/>
  <c r="AK4" i="13"/>
  <c r="AK34" i="13" l="1"/>
  <c r="S33" i="13"/>
  <c r="AN34" i="13"/>
  <c r="V33" i="13"/>
  <c r="V34" i="13" s="1"/>
  <c r="S41" i="14"/>
  <c r="S42" i="14" s="1"/>
  <c r="AK9" i="13"/>
  <c r="AK10" i="13" s="1"/>
  <c r="AK5" i="13"/>
  <c r="AK6" i="13" s="1"/>
  <c r="AN9" i="13"/>
  <c r="V16" i="13"/>
  <c r="V12" i="13"/>
  <c r="V13" i="13" s="1"/>
  <c r="V8" i="13"/>
  <c r="V9" i="13" s="1"/>
  <c r="V10" i="13" s="1"/>
  <c r="V4" i="13"/>
  <c r="S16" i="13"/>
  <c r="S17" i="13" s="1"/>
  <c r="S12" i="13"/>
  <c r="S13" i="13" s="1"/>
  <c r="S8" i="13"/>
  <c r="S9" i="13" s="1"/>
  <c r="S34" i="13" l="1"/>
  <c r="AR10" i="13"/>
  <c r="S10" i="13"/>
  <c r="Z9" i="13"/>
  <c r="AB9" i="13"/>
  <c r="S18" i="13"/>
  <c r="AR6" i="13"/>
  <c r="AT6" i="13"/>
  <c r="AR5" i="13"/>
  <c r="AT5" i="13"/>
  <c r="V5" i="13"/>
  <c r="V6" i="13" s="1"/>
  <c r="V17" i="13"/>
  <c r="Z17" i="13" s="1"/>
  <c r="AR9" i="13"/>
  <c r="V14" i="13"/>
  <c r="AB13" i="13" s="1"/>
  <c r="AN10" i="13"/>
  <c r="S14" i="13"/>
  <c r="Z13" i="13"/>
  <c r="Z201" i="12"/>
  <c r="AU6" i="13" l="1"/>
  <c r="AS10" i="13"/>
  <c r="AB14" i="13"/>
  <c r="AC14" i="13" s="1"/>
  <c r="Z14" i="13"/>
  <c r="AA14" i="13" s="1"/>
  <c r="AB10" i="13"/>
  <c r="AC10" i="13" s="1"/>
  <c r="Z10" i="13"/>
  <c r="AA10" i="13" s="1"/>
  <c r="AS6" i="13"/>
  <c r="V18" i="13"/>
  <c r="AB17" i="13" s="1"/>
  <c r="Z18" i="13"/>
  <c r="AA18" i="13" s="1"/>
  <c r="AT9" i="13"/>
  <c r="AT10" i="13"/>
  <c r="AO29" i="17"/>
  <c r="AL29" i="17"/>
  <c r="AO4" i="17"/>
  <c r="AL4" i="17"/>
  <c r="AQ33" i="13"/>
  <c r="AQ34" i="13" s="1"/>
  <c r="AQ35" i="13" l="1"/>
  <c r="AR33" i="13"/>
  <c r="AR34" i="13"/>
  <c r="AW6" i="13"/>
  <c r="AL30" i="17"/>
  <c r="AL31" i="17" s="1"/>
  <c r="AU10" i="13"/>
  <c r="AW10" i="13" s="1"/>
  <c r="AO30" i="17"/>
  <c r="AO31" i="17" s="1"/>
  <c r="AL5" i="17"/>
  <c r="AL6" i="17" s="1"/>
  <c r="AO5" i="17"/>
  <c r="AO6" i="17" s="1"/>
  <c r="AE10" i="13"/>
  <c r="AE14" i="13"/>
  <c r="AB18" i="13"/>
  <c r="AC18" i="13" s="1"/>
  <c r="AE18" i="13" s="1"/>
  <c r="AQ457" i="12"/>
  <c r="AQ456" i="12"/>
  <c r="AQ455" i="12"/>
  <c r="AQ454" i="12"/>
  <c r="AQ452" i="12"/>
  <c r="AQ451" i="12"/>
  <c r="AQ450" i="12"/>
  <c r="AQ449" i="12"/>
  <c r="AQ447" i="12"/>
  <c r="AQ446" i="12"/>
  <c r="AQ445" i="12"/>
  <c r="AQ444" i="12"/>
  <c r="AQ442" i="12"/>
  <c r="AQ441" i="12"/>
  <c r="AQ440" i="12"/>
  <c r="AQ439" i="12"/>
  <c r="AQ437" i="12"/>
  <c r="AQ436" i="12"/>
  <c r="AQ435" i="12"/>
  <c r="AQ434" i="12"/>
  <c r="AQ432" i="12"/>
  <c r="AQ431" i="12"/>
  <c r="AQ430" i="12"/>
  <c r="AQ429" i="12"/>
  <c r="AQ427" i="12"/>
  <c r="AQ426" i="12"/>
  <c r="AQ425" i="12"/>
  <c r="AQ424" i="12"/>
  <c r="AQ422" i="12"/>
  <c r="AQ421" i="12"/>
  <c r="AQ420" i="12"/>
  <c r="AQ419" i="12"/>
  <c r="AQ417" i="12"/>
  <c r="AQ416" i="12"/>
  <c r="AQ415" i="12"/>
  <c r="AQ414" i="12"/>
  <c r="AQ412" i="12"/>
  <c r="AQ411" i="12"/>
  <c r="AQ410" i="12"/>
  <c r="AQ409" i="12"/>
  <c r="AQ407" i="12"/>
  <c r="AQ406" i="12"/>
  <c r="AQ405" i="12"/>
  <c r="AQ404" i="12"/>
  <c r="AQ402" i="12"/>
  <c r="AQ401" i="12"/>
  <c r="AQ400" i="12"/>
  <c r="AQ399" i="12"/>
  <c r="AQ397" i="12"/>
  <c r="AQ396" i="12"/>
  <c r="AQ395" i="12"/>
  <c r="AQ394" i="12"/>
  <c r="AQ392" i="12"/>
  <c r="AQ391" i="12"/>
  <c r="AQ390" i="12"/>
  <c r="AQ389" i="12"/>
  <c r="AQ387" i="12"/>
  <c r="AQ386" i="12"/>
  <c r="AQ385" i="12"/>
  <c r="AQ384" i="12"/>
  <c r="AQ383" i="12"/>
  <c r="AL441" i="12"/>
  <c r="AL437" i="12"/>
  <c r="AL433" i="12"/>
  <c r="AL429" i="12"/>
  <c r="AL425" i="12"/>
  <c r="AL421" i="12"/>
  <c r="AL417" i="12"/>
  <c r="AL413" i="12"/>
  <c r="AL409" i="12"/>
  <c r="AL405" i="12"/>
  <c r="AL401" i="12"/>
  <c r="AL396" i="12"/>
  <c r="AL392" i="12"/>
  <c r="AL388" i="12"/>
  <c r="AL383" i="12"/>
  <c r="Z676" i="12"/>
  <c r="Z675" i="12"/>
  <c r="Z674" i="12"/>
  <c r="Z673" i="12"/>
  <c r="Z672" i="12"/>
  <c r="Z669" i="12"/>
  <c r="Z668" i="12"/>
  <c r="Z667" i="12"/>
  <c r="Z666" i="12"/>
  <c r="AF637" i="12"/>
  <c r="AF636" i="12"/>
  <c r="AF635" i="12"/>
  <c r="AF634" i="12"/>
  <c r="AF628" i="12"/>
  <c r="AF627" i="12"/>
  <c r="AF626" i="12"/>
  <c r="AF623" i="12"/>
  <c r="AF622" i="12"/>
  <c r="AF621" i="12"/>
  <c r="AF619" i="12"/>
  <c r="AF618" i="12"/>
  <c r="AF617" i="12"/>
  <c r="AF616" i="12"/>
  <c r="AF606" i="12"/>
  <c r="AF605" i="12"/>
  <c r="AF603" i="12"/>
  <c r="AF602" i="12"/>
  <c r="AF601" i="12"/>
  <c r="AF600" i="12"/>
  <c r="AF598" i="12"/>
  <c r="AF597" i="12"/>
  <c r="AF596" i="12"/>
  <c r="Z636" i="12"/>
  <c r="Z635" i="12"/>
  <c r="Z634" i="12"/>
  <c r="Z632" i="12"/>
  <c r="Z631" i="12"/>
  <c r="Z630" i="12"/>
  <c r="Z628" i="12"/>
  <c r="Z627" i="12"/>
  <c r="Z626" i="12"/>
  <c r="Z625" i="12"/>
  <c r="Z622" i="12"/>
  <c r="Z621" i="12"/>
  <c r="Z620" i="12"/>
  <c r="Z618" i="12"/>
  <c r="Z617" i="12"/>
  <c r="Z616" i="12"/>
  <c r="Z614" i="12"/>
  <c r="Z613" i="12"/>
  <c r="Z612" i="12"/>
  <c r="Z611" i="12"/>
  <c r="Z609" i="12"/>
  <c r="Z608" i="12"/>
  <c r="Z607" i="12"/>
  <c r="Z600" i="12"/>
  <c r="Z599" i="12"/>
  <c r="Z598" i="12"/>
  <c r="Z596" i="12"/>
  <c r="Z595" i="12"/>
  <c r="Z594" i="12"/>
  <c r="AF543" i="12"/>
  <c r="AF542" i="12"/>
  <c r="AF540" i="12"/>
  <c r="AF539" i="12"/>
  <c r="AF538" i="12"/>
  <c r="AF537" i="12"/>
  <c r="AF536" i="12"/>
  <c r="AF534" i="12"/>
  <c r="AF533" i="12"/>
  <c r="AF532" i="12"/>
  <c r="Z554" i="12"/>
  <c r="Z553" i="12"/>
  <c r="Z551" i="12"/>
  <c r="Z550" i="12"/>
  <c r="Z549" i="12"/>
  <c r="Z548" i="12"/>
  <c r="Z547" i="12"/>
  <c r="Z536" i="12"/>
  <c r="Z535" i="12"/>
  <c r="Z534" i="12"/>
  <c r="Z382" i="12"/>
  <c r="Z381" i="12"/>
  <c r="Z380" i="12"/>
  <c r="Z379" i="12"/>
  <c r="Z377" i="12"/>
  <c r="Z376" i="12"/>
  <c r="Z375" i="12"/>
  <c r="Z368" i="12"/>
  <c r="Z367" i="12"/>
  <c r="Z366" i="12"/>
  <c r="Z364" i="12"/>
  <c r="Z363" i="12"/>
  <c r="Z362" i="12"/>
  <c r="Z360" i="12"/>
  <c r="Z359" i="12"/>
  <c r="Z358" i="12"/>
  <c r="Z356" i="12"/>
  <c r="Z355" i="12"/>
  <c r="Z354" i="12"/>
  <c r="Z352" i="12"/>
  <c r="Z351" i="12"/>
  <c r="Z350" i="12"/>
  <c r="Z348" i="12"/>
  <c r="Z347" i="12"/>
  <c r="Z346" i="12"/>
  <c r="AF345" i="12"/>
  <c r="AF344" i="12"/>
  <c r="AF343" i="12"/>
  <c r="AF339" i="12"/>
  <c r="AF338" i="12"/>
  <c r="AF337" i="12"/>
  <c r="AF334" i="12"/>
  <c r="AF333" i="12"/>
  <c r="AF332" i="12"/>
  <c r="AF330" i="12"/>
  <c r="AF329" i="12"/>
  <c r="AF328" i="12"/>
  <c r="AF327" i="12"/>
  <c r="AF326" i="12"/>
  <c r="Z340" i="12"/>
  <c r="Z339" i="12"/>
  <c r="Z338" i="12"/>
  <c r="Z337" i="12"/>
  <c r="Z335" i="12"/>
  <c r="Z334" i="12"/>
  <c r="Z333" i="12"/>
  <c r="Z331" i="12"/>
  <c r="Z330" i="12"/>
  <c r="Z329" i="12"/>
  <c r="Z327" i="12"/>
  <c r="Z326" i="12"/>
  <c r="Z325" i="12"/>
  <c r="Z324" i="12"/>
  <c r="AL272" i="12"/>
  <c r="AL271" i="12"/>
  <c r="AL270" i="12"/>
  <c r="AL269" i="12"/>
  <c r="AL268" i="12"/>
  <c r="AL266" i="12"/>
  <c r="AL265" i="12"/>
  <c r="AL264" i="12"/>
  <c r="AF284" i="12"/>
  <c r="AF283" i="12"/>
  <c r="AF282" i="12"/>
  <c r="AF281" i="12"/>
  <c r="AF280" i="12"/>
  <c r="AF277" i="12"/>
  <c r="AF276" i="12"/>
  <c r="AF275" i="12"/>
  <c r="AF274" i="12"/>
  <c r="AF273" i="12"/>
  <c r="AF269" i="12"/>
  <c r="AF268" i="12"/>
  <c r="AF266" i="12"/>
  <c r="AF265" i="12"/>
  <c r="AF264" i="12"/>
  <c r="Z277" i="12"/>
  <c r="Z276" i="12"/>
  <c r="Z275" i="12"/>
  <c r="Z274" i="12"/>
  <c r="Z273" i="12"/>
  <c r="Z266" i="12"/>
  <c r="Z265" i="12"/>
  <c r="Z264" i="12"/>
  <c r="AL218" i="12"/>
  <c r="AL217" i="12"/>
  <c r="AL216" i="12"/>
  <c r="AL215" i="12"/>
  <c r="AF225" i="12"/>
  <c r="AF224" i="12"/>
  <c r="AF223" i="12"/>
  <c r="AF222" i="12"/>
  <c r="AF221" i="12"/>
  <c r="AF218" i="12"/>
  <c r="AF217" i="12"/>
  <c r="AF216" i="12"/>
  <c r="AF215" i="12"/>
  <c r="Z225" i="12"/>
  <c r="Z224" i="12"/>
  <c r="Z223" i="12"/>
  <c r="Z222" i="12"/>
  <c r="Z221" i="12"/>
  <c r="Z219" i="12"/>
  <c r="Z218" i="12"/>
  <c r="Z217" i="12"/>
  <c r="Z216" i="12"/>
  <c r="Z215" i="12"/>
  <c r="AL203" i="12"/>
  <c r="AL202" i="12"/>
  <c r="AL201" i="12"/>
  <c r="AL200" i="12"/>
  <c r="AL198" i="12"/>
  <c r="AL197" i="12"/>
  <c r="AL196" i="12"/>
  <c r="AL195" i="12"/>
  <c r="AL192" i="12"/>
  <c r="AL191" i="12"/>
  <c r="AL190" i="12"/>
  <c r="AL187" i="12"/>
  <c r="AL186" i="12"/>
  <c r="AL185" i="12"/>
  <c r="AL184" i="12"/>
  <c r="AL182" i="12"/>
  <c r="AL181" i="12"/>
  <c r="AL180" i="12"/>
  <c r="AL179" i="12"/>
  <c r="AF203" i="12"/>
  <c r="AF202" i="12"/>
  <c r="AF201" i="12"/>
  <c r="AF200" i="12"/>
  <c r="AF198" i="12"/>
  <c r="AF197" i="12"/>
  <c r="AF196" i="12"/>
  <c r="AF195" i="12"/>
  <c r="AF193" i="12"/>
  <c r="AF192" i="12"/>
  <c r="AF191" i="12"/>
  <c r="AF190" i="12"/>
  <c r="AF186" i="12"/>
  <c r="AF185" i="12"/>
  <c r="AF184" i="12"/>
  <c r="AF182" i="12"/>
  <c r="AF181" i="12"/>
  <c r="AF180" i="12"/>
  <c r="AF179" i="12"/>
  <c r="Z204" i="12"/>
  <c r="Z203" i="12"/>
  <c r="Z202" i="12"/>
  <c r="Z200" i="12"/>
  <c r="Z198" i="12"/>
  <c r="Z197" i="12"/>
  <c r="Z196" i="12"/>
  <c r="Z195" i="12"/>
  <c r="Z193" i="12"/>
  <c r="Z192" i="12"/>
  <c r="Z191" i="12"/>
  <c r="Z190" i="12"/>
  <c r="Z187" i="12"/>
  <c r="Z186" i="12"/>
  <c r="Z185" i="12"/>
  <c r="Z184" i="12"/>
  <c r="Z182" i="12"/>
  <c r="Z181" i="12"/>
  <c r="Z180" i="12"/>
  <c r="Z179" i="12"/>
  <c r="AP165" i="12"/>
  <c r="AP164" i="12"/>
  <c r="AP163" i="12"/>
  <c r="AP162" i="12"/>
  <c r="AP160" i="12"/>
  <c r="AP159" i="12"/>
  <c r="AP158" i="12"/>
  <c r="AP157" i="12"/>
  <c r="AP155" i="12"/>
  <c r="AP154" i="12"/>
  <c r="AP153" i="12"/>
  <c r="AP152" i="12"/>
  <c r="AL164" i="12"/>
  <c r="AL163" i="12"/>
  <c r="AL162" i="12"/>
  <c r="AL155" i="12"/>
  <c r="AL154" i="12"/>
  <c r="AL153" i="12"/>
  <c r="AL152" i="12"/>
  <c r="AF165" i="12"/>
  <c r="AF164" i="12"/>
  <c r="AF163" i="12"/>
  <c r="AF162" i="12"/>
  <c r="AF153" i="12"/>
  <c r="AF152" i="12"/>
  <c r="Z163" i="12"/>
  <c r="Z162" i="12"/>
  <c r="Z160" i="12"/>
  <c r="Z159" i="12"/>
  <c r="Z158" i="12"/>
  <c r="Z157" i="12"/>
  <c r="Z153" i="12"/>
  <c r="Z152" i="12"/>
  <c r="AP143" i="12"/>
  <c r="AP142" i="12"/>
  <c r="AP141" i="12"/>
  <c r="AP140" i="12"/>
  <c r="AP138" i="12"/>
  <c r="AP137" i="12"/>
  <c r="AP136" i="12"/>
  <c r="AP135" i="12"/>
  <c r="AP133" i="12"/>
  <c r="AP132" i="12"/>
  <c r="AP131" i="12"/>
  <c r="AP130" i="12"/>
  <c r="AL141" i="12"/>
  <c r="AL140" i="12"/>
  <c r="AL138" i="12"/>
  <c r="AL137" i="12"/>
  <c r="AL136" i="12"/>
  <c r="AL135" i="12"/>
  <c r="AF143" i="12"/>
  <c r="AF142" i="12"/>
  <c r="AF141" i="12"/>
  <c r="AF140" i="12"/>
  <c r="AF138" i="12"/>
  <c r="AF137" i="12"/>
  <c r="AF136" i="12"/>
  <c r="AF135" i="12"/>
  <c r="Z141" i="12"/>
  <c r="Z140" i="12"/>
  <c r="Z138" i="12"/>
  <c r="Z137" i="12"/>
  <c r="Z136" i="12"/>
  <c r="Z135" i="12"/>
  <c r="AS34" i="13" l="1"/>
  <c r="AQ36" i="13"/>
  <c r="AQ37" i="13" s="1"/>
  <c r="AQ38" i="13" s="1"/>
  <c r="AQ39" i="13" s="1"/>
  <c r="AQ40" i="13" s="1"/>
  <c r="AQ41" i="13" s="1"/>
  <c r="AQ42" i="13" s="1"/>
  <c r="AQ43" i="13" s="1"/>
  <c r="AQ44" i="13" s="1"/>
  <c r="AT33" i="13"/>
  <c r="AT34" i="13"/>
  <c r="AS30" i="17"/>
  <c r="AU30" i="17"/>
  <c r="AS5" i="17"/>
  <c r="AU5" i="17"/>
  <c r="AU31" i="17"/>
  <c r="AS31" i="17"/>
  <c r="AU34" i="13" l="1"/>
  <c r="AW34" i="13" s="1"/>
  <c r="AT31" i="17"/>
  <c r="AV31" i="17"/>
  <c r="AU6" i="17"/>
  <c r="AV6" i="17" s="1"/>
  <c r="AS6" i="17"/>
  <c r="AT6" i="17" s="1"/>
  <c r="AB299" i="12"/>
  <c r="AC299" i="12" s="1"/>
  <c r="AB294" i="12"/>
  <c r="AC294" i="12" s="1"/>
  <c r="AB292" i="12"/>
  <c r="AX31" i="17" l="1"/>
  <c r="AX6" i="17"/>
  <c r="E480" i="12" l="1"/>
  <c r="E476" i="12"/>
  <c r="E472" i="12"/>
  <c r="E458" i="12"/>
  <c r="E450" i="12"/>
  <c r="C480" i="12"/>
  <c r="C476" i="12"/>
  <c r="C472" i="12"/>
  <c r="C467" i="12"/>
  <c r="C462" i="12"/>
  <c r="C458" i="12"/>
  <c r="C450" i="12"/>
  <c r="E372" i="12"/>
  <c r="E369" i="12"/>
  <c r="E366" i="12"/>
  <c r="E363" i="12"/>
  <c r="E360" i="12"/>
  <c r="E357" i="12"/>
  <c r="E354" i="12"/>
  <c r="E351" i="12"/>
  <c r="C372" i="12"/>
  <c r="C369" i="12"/>
  <c r="C366" i="12"/>
  <c r="C363" i="12"/>
  <c r="C360" i="12"/>
  <c r="C357" i="12"/>
  <c r="C354" i="12"/>
  <c r="C351" i="12"/>
  <c r="A290" i="4" l="1"/>
  <c r="A289" i="4"/>
  <c r="A271" i="4"/>
  <c r="A270" i="4"/>
  <c r="A235" i="4"/>
  <c r="A234" i="4"/>
  <c r="A217" i="4"/>
  <c r="A216" i="4"/>
  <c r="A185" i="4"/>
  <c r="A184" i="4"/>
  <c r="A159" i="4"/>
  <c r="A158" i="4"/>
  <c r="A103" i="4"/>
  <c r="A104" i="4"/>
  <c r="A70" i="4"/>
  <c r="A69" i="4"/>
  <c r="A39" i="4"/>
  <c r="A38" i="4"/>
  <c r="A106" i="4" l="1"/>
  <c r="CE3" i="21" l="1"/>
  <c r="CE2" i="21" l="1"/>
  <c r="CB353" i="21"/>
  <c r="CB347" i="21"/>
  <c r="CB342" i="21"/>
  <c r="CB340" i="21"/>
  <c r="CB338" i="21"/>
  <c r="CB333" i="21"/>
  <c r="CB325" i="21"/>
  <c r="CB322" i="21"/>
  <c r="CB320" i="21"/>
  <c r="CB316" i="21"/>
  <c r="CB315" i="21"/>
  <c r="CB310" i="21"/>
  <c r="CB305" i="21"/>
  <c r="CB304" i="21"/>
  <c r="CB301" i="21"/>
  <c r="CB299" i="21"/>
  <c r="CB293" i="21"/>
  <c r="CB291" i="21"/>
  <c r="CB286" i="21"/>
  <c r="CB285" i="21"/>
  <c r="CB281" i="21"/>
  <c r="CB275" i="21"/>
  <c r="CB273" i="21"/>
  <c r="CB258" i="21"/>
  <c r="CB257" i="21"/>
  <c r="CB256" i="21"/>
  <c r="CB252" i="21"/>
  <c r="CB246" i="21"/>
  <c r="CB245" i="21"/>
  <c r="CB244" i="21"/>
  <c r="CB239" i="21"/>
  <c r="CB234" i="21"/>
  <c r="CB231" i="21"/>
  <c r="CB227" i="21"/>
  <c r="CB226" i="21"/>
  <c r="CB225" i="21"/>
  <c r="CB223" i="21"/>
  <c r="CB219" i="21"/>
  <c r="CB217" i="21"/>
  <c r="CB213" i="21"/>
  <c r="CB212" i="21"/>
  <c r="CB211" i="21"/>
  <c r="CB207" i="21"/>
  <c r="CB205" i="21"/>
  <c r="CB201" i="21"/>
  <c r="CB198" i="21"/>
  <c r="CB194" i="21"/>
  <c r="CB187" i="21"/>
  <c r="CB184" i="21"/>
  <c r="CB180" i="21"/>
  <c r="CB178" i="21"/>
  <c r="CB175" i="21"/>
  <c r="CB174" i="21"/>
  <c r="CB162" i="21"/>
  <c r="CB155" i="21"/>
  <c r="CB148" i="21"/>
  <c r="CB146" i="21"/>
  <c r="CB144" i="21"/>
  <c r="CB142" i="21"/>
  <c r="CB141" i="21"/>
  <c r="CB135" i="21"/>
  <c r="CB134" i="21"/>
  <c r="CB133" i="21"/>
  <c r="CB128" i="21"/>
  <c r="CB126" i="21"/>
  <c r="CB116" i="21"/>
  <c r="CB113" i="21"/>
  <c r="CB112" i="21"/>
  <c r="CB110" i="21"/>
  <c r="CB109" i="21"/>
  <c r="CB108" i="21"/>
  <c r="CB104" i="21"/>
  <c r="CB99" i="21"/>
  <c r="CB97" i="21"/>
  <c r="CB95" i="21"/>
  <c r="CB94" i="21"/>
  <c r="CB91" i="21"/>
  <c r="CB88" i="21"/>
  <c r="CB85" i="21"/>
  <c r="CB82" i="21"/>
  <c r="CB81" i="21"/>
  <c r="CB74" i="21"/>
  <c r="CB73" i="21"/>
  <c r="CB72" i="21"/>
  <c r="CB69" i="21"/>
  <c r="CB68" i="21"/>
  <c r="CB63" i="21"/>
  <c r="CB61" i="21"/>
  <c r="CB60" i="21"/>
  <c r="CB45" i="21"/>
  <c r="CB43" i="21"/>
  <c r="CB41" i="21"/>
  <c r="CB34" i="21"/>
  <c r="CB32" i="21"/>
  <c r="CB30" i="21"/>
  <c r="CB22" i="21"/>
  <c r="CB19" i="21"/>
  <c r="CB4" i="21"/>
  <c r="A88" i="4" l="1"/>
  <c r="A87" i="4"/>
  <c r="A86" i="4"/>
  <c r="A85" i="4"/>
  <c r="A84" i="4"/>
  <c r="A83" i="4"/>
  <c r="A82" i="4"/>
  <c r="A76" i="4" l="1"/>
  <c r="A80" i="4"/>
  <c r="A78" i="4"/>
  <c r="A79" i="4"/>
  <c r="A77" i="4"/>
  <c r="D30" i="4" l="1"/>
  <c r="E448" i="4" l="1"/>
  <c r="A294" i="4" l="1"/>
  <c r="A293" i="4"/>
  <c r="A292" i="4"/>
  <c r="A291" i="4"/>
  <c r="A275" i="4"/>
  <c r="A274" i="4"/>
  <c r="A273" i="4"/>
  <c r="A272" i="4"/>
  <c r="A238" i="4"/>
  <c r="A237" i="4"/>
  <c r="A236" i="4"/>
  <c r="A220" i="4"/>
  <c r="A219" i="4"/>
  <c r="A218" i="4"/>
  <c r="A188" i="4"/>
  <c r="A187" i="4"/>
  <c r="A186" i="4"/>
  <c r="A163" i="4"/>
  <c r="A162" i="4"/>
  <c r="A161" i="4"/>
  <c r="A160" i="4"/>
  <c r="A107" i="4" l="1"/>
  <c r="A105" i="4"/>
  <c r="A73" i="4"/>
  <c r="A72" i="4"/>
  <c r="A71" i="4"/>
  <c r="A42" i="4"/>
  <c r="A41" i="4"/>
  <c r="A40" i="4"/>
  <c r="A221" i="4" l="1"/>
  <c r="A215" i="4"/>
  <c r="A203" i="4"/>
  <c r="A202" i="4"/>
  <c r="A201" i="4"/>
  <c r="A200" i="4"/>
  <c r="A199" i="4"/>
  <c r="A198" i="4"/>
  <c r="A197" i="4"/>
  <c r="A196" i="4"/>
  <c r="A195" i="4"/>
  <c r="A189" i="4"/>
  <c r="A183" i="4"/>
  <c r="A175" i="4"/>
  <c r="A174" i="4"/>
  <c r="A173" i="4"/>
  <c r="A172" i="4"/>
  <c r="A171" i="4"/>
  <c r="A170" i="4"/>
  <c r="A157" i="4"/>
  <c r="A156" i="4"/>
  <c r="A155" i="4"/>
  <c r="A154" i="4"/>
  <c r="A153" i="4"/>
  <c r="A152" i="4"/>
  <c r="A227" i="4"/>
  <c r="A228" i="4"/>
  <c r="A233" i="4"/>
  <c r="A239" i="4"/>
  <c r="A255" i="4"/>
  <c r="A254" i="4"/>
  <c r="A253" i="4"/>
  <c r="A252" i="4"/>
  <c r="A251" i="4"/>
  <c r="A250" i="4"/>
  <c r="A249" i="4"/>
  <c r="A248" i="4"/>
  <c r="A247" i="4"/>
  <c r="A246" i="4"/>
  <c r="A245" i="4"/>
  <c r="A260" i="4"/>
  <c r="A261" i="4"/>
  <c r="A262" i="4"/>
  <c r="A263" i="4"/>
  <c r="A264" i="4"/>
  <c r="A265" i="4"/>
  <c r="A266" i="4"/>
  <c r="A267" i="4"/>
  <c r="A268" i="4"/>
  <c r="A269" i="4"/>
  <c r="A283" i="4"/>
  <c r="A282" i="4"/>
  <c r="A288" i="4"/>
  <c r="A147" i="4"/>
  <c r="A146" i="4"/>
  <c r="A145" i="4"/>
  <c r="A144" i="4"/>
  <c r="A143" i="4"/>
  <c r="A142" i="4"/>
  <c r="A141" i="4"/>
  <c r="A140" i="4"/>
  <c r="A139" i="4"/>
  <c r="A138" i="4"/>
  <c r="A137" i="4"/>
  <c r="A136" i="4"/>
  <c r="A135" i="4"/>
  <c r="A134" i="4"/>
  <c r="A133" i="4"/>
  <c r="A132" i="4"/>
  <c r="A131" i="4"/>
  <c r="A130" i="4"/>
  <c r="A129" i="4"/>
  <c r="A108" i="4"/>
  <c r="A102" i="4"/>
  <c r="A101" i="4"/>
  <c r="A74" i="4"/>
  <c r="A66" i="4"/>
  <c r="A57" i="4"/>
  <c r="A56" i="4"/>
  <c r="A55" i="4"/>
  <c r="A54" i="4"/>
  <c r="A53" i="4"/>
  <c r="A52" i="4"/>
  <c r="A51" i="4"/>
  <c r="A50" i="4"/>
  <c r="A49" i="4"/>
  <c r="A148" i="4" l="1"/>
  <c r="A58" i="4"/>
  <c r="A44" i="4"/>
  <c r="A484" i="4"/>
  <c r="A448" i="4"/>
  <c r="A437" i="4"/>
  <c r="A281" i="4" l="1"/>
  <c r="A280" i="4"/>
  <c r="A279" i="4"/>
  <c r="A278" i="4"/>
  <c r="A277" i="4"/>
  <c r="A276" i="4"/>
  <c r="A244" i="4"/>
  <c r="A243" i="4"/>
  <c r="A242" i="4"/>
  <c r="A241" i="4"/>
  <c r="A240" i="4"/>
  <c r="A226" i="4"/>
  <c r="A225" i="4"/>
  <c r="A224" i="4"/>
  <c r="A223" i="4"/>
  <c r="A222" i="4"/>
  <c r="A190" i="4"/>
  <c r="A194" i="4"/>
  <c r="A193" i="4"/>
  <c r="A192" i="4"/>
  <c r="A191" i="4"/>
  <c r="A176" i="4"/>
  <c r="A165" i="4"/>
  <c r="A169" i="4"/>
  <c r="A168" i="4"/>
  <c r="A167" i="4"/>
  <c r="A166" i="4"/>
  <c r="A128" i="4" l="1"/>
  <c r="A127" i="4"/>
  <c r="A126" i="4"/>
  <c r="A125" i="4"/>
  <c r="A90" i="4"/>
  <c r="A48" i="4"/>
  <c r="A47" i="4"/>
  <c r="A46" i="4"/>
  <c r="A45" i="4"/>
  <c r="A36" i="4"/>
  <c r="A29" i="4"/>
  <c r="A28" i="4"/>
  <c r="A27" i="4"/>
  <c r="A26" i="4"/>
  <c r="A25" i="4"/>
  <c r="A24" i="4"/>
  <c r="A23" i="4" l="1"/>
  <c r="A22" i="4"/>
  <c r="A21" i="4"/>
  <c r="A20" i="4"/>
  <c r="N3" i="21" l="1"/>
  <c r="D285" i="4" l="1"/>
  <c r="D257" i="4"/>
  <c r="D230" i="4"/>
  <c r="D177" i="4"/>
  <c r="D92" i="4"/>
  <c r="D205" i="4"/>
  <c r="D149" i="4"/>
  <c r="D59" i="4"/>
  <c r="X29" i="17"/>
  <c r="U29" i="17"/>
  <c r="X4" i="17"/>
  <c r="U4" i="17"/>
  <c r="J70" i="16"/>
  <c r="J66" i="16"/>
  <c r="V61" i="16"/>
  <c r="J61" i="16"/>
  <c r="V57" i="16"/>
  <c r="J57" i="16"/>
  <c r="V53" i="16"/>
  <c r="J53" i="16"/>
  <c r="V49" i="16"/>
  <c r="J49" i="16"/>
  <c r="V45" i="16"/>
  <c r="J45" i="16"/>
  <c r="V41" i="16"/>
  <c r="J41" i="16"/>
  <c r="V37" i="16"/>
  <c r="J37" i="16"/>
  <c r="V33" i="16"/>
  <c r="J33" i="16"/>
  <c r="V29" i="16"/>
  <c r="J29" i="16"/>
  <c r="V25" i="16"/>
  <c r="J25" i="16"/>
  <c r="V21" i="16"/>
  <c r="J21" i="16"/>
  <c r="V17" i="16"/>
  <c r="J17" i="16"/>
  <c r="V13" i="16"/>
  <c r="J13" i="16"/>
  <c r="V9" i="16"/>
  <c r="J9" i="16"/>
  <c r="V5" i="16"/>
  <c r="J5" i="16"/>
  <c r="AB3" i="16"/>
  <c r="O48" i="15"/>
  <c r="L48" i="15"/>
  <c r="O44" i="15"/>
  <c r="L44" i="15"/>
  <c r="O40" i="15"/>
  <c r="L40" i="15"/>
  <c r="O36" i="15"/>
  <c r="L36" i="15"/>
  <c r="O32" i="15"/>
  <c r="L32" i="15"/>
  <c r="O28" i="15"/>
  <c r="L28" i="15"/>
  <c r="O24" i="15"/>
  <c r="O25" i="15" s="1"/>
  <c r="O26" i="15" s="1"/>
  <c r="L24" i="15"/>
  <c r="O20" i="15"/>
  <c r="O21" i="15" s="1"/>
  <c r="O22" i="15" s="1"/>
  <c r="L20" i="15"/>
  <c r="O16" i="15"/>
  <c r="L16" i="15"/>
  <c r="O12" i="15"/>
  <c r="O13" i="15" s="1"/>
  <c r="O14" i="15" s="1"/>
  <c r="L12" i="15"/>
  <c r="O8" i="15"/>
  <c r="O9" i="15" s="1"/>
  <c r="O10" i="15" s="1"/>
  <c r="L8" i="15"/>
  <c r="H27" i="15"/>
  <c r="F25" i="15"/>
  <c r="O4" i="15"/>
  <c r="L4" i="15"/>
  <c r="V40" i="14"/>
  <c r="S36" i="14"/>
  <c r="W11" i="10"/>
  <c r="W10" i="10"/>
  <c r="V10" i="10"/>
  <c r="W9" i="10"/>
  <c r="V9" i="10"/>
  <c r="W8" i="10"/>
  <c r="V8" i="10"/>
  <c r="W7" i="10"/>
  <c r="W6" i="10"/>
  <c r="V6" i="10"/>
  <c r="W5" i="10"/>
  <c r="V5" i="10"/>
  <c r="W4" i="10"/>
  <c r="V4" i="10"/>
  <c r="A692" i="12"/>
  <c r="A691" i="12"/>
  <c r="A690" i="12"/>
  <c r="A689" i="12"/>
  <c r="A688" i="12"/>
  <c r="A687" i="12"/>
  <c r="A686" i="12"/>
  <c r="A685" i="12"/>
  <c r="A684" i="12"/>
  <c r="A683" i="12"/>
  <c r="A682" i="12"/>
  <c r="A681" i="12"/>
  <c r="A680" i="12"/>
  <c r="A679" i="12"/>
  <c r="A678" i="12"/>
  <c r="A677" i="12"/>
  <c r="A676" i="12"/>
  <c r="A675" i="12"/>
  <c r="A674" i="12"/>
  <c r="A673" i="12"/>
  <c r="A672" i="12"/>
  <c r="A671" i="12"/>
  <c r="A670" i="12"/>
  <c r="A669" i="12"/>
  <c r="A668" i="12"/>
  <c r="A667" i="12"/>
  <c r="A666" i="12"/>
  <c r="A665" i="12"/>
  <c r="A664" i="12"/>
  <c r="A663" i="12"/>
  <c r="A662" i="12"/>
  <c r="A661" i="12"/>
  <c r="A660" i="12"/>
  <c r="A659" i="12"/>
  <c r="A658" i="12"/>
  <c r="A657" i="12"/>
  <c r="A656" i="12"/>
  <c r="A655" i="12"/>
  <c r="A654" i="12"/>
  <c r="A653" i="12"/>
  <c r="A652" i="12"/>
  <c r="A651" i="12"/>
  <c r="A650" i="12"/>
  <c r="A649" i="12"/>
  <c r="A648" i="12"/>
  <c r="A647" i="12"/>
  <c r="A646" i="12"/>
  <c r="A645" i="12"/>
  <c r="A644" i="12"/>
  <c r="A643" i="12"/>
  <c r="A642" i="12"/>
  <c r="A641" i="12"/>
  <c r="A640" i="12"/>
  <c r="A639" i="12"/>
  <c r="A638" i="12"/>
  <c r="A637" i="12"/>
  <c r="A636" i="12"/>
  <c r="A635" i="12"/>
  <c r="A634" i="12"/>
  <c r="A633" i="12"/>
  <c r="A632" i="12"/>
  <c r="A631" i="12"/>
  <c r="A630" i="12"/>
  <c r="A629" i="12"/>
  <c r="A628" i="12"/>
  <c r="A627" i="12"/>
  <c r="A626" i="12"/>
  <c r="A625" i="12"/>
  <c r="A624" i="12"/>
  <c r="A623" i="12"/>
  <c r="K621" i="12"/>
  <c r="A620" i="12"/>
  <c r="A619" i="12"/>
  <c r="A616" i="12"/>
  <c r="A615" i="12"/>
  <c r="A614" i="12"/>
  <c r="A613" i="12"/>
  <c r="A612" i="12"/>
  <c r="A611" i="12"/>
  <c r="A610" i="12"/>
  <c r="A609" i="12"/>
  <c r="A608" i="12"/>
  <c r="A607" i="12"/>
  <c r="A606" i="12"/>
  <c r="A605" i="12"/>
  <c r="A604" i="12"/>
  <c r="A603" i="12"/>
  <c r="A602" i="12"/>
  <c r="A601" i="12"/>
  <c r="A600" i="12"/>
  <c r="A599" i="12"/>
  <c r="A598" i="12"/>
  <c r="A597" i="12"/>
  <c r="A596" i="12"/>
  <c r="A595" i="12"/>
  <c r="A594" i="12"/>
  <c r="A593" i="12"/>
  <c r="A592" i="12"/>
  <c r="A591" i="12"/>
  <c r="A590" i="12"/>
  <c r="A589" i="12"/>
  <c r="A588" i="12"/>
  <c r="A587" i="12"/>
  <c r="A586" i="12"/>
  <c r="A585" i="12"/>
  <c r="A584" i="12"/>
  <c r="A583" i="12"/>
  <c r="A582" i="12"/>
  <c r="A581" i="12"/>
  <c r="A580" i="12"/>
  <c r="A579" i="12"/>
  <c r="A578" i="12"/>
  <c r="A577" i="12"/>
  <c r="A576" i="12"/>
  <c r="A575" i="12"/>
  <c r="A574" i="12"/>
  <c r="A573" i="12"/>
  <c r="A572" i="12"/>
  <c r="A571" i="12"/>
  <c r="A570" i="12"/>
  <c r="A569" i="12"/>
  <c r="A568" i="12"/>
  <c r="A567" i="12"/>
  <c r="A566" i="12"/>
  <c r="A565" i="12"/>
  <c r="A564" i="12"/>
  <c r="A563" i="12"/>
  <c r="K561" i="12"/>
  <c r="A560" i="12"/>
  <c r="A559" i="12"/>
  <c r="A556" i="12"/>
  <c r="A555" i="12"/>
  <c r="A554" i="12"/>
  <c r="A553" i="12"/>
  <c r="A552" i="12"/>
  <c r="A551" i="12"/>
  <c r="A550" i="12"/>
  <c r="A549" i="12"/>
  <c r="A548" i="12"/>
  <c r="A547" i="12"/>
  <c r="A546" i="12"/>
  <c r="A545" i="12"/>
  <c r="A544" i="12"/>
  <c r="A543" i="12"/>
  <c r="A542" i="12"/>
  <c r="A541" i="12"/>
  <c r="A540" i="12"/>
  <c r="A539" i="12"/>
  <c r="A538" i="12"/>
  <c r="A537" i="12"/>
  <c r="A536" i="12"/>
  <c r="A535" i="12"/>
  <c r="A534" i="12"/>
  <c r="A533" i="12"/>
  <c r="A532" i="12"/>
  <c r="A531" i="12"/>
  <c r="A530" i="12"/>
  <c r="A529" i="12"/>
  <c r="A528" i="12"/>
  <c r="A527" i="12"/>
  <c r="A526" i="12"/>
  <c r="A525" i="12"/>
  <c r="A524" i="12"/>
  <c r="A523" i="12"/>
  <c r="A522" i="12"/>
  <c r="A521" i="12"/>
  <c r="A520" i="12"/>
  <c r="A519" i="12"/>
  <c r="A518" i="12"/>
  <c r="A517" i="12"/>
  <c r="A516" i="12"/>
  <c r="A515" i="12"/>
  <c r="A514" i="12"/>
  <c r="A513" i="12"/>
  <c r="A512" i="12"/>
  <c r="A511" i="12"/>
  <c r="A510" i="12"/>
  <c r="A509" i="12"/>
  <c r="K507" i="12"/>
  <c r="A502" i="12"/>
  <c r="A501" i="12"/>
  <c r="A500" i="12"/>
  <c r="A499" i="12"/>
  <c r="A498" i="12"/>
  <c r="A497" i="12"/>
  <c r="A496" i="12"/>
  <c r="A495" i="12"/>
  <c r="A494" i="12"/>
  <c r="A493" i="12"/>
  <c r="A492" i="12"/>
  <c r="A491" i="12"/>
  <c r="A490" i="12"/>
  <c r="A489" i="12"/>
  <c r="A488" i="12"/>
  <c r="A487" i="12"/>
  <c r="A486" i="12"/>
  <c r="A485" i="12"/>
  <c r="A484" i="12"/>
  <c r="A483" i="12"/>
  <c r="A482" i="12"/>
  <c r="A481" i="12"/>
  <c r="A480" i="12"/>
  <c r="A479" i="12"/>
  <c r="A478" i="12"/>
  <c r="A477" i="12"/>
  <c r="A476" i="12"/>
  <c r="A475" i="12"/>
  <c r="A474" i="12"/>
  <c r="A473" i="12"/>
  <c r="A472" i="12"/>
  <c r="A471" i="12"/>
  <c r="A470" i="12"/>
  <c r="A469" i="12"/>
  <c r="A468" i="12"/>
  <c r="A467" i="12"/>
  <c r="A466" i="12"/>
  <c r="A465" i="12"/>
  <c r="A464" i="12"/>
  <c r="A463" i="12"/>
  <c r="A462" i="12"/>
  <c r="A461" i="12"/>
  <c r="A460" i="12"/>
  <c r="A459" i="12"/>
  <c r="A458" i="12"/>
  <c r="A457" i="12"/>
  <c r="A456" i="12"/>
  <c r="A455" i="12"/>
  <c r="A454" i="12"/>
  <c r="A453" i="12"/>
  <c r="A452" i="12"/>
  <c r="A451" i="12"/>
  <c r="A450" i="12"/>
  <c r="A449" i="12"/>
  <c r="A448" i="12"/>
  <c r="A447" i="12"/>
  <c r="A446" i="12"/>
  <c r="A445" i="12"/>
  <c r="A444" i="12"/>
  <c r="A443" i="12"/>
  <c r="A442" i="12"/>
  <c r="A441" i="12"/>
  <c r="A440" i="12"/>
  <c r="A439" i="12"/>
  <c r="A438" i="12"/>
  <c r="A437" i="12"/>
  <c r="A436" i="12"/>
  <c r="A435" i="12"/>
  <c r="A434" i="12"/>
  <c r="A433" i="12"/>
  <c r="A432" i="12"/>
  <c r="A431" i="12"/>
  <c r="A430" i="12"/>
  <c r="A429" i="12"/>
  <c r="A428" i="12"/>
  <c r="A427" i="12"/>
  <c r="A426" i="12"/>
  <c r="A425" i="12"/>
  <c r="A424" i="12"/>
  <c r="A423" i="12"/>
  <c r="A422" i="12"/>
  <c r="A421" i="12"/>
  <c r="A420" i="12"/>
  <c r="A419" i="12"/>
  <c r="A418" i="12"/>
  <c r="A417" i="12"/>
  <c r="A416" i="12"/>
  <c r="A415" i="12"/>
  <c r="A414" i="12"/>
  <c r="A413" i="12"/>
  <c r="A412" i="12"/>
  <c r="A411" i="12"/>
  <c r="A410" i="12"/>
  <c r="A409" i="12"/>
  <c r="A408" i="12"/>
  <c r="A407" i="12"/>
  <c r="A406" i="12"/>
  <c r="A405" i="12"/>
  <c r="A404" i="12"/>
  <c r="A403" i="12"/>
  <c r="A402" i="12"/>
  <c r="A401" i="12"/>
  <c r="A400" i="12"/>
  <c r="A399" i="12"/>
  <c r="A398" i="12"/>
  <c r="A397" i="12"/>
  <c r="A396" i="12"/>
  <c r="A395" i="12"/>
  <c r="A394" i="12"/>
  <c r="A393" i="12"/>
  <c r="A392" i="12"/>
  <c r="A391" i="12"/>
  <c r="A390" i="12"/>
  <c r="A389" i="12"/>
  <c r="A388" i="12"/>
  <c r="A387" i="12"/>
  <c r="A386" i="12"/>
  <c r="A385" i="12"/>
  <c r="A384" i="12"/>
  <c r="A383" i="12"/>
  <c r="A382" i="12"/>
  <c r="A381" i="12"/>
  <c r="A380" i="12"/>
  <c r="A379" i="12"/>
  <c r="A378" i="12"/>
  <c r="A377" i="12"/>
  <c r="A376" i="12"/>
  <c r="A375" i="12"/>
  <c r="A374" i="12"/>
  <c r="A373" i="12"/>
  <c r="A372" i="12"/>
  <c r="A371" i="12"/>
  <c r="A370" i="12"/>
  <c r="A369" i="12"/>
  <c r="A368" i="12"/>
  <c r="A367" i="12"/>
  <c r="A366" i="12"/>
  <c r="A365" i="12"/>
  <c r="A364" i="12"/>
  <c r="A363" i="12"/>
  <c r="A362" i="12"/>
  <c r="A361" i="12"/>
  <c r="A360" i="12"/>
  <c r="A359" i="12"/>
  <c r="A358" i="12"/>
  <c r="A357" i="12"/>
  <c r="A356" i="12"/>
  <c r="A355" i="12"/>
  <c r="A354" i="12"/>
  <c r="A353" i="12"/>
  <c r="A352" i="12"/>
  <c r="A351" i="12"/>
  <c r="A350" i="12"/>
  <c r="A349" i="12"/>
  <c r="A348" i="12"/>
  <c r="A347" i="12"/>
  <c r="A346" i="12"/>
  <c r="A345" i="12"/>
  <c r="A344" i="12"/>
  <c r="A343" i="12"/>
  <c r="A342" i="12"/>
  <c r="A341" i="12"/>
  <c r="A340" i="12"/>
  <c r="A339" i="12"/>
  <c r="A338" i="12"/>
  <c r="A337" i="12"/>
  <c r="A336" i="12"/>
  <c r="A335" i="12"/>
  <c r="A334" i="12"/>
  <c r="A333" i="12"/>
  <c r="A332" i="12"/>
  <c r="A331" i="12"/>
  <c r="A330" i="12"/>
  <c r="A329" i="12"/>
  <c r="A328" i="12"/>
  <c r="A327" i="12"/>
  <c r="A326" i="12"/>
  <c r="A325" i="12"/>
  <c r="A324" i="12"/>
  <c r="A323" i="12"/>
  <c r="A322" i="12"/>
  <c r="A321" i="12"/>
  <c r="A320" i="12"/>
  <c r="A319" i="12"/>
  <c r="A318" i="12"/>
  <c r="A317" i="12"/>
  <c r="A316" i="12"/>
  <c r="A315" i="12"/>
  <c r="A314" i="12"/>
  <c r="A313" i="12"/>
  <c r="A312" i="12"/>
  <c r="A311" i="12"/>
  <c r="A310" i="12"/>
  <c r="A309" i="12"/>
  <c r="A308" i="12"/>
  <c r="A307" i="12"/>
  <c r="A306" i="12"/>
  <c r="A305" i="12"/>
  <c r="A304" i="12"/>
  <c r="A303" i="12"/>
  <c r="A302" i="12"/>
  <c r="A301" i="12"/>
  <c r="A300" i="12"/>
  <c r="A299" i="12"/>
  <c r="A298" i="12"/>
  <c r="A297" i="12"/>
  <c r="A296" i="12"/>
  <c r="A295" i="12"/>
  <c r="A294" i="12"/>
  <c r="A293" i="12"/>
  <c r="A292" i="12"/>
  <c r="A291" i="12"/>
  <c r="A290" i="12"/>
  <c r="A289" i="12"/>
  <c r="K287" i="12"/>
  <c r="A286" i="12"/>
  <c r="A285" i="12"/>
  <c r="A282" i="12"/>
  <c r="A281" i="12"/>
  <c r="A280" i="12"/>
  <c r="A279" i="12"/>
  <c r="A278" i="12"/>
  <c r="A277" i="12"/>
  <c r="A276" i="12"/>
  <c r="A275" i="12"/>
  <c r="A274" i="12"/>
  <c r="A273" i="12"/>
  <c r="A272" i="12"/>
  <c r="A271" i="12"/>
  <c r="A270" i="12"/>
  <c r="A269" i="12"/>
  <c r="A268" i="12"/>
  <c r="A267" i="12"/>
  <c r="A266" i="12"/>
  <c r="A265" i="12"/>
  <c r="A264" i="12"/>
  <c r="A263" i="12"/>
  <c r="A262" i="12"/>
  <c r="A261" i="12"/>
  <c r="A260" i="12"/>
  <c r="A259" i="12"/>
  <c r="A258" i="12"/>
  <c r="A257" i="12"/>
  <c r="A256" i="12"/>
  <c r="A255" i="12"/>
  <c r="A254" i="12"/>
  <c r="A253" i="12"/>
  <c r="A252" i="12"/>
  <c r="A251" i="12"/>
  <c r="A250" i="12"/>
  <c r="A249" i="12"/>
  <c r="A248" i="12"/>
  <c r="A247" i="12"/>
  <c r="A246" i="12"/>
  <c r="A245" i="12"/>
  <c r="A244" i="12"/>
  <c r="A243" i="12"/>
  <c r="A242" i="12"/>
  <c r="A241" i="12"/>
  <c r="A240" i="12"/>
  <c r="A239" i="12"/>
  <c r="A238" i="12"/>
  <c r="A237" i="12"/>
  <c r="A236" i="12"/>
  <c r="A235" i="12"/>
  <c r="A234" i="12"/>
  <c r="A233" i="12"/>
  <c r="A232" i="12"/>
  <c r="A231" i="12"/>
  <c r="A230" i="12"/>
  <c r="A226" i="12"/>
  <c r="A225" i="12"/>
  <c r="A224" i="12"/>
  <c r="A223" i="12"/>
  <c r="A222" i="12"/>
  <c r="A221" i="12"/>
  <c r="A220" i="12"/>
  <c r="A219" i="12"/>
  <c r="A218" i="12"/>
  <c r="A217" i="12"/>
  <c r="A216" i="12"/>
  <c r="A215" i="12"/>
  <c r="A214" i="12"/>
  <c r="A213" i="12"/>
  <c r="A212" i="12"/>
  <c r="A211" i="12"/>
  <c r="A210" i="12"/>
  <c r="A209" i="12"/>
  <c r="A208" i="12"/>
  <c r="A207" i="12"/>
  <c r="K205" i="12"/>
  <c r="A204" i="12"/>
  <c r="A203" i="12"/>
  <c r="A200" i="12"/>
  <c r="A199" i="12"/>
  <c r="A198" i="12"/>
  <c r="A197" i="12"/>
  <c r="A196" i="12"/>
  <c r="A195" i="12"/>
  <c r="A194" i="12"/>
  <c r="A193" i="12"/>
  <c r="A192" i="12"/>
  <c r="A191" i="12"/>
  <c r="A190" i="12"/>
  <c r="A189" i="12"/>
  <c r="A188" i="12"/>
  <c r="A187" i="12"/>
  <c r="A186" i="12"/>
  <c r="A185" i="12"/>
  <c r="A184" i="12"/>
  <c r="A183" i="12"/>
  <c r="A182" i="12"/>
  <c r="A181" i="12"/>
  <c r="A180" i="12"/>
  <c r="A179" i="12"/>
  <c r="A178" i="12"/>
  <c r="A177" i="12"/>
  <c r="A176" i="12"/>
  <c r="A175" i="12"/>
  <c r="A174" i="12"/>
  <c r="A173" i="12"/>
  <c r="A172" i="12"/>
  <c r="A171" i="12"/>
  <c r="A170" i="12"/>
  <c r="A169" i="12"/>
  <c r="A168" i="12"/>
  <c r="A167" i="12"/>
  <c r="A166" i="12"/>
  <c r="A165" i="12"/>
  <c r="A164" i="12"/>
  <c r="A163" i="12"/>
  <c r="A162" i="12"/>
  <c r="A161" i="12"/>
  <c r="A160" i="12"/>
  <c r="A159" i="12"/>
  <c r="A158" i="12"/>
  <c r="A157" i="12"/>
  <c r="A156" i="12"/>
  <c r="A155" i="12"/>
  <c r="A154" i="12"/>
  <c r="A153" i="12"/>
  <c r="A152" i="12"/>
  <c r="A151" i="12"/>
  <c r="A150" i="12"/>
  <c r="A149" i="12"/>
  <c r="A148" i="12"/>
  <c r="A147" i="12"/>
  <c r="A146" i="12"/>
  <c r="A145" i="12"/>
  <c r="A144" i="12"/>
  <c r="A143" i="12"/>
  <c r="A142" i="12"/>
  <c r="A141" i="12"/>
  <c r="A140" i="12"/>
  <c r="A139" i="12"/>
  <c r="A138" i="12"/>
  <c r="A137" i="12"/>
  <c r="A136" i="12"/>
  <c r="A135" i="12"/>
  <c r="A134" i="12"/>
  <c r="A133" i="12"/>
  <c r="A132" i="12"/>
  <c r="A131" i="12"/>
  <c r="A130" i="12"/>
  <c r="A129" i="12"/>
  <c r="A128" i="12"/>
  <c r="A127" i="12"/>
  <c r="A126" i="12"/>
  <c r="A125" i="12"/>
  <c r="K123" i="12"/>
  <c r="A122" i="12"/>
  <c r="A121" i="12"/>
  <c r="A118" i="12"/>
  <c r="A117" i="12"/>
  <c r="A116" i="12"/>
  <c r="A115" i="12"/>
  <c r="A114" i="12"/>
  <c r="A113" i="12"/>
  <c r="A112" i="12"/>
  <c r="A111" i="12"/>
  <c r="A110" i="12"/>
  <c r="A109" i="12"/>
  <c r="A108" i="12"/>
  <c r="A107" i="12"/>
  <c r="A106" i="12"/>
  <c r="A105" i="12"/>
  <c r="A104" i="12"/>
  <c r="A103" i="12"/>
  <c r="A102" i="12"/>
  <c r="A101" i="12"/>
  <c r="A100" i="12"/>
  <c r="A99" i="12"/>
  <c r="A98" i="12"/>
  <c r="A97" i="12"/>
  <c r="A96" i="12"/>
  <c r="A95" i="12"/>
  <c r="A94" i="12"/>
  <c r="A93" i="12"/>
  <c r="A92" i="12"/>
  <c r="A91" i="12"/>
  <c r="A90" i="12"/>
  <c r="A89" i="12"/>
  <c r="A88" i="12"/>
  <c r="A87" i="12"/>
  <c r="A86" i="12"/>
  <c r="A85" i="12"/>
  <c r="A84" i="12"/>
  <c r="A83" i="12"/>
  <c r="A82" i="12"/>
  <c r="A81" i="12"/>
  <c r="A80" i="12"/>
  <c r="A79" i="12"/>
  <c r="A78" i="12"/>
  <c r="A77" i="12"/>
  <c r="A76" i="12"/>
  <c r="A75" i="12"/>
  <c r="A74" i="12"/>
  <c r="A73" i="12"/>
  <c r="A72" i="12"/>
  <c r="A71" i="12"/>
  <c r="A70" i="12"/>
  <c r="A69" i="12"/>
  <c r="A65" i="12"/>
  <c r="A64" i="12"/>
  <c r="A63" i="12"/>
  <c r="A62" i="12"/>
  <c r="A61" i="12"/>
  <c r="A60" i="12"/>
  <c r="A59" i="12"/>
  <c r="A58" i="12"/>
  <c r="A57" i="12"/>
  <c r="A56" i="12"/>
  <c r="A55" i="12"/>
  <c r="A54" i="12"/>
  <c r="A53" i="12"/>
  <c r="D22" i="13"/>
  <c r="D24" i="13" s="1"/>
  <c r="E24" i="13" s="1"/>
  <c r="S4" i="13"/>
  <c r="S5" i="13" s="1"/>
  <c r="H22" i="13"/>
  <c r="H23" i="13" s="1"/>
  <c r="J2205" i="20"/>
  <c r="C2205" i="20"/>
  <c r="J2204" i="20"/>
  <c r="C2204" i="20"/>
  <c r="J2203" i="20"/>
  <c r="C2203" i="20"/>
  <c r="J2202" i="20"/>
  <c r="C2202" i="20"/>
  <c r="J2201" i="20"/>
  <c r="C2201" i="20"/>
  <c r="J2200" i="20"/>
  <c r="C2200" i="20"/>
  <c r="J2199" i="20"/>
  <c r="C2199" i="20"/>
  <c r="J2198" i="20"/>
  <c r="C2198" i="20"/>
  <c r="J2197" i="20"/>
  <c r="C2197" i="20"/>
  <c r="J2196" i="20"/>
  <c r="C2196" i="20"/>
  <c r="J2195" i="20"/>
  <c r="C2195" i="20"/>
  <c r="J2194" i="20"/>
  <c r="C2194" i="20"/>
  <c r="J2193" i="20"/>
  <c r="C2193" i="20"/>
  <c r="J2192" i="20"/>
  <c r="C2192" i="20"/>
  <c r="J2191" i="20"/>
  <c r="C2191" i="20"/>
  <c r="J2190" i="20"/>
  <c r="C2190" i="20"/>
  <c r="J2189" i="20"/>
  <c r="C2189" i="20"/>
  <c r="J2188" i="20"/>
  <c r="C2188" i="20"/>
  <c r="J2187" i="20"/>
  <c r="C2187" i="20"/>
  <c r="J2186" i="20"/>
  <c r="C2186" i="20"/>
  <c r="J2185" i="20"/>
  <c r="C2185" i="20"/>
  <c r="J2184" i="20"/>
  <c r="C2184" i="20"/>
  <c r="J2183" i="20"/>
  <c r="C2183" i="20"/>
  <c r="J2182" i="20"/>
  <c r="C2182" i="20"/>
  <c r="J2181" i="20"/>
  <c r="C2181" i="20"/>
  <c r="J2180" i="20"/>
  <c r="C2180" i="20"/>
  <c r="J2179" i="20"/>
  <c r="C2179" i="20"/>
  <c r="J2178" i="20"/>
  <c r="C2178" i="20"/>
  <c r="J2177" i="20"/>
  <c r="C2177" i="20"/>
  <c r="J2176" i="20"/>
  <c r="C2176" i="20"/>
  <c r="J2175" i="20"/>
  <c r="C2175" i="20"/>
  <c r="J2174" i="20"/>
  <c r="C2174" i="20"/>
  <c r="J2173" i="20"/>
  <c r="C2173" i="20"/>
  <c r="J2172" i="20"/>
  <c r="C2172" i="20"/>
  <c r="J2171" i="20"/>
  <c r="C2171" i="20"/>
  <c r="J2170" i="20"/>
  <c r="C2170" i="20"/>
  <c r="J2169" i="20"/>
  <c r="C2169" i="20"/>
  <c r="J2168" i="20"/>
  <c r="C2168" i="20"/>
  <c r="J2167" i="20"/>
  <c r="C2167" i="20"/>
  <c r="J2166" i="20"/>
  <c r="C2166" i="20"/>
  <c r="J2165" i="20"/>
  <c r="C2165" i="20"/>
  <c r="J2164" i="20"/>
  <c r="C2164" i="20"/>
  <c r="J2163" i="20"/>
  <c r="C2163" i="20"/>
  <c r="J2162" i="20"/>
  <c r="C2162" i="20"/>
  <c r="J2161" i="20"/>
  <c r="C2161" i="20"/>
  <c r="J2160" i="20"/>
  <c r="C2160" i="20"/>
  <c r="J2159" i="20"/>
  <c r="C2159" i="20"/>
  <c r="J2158" i="20"/>
  <c r="C2158" i="20"/>
  <c r="J2157" i="20"/>
  <c r="C2157" i="20"/>
  <c r="J2156" i="20"/>
  <c r="C2156" i="20"/>
  <c r="J2155" i="20"/>
  <c r="C2155" i="20"/>
  <c r="J2154" i="20"/>
  <c r="C2154" i="20"/>
  <c r="J2153" i="20"/>
  <c r="C2153" i="20"/>
  <c r="J2152" i="20"/>
  <c r="C2152" i="20"/>
  <c r="J2151" i="20"/>
  <c r="C2151" i="20"/>
  <c r="J2150" i="20"/>
  <c r="C2150" i="20"/>
  <c r="J2149" i="20"/>
  <c r="C2149" i="20"/>
  <c r="J2148" i="20"/>
  <c r="C2148" i="20"/>
  <c r="J2147" i="20"/>
  <c r="C2147" i="20"/>
  <c r="J2146" i="20"/>
  <c r="C2146" i="20"/>
  <c r="J2145" i="20"/>
  <c r="C2145" i="20"/>
  <c r="J2144" i="20"/>
  <c r="C2144" i="20"/>
  <c r="J2143" i="20"/>
  <c r="C2143" i="20"/>
  <c r="J2142" i="20"/>
  <c r="C2142" i="20"/>
  <c r="J2141" i="20"/>
  <c r="C2141" i="20"/>
  <c r="J2140" i="20"/>
  <c r="C2140" i="20"/>
  <c r="J2139" i="20"/>
  <c r="C2139" i="20"/>
  <c r="J2138" i="20"/>
  <c r="C2138" i="20"/>
  <c r="J2137" i="20"/>
  <c r="C2137" i="20"/>
  <c r="J2136" i="20"/>
  <c r="C2136" i="20"/>
  <c r="J2135" i="20"/>
  <c r="C2135" i="20"/>
  <c r="J2134" i="20"/>
  <c r="C2134" i="20"/>
  <c r="J2133" i="20"/>
  <c r="C2133" i="20"/>
  <c r="J2132" i="20"/>
  <c r="C2132" i="20"/>
  <c r="J2131" i="20"/>
  <c r="C2131" i="20"/>
  <c r="J2130" i="20"/>
  <c r="C2130" i="20"/>
  <c r="J2129" i="20"/>
  <c r="C2129" i="20"/>
  <c r="J2128" i="20"/>
  <c r="C2128" i="20"/>
  <c r="J2127" i="20"/>
  <c r="C2127" i="20"/>
  <c r="J2126" i="20"/>
  <c r="C2126" i="20"/>
  <c r="J2125" i="20"/>
  <c r="C2125" i="20"/>
  <c r="J2124" i="20"/>
  <c r="C2124" i="20"/>
  <c r="J2123" i="20"/>
  <c r="C2123" i="20"/>
  <c r="J2122" i="20"/>
  <c r="C2122" i="20"/>
  <c r="J2121" i="20"/>
  <c r="C2121" i="20"/>
  <c r="J2120" i="20"/>
  <c r="C2120" i="20"/>
  <c r="J2119" i="20"/>
  <c r="C2119" i="20"/>
  <c r="J2118" i="20"/>
  <c r="C2118" i="20"/>
  <c r="J2117" i="20"/>
  <c r="C2117" i="20"/>
  <c r="J2116" i="20"/>
  <c r="C2116" i="20"/>
  <c r="J2115" i="20"/>
  <c r="C2115" i="20"/>
  <c r="J2114" i="20"/>
  <c r="C2114" i="20"/>
  <c r="J2113" i="20"/>
  <c r="C2113" i="20"/>
  <c r="J2112" i="20"/>
  <c r="C2112" i="20"/>
  <c r="J2111" i="20"/>
  <c r="C2111" i="20"/>
  <c r="J2110" i="20"/>
  <c r="C2110" i="20"/>
  <c r="J2109" i="20"/>
  <c r="C2109" i="20"/>
  <c r="J2108" i="20"/>
  <c r="C2108" i="20"/>
  <c r="J2107" i="20"/>
  <c r="C2107" i="20"/>
  <c r="J2106" i="20"/>
  <c r="C2106" i="20"/>
  <c r="J2105" i="20"/>
  <c r="C2105" i="20"/>
  <c r="J2104" i="20"/>
  <c r="C2104" i="20"/>
  <c r="J2103" i="20"/>
  <c r="C2103" i="20"/>
  <c r="J2102" i="20"/>
  <c r="C2102" i="20"/>
  <c r="J2101" i="20"/>
  <c r="C2101" i="20"/>
  <c r="J2100" i="20"/>
  <c r="C2100" i="20"/>
  <c r="J2099" i="20"/>
  <c r="C2099" i="20"/>
  <c r="J2098" i="20"/>
  <c r="C2098" i="20"/>
  <c r="J2097" i="20"/>
  <c r="C2097" i="20"/>
  <c r="J2096" i="20"/>
  <c r="C2096" i="20"/>
  <c r="J2095" i="20"/>
  <c r="C2095" i="20"/>
  <c r="J2094" i="20"/>
  <c r="C2094" i="20"/>
  <c r="J2093" i="20"/>
  <c r="C2093" i="20"/>
  <c r="J2092" i="20"/>
  <c r="C2092" i="20"/>
  <c r="J2091" i="20"/>
  <c r="C2091" i="20"/>
  <c r="J2090" i="20"/>
  <c r="C2090" i="20"/>
  <c r="J2089" i="20"/>
  <c r="C2089" i="20"/>
  <c r="J2088" i="20"/>
  <c r="C2088" i="20"/>
  <c r="J2087" i="20"/>
  <c r="C2087" i="20"/>
  <c r="J2086" i="20"/>
  <c r="C2086" i="20"/>
  <c r="J2085" i="20"/>
  <c r="C2085" i="20"/>
  <c r="J2084" i="20"/>
  <c r="C2084" i="20"/>
  <c r="J2083" i="20"/>
  <c r="C2083" i="20"/>
  <c r="J2082" i="20"/>
  <c r="C2082" i="20"/>
  <c r="J2081" i="20"/>
  <c r="C2081" i="20"/>
  <c r="J2080" i="20"/>
  <c r="C2080" i="20"/>
  <c r="J2079" i="20"/>
  <c r="C2079" i="20"/>
  <c r="J2078" i="20"/>
  <c r="C2078" i="20"/>
  <c r="J2077" i="20"/>
  <c r="C2077" i="20"/>
  <c r="J2076" i="20"/>
  <c r="C2076" i="20"/>
  <c r="J2075" i="20"/>
  <c r="C2075" i="20"/>
  <c r="J2074" i="20"/>
  <c r="C2074" i="20"/>
  <c r="J2073" i="20"/>
  <c r="C2073" i="20"/>
  <c r="J2072" i="20"/>
  <c r="C2072" i="20"/>
  <c r="J2071" i="20"/>
  <c r="C2071" i="20"/>
  <c r="J2070" i="20"/>
  <c r="C2070" i="20"/>
  <c r="J2069" i="20"/>
  <c r="C2069" i="20"/>
  <c r="J2068" i="20"/>
  <c r="C2068" i="20"/>
  <c r="J2067" i="20"/>
  <c r="C2067" i="20"/>
  <c r="J2066" i="20"/>
  <c r="C2066" i="20"/>
  <c r="J2065" i="20"/>
  <c r="C2065" i="20"/>
  <c r="J2064" i="20"/>
  <c r="C2064" i="20"/>
  <c r="J2063" i="20"/>
  <c r="C2063" i="20"/>
  <c r="J2062" i="20"/>
  <c r="C2062" i="20"/>
  <c r="J2061" i="20"/>
  <c r="C2061" i="20"/>
  <c r="J2060" i="20"/>
  <c r="C2060" i="20"/>
  <c r="J2059" i="20"/>
  <c r="C2059" i="20"/>
  <c r="J2058" i="20"/>
  <c r="C2058" i="20"/>
  <c r="J2057" i="20"/>
  <c r="C2057" i="20"/>
  <c r="J2056" i="20"/>
  <c r="C2056" i="20"/>
  <c r="J2055" i="20"/>
  <c r="C2055" i="20"/>
  <c r="J2054" i="20"/>
  <c r="C2054" i="20"/>
  <c r="J2053" i="20"/>
  <c r="C2053" i="20"/>
  <c r="J2052" i="20"/>
  <c r="C2052" i="20"/>
  <c r="J2051" i="20"/>
  <c r="C2051" i="20"/>
  <c r="J2050" i="20"/>
  <c r="C2050" i="20"/>
  <c r="J2049" i="20"/>
  <c r="C2049" i="20"/>
  <c r="J2048" i="20"/>
  <c r="C2048" i="20"/>
  <c r="J2047" i="20"/>
  <c r="C2047" i="20"/>
  <c r="J2046" i="20"/>
  <c r="C2046" i="20"/>
  <c r="J2045" i="20"/>
  <c r="C2045" i="20"/>
  <c r="J2044" i="20"/>
  <c r="C2044" i="20"/>
  <c r="J2043" i="20"/>
  <c r="C2043" i="20"/>
  <c r="J2042" i="20"/>
  <c r="C2042" i="20"/>
  <c r="J2041" i="20"/>
  <c r="C2041" i="20"/>
  <c r="J2040" i="20"/>
  <c r="C2040" i="20"/>
  <c r="J2039" i="20"/>
  <c r="C2039" i="20"/>
  <c r="J2038" i="20"/>
  <c r="C2038" i="20"/>
  <c r="J2037" i="20"/>
  <c r="C2037" i="20"/>
  <c r="J2036" i="20"/>
  <c r="C2036" i="20"/>
  <c r="J2035" i="20"/>
  <c r="C2035" i="20"/>
  <c r="J2034" i="20"/>
  <c r="C2034" i="20"/>
  <c r="J2033" i="20"/>
  <c r="C2033" i="20"/>
  <c r="J2032" i="20"/>
  <c r="C2032" i="20"/>
  <c r="J2031" i="20"/>
  <c r="C2031" i="20"/>
  <c r="J2030" i="20"/>
  <c r="C2030" i="20"/>
  <c r="J2029" i="20"/>
  <c r="C2029" i="20"/>
  <c r="J2028" i="20"/>
  <c r="C2028" i="20"/>
  <c r="J2027" i="20"/>
  <c r="C2027" i="20"/>
  <c r="J2026" i="20"/>
  <c r="C2026" i="20"/>
  <c r="J2025" i="20"/>
  <c r="C2025" i="20"/>
  <c r="J2024" i="20"/>
  <c r="C2024" i="20"/>
  <c r="J2023" i="20"/>
  <c r="C2023" i="20"/>
  <c r="J2022" i="20"/>
  <c r="C2022" i="20"/>
  <c r="J2021" i="20"/>
  <c r="C2021" i="20"/>
  <c r="J2020" i="20"/>
  <c r="C2020" i="20"/>
  <c r="J2019" i="20"/>
  <c r="C2019" i="20"/>
  <c r="J2018" i="20"/>
  <c r="C2018" i="20"/>
  <c r="J2017" i="20"/>
  <c r="C2017" i="20"/>
  <c r="J2016" i="20"/>
  <c r="C2016" i="20"/>
  <c r="J2015" i="20"/>
  <c r="C2015" i="20"/>
  <c r="J2014" i="20"/>
  <c r="C2014" i="20"/>
  <c r="J2013" i="20"/>
  <c r="C2013" i="20"/>
  <c r="J2012" i="20"/>
  <c r="C2012" i="20"/>
  <c r="J2011" i="20"/>
  <c r="C2011" i="20"/>
  <c r="J2010" i="20"/>
  <c r="C2010" i="20"/>
  <c r="J2009" i="20"/>
  <c r="C2009" i="20"/>
  <c r="J2008" i="20"/>
  <c r="C2008" i="20"/>
  <c r="J2007" i="20"/>
  <c r="C2007" i="20"/>
  <c r="J2006" i="20"/>
  <c r="C2006" i="20"/>
  <c r="J2005" i="20"/>
  <c r="C2005" i="20"/>
  <c r="J2004" i="20"/>
  <c r="C2004" i="20"/>
  <c r="J2003" i="20"/>
  <c r="C2003" i="20"/>
  <c r="J2002" i="20"/>
  <c r="C2002" i="20"/>
  <c r="J2001" i="20"/>
  <c r="C2001" i="20"/>
  <c r="J2000" i="20"/>
  <c r="C2000" i="20"/>
  <c r="J1999" i="20"/>
  <c r="C1999" i="20"/>
  <c r="J1998" i="20"/>
  <c r="C1998" i="20"/>
  <c r="J1997" i="20"/>
  <c r="C1997" i="20"/>
  <c r="J1996" i="20"/>
  <c r="C1996" i="20"/>
  <c r="J1995" i="20"/>
  <c r="C1995" i="20"/>
  <c r="J1994" i="20"/>
  <c r="C1994" i="20"/>
  <c r="J1993" i="20"/>
  <c r="C1993" i="20"/>
  <c r="J1992" i="20"/>
  <c r="C1992" i="20"/>
  <c r="J1991" i="20"/>
  <c r="C1991" i="20"/>
  <c r="J1990" i="20"/>
  <c r="C1990" i="20"/>
  <c r="J1989" i="20"/>
  <c r="C1989" i="20"/>
  <c r="J1988" i="20"/>
  <c r="C1988" i="20"/>
  <c r="J1987" i="20"/>
  <c r="C1987" i="20"/>
  <c r="J1986" i="20"/>
  <c r="C1986" i="20"/>
  <c r="J1985" i="20"/>
  <c r="C1985" i="20"/>
  <c r="J1984" i="20"/>
  <c r="C1984" i="20"/>
  <c r="J1983" i="20"/>
  <c r="C1983" i="20"/>
  <c r="J1982" i="20"/>
  <c r="C1982" i="20"/>
  <c r="J1981" i="20"/>
  <c r="C1981" i="20"/>
  <c r="J1980" i="20"/>
  <c r="C1980" i="20"/>
  <c r="J1979" i="20"/>
  <c r="C1979" i="20"/>
  <c r="J1978" i="20"/>
  <c r="C1978" i="20"/>
  <c r="J1977" i="20"/>
  <c r="C1977" i="20"/>
  <c r="J1976" i="20"/>
  <c r="C1976" i="20"/>
  <c r="J1975" i="20"/>
  <c r="C1975" i="20"/>
  <c r="J1974" i="20"/>
  <c r="C1974" i="20"/>
  <c r="J1973" i="20"/>
  <c r="C1973" i="20"/>
  <c r="J1972" i="20"/>
  <c r="C1972" i="20"/>
  <c r="J1971" i="20"/>
  <c r="C1971" i="20"/>
  <c r="J1970" i="20"/>
  <c r="C1970" i="20"/>
  <c r="J1969" i="20"/>
  <c r="C1969" i="20"/>
  <c r="J1968" i="20"/>
  <c r="C1968" i="20"/>
  <c r="J1967" i="20"/>
  <c r="C1967" i="20"/>
  <c r="J1966" i="20"/>
  <c r="C1966" i="20"/>
  <c r="J1965" i="20"/>
  <c r="C1965" i="20"/>
  <c r="J1964" i="20"/>
  <c r="C1964" i="20"/>
  <c r="J1963" i="20"/>
  <c r="C1963" i="20"/>
  <c r="J1962" i="20"/>
  <c r="C1962" i="20"/>
  <c r="J1961" i="20"/>
  <c r="C1961" i="20"/>
  <c r="J1960" i="20"/>
  <c r="C1960" i="20"/>
  <c r="J1959" i="20"/>
  <c r="C1959" i="20"/>
  <c r="J1958" i="20"/>
  <c r="C1958" i="20"/>
  <c r="J1957" i="20"/>
  <c r="C1957" i="20"/>
  <c r="J1956" i="20"/>
  <c r="C1956" i="20"/>
  <c r="J1955" i="20"/>
  <c r="C1955" i="20"/>
  <c r="J1954" i="20"/>
  <c r="C1954" i="20"/>
  <c r="J1953" i="20"/>
  <c r="C1953" i="20"/>
  <c r="J1952" i="20"/>
  <c r="C1952" i="20"/>
  <c r="J1951" i="20"/>
  <c r="C1951" i="20"/>
  <c r="J1950" i="20"/>
  <c r="C1950" i="20"/>
  <c r="J1949" i="20"/>
  <c r="C1949" i="20"/>
  <c r="J1948" i="20"/>
  <c r="C1948" i="20"/>
  <c r="J1947" i="20"/>
  <c r="C1947" i="20"/>
  <c r="J1946" i="20"/>
  <c r="C1946" i="20"/>
  <c r="J1945" i="20"/>
  <c r="C1945" i="20"/>
  <c r="J1944" i="20"/>
  <c r="C1944" i="20"/>
  <c r="J1943" i="20"/>
  <c r="C1943" i="20"/>
  <c r="J1942" i="20"/>
  <c r="C1942" i="20"/>
  <c r="J1941" i="20"/>
  <c r="C1941" i="20"/>
  <c r="J1940" i="20"/>
  <c r="C1940" i="20"/>
  <c r="J1939" i="20"/>
  <c r="C1939" i="20"/>
  <c r="J1938" i="20"/>
  <c r="C1938" i="20"/>
  <c r="J1937" i="20"/>
  <c r="C1937" i="20"/>
  <c r="J1936" i="20"/>
  <c r="C1936" i="20"/>
  <c r="J1935" i="20"/>
  <c r="C1935" i="20"/>
  <c r="J1934" i="20"/>
  <c r="C1934" i="20"/>
  <c r="J1933" i="20"/>
  <c r="C1933" i="20"/>
  <c r="J1932" i="20"/>
  <c r="C1932" i="20"/>
  <c r="J1931" i="20"/>
  <c r="C1931" i="20"/>
  <c r="J1930" i="20"/>
  <c r="C1930" i="20"/>
  <c r="J1929" i="20"/>
  <c r="C1929" i="20"/>
  <c r="J1928" i="20"/>
  <c r="C1928" i="20"/>
  <c r="J1927" i="20"/>
  <c r="C1927" i="20"/>
  <c r="J1926" i="20"/>
  <c r="C1926" i="20"/>
  <c r="J1925" i="20"/>
  <c r="C1925" i="20"/>
  <c r="J1924" i="20"/>
  <c r="C1924" i="20"/>
  <c r="J1923" i="20"/>
  <c r="C1923" i="20"/>
  <c r="J1922" i="20"/>
  <c r="C1922" i="20"/>
  <c r="J1921" i="20"/>
  <c r="C1921" i="20"/>
  <c r="J1920" i="20"/>
  <c r="C1920" i="20"/>
  <c r="J1919" i="20"/>
  <c r="C1919" i="20"/>
  <c r="J1918" i="20"/>
  <c r="C1918" i="20"/>
  <c r="J1917" i="20"/>
  <c r="C1917" i="20"/>
  <c r="J1916" i="20"/>
  <c r="C1916" i="20"/>
  <c r="J1915" i="20"/>
  <c r="C1915" i="20"/>
  <c r="J1914" i="20"/>
  <c r="C1914" i="20"/>
  <c r="J1913" i="20"/>
  <c r="C1913" i="20"/>
  <c r="J1912" i="20"/>
  <c r="C1912" i="20"/>
  <c r="J1911" i="20"/>
  <c r="C1911" i="20"/>
  <c r="J1910" i="20"/>
  <c r="C1910" i="20"/>
  <c r="J1909" i="20"/>
  <c r="C1909" i="20"/>
  <c r="J1908" i="20"/>
  <c r="C1908" i="20"/>
  <c r="J1907" i="20"/>
  <c r="C1907" i="20"/>
  <c r="J1906" i="20"/>
  <c r="C1906" i="20"/>
  <c r="J1905" i="20"/>
  <c r="C1905" i="20"/>
  <c r="J1904" i="20"/>
  <c r="C1904" i="20"/>
  <c r="J1903" i="20"/>
  <c r="C1903" i="20"/>
  <c r="J1902" i="20"/>
  <c r="C1902" i="20"/>
  <c r="J1901" i="20"/>
  <c r="C1901" i="20"/>
  <c r="J1900" i="20"/>
  <c r="C1900" i="20"/>
  <c r="J1899" i="20"/>
  <c r="C1899" i="20"/>
  <c r="J1898" i="20"/>
  <c r="C1898" i="20"/>
  <c r="J1897" i="20"/>
  <c r="C1897" i="20"/>
  <c r="J1896" i="20"/>
  <c r="C1896" i="20"/>
  <c r="J1895" i="20"/>
  <c r="C1895" i="20"/>
  <c r="J1894" i="20"/>
  <c r="C1894" i="20"/>
  <c r="J1893" i="20"/>
  <c r="C1893" i="20"/>
  <c r="J1892" i="20"/>
  <c r="C1892" i="20"/>
  <c r="J1891" i="20"/>
  <c r="C1891" i="20"/>
  <c r="J1890" i="20"/>
  <c r="C1890" i="20"/>
  <c r="J1889" i="20"/>
  <c r="C1889" i="20"/>
  <c r="J1888" i="20"/>
  <c r="C1888" i="20"/>
  <c r="J1887" i="20"/>
  <c r="C1887" i="20"/>
  <c r="J1886" i="20"/>
  <c r="C1886" i="20"/>
  <c r="J1885" i="20"/>
  <c r="C1885" i="20"/>
  <c r="J1884" i="20"/>
  <c r="C1884" i="20"/>
  <c r="J1883" i="20"/>
  <c r="C1883" i="20"/>
  <c r="J1882" i="20"/>
  <c r="C1882" i="20"/>
  <c r="J1881" i="20"/>
  <c r="C1881" i="20"/>
  <c r="J1880" i="20"/>
  <c r="C1880" i="20"/>
  <c r="J1879" i="20"/>
  <c r="C1879" i="20"/>
  <c r="J1878" i="20"/>
  <c r="C1878" i="20"/>
  <c r="J1877" i="20"/>
  <c r="C1877" i="20"/>
  <c r="J1876" i="20"/>
  <c r="C1876" i="20"/>
  <c r="J1875" i="20"/>
  <c r="C1875" i="20"/>
  <c r="J1874" i="20"/>
  <c r="C1874" i="20"/>
  <c r="J1873" i="20"/>
  <c r="C1873" i="20"/>
  <c r="J1872" i="20"/>
  <c r="C1872" i="20"/>
  <c r="J1871" i="20"/>
  <c r="C1871" i="20"/>
  <c r="J1870" i="20"/>
  <c r="C1870" i="20"/>
  <c r="J1869" i="20"/>
  <c r="C1869" i="20"/>
  <c r="J1868" i="20"/>
  <c r="C1868" i="20"/>
  <c r="J1867" i="20"/>
  <c r="C1867" i="20"/>
  <c r="J1866" i="20"/>
  <c r="C1866" i="20"/>
  <c r="J1865" i="20"/>
  <c r="C1865" i="20"/>
  <c r="J1864" i="20"/>
  <c r="C1864" i="20"/>
  <c r="J1863" i="20"/>
  <c r="C1863" i="20"/>
  <c r="J1862" i="20"/>
  <c r="C1862" i="20"/>
  <c r="J1861" i="20"/>
  <c r="C1861" i="20"/>
  <c r="J1860" i="20"/>
  <c r="C1860" i="20"/>
  <c r="J1859" i="20"/>
  <c r="C1859" i="20"/>
  <c r="J1858" i="20"/>
  <c r="C1858" i="20"/>
  <c r="J1857" i="20"/>
  <c r="C1857" i="20"/>
  <c r="J1856" i="20"/>
  <c r="C1856" i="20"/>
  <c r="J1855" i="20"/>
  <c r="C1855" i="20"/>
  <c r="J1854" i="20"/>
  <c r="C1854" i="20"/>
  <c r="J1853" i="20"/>
  <c r="C1853" i="20"/>
  <c r="J1852" i="20"/>
  <c r="C1852" i="20"/>
  <c r="J1851" i="20"/>
  <c r="C1851" i="20"/>
  <c r="J1850" i="20"/>
  <c r="C1850" i="20"/>
  <c r="J1849" i="20"/>
  <c r="C1849" i="20"/>
  <c r="J1848" i="20"/>
  <c r="C1848" i="20"/>
  <c r="J1847" i="20"/>
  <c r="C1847" i="20"/>
  <c r="J1846" i="20"/>
  <c r="C1846" i="20"/>
  <c r="J1845" i="20"/>
  <c r="C1845" i="20"/>
  <c r="J1844" i="20"/>
  <c r="C1844" i="20"/>
  <c r="J1843" i="20"/>
  <c r="C1843" i="20"/>
  <c r="J1842" i="20"/>
  <c r="C1842" i="20"/>
  <c r="J1841" i="20"/>
  <c r="C1841" i="20"/>
  <c r="J1840" i="20"/>
  <c r="C1840" i="20"/>
  <c r="J1839" i="20"/>
  <c r="C1839" i="20"/>
  <c r="J1838" i="20"/>
  <c r="C1838" i="20"/>
  <c r="J1837" i="20"/>
  <c r="C1837" i="20"/>
  <c r="J1836" i="20"/>
  <c r="C1836" i="20"/>
  <c r="J1835" i="20"/>
  <c r="C1835" i="20"/>
  <c r="J1834" i="20"/>
  <c r="C1834" i="20"/>
  <c r="J1833" i="20"/>
  <c r="C1833" i="20"/>
  <c r="J1832" i="20"/>
  <c r="C1832" i="20"/>
  <c r="J1831" i="20"/>
  <c r="C1831" i="20"/>
  <c r="J1830" i="20"/>
  <c r="C1830" i="20"/>
  <c r="J1829" i="20"/>
  <c r="C1829" i="20"/>
  <c r="J1828" i="20"/>
  <c r="C1828" i="20"/>
  <c r="J1827" i="20"/>
  <c r="C1827" i="20"/>
  <c r="J1826" i="20"/>
  <c r="C1826" i="20"/>
  <c r="J1825" i="20"/>
  <c r="C1825" i="20"/>
  <c r="J1824" i="20"/>
  <c r="C1824" i="20"/>
  <c r="J1823" i="20"/>
  <c r="C1823" i="20"/>
  <c r="J1822" i="20"/>
  <c r="C1822" i="20"/>
  <c r="J1821" i="20"/>
  <c r="C1821" i="20"/>
  <c r="J1820" i="20"/>
  <c r="C1820" i="20"/>
  <c r="J1819" i="20"/>
  <c r="C1819" i="20"/>
  <c r="J1818" i="20"/>
  <c r="C1818" i="20"/>
  <c r="J1817" i="20"/>
  <c r="C1817" i="20"/>
  <c r="J1816" i="20"/>
  <c r="C1816" i="20"/>
  <c r="J1815" i="20"/>
  <c r="C1815" i="20"/>
  <c r="J1814" i="20"/>
  <c r="C1814" i="20"/>
  <c r="J1813" i="20"/>
  <c r="C1813" i="20"/>
  <c r="J1812" i="20"/>
  <c r="C1812" i="20"/>
  <c r="J1811" i="20"/>
  <c r="C1811" i="20"/>
  <c r="J1810" i="20"/>
  <c r="C1810" i="20"/>
  <c r="J1809" i="20"/>
  <c r="C1809" i="20"/>
  <c r="J1808" i="20"/>
  <c r="C1808" i="20"/>
  <c r="J1807" i="20"/>
  <c r="C1807" i="20"/>
  <c r="J1806" i="20"/>
  <c r="C1806" i="20"/>
  <c r="J1805" i="20"/>
  <c r="C1805" i="20"/>
  <c r="J1804" i="20"/>
  <c r="C1804" i="20"/>
  <c r="J1803" i="20"/>
  <c r="C1803" i="20"/>
  <c r="J1802" i="20"/>
  <c r="C1802" i="20"/>
  <c r="J1801" i="20"/>
  <c r="C1801" i="20"/>
  <c r="J1800" i="20"/>
  <c r="C1800" i="20"/>
  <c r="J1799" i="20"/>
  <c r="C1799" i="20"/>
  <c r="J1798" i="20"/>
  <c r="C1798" i="20"/>
  <c r="J1797" i="20"/>
  <c r="C1797" i="20"/>
  <c r="J1796" i="20"/>
  <c r="C1796" i="20"/>
  <c r="J1795" i="20"/>
  <c r="C1795" i="20"/>
  <c r="J1794" i="20"/>
  <c r="C1794" i="20"/>
  <c r="J1793" i="20"/>
  <c r="C1793" i="20"/>
  <c r="J1792" i="20"/>
  <c r="C1792" i="20"/>
  <c r="J1791" i="20"/>
  <c r="C1791" i="20"/>
  <c r="J1790" i="20"/>
  <c r="C1790" i="20"/>
  <c r="J1789" i="20"/>
  <c r="C1789" i="20"/>
  <c r="J1788" i="20"/>
  <c r="C1788" i="20"/>
  <c r="J1787" i="20"/>
  <c r="C1787" i="20"/>
  <c r="J1786" i="20"/>
  <c r="C1786" i="20"/>
  <c r="J1785" i="20"/>
  <c r="C1785" i="20"/>
  <c r="J1784" i="20"/>
  <c r="C1784" i="20"/>
  <c r="J1783" i="20"/>
  <c r="C1783" i="20"/>
  <c r="J1782" i="20"/>
  <c r="C1782" i="20"/>
  <c r="J1781" i="20"/>
  <c r="C1781" i="20"/>
  <c r="J1780" i="20"/>
  <c r="C1780" i="20"/>
  <c r="J1779" i="20"/>
  <c r="C1779" i="20"/>
  <c r="J1778" i="20"/>
  <c r="C1778" i="20"/>
  <c r="J1777" i="20"/>
  <c r="C1777" i="20"/>
  <c r="J1776" i="20"/>
  <c r="C1776" i="20"/>
  <c r="J1775" i="20"/>
  <c r="C1775" i="20"/>
  <c r="J1774" i="20"/>
  <c r="C1774" i="20"/>
  <c r="J1773" i="20"/>
  <c r="C1773" i="20"/>
  <c r="J1772" i="20"/>
  <c r="C1772" i="20"/>
  <c r="J1771" i="20"/>
  <c r="C1771" i="20"/>
  <c r="J1770" i="20"/>
  <c r="C1770" i="20"/>
  <c r="J1769" i="20"/>
  <c r="C1769" i="20"/>
  <c r="J1768" i="20"/>
  <c r="C1768" i="20"/>
  <c r="J1767" i="20"/>
  <c r="C1767" i="20"/>
  <c r="J1766" i="20"/>
  <c r="C1766" i="20"/>
  <c r="J1765" i="20"/>
  <c r="C1765" i="20"/>
  <c r="J1764" i="20"/>
  <c r="C1764" i="20"/>
  <c r="J1763" i="20"/>
  <c r="C1763" i="20"/>
  <c r="J1762" i="20"/>
  <c r="C1762" i="20"/>
  <c r="J1761" i="20"/>
  <c r="C1761" i="20"/>
  <c r="J1760" i="20"/>
  <c r="C1760" i="20"/>
  <c r="J1759" i="20"/>
  <c r="C1759" i="20"/>
  <c r="J1758" i="20"/>
  <c r="C1758" i="20"/>
  <c r="J1757" i="20"/>
  <c r="C1757" i="20"/>
  <c r="J1756" i="20"/>
  <c r="C1756" i="20"/>
  <c r="J1755" i="20"/>
  <c r="C1755" i="20"/>
  <c r="J1754" i="20"/>
  <c r="C1754" i="20"/>
  <c r="J1753" i="20"/>
  <c r="C1753" i="20"/>
  <c r="J1752" i="20"/>
  <c r="C1752" i="20"/>
  <c r="J1751" i="20"/>
  <c r="C1751" i="20"/>
  <c r="J1750" i="20"/>
  <c r="C1750" i="20"/>
  <c r="J1749" i="20"/>
  <c r="C1749" i="20"/>
  <c r="J1748" i="20"/>
  <c r="C1748" i="20"/>
  <c r="J1747" i="20"/>
  <c r="C1747" i="20"/>
  <c r="J1746" i="20"/>
  <c r="C1746" i="20"/>
  <c r="J1745" i="20"/>
  <c r="C1745" i="20"/>
  <c r="J1744" i="20"/>
  <c r="C1744" i="20"/>
  <c r="J1743" i="20"/>
  <c r="C1743" i="20"/>
  <c r="J1742" i="20"/>
  <c r="C1742" i="20"/>
  <c r="J1741" i="20"/>
  <c r="C1741" i="20"/>
  <c r="J1740" i="20"/>
  <c r="C1740" i="20"/>
  <c r="J1739" i="20"/>
  <c r="C1739" i="20"/>
  <c r="J1738" i="20"/>
  <c r="C1738" i="20"/>
  <c r="J1737" i="20"/>
  <c r="C1737" i="20"/>
  <c r="J1736" i="20"/>
  <c r="C1736" i="20"/>
  <c r="J1735" i="20"/>
  <c r="C1735" i="20"/>
  <c r="J1734" i="20"/>
  <c r="C1734" i="20"/>
  <c r="J1733" i="20"/>
  <c r="C1733" i="20"/>
  <c r="J1732" i="20"/>
  <c r="C1732" i="20"/>
  <c r="J1731" i="20"/>
  <c r="C1731" i="20"/>
  <c r="J1730" i="20"/>
  <c r="C1730" i="20"/>
  <c r="J1729" i="20"/>
  <c r="C1729" i="20"/>
  <c r="J1728" i="20"/>
  <c r="C1728" i="20"/>
  <c r="J1727" i="20"/>
  <c r="C1727" i="20"/>
  <c r="J1726" i="20"/>
  <c r="C1726" i="20"/>
  <c r="J1725" i="20"/>
  <c r="C1725" i="20"/>
  <c r="J1724" i="20"/>
  <c r="C1724" i="20"/>
  <c r="J1723" i="20"/>
  <c r="C1723" i="20"/>
  <c r="J1722" i="20"/>
  <c r="C1722" i="20"/>
  <c r="J1721" i="20"/>
  <c r="C1721" i="20"/>
  <c r="J1720" i="20"/>
  <c r="C1720" i="20"/>
  <c r="J1719" i="20"/>
  <c r="C1719" i="20"/>
  <c r="J1718" i="20"/>
  <c r="C1718" i="20"/>
  <c r="J1717" i="20"/>
  <c r="C1717" i="20"/>
  <c r="J1716" i="20"/>
  <c r="C1716" i="20"/>
  <c r="J1715" i="20"/>
  <c r="C1715" i="20"/>
  <c r="J1714" i="20"/>
  <c r="C1714" i="20"/>
  <c r="J1713" i="20"/>
  <c r="C1713" i="20"/>
  <c r="J1712" i="20"/>
  <c r="C1712" i="20"/>
  <c r="J1711" i="20"/>
  <c r="C1711" i="20"/>
  <c r="J1710" i="20"/>
  <c r="C1710" i="20"/>
  <c r="J1709" i="20"/>
  <c r="C1709" i="20"/>
  <c r="J1708" i="20"/>
  <c r="C1708" i="20"/>
  <c r="J1707" i="20"/>
  <c r="C1707" i="20"/>
  <c r="J1706" i="20"/>
  <c r="C1706" i="20"/>
  <c r="J1705" i="20"/>
  <c r="C1705" i="20"/>
  <c r="J1704" i="20"/>
  <c r="C1704" i="20"/>
  <c r="J1703" i="20"/>
  <c r="C1703" i="20"/>
  <c r="J1702" i="20"/>
  <c r="C1702" i="20"/>
  <c r="J1701" i="20"/>
  <c r="C1701" i="20"/>
  <c r="J1700" i="20"/>
  <c r="C1700" i="20"/>
  <c r="J1699" i="20"/>
  <c r="C1699" i="20"/>
  <c r="J1698" i="20"/>
  <c r="C1698" i="20"/>
  <c r="J1697" i="20"/>
  <c r="C1697" i="20"/>
  <c r="J1696" i="20"/>
  <c r="C1696" i="20"/>
  <c r="J1695" i="20"/>
  <c r="C1695" i="20"/>
  <c r="J1694" i="20"/>
  <c r="C1694" i="20"/>
  <c r="J1693" i="20"/>
  <c r="C1693" i="20"/>
  <c r="J1692" i="20"/>
  <c r="C1692" i="20"/>
  <c r="J1691" i="20"/>
  <c r="C1691" i="20"/>
  <c r="J1690" i="20"/>
  <c r="C1690" i="20"/>
  <c r="J1689" i="20"/>
  <c r="C1689" i="20"/>
  <c r="J1688" i="20"/>
  <c r="C1688" i="20"/>
  <c r="J1687" i="20"/>
  <c r="C1687" i="20"/>
  <c r="J1686" i="20"/>
  <c r="C1686" i="20"/>
  <c r="J1685" i="20"/>
  <c r="C1685" i="20"/>
  <c r="J1684" i="20"/>
  <c r="C1684" i="20"/>
  <c r="J1683" i="20"/>
  <c r="C1683" i="20"/>
  <c r="J1682" i="20"/>
  <c r="C1682" i="20"/>
  <c r="J1681" i="20"/>
  <c r="C1681" i="20"/>
  <c r="J1680" i="20"/>
  <c r="C1680" i="20"/>
  <c r="J1679" i="20"/>
  <c r="C1679" i="20"/>
  <c r="J1678" i="20"/>
  <c r="C1678" i="20"/>
  <c r="J1677" i="20"/>
  <c r="C1677" i="20"/>
  <c r="J1676" i="20"/>
  <c r="C1676" i="20"/>
  <c r="J1675" i="20"/>
  <c r="C1675" i="20"/>
  <c r="J1674" i="20"/>
  <c r="C1674" i="20"/>
  <c r="J1673" i="20"/>
  <c r="C1673" i="20"/>
  <c r="J1672" i="20"/>
  <c r="C1672" i="20"/>
  <c r="J1671" i="20"/>
  <c r="C1671" i="20"/>
  <c r="J1670" i="20"/>
  <c r="C1670" i="20"/>
  <c r="J1669" i="20"/>
  <c r="C1669" i="20"/>
  <c r="J1668" i="20"/>
  <c r="C1668" i="20"/>
  <c r="J1667" i="20"/>
  <c r="C1667" i="20"/>
  <c r="J1666" i="20"/>
  <c r="C1666" i="20"/>
  <c r="J1665" i="20"/>
  <c r="C1665" i="20"/>
  <c r="J1664" i="20"/>
  <c r="C1664" i="20"/>
  <c r="J1663" i="20"/>
  <c r="C1663" i="20"/>
  <c r="J1662" i="20"/>
  <c r="C1662" i="20"/>
  <c r="J1661" i="20"/>
  <c r="C1661" i="20"/>
  <c r="J1660" i="20"/>
  <c r="C1660" i="20"/>
  <c r="J1659" i="20"/>
  <c r="C1659" i="20"/>
  <c r="J1658" i="20"/>
  <c r="C1658" i="20"/>
  <c r="J1657" i="20"/>
  <c r="C1657" i="20"/>
  <c r="J1656" i="20"/>
  <c r="C1656" i="20"/>
  <c r="J1655" i="20"/>
  <c r="C1655" i="20"/>
  <c r="J1654" i="20"/>
  <c r="C1654" i="20"/>
  <c r="J1653" i="20"/>
  <c r="C1653" i="20"/>
  <c r="J1652" i="20"/>
  <c r="C1652" i="20"/>
  <c r="J1651" i="20"/>
  <c r="C1651" i="20"/>
  <c r="J1650" i="20"/>
  <c r="C1650" i="20"/>
  <c r="J1649" i="20"/>
  <c r="C1649" i="20"/>
  <c r="J1648" i="20"/>
  <c r="C1648" i="20"/>
  <c r="J1647" i="20"/>
  <c r="C1647" i="20"/>
  <c r="J1646" i="20"/>
  <c r="C1646" i="20"/>
  <c r="J1645" i="20"/>
  <c r="C1645" i="20"/>
  <c r="J1644" i="20"/>
  <c r="C1644" i="20"/>
  <c r="J1643" i="20"/>
  <c r="C1643" i="20"/>
  <c r="J1642" i="20"/>
  <c r="C1642" i="20"/>
  <c r="J1641" i="20"/>
  <c r="C1641" i="20"/>
  <c r="J1640" i="20"/>
  <c r="C1640" i="20"/>
  <c r="J1639" i="20"/>
  <c r="C1639" i="20"/>
  <c r="J1638" i="20"/>
  <c r="C1638" i="20"/>
  <c r="J1637" i="20"/>
  <c r="C1637" i="20"/>
  <c r="J1636" i="20"/>
  <c r="C1636" i="20"/>
  <c r="J1635" i="20"/>
  <c r="C1635" i="20"/>
  <c r="J1634" i="20"/>
  <c r="C1634" i="20"/>
  <c r="J1633" i="20"/>
  <c r="C1633" i="20"/>
  <c r="J1632" i="20"/>
  <c r="C1632" i="20"/>
  <c r="J1631" i="20"/>
  <c r="C1631" i="20"/>
  <c r="J1630" i="20"/>
  <c r="C1630" i="20"/>
  <c r="J1629" i="20"/>
  <c r="C1629" i="20"/>
  <c r="J1628" i="20"/>
  <c r="C1628" i="20"/>
  <c r="J1627" i="20"/>
  <c r="C1627" i="20"/>
  <c r="J1626" i="20"/>
  <c r="C1626" i="20"/>
  <c r="J1625" i="20"/>
  <c r="C1625" i="20"/>
  <c r="J1624" i="20"/>
  <c r="C1624" i="20"/>
  <c r="J1623" i="20"/>
  <c r="C1623" i="20"/>
  <c r="J1622" i="20"/>
  <c r="C1622" i="20"/>
  <c r="J1621" i="20"/>
  <c r="C1621" i="20"/>
  <c r="J1620" i="20"/>
  <c r="C1620" i="20"/>
  <c r="J1619" i="20"/>
  <c r="C1619" i="20"/>
  <c r="J1618" i="20"/>
  <c r="C1618" i="20"/>
  <c r="J1617" i="20"/>
  <c r="C1617" i="20"/>
  <c r="J1616" i="20"/>
  <c r="C1616" i="20"/>
  <c r="J1615" i="20"/>
  <c r="C1615" i="20"/>
  <c r="J1614" i="20"/>
  <c r="C1614" i="20"/>
  <c r="J1613" i="20"/>
  <c r="C1613" i="20"/>
  <c r="J1612" i="20"/>
  <c r="C1612" i="20"/>
  <c r="J1611" i="20"/>
  <c r="C1611" i="20"/>
  <c r="J1610" i="20"/>
  <c r="C1610" i="20"/>
  <c r="J1609" i="20"/>
  <c r="C1609" i="20"/>
  <c r="J1608" i="20"/>
  <c r="C1608" i="20"/>
  <c r="J1607" i="20"/>
  <c r="C1607" i="20"/>
  <c r="J1606" i="20"/>
  <c r="C1606" i="20"/>
  <c r="J1605" i="20"/>
  <c r="C1605" i="20"/>
  <c r="J1604" i="20"/>
  <c r="C1604" i="20"/>
  <c r="J1603" i="20"/>
  <c r="C1603" i="20"/>
  <c r="J1602" i="20"/>
  <c r="C1602" i="20"/>
  <c r="J1601" i="20"/>
  <c r="C1601" i="20"/>
  <c r="J1600" i="20"/>
  <c r="C1600" i="20"/>
  <c r="J1599" i="20"/>
  <c r="C1599" i="20"/>
  <c r="J1598" i="20"/>
  <c r="C1598" i="20"/>
  <c r="J1597" i="20"/>
  <c r="C1597" i="20"/>
  <c r="J1596" i="20"/>
  <c r="C1596" i="20"/>
  <c r="J1595" i="20"/>
  <c r="C1595" i="20"/>
  <c r="J1594" i="20"/>
  <c r="C1594" i="20"/>
  <c r="J1593" i="20"/>
  <c r="C1593" i="20"/>
  <c r="J1592" i="20"/>
  <c r="C1592" i="20"/>
  <c r="J1591" i="20"/>
  <c r="C1591" i="20"/>
  <c r="J1590" i="20"/>
  <c r="C1590" i="20"/>
  <c r="J1589" i="20"/>
  <c r="C1589" i="20"/>
  <c r="J1588" i="20"/>
  <c r="C1588" i="20"/>
  <c r="J1587" i="20"/>
  <c r="C1587" i="20"/>
  <c r="J1586" i="20"/>
  <c r="C1586" i="20"/>
  <c r="J1585" i="20"/>
  <c r="C1585" i="20"/>
  <c r="J1584" i="20"/>
  <c r="C1584" i="20"/>
  <c r="J1583" i="20"/>
  <c r="C1583" i="20"/>
  <c r="J1582" i="20"/>
  <c r="C1582" i="20"/>
  <c r="J1581" i="20"/>
  <c r="C1581" i="20"/>
  <c r="J1580" i="20"/>
  <c r="C1580" i="20"/>
  <c r="J1579" i="20"/>
  <c r="C1579" i="20"/>
  <c r="J1578" i="20"/>
  <c r="C1578" i="20"/>
  <c r="J1577" i="20"/>
  <c r="C1577" i="20"/>
  <c r="J1576" i="20"/>
  <c r="C1576" i="20"/>
  <c r="J1575" i="20"/>
  <c r="C1575" i="20"/>
  <c r="J1574" i="20"/>
  <c r="C1574" i="20"/>
  <c r="J1573" i="20"/>
  <c r="C1573" i="20"/>
  <c r="J1572" i="20"/>
  <c r="C1572" i="20"/>
  <c r="J1571" i="20"/>
  <c r="C1571" i="20"/>
  <c r="J1570" i="20"/>
  <c r="C1570" i="20"/>
  <c r="J1569" i="20"/>
  <c r="C1569" i="20"/>
  <c r="J1568" i="20"/>
  <c r="C1568" i="20"/>
  <c r="J1567" i="20"/>
  <c r="C1567" i="20"/>
  <c r="J1566" i="20"/>
  <c r="C1566" i="20"/>
  <c r="J1565" i="20"/>
  <c r="C1565" i="20"/>
  <c r="J1564" i="20"/>
  <c r="C1564" i="20"/>
  <c r="J1563" i="20"/>
  <c r="C1563" i="20"/>
  <c r="J1562" i="20"/>
  <c r="C1562" i="20"/>
  <c r="J1561" i="20"/>
  <c r="C1561" i="20"/>
  <c r="J1560" i="20"/>
  <c r="C1560" i="20"/>
  <c r="J1559" i="20"/>
  <c r="C1559" i="20"/>
  <c r="J1558" i="20"/>
  <c r="C1558" i="20"/>
  <c r="J1557" i="20"/>
  <c r="C1557" i="20"/>
  <c r="J1556" i="20"/>
  <c r="C1556" i="20"/>
  <c r="J1555" i="20"/>
  <c r="C1555" i="20"/>
  <c r="J1554" i="20"/>
  <c r="C1554" i="20"/>
  <c r="J1553" i="20"/>
  <c r="C1553" i="20"/>
  <c r="J1552" i="20"/>
  <c r="C1552" i="20"/>
  <c r="J1551" i="20"/>
  <c r="C1551" i="20"/>
  <c r="J1550" i="20"/>
  <c r="C1550" i="20"/>
  <c r="J1549" i="20"/>
  <c r="C1549" i="20"/>
  <c r="J1548" i="20"/>
  <c r="C1548" i="20"/>
  <c r="J1547" i="20"/>
  <c r="C1547" i="20"/>
  <c r="J1546" i="20"/>
  <c r="C1546" i="20"/>
  <c r="J1545" i="20"/>
  <c r="C1545" i="20"/>
  <c r="J1544" i="20"/>
  <c r="C1544" i="20"/>
  <c r="J1543" i="20"/>
  <c r="C1543" i="20"/>
  <c r="J1542" i="20"/>
  <c r="C1542" i="20"/>
  <c r="J1541" i="20"/>
  <c r="C1541" i="20"/>
  <c r="J1540" i="20"/>
  <c r="C1540" i="20"/>
  <c r="J1539" i="20"/>
  <c r="C1539" i="20"/>
  <c r="J1538" i="20"/>
  <c r="C1538" i="20"/>
  <c r="J1537" i="20"/>
  <c r="C1537" i="20"/>
  <c r="J1536" i="20"/>
  <c r="C1536" i="20"/>
  <c r="J1535" i="20"/>
  <c r="C1535" i="20"/>
  <c r="J1534" i="20"/>
  <c r="C1534" i="20"/>
  <c r="J1533" i="20"/>
  <c r="C1533" i="20"/>
  <c r="J1532" i="20"/>
  <c r="C1532" i="20"/>
  <c r="J1531" i="20"/>
  <c r="C1531" i="20"/>
  <c r="J1530" i="20"/>
  <c r="C1530" i="20"/>
  <c r="J1529" i="20"/>
  <c r="C1529" i="20"/>
  <c r="J1528" i="20"/>
  <c r="C1528" i="20"/>
  <c r="J1527" i="20"/>
  <c r="C1527" i="20"/>
  <c r="J1526" i="20"/>
  <c r="C1526" i="20"/>
  <c r="J1525" i="20"/>
  <c r="C1525" i="20"/>
  <c r="J1524" i="20"/>
  <c r="C1524" i="20"/>
  <c r="J1523" i="20"/>
  <c r="C1523" i="20"/>
  <c r="J1522" i="20"/>
  <c r="C1522" i="20"/>
  <c r="J1521" i="20"/>
  <c r="C1521" i="20"/>
  <c r="J1520" i="20"/>
  <c r="C1520" i="20"/>
  <c r="J1519" i="20"/>
  <c r="C1519" i="20"/>
  <c r="J1518" i="20"/>
  <c r="C1518" i="20"/>
  <c r="J1517" i="20"/>
  <c r="C1517" i="20"/>
  <c r="J1516" i="20"/>
  <c r="C1516" i="20"/>
  <c r="J1515" i="20"/>
  <c r="C1515" i="20"/>
  <c r="J1514" i="20"/>
  <c r="C1514" i="20"/>
  <c r="J1513" i="20"/>
  <c r="C1513" i="20"/>
  <c r="J1512" i="20"/>
  <c r="C1512" i="20"/>
  <c r="J1511" i="20"/>
  <c r="C1511" i="20"/>
  <c r="J1510" i="20"/>
  <c r="C1510" i="20"/>
  <c r="J1509" i="20"/>
  <c r="C1509" i="20"/>
  <c r="J1508" i="20"/>
  <c r="C1508" i="20"/>
  <c r="J1507" i="20"/>
  <c r="C1507" i="20"/>
  <c r="J1506" i="20"/>
  <c r="C1506" i="20"/>
  <c r="J1505" i="20"/>
  <c r="C1505" i="20"/>
  <c r="J1504" i="20"/>
  <c r="C1504" i="20"/>
  <c r="J1503" i="20"/>
  <c r="C1503" i="20"/>
  <c r="J1502" i="20"/>
  <c r="C1502" i="20"/>
  <c r="J1501" i="20"/>
  <c r="C1501" i="20"/>
  <c r="J1500" i="20"/>
  <c r="C1500" i="20"/>
  <c r="J1499" i="20"/>
  <c r="C1499" i="20"/>
  <c r="J1498" i="20"/>
  <c r="C1498" i="20"/>
  <c r="J1497" i="20"/>
  <c r="C1497" i="20"/>
  <c r="J1496" i="20"/>
  <c r="C1496" i="20"/>
  <c r="J1495" i="20"/>
  <c r="C1495" i="20"/>
  <c r="J1494" i="20"/>
  <c r="C1494" i="20"/>
  <c r="J1493" i="20"/>
  <c r="C1493" i="20"/>
  <c r="J1492" i="20"/>
  <c r="C1492" i="20"/>
  <c r="J1491" i="20"/>
  <c r="C1491" i="20"/>
  <c r="J1490" i="20"/>
  <c r="C1490" i="20"/>
  <c r="J1489" i="20"/>
  <c r="C1489" i="20"/>
  <c r="J1488" i="20"/>
  <c r="C1488" i="20"/>
  <c r="J1487" i="20"/>
  <c r="C1487" i="20"/>
  <c r="J1486" i="20"/>
  <c r="C1486" i="20"/>
  <c r="J1485" i="20"/>
  <c r="C1485" i="20"/>
  <c r="J1484" i="20"/>
  <c r="C1484" i="20"/>
  <c r="J1483" i="20"/>
  <c r="C1483" i="20"/>
  <c r="J1482" i="20"/>
  <c r="C1482" i="20"/>
  <c r="J1481" i="20"/>
  <c r="C1481" i="20"/>
  <c r="J1480" i="20"/>
  <c r="C1480" i="20"/>
  <c r="J1479" i="20"/>
  <c r="C1479" i="20"/>
  <c r="J1478" i="20"/>
  <c r="C1478" i="20"/>
  <c r="J1477" i="20"/>
  <c r="C1477" i="20"/>
  <c r="J1476" i="20"/>
  <c r="C1476" i="20"/>
  <c r="J1475" i="20"/>
  <c r="C1475" i="20"/>
  <c r="J1474" i="20"/>
  <c r="C1474" i="20"/>
  <c r="J1473" i="20"/>
  <c r="C1473" i="20"/>
  <c r="J1472" i="20"/>
  <c r="C1472" i="20"/>
  <c r="J1471" i="20"/>
  <c r="C1471" i="20"/>
  <c r="J1470" i="20"/>
  <c r="C1470" i="20"/>
  <c r="J1469" i="20"/>
  <c r="C1469" i="20"/>
  <c r="J1468" i="20"/>
  <c r="C1468" i="20"/>
  <c r="J1467" i="20"/>
  <c r="C1467" i="20"/>
  <c r="J1466" i="20"/>
  <c r="C1466" i="20"/>
  <c r="J1465" i="20"/>
  <c r="C1465" i="20"/>
  <c r="J1464" i="20"/>
  <c r="C1464" i="20"/>
  <c r="J1463" i="20"/>
  <c r="C1463" i="20"/>
  <c r="J1462" i="20"/>
  <c r="C1462" i="20"/>
  <c r="J1461" i="20"/>
  <c r="C1461" i="20"/>
  <c r="J1460" i="20"/>
  <c r="C1460" i="20"/>
  <c r="J1459" i="20"/>
  <c r="C1459" i="20"/>
  <c r="J1458" i="20"/>
  <c r="C1458" i="20"/>
  <c r="J1457" i="20"/>
  <c r="C1457" i="20"/>
  <c r="J1456" i="20"/>
  <c r="C1456" i="20"/>
  <c r="J1455" i="20"/>
  <c r="C1455" i="20"/>
  <c r="J1454" i="20"/>
  <c r="C1454" i="20"/>
  <c r="J1453" i="20"/>
  <c r="C1453" i="20"/>
  <c r="J1452" i="20"/>
  <c r="C1452" i="20"/>
  <c r="J1451" i="20"/>
  <c r="C1451" i="20"/>
  <c r="J1450" i="20"/>
  <c r="C1450" i="20"/>
  <c r="J1449" i="20"/>
  <c r="C1449" i="20"/>
  <c r="J1448" i="20"/>
  <c r="C1448" i="20"/>
  <c r="J1447" i="20"/>
  <c r="C1447" i="20"/>
  <c r="J1446" i="20"/>
  <c r="C1446" i="20"/>
  <c r="J1445" i="20"/>
  <c r="C1445" i="20"/>
  <c r="J1444" i="20"/>
  <c r="C1444" i="20"/>
  <c r="J1443" i="20"/>
  <c r="C1443" i="20"/>
  <c r="J1442" i="20"/>
  <c r="C1442" i="20"/>
  <c r="J1441" i="20"/>
  <c r="C1441" i="20"/>
  <c r="J1440" i="20"/>
  <c r="C1440" i="20"/>
  <c r="J1439" i="20"/>
  <c r="C1439" i="20"/>
  <c r="J1438" i="20"/>
  <c r="C1438" i="20"/>
  <c r="J1437" i="20"/>
  <c r="C1437" i="20"/>
  <c r="J1436" i="20"/>
  <c r="C1436" i="20"/>
  <c r="J1435" i="20"/>
  <c r="C1435" i="20"/>
  <c r="J1434" i="20"/>
  <c r="C1434" i="20"/>
  <c r="J1433" i="20"/>
  <c r="C1433" i="20"/>
  <c r="J1432" i="20"/>
  <c r="C1432" i="20"/>
  <c r="J1431" i="20"/>
  <c r="C1431" i="20"/>
  <c r="J1430" i="20"/>
  <c r="C1430" i="20"/>
  <c r="J1429" i="20"/>
  <c r="C1429" i="20"/>
  <c r="J1428" i="20"/>
  <c r="C1428" i="20"/>
  <c r="J1427" i="20"/>
  <c r="C1427" i="20"/>
  <c r="J1426" i="20"/>
  <c r="C1426" i="20"/>
  <c r="J1425" i="20"/>
  <c r="C1425" i="20"/>
  <c r="J1424" i="20"/>
  <c r="C1424" i="20"/>
  <c r="J1423" i="20"/>
  <c r="C1423" i="20"/>
  <c r="J1422" i="20"/>
  <c r="C1422" i="20"/>
  <c r="J1421" i="20"/>
  <c r="C1421" i="20"/>
  <c r="J1420" i="20"/>
  <c r="C1420" i="20"/>
  <c r="J1419" i="20"/>
  <c r="C1419" i="20"/>
  <c r="J1418" i="20"/>
  <c r="C1418" i="20"/>
  <c r="J1417" i="20"/>
  <c r="C1417" i="20"/>
  <c r="J1416" i="20"/>
  <c r="C1416" i="20"/>
  <c r="J1415" i="20"/>
  <c r="C1415" i="20"/>
  <c r="J1414" i="20"/>
  <c r="C1414" i="20"/>
  <c r="J1413" i="20"/>
  <c r="C1413" i="20"/>
  <c r="J1412" i="20"/>
  <c r="C1412" i="20"/>
  <c r="J1411" i="20"/>
  <c r="C1411" i="20"/>
  <c r="J1410" i="20"/>
  <c r="C1410" i="20"/>
  <c r="J1409" i="20"/>
  <c r="C1409" i="20"/>
  <c r="J1408" i="20"/>
  <c r="C1408" i="20"/>
  <c r="J1407" i="20"/>
  <c r="C1407" i="20"/>
  <c r="J1406" i="20"/>
  <c r="C1406" i="20"/>
  <c r="J1405" i="20"/>
  <c r="C1405" i="20"/>
  <c r="J1404" i="20"/>
  <c r="C1404" i="20"/>
  <c r="J1403" i="20"/>
  <c r="C1403" i="20"/>
  <c r="J1402" i="20"/>
  <c r="C1402" i="20"/>
  <c r="J1401" i="20"/>
  <c r="C1401" i="20"/>
  <c r="J1400" i="20"/>
  <c r="C1400" i="20"/>
  <c r="J1399" i="20"/>
  <c r="C1399" i="20"/>
  <c r="J1398" i="20"/>
  <c r="C1398" i="20"/>
  <c r="J1397" i="20"/>
  <c r="C1397" i="20"/>
  <c r="J1396" i="20"/>
  <c r="C1396" i="20"/>
  <c r="J1395" i="20"/>
  <c r="C1395" i="20"/>
  <c r="J1394" i="20"/>
  <c r="C1394" i="20"/>
  <c r="J1393" i="20"/>
  <c r="C1393" i="20"/>
  <c r="J1392" i="20"/>
  <c r="C1392" i="20"/>
  <c r="J1391" i="20"/>
  <c r="C1391" i="20"/>
  <c r="J1390" i="20"/>
  <c r="C1390" i="20"/>
  <c r="J1389" i="20"/>
  <c r="C1389" i="20"/>
  <c r="J1388" i="20"/>
  <c r="C1388" i="20"/>
  <c r="J1387" i="20"/>
  <c r="C1387" i="20"/>
  <c r="J1386" i="20"/>
  <c r="C1386" i="20"/>
  <c r="J1385" i="20"/>
  <c r="C1385" i="20"/>
  <c r="J1384" i="20"/>
  <c r="C1384" i="20"/>
  <c r="J1383" i="20"/>
  <c r="C1383" i="20"/>
  <c r="J1382" i="20"/>
  <c r="C1382" i="20"/>
  <c r="J1381" i="20"/>
  <c r="C1381" i="20"/>
  <c r="J1380" i="20"/>
  <c r="C1380" i="20"/>
  <c r="J1379" i="20"/>
  <c r="C1379" i="20"/>
  <c r="J1378" i="20"/>
  <c r="C1378" i="20"/>
  <c r="J1377" i="20"/>
  <c r="C1377" i="20"/>
  <c r="J1376" i="20"/>
  <c r="C1376" i="20"/>
  <c r="J1375" i="20"/>
  <c r="C1375" i="20"/>
  <c r="J1374" i="20"/>
  <c r="C1374" i="20"/>
  <c r="J1373" i="20"/>
  <c r="C1373" i="20"/>
  <c r="J1372" i="20"/>
  <c r="C1372" i="20"/>
  <c r="J1371" i="20"/>
  <c r="C1371" i="20"/>
  <c r="J1370" i="20"/>
  <c r="C1370" i="20"/>
  <c r="J1369" i="20"/>
  <c r="C1369" i="20"/>
  <c r="J1368" i="20"/>
  <c r="C1368" i="20"/>
  <c r="J1367" i="20"/>
  <c r="C1367" i="20"/>
  <c r="J1366" i="20"/>
  <c r="C1366" i="20"/>
  <c r="J1365" i="20"/>
  <c r="C1365" i="20"/>
  <c r="J1364" i="20"/>
  <c r="C1364" i="20"/>
  <c r="J1363" i="20"/>
  <c r="C1363" i="20"/>
  <c r="J1362" i="20"/>
  <c r="C1362" i="20"/>
  <c r="J1361" i="20"/>
  <c r="C1361" i="20"/>
  <c r="J1360" i="20"/>
  <c r="C1360" i="20"/>
  <c r="J1359" i="20"/>
  <c r="C1359" i="20"/>
  <c r="J1358" i="20"/>
  <c r="C1358" i="20"/>
  <c r="J1357" i="20"/>
  <c r="C1357" i="20"/>
  <c r="J1356" i="20"/>
  <c r="C1356" i="20"/>
  <c r="J1355" i="20"/>
  <c r="C1355" i="20"/>
  <c r="J1354" i="20"/>
  <c r="C1354" i="20"/>
  <c r="J1353" i="20"/>
  <c r="C1353" i="20"/>
  <c r="J1352" i="20"/>
  <c r="C1352" i="20"/>
  <c r="J1351" i="20"/>
  <c r="C1351" i="20"/>
  <c r="J1350" i="20"/>
  <c r="C1350" i="20"/>
  <c r="J1349" i="20"/>
  <c r="C1349" i="20"/>
  <c r="J1348" i="20"/>
  <c r="C1348" i="20"/>
  <c r="J1347" i="20"/>
  <c r="C1347" i="20"/>
  <c r="J1346" i="20"/>
  <c r="C1346" i="20"/>
  <c r="J1345" i="20"/>
  <c r="C1345" i="20"/>
  <c r="J1344" i="20"/>
  <c r="C1344" i="20"/>
  <c r="J1343" i="20"/>
  <c r="C1343" i="20"/>
  <c r="J1342" i="20"/>
  <c r="C1342" i="20"/>
  <c r="J1341" i="20"/>
  <c r="C1341" i="20"/>
  <c r="J1340" i="20"/>
  <c r="C1340" i="20"/>
  <c r="J1339" i="20"/>
  <c r="C1339" i="20"/>
  <c r="J1338" i="20"/>
  <c r="C1338" i="20"/>
  <c r="J1337" i="20"/>
  <c r="C1337" i="20"/>
  <c r="J1336" i="20"/>
  <c r="C1336" i="20"/>
  <c r="J1335" i="20"/>
  <c r="C1335" i="20"/>
  <c r="J1334" i="20"/>
  <c r="C1334" i="20"/>
  <c r="J1333" i="20"/>
  <c r="C1333" i="20"/>
  <c r="J1332" i="20"/>
  <c r="C1332" i="20"/>
  <c r="J1331" i="20"/>
  <c r="C1331" i="20"/>
  <c r="J1330" i="20"/>
  <c r="C1330" i="20"/>
  <c r="J1329" i="20"/>
  <c r="C1329" i="20"/>
  <c r="J1328" i="20"/>
  <c r="C1328" i="20"/>
  <c r="J1327" i="20"/>
  <c r="C1327" i="20"/>
  <c r="J1326" i="20"/>
  <c r="C1326" i="20"/>
  <c r="J1325" i="20"/>
  <c r="C1325" i="20"/>
  <c r="J1324" i="20"/>
  <c r="C1324" i="20"/>
  <c r="J1323" i="20"/>
  <c r="C1323" i="20"/>
  <c r="J1322" i="20"/>
  <c r="C1322" i="20"/>
  <c r="J1321" i="20"/>
  <c r="C1321" i="20"/>
  <c r="J1320" i="20"/>
  <c r="C1320" i="20"/>
  <c r="J1319" i="20"/>
  <c r="C1319" i="20"/>
  <c r="J1318" i="20"/>
  <c r="C1318" i="20"/>
  <c r="J1317" i="20"/>
  <c r="C1317" i="20"/>
  <c r="J1316" i="20"/>
  <c r="C1316" i="20"/>
  <c r="J1315" i="20"/>
  <c r="C1315" i="20"/>
  <c r="J1314" i="20"/>
  <c r="C1314" i="20"/>
  <c r="J1313" i="20"/>
  <c r="C1313" i="20"/>
  <c r="J1312" i="20"/>
  <c r="C1312" i="20"/>
  <c r="J1311" i="20"/>
  <c r="C1311" i="20"/>
  <c r="J1310" i="20"/>
  <c r="C1310" i="20"/>
  <c r="J1309" i="20"/>
  <c r="C1309" i="20"/>
  <c r="J1308" i="20"/>
  <c r="C1308" i="20"/>
  <c r="J1307" i="20"/>
  <c r="C1307" i="20"/>
  <c r="J1306" i="20"/>
  <c r="C1306" i="20"/>
  <c r="J1305" i="20"/>
  <c r="C1305" i="20"/>
  <c r="J1304" i="20"/>
  <c r="C1304" i="20"/>
  <c r="J1303" i="20"/>
  <c r="C1303" i="20"/>
  <c r="J1302" i="20"/>
  <c r="C1302" i="20"/>
  <c r="J1301" i="20"/>
  <c r="C1301" i="20"/>
  <c r="J1300" i="20"/>
  <c r="C1300" i="20"/>
  <c r="J1299" i="20"/>
  <c r="C1299" i="20"/>
  <c r="J1298" i="20"/>
  <c r="C1298" i="20"/>
  <c r="J1297" i="20"/>
  <c r="C1297" i="20"/>
  <c r="J1296" i="20"/>
  <c r="C1296" i="20"/>
  <c r="J1295" i="20"/>
  <c r="C1295" i="20"/>
  <c r="J1294" i="20"/>
  <c r="C1294" i="20"/>
  <c r="J1293" i="20"/>
  <c r="C1293" i="20"/>
  <c r="J1292" i="20"/>
  <c r="C1292" i="20"/>
  <c r="J1291" i="20"/>
  <c r="C1291" i="20"/>
  <c r="J1290" i="20"/>
  <c r="C1290" i="20"/>
  <c r="J1289" i="20"/>
  <c r="C1289" i="20"/>
  <c r="J1288" i="20"/>
  <c r="C1288" i="20"/>
  <c r="J1287" i="20"/>
  <c r="C1287" i="20"/>
  <c r="J1286" i="20"/>
  <c r="C1286" i="20"/>
  <c r="J1285" i="20"/>
  <c r="C1285" i="20"/>
  <c r="J1284" i="20"/>
  <c r="C1284" i="20"/>
  <c r="J1283" i="20"/>
  <c r="C1283" i="20"/>
  <c r="J1282" i="20"/>
  <c r="C1282" i="20"/>
  <c r="J1281" i="20"/>
  <c r="C1281" i="20"/>
  <c r="J1280" i="20"/>
  <c r="C1280" i="20"/>
  <c r="J1279" i="20"/>
  <c r="C1279" i="20"/>
  <c r="J1278" i="20"/>
  <c r="C1278" i="20"/>
  <c r="J1277" i="20"/>
  <c r="C1277" i="20"/>
  <c r="J1276" i="20"/>
  <c r="C1276" i="20"/>
  <c r="J1275" i="20"/>
  <c r="C1275" i="20"/>
  <c r="J1274" i="20"/>
  <c r="C1274" i="20"/>
  <c r="J1273" i="20"/>
  <c r="C1273" i="20"/>
  <c r="J1272" i="20"/>
  <c r="C1272" i="20"/>
  <c r="J1271" i="20"/>
  <c r="C1271" i="20"/>
  <c r="J1270" i="20"/>
  <c r="C1270" i="20"/>
  <c r="J1269" i="20"/>
  <c r="C1269" i="20"/>
  <c r="J1268" i="20"/>
  <c r="C1268" i="20"/>
  <c r="J1267" i="20"/>
  <c r="C1267" i="20"/>
  <c r="J1266" i="20"/>
  <c r="C1266" i="20"/>
  <c r="J1265" i="20"/>
  <c r="C1265" i="20"/>
  <c r="J1264" i="20"/>
  <c r="C1264" i="20"/>
  <c r="J1263" i="20"/>
  <c r="C1263" i="20"/>
  <c r="J1262" i="20"/>
  <c r="C1262" i="20"/>
  <c r="J1261" i="20"/>
  <c r="C1261" i="20"/>
  <c r="J1260" i="20"/>
  <c r="C1260" i="20"/>
  <c r="J1259" i="20"/>
  <c r="C1259" i="20"/>
  <c r="J1258" i="20"/>
  <c r="C1258" i="20"/>
  <c r="J1257" i="20"/>
  <c r="C1257" i="20"/>
  <c r="J1256" i="20"/>
  <c r="C1256" i="20"/>
  <c r="J1255" i="20"/>
  <c r="C1255" i="20"/>
  <c r="J1254" i="20"/>
  <c r="C1254" i="20"/>
  <c r="J1253" i="20"/>
  <c r="C1253" i="20"/>
  <c r="J1252" i="20"/>
  <c r="C1252" i="20"/>
  <c r="J1251" i="20"/>
  <c r="C1251" i="20"/>
  <c r="J1250" i="20"/>
  <c r="C1250" i="20"/>
  <c r="J1249" i="20"/>
  <c r="C1249" i="20"/>
  <c r="J1248" i="20"/>
  <c r="C1248" i="20"/>
  <c r="J1247" i="20"/>
  <c r="C1247" i="20"/>
  <c r="J1246" i="20"/>
  <c r="C1246" i="20"/>
  <c r="J1245" i="20"/>
  <c r="C1245" i="20"/>
  <c r="J1244" i="20"/>
  <c r="C1244" i="20"/>
  <c r="J1243" i="20"/>
  <c r="C1243" i="20"/>
  <c r="J1242" i="20"/>
  <c r="C1242" i="20"/>
  <c r="J1241" i="20"/>
  <c r="C1241" i="20"/>
  <c r="J1240" i="20"/>
  <c r="C1240" i="20"/>
  <c r="J1239" i="20"/>
  <c r="C1239" i="20"/>
  <c r="J1238" i="20"/>
  <c r="C1238" i="20"/>
  <c r="J1237" i="20"/>
  <c r="C1237" i="20"/>
  <c r="J1236" i="20"/>
  <c r="C1236" i="20"/>
  <c r="J1235" i="20"/>
  <c r="C1235" i="20"/>
  <c r="J1234" i="20"/>
  <c r="C1234" i="20"/>
  <c r="J1233" i="20"/>
  <c r="C1233" i="20"/>
  <c r="J1232" i="20"/>
  <c r="C1232" i="20"/>
  <c r="J1231" i="20"/>
  <c r="C1231" i="20"/>
  <c r="J1230" i="20"/>
  <c r="C1230" i="20"/>
  <c r="J1229" i="20"/>
  <c r="C1229" i="20"/>
  <c r="J1228" i="20"/>
  <c r="C1228" i="20"/>
  <c r="J1227" i="20"/>
  <c r="C1227" i="20"/>
  <c r="J1226" i="20"/>
  <c r="C1226" i="20"/>
  <c r="J1225" i="20"/>
  <c r="C1225" i="20"/>
  <c r="J1224" i="20"/>
  <c r="C1224" i="20"/>
  <c r="J1223" i="20"/>
  <c r="C1223" i="20"/>
  <c r="J1222" i="20"/>
  <c r="C1222" i="20"/>
  <c r="J1221" i="20"/>
  <c r="C1221" i="20"/>
  <c r="J1220" i="20"/>
  <c r="C1220" i="20"/>
  <c r="J1219" i="20"/>
  <c r="C1219" i="20"/>
  <c r="J1218" i="20"/>
  <c r="C1218" i="20"/>
  <c r="J1217" i="20"/>
  <c r="C1217" i="20"/>
  <c r="J1216" i="20"/>
  <c r="C1216" i="20"/>
  <c r="J1215" i="20"/>
  <c r="C1215" i="20"/>
  <c r="J1214" i="20"/>
  <c r="C1214" i="20"/>
  <c r="J1213" i="20"/>
  <c r="C1213" i="20"/>
  <c r="J1212" i="20"/>
  <c r="C1212" i="20"/>
  <c r="J1211" i="20"/>
  <c r="C1211" i="20"/>
  <c r="J1210" i="20"/>
  <c r="C1210" i="20"/>
  <c r="J1209" i="20"/>
  <c r="C1209" i="20"/>
  <c r="J1208" i="20"/>
  <c r="C1208" i="20"/>
  <c r="J1207" i="20"/>
  <c r="C1207" i="20"/>
  <c r="J1206" i="20"/>
  <c r="C1206" i="20"/>
  <c r="J1205" i="20"/>
  <c r="C1205" i="20"/>
  <c r="J1204" i="20"/>
  <c r="C1204" i="20"/>
  <c r="J1203" i="20"/>
  <c r="C1203" i="20"/>
  <c r="J1202" i="20"/>
  <c r="C1202" i="20"/>
  <c r="J1201" i="20"/>
  <c r="C1201" i="20"/>
  <c r="J1200" i="20"/>
  <c r="C1200" i="20"/>
  <c r="J1199" i="20"/>
  <c r="C1199" i="20"/>
  <c r="J1198" i="20"/>
  <c r="C1198" i="20"/>
  <c r="J1197" i="20"/>
  <c r="C1197" i="20"/>
  <c r="J1196" i="20"/>
  <c r="C1196" i="20"/>
  <c r="J1195" i="20"/>
  <c r="C1195" i="20"/>
  <c r="J1194" i="20"/>
  <c r="C1194" i="20"/>
  <c r="J1193" i="20"/>
  <c r="C1193" i="20"/>
  <c r="J1192" i="20"/>
  <c r="C1192" i="20"/>
  <c r="J1191" i="20"/>
  <c r="C1191" i="20"/>
  <c r="J1190" i="20"/>
  <c r="C1190" i="20"/>
  <c r="J1189" i="20"/>
  <c r="C1189" i="20"/>
  <c r="J1188" i="20"/>
  <c r="C1188" i="20"/>
  <c r="J1187" i="20"/>
  <c r="C1187" i="20"/>
  <c r="J1186" i="20"/>
  <c r="C1186" i="20"/>
  <c r="J1185" i="20"/>
  <c r="C1185" i="20"/>
  <c r="J1184" i="20"/>
  <c r="C1184" i="20"/>
  <c r="J1183" i="20"/>
  <c r="C1183" i="20"/>
  <c r="J1182" i="20"/>
  <c r="C1182" i="20"/>
  <c r="J1181" i="20"/>
  <c r="C1181" i="20"/>
  <c r="J1180" i="20"/>
  <c r="C1180" i="20"/>
  <c r="J1179" i="20"/>
  <c r="C1179" i="20"/>
  <c r="J1178" i="20"/>
  <c r="C1178" i="20"/>
  <c r="J1177" i="20"/>
  <c r="C1177" i="20"/>
  <c r="J1176" i="20"/>
  <c r="C1176" i="20"/>
  <c r="J1175" i="20"/>
  <c r="C1175" i="20"/>
  <c r="J1174" i="20"/>
  <c r="C1174" i="20"/>
  <c r="J1173" i="20"/>
  <c r="C1173" i="20"/>
  <c r="J1172" i="20"/>
  <c r="C1172" i="20"/>
  <c r="J1171" i="20"/>
  <c r="C1171" i="20"/>
  <c r="J1170" i="20"/>
  <c r="C1170" i="20"/>
  <c r="J1169" i="20"/>
  <c r="C1169" i="20"/>
  <c r="J1168" i="20"/>
  <c r="C1168" i="20"/>
  <c r="J1167" i="20"/>
  <c r="C1167" i="20"/>
  <c r="J1166" i="20"/>
  <c r="C1166" i="20"/>
  <c r="J1165" i="20"/>
  <c r="C1165" i="20"/>
  <c r="J1164" i="20"/>
  <c r="C1164" i="20"/>
  <c r="J1163" i="20"/>
  <c r="C1163" i="20"/>
  <c r="J1162" i="20"/>
  <c r="C1162" i="20"/>
  <c r="J1161" i="20"/>
  <c r="C1161" i="20"/>
  <c r="J1160" i="20"/>
  <c r="C1160" i="20"/>
  <c r="J1159" i="20"/>
  <c r="C1159" i="20"/>
  <c r="J1158" i="20"/>
  <c r="C1158" i="20"/>
  <c r="J1157" i="20"/>
  <c r="C1157" i="20"/>
  <c r="J1156" i="20"/>
  <c r="C1156" i="20"/>
  <c r="J1155" i="20"/>
  <c r="C1155" i="20"/>
  <c r="J1154" i="20"/>
  <c r="C1154" i="20"/>
  <c r="J1153" i="20"/>
  <c r="C1153" i="20"/>
  <c r="J1152" i="20"/>
  <c r="C1152" i="20"/>
  <c r="J1151" i="20"/>
  <c r="C1151" i="20"/>
  <c r="J1150" i="20"/>
  <c r="C1150" i="20"/>
  <c r="J1149" i="20"/>
  <c r="C1149" i="20"/>
  <c r="J1148" i="20"/>
  <c r="C1148" i="20"/>
  <c r="J1147" i="20"/>
  <c r="C1147" i="20"/>
  <c r="J1146" i="20"/>
  <c r="C1146" i="20"/>
  <c r="J1145" i="20"/>
  <c r="C1145" i="20"/>
  <c r="J1144" i="20"/>
  <c r="C1144" i="20"/>
  <c r="J1143" i="20"/>
  <c r="C1143" i="20"/>
  <c r="J1142" i="20"/>
  <c r="C1142" i="20"/>
  <c r="J1141" i="20"/>
  <c r="C1141" i="20"/>
  <c r="J1140" i="20"/>
  <c r="C1140" i="20"/>
  <c r="J1139" i="20"/>
  <c r="C1139" i="20"/>
  <c r="J1138" i="20"/>
  <c r="C1138" i="20"/>
  <c r="J1137" i="20"/>
  <c r="C1137" i="20"/>
  <c r="J1136" i="20"/>
  <c r="C1136" i="20"/>
  <c r="J1135" i="20"/>
  <c r="C1135" i="20"/>
  <c r="J1134" i="20"/>
  <c r="C1134" i="20"/>
  <c r="J1133" i="20"/>
  <c r="C1133" i="20"/>
  <c r="J1132" i="20"/>
  <c r="C1132" i="20"/>
  <c r="J1131" i="20"/>
  <c r="C1131" i="20"/>
  <c r="J1130" i="20"/>
  <c r="C1130" i="20"/>
  <c r="J1129" i="20"/>
  <c r="C1129" i="20"/>
  <c r="J1128" i="20"/>
  <c r="C1128" i="20"/>
  <c r="J1127" i="20"/>
  <c r="C1127" i="20"/>
  <c r="J1126" i="20"/>
  <c r="C1126" i="20"/>
  <c r="J1125" i="20"/>
  <c r="C1125" i="20"/>
  <c r="J1124" i="20"/>
  <c r="C1124" i="20"/>
  <c r="J1123" i="20"/>
  <c r="C1123" i="20"/>
  <c r="J1122" i="20"/>
  <c r="C1122" i="20"/>
  <c r="J1121" i="20"/>
  <c r="C1121" i="20"/>
  <c r="J1120" i="20"/>
  <c r="C1120" i="20"/>
  <c r="J1119" i="20"/>
  <c r="C1119" i="20"/>
  <c r="J1118" i="20"/>
  <c r="C1118" i="20"/>
  <c r="J1117" i="20"/>
  <c r="C1117" i="20"/>
  <c r="J1116" i="20"/>
  <c r="C1116" i="20"/>
  <c r="J1115" i="20"/>
  <c r="C1115" i="20"/>
  <c r="J1114" i="20"/>
  <c r="C1114" i="20"/>
  <c r="J1113" i="20"/>
  <c r="C1113" i="20"/>
  <c r="J1112" i="20"/>
  <c r="C1112" i="20"/>
  <c r="J1111" i="20"/>
  <c r="C1111" i="20"/>
  <c r="J1110" i="20"/>
  <c r="C1110" i="20"/>
  <c r="J1109" i="20"/>
  <c r="C1109" i="20"/>
  <c r="J1108" i="20"/>
  <c r="C1108" i="20"/>
  <c r="J1107" i="20"/>
  <c r="C1107" i="20"/>
  <c r="J1106" i="20"/>
  <c r="C1106" i="20"/>
  <c r="J1105" i="20"/>
  <c r="C1105" i="20"/>
  <c r="J1104" i="20"/>
  <c r="C1104" i="20"/>
  <c r="J1103" i="20"/>
  <c r="C1103" i="20"/>
  <c r="J1102" i="20"/>
  <c r="C1102" i="20"/>
  <c r="J1101" i="20"/>
  <c r="C1101" i="20"/>
  <c r="J1100" i="20"/>
  <c r="C1100" i="20"/>
  <c r="J1099" i="20"/>
  <c r="C1099" i="20"/>
  <c r="J1098" i="20"/>
  <c r="C1098" i="20"/>
  <c r="J1097" i="20"/>
  <c r="C1097" i="20"/>
  <c r="J1096" i="20"/>
  <c r="C1096" i="20"/>
  <c r="J1095" i="20"/>
  <c r="C1095" i="20"/>
  <c r="J1094" i="20"/>
  <c r="C1094" i="20"/>
  <c r="J1093" i="20"/>
  <c r="C1093" i="20"/>
  <c r="J1092" i="20"/>
  <c r="C1092" i="20"/>
  <c r="J1091" i="20"/>
  <c r="C1091" i="20"/>
  <c r="J1090" i="20"/>
  <c r="C1090" i="20"/>
  <c r="J1089" i="20"/>
  <c r="C1089" i="20"/>
  <c r="J1088" i="20"/>
  <c r="C1088" i="20"/>
  <c r="J1087" i="20"/>
  <c r="C1087" i="20"/>
  <c r="J1086" i="20"/>
  <c r="C1086" i="20"/>
  <c r="J1085" i="20"/>
  <c r="C1085" i="20"/>
  <c r="J1084" i="20"/>
  <c r="C1084" i="20"/>
  <c r="J1083" i="20"/>
  <c r="C1083" i="20"/>
  <c r="J1082" i="20"/>
  <c r="C1082" i="20"/>
  <c r="J1081" i="20"/>
  <c r="C1081" i="20"/>
  <c r="J1080" i="20"/>
  <c r="C1080" i="20"/>
  <c r="J1079" i="20"/>
  <c r="C1079" i="20"/>
  <c r="J1078" i="20"/>
  <c r="C1078" i="20"/>
  <c r="J1077" i="20"/>
  <c r="C1077" i="20"/>
  <c r="J1076" i="20"/>
  <c r="C1076" i="20"/>
  <c r="J1075" i="20"/>
  <c r="C1075" i="20"/>
  <c r="J1074" i="20"/>
  <c r="C1074" i="20"/>
  <c r="J1073" i="20"/>
  <c r="C1073" i="20"/>
  <c r="J1072" i="20"/>
  <c r="C1072" i="20"/>
  <c r="J1071" i="20"/>
  <c r="C1071" i="20"/>
  <c r="J1070" i="20"/>
  <c r="C1070" i="20"/>
  <c r="J1069" i="20"/>
  <c r="C1069" i="20"/>
  <c r="J1068" i="20"/>
  <c r="C1068" i="20"/>
  <c r="J1067" i="20"/>
  <c r="C1067" i="20"/>
  <c r="J1066" i="20"/>
  <c r="C1066" i="20"/>
  <c r="J1065" i="20"/>
  <c r="C1065" i="20"/>
  <c r="J1064" i="20"/>
  <c r="C1064" i="20"/>
  <c r="J1063" i="20"/>
  <c r="C1063" i="20"/>
  <c r="J1062" i="20"/>
  <c r="C1062" i="20"/>
  <c r="J1061" i="20"/>
  <c r="C1061" i="20"/>
  <c r="J1060" i="20"/>
  <c r="C1060" i="20"/>
  <c r="J1059" i="20"/>
  <c r="C1059" i="20"/>
  <c r="J1058" i="20"/>
  <c r="C1058" i="20"/>
  <c r="J1057" i="20"/>
  <c r="C1057" i="20"/>
  <c r="J1056" i="20"/>
  <c r="C1056" i="20"/>
  <c r="J1055" i="20"/>
  <c r="C1055" i="20"/>
  <c r="J1054" i="20"/>
  <c r="C1054" i="20"/>
  <c r="J1053" i="20"/>
  <c r="C1053" i="20"/>
  <c r="J1052" i="20"/>
  <c r="C1052" i="20"/>
  <c r="J1051" i="20"/>
  <c r="C1051" i="20"/>
  <c r="J1050" i="20"/>
  <c r="C1050" i="20"/>
  <c r="J1049" i="20"/>
  <c r="C1049" i="20"/>
  <c r="J1048" i="20"/>
  <c r="C1048" i="20"/>
  <c r="J1047" i="20"/>
  <c r="C1047" i="20"/>
  <c r="J1046" i="20"/>
  <c r="C1046" i="20"/>
  <c r="J1045" i="20"/>
  <c r="C1045" i="20"/>
  <c r="J1044" i="20"/>
  <c r="C1044" i="20"/>
  <c r="J1043" i="20"/>
  <c r="C1043" i="20"/>
  <c r="J1042" i="20"/>
  <c r="C1042" i="20"/>
  <c r="J1041" i="20"/>
  <c r="C1041" i="20"/>
  <c r="J1040" i="20"/>
  <c r="C1040" i="20"/>
  <c r="J1039" i="20"/>
  <c r="C1039" i="20"/>
  <c r="C1038" i="20"/>
  <c r="J1037" i="20"/>
  <c r="C1037" i="20"/>
  <c r="J1036" i="20"/>
  <c r="C1036" i="20"/>
  <c r="J1035" i="20"/>
  <c r="C1035" i="20"/>
  <c r="J1034" i="20"/>
  <c r="C1034" i="20"/>
  <c r="J1033" i="20"/>
  <c r="C1033" i="20"/>
  <c r="J1032" i="20"/>
  <c r="C1032" i="20"/>
  <c r="J1031" i="20"/>
  <c r="C1031" i="20"/>
  <c r="J1030" i="20"/>
  <c r="C1030" i="20"/>
  <c r="J1029" i="20"/>
  <c r="C1029" i="20"/>
  <c r="J1028" i="20"/>
  <c r="C1028" i="20"/>
  <c r="J1027" i="20"/>
  <c r="C1027" i="20"/>
  <c r="J1026" i="20"/>
  <c r="C1026" i="20"/>
  <c r="J1025" i="20"/>
  <c r="C1025" i="20"/>
  <c r="J1024" i="20"/>
  <c r="C1024" i="20"/>
  <c r="J1023" i="20"/>
  <c r="C1023" i="20"/>
  <c r="J1022" i="20"/>
  <c r="C1022" i="20"/>
  <c r="J1021" i="20"/>
  <c r="C1021" i="20"/>
  <c r="J1020" i="20"/>
  <c r="C1020" i="20"/>
  <c r="J1019" i="20"/>
  <c r="C1019" i="20"/>
  <c r="J1018" i="20"/>
  <c r="C1018" i="20"/>
  <c r="J1017" i="20"/>
  <c r="C1017" i="20"/>
  <c r="J1016" i="20"/>
  <c r="C1016" i="20"/>
  <c r="J1015" i="20"/>
  <c r="C1015" i="20"/>
  <c r="J1014" i="20"/>
  <c r="C1014" i="20"/>
  <c r="J1013" i="20"/>
  <c r="C1013" i="20"/>
  <c r="J1012" i="20"/>
  <c r="C1012" i="20"/>
  <c r="J1011" i="20"/>
  <c r="C1011" i="20"/>
  <c r="J1010" i="20"/>
  <c r="C1010" i="20"/>
  <c r="J1009" i="20"/>
  <c r="C1009" i="20"/>
  <c r="J1008" i="20"/>
  <c r="C1008" i="20"/>
  <c r="J1007" i="20"/>
  <c r="C1007" i="20"/>
  <c r="J1006" i="20"/>
  <c r="C1006" i="20"/>
  <c r="J1005" i="20"/>
  <c r="C1005" i="20"/>
  <c r="J1004" i="20"/>
  <c r="C1004" i="20"/>
  <c r="J1003" i="20"/>
  <c r="C1003" i="20"/>
  <c r="J1002" i="20"/>
  <c r="C1002" i="20"/>
  <c r="J1001" i="20"/>
  <c r="C1001" i="20"/>
  <c r="J1000" i="20"/>
  <c r="C1000" i="20"/>
  <c r="J999" i="20"/>
  <c r="C999" i="20"/>
  <c r="J998" i="20"/>
  <c r="C998" i="20"/>
  <c r="J997" i="20"/>
  <c r="C997" i="20"/>
  <c r="J996" i="20"/>
  <c r="C996" i="20"/>
  <c r="J995" i="20"/>
  <c r="C995" i="20"/>
  <c r="J994" i="20"/>
  <c r="C994" i="20"/>
  <c r="J993" i="20"/>
  <c r="C993" i="20"/>
  <c r="J992" i="20"/>
  <c r="C992" i="20"/>
  <c r="J991" i="20"/>
  <c r="C991" i="20"/>
  <c r="J990" i="20"/>
  <c r="C990" i="20"/>
  <c r="J989" i="20"/>
  <c r="C989" i="20"/>
  <c r="J988" i="20"/>
  <c r="C988" i="20"/>
  <c r="J987" i="20"/>
  <c r="C987" i="20"/>
  <c r="J986" i="20"/>
  <c r="C986" i="20"/>
  <c r="J985" i="20"/>
  <c r="C985" i="20"/>
  <c r="J984" i="20"/>
  <c r="C984" i="20"/>
  <c r="J983" i="20"/>
  <c r="C983" i="20"/>
  <c r="J982" i="20"/>
  <c r="C982" i="20"/>
  <c r="J981" i="20"/>
  <c r="C981" i="20"/>
  <c r="J980" i="20"/>
  <c r="C980" i="20"/>
  <c r="J979" i="20"/>
  <c r="C979" i="20"/>
  <c r="J978" i="20"/>
  <c r="C978" i="20"/>
  <c r="J977" i="20"/>
  <c r="C977" i="20"/>
  <c r="J976" i="20"/>
  <c r="C976" i="20"/>
  <c r="J975" i="20"/>
  <c r="C975" i="20"/>
  <c r="J974" i="20"/>
  <c r="C974" i="20"/>
  <c r="J973" i="20"/>
  <c r="C973" i="20"/>
  <c r="J972" i="20"/>
  <c r="C972" i="20"/>
  <c r="J971" i="20"/>
  <c r="C971" i="20"/>
  <c r="J970" i="20"/>
  <c r="C970" i="20"/>
  <c r="J969" i="20"/>
  <c r="C969" i="20"/>
  <c r="J968" i="20"/>
  <c r="C968" i="20"/>
  <c r="J967" i="20"/>
  <c r="C967" i="20"/>
  <c r="J966" i="20"/>
  <c r="C966" i="20"/>
  <c r="J965" i="20"/>
  <c r="C965" i="20"/>
  <c r="J964" i="20"/>
  <c r="C964" i="20"/>
  <c r="J963" i="20"/>
  <c r="C963" i="20"/>
  <c r="J962" i="20"/>
  <c r="C962" i="20"/>
  <c r="J961" i="20"/>
  <c r="C961" i="20"/>
  <c r="J960" i="20"/>
  <c r="C960" i="20"/>
  <c r="J959" i="20"/>
  <c r="C959" i="20"/>
  <c r="J958" i="20"/>
  <c r="C958" i="20"/>
  <c r="J957" i="20"/>
  <c r="C957" i="20"/>
  <c r="J956" i="20"/>
  <c r="C956" i="20"/>
  <c r="J955" i="20"/>
  <c r="C955" i="20"/>
  <c r="J954" i="20"/>
  <c r="C954" i="20"/>
  <c r="J953" i="20"/>
  <c r="C953" i="20"/>
  <c r="J952" i="20"/>
  <c r="C952" i="20"/>
  <c r="J951" i="20"/>
  <c r="C951" i="20"/>
  <c r="J950" i="20"/>
  <c r="C950" i="20"/>
  <c r="J949" i="20"/>
  <c r="C949" i="20"/>
  <c r="J948" i="20"/>
  <c r="C948" i="20"/>
  <c r="J947" i="20"/>
  <c r="C947" i="20"/>
  <c r="J946" i="20"/>
  <c r="C946" i="20"/>
  <c r="J945" i="20"/>
  <c r="C945" i="20"/>
  <c r="J944" i="20"/>
  <c r="C944" i="20"/>
  <c r="J943" i="20"/>
  <c r="C943" i="20"/>
  <c r="J942" i="20"/>
  <c r="C942" i="20"/>
  <c r="J941" i="20"/>
  <c r="C941" i="20"/>
  <c r="J940" i="20"/>
  <c r="C940" i="20"/>
  <c r="J939" i="20"/>
  <c r="C939" i="20"/>
  <c r="J938" i="20"/>
  <c r="C938" i="20"/>
  <c r="J937" i="20"/>
  <c r="C937" i="20"/>
  <c r="J936" i="20"/>
  <c r="C936" i="20"/>
  <c r="J935" i="20"/>
  <c r="C935" i="20"/>
  <c r="J934" i="20"/>
  <c r="C934" i="20"/>
  <c r="J933" i="20"/>
  <c r="C933" i="20"/>
  <c r="J932" i="20"/>
  <c r="C932" i="20"/>
  <c r="J931" i="20"/>
  <c r="C931" i="20"/>
  <c r="J930" i="20"/>
  <c r="C930" i="20"/>
  <c r="J929" i="20"/>
  <c r="C929" i="20"/>
  <c r="J928" i="20"/>
  <c r="C928" i="20"/>
  <c r="J927" i="20"/>
  <c r="C927" i="20"/>
  <c r="J926" i="20"/>
  <c r="C926" i="20"/>
  <c r="J925" i="20"/>
  <c r="C925" i="20"/>
  <c r="J924" i="20"/>
  <c r="C924" i="20"/>
  <c r="J923" i="20"/>
  <c r="C923" i="20"/>
  <c r="J922" i="20"/>
  <c r="C922" i="20"/>
  <c r="J921" i="20"/>
  <c r="C921" i="20"/>
  <c r="J920" i="20"/>
  <c r="C920" i="20"/>
  <c r="J919" i="20"/>
  <c r="C919" i="20"/>
  <c r="J918" i="20"/>
  <c r="C918" i="20"/>
  <c r="J917" i="20"/>
  <c r="C917" i="20"/>
  <c r="J916" i="20"/>
  <c r="C916" i="20"/>
  <c r="J915" i="20"/>
  <c r="C915" i="20"/>
  <c r="J914" i="20"/>
  <c r="C914" i="20"/>
  <c r="J913" i="20"/>
  <c r="C913" i="20"/>
  <c r="J912" i="20"/>
  <c r="C912" i="20"/>
  <c r="J911" i="20"/>
  <c r="C911" i="20"/>
  <c r="J910" i="20"/>
  <c r="C910" i="20"/>
  <c r="J909" i="20"/>
  <c r="C909" i="20"/>
  <c r="J908" i="20"/>
  <c r="C908" i="20"/>
  <c r="J907" i="20"/>
  <c r="C907" i="20"/>
  <c r="J906" i="20"/>
  <c r="C906" i="20"/>
  <c r="J905" i="20"/>
  <c r="C905" i="20"/>
  <c r="J904" i="20"/>
  <c r="C904" i="20"/>
  <c r="J903" i="20"/>
  <c r="C903" i="20"/>
  <c r="J902" i="20"/>
  <c r="C902" i="20"/>
  <c r="J901" i="20"/>
  <c r="C901" i="20"/>
  <c r="J900" i="20"/>
  <c r="C900" i="20"/>
  <c r="J899" i="20"/>
  <c r="C899" i="20"/>
  <c r="J898" i="20"/>
  <c r="C898" i="20"/>
  <c r="J897" i="20"/>
  <c r="C897" i="20"/>
  <c r="J896" i="20"/>
  <c r="C896" i="20"/>
  <c r="J895" i="20"/>
  <c r="C895" i="20"/>
  <c r="J894" i="20"/>
  <c r="C894" i="20"/>
  <c r="J893" i="20"/>
  <c r="C893" i="20"/>
  <c r="J892" i="20"/>
  <c r="C892" i="20"/>
  <c r="J891" i="20"/>
  <c r="C891" i="20"/>
  <c r="J890" i="20"/>
  <c r="C890" i="20"/>
  <c r="J889" i="20"/>
  <c r="C889" i="20"/>
  <c r="J888" i="20"/>
  <c r="C888" i="20"/>
  <c r="J887" i="20"/>
  <c r="C887" i="20"/>
  <c r="J886" i="20"/>
  <c r="C886" i="20"/>
  <c r="J885" i="20"/>
  <c r="C885" i="20"/>
  <c r="J884" i="20"/>
  <c r="C884" i="20"/>
  <c r="J883" i="20"/>
  <c r="C883" i="20"/>
  <c r="J882" i="20"/>
  <c r="C882" i="20"/>
  <c r="J881" i="20"/>
  <c r="C881" i="20"/>
  <c r="J880" i="20"/>
  <c r="C880" i="20"/>
  <c r="J879" i="20"/>
  <c r="C879" i="20"/>
  <c r="J878" i="20"/>
  <c r="C878" i="20"/>
  <c r="J877" i="20"/>
  <c r="C877" i="20"/>
  <c r="J876" i="20"/>
  <c r="C876" i="20"/>
  <c r="J875" i="20"/>
  <c r="C875" i="20"/>
  <c r="J874" i="20"/>
  <c r="C874" i="20"/>
  <c r="J873" i="20"/>
  <c r="C873" i="20"/>
  <c r="J872" i="20"/>
  <c r="C872" i="20"/>
  <c r="J871" i="20"/>
  <c r="C871" i="20"/>
  <c r="J870" i="20"/>
  <c r="C870" i="20"/>
  <c r="J869" i="20"/>
  <c r="C869" i="20"/>
  <c r="J868" i="20"/>
  <c r="C868" i="20"/>
  <c r="J867" i="20"/>
  <c r="C867" i="20"/>
  <c r="J866" i="20"/>
  <c r="C866" i="20"/>
  <c r="J865" i="20"/>
  <c r="C865" i="20"/>
  <c r="J864" i="20"/>
  <c r="C864" i="20"/>
  <c r="J863" i="20"/>
  <c r="C863" i="20"/>
  <c r="J862" i="20"/>
  <c r="C862" i="20"/>
  <c r="J861" i="20"/>
  <c r="C861" i="20"/>
  <c r="J860" i="20"/>
  <c r="C860" i="20"/>
  <c r="J859" i="20"/>
  <c r="C859" i="20"/>
  <c r="J858" i="20"/>
  <c r="C858" i="20"/>
  <c r="J857" i="20"/>
  <c r="C857" i="20"/>
  <c r="J856" i="20"/>
  <c r="C856" i="20"/>
  <c r="J855" i="20"/>
  <c r="C855" i="20"/>
  <c r="J854" i="20"/>
  <c r="C854" i="20"/>
  <c r="J853" i="20"/>
  <c r="C853" i="20"/>
  <c r="J852" i="20"/>
  <c r="C852" i="20"/>
  <c r="J851" i="20"/>
  <c r="C851" i="20"/>
  <c r="J850" i="20"/>
  <c r="C850" i="20"/>
  <c r="J849" i="20"/>
  <c r="C849" i="20"/>
  <c r="J848" i="20"/>
  <c r="C848" i="20"/>
  <c r="J847" i="20"/>
  <c r="C847" i="20"/>
  <c r="J846" i="20"/>
  <c r="C846" i="20"/>
  <c r="J845" i="20"/>
  <c r="C845" i="20"/>
  <c r="J844" i="20"/>
  <c r="C844" i="20"/>
  <c r="J843" i="20"/>
  <c r="C843" i="20"/>
  <c r="J842" i="20"/>
  <c r="C842" i="20"/>
  <c r="J841" i="20"/>
  <c r="C841" i="20"/>
  <c r="J840" i="20"/>
  <c r="C840" i="20"/>
  <c r="J839" i="20"/>
  <c r="C839" i="20"/>
  <c r="J838" i="20"/>
  <c r="C838" i="20"/>
  <c r="J837" i="20"/>
  <c r="C837" i="20"/>
  <c r="J836" i="20"/>
  <c r="C836" i="20"/>
  <c r="J835" i="20"/>
  <c r="C835" i="20"/>
  <c r="J834" i="20"/>
  <c r="C834" i="20"/>
  <c r="J833" i="20"/>
  <c r="C833" i="20"/>
  <c r="J832" i="20"/>
  <c r="C832" i="20"/>
  <c r="J831" i="20"/>
  <c r="C831" i="20"/>
  <c r="J830" i="20"/>
  <c r="C830" i="20"/>
  <c r="J829" i="20"/>
  <c r="C829" i="20"/>
  <c r="J828" i="20"/>
  <c r="C828" i="20"/>
  <c r="J827" i="20"/>
  <c r="C827" i="20"/>
  <c r="J826" i="20"/>
  <c r="C826" i="20"/>
  <c r="J825" i="20"/>
  <c r="C825" i="20"/>
  <c r="J824" i="20"/>
  <c r="C824" i="20"/>
  <c r="J823" i="20"/>
  <c r="C823" i="20"/>
  <c r="J822" i="20"/>
  <c r="C822" i="20"/>
  <c r="J821" i="20"/>
  <c r="C821" i="20"/>
  <c r="J820" i="20"/>
  <c r="C820" i="20"/>
  <c r="J819" i="20"/>
  <c r="C819" i="20"/>
  <c r="J818" i="20"/>
  <c r="C818" i="20"/>
  <c r="J817" i="20"/>
  <c r="C817" i="20"/>
  <c r="J816" i="20"/>
  <c r="C816" i="20"/>
  <c r="J815" i="20"/>
  <c r="C815" i="20"/>
  <c r="J814" i="20"/>
  <c r="C814" i="20"/>
  <c r="J813" i="20"/>
  <c r="C813" i="20"/>
  <c r="J812" i="20"/>
  <c r="C812" i="20"/>
  <c r="J811" i="20"/>
  <c r="C811" i="20"/>
  <c r="J810" i="20"/>
  <c r="C810" i="20"/>
  <c r="J809" i="20"/>
  <c r="C809" i="20"/>
  <c r="J808" i="20"/>
  <c r="C808" i="20"/>
  <c r="J807" i="20"/>
  <c r="C807" i="20"/>
  <c r="J806" i="20"/>
  <c r="C806" i="20"/>
  <c r="J805" i="20"/>
  <c r="C805" i="20"/>
  <c r="J804" i="20"/>
  <c r="C804" i="20"/>
  <c r="J803" i="20"/>
  <c r="C803" i="20"/>
  <c r="J802" i="20"/>
  <c r="C802" i="20"/>
  <c r="J801" i="20"/>
  <c r="C801" i="20"/>
  <c r="J800" i="20"/>
  <c r="C800" i="20"/>
  <c r="J799" i="20"/>
  <c r="C799" i="20"/>
  <c r="J798" i="20"/>
  <c r="C798" i="20"/>
  <c r="J797" i="20"/>
  <c r="C797" i="20"/>
  <c r="J796" i="20"/>
  <c r="C796" i="20"/>
  <c r="J795" i="20"/>
  <c r="C795" i="20"/>
  <c r="J794" i="20"/>
  <c r="C794" i="20"/>
  <c r="J793" i="20"/>
  <c r="C793" i="20"/>
  <c r="J792" i="20"/>
  <c r="C792" i="20"/>
  <c r="J791" i="20"/>
  <c r="C791" i="20"/>
  <c r="J790" i="20"/>
  <c r="C790" i="20"/>
  <c r="J789" i="20"/>
  <c r="C789" i="20"/>
  <c r="J788" i="20"/>
  <c r="C788" i="20"/>
  <c r="J787" i="20"/>
  <c r="C787" i="20"/>
  <c r="J786" i="20"/>
  <c r="C786" i="20"/>
  <c r="J785" i="20"/>
  <c r="C785" i="20"/>
  <c r="J784" i="20"/>
  <c r="C784" i="20"/>
  <c r="J783" i="20"/>
  <c r="C783" i="20"/>
  <c r="J782" i="20"/>
  <c r="C782" i="20"/>
  <c r="J781" i="20"/>
  <c r="C781" i="20"/>
  <c r="J780" i="20"/>
  <c r="C780" i="20"/>
  <c r="J779" i="20"/>
  <c r="C779" i="20"/>
  <c r="J778" i="20"/>
  <c r="C778" i="20"/>
  <c r="J777" i="20"/>
  <c r="C777" i="20"/>
  <c r="J776" i="20"/>
  <c r="C776" i="20"/>
  <c r="J775" i="20"/>
  <c r="C775" i="20"/>
  <c r="J774" i="20"/>
  <c r="C774" i="20"/>
  <c r="J773" i="20"/>
  <c r="C773" i="20"/>
  <c r="J772" i="20"/>
  <c r="C772" i="20"/>
  <c r="J771" i="20"/>
  <c r="C771" i="20"/>
  <c r="J770" i="20"/>
  <c r="C770" i="20"/>
  <c r="J769" i="20"/>
  <c r="C769" i="20"/>
  <c r="J768" i="20"/>
  <c r="C768" i="20"/>
  <c r="J767" i="20"/>
  <c r="C767" i="20"/>
  <c r="J766" i="20"/>
  <c r="C766" i="20"/>
  <c r="J765" i="20"/>
  <c r="C765" i="20"/>
  <c r="J764" i="20"/>
  <c r="C764" i="20"/>
  <c r="J763" i="20"/>
  <c r="C763" i="20"/>
  <c r="J762" i="20"/>
  <c r="C762" i="20"/>
  <c r="J761" i="20"/>
  <c r="C761" i="20"/>
  <c r="J760" i="20"/>
  <c r="C760" i="20"/>
  <c r="J759" i="20"/>
  <c r="C759" i="20"/>
  <c r="J758" i="20"/>
  <c r="C758" i="20"/>
  <c r="J757" i="20"/>
  <c r="C757" i="20"/>
  <c r="J756" i="20"/>
  <c r="C756" i="20"/>
  <c r="J755" i="20"/>
  <c r="C755" i="20"/>
  <c r="J754" i="20"/>
  <c r="C754" i="20"/>
  <c r="J753" i="20"/>
  <c r="C753" i="20"/>
  <c r="J752" i="20"/>
  <c r="C752" i="20"/>
  <c r="J751" i="20"/>
  <c r="C751" i="20"/>
  <c r="J750" i="20"/>
  <c r="C750" i="20"/>
  <c r="J749" i="20"/>
  <c r="C749" i="20"/>
  <c r="J748" i="20"/>
  <c r="C748" i="20"/>
  <c r="J747" i="20"/>
  <c r="C747" i="20"/>
  <c r="J746" i="20"/>
  <c r="C746" i="20"/>
  <c r="J745" i="20"/>
  <c r="C745" i="20"/>
  <c r="J744" i="20"/>
  <c r="C744" i="20"/>
  <c r="J743" i="20"/>
  <c r="C743" i="20"/>
  <c r="J742" i="20"/>
  <c r="C742" i="20"/>
  <c r="J741" i="20"/>
  <c r="C741" i="20"/>
  <c r="J740" i="20"/>
  <c r="C740" i="20"/>
  <c r="J739" i="20"/>
  <c r="C739" i="20"/>
  <c r="J738" i="20"/>
  <c r="C738" i="20"/>
  <c r="J737" i="20"/>
  <c r="C737" i="20"/>
  <c r="J736" i="20"/>
  <c r="C736" i="20"/>
  <c r="J735" i="20"/>
  <c r="C735" i="20"/>
  <c r="J734" i="20"/>
  <c r="C734" i="20"/>
  <c r="J733" i="20"/>
  <c r="C733" i="20"/>
  <c r="J732" i="20"/>
  <c r="C732" i="20"/>
  <c r="J731" i="20"/>
  <c r="C731" i="20"/>
  <c r="J730" i="20"/>
  <c r="C730" i="20"/>
  <c r="J729" i="20"/>
  <c r="C729" i="20"/>
  <c r="J728" i="20"/>
  <c r="C728" i="20"/>
  <c r="J727" i="20"/>
  <c r="C727" i="20"/>
  <c r="J726" i="20"/>
  <c r="C726" i="20"/>
  <c r="J725" i="20"/>
  <c r="C725" i="20"/>
  <c r="J724" i="20"/>
  <c r="C724" i="20"/>
  <c r="J723" i="20"/>
  <c r="C723" i="20"/>
  <c r="J722" i="20"/>
  <c r="C722" i="20"/>
  <c r="J721" i="20"/>
  <c r="C721" i="20"/>
  <c r="J720" i="20"/>
  <c r="C720" i="20"/>
  <c r="J719" i="20"/>
  <c r="C719" i="20"/>
  <c r="J718" i="20"/>
  <c r="C718" i="20"/>
  <c r="J717" i="20"/>
  <c r="C717" i="20"/>
  <c r="J716" i="20"/>
  <c r="C716" i="20"/>
  <c r="J715" i="20"/>
  <c r="C715" i="20"/>
  <c r="J714" i="20"/>
  <c r="C714" i="20"/>
  <c r="J713" i="20"/>
  <c r="C713" i="20"/>
  <c r="J712" i="20"/>
  <c r="C712" i="20"/>
  <c r="J711" i="20"/>
  <c r="C711" i="20"/>
  <c r="J710" i="20"/>
  <c r="C710" i="20"/>
  <c r="J709" i="20"/>
  <c r="C709" i="20"/>
  <c r="J708" i="20"/>
  <c r="C708" i="20"/>
  <c r="J707" i="20"/>
  <c r="C707" i="20"/>
  <c r="J706" i="20"/>
  <c r="C706" i="20"/>
  <c r="J705" i="20"/>
  <c r="C705" i="20"/>
  <c r="J704" i="20"/>
  <c r="C704" i="20"/>
  <c r="J703" i="20"/>
  <c r="C703" i="20"/>
  <c r="J702" i="20"/>
  <c r="C702" i="20"/>
  <c r="J701" i="20"/>
  <c r="C701" i="20"/>
  <c r="J700" i="20"/>
  <c r="C700" i="20"/>
  <c r="J699" i="20"/>
  <c r="C699" i="20"/>
  <c r="J698" i="20"/>
  <c r="C698" i="20"/>
  <c r="J697" i="20"/>
  <c r="C697" i="20"/>
  <c r="J696" i="20"/>
  <c r="C696" i="20"/>
  <c r="J695" i="20"/>
  <c r="C695" i="20"/>
  <c r="J694" i="20"/>
  <c r="C694" i="20"/>
  <c r="J693" i="20"/>
  <c r="C693" i="20"/>
  <c r="J692" i="20"/>
  <c r="C692" i="20"/>
  <c r="J691" i="20"/>
  <c r="C691" i="20"/>
  <c r="J690" i="20"/>
  <c r="C690" i="20"/>
  <c r="J689" i="20"/>
  <c r="C689" i="20"/>
  <c r="J688" i="20"/>
  <c r="C688" i="20"/>
  <c r="J687" i="20"/>
  <c r="C687" i="20"/>
  <c r="J686" i="20"/>
  <c r="C686" i="20"/>
  <c r="J685" i="20"/>
  <c r="C685" i="20"/>
  <c r="J684" i="20"/>
  <c r="C684" i="20"/>
  <c r="J683" i="20"/>
  <c r="C683" i="20"/>
  <c r="J682" i="20"/>
  <c r="C682" i="20"/>
  <c r="J681" i="20"/>
  <c r="C681" i="20"/>
  <c r="J680" i="20"/>
  <c r="C680" i="20"/>
  <c r="J679" i="20"/>
  <c r="C679" i="20"/>
  <c r="J678" i="20"/>
  <c r="C678" i="20"/>
  <c r="J677" i="20"/>
  <c r="C677" i="20"/>
  <c r="J676" i="20"/>
  <c r="C676" i="20"/>
  <c r="J675" i="20"/>
  <c r="C675" i="20"/>
  <c r="J674" i="20"/>
  <c r="C674" i="20"/>
  <c r="J673" i="20"/>
  <c r="C673" i="20"/>
  <c r="J672" i="20"/>
  <c r="C672" i="20"/>
  <c r="J671" i="20"/>
  <c r="C671" i="20"/>
  <c r="J670" i="20"/>
  <c r="C670" i="20"/>
  <c r="J669" i="20"/>
  <c r="C669" i="20"/>
  <c r="J668" i="20"/>
  <c r="C668" i="20"/>
  <c r="J667" i="20"/>
  <c r="C667" i="20"/>
  <c r="J666" i="20"/>
  <c r="C666" i="20"/>
  <c r="J665" i="20"/>
  <c r="C665" i="20"/>
  <c r="J664" i="20"/>
  <c r="C664" i="20"/>
  <c r="J663" i="20"/>
  <c r="C663" i="20"/>
  <c r="J662" i="20"/>
  <c r="C662" i="20"/>
  <c r="J661" i="20"/>
  <c r="C661" i="20"/>
  <c r="J660" i="20"/>
  <c r="C660" i="20"/>
  <c r="J659" i="20"/>
  <c r="C659" i="20"/>
  <c r="J658" i="20"/>
  <c r="C658" i="20"/>
  <c r="J657" i="20"/>
  <c r="C657" i="20"/>
  <c r="J656" i="20"/>
  <c r="C656" i="20"/>
  <c r="J655" i="20"/>
  <c r="C655" i="20"/>
  <c r="J654" i="20"/>
  <c r="C654" i="20"/>
  <c r="J653" i="20"/>
  <c r="C653" i="20"/>
  <c r="J652" i="20"/>
  <c r="C652" i="20"/>
  <c r="J651" i="20"/>
  <c r="C651" i="20"/>
  <c r="J650" i="20"/>
  <c r="C650" i="20"/>
  <c r="J649" i="20"/>
  <c r="C649" i="20"/>
  <c r="J648" i="20"/>
  <c r="C648" i="20"/>
  <c r="J647" i="20"/>
  <c r="C647" i="20"/>
  <c r="J646" i="20"/>
  <c r="C646" i="20"/>
  <c r="J645" i="20"/>
  <c r="C645" i="20"/>
  <c r="J644" i="20"/>
  <c r="C644" i="20"/>
  <c r="J643" i="20"/>
  <c r="C643" i="20"/>
  <c r="J642" i="20"/>
  <c r="C642" i="20"/>
  <c r="J641" i="20"/>
  <c r="C641" i="20"/>
  <c r="J640" i="20"/>
  <c r="C640" i="20"/>
  <c r="J639" i="20"/>
  <c r="C639" i="20"/>
  <c r="J638" i="20"/>
  <c r="C638" i="20"/>
  <c r="J637" i="20"/>
  <c r="C637" i="20"/>
  <c r="J636" i="20"/>
  <c r="C636" i="20"/>
  <c r="J635" i="20"/>
  <c r="C635" i="20"/>
  <c r="J634" i="20"/>
  <c r="C634" i="20"/>
  <c r="J633" i="20"/>
  <c r="C633" i="20"/>
  <c r="J632" i="20"/>
  <c r="C632" i="20"/>
  <c r="J631" i="20"/>
  <c r="C631" i="20"/>
  <c r="J630" i="20"/>
  <c r="C630" i="20"/>
  <c r="J629" i="20"/>
  <c r="C629" i="20"/>
  <c r="J628" i="20"/>
  <c r="C628" i="20"/>
  <c r="J627" i="20"/>
  <c r="C627" i="20"/>
  <c r="J626" i="20"/>
  <c r="C626" i="20"/>
  <c r="J625" i="20"/>
  <c r="C625" i="20"/>
  <c r="J624" i="20"/>
  <c r="C624" i="20"/>
  <c r="J623" i="20"/>
  <c r="C623" i="20"/>
  <c r="J622" i="20"/>
  <c r="C622" i="20"/>
  <c r="J621" i="20"/>
  <c r="C621" i="20"/>
  <c r="J620" i="20"/>
  <c r="C620" i="20"/>
  <c r="J619" i="20"/>
  <c r="C619" i="20"/>
  <c r="J618" i="20"/>
  <c r="C618" i="20"/>
  <c r="J617" i="20"/>
  <c r="C617" i="20"/>
  <c r="J616" i="20"/>
  <c r="C616" i="20"/>
  <c r="J615" i="20"/>
  <c r="C615" i="20"/>
  <c r="J614" i="20"/>
  <c r="C614" i="20"/>
  <c r="J613" i="20"/>
  <c r="C613" i="20"/>
  <c r="J612" i="20"/>
  <c r="C612" i="20"/>
  <c r="J611" i="20"/>
  <c r="C611" i="20"/>
  <c r="J610" i="20"/>
  <c r="C610" i="20"/>
  <c r="J609" i="20"/>
  <c r="C609" i="20"/>
  <c r="J608" i="20"/>
  <c r="C608" i="20"/>
  <c r="J607" i="20"/>
  <c r="C607" i="20"/>
  <c r="J606" i="20"/>
  <c r="C606" i="20"/>
  <c r="J605" i="20"/>
  <c r="C605" i="20"/>
  <c r="J604" i="20"/>
  <c r="C604" i="20"/>
  <c r="J603" i="20"/>
  <c r="C603" i="20"/>
  <c r="J602" i="20"/>
  <c r="C602" i="20"/>
  <c r="J601" i="20"/>
  <c r="C601" i="20"/>
  <c r="J600" i="20"/>
  <c r="C600" i="20"/>
  <c r="J599" i="20"/>
  <c r="C599" i="20"/>
  <c r="J598" i="20"/>
  <c r="C598" i="20"/>
  <c r="J597" i="20"/>
  <c r="C597" i="20"/>
  <c r="J596" i="20"/>
  <c r="C596" i="20"/>
  <c r="J595" i="20"/>
  <c r="C595" i="20"/>
  <c r="J594" i="20"/>
  <c r="C594" i="20"/>
  <c r="J593" i="20"/>
  <c r="C593" i="20"/>
  <c r="J592" i="20"/>
  <c r="C592" i="20"/>
  <c r="J591" i="20"/>
  <c r="C591" i="20"/>
  <c r="J590" i="20"/>
  <c r="C590" i="20"/>
  <c r="J589" i="20"/>
  <c r="C589" i="20"/>
  <c r="J588" i="20"/>
  <c r="C588" i="20"/>
  <c r="J587" i="20"/>
  <c r="C587" i="20"/>
  <c r="J586" i="20"/>
  <c r="C586" i="20"/>
  <c r="J585" i="20"/>
  <c r="C585" i="20"/>
  <c r="J584" i="20"/>
  <c r="C584" i="20"/>
  <c r="J583" i="20"/>
  <c r="C583" i="20"/>
  <c r="J582" i="20"/>
  <c r="C582" i="20"/>
  <c r="J581" i="20"/>
  <c r="C581" i="20"/>
  <c r="J580" i="20"/>
  <c r="C580" i="20"/>
  <c r="J579" i="20"/>
  <c r="C579" i="20"/>
  <c r="J578" i="20"/>
  <c r="C578" i="20"/>
  <c r="J577" i="20"/>
  <c r="C577" i="20"/>
  <c r="J576" i="20"/>
  <c r="C576" i="20"/>
  <c r="J575" i="20"/>
  <c r="C575" i="20"/>
  <c r="J574" i="20"/>
  <c r="C574" i="20"/>
  <c r="J573" i="20"/>
  <c r="C573" i="20"/>
  <c r="J572" i="20"/>
  <c r="C572" i="20"/>
  <c r="J571" i="20"/>
  <c r="C571" i="20"/>
  <c r="J570" i="20"/>
  <c r="C570" i="20"/>
  <c r="J569" i="20"/>
  <c r="C569" i="20"/>
  <c r="J568" i="20"/>
  <c r="C568" i="20"/>
  <c r="J567" i="20"/>
  <c r="C567" i="20"/>
  <c r="J566" i="20"/>
  <c r="C566" i="20"/>
  <c r="J565" i="20"/>
  <c r="C565" i="20"/>
  <c r="J564" i="20"/>
  <c r="C564" i="20"/>
  <c r="J563" i="20"/>
  <c r="C563" i="20"/>
  <c r="J562" i="20"/>
  <c r="C562" i="20"/>
  <c r="J561" i="20"/>
  <c r="C561" i="20"/>
  <c r="J560" i="20"/>
  <c r="C560" i="20"/>
  <c r="J559" i="20"/>
  <c r="C559" i="20"/>
  <c r="J558" i="20"/>
  <c r="C558" i="20"/>
  <c r="J557" i="20"/>
  <c r="C557" i="20"/>
  <c r="J556" i="20"/>
  <c r="C556" i="20"/>
  <c r="J555" i="20"/>
  <c r="C555" i="20"/>
  <c r="J554" i="20"/>
  <c r="C554" i="20"/>
  <c r="J553" i="20"/>
  <c r="C553" i="20"/>
  <c r="J552" i="20"/>
  <c r="C552" i="20"/>
  <c r="J551" i="20"/>
  <c r="C551" i="20"/>
  <c r="J550" i="20"/>
  <c r="C550" i="20"/>
  <c r="J549" i="20"/>
  <c r="C549" i="20"/>
  <c r="J548" i="20"/>
  <c r="C548" i="20"/>
  <c r="J547" i="20"/>
  <c r="C547" i="20"/>
  <c r="J546" i="20"/>
  <c r="C546" i="20"/>
  <c r="J545" i="20"/>
  <c r="C545" i="20"/>
  <c r="J544" i="20"/>
  <c r="C544" i="20"/>
  <c r="J543" i="20"/>
  <c r="C543" i="20"/>
  <c r="J542" i="20"/>
  <c r="C542" i="20"/>
  <c r="J541" i="20"/>
  <c r="C541" i="20"/>
  <c r="J540" i="20"/>
  <c r="C540" i="20"/>
  <c r="J539" i="20"/>
  <c r="C539" i="20"/>
  <c r="J538" i="20"/>
  <c r="C538" i="20"/>
  <c r="J537" i="20"/>
  <c r="C537" i="20"/>
  <c r="J536" i="20"/>
  <c r="C536" i="20"/>
  <c r="J535" i="20"/>
  <c r="C535" i="20"/>
  <c r="J534" i="20"/>
  <c r="C534" i="20"/>
  <c r="J533" i="20"/>
  <c r="C533" i="20"/>
  <c r="J532" i="20"/>
  <c r="C532" i="20"/>
  <c r="J531" i="20"/>
  <c r="C531" i="20"/>
  <c r="J530" i="20"/>
  <c r="C530" i="20"/>
  <c r="J529" i="20"/>
  <c r="C529" i="20"/>
  <c r="J528" i="20"/>
  <c r="C528" i="20"/>
  <c r="J527" i="20"/>
  <c r="C527" i="20"/>
  <c r="J526" i="20"/>
  <c r="C526" i="20"/>
  <c r="J525" i="20"/>
  <c r="C525" i="20"/>
  <c r="J524" i="20"/>
  <c r="C524" i="20"/>
  <c r="J523" i="20"/>
  <c r="C523" i="20"/>
  <c r="J522" i="20"/>
  <c r="C522" i="20"/>
  <c r="J521" i="20"/>
  <c r="C521" i="20"/>
  <c r="J520" i="20"/>
  <c r="C520" i="20"/>
  <c r="J519" i="20"/>
  <c r="C519" i="20"/>
  <c r="J518" i="20"/>
  <c r="C518" i="20"/>
  <c r="J517" i="20"/>
  <c r="C517" i="20"/>
  <c r="J516" i="20"/>
  <c r="C516" i="20"/>
  <c r="J515" i="20"/>
  <c r="C515" i="20"/>
  <c r="J514" i="20"/>
  <c r="C514" i="20"/>
  <c r="J513" i="20"/>
  <c r="C513" i="20"/>
  <c r="J512" i="20"/>
  <c r="C512" i="20"/>
  <c r="J511" i="20"/>
  <c r="C511" i="20"/>
  <c r="J510" i="20"/>
  <c r="C510" i="20"/>
  <c r="J509" i="20"/>
  <c r="C509" i="20"/>
  <c r="J508" i="20"/>
  <c r="C508" i="20"/>
  <c r="J507" i="20"/>
  <c r="C507" i="20"/>
  <c r="J506" i="20"/>
  <c r="C506" i="20"/>
  <c r="J505" i="20"/>
  <c r="C505" i="20"/>
  <c r="J504" i="20"/>
  <c r="C504" i="20"/>
  <c r="J503" i="20"/>
  <c r="C503" i="20"/>
  <c r="J502" i="20"/>
  <c r="C502" i="20"/>
  <c r="J501" i="20"/>
  <c r="C501" i="20"/>
  <c r="J500" i="20"/>
  <c r="C500" i="20"/>
  <c r="J499" i="20"/>
  <c r="C499" i="20"/>
  <c r="J498" i="20"/>
  <c r="C498" i="20"/>
  <c r="J497" i="20"/>
  <c r="C497" i="20"/>
  <c r="J496" i="20"/>
  <c r="C496" i="20"/>
  <c r="J495" i="20"/>
  <c r="C495" i="20"/>
  <c r="J494" i="20"/>
  <c r="C494" i="20"/>
  <c r="J493" i="20"/>
  <c r="C493" i="20"/>
  <c r="J492" i="20"/>
  <c r="C492" i="20"/>
  <c r="J491" i="20"/>
  <c r="C491" i="20"/>
  <c r="J490" i="20"/>
  <c r="C490" i="20"/>
  <c r="J489" i="20"/>
  <c r="C489" i="20"/>
  <c r="J488" i="20"/>
  <c r="C488" i="20"/>
  <c r="J487" i="20"/>
  <c r="C487" i="20"/>
  <c r="J486" i="20"/>
  <c r="C486" i="20"/>
  <c r="J485" i="20"/>
  <c r="C485" i="20"/>
  <c r="J484" i="20"/>
  <c r="C484" i="20"/>
  <c r="J483" i="20"/>
  <c r="C483" i="20"/>
  <c r="J482" i="20"/>
  <c r="C482" i="20"/>
  <c r="J481" i="20"/>
  <c r="C481" i="20"/>
  <c r="J480" i="20"/>
  <c r="C480" i="20"/>
  <c r="J479" i="20"/>
  <c r="C479" i="20"/>
  <c r="J478" i="20"/>
  <c r="C478" i="20"/>
  <c r="J477" i="20"/>
  <c r="C477" i="20"/>
  <c r="J476" i="20"/>
  <c r="C476" i="20"/>
  <c r="J475" i="20"/>
  <c r="C475" i="20"/>
  <c r="J474" i="20"/>
  <c r="C474" i="20"/>
  <c r="J473" i="20"/>
  <c r="C473" i="20"/>
  <c r="J472" i="20"/>
  <c r="C472" i="20"/>
  <c r="J471" i="20"/>
  <c r="C471" i="20"/>
  <c r="J470" i="20"/>
  <c r="C470" i="20"/>
  <c r="J469" i="20"/>
  <c r="C469" i="20"/>
  <c r="J468" i="20"/>
  <c r="C468" i="20"/>
  <c r="J467" i="20"/>
  <c r="C467" i="20"/>
  <c r="J466" i="20"/>
  <c r="C466" i="20"/>
  <c r="J465" i="20"/>
  <c r="C465" i="20"/>
  <c r="J464" i="20"/>
  <c r="C464" i="20"/>
  <c r="J463" i="20"/>
  <c r="C463" i="20"/>
  <c r="J462" i="20"/>
  <c r="C462" i="20"/>
  <c r="J461" i="20"/>
  <c r="C461" i="20"/>
  <c r="J460" i="20"/>
  <c r="C460" i="20"/>
  <c r="J459" i="20"/>
  <c r="C459" i="20"/>
  <c r="J458" i="20"/>
  <c r="C458" i="20"/>
  <c r="J457" i="20"/>
  <c r="C457" i="20"/>
  <c r="J456" i="20"/>
  <c r="C456" i="20"/>
  <c r="J455" i="20"/>
  <c r="C455" i="20"/>
  <c r="J454" i="20"/>
  <c r="C454" i="20"/>
  <c r="J453" i="20"/>
  <c r="C453" i="20"/>
  <c r="J452" i="20"/>
  <c r="C452" i="20"/>
  <c r="J451" i="20"/>
  <c r="C451" i="20"/>
  <c r="J450" i="20"/>
  <c r="C450" i="20"/>
  <c r="J449" i="20"/>
  <c r="C449" i="20"/>
  <c r="J448" i="20"/>
  <c r="C448" i="20"/>
  <c r="J447" i="20"/>
  <c r="C447" i="20"/>
  <c r="J446" i="20"/>
  <c r="C446" i="20"/>
  <c r="J445" i="20"/>
  <c r="C445" i="20"/>
  <c r="J444" i="20"/>
  <c r="C444" i="20"/>
  <c r="J443" i="20"/>
  <c r="C443" i="20"/>
  <c r="J442" i="20"/>
  <c r="C442" i="20"/>
  <c r="J441" i="20"/>
  <c r="C441" i="20"/>
  <c r="J440" i="20"/>
  <c r="C440" i="20"/>
  <c r="J439" i="20"/>
  <c r="C439" i="20"/>
  <c r="J438" i="20"/>
  <c r="C438" i="20"/>
  <c r="J437" i="20"/>
  <c r="C437" i="20"/>
  <c r="J436" i="20"/>
  <c r="C436" i="20"/>
  <c r="J435" i="20"/>
  <c r="C435" i="20"/>
  <c r="J434" i="20"/>
  <c r="C434" i="20"/>
  <c r="J433" i="20"/>
  <c r="C433" i="20"/>
  <c r="J432" i="20"/>
  <c r="C432" i="20"/>
  <c r="J431" i="20"/>
  <c r="C431" i="20"/>
  <c r="J430" i="20"/>
  <c r="C430" i="20"/>
  <c r="J429" i="20"/>
  <c r="C429" i="20"/>
  <c r="J428" i="20"/>
  <c r="C428" i="20"/>
  <c r="J427" i="20"/>
  <c r="C427" i="20"/>
  <c r="J426" i="20"/>
  <c r="C426" i="20"/>
  <c r="J425" i="20"/>
  <c r="C425" i="20"/>
  <c r="J424" i="20"/>
  <c r="C424" i="20"/>
  <c r="J423" i="20"/>
  <c r="C423" i="20"/>
  <c r="J422" i="20"/>
  <c r="C422" i="20"/>
  <c r="J421" i="20"/>
  <c r="C421" i="20"/>
  <c r="J420" i="20"/>
  <c r="C420" i="20"/>
  <c r="J419" i="20"/>
  <c r="C419" i="20"/>
  <c r="J418" i="20"/>
  <c r="C418" i="20"/>
  <c r="J417" i="20"/>
  <c r="C417" i="20"/>
  <c r="J416" i="20"/>
  <c r="C416" i="20"/>
  <c r="J415" i="20"/>
  <c r="C415" i="20"/>
  <c r="J414" i="20"/>
  <c r="C414" i="20"/>
  <c r="J413" i="20"/>
  <c r="C413" i="20"/>
  <c r="J412" i="20"/>
  <c r="C412" i="20"/>
  <c r="J411" i="20"/>
  <c r="C411" i="20"/>
  <c r="J410" i="20"/>
  <c r="C410" i="20"/>
  <c r="J409" i="20"/>
  <c r="C409" i="20"/>
  <c r="J408" i="20"/>
  <c r="C408" i="20"/>
  <c r="J407" i="20"/>
  <c r="C407" i="20"/>
  <c r="J406" i="20"/>
  <c r="C406" i="20"/>
  <c r="J405" i="20"/>
  <c r="C405" i="20"/>
  <c r="J404" i="20"/>
  <c r="C404" i="20"/>
  <c r="J403" i="20"/>
  <c r="C403" i="20"/>
  <c r="J402" i="20"/>
  <c r="C402" i="20"/>
  <c r="J401" i="20"/>
  <c r="C401" i="20"/>
  <c r="J400" i="20"/>
  <c r="C400" i="20"/>
  <c r="J399" i="20"/>
  <c r="C399" i="20"/>
  <c r="J398" i="20"/>
  <c r="C398" i="20"/>
  <c r="J397" i="20"/>
  <c r="C397" i="20"/>
  <c r="J396" i="20"/>
  <c r="C396" i="20"/>
  <c r="J395" i="20"/>
  <c r="C395" i="20"/>
  <c r="J394" i="20"/>
  <c r="C394" i="20"/>
  <c r="J393" i="20"/>
  <c r="C393" i="20"/>
  <c r="J392" i="20"/>
  <c r="C392" i="20"/>
  <c r="J391" i="20"/>
  <c r="C391" i="20"/>
  <c r="J390" i="20"/>
  <c r="C390" i="20"/>
  <c r="J389" i="20"/>
  <c r="C389" i="20"/>
  <c r="J388" i="20"/>
  <c r="C388" i="20"/>
  <c r="J387" i="20"/>
  <c r="C387" i="20"/>
  <c r="J386" i="20"/>
  <c r="C386" i="20"/>
  <c r="J385" i="20"/>
  <c r="C385" i="20"/>
  <c r="J384" i="20"/>
  <c r="C384" i="20"/>
  <c r="J383" i="20"/>
  <c r="C383" i="20"/>
  <c r="J382" i="20"/>
  <c r="C382" i="20"/>
  <c r="J381" i="20"/>
  <c r="C381" i="20"/>
  <c r="J380" i="20"/>
  <c r="C380" i="20"/>
  <c r="J379" i="20"/>
  <c r="C379" i="20"/>
  <c r="J378" i="20"/>
  <c r="C378" i="20"/>
  <c r="J377" i="20"/>
  <c r="C377" i="20"/>
  <c r="J376" i="20"/>
  <c r="C376" i="20"/>
  <c r="J375" i="20"/>
  <c r="C375" i="20"/>
  <c r="J374" i="20"/>
  <c r="C374" i="20"/>
  <c r="J373" i="20"/>
  <c r="C373" i="20"/>
  <c r="J372" i="20"/>
  <c r="C372" i="20"/>
  <c r="J371" i="20"/>
  <c r="C371" i="20"/>
  <c r="J370" i="20"/>
  <c r="C370" i="20"/>
  <c r="J369" i="20"/>
  <c r="C369" i="20"/>
  <c r="J368" i="20"/>
  <c r="C368" i="20"/>
  <c r="J367" i="20"/>
  <c r="C367" i="20"/>
  <c r="J366" i="20"/>
  <c r="C366" i="20"/>
  <c r="J365" i="20"/>
  <c r="C365" i="20"/>
  <c r="J364" i="20"/>
  <c r="C364" i="20"/>
  <c r="J363" i="20"/>
  <c r="C363" i="20"/>
  <c r="J362" i="20"/>
  <c r="C362" i="20"/>
  <c r="J361" i="20"/>
  <c r="C361" i="20"/>
  <c r="J360" i="20"/>
  <c r="C360" i="20"/>
  <c r="J359" i="20"/>
  <c r="C359" i="20"/>
  <c r="J358" i="20"/>
  <c r="C358" i="20"/>
  <c r="J357" i="20"/>
  <c r="C357" i="20"/>
  <c r="J356" i="20"/>
  <c r="C356" i="20"/>
  <c r="J355" i="20"/>
  <c r="C355" i="20"/>
  <c r="J354" i="20"/>
  <c r="C354" i="20"/>
  <c r="J353" i="20"/>
  <c r="C353" i="20"/>
  <c r="J352" i="20"/>
  <c r="C352" i="20"/>
  <c r="J351" i="20"/>
  <c r="C351" i="20"/>
  <c r="J350" i="20"/>
  <c r="C350" i="20"/>
  <c r="J349" i="20"/>
  <c r="C349" i="20"/>
  <c r="J348" i="20"/>
  <c r="C348" i="20"/>
  <c r="J347" i="20"/>
  <c r="C347" i="20"/>
  <c r="J346" i="20"/>
  <c r="C346" i="20"/>
  <c r="J345" i="20"/>
  <c r="C345" i="20"/>
  <c r="J344" i="20"/>
  <c r="C344" i="20"/>
  <c r="J343" i="20"/>
  <c r="C343" i="20"/>
  <c r="J342" i="20"/>
  <c r="C342" i="20"/>
  <c r="J341" i="20"/>
  <c r="C341" i="20"/>
  <c r="J340" i="20"/>
  <c r="C340" i="20"/>
  <c r="J339" i="20"/>
  <c r="C339" i="20"/>
  <c r="J338" i="20"/>
  <c r="C338" i="20"/>
  <c r="J337" i="20"/>
  <c r="C337" i="20"/>
  <c r="J336" i="20"/>
  <c r="C336" i="20"/>
  <c r="J335" i="20"/>
  <c r="C335" i="20"/>
  <c r="J334" i="20"/>
  <c r="C334" i="20"/>
  <c r="J333" i="20"/>
  <c r="C333" i="20"/>
  <c r="J332" i="20"/>
  <c r="C332" i="20"/>
  <c r="J331" i="20"/>
  <c r="C331" i="20"/>
  <c r="J330" i="20"/>
  <c r="C330" i="20"/>
  <c r="J329" i="20"/>
  <c r="C329" i="20"/>
  <c r="J328" i="20"/>
  <c r="C328" i="20"/>
  <c r="J327" i="20"/>
  <c r="C327" i="20"/>
  <c r="J326" i="20"/>
  <c r="C326" i="20"/>
  <c r="J325" i="20"/>
  <c r="C325" i="20"/>
  <c r="J324" i="20"/>
  <c r="C324" i="20"/>
  <c r="J323" i="20"/>
  <c r="C323" i="20"/>
  <c r="J322" i="20"/>
  <c r="C322" i="20"/>
  <c r="J321" i="20"/>
  <c r="C321" i="20"/>
  <c r="J320" i="20"/>
  <c r="C320" i="20"/>
  <c r="J319" i="20"/>
  <c r="C319" i="20"/>
  <c r="J318" i="20"/>
  <c r="C318" i="20"/>
  <c r="J317" i="20"/>
  <c r="C317" i="20"/>
  <c r="J316" i="20"/>
  <c r="C316" i="20"/>
  <c r="J315" i="20"/>
  <c r="C315" i="20"/>
  <c r="J314" i="20"/>
  <c r="C314" i="20"/>
  <c r="J313" i="20"/>
  <c r="C313" i="20"/>
  <c r="J312" i="20"/>
  <c r="C312" i="20"/>
  <c r="J311" i="20"/>
  <c r="C311" i="20"/>
  <c r="J310" i="20"/>
  <c r="C310" i="20"/>
  <c r="J309" i="20"/>
  <c r="C309" i="20"/>
  <c r="J308" i="20"/>
  <c r="C308" i="20"/>
  <c r="J307" i="20"/>
  <c r="C307" i="20"/>
  <c r="J306" i="20"/>
  <c r="C306" i="20"/>
  <c r="J305" i="20"/>
  <c r="C305" i="20"/>
  <c r="J304" i="20"/>
  <c r="C304" i="20"/>
  <c r="J303" i="20"/>
  <c r="C303" i="20"/>
  <c r="J302" i="20"/>
  <c r="C302" i="20"/>
  <c r="J301" i="20"/>
  <c r="C301" i="20"/>
  <c r="J300" i="20"/>
  <c r="C300" i="20"/>
  <c r="J299" i="20"/>
  <c r="C299" i="20"/>
  <c r="J298" i="20"/>
  <c r="C298" i="20"/>
  <c r="J297" i="20"/>
  <c r="C297" i="20"/>
  <c r="J296" i="20"/>
  <c r="C296" i="20"/>
  <c r="J295" i="20"/>
  <c r="C295" i="20"/>
  <c r="J294" i="20"/>
  <c r="C294" i="20"/>
  <c r="J293" i="20"/>
  <c r="C293" i="20"/>
  <c r="J292" i="20"/>
  <c r="C292" i="20"/>
  <c r="J291" i="20"/>
  <c r="C291" i="20"/>
  <c r="J290" i="20"/>
  <c r="C290" i="20"/>
  <c r="J289" i="20"/>
  <c r="C289" i="20"/>
  <c r="J288" i="20"/>
  <c r="C288" i="20"/>
  <c r="J287" i="20"/>
  <c r="C287" i="20"/>
  <c r="J286" i="20"/>
  <c r="C286" i="20"/>
  <c r="J285" i="20"/>
  <c r="C285" i="20"/>
  <c r="J284" i="20"/>
  <c r="C284" i="20"/>
  <c r="J283" i="20"/>
  <c r="C283" i="20"/>
  <c r="J282" i="20"/>
  <c r="C282" i="20"/>
  <c r="J281" i="20"/>
  <c r="C281" i="20"/>
  <c r="J280" i="20"/>
  <c r="C280" i="20"/>
  <c r="J279" i="20"/>
  <c r="C279" i="20"/>
  <c r="J278" i="20"/>
  <c r="C278" i="20"/>
  <c r="J277" i="20"/>
  <c r="C277" i="20"/>
  <c r="J276" i="20"/>
  <c r="C276" i="20"/>
  <c r="J275" i="20"/>
  <c r="C275" i="20"/>
  <c r="J274" i="20"/>
  <c r="C274" i="20"/>
  <c r="J273" i="20"/>
  <c r="C273" i="20"/>
  <c r="J272" i="20"/>
  <c r="C272" i="20"/>
  <c r="J271" i="20"/>
  <c r="C271" i="20"/>
  <c r="J270" i="20"/>
  <c r="C270" i="20"/>
  <c r="J269" i="20"/>
  <c r="C269" i="20"/>
  <c r="J268" i="20"/>
  <c r="C268" i="20"/>
  <c r="J267" i="20"/>
  <c r="C267" i="20"/>
  <c r="J266" i="20"/>
  <c r="C266" i="20"/>
  <c r="J265" i="20"/>
  <c r="C265" i="20"/>
  <c r="J264" i="20"/>
  <c r="C264" i="20"/>
  <c r="J263" i="20"/>
  <c r="C263" i="20"/>
  <c r="J262" i="20"/>
  <c r="C262" i="20"/>
  <c r="J261" i="20"/>
  <c r="C261" i="20"/>
  <c r="J260" i="20"/>
  <c r="C260" i="20"/>
  <c r="J259" i="20"/>
  <c r="C259" i="20"/>
  <c r="J258" i="20"/>
  <c r="C258" i="20"/>
  <c r="J257" i="20"/>
  <c r="C257" i="20"/>
  <c r="J256" i="20"/>
  <c r="C256" i="20"/>
  <c r="J255" i="20"/>
  <c r="C255" i="20"/>
  <c r="J254" i="20"/>
  <c r="C254" i="20"/>
  <c r="J253" i="20"/>
  <c r="C253" i="20"/>
  <c r="J252" i="20"/>
  <c r="C252" i="20"/>
  <c r="J251" i="20"/>
  <c r="C251" i="20"/>
  <c r="J250" i="20"/>
  <c r="C250" i="20"/>
  <c r="J249" i="20"/>
  <c r="C249" i="20"/>
  <c r="J248" i="20"/>
  <c r="C248" i="20"/>
  <c r="J247" i="20"/>
  <c r="C247" i="20"/>
  <c r="J246" i="20"/>
  <c r="C246" i="20"/>
  <c r="J245" i="20"/>
  <c r="C245" i="20"/>
  <c r="J244" i="20"/>
  <c r="C244" i="20"/>
  <c r="J243" i="20"/>
  <c r="C243" i="20"/>
  <c r="J242" i="20"/>
  <c r="C242" i="20"/>
  <c r="J241" i="20"/>
  <c r="C241" i="20"/>
  <c r="J240" i="20"/>
  <c r="C240" i="20"/>
  <c r="J239" i="20"/>
  <c r="C239" i="20"/>
  <c r="J238" i="20"/>
  <c r="C238" i="20"/>
  <c r="J237" i="20"/>
  <c r="C237" i="20"/>
  <c r="J236" i="20"/>
  <c r="C236" i="20"/>
  <c r="J235" i="20"/>
  <c r="C235" i="20"/>
  <c r="J234" i="20"/>
  <c r="C234" i="20"/>
  <c r="J233" i="20"/>
  <c r="C233" i="20"/>
  <c r="J232" i="20"/>
  <c r="C232" i="20"/>
  <c r="J231" i="20"/>
  <c r="C231" i="20"/>
  <c r="J230" i="20"/>
  <c r="C230" i="20"/>
  <c r="J229" i="20"/>
  <c r="C229" i="20"/>
  <c r="J228" i="20"/>
  <c r="C228" i="20"/>
  <c r="J227" i="20"/>
  <c r="C227" i="20"/>
  <c r="J226" i="20"/>
  <c r="C226" i="20"/>
  <c r="J225" i="20"/>
  <c r="C225" i="20"/>
  <c r="J224" i="20"/>
  <c r="C224" i="20"/>
  <c r="J223" i="20"/>
  <c r="C223" i="20"/>
  <c r="J222" i="20"/>
  <c r="C222" i="20"/>
  <c r="J221" i="20"/>
  <c r="C221" i="20"/>
  <c r="J220" i="20"/>
  <c r="C220" i="20"/>
  <c r="J219" i="20"/>
  <c r="C219" i="20"/>
  <c r="J218" i="20"/>
  <c r="C218" i="20"/>
  <c r="J217" i="20"/>
  <c r="C217" i="20"/>
  <c r="J216" i="20"/>
  <c r="C216" i="20"/>
  <c r="J215" i="20"/>
  <c r="C215" i="20"/>
  <c r="J214" i="20"/>
  <c r="C214" i="20"/>
  <c r="J213" i="20"/>
  <c r="C213" i="20"/>
  <c r="J212" i="20"/>
  <c r="C212" i="20"/>
  <c r="J211" i="20"/>
  <c r="C211" i="20"/>
  <c r="J210" i="20"/>
  <c r="C210" i="20"/>
  <c r="J209" i="20"/>
  <c r="C209" i="20"/>
  <c r="J208" i="20"/>
  <c r="C208" i="20"/>
  <c r="J207" i="20"/>
  <c r="C207" i="20"/>
  <c r="J206" i="20"/>
  <c r="C206" i="20"/>
  <c r="J205" i="20"/>
  <c r="C205" i="20"/>
  <c r="J204" i="20"/>
  <c r="C204" i="20"/>
  <c r="J203" i="20"/>
  <c r="C203" i="20"/>
  <c r="J202" i="20"/>
  <c r="C202" i="20"/>
  <c r="J201" i="20"/>
  <c r="C201" i="20"/>
  <c r="J200" i="20"/>
  <c r="C200" i="20"/>
  <c r="J199" i="20"/>
  <c r="C199" i="20"/>
  <c r="J198" i="20"/>
  <c r="C198" i="20"/>
  <c r="J197" i="20"/>
  <c r="C197" i="20"/>
  <c r="J196" i="20"/>
  <c r="C196" i="20"/>
  <c r="J195" i="20"/>
  <c r="C195" i="20"/>
  <c r="J194" i="20"/>
  <c r="C194" i="20"/>
  <c r="J193" i="20"/>
  <c r="C193" i="20"/>
  <c r="J192" i="20"/>
  <c r="C192" i="20"/>
  <c r="J191" i="20"/>
  <c r="C191" i="20"/>
  <c r="J190" i="20"/>
  <c r="C190" i="20"/>
  <c r="J189" i="20"/>
  <c r="C189" i="20"/>
  <c r="J188" i="20"/>
  <c r="C188" i="20"/>
  <c r="J187" i="20"/>
  <c r="C187" i="20"/>
  <c r="J186" i="20"/>
  <c r="C186" i="20"/>
  <c r="J185" i="20"/>
  <c r="C185" i="20"/>
  <c r="J184" i="20"/>
  <c r="C184" i="20"/>
  <c r="J183" i="20"/>
  <c r="C183" i="20"/>
  <c r="J182" i="20"/>
  <c r="C182" i="20"/>
  <c r="J181" i="20"/>
  <c r="C181" i="20"/>
  <c r="J180" i="20"/>
  <c r="C180" i="20"/>
  <c r="J179" i="20"/>
  <c r="C179" i="20"/>
  <c r="J178" i="20"/>
  <c r="C178" i="20"/>
  <c r="J177" i="20"/>
  <c r="C177" i="20"/>
  <c r="J176" i="20"/>
  <c r="C176" i="20"/>
  <c r="J175" i="20"/>
  <c r="C175" i="20"/>
  <c r="J174" i="20"/>
  <c r="C174" i="20"/>
  <c r="J173" i="20"/>
  <c r="C173" i="20"/>
  <c r="J172" i="20"/>
  <c r="C172" i="20"/>
  <c r="J171" i="20"/>
  <c r="C171" i="20"/>
  <c r="J170" i="20"/>
  <c r="C170" i="20"/>
  <c r="J169" i="20"/>
  <c r="C169" i="20"/>
  <c r="J168" i="20"/>
  <c r="C168" i="20"/>
  <c r="J167" i="20"/>
  <c r="C167" i="20"/>
  <c r="J166" i="20"/>
  <c r="C166" i="20"/>
  <c r="J165" i="20"/>
  <c r="C165" i="20"/>
  <c r="J164" i="20"/>
  <c r="C164" i="20"/>
  <c r="J163" i="20"/>
  <c r="C163" i="20"/>
  <c r="J162" i="20"/>
  <c r="C162" i="20"/>
  <c r="J161" i="20"/>
  <c r="C161" i="20"/>
  <c r="J160" i="20"/>
  <c r="C160" i="20"/>
  <c r="J159" i="20"/>
  <c r="C159" i="20"/>
  <c r="J158" i="20"/>
  <c r="C158" i="20"/>
  <c r="J157" i="20"/>
  <c r="C157" i="20"/>
  <c r="J156" i="20"/>
  <c r="C156" i="20"/>
  <c r="J155" i="20"/>
  <c r="C155" i="20"/>
  <c r="J154" i="20"/>
  <c r="C154" i="20"/>
  <c r="J153" i="20"/>
  <c r="C153" i="20"/>
  <c r="J152" i="20"/>
  <c r="C152" i="20"/>
  <c r="J151" i="20"/>
  <c r="C151" i="20"/>
  <c r="J150" i="20"/>
  <c r="C150" i="20"/>
  <c r="J149" i="20"/>
  <c r="C149" i="20"/>
  <c r="J148" i="20"/>
  <c r="C148" i="20"/>
  <c r="J147" i="20"/>
  <c r="C147" i="20"/>
  <c r="J146" i="20"/>
  <c r="C146" i="20"/>
  <c r="J145" i="20"/>
  <c r="C145" i="20"/>
  <c r="J144" i="20"/>
  <c r="C144" i="20"/>
  <c r="J143" i="20"/>
  <c r="C143" i="20"/>
  <c r="J142" i="20"/>
  <c r="C142" i="20"/>
  <c r="J141" i="20"/>
  <c r="C141" i="20"/>
  <c r="J140" i="20"/>
  <c r="C140" i="20"/>
  <c r="J139" i="20"/>
  <c r="C139" i="20"/>
  <c r="J138" i="20"/>
  <c r="C138" i="20"/>
  <c r="J137" i="20"/>
  <c r="C137" i="20"/>
  <c r="J136" i="20"/>
  <c r="C136" i="20"/>
  <c r="J135" i="20"/>
  <c r="C135" i="20"/>
  <c r="J134" i="20"/>
  <c r="C134" i="20"/>
  <c r="J133" i="20"/>
  <c r="C133" i="20"/>
  <c r="J132" i="20"/>
  <c r="C132" i="20"/>
  <c r="J131" i="20"/>
  <c r="C131" i="20"/>
  <c r="J130" i="20"/>
  <c r="C130" i="20"/>
  <c r="J129" i="20"/>
  <c r="C129" i="20"/>
  <c r="J128" i="20"/>
  <c r="C128" i="20"/>
  <c r="J127" i="20"/>
  <c r="C127" i="20"/>
  <c r="J126" i="20"/>
  <c r="C126" i="20"/>
  <c r="J125" i="20"/>
  <c r="C125" i="20"/>
  <c r="J124" i="20"/>
  <c r="C124" i="20"/>
  <c r="J123" i="20"/>
  <c r="C123" i="20"/>
  <c r="J122" i="20"/>
  <c r="C122" i="20"/>
  <c r="J121" i="20"/>
  <c r="C121" i="20"/>
  <c r="J120" i="20"/>
  <c r="C120" i="20"/>
  <c r="J119" i="20"/>
  <c r="C119" i="20"/>
  <c r="J118" i="20"/>
  <c r="C118" i="20"/>
  <c r="J117" i="20"/>
  <c r="C117" i="20"/>
  <c r="J116" i="20"/>
  <c r="C116" i="20"/>
  <c r="J115" i="20"/>
  <c r="C115" i="20"/>
  <c r="J114" i="20"/>
  <c r="C114" i="20"/>
  <c r="J113" i="20"/>
  <c r="C113" i="20"/>
  <c r="J112" i="20"/>
  <c r="C112" i="20"/>
  <c r="J111" i="20"/>
  <c r="C111" i="20"/>
  <c r="J110" i="20"/>
  <c r="C110" i="20"/>
  <c r="J109" i="20"/>
  <c r="C109" i="20"/>
  <c r="J108" i="20"/>
  <c r="C108" i="20"/>
  <c r="J107" i="20"/>
  <c r="C107" i="20"/>
  <c r="J106" i="20"/>
  <c r="C106" i="20"/>
  <c r="J105" i="20"/>
  <c r="C105" i="20"/>
  <c r="J104" i="20"/>
  <c r="C104" i="20"/>
  <c r="J103" i="20"/>
  <c r="C103" i="20"/>
  <c r="J102" i="20"/>
  <c r="C102" i="20"/>
  <c r="J101" i="20"/>
  <c r="C101" i="20"/>
  <c r="J100" i="20"/>
  <c r="C100" i="20"/>
  <c r="J99" i="20"/>
  <c r="C99" i="20"/>
  <c r="J98" i="20"/>
  <c r="C98" i="20"/>
  <c r="J97" i="20"/>
  <c r="C97" i="20"/>
  <c r="J96" i="20"/>
  <c r="C96" i="20"/>
  <c r="J95" i="20"/>
  <c r="C95" i="20"/>
  <c r="J94" i="20"/>
  <c r="C94" i="20"/>
  <c r="J93" i="20"/>
  <c r="C93" i="20"/>
  <c r="J92" i="20"/>
  <c r="C92" i="20"/>
  <c r="J91" i="20"/>
  <c r="C91" i="20"/>
  <c r="J90" i="20"/>
  <c r="C90" i="20"/>
  <c r="J89" i="20"/>
  <c r="C89" i="20"/>
  <c r="J88" i="20"/>
  <c r="C88" i="20"/>
  <c r="J87" i="20"/>
  <c r="C87" i="20"/>
  <c r="J86" i="20"/>
  <c r="C86" i="20"/>
  <c r="J85" i="20"/>
  <c r="C85" i="20"/>
  <c r="J84" i="20"/>
  <c r="C84" i="20"/>
  <c r="J83" i="20"/>
  <c r="C83" i="20"/>
  <c r="J82" i="20"/>
  <c r="C82" i="20"/>
  <c r="J81" i="20"/>
  <c r="C81" i="20"/>
  <c r="J80" i="20"/>
  <c r="C80" i="20"/>
  <c r="J79" i="20"/>
  <c r="C79" i="20"/>
  <c r="J78" i="20"/>
  <c r="C78" i="20"/>
  <c r="J77" i="20"/>
  <c r="C77" i="20"/>
  <c r="J76" i="20"/>
  <c r="C76" i="20"/>
  <c r="J75" i="20"/>
  <c r="C75" i="20"/>
  <c r="J74" i="20"/>
  <c r="C74" i="20"/>
  <c r="J73" i="20"/>
  <c r="C73" i="20"/>
  <c r="J72" i="20"/>
  <c r="C72" i="20"/>
  <c r="J71" i="20"/>
  <c r="C71" i="20"/>
  <c r="J70" i="20"/>
  <c r="C70" i="20"/>
  <c r="J69" i="20"/>
  <c r="C69" i="20"/>
  <c r="J68" i="20"/>
  <c r="C68" i="20"/>
  <c r="J67" i="20"/>
  <c r="C67" i="20"/>
  <c r="J66" i="20"/>
  <c r="C66" i="20"/>
  <c r="J65" i="20"/>
  <c r="C65" i="20"/>
  <c r="J64" i="20"/>
  <c r="C64" i="20"/>
  <c r="J63" i="20"/>
  <c r="C63" i="20"/>
  <c r="J62" i="20"/>
  <c r="C62" i="20"/>
  <c r="J61" i="20"/>
  <c r="C61" i="20"/>
  <c r="J60" i="20"/>
  <c r="C60" i="20"/>
  <c r="J59" i="20"/>
  <c r="C59" i="20"/>
  <c r="J58" i="20"/>
  <c r="C58" i="20"/>
  <c r="J57" i="20"/>
  <c r="C57" i="20"/>
  <c r="J56" i="20"/>
  <c r="C56" i="20"/>
  <c r="J55" i="20"/>
  <c r="C55" i="20"/>
  <c r="J54" i="20"/>
  <c r="C54" i="20"/>
  <c r="J53" i="20"/>
  <c r="C53" i="20"/>
  <c r="J52" i="20"/>
  <c r="C52" i="20"/>
  <c r="J51" i="20"/>
  <c r="C51" i="20"/>
  <c r="J50" i="20"/>
  <c r="C50" i="20"/>
  <c r="J49" i="20"/>
  <c r="C49" i="20"/>
  <c r="J48" i="20"/>
  <c r="C48" i="20"/>
  <c r="J47" i="20"/>
  <c r="C47" i="20"/>
  <c r="J46" i="20"/>
  <c r="C46" i="20"/>
  <c r="J45" i="20"/>
  <c r="C45" i="20"/>
  <c r="J44" i="20"/>
  <c r="C44" i="20"/>
  <c r="J43" i="20"/>
  <c r="C43" i="20"/>
  <c r="J42" i="20"/>
  <c r="C42" i="20"/>
  <c r="J41" i="20"/>
  <c r="C41" i="20"/>
  <c r="J40" i="20"/>
  <c r="C40" i="20"/>
  <c r="J39" i="20"/>
  <c r="C39" i="20"/>
  <c r="J38" i="20"/>
  <c r="C38" i="20"/>
  <c r="J37" i="20"/>
  <c r="C37" i="20"/>
  <c r="J36" i="20"/>
  <c r="C36" i="20"/>
  <c r="J35" i="20"/>
  <c r="C35" i="20"/>
  <c r="J34" i="20"/>
  <c r="C34" i="20"/>
  <c r="J33" i="20"/>
  <c r="C33" i="20"/>
  <c r="J32" i="20"/>
  <c r="C32" i="20"/>
  <c r="J31" i="20"/>
  <c r="C31" i="20"/>
  <c r="J30" i="20"/>
  <c r="C30" i="20"/>
  <c r="J29" i="20"/>
  <c r="C29" i="20"/>
  <c r="J28" i="20"/>
  <c r="C28" i="20"/>
  <c r="J27" i="20"/>
  <c r="C27" i="20"/>
  <c r="J26" i="20"/>
  <c r="C26" i="20"/>
  <c r="J25" i="20"/>
  <c r="C25" i="20"/>
  <c r="J24" i="20"/>
  <c r="C24" i="20"/>
  <c r="J23" i="20"/>
  <c r="C23" i="20"/>
  <c r="J22" i="20"/>
  <c r="C22" i="20"/>
  <c r="J21" i="20"/>
  <c r="C21" i="20"/>
  <c r="J20" i="20"/>
  <c r="C20" i="20"/>
  <c r="J19" i="20"/>
  <c r="C19" i="20"/>
  <c r="J18" i="20"/>
  <c r="C18" i="20"/>
  <c r="J17" i="20"/>
  <c r="C17" i="20"/>
  <c r="J16" i="20"/>
  <c r="C16" i="20"/>
  <c r="J15" i="20"/>
  <c r="C15" i="20"/>
  <c r="J14" i="20"/>
  <c r="C14" i="20"/>
  <c r="J13" i="20"/>
  <c r="C13" i="20"/>
  <c r="J12" i="20"/>
  <c r="C12" i="20"/>
  <c r="J11" i="20"/>
  <c r="C11" i="20"/>
  <c r="J10" i="20"/>
  <c r="C10" i="20"/>
  <c r="J9" i="20"/>
  <c r="C9" i="20"/>
  <c r="J8" i="20"/>
  <c r="C8" i="20"/>
  <c r="J7" i="20"/>
  <c r="C7" i="20"/>
  <c r="J6" i="20"/>
  <c r="C6" i="20"/>
  <c r="J5" i="20"/>
  <c r="C5" i="20"/>
  <c r="J4" i="20"/>
  <c r="C4" i="20"/>
  <c r="J3" i="20"/>
  <c r="C3" i="20"/>
  <c r="J2" i="20"/>
  <c r="C2" i="20"/>
  <c r="AA30" i="17"/>
  <c r="AA31" i="17" s="1"/>
  <c r="AA32" i="17" s="1"/>
  <c r="AA33" i="17" s="1"/>
  <c r="AA34" i="17" s="1"/>
  <c r="AA35" i="17" s="1"/>
  <c r="AA36" i="17" s="1"/>
  <c r="AA37" i="17" s="1"/>
  <c r="AA38" i="17" s="1"/>
  <c r="AA39" i="17" s="1"/>
  <c r="AA40" i="17" s="1"/>
  <c r="AA41" i="17" s="1"/>
  <c r="AA42" i="17" s="1"/>
  <c r="AA43" i="17" s="1"/>
  <c r="AA44" i="17" s="1"/>
  <c r="AA5" i="17"/>
  <c r="AA6" i="17" s="1"/>
  <c r="AA7" i="17" s="1"/>
  <c r="AA8" i="17" s="1"/>
  <c r="AA9" i="17" s="1"/>
  <c r="AA10" i="17" s="1"/>
  <c r="AA11" i="17" s="1"/>
  <c r="AA12" i="17" s="1"/>
  <c r="AA13" i="17" s="1"/>
  <c r="AA14" i="17" s="1"/>
  <c r="AA15" i="17" s="1"/>
  <c r="AA16" i="17" s="1"/>
  <c r="Y5" i="16"/>
  <c r="Y6" i="16" s="1"/>
  <c r="Z6" i="16" s="1"/>
  <c r="D40" i="15"/>
  <c r="C40" i="15"/>
  <c r="B40" i="15"/>
  <c r="G39" i="15"/>
  <c r="E38" i="15"/>
  <c r="D38" i="15"/>
  <c r="C38" i="15"/>
  <c r="B38" i="15"/>
  <c r="H37" i="15"/>
  <c r="G37" i="15"/>
  <c r="F37" i="15"/>
  <c r="E37" i="15"/>
  <c r="D37" i="15"/>
  <c r="C37" i="15"/>
  <c r="B37" i="15"/>
  <c r="H36" i="15"/>
  <c r="G36" i="15"/>
  <c r="F36" i="15"/>
  <c r="E36" i="15"/>
  <c r="D36" i="15"/>
  <c r="C36" i="15"/>
  <c r="B36" i="15"/>
  <c r="H35" i="15"/>
  <c r="G35" i="15"/>
  <c r="F35" i="15"/>
  <c r="E35" i="15"/>
  <c r="D35" i="15"/>
  <c r="C35" i="15"/>
  <c r="B35" i="15"/>
  <c r="H34" i="15"/>
  <c r="G34" i="15"/>
  <c r="F34" i="15"/>
  <c r="E34" i="15"/>
  <c r="D34" i="15"/>
  <c r="C34" i="15"/>
  <c r="B34" i="15"/>
  <c r="H33" i="15"/>
  <c r="G33" i="15"/>
  <c r="F33" i="15"/>
  <c r="E33" i="15"/>
  <c r="D33" i="15"/>
  <c r="C33" i="15"/>
  <c r="B33" i="15"/>
  <c r="H32" i="15"/>
  <c r="G32" i="15"/>
  <c r="F32" i="15"/>
  <c r="E32" i="15"/>
  <c r="D32" i="15"/>
  <c r="C32" i="15"/>
  <c r="B32" i="15"/>
  <c r="H31" i="15"/>
  <c r="G31" i="15"/>
  <c r="F31" i="15"/>
  <c r="E31" i="15"/>
  <c r="D31" i="15"/>
  <c r="C31" i="15"/>
  <c r="B31" i="15"/>
  <c r="H30" i="15"/>
  <c r="G30" i="15"/>
  <c r="F30" i="15"/>
  <c r="E30" i="15"/>
  <c r="D30" i="15"/>
  <c r="C30" i="15"/>
  <c r="B30" i="15"/>
  <c r="H29" i="15"/>
  <c r="G29" i="15"/>
  <c r="F29" i="15"/>
  <c r="E29" i="15"/>
  <c r="D29" i="15"/>
  <c r="C29" i="15"/>
  <c r="B29" i="15"/>
  <c r="H28" i="15"/>
  <c r="G28" i="15"/>
  <c r="F28" i="15"/>
  <c r="E28" i="15"/>
  <c r="D28" i="15"/>
  <c r="C28" i="15"/>
  <c r="B28" i="15"/>
  <c r="F26" i="15"/>
  <c r="H40" i="15"/>
  <c r="G40" i="15"/>
  <c r="F40" i="15"/>
  <c r="E40" i="15"/>
  <c r="L21" i="15"/>
  <c r="G38" i="15"/>
  <c r="F38" i="15"/>
  <c r="E39" i="15"/>
  <c r="D39" i="15"/>
  <c r="C39" i="15"/>
  <c r="B39" i="15"/>
  <c r="O17" i="15"/>
  <c r="O18" i="15" s="1"/>
  <c r="F27" i="15"/>
  <c r="E25" i="15"/>
  <c r="D27" i="15"/>
  <c r="R5" i="15"/>
  <c r="R6" i="15" s="1"/>
  <c r="R7" i="15" s="1"/>
  <c r="R8" i="15" s="1"/>
  <c r="R9" i="15" s="1"/>
  <c r="R10" i="15" s="1"/>
  <c r="E24" i="15"/>
  <c r="Y5" i="14"/>
  <c r="Y6" i="14" s="1"/>
  <c r="Y7" i="14" s="1"/>
  <c r="Y8" i="14" s="1"/>
  <c r="Y9" i="14" s="1"/>
  <c r="Y10" i="14" s="1"/>
  <c r="Y11" i="14" s="1"/>
  <c r="Y12" i="14" s="1"/>
  <c r="Y13" i="14" s="1"/>
  <c r="Y14" i="14" s="1"/>
  <c r="Y15" i="14" s="1"/>
  <c r="Y16" i="14" s="1"/>
  <c r="Y17" i="14" s="1"/>
  <c r="Y33" i="13"/>
  <c r="Y34" i="13" s="1"/>
  <c r="K689" i="12"/>
  <c r="I689" i="12"/>
  <c r="K687" i="12"/>
  <c r="J687" i="12"/>
  <c r="I687" i="12"/>
  <c r="K684" i="12"/>
  <c r="I684" i="12"/>
  <c r="K682" i="12"/>
  <c r="J682" i="12"/>
  <c r="I682" i="12"/>
  <c r="K679" i="12"/>
  <c r="I679" i="12"/>
  <c r="K677" i="12"/>
  <c r="J677" i="12"/>
  <c r="I677" i="12"/>
  <c r="K672" i="12"/>
  <c r="J672" i="12"/>
  <c r="I672" i="12"/>
  <c r="J659" i="12"/>
  <c r="L659" i="12" s="1"/>
  <c r="K668" i="12"/>
  <c r="J668" i="12"/>
  <c r="I668" i="12"/>
  <c r="J689" i="12"/>
  <c r="K664" i="12"/>
  <c r="J664" i="12"/>
  <c r="L664" i="12" s="1"/>
  <c r="I664" i="12"/>
  <c r="K659" i="12"/>
  <c r="I659" i="12"/>
  <c r="K653" i="12"/>
  <c r="K643" i="12"/>
  <c r="I643" i="12"/>
  <c r="K640" i="12"/>
  <c r="I640" i="12"/>
  <c r="K637" i="12"/>
  <c r="I637" i="12"/>
  <c r="J532" i="12"/>
  <c r="L532" i="12" s="1"/>
  <c r="K634" i="12"/>
  <c r="I634" i="12"/>
  <c r="K631" i="12"/>
  <c r="I631" i="12"/>
  <c r="J589" i="12"/>
  <c r="L589" i="12" s="1"/>
  <c r="K628" i="12"/>
  <c r="I628" i="12"/>
  <c r="J529" i="12"/>
  <c r="L529" i="12" s="1"/>
  <c r="J586" i="12"/>
  <c r="V586" i="12" s="1"/>
  <c r="J526" i="12"/>
  <c r="L526" i="12" s="1"/>
  <c r="L622" i="12"/>
  <c r="K622" i="12"/>
  <c r="J622" i="12"/>
  <c r="J583" i="12"/>
  <c r="L583" i="12" s="1"/>
  <c r="A618" i="12"/>
  <c r="J523" i="12"/>
  <c r="L523" i="12" s="1"/>
  <c r="A617" i="12"/>
  <c r="J580" i="12"/>
  <c r="L580" i="12" s="1"/>
  <c r="K614" i="12"/>
  <c r="I614" i="12"/>
  <c r="K611" i="12"/>
  <c r="I611" i="12"/>
  <c r="J577" i="12"/>
  <c r="L577" i="12" s="1"/>
  <c r="K608" i="12"/>
  <c r="I608" i="12"/>
  <c r="J574" i="12"/>
  <c r="L574" i="12" s="1"/>
  <c r="J520" i="12"/>
  <c r="L520" i="12" s="1"/>
  <c r="K602" i="12"/>
  <c r="J517" i="12"/>
  <c r="L517" i="12" s="1"/>
  <c r="J514" i="12"/>
  <c r="L514" i="12" s="1"/>
  <c r="J571" i="12"/>
  <c r="L571" i="12" s="1"/>
  <c r="J568" i="12"/>
  <c r="L568" i="12" s="1"/>
  <c r="K592" i="12"/>
  <c r="J592" i="12"/>
  <c r="L592" i="12" s="1"/>
  <c r="I592" i="12"/>
  <c r="K589" i="12"/>
  <c r="I589" i="12"/>
  <c r="K583" i="12"/>
  <c r="I583" i="12"/>
  <c r="K580" i="12"/>
  <c r="I580" i="12"/>
  <c r="K577" i="12"/>
  <c r="I577" i="12"/>
  <c r="K574" i="12"/>
  <c r="I574" i="12"/>
  <c r="K571" i="12"/>
  <c r="I571" i="12"/>
  <c r="K568" i="12"/>
  <c r="I568" i="12"/>
  <c r="L562" i="12"/>
  <c r="K562" i="12"/>
  <c r="J562" i="12"/>
  <c r="A558" i="12"/>
  <c r="A557" i="12"/>
  <c r="K554" i="12"/>
  <c r="I554" i="12"/>
  <c r="J614" i="12"/>
  <c r="L614" i="12" s="1"/>
  <c r="K551" i="12"/>
  <c r="I551" i="12"/>
  <c r="K548" i="12"/>
  <c r="I548" i="12"/>
  <c r="J611" i="12"/>
  <c r="L611" i="12" s="1"/>
  <c r="J554" i="12"/>
  <c r="L554" i="12" s="1"/>
  <c r="K542" i="12"/>
  <c r="J551" i="12"/>
  <c r="L551" i="12" s="1"/>
  <c r="J548" i="12"/>
  <c r="L548" i="12" s="1"/>
  <c r="J608" i="12"/>
  <c r="L608" i="12" s="1"/>
  <c r="K532" i="12"/>
  <c r="I532" i="12"/>
  <c r="K529" i="12"/>
  <c r="I529" i="12"/>
  <c r="K526" i="12"/>
  <c r="I526" i="12"/>
  <c r="K523" i="12"/>
  <c r="I523" i="12"/>
  <c r="K520" i="12"/>
  <c r="I520" i="12"/>
  <c r="K517" i="12"/>
  <c r="I517" i="12"/>
  <c r="K514" i="12"/>
  <c r="I514" i="12"/>
  <c r="L508" i="12"/>
  <c r="K508" i="12"/>
  <c r="J508" i="12"/>
  <c r="K500" i="12"/>
  <c r="J500" i="12"/>
  <c r="I500" i="12"/>
  <c r="K496" i="12"/>
  <c r="I496" i="12"/>
  <c r="K492" i="12"/>
  <c r="J492" i="12"/>
  <c r="I492" i="12"/>
  <c r="K488" i="12"/>
  <c r="I488" i="12"/>
  <c r="K484" i="12"/>
  <c r="I484" i="12"/>
  <c r="K480" i="12"/>
  <c r="I480" i="12"/>
  <c r="K476" i="12"/>
  <c r="I476" i="12"/>
  <c r="K472" i="12"/>
  <c r="I472" i="12"/>
  <c r="K467" i="12"/>
  <c r="I467" i="12"/>
  <c r="K462" i="12"/>
  <c r="I462" i="12"/>
  <c r="K458" i="12"/>
  <c r="I458" i="12"/>
  <c r="K454" i="12"/>
  <c r="J454" i="12"/>
  <c r="I454" i="12"/>
  <c r="J496" i="12"/>
  <c r="L496" i="12" s="1"/>
  <c r="K450" i="12"/>
  <c r="I450" i="12"/>
  <c r="K446" i="12"/>
  <c r="I446" i="12"/>
  <c r="AK443" i="12"/>
  <c r="AL443" i="12" s="1"/>
  <c r="AK442" i="12"/>
  <c r="K442" i="12"/>
  <c r="I442" i="12"/>
  <c r="J488" i="12"/>
  <c r="L488" i="12" s="1"/>
  <c r="AK439" i="12"/>
  <c r="AL439" i="12" s="1"/>
  <c r="AK438" i="12"/>
  <c r="K436" i="12"/>
  <c r="J484" i="12"/>
  <c r="L484" i="12" s="1"/>
  <c r="AK435" i="12"/>
  <c r="AL435" i="12" s="1"/>
  <c r="AK434" i="12"/>
  <c r="AK431" i="12"/>
  <c r="AL431" i="12" s="1"/>
  <c r="J480" i="12"/>
  <c r="L480" i="12" s="1"/>
  <c r="AK430" i="12"/>
  <c r="AK427" i="12"/>
  <c r="AL427" i="12" s="1"/>
  <c r="AK426" i="12"/>
  <c r="K426" i="12"/>
  <c r="J476" i="12"/>
  <c r="L476" i="12" s="1"/>
  <c r="AK423" i="12"/>
  <c r="AL423" i="12" s="1"/>
  <c r="K423" i="12"/>
  <c r="AK422" i="12"/>
  <c r="AX421" i="12"/>
  <c r="J472" i="12"/>
  <c r="L472" i="12" s="1"/>
  <c r="K420" i="12"/>
  <c r="AK419" i="12"/>
  <c r="AL419" i="12" s="1"/>
  <c r="AK418" i="12"/>
  <c r="K417" i="12"/>
  <c r="J467" i="12"/>
  <c r="L467" i="12" s="1"/>
  <c r="AK415" i="12"/>
  <c r="AL415" i="12" s="1"/>
  <c r="AK414" i="12"/>
  <c r="K414" i="12"/>
  <c r="AK411" i="12"/>
  <c r="AL411" i="12" s="1"/>
  <c r="K411" i="12"/>
  <c r="AX410" i="12"/>
  <c r="AX412" i="12" s="1"/>
  <c r="AY412" i="12" s="1"/>
  <c r="J462" i="12"/>
  <c r="L462" i="12" s="1"/>
  <c r="AK410" i="12"/>
  <c r="K408" i="12"/>
  <c r="AK407" i="12"/>
  <c r="AL407" i="12" s="1"/>
  <c r="AK406" i="12"/>
  <c r="J458" i="12"/>
  <c r="L458" i="12" s="1"/>
  <c r="K405" i="12"/>
  <c r="AK403" i="12"/>
  <c r="AL403" i="12" s="1"/>
  <c r="AK402" i="12"/>
  <c r="K402" i="12"/>
  <c r="AK399" i="12"/>
  <c r="AL399" i="12" s="1"/>
  <c r="K399" i="12"/>
  <c r="AK398" i="12"/>
  <c r="AL398" i="12" s="1"/>
  <c r="AK397" i="12"/>
  <c r="K396" i="12"/>
  <c r="J450" i="12"/>
  <c r="L450" i="12" s="1"/>
  <c r="AK394" i="12"/>
  <c r="AL394" i="12" s="1"/>
  <c r="AK393" i="12"/>
  <c r="K393" i="12"/>
  <c r="J446" i="12"/>
  <c r="L446" i="12" s="1"/>
  <c r="AK390" i="12"/>
  <c r="AL390" i="12" s="1"/>
  <c r="K390" i="12"/>
  <c r="AK389" i="12"/>
  <c r="K387" i="12"/>
  <c r="AK386" i="12"/>
  <c r="AL386" i="12" s="1"/>
  <c r="AK385" i="12"/>
  <c r="AL385" i="12" s="1"/>
  <c r="AK384" i="12"/>
  <c r="K384" i="12"/>
  <c r="J347" i="12"/>
  <c r="L347" i="12" s="1"/>
  <c r="V347" i="12" s="1"/>
  <c r="J331" i="12"/>
  <c r="L331" i="12" s="1"/>
  <c r="L378" i="12"/>
  <c r="K378" i="12"/>
  <c r="J378" i="12"/>
  <c r="I378" i="12"/>
  <c r="K375" i="12"/>
  <c r="J375" i="12"/>
  <c r="L375" i="12" s="1"/>
  <c r="I375" i="12"/>
  <c r="V36" i="14"/>
  <c r="J328" i="12"/>
  <c r="L328" i="12" s="1"/>
  <c r="V32" i="14"/>
  <c r="V28" i="14"/>
  <c r="V24" i="14"/>
  <c r="J325" i="12"/>
  <c r="L325" i="12" s="1"/>
  <c r="V20" i="14"/>
  <c r="J322" i="12"/>
  <c r="L322" i="12" s="1"/>
  <c r="V16" i="14"/>
  <c r="J319" i="12"/>
  <c r="L319" i="12" s="1"/>
  <c r="V12" i="14"/>
  <c r="H354" i="12"/>
  <c r="V8" i="14"/>
  <c r="S8" i="14"/>
  <c r="J316" i="12"/>
  <c r="L316" i="12" s="1"/>
  <c r="V4" i="14"/>
  <c r="J313" i="12"/>
  <c r="L313" i="12" s="1"/>
  <c r="K347" i="12"/>
  <c r="I347" i="12"/>
  <c r="J310" i="12"/>
  <c r="L310" i="12" s="1"/>
  <c r="AN342" i="12"/>
  <c r="AN346" i="12" s="1"/>
  <c r="K341" i="12"/>
  <c r="J307" i="12"/>
  <c r="L307" i="12" s="1"/>
  <c r="J304" i="12"/>
  <c r="L304" i="12" s="1"/>
  <c r="K331" i="12"/>
  <c r="I331" i="12"/>
  <c r="AN329" i="12"/>
  <c r="AN337" i="12" s="1"/>
  <c r="J301" i="12"/>
  <c r="L301" i="12" s="1"/>
  <c r="K328" i="12"/>
  <c r="I328" i="12"/>
  <c r="K325" i="12"/>
  <c r="I325" i="12"/>
  <c r="J298" i="12"/>
  <c r="L298" i="12" s="1"/>
  <c r="K322" i="12"/>
  <c r="I322" i="12"/>
  <c r="K319" i="12"/>
  <c r="I319" i="12"/>
  <c r="K316" i="12"/>
  <c r="I316" i="12"/>
  <c r="AN315" i="12"/>
  <c r="AN317" i="12" s="1"/>
  <c r="K313" i="12"/>
  <c r="I313" i="12"/>
  <c r="AH312" i="12"/>
  <c r="AI312" i="12" s="1"/>
  <c r="AB314" i="12"/>
  <c r="AC314" i="12" s="1"/>
  <c r="AH310" i="12"/>
  <c r="AB312" i="12"/>
  <c r="K310" i="12"/>
  <c r="I310" i="12"/>
  <c r="AB309" i="12"/>
  <c r="AC309" i="12" s="1"/>
  <c r="K307" i="12"/>
  <c r="I307" i="12"/>
  <c r="AH306" i="12"/>
  <c r="AI306" i="12" s="1"/>
  <c r="K304" i="12"/>
  <c r="I304" i="12"/>
  <c r="AB303" i="12"/>
  <c r="AC303" i="12" s="1"/>
  <c r="AH302" i="12"/>
  <c r="AI302" i="12" s="1"/>
  <c r="AN301" i="12"/>
  <c r="AN305" i="12" s="1"/>
  <c r="AB301" i="12"/>
  <c r="K301" i="12"/>
  <c r="I301" i="12"/>
  <c r="AH300" i="12"/>
  <c r="K298" i="12"/>
  <c r="I298" i="12"/>
  <c r="AH297" i="12"/>
  <c r="AI297" i="12" s="1"/>
  <c r="AF295" i="12"/>
  <c r="AB290" i="12"/>
  <c r="L288" i="12"/>
  <c r="K288" i="12"/>
  <c r="J288" i="12"/>
  <c r="AN287" i="12"/>
  <c r="AN291" i="12" s="1"/>
  <c r="AB285" i="12"/>
  <c r="AC285" i="12" s="1"/>
  <c r="A284" i="12"/>
  <c r="AB283" i="12"/>
  <c r="A283" i="12"/>
  <c r="AB281" i="12"/>
  <c r="AC281" i="12" s="1"/>
  <c r="J189" i="12"/>
  <c r="L189" i="12" s="1"/>
  <c r="K280" i="12"/>
  <c r="J280" i="12"/>
  <c r="K277" i="12"/>
  <c r="J277" i="12"/>
  <c r="AN274" i="12"/>
  <c r="AN278" i="12" s="1"/>
  <c r="J186" i="12"/>
  <c r="L186" i="12" s="1"/>
  <c r="K274" i="12"/>
  <c r="J274" i="12"/>
  <c r="J107" i="12"/>
  <c r="L107" i="12" s="1"/>
  <c r="K271" i="12"/>
  <c r="J271" i="12"/>
  <c r="J183" i="12"/>
  <c r="L183" i="12" s="1"/>
  <c r="J262" i="12"/>
  <c r="L262" i="12" s="1"/>
  <c r="K268" i="12"/>
  <c r="J268" i="12"/>
  <c r="K265" i="12"/>
  <c r="J265" i="12"/>
  <c r="J259" i="12"/>
  <c r="L259" i="12" s="1"/>
  <c r="J180" i="12"/>
  <c r="L180" i="12" s="1"/>
  <c r="K262" i="12"/>
  <c r="I262" i="12"/>
  <c r="K259" i="12"/>
  <c r="I259" i="12"/>
  <c r="K253" i="12"/>
  <c r="K243" i="12"/>
  <c r="I243" i="12"/>
  <c r="K240" i="12"/>
  <c r="I240" i="12"/>
  <c r="K237" i="12"/>
  <c r="I237" i="12"/>
  <c r="K234" i="12"/>
  <c r="I234" i="12"/>
  <c r="K231" i="12"/>
  <c r="I231" i="12"/>
  <c r="K228" i="12"/>
  <c r="I228" i="12"/>
  <c r="K225" i="12"/>
  <c r="I225" i="12"/>
  <c r="J164" i="12"/>
  <c r="L164" i="12" s="1"/>
  <c r="K222" i="12"/>
  <c r="I222" i="12"/>
  <c r="K219" i="12"/>
  <c r="I219" i="12"/>
  <c r="J85" i="12"/>
  <c r="L85" i="12" s="1"/>
  <c r="J243" i="12"/>
  <c r="L243" i="12" s="1"/>
  <c r="J161" i="12"/>
  <c r="L161" i="12" s="1"/>
  <c r="K216" i="12"/>
  <c r="I216" i="12"/>
  <c r="L206" i="12"/>
  <c r="K206" i="12"/>
  <c r="J206" i="12"/>
  <c r="J82" i="12"/>
  <c r="L82" i="12" s="1"/>
  <c r="A202" i="12"/>
  <c r="J240" i="12"/>
  <c r="L240" i="12" s="1"/>
  <c r="A201" i="12"/>
  <c r="K198" i="12"/>
  <c r="J198" i="12"/>
  <c r="J237" i="12"/>
  <c r="L237" i="12" s="1"/>
  <c r="J79" i="12"/>
  <c r="L79" i="12" s="1"/>
  <c r="K195" i="12"/>
  <c r="J195" i="12"/>
  <c r="L192" i="12"/>
  <c r="V192" i="12" s="1"/>
  <c r="K192" i="12"/>
  <c r="J192" i="12"/>
  <c r="J152" i="12"/>
  <c r="L152" i="12" s="1"/>
  <c r="J76" i="12"/>
  <c r="L76" i="12" s="1"/>
  <c r="J234" i="12"/>
  <c r="L234" i="12" s="1"/>
  <c r="K189" i="12"/>
  <c r="I189" i="12"/>
  <c r="K186" i="12"/>
  <c r="I186" i="12"/>
  <c r="J149" i="12"/>
  <c r="L149" i="12" s="1"/>
  <c r="J73" i="12"/>
  <c r="L73" i="12" s="1"/>
  <c r="J231" i="12"/>
  <c r="L231" i="12" s="1"/>
  <c r="K183" i="12"/>
  <c r="I183" i="12"/>
  <c r="J146" i="12"/>
  <c r="L146" i="12" s="1"/>
  <c r="J70" i="12"/>
  <c r="L70" i="12" s="1"/>
  <c r="K180" i="12"/>
  <c r="I180" i="12"/>
  <c r="J228" i="12"/>
  <c r="L228" i="12" s="1"/>
  <c r="V228" i="12" s="1"/>
  <c r="K174" i="12"/>
  <c r="K164" i="12"/>
  <c r="I164" i="12"/>
  <c r="J643" i="12"/>
  <c r="L643" i="12" s="1"/>
  <c r="J143" i="12"/>
  <c r="L143" i="12" s="1"/>
  <c r="J225" i="12"/>
  <c r="L225" i="12" s="1"/>
  <c r="J67" i="12"/>
  <c r="L67" i="12" s="1"/>
  <c r="V67" i="12" s="1"/>
  <c r="K161" i="12"/>
  <c r="I161" i="12"/>
  <c r="J640" i="12"/>
  <c r="L640" i="12" s="1"/>
  <c r="J64" i="12"/>
  <c r="L64" i="12" s="1"/>
  <c r="K158" i="12"/>
  <c r="I158" i="12"/>
  <c r="K155" i="12"/>
  <c r="I155" i="12"/>
  <c r="J637" i="12"/>
  <c r="L637" i="12" s="1"/>
  <c r="J222" i="12"/>
  <c r="L222" i="12" s="1"/>
  <c r="J140" i="12"/>
  <c r="L140" i="12" s="1"/>
  <c r="J61" i="12"/>
  <c r="L61" i="12" s="1"/>
  <c r="K152" i="12"/>
  <c r="I152" i="12"/>
  <c r="K149" i="12"/>
  <c r="I149" i="12"/>
  <c r="K146" i="12"/>
  <c r="I146" i="12"/>
  <c r="K143" i="12"/>
  <c r="I143" i="12"/>
  <c r="J634" i="12"/>
  <c r="L634" i="12" s="1"/>
  <c r="J137" i="12"/>
  <c r="L137" i="12" s="1"/>
  <c r="J219" i="12"/>
  <c r="L219" i="12" s="1"/>
  <c r="J58" i="12"/>
  <c r="L58" i="12" s="1"/>
  <c r="K140" i="12"/>
  <c r="I140" i="12"/>
  <c r="K137" i="12"/>
  <c r="I137" i="12"/>
  <c r="J631" i="12"/>
  <c r="L631" i="12" s="1"/>
  <c r="J216" i="12"/>
  <c r="L216" i="12" s="1"/>
  <c r="J134" i="12"/>
  <c r="L134" i="12" s="1"/>
  <c r="J55" i="12"/>
  <c r="L55" i="12" s="1"/>
  <c r="K134" i="12"/>
  <c r="I134" i="12"/>
  <c r="J628" i="12"/>
  <c r="L628" i="12" s="1"/>
  <c r="L124" i="12"/>
  <c r="K124" i="12"/>
  <c r="J124" i="12"/>
  <c r="A120" i="12"/>
  <c r="A119" i="12"/>
  <c r="K116" i="12"/>
  <c r="J116" i="12"/>
  <c r="K113" i="12"/>
  <c r="J113" i="12"/>
  <c r="K110" i="12"/>
  <c r="J110" i="12"/>
  <c r="K107" i="12"/>
  <c r="I107" i="12"/>
  <c r="K104" i="12"/>
  <c r="I104" i="12"/>
  <c r="K98" i="12"/>
  <c r="K88" i="12"/>
  <c r="J88" i="12"/>
  <c r="L88" i="12" s="1"/>
  <c r="I88" i="12"/>
  <c r="K85" i="12"/>
  <c r="I85" i="12"/>
  <c r="K82" i="12"/>
  <c r="I82" i="12"/>
  <c r="K79" i="12"/>
  <c r="I79" i="12"/>
  <c r="K76" i="12"/>
  <c r="I76" i="12"/>
  <c r="K73" i="12"/>
  <c r="I73" i="12"/>
  <c r="K70" i="12"/>
  <c r="I70" i="12"/>
  <c r="K67" i="12"/>
  <c r="I67" i="12"/>
  <c r="K64" i="12"/>
  <c r="I64" i="12"/>
  <c r="K61" i="12"/>
  <c r="I61" i="12"/>
  <c r="K58" i="12"/>
  <c r="I58" i="12"/>
  <c r="K55" i="12"/>
  <c r="I55" i="12"/>
  <c r="J51" i="12"/>
  <c r="BQ36" i="12"/>
  <c r="BR36" i="12" s="1"/>
  <c r="BJ36" i="12"/>
  <c r="BK36" i="12" s="1"/>
  <c r="BC36" i="12"/>
  <c r="BD36" i="12" s="1"/>
  <c r="AV36" i="12"/>
  <c r="AW36" i="12" s="1"/>
  <c r="AP36" i="12"/>
  <c r="AQ36" i="12" s="1"/>
  <c r="AJ36" i="12"/>
  <c r="AK36" i="12" s="1"/>
  <c r="AD36" i="12"/>
  <c r="AE36" i="12" s="1"/>
  <c r="BQ34" i="12"/>
  <c r="BJ34" i="12"/>
  <c r="BC34" i="12"/>
  <c r="AV34" i="12"/>
  <c r="AP34" i="12"/>
  <c r="AJ34" i="12"/>
  <c r="AD34" i="12"/>
  <c r="BQ32" i="12"/>
  <c r="BR32" i="12" s="1"/>
  <c r="BJ32" i="12"/>
  <c r="BK32" i="12" s="1"/>
  <c r="BC32" i="12"/>
  <c r="BD32" i="12" s="1"/>
  <c r="AV32" i="12"/>
  <c r="AW32" i="12" s="1"/>
  <c r="AP32" i="12"/>
  <c r="AQ32" i="12" s="1"/>
  <c r="AJ32" i="12"/>
  <c r="AK32" i="12" s="1"/>
  <c r="AD32" i="12"/>
  <c r="AE32" i="12" s="1"/>
  <c r="AG20" i="12"/>
  <c r="AI19" i="12"/>
  <c r="AH19" i="12"/>
  <c r="AG19" i="12"/>
  <c r="AI18" i="12"/>
  <c r="AH18" i="12"/>
  <c r="AG18" i="12"/>
  <c r="BU17" i="12"/>
  <c r="BN17" i="12"/>
  <c r="AI17" i="12"/>
  <c r="AH17" i="12"/>
  <c r="AG17" i="12"/>
  <c r="AI16" i="12"/>
  <c r="AH16" i="12"/>
  <c r="AG16" i="12"/>
  <c r="AB16" i="12"/>
  <c r="BU15" i="12"/>
  <c r="BN15" i="12"/>
  <c r="L15" i="12"/>
  <c r="K15" i="12"/>
  <c r="J15" i="12"/>
  <c r="I15" i="12"/>
  <c r="AB14" i="12"/>
  <c r="M14" i="12"/>
  <c r="BU13" i="12"/>
  <c r="BN13" i="12"/>
  <c r="M13" i="12"/>
  <c r="AB12" i="12"/>
  <c r="M12" i="12"/>
  <c r="BU11" i="12"/>
  <c r="BN11" i="12"/>
  <c r="M11" i="12"/>
  <c r="AB10" i="12"/>
  <c r="BU9" i="12"/>
  <c r="BU19" i="12" s="1"/>
  <c r="T38" i="12" s="1"/>
  <c r="BN9" i="12"/>
  <c r="AB8" i="12"/>
  <c r="U11" i="10"/>
  <c r="X11" i="10" s="1"/>
  <c r="U10" i="10"/>
  <c r="U9" i="10"/>
  <c r="U8" i="10"/>
  <c r="U7" i="10"/>
  <c r="U6" i="10"/>
  <c r="Y6" i="10" s="1"/>
  <c r="U5" i="10"/>
  <c r="U4" i="10"/>
  <c r="F55" i="15" l="1"/>
  <c r="E46" i="15"/>
  <c r="G46" i="15"/>
  <c r="B47" i="15"/>
  <c r="F47" i="15"/>
  <c r="G48" i="15"/>
  <c r="H49" i="15"/>
  <c r="B51" i="15"/>
  <c r="BR34" i="12"/>
  <c r="D38" i="12" s="1"/>
  <c r="G55" i="15"/>
  <c r="Y35" i="13"/>
  <c r="Z33" i="13"/>
  <c r="Z34" i="13"/>
  <c r="AB18" i="12"/>
  <c r="D21" i="12" s="1"/>
  <c r="AE34" i="12"/>
  <c r="AA45" i="12"/>
  <c r="AQ34" i="12"/>
  <c r="AM45" i="12"/>
  <c r="AK34" i="12"/>
  <c r="AG45" i="12"/>
  <c r="AW34" i="12"/>
  <c r="AS45" i="12"/>
  <c r="BD34" i="12"/>
  <c r="I38" i="12" s="1"/>
  <c r="BK34" i="12"/>
  <c r="T21" i="12" s="1"/>
  <c r="BN19" i="12"/>
  <c r="P21" i="12" s="1"/>
  <c r="V9" i="14"/>
  <c r="V10" i="14" s="1"/>
  <c r="V21" i="14"/>
  <c r="V22" i="14" s="1"/>
  <c r="S9" i="14"/>
  <c r="S10" i="14" s="1"/>
  <c r="V41" i="14"/>
  <c r="V42" i="14" s="1"/>
  <c r="O29" i="15"/>
  <c r="O30" i="15" s="1"/>
  <c r="O45" i="15"/>
  <c r="O46" i="15" s="1"/>
  <c r="J14" i="16"/>
  <c r="K14" i="16" s="1"/>
  <c r="J12" i="16"/>
  <c r="K12" i="16" s="1"/>
  <c r="J30" i="16"/>
  <c r="J28" i="16"/>
  <c r="K28" i="16" s="1"/>
  <c r="J46" i="16"/>
  <c r="J44" i="16"/>
  <c r="K44" i="16" s="1"/>
  <c r="J62" i="16"/>
  <c r="K62" i="16" s="1"/>
  <c r="J60" i="16"/>
  <c r="K60" i="16" s="1"/>
  <c r="L5" i="15"/>
  <c r="L33" i="15"/>
  <c r="L34" i="15" s="1"/>
  <c r="L49" i="15"/>
  <c r="L50" i="15" s="1"/>
  <c r="V12" i="16"/>
  <c r="W12" i="16" s="1"/>
  <c r="V14" i="16"/>
  <c r="W14" i="16" s="1"/>
  <c r="V30" i="16"/>
  <c r="W30" i="16" s="1"/>
  <c r="V28" i="16"/>
  <c r="W28" i="16" s="1"/>
  <c r="V46" i="16"/>
  <c r="W46" i="16" s="1"/>
  <c r="V44" i="16"/>
  <c r="W44" i="16" s="1"/>
  <c r="V62" i="16"/>
  <c r="W62" i="16" s="1"/>
  <c r="V60" i="16"/>
  <c r="W60" i="16" s="1"/>
  <c r="V29" i="14"/>
  <c r="V30" i="14" s="1"/>
  <c r="O5" i="15"/>
  <c r="O6" i="15" s="1"/>
  <c r="O33" i="15"/>
  <c r="O34" i="15" s="1"/>
  <c r="O49" i="15"/>
  <c r="O50" i="15" s="1"/>
  <c r="J18" i="16"/>
  <c r="K18" i="16" s="1"/>
  <c r="J16" i="16"/>
  <c r="K16" i="16" s="1"/>
  <c r="J34" i="16"/>
  <c r="K34" i="16" s="1"/>
  <c r="J32" i="16"/>
  <c r="K32" i="16" s="1"/>
  <c r="J50" i="16"/>
  <c r="K50" i="16" s="1"/>
  <c r="J48" i="16"/>
  <c r="K48" i="16" s="1"/>
  <c r="J67" i="16"/>
  <c r="K67" i="16" s="1"/>
  <c r="J65" i="16"/>
  <c r="K65" i="16" s="1"/>
  <c r="V13" i="14"/>
  <c r="V14" i="14" s="1"/>
  <c r="L37" i="15"/>
  <c r="L38" i="15" s="1"/>
  <c r="V16" i="16"/>
  <c r="W16" i="16" s="1"/>
  <c r="V18" i="16"/>
  <c r="W18" i="16" s="1"/>
  <c r="V32" i="16"/>
  <c r="W32" i="16" s="1"/>
  <c r="V34" i="16"/>
  <c r="W34" i="16" s="1"/>
  <c r="V48" i="16"/>
  <c r="W48" i="16" s="1"/>
  <c r="V50" i="16"/>
  <c r="W50" i="16" s="1"/>
  <c r="J71" i="16"/>
  <c r="J69" i="16"/>
  <c r="V33" i="14"/>
  <c r="V34" i="14" s="1"/>
  <c r="O37" i="15"/>
  <c r="O38" i="15" s="1"/>
  <c r="J6" i="16"/>
  <c r="K6" i="16" s="1"/>
  <c r="J4" i="16"/>
  <c r="K4" i="16" s="1"/>
  <c r="J22" i="16"/>
  <c r="K22" i="16" s="1"/>
  <c r="J20" i="16"/>
  <c r="K20" i="16" s="1"/>
  <c r="J38" i="16"/>
  <c r="J36" i="16"/>
  <c r="K36" i="16" s="1"/>
  <c r="J54" i="16"/>
  <c r="K54" i="16" s="1"/>
  <c r="J52" i="16"/>
  <c r="K52" i="16" s="1"/>
  <c r="V17" i="14"/>
  <c r="V18" i="14" s="1"/>
  <c r="L41" i="15"/>
  <c r="L42" i="15" s="1"/>
  <c r="V6" i="16"/>
  <c r="W6" i="16" s="1"/>
  <c r="V4" i="16"/>
  <c r="W4" i="16" s="1"/>
  <c r="V22" i="16"/>
  <c r="W22" i="16" s="1"/>
  <c r="V20" i="16"/>
  <c r="W20" i="16" s="1"/>
  <c r="V38" i="16"/>
  <c r="W38" i="16" s="1"/>
  <c r="V36" i="16"/>
  <c r="W36" i="16" s="1"/>
  <c r="V54" i="16"/>
  <c r="W54" i="16" s="1"/>
  <c r="V52" i="16"/>
  <c r="W52" i="16" s="1"/>
  <c r="V25" i="14"/>
  <c r="V26" i="14" s="1"/>
  <c r="V37" i="14"/>
  <c r="V38" i="14" s="1"/>
  <c r="V5" i="14"/>
  <c r="V6" i="14" s="1"/>
  <c r="O41" i="15"/>
  <c r="O42" i="15" s="1"/>
  <c r="J10" i="16"/>
  <c r="K10" i="16" s="1"/>
  <c r="J8" i="16"/>
  <c r="K8" i="16" s="1"/>
  <c r="J26" i="16"/>
  <c r="K26" i="16" s="1"/>
  <c r="J24" i="16"/>
  <c r="K24" i="16" s="1"/>
  <c r="J42" i="16"/>
  <c r="K42" i="16" s="1"/>
  <c r="J40" i="16"/>
  <c r="K40" i="16" s="1"/>
  <c r="J58" i="16"/>
  <c r="K58" i="16" s="1"/>
  <c r="J56" i="16"/>
  <c r="K56" i="16" s="1"/>
  <c r="S37" i="14"/>
  <c r="S38" i="14" s="1"/>
  <c r="L29" i="15"/>
  <c r="L30" i="15" s="1"/>
  <c r="L45" i="15"/>
  <c r="L46" i="15" s="1"/>
  <c r="V10" i="16"/>
  <c r="W10" i="16" s="1"/>
  <c r="V8" i="16"/>
  <c r="W8" i="16" s="1"/>
  <c r="V26" i="16"/>
  <c r="W26" i="16" s="1"/>
  <c r="V24" i="16"/>
  <c r="W24" i="16" s="1"/>
  <c r="V42" i="16"/>
  <c r="W42" i="16" s="1"/>
  <c r="V40" i="16"/>
  <c r="W40" i="16" s="1"/>
  <c r="V58" i="16"/>
  <c r="W58" i="16" s="1"/>
  <c r="V56" i="16"/>
  <c r="W56" i="16" s="1"/>
  <c r="U30" i="17"/>
  <c r="U31" i="17" s="1"/>
  <c r="X30" i="17"/>
  <c r="X31" i="17" s="1"/>
  <c r="U5" i="17"/>
  <c r="U6" i="17" s="1"/>
  <c r="X5" i="17"/>
  <c r="X6" i="17" s="1"/>
  <c r="H50" i="15"/>
  <c r="H47" i="15"/>
  <c r="H46" i="15"/>
  <c r="F52" i="15"/>
  <c r="C48" i="15"/>
  <c r="E55" i="15"/>
  <c r="D53" i="15"/>
  <c r="E52" i="15"/>
  <c r="D46" i="15"/>
  <c r="F48" i="15"/>
  <c r="G49" i="15"/>
  <c r="B52" i="15"/>
  <c r="C53" i="15"/>
  <c r="D54" i="15"/>
  <c r="E54" i="15"/>
  <c r="H48" i="15"/>
  <c r="F53" i="15"/>
  <c r="G54" i="15"/>
  <c r="G53" i="15"/>
  <c r="H54" i="15"/>
  <c r="D49" i="15"/>
  <c r="E50" i="15"/>
  <c r="F51" i="15"/>
  <c r="G52" i="15"/>
  <c r="B55" i="15"/>
  <c r="B46" i="15"/>
  <c r="F50" i="15"/>
  <c r="C46" i="15"/>
  <c r="D47" i="15"/>
  <c r="E48" i="15"/>
  <c r="F49" i="15"/>
  <c r="G50" i="15"/>
  <c r="H51" i="15"/>
  <c r="C54" i="15"/>
  <c r="D55" i="15"/>
  <c r="S6" i="13"/>
  <c r="AB5" i="13"/>
  <c r="Z5" i="13"/>
  <c r="AL442" i="12"/>
  <c r="J426" i="12" s="1"/>
  <c r="L426" i="12" s="1"/>
  <c r="AL438" i="12"/>
  <c r="J423" i="12" s="1"/>
  <c r="L423" i="12" s="1"/>
  <c r="V423" i="12" s="1"/>
  <c r="AL434" i="12"/>
  <c r="J420" i="12" s="1"/>
  <c r="L420" i="12" s="1"/>
  <c r="V420" i="12" s="1"/>
  <c r="AL430" i="12"/>
  <c r="J417" i="12" s="1"/>
  <c r="L417" i="12" s="1"/>
  <c r="V417" i="12" s="1"/>
  <c r="AL426" i="12"/>
  <c r="J414" i="12" s="1"/>
  <c r="L414" i="12" s="1"/>
  <c r="V414" i="12" s="1"/>
  <c r="AL422" i="12"/>
  <c r="J411" i="12" s="1"/>
  <c r="L411" i="12" s="1"/>
  <c r="V411" i="12" s="1"/>
  <c r="AL418" i="12"/>
  <c r="J408" i="12" s="1"/>
  <c r="L408" i="12" s="1"/>
  <c r="V408" i="12" s="1"/>
  <c r="AL414" i="12"/>
  <c r="J405" i="12" s="1"/>
  <c r="L405" i="12" s="1"/>
  <c r="V405" i="12" s="1"/>
  <c r="AL410" i="12"/>
  <c r="J402" i="12" s="1"/>
  <c r="L402" i="12" s="1"/>
  <c r="V402" i="12" s="1"/>
  <c r="AL406" i="12"/>
  <c r="J399" i="12" s="1"/>
  <c r="AL402" i="12"/>
  <c r="J396" i="12" s="1"/>
  <c r="L396" i="12" s="1"/>
  <c r="V396" i="12" s="1"/>
  <c r="AL397" i="12"/>
  <c r="J393" i="12" s="1"/>
  <c r="L393" i="12" s="1"/>
  <c r="V393" i="12" s="1"/>
  <c r="AL393" i="12"/>
  <c r="J390" i="12" s="1"/>
  <c r="L390" i="12" s="1"/>
  <c r="V390" i="12" s="1"/>
  <c r="AL389" i="12"/>
  <c r="J387" i="12" s="1"/>
  <c r="L387" i="12" s="1"/>
  <c r="V387" i="12" s="1"/>
  <c r="AL384" i="12"/>
  <c r="J384" i="12" s="1"/>
  <c r="L384" i="12" s="1"/>
  <c r="V384" i="12" s="1"/>
  <c r="AC301" i="12"/>
  <c r="I116" i="12" s="1"/>
  <c r="AC290" i="12"/>
  <c r="AC292" i="12" s="1"/>
  <c r="I113" i="12" s="1"/>
  <c r="F44" i="15"/>
  <c r="J158" i="12"/>
  <c r="L158" i="12" s="1"/>
  <c r="L159" i="12" s="1"/>
  <c r="J155" i="12"/>
  <c r="L155" i="12" s="1"/>
  <c r="L156" i="12" s="1"/>
  <c r="V680" i="12"/>
  <c r="L305" i="12"/>
  <c r="J104" i="12"/>
  <c r="L104" i="12" s="1"/>
  <c r="L105" i="12" s="1"/>
  <c r="I387" i="12"/>
  <c r="J442" i="12"/>
  <c r="L442" i="12" s="1"/>
  <c r="L443" i="12" s="1"/>
  <c r="I417" i="12"/>
  <c r="I414" i="12"/>
  <c r="I411" i="12"/>
  <c r="I408" i="12"/>
  <c r="I426" i="12"/>
  <c r="I423" i="12"/>
  <c r="I420" i="12"/>
  <c r="I405" i="12"/>
  <c r="I402" i="12"/>
  <c r="I399" i="12"/>
  <c r="I396" i="12"/>
  <c r="I393" i="12"/>
  <c r="I390" i="12"/>
  <c r="I384" i="12"/>
  <c r="K372" i="12"/>
  <c r="K30" i="16"/>
  <c r="K38" i="16"/>
  <c r="K46" i="16"/>
  <c r="K351" i="12"/>
  <c r="I357" i="12"/>
  <c r="I360" i="12"/>
  <c r="I369" i="12"/>
  <c r="S20" i="14"/>
  <c r="S24" i="14"/>
  <c r="F46" i="15"/>
  <c r="G47" i="15"/>
  <c r="B50" i="15"/>
  <c r="C51" i="15"/>
  <c r="D52" i="15"/>
  <c r="E53" i="15"/>
  <c r="F54" i="15"/>
  <c r="B48" i="15"/>
  <c r="C49" i="15"/>
  <c r="D50" i="15"/>
  <c r="E51" i="15"/>
  <c r="E56" i="15"/>
  <c r="C47" i="15"/>
  <c r="E49" i="15"/>
  <c r="G51" i="15"/>
  <c r="K360" i="12"/>
  <c r="X10" i="10"/>
  <c r="Y35" i="12"/>
  <c r="Y33" i="12"/>
  <c r="AH21" i="12"/>
  <c r="AY8" i="12" s="1"/>
  <c r="J360" i="12"/>
  <c r="L360" i="12" s="1"/>
  <c r="K366" i="12"/>
  <c r="K363" i="12"/>
  <c r="X5" i="10"/>
  <c r="M15" i="12"/>
  <c r="I19" i="12" s="1"/>
  <c r="AG21" i="12"/>
  <c r="AQ8" i="12" s="1"/>
  <c r="AI21" i="12"/>
  <c r="BG8" i="12" s="1"/>
  <c r="Y9" i="10"/>
  <c r="X8" i="10"/>
  <c r="Y34" i="12"/>
  <c r="Y10" i="10"/>
  <c r="I366" i="12"/>
  <c r="J363" i="12"/>
  <c r="L363" i="12" s="1"/>
  <c r="S16" i="14"/>
  <c r="S28" i="14"/>
  <c r="S32" i="14"/>
  <c r="I363" i="12"/>
  <c r="J366" i="12"/>
  <c r="L366" i="12" s="1"/>
  <c r="J369" i="12"/>
  <c r="L369" i="12" s="1"/>
  <c r="I354" i="12"/>
  <c r="K369" i="12"/>
  <c r="S4" i="14"/>
  <c r="S12" i="14"/>
  <c r="J357" i="12"/>
  <c r="L357" i="12" s="1"/>
  <c r="K357" i="12"/>
  <c r="X7" i="10"/>
  <c r="X6" i="10"/>
  <c r="K71" i="16"/>
  <c r="Y4" i="16"/>
  <c r="Z4" i="16" s="1"/>
  <c r="Z5" i="16" s="1"/>
  <c r="Y5" i="10"/>
  <c r="K354" i="12"/>
  <c r="Y4" i="10"/>
  <c r="H24" i="13"/>
  <c r="I24" i="13" s="1"/>
  <c r="M287" i="12"/>
  <c r="J354" i="12"/>
  <c r="L302" i="12"/>
  <c r="AN348" i="12"/>
  <c r="AN344" i="12"/>
  <c r="AN307" i="12"/>
  <c r="AN309" i="12"/>
  <c r="AN303" i="12"/>
  <c r="J218" i="12"/>
  <c r="J684" i="12"/>
  <c r="V684" i="12" s="1"/>
  <c r="AN350" i="12"/>
  <c r="AN335" i="12"/>
  <c r="AN333" i="12"/>
  <c r="AN319" i="12"/>
  <c r="AN321" i="12"/>
  <c r="AN289" i="12"/>
  <c r="AI300" i="12"/>
  <c r="I195" i="12" s="1"/>
  <c r="AF180" i="4" s="1"/>
  <c r="L54" i="12"/>
  <c r="L62" i="12"/>
  <c r="I50" i="12"/>
  <c r="L162" i="12"/>
  <c r="V313" i="12"/>
  <c r="L320" i="12"/>
  <c r="I66" i="12"/>
  <c r="I148" i="12"/>
  <c r="I389" i="12"/>
  <c r="L610" i="12"/>
  <c r="K633" i="12"/>
  <c r="J441" i="12"/>
  <c r="L681" i="12"/>
  <c r="J561" i="12"/>
  <c r="K591" i="12"/>
  <c r="I676" i="12"/>
  <c r="V85" i="12"/>
  <c r="L416" i="12"/>
  <c r="L518" i="12"/>
  <c r="V659" i="12"/>
  <c r="K139" i="12"/>
  <c r="K221" i="12"/>
  <c r="D45" i="15"/>
  <c r="Y8" i="10"/>
  <c r="J50" i="12"/>
  <c r="V124" i="12"/>
  <c r="I136" i="12"/>
  <c r="V186" i="12"/>
  <c r="K227" i="12"/>
  <c r="L238" i="12"/>
  <c r="L244" i="12"/>
  <c r="V331" i="12"/>
  <c r="I365" i="12"/>
  <c r="L507" i="12"/>
  <c r="V554" i="12"/>
  <c r="V574" i="12"/>
  <c r="K50" i="12"/>
  <c r="I63" i="12"/>
  <c r="L77" i="12"/>
  <c r="K136" i="12"/>
  <c r="I145" i="12"/>
  <c r="I215" i="12"/>
  <c r="L218" i="12"/>
  <c r="I309" i="12"/>
  <c r="I327" i="12"/>
  <c r="J395" i="12"/>
  <c r="I413" i="12"/>
  <c r="M507" i="12"/>
  <c r="J513" i="12"/>
  <c r="L525" i="12"/>
  <c r="I550" i="12"/>
  <c r="L569" i="12"/>
  <c r="V592" i="12"/>
  <c r="K630" i="12"/>
  <c r="L660" i="12"/>
  <c r="L688" i="12"/>
  <c r="L50" i="12"/>
  <c r="I60" i="12"/>
  <c r="J63" i="12"/>
  <c r="V73" i="12"/>
  <c r="V82" i="12"/>
  <c r="L87" i="12"/>
  <c r="I133" i="12"/>
  <c r="L141" i="12"/>
  <c r="J145" i="12"/>
  <c r="L150" i="12"/>
  <c r="V164" i="12"/>
  <c r="L187" i="12"/>
  <c r="J215" i="12"/>
  <c r="V234" i="12"/>
  <c r="K309" i="12"/>
  <c r="K327" i="12"/>
  <c r="I362" i="12"/>
  <c r="K395" i="12"/>
  <c r="J461" i="12"/>
  <c r="L479" i="12"/>
  <c r="J550" i="12"/>
  <c r="I582" i="12"/>
  <c r="L630" i="12"/>
  <c r="I57" i="12"/>
  <c r="J60" i="12"/>
  <c r="L68" i="12"/>
  <c r="L78" i="12"/>
  <c r="J133" i="12"/>
  <c r="V155" i="12"/>
  <c r="V183" i="12"/>
  <c r="K215" i="12"/>
  <c r="J224" i="12"/>
  <c r="L260" i="12"/>
  <c r="J392" i="12"/>
  <c r="J419" i="12"/>
  <c r="L521" i="12"/>
  <c r="V526" i="12"/>
  <c r="L533" i="12"/>
  <c r="K550" i="12"/>
  <c r="I570" i="12"/>
  <c r="K582" i="12"/>
  <c r="L588" i="12"/>
  <c r="K613" i="12"/>
  <c r="L642" i="12"/>
  <c r="L483" i="12"/>
  <c r="I513" i="12"/>
  <c r="J630" i="12"/>
  <c r="J57" i="12"/>
  <c r="K60" i="12"/>
  <c r="L74" i="12"/>
  <c r="V88" i="12"/>
  <c r="V107" i="12"/>
  <c r="L138" i="12"/>
  <c r="I142" i="12"/>
  <c r="I151" i="12"/>
  <c r="L165" i="12"/>
  <c r="L224" i="12"/>
  <c r="J306" i="12"/>
  <c r="I324" i="12"/>
  <c r="K392" i="12"/>
  <c r="K419" i="12"/>
  <c r="I457" i="12"/>
  <c r="K475" i="12"/>
  <c r="K491" i="12"/>
  <c r="J547" i="12"/>
  <c r="L582" i="12"/>
  <c r="L613" i="12"/>
  <c r="I627" i="12"/>
  <c r="V637" i="12"/>
  <c r="J54" i="12"/>
  <c r="K57" i="12"/>
  <c r="L65" i="12"/>
  <c r="V79" i="12"/>
  <c r="L84" i="12"/>
  <c r="J123" i="12"/>
  <c r="J142" i="12"/>
  <c r="L147" i="12"/>
  <c r="V161" i="12"/>
  <c r="J179" i="12"/>
  <c r="J205" i="12"/>
  <c r="I221" i="12"/>
  <c r="L306" i="12"/>
  <c r="J324" i="12"/>
  <c r="L348" i="12"/>
  <c r="L368" i="12"/>
  <c r="L392" i="12"/>
  <c r="J416" i="12"/>
  <c r="K522" i="12"/>
  <c r="K547" i="12"/>
  <c r="M621" i="12"/>
  <c r="L663" i="12"/>
  <c r="V668" i="12"/>
  <c r="K688" i="12"/>
  <c r="J686" i="12"/>
  <c r="L683" i="12"/>
  <c r="K681" i="12"/>
  <c r="L676" i="12"/>
  <c r="I671" i="12"/>
  <c r="L667" i="12"/>
  <c r="V664" i="12"/>
  <c r="V662" i="12"/>
  <c r="K658" i="12"/>
  <c r="K642" i="12"/>
  <c r="L639" i="12"/>
  <c r="V634" i="12"/>
  <c r="L629" i="12"/>
  <c r="L621" i="12"/>
  <c r="L615" i="12"/>
  <c r="I610" i="12"/>
  <c r="J607" i="12"/>
  <c r="J591" i="12"/>
  <c r="K588" i="12"/>
  <c r="L584" i="12"/>
  <c r="I579" i="12"/>
  <c r="J576" i="12"/>
  <c r="K573" i="12"/>
  <c r="L570" i="12"/>
  <c r="V551" i="12"/>
  <c r="L530" i="12"/>
  <c r="I525" i="12"/>
  <c r="J522" i="12"/>
  <c r="K519" i="12"/>
  <c r="L516" i="12"/>
  <c r="L499" i="12"/>
  <c r="I479" i="12"/>
  <c r="J475" i="12"/>
  <c r="K471" i="12"/>
  <c r="I453" i="12"/>
  <c r="J449" i="12"/>
  <c r="K445" i="12"/>
  <c r="L425" i="12"/>
  <c r="I410" i="12"/>
  <c r="J407" i="12"/>
  <c r="K404" i="12"/>
  <c r="L401" i="12"/>
  <c r="I386" i="12"/>
  <c r="J383" i="12"/>
  <c r="I374" i="12"/>
  <c r="J371" i="12"/>
  <c r="K368" i="12"/>
  <c r="L365" i="12"/>
  <c r="I350" i="12"/>
  <c r="K346" i="12"/>
  <c r="K330" i="12"/>
  <c r="L327" i="12"/>
  <c r="V322" i="12"/>
  <c r="L317" i="12"/>
  <c r="I312" i="12"/>
  <c r="J309" i="12"/>
  <c r="K306" i="12"/>
  <c r="L303" i="12"/>
  <c r="V298" i="12"/>
  <c r="L261" i="12"/>
  <c r="V240" i="12"/>
  <c r="L235" i="12"/>
  <c r="I230" i="12"/>
  <c r="J227" i="12"/>
  <c r="K224" i="12"/>
  <c r="L221" i="12"/>
  <c r="V216" i="12"/>
  <c r="L188" i="12"/>
  <c r="H691" i="12"/>
  <c r="J688" i="12"/>
  <c r="I686" i="12"/>
  <c r="K683" i="12"/>
  <c r="J681" i="12"/>
  <c r="L678" i="12"/>
  <c r="K676" i="12"/>
  <c r="K667" i="12"/>
  <c r="J658" i="12"/>
  <c r="J642" i="12"/>
  <c r="K639" i="12"/>
  <c r="L636" i="12"/>
  <c r="V631" i="12"/>
  <c r="L612" i="12"/>
  <c r="I607" i="12"/>
  <c r="I591" i="12"/>
  <c r="J588" i="12"/>
  <c r="L581" i="12"/>
  <c r="I576" i="12"/>
  <c r="J573" i="12"/>
  <c r="K570" i="12"/>
  <c r="L567" i="12"/>
  <c r="L553" i="12"/>
  <c r="V548" i="12"/>
  <c r="V532" i="12"/>
  <c r="L527" i="12"/>
  <c r="I522" i="12"/>
  <c r="J519" i="12"/>
  <c r="K516" i="12"/>
  <c r="L513" i="12"/>
  <c r="K499" i="12"/>
  <c r="L495" i="12"/>
  <c r="I475" i="12"/>
  <c r="J471" i="12"/>
  <c r="L466" i="12"/>
  <c r="I449" i="12"/>
  <c r="J445" i="12"/>
  <c r="L441" i="12"/>
  <c r="K425" i="12"/>
  <c r="L422" i="12"/>
  <c r="I407" i="12"/>
  <c r="J404" i="12"/>
  <c r="K401" i="12"/>
  <c r="L398" i="12"/>
  <c r="I383" i="12"/>
  <c r="L376" i="12"/>
  <c r="I371" i="12"/>
  <c r="J368" i="12"/>
  <c r="K365" i="12"/>
  <c r="I688" i="12"/>
  <c r="J683" i="12"/>
  <c r="I681" i="12"/>
  <c r="K678" i="12"/>
  <c r="J676" i="12"/>
  <c r="V672" i="12"/>
  <c r="V670" i="12"/>
  <c r="J667" i="12"/>
  <c r="I658" i="12"/>
  <c r="I642" i="12"/>
  <c r="J639" i="12"/>
  <c r="K636" i="12"/>
  <c r="L633" i="12"/>
  <c r="V628" i="12"/>
  <c r="J621" i="12"/>
  <c r="V614" i="12"/>
  <c r="L609" i="12"/>
  <c r="L593" i="12"/>
  <c r="I588" i="12"/>
  <c r="V583" i="12"/>
  <c r="L578" i="12"/>
  <c r="I573" i="12"/>
  <c r="J570" i="12"/>
  <c r="K567" i="12"/>
  <c r="V562" i="12"/>
  <c r="K553" i="12"/>
  <c r="L550" i="12"/>
  <c r="V529" i="12"/>
  <c r="L524" i="12"/>
  <c r="I519" i="12"/>
  <c r="J516" i="12"/>
  <c r="K513" i="12"/>
  <c r="V508" i="12"/>
  <c r="J499" i="12"/>
  <c r="K495" i="12"/>
  <c r="L491" i="12"/>
  <c r="I471" i="12"/>
  <c r="K466" i="12"/>
  <c r="I445" i="12"/>
  <c r="K441" i="12"/>
  <c r="J425" i="12"/>
  <c r="K422" i="12"/>
  <c r="L419" i="12"/>
  <c r="I404" i="12"/>
  <c r="J401" i="12"/>
  <c r="K398" i="12"/>
  <c r="L395" i="12"/>
  <c r="I368" i="12"/>
  <c r="J365" i="12"/>
  <c r="K362" i="12"/>
  <c r="L359" i="12"/>
  <c r="I346" i="12"/>
  <c r="I330" i="12"/>
  <c r="J327" i="12"/>
  <c r="K324" i="12"/>
  <c r="L321" i="12"/>
  <c r="V316" i="12"/>
  <c r="L311" i="12"/>
  <c r="I306" i="12"/>
  <c r="J303" i="12"/>
  <c r="K300" i="12"/>
  <c r="L297" i="12"/>
  <c r="L287" i="12"/>
  <c r="J261" i="12"/>
  <c r="K258" i="12"/>
  <c r="L686" i="12"/>
  <c r="V677" i="12"/>
  <c r="K671" i="12"/>
  <c r="I663" i="12"/>
  <c r="V640" i="12"/>
  <c r="L635" i="12"/>
  <c r="I630" i="12"/>
  <c r="J627" i="12"/>
  <c r="J613" i="12"/>
  <c r="K610" i="12"/>
  <c r="L607" i="12"/>
  <c r="L591" i="12"/>
  <c r="J582" i="12"/>
  <c r="K579" i="12"/>
  <c r="L576" i="12"/>
  <c r="V571" i="12"/>
  <c r="L552" i="12"/>
  <c r="I547" i="12"/>
  <c r="I531" i="12"/>
  <c r="J528" i="12"/>
  <c r="K525" i="12"/>
  <c r="L522" i="12"/>
  <c r="V517" i="12"/>
  <c r="I487" i="12"/>
  <c r="J483" i="12"/>
  <c r="K479" i="12"/>
  <c r="L475" i="12"/>
  <c r="I461" i="12"/>
  <c r="J457" i="12"/>
  <c r="K453" i="12"/>
  <c r="L449" i="12"/>
  <c r="I416" i="12"/>
  <c r="J413" i="12"/>
  <c r="K410" i="12"/>
  <c r="L407" i="12"/>
  <c r="I392" i="12"/>
  <c r="J389" i="12"/>
  <c r="K386" i="12"/>
  <c r="L383" i="12"/>
  <c r="K374" i="12"/>
  <c r="L371" i="12"/>
  <c r="I356" i="12"/>
  <c r="J353" i="12"/>
  <c r="K350" i="12"/>
  <c r="V328" i="12"/>
  <c r="L323" i="12"/>
  <c r="I318" i="12"/>
  <c r="J315" i="12"/>
  <c r="K312" i="12"/>
  <c r="L309" i="12"/>
  <c r="V304" i="12"/>
  <c r="L299" i="12"/>
  <c r="V262" i="12"/>
  <c r="L241" i="12"/>
  <c r="I236" i="12"/>
  <c r="J233" i="12"/>
  <c r="K230" i="12"/>
  <c r="L227" i="12"/>
  <c r="V222" i="12"/>
  <c r="L217" i="12"/>
  <c r="V189" i="12"/>
  <c r="L184" i="12"/>
  <c r="I179" i="12"/>
  <c r="I163" i="12"/>
  <c r="J160" i="12"/>
  <c r="K157" i="12"/>
  <c r="L154" i="12"/>
  <c r="V149" i="12"/>
  <c r="L144" i="12"/>
  <c r="I139" i="12"/>
  <c r="J136" i="12"/>
  <c r="K133" i="12"/>
  <c r="I106" i="12"/>
  <c r="J103" i="12"/>
  <c r="J87" i="12"/>
  <c r="K84" i="12"/>
  <c r="L81" i="12"/>
  <c r="V76" i="12"/>
  <c r="L71" i="12"/>
  <c r="V687" i="12"/>
  <c r="L671" i="12"/>
  <c r="I667" i="12"/>
  <c r="K663" i="12"/>
  <c r="L641" i="12"/>
  <c r="I633" i="12"/>
  <c r="I613" i="12"/>
  <c r="V577" i="12"/>
  <c r="L573" i="12"/>
  <c r="J553" i="12"/>
  <c r="L528" i="12"/>
  <c r="J525" i="12"/>
  <c r="I516" i="12"/>
  <c r="J495" i="12"/>
  <c r="J491" i="12"/>
  <c r="K487" i="12"/>
  <c r="K483" i="12"/>
  <c r="J479" i="12"/>
  <c r="L445" i="12"/>
  <c r="I441" i="12"/>
  <c r="I419" i="12"/>
  <c r="K407" i="12"/>
  <c r="I395" i="12"/>
  <c r="K383" i="12"/>
  <c r="J330" i="12"/>
  <c r="L326" i="12"/>
  <c r="V319" i="12"/>
  <c r="L315" i="12"/>
  <c r="L312" i="12"/>
  <c r="V301" i="12"/>
  <c r="K297" i="12"/>
  <c r="J287" i="12"/>
  <c r="L263" i="12"/>
  <c r="V259" i="12"/>
  <c r="L239" i="12"/>
  <c r="L233" i="12"/>
  <c r="L230" i="12"/>
  <c r="I227" i="12"/>
  <c r="I224" i="12"/>
  <c r="I218" i="12"/>
  <c r="V180" i="12"/>
  <c r="V146" i="12"/>
  <c r="V143" i="12"/>
  <c r="L106" i="12"/>
  <c r="L103" i="12"/>
  <c r="K87" i="12"/>
  <c r="J84" i="12"/>
  <c r="J81" i="12"/>
  <c r="K78" i="12"/>
  <c r="K75" i="12"/>
  <c r="L72" i="12"/>
  <c r="L69" i="12"/>
  <c r="V64" i="12"/>
  <c r="L59" i="12"/>
  <c r="I54" i="12"/>
  <c r="I678" i="12"/>
  <c r="L579" i="12"/>
  <c r="I567" i="12"/>
  <c r="L547" i="12"/>
  <c r="V514" i="12"/>
  <c r="L471" i="12"/>
  <c r="K461" i="12"/>
  <c r="J453" i="12"/>
  <c r="K389" i="12"/>
  <c r="J362" i="12"/>
  <c r="I321" i="12"/>
  <c r="V310" i="12"/>
  <c r="I300" i="12"/>
  <c r="I261" i="12"/>
  <c r="I242" i="12"/>
  <c r="V225" i="12"/>
  <c r="I683" i="12"/>
  <c r="V675" i="12"/>
  <c r="J671" i="12"/>
  <c r="J663" i="12"/>
  <c r="L658" i="12"/>
  <c r="J636" i="12"/>
  <c r="V608" i="12"/>
  <c r="L590" i="12"/>
  <c r="V568" i="12"/>
  <c r="I553" i="12"/>
  <c r="L549" i="12"/>
  <c r="K528" i="12"/>
  <c r="V520" i="12"/>
  <c r="J507" i="12"/>
  <c r="I495" i="12"/>
  <c r="I491" i="12"/>
  <c r="J487" i="12"/>
  <c r="I483" i="12"/>
  <c r="J422" i="12"/>
  <c r="J398" i="12"/>
  <c r="K371" i="12"/>
  <c r="L353" i="12"/>
  <c r="L350" i="12"/>
  <c r="L346" i="12"/>
  <c r="K315" i="12"/>
  <c r="J312" i="12"/>
  <c r="L308" i="12"/>
  <c r="J297" i="12"/>
  <c r="L242" i="12"/>
  <c r="K239" i="12"/>
  <c r="L236" i="12"/>
  <c r="K233" i="12"/>
  <c r="J230" i="12"/>
  <c r="L220" i="12"/>
  <c r="V206" i="12"/>
  <c r="AF182" i="4" s="1"/>
  <c r="A182" i="4" s="1"/>
  <c r="K188" i="12"/>
  <c r="L185" i="12"/>
  <c r="L182" i="12"/>
  <c r="L163" i="12"/>
  <c r="L160" i="12"/>
  <c r="L157" i="12"/>
  <c r="K154" i="12"/>
  <c r="L151" i="12"/>
  <c r="L148" i="12"/>
  <c r="V140" i="12"/>
  <c r="V137" i="12"/>
  <c r="V134" i="12"/>
  <c r="M123" i="12"/>
  <c r="K106" i="12"/>
  <c r="K103" i="12"/>
  <c r="I87" i="12"/>
  <c r="I84" i="12"/>
  <c r="I81" i="12"/>
  <c r="J78" i="12"/>
  <c r="J75" i="12"/>
  <c r="K72" i="12"/>
  <c r="K69" i="12"/>
  <c r="L66" i="12"/>
  <c r="V61" i="12"/>
  <c r="L56" i="12"/>
  <c r="V643" i="12"/>
  <c r="K627" i="12"/>
  <c r="L575" i="12"/>
  <c r="K686" i="12"/>
  <c r="V666" i="12"/>
  <c r="L644" i="12"/>
  <c r="I636" i="12"/>
  <c r="L632" i="12"/>
  <c r="V580" i="12"/>
  <c r="K576" i="12"/>
  <c r="L572" i="12"/>
  <c r="L531" i="12"/>
  <c r="I528" i="12"/>
  <c r="L515" i="12"/>
  <c r="I499" i="12"/>
  <c r="K449" i="12"/>
  <c r="I422" i="12"/>
  <c r="L410" i="12"/>
  <c r="I398" i="12"/>
  <c r="L386" i="12"/>
  <c r="K359" i="12"/>
  <c r="L356" i="12"/>
  <c r="K353" i="12"/>
  <c r="J350" i="12"/>
  <c r="J346" i="12"/>
  <c r="L329" i="12"/>
  <c r="V325" i="12"/>
  <c r="K321" i="12"/>
  <c r="L318" i="12"/>
  <c r="I315" i="12"/>
  <c r="L300" i="12"/>
  <c r="I297" i="12"/>
  <c r="L258" i="12"/>
  <c r="K242" i="12"/>
  <c r="J239" i="12"/>
  <c r="K236" i="12"/>
  <c r="I233" i="12"/>
  <c r="L226" i="12"/>
  <c r="L223" i="12"/>
  <c r="J188" i="12"/>
  <c r="K185" i="12"/>
  <c r="K182" i="12"/>
  <c r="L179" i="12"/>
  <c r="K163" i="12"/>
  <c r="K160" i="12"/>
  <c r="J157" i="12"/>
  <c r="J154" i="12"/>
  <c r="K151" i="12"/>
  <c r="K148" i="12"/>
  <c r="L145" i="12"/>
  <c r="L142" i="12"/>
  <c r="L123" i="12"/>
  <c r="J106" i="12"/>
  <c r="I103" i="12"/>
  <c r="I78" i="12"/>
  <c r="I75" i="12"/>
  <c r="J72" i="12"/>
  <c r="J69" i="12"/>
  <c r="K66" i="12"/>
  <c r="L63" i="12"/>
  <c r="V58" i="12"/>
  <c r="V685" i="12"/>
  <c r="L561" i="12"/>
  <c r="J531" i="12"/>
  <c r="J356" i="12"/>
  <c r="J318" i="12"/>
  <c r="I258" i="12"/>
  <c r="L232" i="12"/>
  <c r="L215" i="12"/>
  <c r="I182" i="12"/>
  <c r="V689" i="12"/>
  <c r="V682" i="12"/>
  <c r="J678" i="12"/>
  <c r="V674" i="12"/>
  <c r="I639" i="12"/>
  <c r="L627" i="12"/>
  <c r="V622" i="12"/>
  <c r="V611" i="12"/>
  <c r="K607" i="12"/>
  <c r="V589" i="12"/>
  <c r="J567" i="12"/>
  <c r="M561" i="12"/>
  <c r="K531" i="12"/>
  <c r="V523" i="12"/>
  <c r="L519" i="12"/>
  <c r="J466" i="12"/>
  <c r="L461" i="12"/>
  <c r="L457" i="12"/>
  <c r="L453" i="12"/>
  <c r="I425" i="12"/>
  <c r="L413" i="12"/>
  <c r="J410" i="12"/>
  <c r="I401" i="12"/>
  <c r="L389" i="12"/>
  <c r="J386" i="12"/>
  <c r="L374" i="12"/>
  <c r="L362" i="12"/>
  <c r="J359" i="12"/>
  <c r="K356" i="12"/>
  <c r="I353" i="12"/>
  <c r="L332" i="12"/>
  <c r="J321" i="12"/>
  <c r="K318" i="12"/>
  <c r="V307" i="12"/>
  <c r="K303" i="12"/>
  <c r="J300" i="12"/>
  <c r="K261" i="12"/>
  <c r="J258" i="12"/>
  <c r="J242" i="12"/>
  <c r="I239" i="12"/>
  <c r="J236" i="12"/>
  <c r="L229" i="12"/>
  <c r="V219" i="12"/>
  <c r="M205" i="12"/>
  <c r="I188" i="12"/>
  <c r="J185" i="12"/>
  <c r="J182" i="12"/>
  <c r="K179" i="12"/>
  <c r="J163" i="12"/>
  <c r="I160" i="12"/>
  <c r="I157" i="12"/>
  <c r="I154" i="12"/>
  <c r="J151" i="12"/>
  <c r="J148" i="12"/>
  <c r="K145" i="12"/>
  <c r="K142" i="12"/>
  <c r="L139" i="12"/>
  <c r="L136" i="12"/>
  <c r="L133" i="12"/>
  <c r="L89" i="12"/>
  <c r="L86" i="12"/>
  <c r="L83" i="12"/>
  <c r="L80" i="12"/>
  <c r="I72" i="12"/>
  <c r="I69" i="12"/>
  <c r="J66" i="12"/>
  <c r="K63" i="12"/>
  <c r="L60" i="12"/>
  <c r="V55" i="12"/>
  <c r="V51" i="12"/>
  <c r="L555" i="12"/>
  <c r="I466" i="12"/>
  <c r="K457" i="12"/>
  <c r="K413" i="12"/>
  <c r="J374" i="12"/>
  <c r="I359" i="12"/>
  <c r="L324" i="12"/>
  <c r="L314" i="12"/>
  <c r="I303" i="12"/>
  <c r="V288" i="12"/>
  <c r="AJ214" i="4" s="1"/>
  <c r="A214" i="4" s="1"/>
  <c r="L205" i="12"/>
  <c r="L191" i="12"/>
  <c r="K81" i="12"/>
  <c r="L153" i="12"/>
  <c r="L181" i="12"/>
  <c r="K218" i="12"/>
  <c r="K54" i="12"/>
  <c r="L57" i="12"/>
  <c r="V70" i="12"/>
  <c r="L75" i="12"/>
  <c r="L108" i="12"/>
  <c r="L135" i="12"/>
  <c r="J139" i="12"/>
  <c r="V152" i="12"/>
  <c r="I185" i="12"/>
  <c r="L190" i="12"/>
  <c r="J221" i="12"/>
  <c r="V231" i="12"/>
  <c r="V237" i="12"/>
  <c r="V243" i="12"/>
  <c r="L330" i="12"/>
  <c r="L404" i="12"/>
  <c r="K416" i="12"/>
  <c r="L487" i="12"/>
  <c r="J579" i="12"/>
  <c r="J610" i="12"/>
  <c r="J633" i="12"/>
  <c r="L638" i="12"/>
  <c r="K69" i="16"/>
  <c r="E42" i="15"/>
  <c r="C52" i="15"/>
  <c r="D51" i="15"/>
  <c r="G25" i="15"/>
  <c r="G26" i="15"/>
  <c r="E57" i="15"/>
  <c r="E47" i="15"/>
  <c r="L13" i="15"/>
  <c r="C56" i="15"/>
  <c r="C57" i="15"/>
  <c r="C50" i="15"/>
  <c r="C55" i="15"/>
  <c r="D56" i="15"/>
  <c r="D57" i="15"/>
  <c r="D48" i="15"/>
  <c r="E26" i="15"/>
  <c r="E43" i="15" s="1"/>
  <c r="F45" i="15"/>
  <c r="G56" i="15"/>
  <c r="L9" i="15"/>
  <c r="H38" i="15"/>
  <c r="H55" i="15" s="1"/>
  <c r="H39" i="15"/>
  <c r="G57" i="15"/>
  <c r="F43" i="15"/>
  <c r="L22" i="15"/>
  <c r="U21" i="15"/>
  <c r="S21" i="15"/>
  <c r="B27" i="15"/>
  <c r="H53" i="15"/>
  <c r="H52" i="15"/>
  <c r="B56" i="15"/>
  <c r="B57" i="15"/>
  <c r="B54" i="15"/>
  <c r="B53" i="15"/>
  <c r="H45" i="15"/>
  <c r="F24" i="15"/>
  <c r="F42" i="15" s="1"/>
  <c r="C27" i="15"/>
  <c r="E27" i="15"/>
  <c r="B49" i="15"/>
  <c r="L17" i="15"/>
  <c r="D26" i="15"/>
  <c r="F39" i="15"/>
  <c r="F56" i="15" s="1"/>
  <c r="L25" i="15"/>
  <c r="G27" i="15"/>
  <c r="I23" i="13"/>
  <c r="D23" i="13"/>
  <c r="E23" i="13" s="1"/>
  <c r="AC312" i="12"/>
  <c r="J128" i="12" s="1"/>
  <c r="AI310" i="12"/>
  <c r="I198" i="12" s="1"/>
  <c r="AF181" i="4" s="1"/>
  <c r="Y32" i="12"/>
  <c r="P38" i="12" s="1"/>
  <c r="AC283" i="12"/>
  <c r="I110" i="12" s="1"/>
  <c r="J679" i="12"/>
  <c r="V679" i="12" s="1"/>
  <c r="AN293" i="12"/>
  <c r="AN323" i="12"/>
  <c r="AN331" i="12"/>
  <c r="AX408" i="12"/>
  <c r="AY408" i="12" s="1"/>
  <c r="AX423" i="12"/>
  <c r="AY423" i="12" s="1"/>
  <c r="I351" i="12"/>
  <c r="I372" i="12"/>
  <c r="AX419" i="12"/>
  <c r="AY419" i="12" s="1"/>
  <c r="AN295" i="12"/>
  <c r="AN280" i="12"/>
  <c r="AN282" i="12"/>
  <c r="J351" i="12"/>
  <c r="L351" i="12" s="1"/>
  <c r="J372" i="12"/>
  <c r="L372" i="12" s="1"/>
  <c r="AN276" i="12"/>
  <c r="X4" i="10"/>
  <c r="X9" i="10"/>
  <c r="U12" i="10"/>
  <c r="C4" i="2"/>
  <c r="V399" i="12" l="1"/>
  <c r="L399" i="12"/>
  <c r="AD37" i="4"/>
  <c r="A37" i="4" s="1"/>
  <c r="AC37" i="4"/>
  <c r="AD35" i="4"/>
  <c r="A35" i="4" s="1"/>
  <c r="AC35" i="4"/>
  <c r="AD34" i="4"/>
  <c r="A34" i="4" s="1"/>
  <c r="AC34" i="4"/>
  <c r="AD33" i="4"/>
  <c r="A33" i="4" s="1"/>
  <c r="AC33" i="4"/>
  <c r="A181" i="4"/>
  <c r="A180" i="4"/>
  <c r="V426" i="12"/>
  <c r="AB285" i="4" s="1"/>
  <c r="Z9" i="14"/>
  <c r="Y36" i="13"/>
  <c r="Y37" i="13" s="1"/>
  <c r="Y38" i="13" s="1"/>
  <c r="Y39" i="13" s="1"/>
  <c r="Y40" i="13" s="1"/>
  <c r="Y41" i="13" s="1"/>
  <c r="Y42" i="13" s="1"/>
  <c r="Y43" i="13" s="1"/>
  <c r="Y44" i="13" s="1"/>
  <c r="AB33" i="13"/>
  <c r="AB34" i="13"/>
  <c r="AA34" i="13"/>
  <c r="L6" i="15"/>
  <c r="U5" i="15"/>
  <c r="S5" i="15"/>
  <c r="AS15" i="12"/>
  <c r="AS11" i="12"/>
  <c r="AS17" i="12"/>
  <c r="AS13" i="12"/>
  <c r="BA17" i="12"/>
  <c r="BA19" i="12"/>
  <c r="BA15" i="12"/>
  <c r="BA11" i="12"/>
  <c r="BA13" i="12"/>
  <c r="BI17" i="12"/>
  <c r="BI13" i="12"/>
  <c r="BI11" i="12"/>
  <c r="BI19" i="12"/>
  <c r="BI15" i="12"/>
  <c r="V442" i="12"/>
  <c r="V158" i="12"/>
  <c r="V104" i="12"/>
  <c r="V333" i="12"/>
  <c r="W9" i="16"/>
  <c r="Z37" i="14"/>
  <c r="W41" i="16"/>
  <c r="W29" i="16"/>
  <c r="W5" i="16"/>
  <c r="K25" i="16"/>
  <c r="K53" i="16"/>
  <c r="W33" i="16"/>
  <c r="K5" i="16"/>
  <c r="D45" i="12" s="1"/>
  <c r="K61" i="16"/>
  <c r="W37" i="16"/>
  <c r="K57" i="16"/>
  <c r="K66" i="16"/>
  <c r="W21" i="16"/>
  <c r="AB9" i="14"/>
  <c r="W57" i="16"/>
  <c r="S21" i="14"/>
  <c r="Z21" i="14" s="1"/>
  <c r="W13" i="16"/>
  <c r="K21" i="16"/>
  <c r="W49" i="16"/>
  <c r="K49" i="16"/>
  <c r="K33" i="16"/>
  <c r="K45" i="16"/>
  <c r="W25" i="16"/>
  <c r="K17" i="16"/>
  <c r="K37" i="16"/>
  <c r="K41" i="16"/>
  <c r="M480" i="12" s="1"/>
  <c r="AG97" i="4" s="1"/>
  <c r="W45" i="16"/>
  <c r="S33" i="14"/>
  <c r="S34" i="14" s="1"/>
  <c r="AB34" i="14" s="1"/>
  <c r="W61" i="16"/>
  <c r="W17" i="16"/>
  <c r="K29" i="16"/>
  <c r="W53" i="16"/>
  <c r="K9" i="16"/>
  <c r="S13" i="14"/>
  <c r="S14" i="14" s="1"/>
  <c r="S29" i="14"/>
  <c r="S30" i="14" s="1"/>
  <c r="K70" i="16"/>
  <c r="S5" i="14"/>
  <c r="S6" i="14" s="1"/>
  <c r="S17" i="14"/>
  <c r="Z17" i="14" s="1"/>
  <c r="S25" i="14"/>
  <c r="S26" i="14" s="1"/>
  <c r="K13" i="16"/>
  <c r="AB5" i="17"/>
  <c r="AB6" i="17"/>
  <c r="AD5" i="17"/>
  <c r="AD6" i="17"/>
  <c r="H56" i="15"/>
  <c r="AB6" i="13"/>
  <c r="AC6" i="13" s="1"/>
  <c r="Z6" i="13"/>
  <c r="AA6" i="13" s="1"/>
  <c r="L373" i="12"/>
  <c r="L352" i="12"/>
  <c r="L358" i="12"/>
  <c r="L370" i="12"/>
  <c r="L361" i="12"/>
  <c r="G44" i="15"/>
  <c r="F57" i="15"/>
  <c r="L364" i="12"/>
  <c r="L367" i="12"/>
  <c r="AI22" i="12"/>
  <c r="BG11" i="12" s="1"/>
  <c r="L355" i="12"/>
  <c r="I22" i="13"/>
  <c r="Y12" i="10"/>
  <c r="AN352" i="12"/>
  <c r="I280" i="12" s="1"/>
  <c r="AJ213" i="4" s="1"/>
  <c r="AN325" i="12"/>
  <c r="I274" i="12" s="1"/>
  <c r="AJ211" i="4" s="1"/>
  <c r="AN311" i="12"/>
  <c r="I271" i="12" s="1"/>
  <c r="AJ210" i="4" s="1"/>
  <c r="AN339" i="12"/>
  <c r="I277" i="12" s="1"/>
  <c r="AJ212" i="4" s="1"/>
  <c r="AN297" i="12"/>
  <c r="I268" i="12" s="1"/>
  <c r="AJ209" i="4" s="1"/>
  <c r="AY410" i="12"/>
  <c r="I464" i="12" s="1"/>
  <c r="AN284" i="12"/>
  <c r="I265" i="12" s="1"/>
  <c r="AJ208" i="4" s="1"/>
  <c r="A621" i="12"/>
  <c r="A123" i="12"/>
  <c r="A205" i="12"/>
  <c r="A507" i="12"/>
  <c r="A562" i="12"/>
  <c r="A206" i="12"/>
  <c r="A508" i="12"/>
  <c r="A287" i="12"/>
  <c r="A288" i="12"/>
  <c r="A622" i="12"/>
  <c r="A561" i="12"/>
  <c r="A124" i="12"/>
  <c r="AD30" i="17"/>
  <c r="AB30" i="17"/>
  <c r="G43" i="15"/>
  <c r="C45" i="15"/>
  <c r="U22" i="15"/>
  <c r="V22" i="15" s="1"/>
  <c r="S22" i="15"/>
  <c r="T22" i="15" s="1"/>
  <c r="B25" i="15"/>
  <c r="E44" i="15"/>
  <c r="H57" i="15"/>
  <c r="U41" i="15"/>
  <c r="S41" i="15"/>
  <c r="E45" i="15"/>
  <c r="S29" i="15"/>
  <c r="U29" i="15"/>
  <c r="U45" i="15"/>
  <c r="S45" i="15"/>
  <c r="C26" i="15"/>
  <c r="L14" i="15"/>
  <c r="U13" i="15"/>
  <c r="S13" i="15"/>
  <c r="U17" i="15"/>
  <c r="L18" i="15"/>
  <c r="S17" i="15"/>
  <c r="S25" i="15"/>
  <c r="L26" i="15"/>
  <c r="U25" i="15"/>
  <c r="H26" i="15"/>
  <c r="B26" i="15"/>
  <c r="B44" i="15" s="1"/>
  <c r="S9" i="15"/>
  <c r="U9" i="15"/>
  <c r="L10" i="15"/>
  <c r="D44" i="15"/>
  <c r="U49" i="15"/>
  <c r="S49" i="15"/>
  <c r="U33" i="15"/>
  <c r="S33" i="15"/>
  <c r="B45" i="15"/>
  <c r="G45" i="15"/>
  <c r="S37" i="15"/>
  <c r="U37" i="15"/>
  <c r="G24" i="15"/>
  <c r="G42" i="15" s="1"/>
  <c r="AB10" i="14"/>
  <c r="Z10" i="14"/>
  <c r="AA10" i="14" s="1"/>
  <c r="Z41" i="14"/>
  <c r="AB38" i="14"/>
  <c r="Z38" i="14"/>
  <c r="AB37" i="14"/>
  <c r="E22" i="13"/>
  <c r="AY421" i="12"/>
  <c r="I469" i="12" s="1"/>
  <c r="X12" i="10"/>
  <c r="U21" i="10"/>
  <c r="U20" i="10"/>
  <c r="U19" i="10"/>
  <c r="U18" i="10"/>
  <c r="U17" i="10"/>
  <c r="U16" i="10"/>
  <c r="U15" i="10"/>
  <c r="U14" i="10"/>
  <c r="X428" i="12" l="1"/>
  <c r="X439" i="12" s="1"/>
  <c r="AG95" i="4" s="1"/>
  <c r="Z92" i="4"/>
  <c r="X59" i="4"/>
  <c r="A213" i="4"/>
  <c r="A212" i="4"/>
  <c r="A211" i="4"/>
  <c r="A210" i="4"/>
  <c r="A209" i="4"/>
  <c r="A208" i="4"/>
  <c r="A97" i="4"/>
  <c r="A95" i="4"/>
  <c r="AC34" i="13"/>
  <c r="AE34" i="13" s="1"/>
  <c r="P28" i="12" s="1"/>
  <c r="X245" i="12" s="1"/>
  <c r="X255" i="12" s="1"/>
  <c r="AJ207" i="4" s="1"/>
  <c r="M492" i="12"/>
  <c r="AG100" i="4" s="1"/>
  <c r="M488" i="12"/>
  <c r="AD67" i="4" s="1"/>
  <c r="U6" i="15"/>
  <c r="V6" i="15" s="1"/>
  <c r="S6" i="15"/>
  <c r="AS19" i="12"/>
  <c r="M446" i="12"/>
  <c r="AG96" i="4" s="1"/>
  <c r="M476" i="12"/>
  <c r="AG99" i="4" s="1"/>
  <c r="M472" i="12"/>
  <c r="AD63" i="4" s="1"/>
  <c r="M496" i="12"/>
  <c r="AD68" i="4" s="1"/>
  <c r="M467" i="12"/>
  <c r="AD65" i="4" s="1"/>
  <c r="M450" i="12"/>
  <c r="AD61" i="4" s="1"/>
  <c r="M458" i="12"/>
  <c r="AD62" i="4" s="1"/>
  <c r="M484" i="12"/>
  <c r="AG98" i="4" s="1"/>
  <c r="AA38" i="14"/>
  <c r="M462" i="12"/>
  <c r="AD64" i="4" s="1"/>
  <c r="AB13" i="14"/>
  <c r="Z13" i="14"/>
  <c r="Z5" i="14"/>
  <c r="AB17" i="14"/>
  <c r="AB5" i="14"/>
  <c r="AC38" i="14"/>
  <c r="S18" i="14"/>
  <c r="AB18" i="14" s="1"/>
  <c r="S22" i="14"/>
  <c r="Z22" i="14" s="1"/>
  <c r="AA22" i="14" s="1"/>
  <c r="Z29" i="14"/>
  <c r="AB29" i="14"/>
  <c r="Z33" i="14"/>
  <c r="AB21" i="14"/>
  <c r="AC10" i="14"/>
  <c r="AE10" i="14" s="1"/>
  <c r="M354" i="12" s="1"/>
  <c r="Z26" i="14"/>
  <c r="AB26" i="14"/>
  <c r="AB25" i="14"/>
  <c r="AB33" i="14"/>
  <c r="AC34" i="14" s="1"/>
  <c r="AC6" i="17"/>
  <c r="Z25" i="14"/>
  <c r="AE6" i="17"/>
  <c r="AE6" i="13"/>
  <c r="X22" i="15"/>
  <c r="Z34" i="14"/>
  <c r="AY15" i="12"/>
  <c r="BG17" i="12"/>
  <c r="BG13" i="12"/>
  <c r="BG15" i="12"/>
  <c r="AQ9" i="12"/>
  <c r="AQ11" i="12"/>
  <c r="AQ13" i="12"/>
  <c r="AY11" i="12"/>
  <c r="BG9" i="12"/>
  <c r="BG21" i="12" s="1"/>
  <c r="AY13" i="12"/>
  <c r="AQ15" i="12"/>
  <c r="AY17" i="12"/>
  <c r="AQ17" i="12"/>
  <c r="AY9" i="12"/>
  <c r="AY21" i="12" s="1"/>
  <c r="Z12" i="10"/>
  <c r="I5" i="12" s="1"/>
  <c r="K22" i="13"/>
  <c r="AB31" i="17"/>
  <c r="AC31" i="17" s="1"/>
  <c r="AD31" i="17"/>
  <c r="AE31" i="17" s="1"/>
  <c r="H24" i="15"/>
  <c r="U26" i="15"/>
  <c r="V26" i="15" s="1"/>
  <c r="S26" i="15"/>
  <c r="T26" i="15" s="1"/>
  <c r="U38" i="15"/>
  <c r="V38" i="15" s="1"/>
  <c r="S38" i="15"/>
  <c r="T38" i="15" s="1"/>
  <c r="T6" i="15"/>
  <c r="B24" i="15"/>
  <c r="B42" i="15" s="1"/>
  <c r="B43" i="15"/>
  <c r="U14" i="15"/>
  <c r="V14" i="15" s="1"/>
  <c r="S14" i="15"/>
  <c r="T14" i="15" s="1"/>
  <c r="S46" i="15"/>
  <c r="T46" i="15" s="1"/>
  <c r="U46" i="15"/>
  <c r="V46" i="15" s="1"/>
  <c r="S42" i="15"/>
  <c r="T42" i="15" s="1"/>
  <c r="U42" i="15"/>
  <c r="V42" i="15" s="1"/>
  <c r="S50" i="15"/>
  <c r="T50" i="15" s="1"/>
  <c r="U50" i="15"/>
  <c r="V50" i="15" s="1"/>
  <c r="H44" i="15"/>
  <c r="S18" i="15"/>
  <c r="T18" i="15" s="1"/>
  <c r="U18" i="15"/>
  <c r="V18" i="15" s="1"/>
  <c r="C24" i="15"/>
  <c r="S30" i="15"/>
  <c r="T30" i="15" s="1"/>
  <c r="U30" i="15"/>
  <c r="V30" i="15" s="1"/>
  <c r="H25" i="15"/>
  <c r="C25" i="15"/>
  <c r="C43" i="15" s="1"/>
  <c r="D24" i="15"/>
  <c r="C44" i="15"/>
  <c r="U34" i="15"/>
  <c r="V34" i="15" s="1"/>
  <c r="S34" i="15"/>
  <c r="T34" i="15" s="1"/>
  <c r="D25" i="15"/>
  <c r="U10" i="15"/>
  <c r="V10" i="15" s="1"/>
  <c r="S10" i="15"/>
  <c r="T10" i="15" s="1"/>
  <c r="AB41" i="14"/>
  <c r="Z30" i="14"/>
  <c r="AB30" i="14"/>
  <c r="AB42" i="14"/>
  <c r="Z42" i="14"/>
  <c r="AA42" i="14" s="1"/>
  <c r="Z6" i="14"/>
  <c r="AB6" i="14"/>
  <c r="AB14" i="14"/>
  <c r="Z14" i="14"/>
  <c r="A207" i="4" l="1"/>
  <c r="A100" i="4"/>
  <c r="A99" i="4"/>
  <c r="A98" i="4"/>
  <c r="A96" i="4"/>
  <c r="A68" i="4"/>
  <c r="A67" i="4"/>
  <c r="A65" i="4"/>
  <c r="A64" i="4"/>
  <c r="A63" i="4"/>
  <c r="A62" i="4"/>
  <c r="A61" i="4"/>
  <c r="AY19" i="12"/>
  <c r="I502" i="12"/>
  <c r="I504" i="12" s="1"/>
  <c r="I510" i="12" s="1"/>
  <c r="D3" i="12" s="1"/>
  <c r="BG19" i="12"/>
  <c r="AQ21" i="12"/>
  <c r="AQ19" i="12" s="1"/>
  <c r="I21" i="12" s="1"/>
  <c r="I28" i="12" s="1"/>
  <c r="X166" i="12" s="1"/>
  <c r="X176" i="12" s="1"/>
  <c r="AF179" i="4" s="1"/>
  <c r="AC14" i="14"/>
  <c r="AC30" i="14"/>
  <c r="AE38" i="14"/>
  <c r="M375" i="12" s="1"/>
  <c r="AC18" i="14"/>
  <c r="AA14" i="14"/>
  <c r="AA6" i="14"/>
  <c r="Z18" i="14"/>
  <c r="AA18" i="14" s="1"/>
  <c r="I282" i="12"/>
  <c r="AC6" i="14"/>
  <c r="AA30" i="14"/>
  <c r="AC42" i="14"/>
  <c r="AE42" i="14" s="1"/>
  <c r="AA34" i="14"/>
  <c r="AE34" i="14" s="1"/>
  <c r="M372" i="12" s="1"/>
  <c r="AB22" i="14"/>
  <c r="AC22" i="14" s="1"/>
  <c r="AE22" i="14" s="1"/>
  <c r="M363" i="12" s="1"/>
  <c r="AG31" i="17"/>
  <c r="X46" i="15"/>
  <c r="M684" i="12" s="1"/>
  <c r="X50" i="15"/>
  <c r="M689" i="12" s="1"/>
  <c r="X6" i="15"/>
  <c r="T45" i="12" s="1"/>
  <c r="W645" i="12" s="1"/>
  <c r="W655" i="12" s="1"/>
  <c r="AE151" i="4" s="1"/>
  <c r="AC26" i="14"/>
  <c r="X30" i="15"/>
  <c r="M664" i="12" s="1"/>
  <c r="X42" i="15"/>
  <c r="M679" i="12" s="1"/>
  <c r="X34" i="15"/>
  <c r="M668" i="12" s="1"/>
  <c r="X38" i="15"/>
  <c r="M672" i="12" s="1"/>
  <c r="AG6" i="17"/>
  <c r="P45" i="12" s="1"/>
  <c r="W594" i="12" s="1"/>
  <c r="W604" i="12" s="1"/>
  <c r="AH287" i="4" s="1"/>
  <c r="AA26" i="14"/>
  <c r="X14" i="15"/>
  <c r="T28" i="12"/>
  <c r="W334" i="12" s="1"/>
  <c r="I45" i="12"/>
  <c r="W534" i="12" s="1"/>
  <c r="W544" i="12" s="1"/>
  <c r="AH232" i="4" s="1"/>
  <c r="X10" i="15"/>
  <c r="X18" i="15"/>
  <c r="X26" i="15"/>
  <c r="H42" i="15"/>
  <c r="H43" i="15"/>
  <c r="D42" i="15"/>
  <c r="D43" i="15"/>
  <c r="C42" i="15"/>
  <c r="D28" i="12"/>
  <c r="X90" i="12" s="1"/>
  <c r="X100" i="12" s="1"/>
  <c r="AC32" i="4" l="1"/>
  <c r="AD32" i="4"/>
  <c r="A32" i="4" s="1"/>
  <c r="A232" i="4"/>
  <c r="A206" i="4"/>
  <c r="A205" i="4"/>
  <c r="A204" i="4"/>
  <c r="A179" i="4"/>
  <c r="A151" i="4"/>
  <c r="A92" i="4"/>
  <c r="A93" i="4"/>
  <c r="A60" i="4"/>
  <c r="A59" i="4"/>
  <c r="A91" i="4"/>
  <c r="I616" i="12"/>
  <c r="I618" i="12" s="1"/>
  <c r="I624" i="12" s="1"/>
  <c r="P3" i="12" s="1"/>
  <c r="A287" i="4"/>
  <c r="I118" i="12"/>
  <c r="I120" i="12" s="1"/>
  <c r="I126" i="12" s="1"/>
  <c r="I130" i="12" s="1"/>
  <c r="D2" i="12" s="1"/>
  <c r="I284" i="12"/>
  <c r="J286" i="12"/>
  <c r="I691" i="12"/>
  <c r="T3" i="12" s="1"/>
  <c r="AE30" i="14"/>
  <c r="AE18" i="14"/>
  <c r="W343" i="12"/>
  <c r="AK259" i="4" s="1"/>
  <c r="AG18" i="13"/>
  <c r="I200" i="12"/>
  <c r="J204" i="12" s="1"/>
  <c r="AE14" i="14"/>
  <c r="AE6" i="14"/>
  <c r="I556" i="12"/>
  <c r="I558" i="12" s="1"/>
  <c r="I564" i="12" s="1"/>
  <c r="I3" i="12" s="1"/>
  <c r="AE26" i="14"/>
  <c r="M366" i="12" s="1"/>
  <c r="AG38" i="14"/>
  <c r="AG22" i="14"/>
  <c r="AG10" i="14"/>
  <c r="AG34" i="14"/>
  <c r="A259" i="4" l="1"/>
  <c r="A230" i="4"/>
  <c r="A229" i="4"/>
  <c r="A231" i="4"/>
  <c r="A177" i="4"/>
  <c r="A178" i="4"/>
  <c r="A164" i="4"/>
  <c r="A149" i="4"/>
  <c r="A150" i="4"/>
  <c r="A286" i="4"/>
  <c r="A284" i="4"/>
  <c r="A285" i="4"/>
  <c r="I290" i="12"/>
  <c r="I294" i="12" s="1"/>
  <c r="P2" i="12" s="1"/>
  <c r="M357" i="12"/>
  <c r="AG14" i="14" s="1"/>
  <c r="M360" i="12"/>
  <c r="AG18" i="14" s="1"/>
  <c r="M351" i="12"/>
  <c r="M369" i="12"/>
  <c r="AG30" i="14" s="1"/>
  <c r="I202" i="12"/>
  <c r="AG26" i="14"/>
  <c r="A31" i="4"/>
  <c r="A30" i="4"/>
  <c r="A258" i="4" l="1"/>
  <c r="A257" i="4"/>
  <c r="A256" i="4"/>
  <c r="AG6" i="14"/>
  <c r="M378" i="12" s="1"/>
  <c r="I380" i="12" s="1"/>
  <c r="T2" i="12" s="1"/>
  <c r="I208" i="12"/>
  <c r="I212" i="12" s="1"/>
  <c r="I2" i="12" s="1"/>
  <c r="D5" i="12"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WebQueryResult" type="4" refreshedVersion="0" background="1">
    <webPr xml="1" sourceData="1" url="C:\Temp\WebQueryResult.xml" htmlTables="1" htmlFormat="all"/>
  </connection>
  <connection id="2" xr16:uid="{00000000-0015-0000-FFFF-FFFF01000000}" name="WebQueryResult1" type="4" refreshedVersion="0" background="1">
    <webPr xml="1" sourceData="1" url="C:\Temp\WebQueryResult.xml" htmlTables="1" htmlFormat="all"/>
  </connection>
</connections>
</file>

<file path=xl/sharedStrings.xml><?xml version="1.0" encoding="utf-8"?>
<sst xmlns="http://schemas.openxmlformats.org/spreadsheetml/2006/main" count="31212" uniqueCount="7135">
  <si>
    <t>Applicant Information</t>
  </si>
  <si>
    <t>Named Insured:</t>
  </si>
  <si>
    <t>Address 1:</t>
  </si>
  <si>
    <t/>
  </si>
  <si>
    <t>Address 2:</t>
  </si>
  <si>
    <t>City:</t>
  </si>
  <si>
    <t>State:</t>
  </si>
  <si>
    <t>Postal Code:</t>
  </si>
  <si>
    <t xml:space="preserve"> </t>
  </si>
  <si>
    <t>Effective Date:</t>
  </si>
  <si>
    <t>Expiration Date:</t>
  </si>
  <si>
    <t>Broker Information</t>
  </si>
  <si>
    <t>Contact Name:</t>
  </si>
  <si>
    <t>Brokerage Name:</t>
  </si>
  <si>
    <t>Phone:</t>
  </si>
  <si>
    <t>Email:</t>
  </si>
  <si>
    <t>Underwriter Information</t>
  </si>
  <si>
    <t>Underwriter Name:</t>
  </si>
  <si>
    <t>Title:</t>
  </si>
  <si>
    <t>Submssion Information</t>
  </si>
  <si>
    <t>New or Renewal:</t>
  </si>
  <si>
    <t>Submission Number:</t>
  </si>
  <si>
    <t>Policy Number:</t>
  </si>
  <si>
    <t>Issuing Company:</t>
  </si>
  <si>
    <t>MaxOfVersion No</t>
  </si>
  <si>
    <t>Submission No</t>
  </si>
  <si>
    <t>SubmissionNbr</t>
  </si>
  <si>
    <t>SubmissionVersionNbr</t>
  </si>
  <si>
    <t>Sub Number</t>
  </si>
  <si>
    <t>DistributionChannelDesc</t>
  </si>
  <si>
    <t>BusinessSegmentDesc</t>
  </si>
  <si>
    <t>MarketSegmentDesc</t>
  </si>
  <si>
    <t>BranchOfficeName</t>
  </si>
  <si>
    <t>SubmissionStatusDesc</t>
  </si>
  <si>
    <t>PredominantStateCd</t>
  </si>
  <si>
    <t>PredominantStateName</t>
  </si>
  <si>
    <t>SubmittedLOBDesc</t>
  </si>
  <si>
    <t>Policy #</t>
  </si>
  <si>
    <t>AccountNbr</t>
  </si>
  <si>
    <t>AccountVersionNbr</t>
  </si>
  <si>
    <t>Account</t>
  </si>
  <si>
    <t>Prior Policy #</t>
  </si>
  <si>
    <t>BranchOfficeCd</t>
  </si>
  <si>
    <t>FEINNbr2</t>
  </si>
  <si>
    <t>ProducerOfficeCd</t>
  </si>
  <si>
    <t>WINSAgentCd</t>
  </si>
  <si>
    <t>PolicyNbr</t>
  </si>
  <si>
    <t>PolicyVersionNbr</t>
  </si>
  <si>
    <t>BillTypeDesc</t>
  </si>
  <si>
    <t>ProducerAddressLine1</t>
  </si>
  <si>
    <t>ProducerAddressLine2</t>
  </si>
  <si>
    <t>ProducerAddressLine3</t>
  </si>
  <si>
    <t>ProducerAddressCity</t>
  </si>
  <si>
    <t>ProducerStateCd</t>
  </si>
  <si>
    <t>ProducerZipCd</t>
  </si>
  <si>
    <t>EverestExpiringPolicyNbr</t>
  </si>
  <si>
    <t>EverestExpiringPolicyVersionNbr</t>
  </si>
  <si>
    <t>Underwriter Assistant Name:</t>
  </si>
  <si>
    <t>NAICS Code:</t>
  </si>
  <si>
    <t>NAICS Desc:</t>
  </si>
  <si>
    <t>SIC Code:</t>
  </si>
  <si>
    <t>SIC Desc:</t>
  </si>
  <si>
    <t>Commission %:</t>
  </si>
  <si>
    <t>Coding Template</t>
  </si>
  <si>
    <t>Policy Information 1</t>
  </si>
  <si>
    <t>Policy Information 2</t>
  </si>
  <si>
    <t>Location Information</t>
  </si>
  <si>
    <t xml:space="preserve">Previous Policy #: </t>
  </si>
  <si>
    <t>Ma</t>
  </si>
  <si>
    <t xml:space="preserve">Policy #: </t>
  </si>
  <si>
    <t>Business Segment:</t>
  </si>
  <si>
    <t>Payment Plan:</t>
  </si>
  <si>
    <t>Location #:</t>
  </si>
  <si>
    <t>Eff Date:</t>
  </si>
  <si>
    <t>Product:</t>
  </si>
  <si>
    <t>Address:</t>
  </si>
  <si>
    <t>Company:</t>
  </si>
  <si>
    <t>Claims Made/Occurrence:</t>
  </si>
  <si>
    <t>City, State</t>
  </si>
  <si>
    <t>Agent Code:</t>
  </si>
  <si>
    <t>Retro Date:</t>
  </si>
  <si>
    <t>Zip code</t>
  </si>
  <si>
    <t>Insured Name:</t>
  </si>
  <si>
    <t>Transaction Type:</t>
  </si>
  <si>
    <t>Tail Date:</t>
  </si>
  <si>
    <t>Bill Type:</t>
  </si>
  <si>
    <t>NYFTZ Class:</t>
  </si>
  <si>
    <t>Audit:</t>
  </si>
  <si>
    <t>NYFTZ Code:</t>
  </si>
  <si>
    <t>Audit Frequency:</t>
  </si>
  <si>
    <t>Branch Code and Name:</t>
  </si>
  <si>
    <t>Exp Date:</t>
  </si>
  <si>
    <t>Market Segment:</t>
  </si>
  <si>
    <t>Insured Type:</t>
  </si>
  <si>
    <t>FEIN:</t>
  </si>
  <si>
    <t>Policy Premium:</t>
  </si>
  <si>
    <t>Underwriter:</t>
  </si>
  <si>
    <t>Country:</t>
  </si>
  <si>
    <t>Currency:</t>
  </si>
  <si>
    <t>Layer Type:</t>
  </si>
  <si>
    <t>Coverage Part</t>
  </si>
  <si>
    <t>Limit Type</t>
  </si>
  <si>
    <t>Description</t>
  </si>
  <si>
    <t>Claims Made/Occurrence</t>
  </si>
  <si>
    <t>Retro Date</t>
  </si>
  <si>
    <t>Tail Date</t>
  </si>
  <si>
    <t>Eroding Limit</t>
  </si>
  <si>
    <t>Per Claim Limit</t>
  </si>
  <si>
    <t>Per Claim Deductible</t>
  </si>
  <si>
    <t>Per Claim SIR</t>
  </si>
  <si>
    <t>Per Occurrence Limit</t>
  </si>
  <si>
    <t>Per Occurrence Deductible</t>
  </si>
  <si>
    <t>Per Occurrence SIR</t>
  </si>
  <si>
    <t>Aggregate Limit</t>
  </si>
  <si>
    <t>Aggregate Deductible</t>
  </si>
  <si>
    <t>Aggregate SIR</t>
  </si>
  <si>
    <t xml:space="preserve">Part of </t>
  </si>
  <si>
    <t>Attachment Point</t>
  </si>
  <si>
    <t>Coinsurance %</t>
  </si>
  <si>
    <t>Defense Included in Claim Limit</t>
  </si>
  <si>
    <t>Defense Included in Occurrence Limit</t>
  </si>
  <si>
    <t>Defense Included in Aggregate Limit</t>
  </si>
  <si>
    <t>Defense Included in Deductible</t>
  </si>
  <si>
    <t>Defense Included in SIR</t>
  </si>
  <si>
    <t>Premium Information</t>
  </si>
  <si>
    <t>Internal Coverage Code</t>
  </si>
  <si>
    <t>Aslob / Subline</t>
  </si>
  <si>
    <t>Class Code</t>
  </si>
  <si>
    <t>Policy Type</t>
  </si>
  <si>
    <t>Coverage Code</t>
  </si>
  <si>
    <t>Limit ID</t>
  </si>
  <si>
    <t>Rate ID</t>
  </si>
  <si>
    <t>Limit Code</t>
  </si>
  <si>
    <t>Terrorism</t>
  </si>
  <si>
    <t>State Exception Code</t>
  </si>
  <si>
    <t>Deductible Amount</t>
  </si>
  <si>
    <t>Claim Limit Amount</t>
  </si>
  <si>
    <t>Occur Limit Amount</t>
  </si>
  <si>
    <t>Mold</t>
  </si>
  <si>
    <t>Exposure</t>
  </si>
  <si>
    <t>Rate Mod</t>
  </si>
  <si>
    <t>Rate Departure</t>
  </si>
  <si>
    <t>Risk ID</t>
  </si>
  <si>
    <t>Commission</t>
  </si>
  <si>
    <t>Prorate Premium</t>
  </si>
  <si>
    <t>Original Premium</t>
  </si>
  <si>
    <t>Form Code</t>
  </si>
  <si>
    <t>Amount of Insurance</t>
  </si>
  <si>
    <t>Number of Premises</t>
  </si>
  <si>
    <t>Total Number of Employees</t>
  </si>
  <si>
    <t>Number of Ratable Employees</t>
  </si>
  <si>
    <t>Pricing Information</t>
  </si>
  <si>
    <t>Exposure Amount</t>
  </si>
  <si>
    <t>Exposure Base</t>
  </si>
  <si>
    <t>Level</t>
  </si>
  <si>
    <t>Code</t>
  </si>
  <si>
    <t>Factor</t>
  </si>
  <si>
    <t>Amount</t>
  </si>
  <si>
    <t>Insured Annual Revenue</t>
  </si>
  <si>
    <t>Number of Employees</t>
  </si>
  <si>
    <t>Schedule Mod</t>
  </si>
  <si>
    <t>Previous Policy Number:</t>
  </si>
  <si>
    <t>='WINS Coding'!$C$12</t>
  </si>
  <si>
    <t>='WINS Coding'!$C$10</t>
  </si>
  <si>
    <t>='WINS Coding'!$I$14</t>
  </si>
  <si>
    <t>='WINS Coding'!$E$7</t>
  </si>
  <si>
    <t>='WINS Coding'!$C$9</t>
  </si>
  <si>
    <t>='WINS Coding'!$E$10</t>
  </si>
  <si>
    <t>='WINS Coding'!$C$13</t>
  </si>
  <si>
    <t>='WINS Coding'!$C$8</t>
  </si>
  <si>
    <t>='WINS Coding'!$C$15</t>
  </si>
  <si>
    <t>='WINS Coding'!$C$11</t>
  </si>
  <si>
    <t>='WINS Coding'!$I$15</t>
  </si>
  <si>
    <t>='WINS Coding'!$E$8</t>
  </si>
  <si>
    <t>=Information!$B$33</t>
  </si>
  <si>
    <t>='WINS Coding'!$C$7</t>
  </si>
  <si>
    <t>='WINS Coding'!$C$6</t>
  </si>
  <si>
    <t>='WINS Coding'!$E$9</t>
  </si>
  <si>
    <t>='WINS Coding'!$E$11</t>
  </si>
  <si>
    <t>='WINS Coding'!$E$17</t>
  </si>
  <si>
    <t>Name</t>
  </si>
  <si>
    <t>Reference</t>
  </si>
  <si>
    <t>AddNum1</t>
  </si>
  <si>
    <t>AgtCd</t>
  </si>
  <si>
    <t>BrCdNm</t>
  </si>
  <si>
    <t>CoId</t>
  </si>
  <si>
    <t>CtyStZip</t>
  </si>
  <si>
    <t>effdt</t>
  </si>
  <si>
    <t>ExpDt</t>
  </si>
  <si>
    <t>InsNm</t>
  </si>
  <si>
    <t>MktSeg</t>
  </si>
  <si>
    <t>NAICSCd</t>
  </si>
  <si>
    <t>PolNum</t>
  </si>
  <si>
    <t>PolNumWins</t>
  </si>
  <si>
    <t>PrePolNum</t>
  </si>
  <si>
    <t>SICCd</t>
  </si>
  <si>
    <t>Trans</t>
  </si>
  <si>
    <t>Underwriter</t>
  </si>
  <si>
    <t>WINSBusSeg</t>
  </si>
  <si>
    <t>NmIns</t>
  </si>
  <si>
    <t>cty</t>
  </si>
  <si>
    <t>st</t>
  </si>
  <si>
    <t>zip</t>
  </si>
  <si>
    <t>eff</t>
  </si>
  <si>
    <t>exp</t>
  </si>
  <si>
    <t>cont</t>
  </si>
  <si>
    <t>brkerNm</t>
  </si>
  <si>
    <t>bkadd1</t>
  </si>
  <si>
    <t>bkadd2</t>
  </si>
  <si>
    <t>bkcty</t>
  </si>
  <si>
    <t>bkst</t>
  </si>
  <si>
    <t>bkzip</t>
  </si>
  <si>
    <t>bkph</t>
  </si>
  <si>
    <t>bkemail</t>
  </si>
  <si>
    <t>uw</t>
  </si>
  <si>
    <t>uwadd</t>
  </si>
  <si>
    <t>uwph</t>
  </si>
  <si>
    <t>uwemail</t>
  </si>
  <si>
    <t>uwtitle</t>
  </si>
  <si>
    <t>ua</t>
  </si>
  <si>
    <t>transtype</t>
  </si>
  <si>
    <t>sub</t>
  </si>
  <si>
    <t>pol</t>
  </si>
  <si>
    <t>prevpol</t>
  </si>
  <si>
    <t>issco</t>
  </si>
  <si>
    <t>NAIC</t>
  </si>
  <si>
    <t>NAICDesc</t>
  </si>
  <si>
    <t>SIC</t>
  </si>
  <si>
    <t>SICDESC</t>
  </si>
  <si>
    <t>Comm</t>
  </si>
  <si>
    <t>DistDesc</t>
  </si>
  <si>
    <t>BusSegDesc</t>
  </si>
  <si>
    <t>MktSegDesc</t>
  </si>
  <si>
    <t>Br</t>
  </si>
  <si>
    <t>Substat</t>
  </si>
  <si>
    <t>InfoAdd1</t>
  </si>
  <si>
    <t>InfoAdd2</t>
  </si>
  <si>
    <t>=Information!$B$14</t>
  </si>
  <si>
    <t>=Information!$B$15</t>
  </si>
  <si>
    <t>=Information!$B$16</t>
  </si>
  <si>
    <t>=Information!$B$20</t>
  </si>
  <si>
    <t>=Information!$B$19</t>
  </si>
  <si>
    <t>=Information!$B$17</t>
  </si>
  <si>
    <t>=Information!$B$18</t>
  </si>
  <si>
    <t>=Information!$B$44</t>
  </si>
  <si>
    <t>=Information!$B$13</t>
  </si>
  <si>
    <t>=Information!$B$42</t>
  </si>
  <si>
    <t>=Information!$B$40</t>
  </si>
  <si>
    <t>=Information!$B$12</t>
  </si>
  <si>
    <t>=Information!$B$5</t>
  </si>
  <si>
    <t>=Information!$B$41</t>
  </si>
  <si>
    <t>=Information!$B$8</t>
  </si>
  <si>
    <t>=Information!$B$9</t>
  </si>
  <si>
    <t>=Information!$B$3</t>
  </si>
  <si>
    <t>=Information!$B$4</t>
  </si>
  <si>
    <t>=Information!$B$35</t>
  </si>
  <si>
    <t>=Information!$B$43</t>
  </si>
  <si>
    <t>=Information!$B$36</t>
  </si>
  <si>
    <t>=Information!$B$37</t>
  </si>
  <si>
    <t>=Information!$B$2</t>
  </si>
  <si>
    <t>=Information!$B$34</t>
  </si>
  <si>
    <t>=Information!$B$38</t>
  </si>
  <si>
    <t>=Information!$B$39</t>
  </si>
  <si>
    <t>=Information!$B$6</t>
  </si>
  <si>
    <t>=Information!$B$32</t>
  </si>
  <si>
    <t>=Information!$B$45</t>
  </si>
  <si>
    <t>=Information!$B$31</t>
  </si>
  <si>
    <t>=Information!$B$29</t>
  </si>
  <si>
    <t>=Information!$B$24</t>
  </si>
  <si>
    <t>=Information!$B$25</t>
  </si>
  <si>
    <t>=Information!$B$27</t>
  </si>
  <si>
    <t>=Information!$B$26</t>
  </si>
  <si>
    <t>=Information!$B$28</t>
  </si>
  <si>
    <t>=Information!$B$7</t>
  </si>
  <si>
    <t>MarketSegmentCd</t>
  </si>
  <si>
    <t>BusinessSegmentCd</t>
  </si>
  <si>
    <t>DistributionChannelCd</t>
  </si>
  <si>
    <t>CompanyCd</t>
  </si>
  <si>
    <t>PDQuoteNbr</t>
  </si>
  <si>
    <t>PaymentPlanDesc</t>
  </si>
  <si>
    <t xml:space="preserve">Everest Specialty Underwriters, LLC                                                                                                                                                                                                                                 </t>
  </si>
  <si>
    <t>Please select a Product</t>
  </si>
  <si>
    <t>Combined Aggregate Liability Limit</t>
  </si>
  <si>
    <t>Coverage</t>
  </si>
  <si>
    <t>Shared</t>
  </si>
  <si>
    <t>Limit</t>
  </si>
  <si>
    <t>Shared Limits</t>
  </si>
  <si>
    <t>Unshared Limits</t>
  </si>
  <si>
    <t>Policy Information</t>
  </si>
  <si>
    <t>D&amp;O</t>
  </si>
  <si>
    <t>Range State</t>
  </si>
  <si>
    <t>Policy Number</t>
  </si>
  <si>
    <t>Previous Pol #</t>
  </si>
  <si>
    <t>EPL</t>
  </si>
  <si>
    <t>Flat Rate State</t>
  </si>
  <si>
    <t>FDU</t>
  </si>
  <si>
    <t>Effective Date</t>
  </si>
  <si>
    <t>Expiration Date</t>
  </si>
  <si>
    <t>Crime</t>
  </si>
  <si>
    <t>Everest Expedition Private Company</t>
  </si>
  <si>
    <t>Cyber</t>
  </si>
  <si>
    <t>Everest Cyber Elevation</t>
  </si>
  <si>
    <t>Lawyers</t>
  </si>
  <si>
    <t>MPL</t>
  </si>
  <si>
    <t>Required Insured Information</t>
  </si>
  <si>
    <t>K&amp;R</t>
  </si>
  <si>
    <t>Named Insured</t>
  </si>
  <si>
    <t>Liability Cov Total</t>
  </si>
  <si>
    <t xml:space="preserve"> Address</t>
  </si>
  <si>
    <t>Street</t>
  </si>
  <si>
    <t>City</t>
  </si>
  <si>
    <t>State</t>
  </si>
  <si>
    <t>Zip Code</t>
  </si>
  <si>
    <t>Market Segment</t>
  </si>
  <si>
    <t>NAICS Code</t>
  </si>
  <si>
    <t>Coverages</t>
  </si>
  <si>
    <t>D&amp;O Total</t>
  </si>
  <si>
    <t>EPL Total</t>
  </si>
  <si>
    <t>Fiduciary Total</t>
  </si>
  <si>
    <t>Crime Total</t>
  </si>
  <si>
    <t>Cyber Total</t>
  </si>
  <si>
    <t>Lawyers Total</t>
  </si>
  <si>
    <t>MPL Total</t>
  </si>
  <si>
    <t>K&amp;R Total</t>
  </si>
  <si>
    <t>Policy Total</t>
  </si>
  <si>
    <t>Combined Aggregate Limit</t>
  </si>
  <si>
    <t>Directors &amp; Officers</t>
  </si>
  <si>
    <t>Employment Practices Liability</t>
  </si>
  <si>
    <t>Fiduciary Liability</t>
  </si>
  <si>
    <t>D&amp;O Base Premium</t>
  </si>
  <si>
    <t>Assets</t>
  </si>
  <si>
    <t>State Group 1</t>
  </si>
  <si>
    <t>State Group 2</t>
  </si>
  <si>
    <t>State Group 3</t>
  </si>
  <si>
    <t>Total ratable ees</t>
  </si>
  <si>
    <t>Employees</t>
  </si>
  <si>
    <t>CA (Class 3)</t>
  </si>
  <si>
    <t>NJ (Class 3)</t>
  </si>
  <si>
    <t>Class 2</t>
  </si>
  <si>
    <t>Class 1</t>
  </si>
  <si>
    <t>Total</t>
  </si>
  <si>
    <t>High Assets</t>
  </si>
  <si>
    <t>Corporate Assets</t>
  </si>
  <si>
    <t>US Union Employees (All)</t>
  </si>
  <si>
    <t>Plan Assets</t>
  </si>
  <si>
    <t>Revenue</t>
  </si>
  <si>
    <t>High Group 1</t>
  </si>
  <si>
    <t>High Group 2</t>
  </si>
  <si>
    <t>High Group 3</t>
  </si>
  <si>
    <t>High Employees</t>
  </si>
  <si>
    <t>US Non-Union (Full Time)</t>
  </si>
  <si>
    <t>High BP</t>
  </si>
  <si>
    <t>Low Assets</t>
  </si>
  <si>
    <t>Subtotal of US Employees</t>
  </si>
  <si>
    <t>Class 3</t>
  </si>
  <si>
    <t xml:space="preserve">Low Group 1 </t>
  </si>
  <si>
    <t>Low Group 2</t>
  </si>
  <si>
    <t>Low Group 3</t>
  </si>
  <si>
    <t>Low Employees</t>
  </si>
  <si>
    <t>Low BP</t>
  </si>
  <si>
    <t>Foreign Employees(All)</t>
  </si>
  <si>
    <r>
      <rPr>
        <b/>
        <sz val="11"/>
        <color theme="1"/>
        <rFont val="Calibri"/>
        <family val="2"/>
        <scheme val="minor"/>
      </rPr>
      <t xml:space="preserve">Class 2: </t>
    </r>
    <r>
      <rPr>
        <sz val="11"/>
        <color theme="1"/>
        <rFont val="Calibri"/>
        <family val="2"/>
        <scheme val="minor"/>
      </rPr>
      <t>AK, AL, CO, CT, FL, GA, HI, IA, IL, KS, LA, MA, MI, MN, MO, NE, NV, NY, OR, PA, TX, WA, WY, DC</t>
    </r>
  </si>
  <si>
    <t>Interpolated BP</t>
  </si>
  <si>
    <t>Total Employees Companywide</t>
  </si>
  <si>
    <t>Base Premium</t>
  </si>
  <si>
    <r>
      <rPr>
        <b/>
        <sz val="11"/>
        <color theme="1"/>
        <rFont val="Calibri"/>
        <family val="2"/>
        <scheme val="minor"/>
      </rPr>
      <t>Class 1:</t>
    </r>
    <r>
      <rPr>
        <sz val="11"/>
        <color theme="1"/>
        <rFont val="Calibri"/>
        <family val="2"/>
        <scheme val="minor"/>
      </rPr>
      <t xml:space="preserve"> All Other</t>
    </r>
  </si>
  <si>
    <t>Retention</t>
  </si>
  <si>
    <t>Deductible</t>
  </si>
  <si>
    <t>Premium at Limit/Retention</t>
  </si>
  <si>
    <t>Employed Lawyers Professional Liability</t>
  </si>
  <si>
    <t>Miscellaneous PL</t>
  </si>
  <si>
    <t>Kidnap &amp; Ransom</t>
  </si>
  <si>
    <t>Hazard 1</t>
  </si>
  <si>
    <t>Hazard 2</t>
  </si>
  <si>
    <t>Hazard</t>
  </si>
  <si>
    <t>Hazard 3</t>
  </si>
  <si>
    <t>Hazard 4</t>
  </si>
  <si>
    <t>Comments</t>
  </si>
  <si>
    <t>Shared Limit Credit</t>
  </si>
  <si>
    <t>Directors &amp; Officers Discretionary Factors</t>
  </si>
  <si>
    <t>2.1 Nature of Operations</t>
  </si>
  <si>
    <t>2.2 Number of Years in Business</t>
  </si>
  <si>
    <t>2.3 Number of Subsidiaries</t>
  </si>
  <si>
    <t>2.4 Merger, Acquisition, or Divestiture Activity</t>
  </si>
  <si>
    <t>2.5 Management Ownership</t>
  </si>
  <si>
    <t>2.6 Securities Offering Activity</t>
  </si>
  <si>
    <t>2.7 Litigation History</t>
  </si>
  <si>
    <t>2.8 Significant Transaction or Event</t>
  </si>
  <si>
    <t>2.9 Management Stability</t>
  </si>
  <si>
    <t>2.10 Quality of Balance Sheet</t>
  </si>
  <si>
    <t>2.11 Quality of Income Statement</t>
  </si>
  <si>
    <t>D&amp;O Subtotal with Discretionary Rating Factors</t>
  </si>
  <si>
    <t>Directors &amp; Officers Schedule Rating</t>
  </si>
  <si>
    <t>Strength of Corporate Governance</t>
  </si>
  <si>
    <t>Loss Experience</t>
  </si>
  <si>
    <t>Overall Financial Liquidity</t>
  </si>
  <si>
    <t>Affected by Recession</t>
  </si>
  <si>
    <t>Quality of Management</t>
  </si>
  <si>
    <t>D&amp;O Subtotal with Discretionary and Schedule Rating Factors</t>
  </si>
  <si>
    <t>Directors &amp; Officers Optional Coverage Enhancements</t>
  </si>
  <si>
    <t>4.1 Duty to Defend Selection Factor</t>
  </si>
  <si>
    <t>4.2 Endorsement Factor</t>
  </si>
  <si>
    <t>4.3 Investigative Costs(select a Limit)</t>
  </si>
  <si>
    <t>Premium</t>
  </si>
  <si>
    <t>4.4 Asset Protection Costs(select a Limit)</t>
  </si>
  <si>
    <t>4.5 Public Relations Costs(select a Limit)</t>
  </si>
  <si>
    <t>D&amp;O Subtotal with Optional Coverage Enhancements</t>
  </si>
  <si>
    <t>D&amp;O Subtotal with Shared Limit Credit</t>
  </si>
  <si>
    <t>Defense Limit</t>
  </si>
  <si>
    <t>Separate Defense Cost Limit</t>
  </si>
  <si>
    <t>Is the Defense Cost Limit Shared?</t>
  </si>
  <si>
    <t>No</t>
  </si>
  <si>
    <t>Yes</t>
  </si>
  <si>
    <t>D&amp;O Subtotal with Defense Cost Limit(and applicable shared credits)</t>
  </si>
  <si>
    <t>Additional Side A Limit</t>
  </si>
  <si>
    <t>2.1 Riskiness of Countires Traveled to</t>
  </si>
  <si>
    <t>Final D&amp;O Premium</t>
  </si>
  <si>
    <t>Low Risk</t>
  </si>
  <si>
    <t>Average Risk</t>
  </si>
  <si>
    <t>Employment Practices Liability Discretionary Factors</t>
  </si>
  <si>
    <t>Moderate Risk</t>
  </si>
  <si>
    <t>2.1 Hazard County Locations</t>
  </si>
  <si>
    <t>High Risk</t>
  </si>
  <si>
    <t>2.1 Hazard County</t>
  </si>
  <si>
    <t>2.2 Frequency of Travel</t>
  </si>
  <si>
    <t>Low Frequency</t>
  </si>
  <si>
    <t>2.2 Nature of Operations</t>
  </si>
  <si>
    <t>Average Frequency</t>
  </si>
  <si>
    <t>Moderate Frequency</t>
  </si>
  <si>
    <t>High Frequency</t>
  </si>
  <si>
    <t>2.3 Number of Years in Business</t>
  </si>
  <si>
    <t>2.3 Security Measures in Foreign Countries</t>
  </si>
  <si>
    <t>Greater than or equal to 3 Years</t>
  </si>
  <si>
    <t>Low RIsk</t>
  </si>
  <si>
    <t>Greater than or equal to 3 years</t>
  </si>
  <si>
    <t>Above Average Security</t>
  </si>
  <si>
    <t>Less than 3 Years</t>
  </si>
  <si>
    <t>Less than 3 years</t>
  </si>
  <si>
    <t>Average Security</t>
  </si>
  <si>
    <t>Below Average Security</t>
  </si>
  <si>
    <t>High RIsk</t>
  </si>
  <si>
    <t>Poor Security</t>
  </si>
  <si>
    <t>2.5 Past or Contemplated Layoff or Closing Activity</t>
  </si>
  <si>
    <t>2.6 Annual Compensation of Employees</t>
  </si>
  <si>
    <t>2.7 Employee Turnover</t>
  </si>
  <si>
    <t>2.3 Plan Termination, Merging or Freezing Activity</t>
  </si>
  <si>
    <t>2.4 Industry Group</t>
  </si>
  <si>
    <t>Less than or equal to 3</t>
  </si>
  <si>
    <t>Greater than or equal to 3 Years (0.8 - 1) (0.9)</t>
  </si>
  <si>
    <t>Greater than 3</t>
  </si>
  <si>
    <t>Less than 3 Years (1.01 - 1.3) (1.16)</t>
  </si>
  <si>
    <t>2.8 Litigation History</t>
  </si>
  <si>
    <t>2.4 Merger, Acquisition, or Divestiture</t>
  </si>
  <si>
    <t>2.5 Travel Advisory Policy</t>
  </si>
  <si>
    <t>2.9 Significant Transaction or Event</t>
  </si>
  <si>
    <t>Above Average Policies</t>
  </si>
  <si>
    <t>Average Policies</t>
  </si>
  <si>
    <t>Below Average Policies</t>
  </si>
  <si>
    <t>2.10 Management Stability</t>
  </si>
  <si>
    <t>Poor Policies</t>
  </si>
  <si>
    <t>2.4 Plan Type</t>
  </si>
  <si>
    <t>2.6 Product Exposure</t>
  </si>
  <si>
    <t>Greater than 50%</t>
  </si>
  <si>
    <t>Plans do not include a Defined Benefit Plan</t>
  </si>
  <si>
    <t>2.11 Human Resources, Policies, and Procedures</t>
  </si>
  <si>
    <t>Less than or equal to 50%</t>
  </si>
  <si>
    <t>Plans include an adequately funded Defined Benefit Plan</t>
  </si>
  <si>
    <t>Plans include an deficiently  funded Defined Benefit Plan</t>
  </si>
  <si>
    <t>EPL Subtotal with Discretionary Factors</t>
  </si>
  <si>
    <t>Employment Practices Liability Schedule Rating</t>
  </si>
  <si>
    <t>EPL Subtotal with Discretionary and Schedule Rating Factors</t>
  </si>
  <si>
    <t>Employment Practices Liability Coverage Enhancements</t>
  </si>
  <si>
    <t>2.5 Employee Stock Ownership Plan</t>
  </si>
  <si>
    <t>4.1 Duty to Defend</t>
  </si>
  <si>
    <t>No Employee Stock Ownership Plan or Low Risk</t>
  </si>
  <si>
    <t>4.2 Third Party Liability Coverage Deleted</t>
  </si>
  <si>
    <t>2.6 Funding Status of Defined Benefit Plans</t>
  </si>
  <si>
    <t>Low % earning over EPL retenton</t>
  </si>
  <si>
    <t>No Defined Benefit Plans or Low Risk</t>
  </si>
  <si>
    <t>4.3 Third Party Exposure</t>
  </si>
  <si>
    <t>Moderate % earning over EPL retention</t>
  </si>
  <si>
    <t>High % earning over EPL retention</t>
  </si>
  <si>
    <t>4.4 Endorsement Factor</t>
  </si>
  <si>
    <t>2.7 Plan Participants</t>
  </si>
  <si>
    <t>Less than or equal to 500</t>
  </si>
  <si>
    <t>4.5 Wage and Hour Defense Cost Sublimit</t>
  </si>
  <si>
    <t>Averge Risk</t>
  </si>
  <si>
    <t>501-999</t>
  </si>
  <si>
    <t>&gt;=1,000</t>
  </si>
  <si>
    <t>4.6 Workplace Violence Expenses(select a limit)</t>
  </si>
  <si>
    <t>2.8 Litigation Hisotory</t>
  </si>
  <si>
    <t>Low Turnover</t>
  </si>
  <si>
    <t>Average Turnover</t>
  </si>
  <si>
    <t>4.7 EPL Crisis Expenses(select a limit)</t>
  </si>
  <si>
    <t>Moderate Turnover</t>
  </si>
  <si>
    <t>High Turnover</t>
  </si>
  <si>
    <t>EPL Subtotal with Optional Coverage Enhancements</t>
  </si>
  <si>
    <t>Strong</t>
  </si>
  <si>
    <t>Above Average</t>
  </si>
  <si>
    <t>EPL Subtotal with Shared Limit Credit</t>
  </si>
  <si>
    <t>Average</t>
  </si>
  <si>
    <t>Below Aveage</t>
  </si>
  <si>
    <t>Poor</t>
  </si>
  <si>
    <t>EPL Subtotal with Defense Cost Limit(and applicable shared credits)</t>
  </si>
  <si>
    <t>Additional Claim Expenses Limit</t>
  </si>
  <si>
    <t>Final EPL Premium</t>
  </si>
  <si>
    <t>Fiduciary Liability Discretionary Factors</t>
  </si>
  <si>
    <t>2.10 Quality and Diversity of Plan Investments</t>
  </si>
  <si>
    <t>Below Average</t>
  </si>
  <si>
    <t>2.12 Quality of Statement of Cast Flows</t>
  </si>
  <si>
    <t>2.3 Plan Termination, Merging, or Freezing Activity</t>
  </si>
  <si>
    <t>Fiduciary Subtotal with Discretionary Factors</t>
  </si>
  <si>
    <t>Fiduciary Liability Schedule Rating</t>
  </si>
  <si>
    <t>Fiduciary Subtotal with Discretionary and Schedule Rating Factors</t>
  </si>
  <si>
    <t>Fiduciary Liability Coverage Enhancements</t>
  </si>
  <si>
    <t>4.3 Voluntary Compliance Program Costs(select a limit)</t>
  </si>
  <si>
    <t>Non-Duty to Defend</t>
  </si>
  <si>
    <t>Duty to Defend</t>
  </si>
  <si>
    <t>Optional Duty to Defend</t>
  </si>
  <si>
    <t>4.4 Penalties for Violations of HIPAA(select a limit)</t>
  </si>
  <si>
    <t>4.2 Third Party Liability Coverage Deleted Factor</t>
  </si>
  <si>
    <t>Insuring Agreement B Third Party Liability is removed</t>
  </si>
  <si>
    <t>No Restrictive or Expansive Endorsement(s)</t>
  </si>
  <si>
    <t>Insuring Agreement B Third Party Liability is not removed</t>
  </si>
  <si>
    <t>Restrictive Endorsement(s)</t>
  </si>
  <si>
    <t>4.5 Penalties under Section 502© of ERISA(select a limit)</t>
  </si>
  <si>
    <t>Expansive Endorsement(s)</t>
  </si>
  <si>
    <t>Very Restrictive Endorsement(s)</t>
  </si>
  <si>
    <t>4.3 Third Party Exposure Factor</t>
  </si>
  <si>
    <t>Very Expansive Endorsemet(s)</t>
  </si>
  <si>
    <t>4.6 Penalties under the Pension Protection Act of 2006(select a limit)</t>
  </si>
  <si>
    <t>4.3 Voluntary Compliance Program Costs</t>
  </si>
  <si>
    <t>4.7 Penalties under the Affordable Care Act(select a limit)</t>
  </si>
  <si>
    <t>Very Restrictive Endorsemet(s)</t>
  </si>
  <si>
    <t>High Limit</t>
  </si>
  <si>
    <t>Very Expansive Endorsement(s)</t>
  </si>
  <si>
    <t>Third Part Liability Coverage is removed</t>
  </si>
  <si>
    <t>High Premium</t>
  </si>
  <si>
    <t>4.8 Penalty under IRC Section 4975(select a limit)</t>
  </si>
  <si>
    <t>4.3 Investigative Costs</t>
  </si>
  <si>
    <t>Low Limit</t>
  </si>
  <si>
    <t>Fiduciary Subtotal with Optional Coverage Enhancements</t>
  </si>
  <si>
    <t>Low Premium</t>
  </si>
  <si>
    <t>Fiduciary Subtotal with Shared Limit Credit</t>
  </si>
  <si>
    <t>Interpolated Premium</t>
  </si>
  <si>
    <t>4.4 Penalties for Violations of HIPAA</t>
  </si>
  <si>
    <t>4.5 Wage and Hour Defense Costs Factor</t>
  </si>
  <si>
    <t>Low</t>
  </si>
  <si>
    <t>Medium</t>
  </si>
  <si>
    <t>High</t>
  </si>
  <si>
    <t>4.4 Asset Production Costs</t>
  </si>
  <si>
    <t>Fiduciary Subtotal with Defense Cost Limit(and applicable shared credits)</t>
  </si>
  <si>
    <t>Final Fiduciary Premium</t>
  </si>
  <si>
    <t>Crime Discretionary Factors</t>
  </si>
  <si>
    <t>4.6 Workplace Violence Expenses</t>
  </si>
  <si>
    <t>4.5 PR Costs</t>
  </si>
  <si>
    <t>2.2 Profile of Workplace</t>
  </si>
  <si>
    <t>4.5 Penalties under Section 502© of ERISA</t>
  </si>
  <si>
    <t>2.3 Organizational Complexity</t>
  </si>
  <si>
    <t>4.7 EPL Crisis Expenses</t>
  </si>
  <si>
    <t>2.4 Foreign Location Exposure</t>
  </si>
  <si>
    <t>4.6 Additional Side A Limit</t>
  </si>
  <si>
    <t>2.5 High Value Processing Materials</t>
  </si>
  <si>
    <t>2.6 Audit Functions</t>
  </si>
  <si>
    <t>4.8 Additional Claim Expenses Limit</t>
  </si>
  <si>
    <t>4.6 Penalties under the Pension Protection Act of 2006</t>
  </si>
  <si>
    <t>2.7 Internal Controls</t>
  </si>
  <si>
    <t>2.8 Pre-Employment Screening</t>
  </si>
  <si>
    <t>2.9 Inventory Management</t>
  </si>
  <si>
    <t>2.10 Vendor Management Guidelines</t>
  </si>
  <si>
    <t>4.1 Endorsement Factor</t>
  </si>
  <si>
    <t>2.11 Number of Years in Business</t>
  </si>
  <si>
    <t>Below Average Risk</t>
  </si>
  <si>
    <t>4.7 Penalties under the Affordable Care Act</t>
  </si>
  <si>
    <t>Above Average Risk</t>
  </si>
  <si>
    <t>2.12 Merger and Acquisition Activity</t>
  </si>
  <si>
    <t>4.2 Premises Coverage</t>
  </si>
  <si>
    <t>Crime Subtotal with Discretionary Factors</t>
  </si>
  <si>
    <t>Crime Schedule Rating</t>
  </si>
  <si>
    <t>4.3 In Transit Coverage</t>
  </si>
  <si>
    <t>4.8 Penalty under IRC Section 4975</t>
  </si>
  <si>
    <t>4.9 Client Coverage</t>
  </si>
  <si>
    <t>Crime Subtotal with Discretionary and Schedule Rating Factors</t>
  </si>
  <si>
    <t>Moderate</t>
  </si>
  <si>
    <t>Crime Coverage Enhancements</t>
  </si>
  <si>
    <t>Excellent</t>
  </si>
  <si>
    <t>Acceptable</t>
  </si>
  <si>
    <t>4.2 Premises Coverage(enter limit)</t>
  </si>
  <si>
    <t>Number of Locations</t>
  </si>
  <si>
    <t>Minimal</t>
  </si>
  <si>
    <t>4.3 In Transit Coverage(enter limit)</t>
  </si>
  <si>
    <t>4.4 Forgery Coverage(enter limit)</t>
  </si>
  <si>
    <t>4.9 Additional Claim Expenses</t>
  </si>
  <si>
    <t>4.5 Computer Fraud Coverage(enter limit)</t>
  </si>
  <si>
    <t>4.6 Funds Transfer Fraud Coverage(enter limit)</t>
  </si>
  <si>
    <t>2.10 Vendor Mgmt Guidelines</t>
  </si>
  <si>
    <t>4.7 Money Orders and Counterfeit Curency Fraud Coverage(enter limit)</t>
  </si>
  <si>
    <t>4.8 Credit Card Fraud Coverage(enter limit)</t>
  </si>
  <si>
    <t>4.9 Client Coverage(enter limit)</t>
  </si>
  <si>
    <t>Third Party Exposure</t>
  </si>
  <si>
    <t>4.10 Social Engineering Fraud Coverage(enter limit)</t>
  </si>
  <si>
    <t>More than 10</t>
  </si>
  <si>
    <t>5 to 10</t>
  </si>
  <si>
    <t>Less than 5</t>
  </si>
  <si>
    <t>4.11 Expense Coverage(enter limit)</t>
  </si>
  <si>
    <t>Selection</t>
  </si>
  <si>
    <t>Final Crime Premium</t>
  </si>
  <si>
    <t>Cyber Discretionary Factors</t>
  </si>
  <si>
    <t>2.1 Nature and Amount of Third Party Personal Information</t>
  </si>
  <si>
    <t>2.2 Location/Jurisdiction Factor</t>
  </si>
  <si>
    <t>Favorable</t>
  </si>
  <si>
    <t>4.2 Regulatory Penalties</t>
  </si>
  <si>
    <t>2.3 Format Incident Response Plan</t>
  </si>
  <si>
    <t>Low Exposure</t>
  </si>
  <si>
    <t>Unfavorable</t>
  </si>
  <si>
    <t>Moderate Exposure</t>
  </si>
  <si>
    <t>2.3 Formal Incident Response Plan</t>
  </si>
  <si>
    <t>High Exposure</t>
  </si>
  <si>
    <t>2.4 Formal Business Continuity &amp; Disaster Recovery Plans</t>
  </si>
  <si>
    <t>Severe Exposure</t>
  </si>
  <si>
    <t>4.3 Breach Response Costs</t>
  </si>
  <si>
    <t>2.5 Sharing of Confidential Information</t>
  </si>
  <si>
    <t>2.4 Formal Business Continuity &amp; Disaster Recovery</t>
  </si>
  <si>
    <t>2.6 Asset Inventory</t>
  </si>
  <si>
    <t>4.4 Reputation Repair</t>
  </si>
  <si>
    <t>2.7 Security Configurations</t>
  </si>
  <si>
    <t>4.5 Cyber Extortion Costs</t>
  </si>
  <si>
    <t>2.8 Vulnerability Assessment and Remediation</t>
  </si>
  <si>
    <t>2.9 Employee Training</t>
  </si>
  <si>
    <t>Waiting Period</t>
  </si>
  <si>
    <t>4.6 Business Interruption Loss</t>
  </si>
  <si>
    <t>2.10 Access Control</t>
  </si>
  <si>
    <t>2.8 Vulnerability Assessment and Remidiation</t>
  </si>
  <si>
    <t>2.11 Use of Encryption</t>
  </si>
  <si>
    <t>4.7 Contingent Business Interruption Loss</t>
  </si>
  <si>
    <t>2.12 Reliance on Critical Vendors or Service Providers</t>
  </si>
  <si>
    <t>2.9  Employee Training</t>
  </si>
  <si>
    <t>4.8 Data Loss Costs</t>
  </si>
  <si>
    <t>2.13 Online Sales</t>
  </si>
  <si>
    <t>2.14 Contract based Risk Management Controls</t>
  </si>
  <si>
    <t>4.9 Media Liability</t>
  </si>
  <si>
    <t>2.15 Merger and Acquisition Activity</t>
  </si>
  <si>
    <t>Cyber Subtotal with Discretionary Factors</t>
  </si>
  <si>
    <t>4.10 PCI Assessments</t>
  </si>
  <si>
    <t>Cyber Schedule Rating</t>
  </si>
  <si>
    <t>4.11 PCI Re-Certification</t>
  </si>
  <si>
    <t>Cyber Subtotal with Discretionary and Schedule Rating Factors</t>
  </si>
  <si>
    <t>4.12 Social Engineering</t>
  </si>
  <si>
    <t>Cyber Coverage Enhancements</t>
  </si>
  <si>
    <t>4.13 Technology Errors and Omissions</t>
  </si>
  <si>
    <t>4.2 Regulatory Penalties(enter limit)</t>
  </si>
  <si>
    <t>4.3 Breach Response Costs(enter limit)</t>
  </si>
  <si>
    <t>4.14 System Failure</t>
  </si>
  <si>
    <t>4.4 Reputation Repair(enter limit)</t>
  </si>
  <si>
    <t>4.15 Wrongful Collection</t>
  </si>
  <si>
    <t>4.5 Cyber Extortion Costs(enter limit)</t>
  </si>
  <si>
    <t>4.6 Business Interruption Loss(enter limit)</t>
  </si>
  <si>
    <t>Waiting Period(Hours)</t>
  </si>
  <si>
    <t>4.7 Contingent Business Interruption Loss(enter limit)</t>
  </si>
  <si>
    <t>4.8 Data Loss Costs(enter limit)</t>
  </si>
  <si>
    <t>4.9 Media Liability(enter limit)</t>
  </si>
  <si>
    <t>4.10 PCI Assessments(enter limit)</t>
  </si>
  <si>
    <t>4.11 PCI Re-Certification(enter limit)</t>
  </si>
  <si>
    <t>4.12 Social Engineering(enter limit)</t>
  </si>
  <si>
    <t>4.13 Technology Errors and Omissions(enter limit)</t>
  </si>
  <si>
    <t>4.14 System Failure(enter limit)</t>
  </si>
  <si>
    <t>4.15 Wrongful Collection(enter limit)</t>
  </si>
  <si>
    <t>Cyber Subtotal with Optional Coverage Enhancements</t>
  </si>
  <si>
    <t>Cyber Subtotal with Shared Limit Credit</t>
  </si>
  <si>
    <t>Final Cyber Premium</t>
  </si>
  <si>
    <t>Employed Lawyers Professional Liability Discretionary Factors</t>
  </si>
  <si>
    <t>Employed Lawyers</t>
  </si>
  <si>
    <t>2.1 Area of Practice</t>
  </si>
  <si>
    <t>2.2 Litigation History</t>
  </si>
  <si>
    <t>2.3 Public Debt Exposure</t>
  </si>
  <si>
    <t>2.5 Use of External Legal Resources</t>
  </si>
  <si>
    <t>2.6 Experience of Employed Lawyers</t>
  </si>
  <si>
    <t>2.7 Other Legal Services Performed</t>
  </si>
  <si>
    <t>3.1 Duty to Defend Selection Factor</t>
  </si>
  <si>
    <t>Lawyers E&amp;O Subtotal with Discretionary Factors</t>
  </si>
  <si>
    <t>3.2 Endorsement Factor</t>
  </si>
  <si>
    <t>Employed Lawyers Professional Liability Schedule Rating</t>
  </si>
  <si>
    <t>3.3 Securities Coverage Factor</t>
  </si>
  <si>
    <t>Lawyers E&amp;O Subtotal with Discretionary and Schedule Rating Factors</t>
  </si>
  <si>
    <t>Employed Lawyers Professional Liability Coverage Enhancements</t>
  </si>
  <si>
    <t>3.3 Media Liability Coverage Factor</t>
  </si>
  <si>
    <t>4.3 Securities Coverage Factor(Yes/No)</t>
  </si>
  <si>
    <t>Lawyers E&amp;O Subtotal with Optional Coverage Enhancements</t>
  </si>
  <si>
    <t>Lawyers E&amp;O Subtotal with Shared Limit Credit</t>
  </si>
  <si>
    <t>Final Lawyers E&amp;O Premium</t>
  </si>
  <si>
    <t>Miscellaneous Professional Liability Discretionary Factors</t>
  </si>
  <si>
    <t>Miscellaneous Professional Liability</t>
  </si>
  <si>
    <t>2.1 Years in Business</t>
  </si>
  <si>
    <t>2.2 Complexity of Risk</t>
  </si>
  <si>
    <t>2.3 Professional Experience</t>
  </si>
  <si>
    <t>2.4 Written Contracts</t>
  </si>
  <si>
    <t>2.5 Severity Potential</t>
  </si>
  <si>
    <t>2.6 Risk Management</t>
  </si>
  <si>
    <t>2.7 Prior Acts Coverage</t>
  </si>
  <si>
    <t>2.8 Territories of Operations</t>
  </si>
  <si>
    <t>2.9 Client Industries</t>
  </si>
  <si>
    <t>MPL Subtotal with Discretionary Factors</t>
  </si>
  <si>
    <t>Miscellaneous Professional Liability Schedule Rating</t>
  </si>
  <si>
    <t>None</t>
  </si>
  <si>
    <t>Significant</t>
  </si>
  <si>
    <t>MPL Subtotal with Discretionary and Schedule Rating Factors</t>
  </si>
  <si>
    <t>Over 10 Years</t>
  </si>
  <si>
    <t>Miscellaneous Professional Liability Coverage Enhancements</t>
  </si>
  <si>
    <t>3 to 10 Years</t>
  </si>
  <si>
    <t>4.3 Media Liability Coveage Factor(Yes/No)</t>
  </si>
  <si>
    <t>MPL Subtotal with Optional Coverage Enhancements</t>
  </si>
  <si>
    <t>MPL Subtotal with Shared Limit Credit</t>
  </si>
  <si>
    <t>Less than 1</t>
  </si>
  <si>
    <t>Final MPL Premium</t>
  </si>
  <si>
    <t>Greater than or equal to 1, but less than 2</t>
  </si>
  <si>
    <t>Greater than or equal to 2, but less than 3</t>
  </si>
  <si>
    <t>Kidnap &amp; Ransom Discretionary Factors</t>
  </si>
  <si>
    <t>Greater than or equal to 3</t>
  </si>
  <si>
    <t>2.3 Security Measures</t>
  </si>
  <si>
    <t>2.7 Other Services Performed</t>
  </si>
  <si>
    <t>2.5 Travel Advisory Policies</t>
  </si>
  <si>
    <t>K&amp;R Subtotal with Discretionary Factors</t>
  </si>
  <si>
    <t>Kidnap &amp; Ransom Schedule Rating</t>
  </si>
  <si>
    <t>Total Modifier</t>
  </si>
  <si>
    <t>Kidnap and Ransom Subtotal with Discretionary and Schedule Rating Factors</t>
  </si>
  <si>
    <t>Kidnap &amp; Ransom Coverage Enhancements</t>
  </si>
  <si>
    <t>4.2 Recall Expenses(enter limit)</t>
  </si>
  <si>
    <t>Aggregate Limit Factor</t>
  </si>
  <si>
    <t>100% of Limit</t>
  </si>
  <si>
    <t>150% of Limit</t>
  </si>
  <si>
    <t>4.3 Threat Response Expenses(enter limit)</t>
  </si>
  <si>
    <t>200% of Limit</t>
  </si>
  <si>
    <t>No Aggregate Limit</t>
  </si>
  <si>
    <t>4.4 Disappearance and Investigation Expenses(enter limit)</t>
  </si>
  <si>
    <t>4.5 Business Interruption Expenses(enter limit)</t>
  </si>
  <si>
    <t>4.6 Travel Security Endorsement Expenses(enter limit)</t>
  </si>
  <si>
    <t>4.7 Expatriate Security Evacuation Endorsement(enter limit)</t>
  </si>
  <si>
    <t>D&amp;O, EPL, &amp; Crime</t>
  </si>
  <si>
    <t>Pub D&amp;O Large Retention</t>
  </si>
  <si>
    <t>ILF</t>
  </si>
  <si>
    <t>XS ILF</t>
  </si>
  <si>
    <t>Limit + Retention</t>
  </si>
  <si>
    <t>Fiduciary</t>
  </si>
  <si>
    <t>0-50</t>
  </si>
  <si>
    <t>50-100</t>
  </si>
  <si>
    <t>&gt;100</t>
  </si>
  <si>
    <t>0-16.5</t>
  </si>
  <si>
    <t>16.5-100</t>
  </si>
  <si>
    <t>Law E&amp;O</t>
  </si>
  <si>
    <t>Alabama</t>
  </si>
  <si>
    <t>Alaska</t>
  </si>
  <si>
    <t>American Samoa</t>
  </si>
  <si>
    <t>Arizona</t>
  </si>
  <si>
    <t>Arkansas</t>
  </si>
  <si>
    <t>Bermuda</t>
  </si>
  <si>
    <t>California</t>
  </si>
  <si>
    <t>Colorado</t>
  </si>
  <si>
    <t>Connecticut</t>
  </si>
  <si>
    <t>Delaware</t>
  </si>
  <si>
    <t>District Of Columbia</t>
  </si>
  <si>
    <t>Florida</t>
  </si>
  <si>
    <t>Georgia</t>
  </si>
  <si>
    <t>Guam</t>
  </si>
  <si>
    <t>Hawaii</t>
  </si>
  <si>
    <t>Idaho</t>
  </si>
  <si>
    <t>Illinois</t>
  </si>
  <si>
    <t>Indiana</t>
  </si>
  <si>
    <t>Iowa</t>
  </si>
  <si>
    <t>Kansas</t>
  </si>
  <si>
    <t>Kentucky</t>
  </si>
  <si>
    <t>Louisiana</t>
  </si>
  <si>
    <t>Maine</t>
  </si>
  <si>
    <t>Marshall Islands</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</si>
  <si>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</si>
  <si>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</si>
  <si>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</si>
  <si>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</si>
  <si>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</si>
  <si>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</si>
  <si>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</si>
  <si>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</si>
  <si>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</si>
  <si>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</si>
  <si>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</si>
  <si>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</si>
  <si>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</si>
  <si>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</si>
  <si>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</si>
  <si>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Northern Mariana Islands</t>
  </si>
  <si>
    <t>Ohio</t>
  </si>
  <si>
    <t>Oklahoma</t>
  </si>
  <si>
    <t>Oregon</t>
  </si>
  <si>
    <t>Palau</t>
  </si>
  <si>
    <t>Pennsylvania</t>
  </si>
  <si>
    <t>Puerto Rico</t>
  </si>
  <si>
    <t>Rhode Island</t>
  </si>
  <si>
    <t>South Carolina</t>
  </si>
  <si>
    <t>South Dakota</t>
  </si>
  <si>
    <t>Tennessee</t>
  </si>
  <si>
    <t>Texas</t>
  </si>
  <si>
    <t>Utah</t>
  </si>
  <si>
    <t>Vermont</t>
  </si>
  <si>
    <t>Virgin Islands</t>
  </si>
  <si>
    <t>Virginia</t>
  </si>
  <si>
    <t>Washington</t>
  </si>
  <si>
    <t>West Virginia</t>
  </si>
  <si>
    <t>Wisconsin</t>
  </si>
  <si>
    <t>Wyoming</t>
  </si>
  <si>
    <t>Asset Management</t>
  </si>
  <si>
    <t>Broker/Dealer</t>
  </si>
  <si>
    <t>Consumer Discretionary</t>
  </si>
  <si>
    <t>Consumer Staples</t>
  </si>
  <si>
    <t>Energy</t>
  </si>
  <si>
    <t>Financials</t>
  </si>
  <si>
    <t>Healthcare</t>
  </si>
  <si>
    <t>Industrials</t>
  </si>
  <si>
    <t>Information Technology</t>
  </si>
  <si>
    <t>Materials</t>
  </si>
  <si>
    <t>Real Estate</t>
  </si>
  <si>
    <t>Telecommunication Services</t>
  </si>
  <si>
    <t>Utilities</t>
  </si>
  <si>
    <t>EQUITY REIT</t>
  </si>
  <si>
    <t>Grow</t>
  </si>
  <si>
    <t>Mortgage REIT</t>
  </si>
  <si>
    <t>Shrink</t>
  </si>
  <si>
    <t>2017 NAICS Code</t>
  </si>
  <si>
    <t>NAICS(Num)</t>
  </si>
  <si>
    <t>2017 NAICS Desc</t>
  </si>
  <si>
    <t>SIC 1987 Code</t>
  </si>
  <si>
    <t>SIC Description</t>
  </si>
  <si>
    <t>GICS Sector</t>
  </si>
  <si>
    <t>SubSegment</t>
  </si>
  <si>
    <t>Proper Case</t>
  </si>
  <si>
    <t>111110</t>
  </si>
  <si>
    <t>Soybean Farming</t>
  </si>
  <si>
    <t>0116</t>
  </si>
  <si>
    <t>Soybeans</t>
  </si>
  <si>
    <t>CONSUMER STAPLES</t>
  </si>
  <si>
    <t>FOOD</t>
  </si>
  <si>
    <t>111120</t>
  </si>
  <si>
    <t>Oilseed (except Soybean) Farming</t>
  </si>
  <si>
    <t>0119</t>
  </si>
  <si>
    <t>Cash Grains, Nec</t>
  </si>
  <si>
    <t>111130</t>
  </si>
  <si>
    <t>Dry Pea and Bean Farming</t>
  </si>
  <si>
    <t>111140</t>
  </si>
  <si>
    <t>Wheat Farming</t>
  </si>
  <si>
    <t>0111</t>
  </si>
  <si>
    <t>wheat</t>
  </si>
  <si>
    <t>111150</t>
  </si>
  <si>
    <t>Corn Farming</t>
  </si>
  <si>
    <t>0115</t>
  </si>
  <si>
    <t>Corn</t>
  </si>
  <si>
    <t>111160</t>
  </si>
  <si>
    <t>Rice Farming</t>
  </si>
  <si>
    <t>0112</t>
  </si>
  <si>
    <t>Rice</t>
  </si>
  <si>
    <t>111191</t>
  </si>
  <si>
    <t>Oilseed and Grain Combination Farming</t>
  </si>
  <si>
    <t>111199</t>
  </si>
  <si>
    <t>All Other Grain Farming</t>
  </si>
  <si>
    <t>0139</t>
  </si>
  <si>
    <t>Field Crops, Except Cash Grain</t>
  </si>
  <si>
    <t>111211</t>
  </si>
  <si>
    <t>Potato Farming</t>
  </si>
  <si>
    <t>0134</t>
  </si>
  <si>
    <t>Irish Potatoes</t>
  </si>
  <si>
    <t>0161</t>
  </si>
  <si>
    <t>Vegetables and Melons</t>
  </si>
  <si>
    <t>111219</t>
  </si>
  <si>
    <t>Other Vegetable (except Potato) and Melon Farming</t>
  </si>
  <si>
    <t>111310</t>
  </si>
  <si>
    <t>Orange Groves</t>
  </si>
  <si>
    <t>0174</t>
  </si>
  <si>
    <t>Citrus Fruits</t>
  </si>
  <si>
    <t>111320</t>
  </si>
  <si>
    <t>Citrus (except Orange) Groves</t>
  </si>
  <si>
    <t>111331</t>
  </si>
  <si>
    <t>Apple Orchards</t>
  </si>
  <si>
    <t>0175</t>
  </si>
  <si>
    <t>Deciduous Tree Fruits</t>
  </si>
  <si>
    <t>111332</t>
  </si>
  <si>
    <t>Grape Vineyards</t>
  </si>
  <si>
    <t>0172</t>
  </si>
  <si>
    <t>Grapes</t>
  </si>
  <si>
    <t>111333</t>
  </si>
  <si>
    <t>Strawberry Farming</t>
  </si>
  <si>
    <t>0171</t>
  </si>
  <si>
    <t>Berry Crops</t>
  </si>
  <si>
    <t>111334</t>
  </si>
  <si>
    <t>Berry (except Strawberry) Farming</t>
  </si>
  <si>
    <t>111335</t>
  </si>
  <si>
    <t>Tree Nut Farming</t>
  </si>
  <si>
    <t>0173</t>
  </si>
  <si>
    <t>Tree Nuts</t>
  </si>
  <si>
    <t>111336</t>
  </si>
  <si>
    <t>Fruit and Tree Nut Combination Farming</t>
  </si>
  <si>
    <t>0179</t>
  </si>
  <si>
    <t>Fruits and Tree Nuts, Nec</t>
  </si>
  <si>
    <t>111339</t>
  </si>
  <si>
    <t>Other Noncitrus Fruit Farming</t>
  </si>
  <si>
    <t>111411</t>
  </si>
  <si>
    <t>Mushroom Production</t>
  </si>
  <si>
    <t>0182</t>
  </si>
  <si>
    <t>Food Crops Grown Under Cover</t>
  </si>
  <si>
    <t>111419</t>
  </si>
  <si>
    <t>Other Food Crops Grown Under Cover</t>
  </si>
  <si>
    <t>111421</t>
  </si>
  <si>
    <t>Nursery and Tree Production</t>
  </si>
  <si>
    <t>0181</t>
  </si>
  <si>
    <t>Ornamental Nursery Products</t>
  </si>
  <si>
    <t>0811</t>
  </si>
  <si>
    <t>Timber Tracts</t>
  </si>
  <si>
    <t>111422</t>
  </si>
  <si>
    <t>Floriculture Production</t>
  </si>
  <si>
    <t>111910</t>
  </si>
  <si>
    <t>Tobacco Farming</t>
  </si>
  <si>
    <t>0132</t>
  </si>
  <si>
    <t>Tobacco</t>
  </si>
  <si>
    <t>TOBACCO</t>
  </si>
  <si>
    <t>111920</t>
  </si>
  <si>
    <t>Cotton Farming</t>
  </si>
  <si>
    <t>0131</t>
  </si>
  <si>
    <t>Cotton</t>
  </si>
  <si>
    <t>111930</t>
  </si>
  <si>
    <t>Sugarcane Farming</t>
  </si>
  <si>
    <t>0133</t>
  </si>
  <si>
    <t>Sugarcane and Sugar Beets</t>
  </si>
  <si>
    <t>111940</t>
  </si>
  <si>
    <t>Hay Farming</t>
  </si>
  <si>
    <t>111991</t>
  </si>
  <si>
    <t>Sugar Beet Farming</t>
  </si>
  <si>
    <t>111992</t>
  </si>
  <si>
    <t>Peanut Farming</t>
  </si>
  <si>
    <t>111998</t>
  </si>
  <si>
    <t>All Other Miscellaneous Crop Farming</t>
  </si>
  <si>
    <t>0191</t>
  </si>
  <si>
    <t>General Farms, Primarily Crop</t>
  </si>
  <si>
    <t>0831</t>
  </si>
  <si>
    <t>Forest Products</t>
  </si>
  <si>
    <t>0919</t>
  </si>
  <si>
    <t>Miscellaneous Marine Products</t>
  </si>
  <si>
    <t>2099</t>
  </si>
  <si>
    <t>Food Preparations, Nec</t>
  </si>
  <si>
    <t>112111</t>
  </si>
  <si>
    <t>Beef Cattle Ranching and Farming</t>
  </si>
  <si>
    <t>0212</t>
  </si>
  <si>
    <t>Beef Cattle, Except Feedlots</t>
  </si>
  <si>
    <t>0241</t>
  </si>
  <si>
    <t>Dairy Farms</t>
  </si>
  <si>
    <t>112112</t>
  </si>
  <si>
    <t>Cattle Feedlots</t>
  </si>
  <si>
    <t>0211</t>
  </si>
  <si>
    <t>Beef Cattle Feedlots</t>
  </si>
  <si>
    <t>112120</t>
  </si>
  <si>
    <t>Dairy Cattle and Milk Production</t>
  </si>
  <si>
    <t>112130</t>
  </si>
  <si>
    <t>Dual-Purpose Cattle Ranching and Farming</t>
  </si>
  <si>
    <t>N/A</t>
  </si>
  <si>
    <t>112210</t>
  </si>
  <si>
    <t>Hog and Pig Farming</t>
  </si>
  <si>
    <t>0213</t>
  </si>
  <si>
    <t>Hogs</t>
  </si>
  <si>
    <t>112310</t>
  </si>
  <si>
    <t>Chicken Egg Production</t>
  </si>
  <si>
    <t>0252</t>
  </si>
  <si>
    <t>Chicken Eggs</t>
  </si>
  <si>
    <t>112320</t>
  </si>
  <si>
    <t>Broilers and Other Meat Type Chicken Production</t>
  </si>
  <si>
    <t>0251</t>
  </si>
  <si>
    <t>Broiler, Fryer, and Roaster Chickens</t>
  </si>
  <si>
    <t>112330</t>
  </si>
  <si>
    <t>Turkey Production</t>
  </si>
  <si>
    <t>0253</t>
  </si>
  <si>
    <t>Turkeys and Turkey Eggs</t>
  </si>
  <si>
    <t>112340</t>
  </si>
  <si>
    <t>Poultry Hatcheries</t>
  </si>
  <si>
    <t>0254</t>
  </si>
  <si>
    <t>112390</t>
  </si>
  <si>
    <t>Other Poultry Production</t>
  </si>
  <si>
    <t>0259</t>
  </si>
  <si>
    <t>Poultry and Eggs, Nec</t>
  </si>
  <si>
    <t>112410</t>
  </si>
  <si>
    <t>Sheep Farming</t>
  </si>
  <si>
    <t>0214</t>
  </si>
  <si>
    <t>Sheep and Goats</t>
  </si>
  <si>
    <t>112420</t>
  </si>
  <si>
    <t>Goat Farming</t>
  </si>
  <si>
    <t>112511</t>
  </si>
  <si>
    <t>Finfish Farming and Fish Hatcheries</t>
  </si>
  <si>
    <t>0273</t>
  </si>
  <si>
    <t>Animal Aquaculture</t>
  </si>
  <si>
    <t>0921</t>
  </si>
  <si>
    <t>Fish Hatcheries and Preserves</t>
  </si>
  <si>
    <t>112512</t>
  </si>
  <si>
    <t>Shellfish Farming</t>
  </si>
  <si>
    <t>112519</t>
  </si>
  <si>
    <t>Other Aquaculture</t>
  </si>
  <si>
    <t>0279</t>
  </si>
  <si>
    <t>Animal Specialties, Nec</t>
  </si>
  <si>
    <t>112910</t>
  </si>
  <si>
    <t>Apiculture</t>
  </si>
  <si>
    <t>112920</t>
  </si>
  <si>
    <t>Horses and Other Equine Production</t>
  </si>
  <si>
    <t>0272</t>
  </si>
  <si>
    <t>Horses and Other Equines</t>
  </si>
  <si>
    <t>AGRICULTURE</t>
  </si>
  <si>
    <t>112930</t>
  </si>
  <si>
    <t>Fur-Bearing Animal and Rabbit Production</t>
  </si>
  <si>
    <t>0271</t>
  </si>
  <si>
    <t>Fur-bearing Animals and Rabbits</t>
  </si>
  <si>
    <t>112990</t>
  </si>
  <si>
    <t>All Other Animal Production</t>
  </si>
  <si>
    <t>0219</t>
  </si>
  <si>
    <t>General Livestock, Nec</t>
  </si>
  <si>
    <t>0291</t>
  </si>
  <si>
    <t>General Farms, Primarily animals</t>
  </si>
  <si>
    <t>113110</t>
  </si>
  <si>
    <t>Timber Tract Operations</t>
  </si>
  <si>
    <t>INDUSTRIALS</t>
  </si>
  <si>
    <t>PAPER AND FOREST PRODUCTS</t>
  </si>
  <si>
    <t>113210</t>
  </si>
  <si>
    <t>Forest Nurseries and Gathering of Forest Products</t>
  </si>
  <si>
    <t>113310</t>
  </si>
  <si>
    <t>Logging</t>
  </si>
  <si>
    <t>2411</t>
  </si>
  <si>
    <t>114111</t>
  </si>
  <si>
    <t>Finfish Fishing</t>
  </si>
  <si>
    <t>0912</t>
  </si>
  <si>
    <t>Finfish</t>
  </si>
  <si>
    <t>114112</t>
  </si>
  <si>
    <t>Shellfish Fishing</t>
  </si>
  <si>
    <t>0913</t>
  </si>
  <si>
    <t>Shellfish</t>
  </si>
  <si>
    <t>114119</t>
  </si>
  <si>
    <t>Other Marine Fishing</t>
  </si>
  <si>
    <t>114210</t>
  </si>
  <si>
    <t>Hunting and Trapping</t>
  </si>
  <si>
    <t>0971</t>
  </si>
  <si>
    <t>Hunting, Trapping, Game Propagation</t>
  </si>
  <si>
    <t>115111</t>
  </si>
  <si>
    <t>Cotton Ginning</t>
  </si>
  <si>
    <t>0724</t>
  </si>
  <si>
    <t>115112</t>
  </si>
  <si>
    <t>Soil Preparation, Planting, and Cultivating</t>
  </si>
  <si>
    <t>0711</t>
  </si>
  <si>
    <t>Soil Preparation Services</t>
  </si>
  <si>
    <t>0721</t>
  </si>
  <si>
    <t>Crop Planting and Protection</t>
  </si>
  <si>
    <t>115113</t>
  </si>
  <si>
    <t>Crop Harvesting, Primarily by Machine</t>
  </si>
  <si>
    <t>0722</t>
  </si>
  <si>
    <t>Crop Harvesting</t>
  </si>
  <si>
    <t>115114</t>
  </si>
  <si>
    <t>Postharvest Crop Activities (except Cotton Ginning)</t>
  </si>
  <si>
    <t>0723</t>
  </si>
  <si>
    <t>Crop Preparation Services For Market</t>
  </si>
  <si>
    <t>115115</t>
  </si>
  <si>
    <t>Farm Labor Contractors and Crew Leaders</t>
  </si>
  <si>
    <t>0761</t>
  </si>
  <si>
    <t>Farm Labor Contractors</t>
  </si>
  <si>
    <t>115116</t>
  </si>
  <si>
    <t>Farm Management Services</t>
  </si>
  <si>
    <t>0762</t>
  </si>
  <si>
    <t>115210</t>
  </si>
  <si>
    <t>Support Activities for Animal Production</t>
  </si>
  <si>
    <t>0751</t>
  </si>
  <si>
    <t>Livestock Services, Except Veterinary</t>
  </si>
  <si>
    <t>0752</t>
  </si>
  <si>
    <t>Animal Specialty Services</t>
  </si>
  <si>
    <t>7699</t>
  </si>
  <si>
    <t>Repair Services, Nec</t>
  </si>
  <si>
    <t>115310</t>
  </si>
  <si>
    <t>Support Activities for Forestry</t>
  </si>
  <si>
    <t>0851</t>
  </si>
  <si>
    <t>Forestry Services</t>
  </si>
  <si>
    <t>211120</t>
  </si>
  <si>
    <t>Crude Petroleum Extraction</t>
  </si>
  <si>
    <t>1311</t>
  </si>
  <si>
    <t>Crude Petroleum and Natural Gas</t>
  </si>
  <si>
    <t>ENERGY</t>
  </si>
  <si>
    <t>OIL AND GAS</t>
  </si>
  <si>
    <t>211130</t>
  </si>
  <si>
    <t>Natural Gas Extraction</t>
  </si>
  <si>
    <t>1321</t>
  </si>
  <si>
    <t>Natural Gas Liquids</t>
  </si>
  <si>
    <t>2819</t>
  </si>
  <si>
    <t>Industrial Inorganic Chemicals, Nec</t>
  </si>
  <si>
    <t>212111</t>
  </si>
  <si>
    <t>Bituminous Coal and Lignite Surface Mining</t>
  </si>
  <si>
    <t>1221</t>
  </si>
  <si>
    <t>Bituminous Coal and Lignite-surface Mining</t>
  </si>
  <si>
    <t>MINING, QUARRY, OIL &amp; GAS</t>
  </si>
  <si>
    <t>212112</t>
  </si>
  <si>
    <t>Bituminous Coal Underground Mining</t>
  </si>
  <si>
    <t>1222</t>
  </si>
  <si>
    <t>Bituminous Coal-underground Mining</t>
  </si>
  <si>
    <t>212113</t>
  </si>
  <si>
    <t>Anthracite Mining</t>
  </si>
  <si>
    <t>1231</t>
  </si>
  <si>
    <t>MATERIALS</t>
  </si>
  <si>
    <t>METALS AND MINING</t>
  </si>
  <si>
    <t>212210</t>
  </si>
  <si>
    <t>Iron Ore Mining</t>
  </si>
  <si>
    <t>1011</t>
  </si>
  <si>
    <t>Iron Ores</t>
  </si>
  <si>
    <t>212221</t>
  </si>
  <si>
    <t>Gold Ore Mining</t>
  </si>
  <si>
    <t>1041</t>
  </si>
  <si>
    <t>Gold Ores</t>
  </si>
  <si>
    <t>212222</t>
  </si>
  <si>
    <t>Silver Ore Mining</t>
  </si>
  <si>
    <t>1044</t>
  </si>
  <si>
    <t>Silver Ores</t>
  </si>
  <si>
    <t>212230</t>
  </si>
  <si>
    <t>Copper, Nickel, Lead, and Zinc Mining</t>
  </si>
  <si>
    <t>1021</t>
  </si>
  <si>
    <t>Copper Ores</t>
  </si>
  <si>
    <t>1031</t>
  </si>
  <si>
    <t>Lead and Zinc Ores</t>
  </si>
  <si>
    <t>1061</t>
  </si>
  <si>
    <t>Ferroalloy Ores, Except Vanadium</t>
  </si>
  <si>
    <t>212291</t>
  </si>
  <si>
    <t>Uranium-Radium-Vanadium Ore Mining</t>
  </si>
  <si>
    <t>1094</t>
  </si>
  <si>
    <t>Uranium-radium-vanadium Ores</t>
  </si>
  <si>
    <t>212299</t>
  </si>
  <si>
    <t>All Other Metal Ore Mining</t>
  </si>
  <si>
    <t>1099</t>
  </si>
  <si>
    <t>Metal Ores, Nec</t>
  </si>
  <si>
    <t>212311</t>
  </si>
  <si>
    <t>Dimension Stone Mining and Quarrying</t>
  </si>
  <si>
    <t>1411</t>
  </si>
  <si>
    <t>Dimension Stone</t>
  </si>
  <si>
    <t>212312</t>
  </si>
  <si>
    <t>Crushed and Broken Limestone Mining and Quarrying</t>
  </si>
  <si>
    <t>1422</t>
  </si>
  <si>
    <t>Crushed and Broken Limestone</t>
  </si>
  <si>
    <t>212313</t>
  </si>
  <si>
    <t>Crushed and Broken Granite Mining and Quarrying</t>
  </si>
  <si>
    <t>1423</t>
  </si>
  <si>
    <t>Crushed and Broken Granite</t>
  </si>
  <si>
    <t>212319</t>
  </si>
  <si>
    <t>Other Crushed and Broken Stone Mining and Quarrying</t>
  </si>
  <si>
    <t>1429</t>
  </si>
  <si>
    <t>Crushed and Broken Stone, Nec</t>
  </si>
  <si>
    <t>1499</t>
  </si>
  <si>
    <t>Miscellaneous Nonmetallic Mining</t>
  </si>
  <si>
    <t>212321</t>
  </si>
  <si>
    <t>Construction Sand and Gravel Mining</t>
  </si>
  <si>
    <t>1442</t>
  </si>
  <si>
    <t>Construction Sand and Gravel</t>
  </si>
  <si>
    <t>212322</t>
  </si>
  <si>
    <t>Industrial Sand Mining</t>
  </si>
  <si>
    <t>1446</t>
  </si>
  <si>
    <t>Industrial Sand</t>
  </si>
  <si>
    <t>212324</t>
  </si>
  <si>
    <t>Kaolin and Ball Clay Mining</t>
  </si>
  <si>
    <t>1455</t>
  </si>
  <si>
    <t>Kaolin and Ball Clay</t>
  </si>
  <si>
    <t>3295</t>
  </si>
  <si>
    <t>Minerals, Ground or Treated</t>
  </si>
  <si>
    <t>212325</t>
  </si>
  <si>
    <t>Clay and Ceramic and Refractory Minerals Mining</t>
  </si>
  <si>
    <t>1459</t>
  </si>
  <si>
    <t>Clay and Related Minerals, Nec</t>
  </si>
  <si>
    <t>212391</t>
  </si>
  <si>
    <t>Potash, Soda, and Borate Mineral Mining</t>
  </si>
  <si>
    <t>1474</t>
  </si>
  <si>
    <t>Potash, Soda, and Borate Minerals</t>
  </si>
  <si>
    <t>212392</t>
  </si>
  <si>
    <t>Phosphate Rock Mining</t>
  </si>
  <si>
    <t>1475</t>
  </si>
  <si>
    <t>Phosphate Rock</t>
  </si>
  <si>
    <t>212393</t>
  </si>
  <si>
    <t>Other Chemical and Fertilizer Mineral Mining</t>
  </si>
  <si>
    <t>1479</t>
  </si>
  <si>
    <t>Chemical and Fertilizer Mining</t>
  </si>
  <si>
    <t>212399</t>
  </si>
  <si>
    <t>All Other Nonmetallic Mineral Mining</t>
  </si>
  <si>
    <t>213111</t>
  </si>
  <si>
    <t>Drilling Oil and Gas Wells</t>
  </si>
  <si>
    <t>1381</t>
  </si>
  <si>
    <t>213112</t>
  </si>
  <si>
    <t>Support Activities for Oil and Gas Operations</t>
  </si>
  <si>
    <t>1382</t>
  </si>
  <si>
    <t>Oil and Gas Exploration Services</t>
  </si>
  <si>
    <t>1389</t>
  </si>
  <si>
    <t>Oil and Gas Field Services, Nec</t>
  </si>
  <si>
    <t>213113</t>
  </si>
  <si>
    <t>Support Activities for Coal Mining</t>
  </si>
  <si>
    <t>1241</t>
  </si>
  <si>
    <t>Coal Mining Services</t>
  </si>
  <si>
    <t>213114</t>
  </si>
  <si>
    <t>Support Activities for Metal Mining</t>
  </si>
  <si>
    <t>1081</t>
  </si>
  <si>
    <t>Metal Mining Services</t>
  </si>
  <si>
    <t>213115</t>
  </si>
  <si>
    <t>Support Activities for Nonmetallic Minerals (except Fuels) Mining</t>
  </si>
  <si>
    <t>1481</t>
  </si>
  <si>
    <t>Nonmetallic Mineral Services</t>
  </si>
  <si>
    <t>221111</t>
  </si>
  <si>
    <t>Hydroelectric Power Generation</t>
  </si>
  <si>
    <t>4911</t>
  </si>
  <si>
    <t>Electric Services</t>
  </si>
  <si>
    <t>UTILITIES</t>
  </si>
  <si>
    <t>4931</t>
  </si>
  <si>
    <t>Electric and Other Services Combined</t>
  </si>
  <si>
    <t>4939</t>
  </si>
  <si>
    <t>Combination Utilities, Nec</t>
  </si>
  <si>
    <t>221112</t>
  </si>
  <si>
    <t>Fossil Fuel Electric Power Generation</t>
  </si>
  <si>
    <t>221113</t>
  </si>
  <si>
    <t>Nuclear Electric Power Generation</t>
  </si>
  <si>
    <t>221114</t>
  </si>
  <si>
    <t>Solar Electric Power Generation</t>
  </si>
  <si>
    <t>221115</t>
  </si>
  <si>
    <t>Wind Electric Power Generation</t>
  </si>
  <si>
    <t>221116</t>
  </si>
  <si>
    <t>Geothermal Electric Power Generation</t>
  </si>
  <si>
    <t>221117</t>
  </si>
  <si>
    <t>Biomass Electric Power Generation</t>
  </si>
  <si>
    <t>221118</t>
  </si>
  <si>
    <t>Other Electric Power Generation</t>
  </si>
  <si>
    <t>221121</t>
  </si>
  <si>
    <t>Electric Bulk Power Transmission and Control</t>
  </si>
  <si>
    <t>221122</t>
  </si>
  <si>
    <t>Electric Power Distribution</t>
  </si>
  <si>
    <t>221210</t>
  </si>
  <si>
    <t>Natural Gas Distribution</t>
  </si>
  <si>
    <t>4923</t>
  </si>
  <si>
    <t>Gas Transmission and Distribution</t>
  </si>
  <si>
    <t>4924</t>
  </si>
  <si>
    <t>4925</t>
  </si>
  <si>
    <t>Gas Production and/or Distribution</t>
  </si>
  <si>
    <t>4932</t>
  </si>
  <si>
    <t>Gas and Other Services Combined</t>
  </si>
  <si>
    <t>221310</t>
  </si>
  <si>
    <t>Water Supply and Irrigation Systems</t>
  </si>
  <si>
    <t>4941</t>
  </si>
  <si>
    <t>Water Supply</t>
  </si>
  <si>
    <t>4971</t>
  </si>
  <si>
    <t>Irrigation Systems</t>
  </si>
  <si>
    <t>221320</t>
  </si>
  <si>
    <t>Sewage Treatment Facilities</t>
  </si>
  <si>
    <t>4952</t>
  </si>
  <si>
    <t>Sewerage Systems</t>
  </si>
  <si>
    <t>221330</t>
  </si>
  <si>
    <t>Steam and Air-Conditioning Supply</t>
  </si>
  <si>
    <t>4961</t>
  </si>
  <si>
    <t>Steam and Air-conditioning Supply</t>
  </si>
  <si>
    <t>236115</t>
  </si>
  <si>
    <t>New Single-Family Housing Construction (except For-Sale Builders)</t>
  </si>
  <si>
    <t>1521</t>
  </si>
  <si>
    <t>Single-family Housing Construction</t>
  </si>
  <si>
    <t>CONSTRUCTION</t>
  </si>
  <si>
    <t>8741</t>
  </si>
  <si>
    <t>Management Services</t>
  </si>
  <si>
    <t>236116</t>
  </si>
  <si>
    <t>New Multifamily Housing Construction (except For-Sale Builders)</t>
  </si>
  <si>
    <t>1522</t>
  </si>
  <si>
    <t>Residential Construction, Nec</t>
  </si>
  <si>
    <t>236117</t>
  </si>
  <si>
    <t>New Housing For-Sale Builders</t>
  </si>
  <si>
    <t>1531</t>
  </si>
  <si>
    <t>Operative Builders</t>
  </si>
  <si>
    <t>236118</t>
  </si>
  <si>
    <t>Residential Remodelers</t>
  </si>
  <si>
    <t>236210</t>
  </si>
  <si>
    <t>Industrial Building Construction</t>
  </si>
  <si>
    <t>1541</t>
  </si>
  <si>
    <t>Industrial Buildings and Warehouses</t>
  </si>
  <si>
    <t>1629</t>
  </si>
  <si>
    <t>Heavy Construction, Nec</t>
  </si>
  <si>
    <t>236220</t>
  </si>
  <si>
    <t>Commercial and Institutional Building Construction</t>
  </si>
  <si>
    <t>1542</t>
  </si>
  <si>
    <t>Nonresidential Construction, Nec</t>
  </si>
  <si>
    <t>1799</t>
  </si>
  <si>
    <t>Special Trade Contractors, Nec</t>
  </si>
  <si>
    <t>237110</t>
  </si>
  <si>
    <t>Water and Sewer Line and Related Structures Construction</t>
  </si>
  <si>
    <t>1623</t>
  </si>
  <si>
    <t>Water, Sewer, and Utility Lines</t>
  </si>
  <si>
    <t>1781</t>
  </si>
  <si>
    <t>Water Well Drilling</t>
  </si>
  <si>
    <t>237120</t>
  </si>
  <si>
    <t>Oil and Gas Pipeline and Related Structures Construction</t>
  </si>
  <si>
    <t>237130</t>
  </si>
  <si>
    <t>Power and Communication Line and Related Structures Construction</t>
  </si>
  <si>
    <t>237210</t>
  </si>
  <si>
    <t>Land Subdivision</t>
  </si>
  <si>
    <t>6552</t>
  </si>
  <si>
    <t>Subdividers and Developers, Nec</t>
  </si>
  <si>
    <t>237310</t>
  </si>
  <si>
    <t>Highway, Street, and Bridge Construction</t>
  </si>
  <si>
    <t>1611</t>
  </si>
  <si>
    <t>Highway and Street Construction</t>
  </si>
  <si>
    <t>1622</t>
  </si>
  <si>
    <t>Bridge, Tunnel, and Elevated Highway</t>
  </si>
  <si>
    <t>1721</t>
  </si>
  <si>
    <t>Painting and Paper Hanging</t>
  </si>
  <si>
    <t>237990</t>
  </si>
  <si>
    <t>Other Heavy and Civil Engineering Construction</t>
  </si>
  <si>
    <t>238110</t>
  </si>
  <si>
    <t>Poured Concrete Foundation and Structure Contractors</t>
  </si>
  <si>
    <t>1771</t>
  </si>
  <si>
    <t>Concrete Work</t>
  </si>
  <si>
    <t>238120</t>
  </si>
  <si>
    <t>Structural Steel and Precast Concrete Contractors</t>
  </si>
  <si>
    <t>1791</t>
  </si>
  <si>
    <t>Structural Steel Erection</t>
  </si>
  <si>
    <t>238130</t>
  </si>
  <si>
    <t>Framing Contractors</t>
  </si>
  <si>
    <t>1751</t>
  </si>
  <si>
    <t>Carpentry Work</t>
  </si>
  <si>
    <t>238140</t>
  </si>
  <si>
    <t>Masonry Contractors</t>
  </si>
  <si>
    <t>1741</t>
  </si>
  <si>
    <t>Masonry and Other Stonework</t>
  </si>
  <si>
    <t>238150</t>
  </si>
  <si>
    <t>Glass and Glazing Contractors</t>
  </si>
  <si>
    <t>1793</t>
  </si>
  <si>
    <t>Glass and Glazing Work</t>
  </si>
  <si>
    <t>238160</t>
  </si>
  <si>
    <t>Roofing Contractors</t>
  </si>
  <si>
    <t>1761</t>
  </si>
  <si>
    <t>Roofing, Siding, and Sheetmetal Work</t>
  </si>
  <si>
    <t>238170</t>
  </si>
  <si>
    <t>Siding Contractors</t>
  </si>
  <si>
    <t>238190</t>
  </si>
  <si>
    <t>Other Foundation, Structure, and Building Exterior Contractors</t>
  </si>
  <si>
    <t>238210</t>
  </si>
  <si>
    <t>Electrical Contractors and Other Wiring Installation Contractors</t>
  </si>
  <si>
    <t>1711</t>
  </si>
  <si>
    <t>Plumbing, Heating, Air-conditioning</t>
  </si>
  <si>
    <t>1731</t>
  </si>
  <si>
    <t>Electrical Work</t>
  </si>
  <si>
    <t>238220</t>
  </si>
  <si>
    <t>Plumbing, Heating, and Air-Conditioning Contractors</t>
  </si>
  <si>
    <t>1796</t>
  </si>
  <si>
    <t>Installing Building Equipment</t>
  </si>
  <si>
    <t>238290</t>
  </si>
  <si>
    <t>Other Building Equipment Contractors</t>
  </si>
  <si>
    <t>7622</t>
  </si>
  <si>
    <t>Radio and Television Repair</t>
  </si>
  <si>
    <t>238310</t>
  </si>
  <si>
    <t>Drywall and Insulation Contractors</t>
  </si>
  <si>
    <t>1742</t>
  </si>
  <si>
    <t>Plastering, Drywall, and Insulation</t>
  </si>
  <si>
    <t>1743</t>
  </si>
  <si>
    <t>Terrazzo, Tile, Marble, Mosaic Work</t>
  </si>
  <si>
    <t>1752</t>
  </si>
  <si>
    <t>Floor Laying and Floor Work, Nec</t>
  </si>
  <si>
    <t>238320</t>
  </si>
  <si>
    <t>Painting and Wall Covering Contractors</t>
  </si>
  <si>
    <t>238330</t>
  </si>
  <si>
    <t>Flooring Contractors</t>
  </si>
  <si>
    <t>238340</t>
  </si>
  <si>
    <t>Tile and Terrazzo Contractors</t>
  </si>
  <si>
    <t>238350</t>
  </si>
  <si>
    <t>Finish Carpentry Contractors</t>
  </si>
  <si>
    <t>238390</t>
  </si>
  <si>
    <t>Other Building Finishing Contractors</t>
  </si>
  <si>
    <t>238910</t>
  </si>
  <si>
    <t>Site Preparation Contractors</t>
  </si>
  <si>
    <t>1794</t>
  </si>
  <si>
    <t>Excavation Work</t>
  </si>
  <si>
    <t>1795</t>
  </si>
  <si>
    <t>Wrecking and Demolition Work</t>
  </si>
  <si>
    <t>7353</t>
  </si>
  <si>
    <t>Heavy Construction Equipment Rental</t>
  </si>
  <si>
    <t>238990</t>
  </si>
  <si>
    <t>All Other Specialty Trade Contractors</t>
  </si>
  <si>
    <t>311111</t>
  </si>
  <si>
    <t>Dog and Cat Food Manufacturing</t>
  </si>
  <si>
    <t>2047</t>
  </si>
  <si>
    <t>Dog and Cat Food</t>
  </si>
  <si>
    <t>311119</t>
  </si>
  <si>
    <t>Other Animal Food Manufacturing</t>
  </si>
  <si>
    <t>2048</t>
  </si>
  <si>
    <t>Prepared Feeds, Nec</t>
  </si>
  <si>
    <t>723</t>
  </si>
  <si>
    <t>311211</t>
  </si>
  <si>
    <t>Flour Milling</t>
  </si>
  <si>
    <t>2034</t>
  </si>
  <si>
    <t>Dehydrated Fruits, Vegetables, Soups</t>
  </si>
  <si>
    <t>2041</t>
  </si>
  <si>
    <t>Flour and Other Grain Mill Products</t>
  </si>
  <si>
    <t>311212</t>
  </si>
  <si>
    <t>Rice Milling</t>
  </si>
  <si>
    <t>2044</t>
  </si>
  <si>
    <t>311213</t>
  </si>
  <si>
    <t>Malt Manufacturing</t>
  </si>
  <si>
    <t>2083</t>
  </si>
  <si>
    <t>Malt</t>
  </si>
  <si>
    <t>311221</t>
  </si>
  <si>
    <t>Wet Corn Milling</t>
  </si>
  <si>
    <t>2046</t>
  </si>
  <si>
    <t>311224</t>
  </si>
  <si>
    <t>Soybean and Other Oilseed Processing</t>
  </si>
  <si>
    <t>2074</t>
  </si>
  <si>
    <t>Cottonseed Oil Mills</t>
  </si>
  <si>
    <t>2075</t>
  </si>
  <si>
    <t>Soybean Oil Mills</t>
  </si>
  <si>
    <t>2076</t>
  </si>
  <si>
    <t>Vegetable Oil Mills, Nec</t>
  </si>
  <si>
    <t>2079</t>
  </si>
  <si>
    <t>Edible Fats and Oils</t>
  </si>
  <si>
    <t>311225</t>
  </si>
  <si>
    <t>Fats and Oils Refining and Blending</t>
  </si>
  <si>
    <t>311230</t>
  </si>
  <si>
    <t>Breakfast Cereal Manufacturing</t>
  </si>
  <si>
    <t>2043</t>
  </si>
  <si>
    <t>Cereal Breakfast Foods</t>
  </si>
  <si>
    <t>311313</t>
  </si>
  <si>
    <t>Beet Sugar Manufacturing</t>
  </si>
  <si>
    <t>2063</t>
  </si>
  <si>
    <t>Beet Sugar</t>
  </si>
  <si>
    <t>311314</t>
  </si>
  <si>
    <t>Cane Sugar Manufacturing</t>
  </si>
  <si>
    <t>2061</t>
  </si>
  <si>
    <t>Raw Cane Sugar</t>
  </si>
  <si>
    <t>2062</t>
  </si>
  <si>
    <t>Cane Sugar Refining</t>
  </si>
  <si>
    <t>311340</t>
  </si>
  <si>
    <t>Nonchocolate Confectionery Manufacturing</t>
  </si>
  <si>
    <t>2064</t>
  </si>
  <si>
    <t>Candy and Other Confectionery Products</t>
  </si>
  <si>
    <t>2067</t>
  </si>
  <si>
    <t>Chewing Gum</t>
  </si>
  <si>
    <t>5441</t>
  </si>
  <si>
    <t>Candy, Nut, and Confectionery Stores</t>
  </si>
  <si>
    <t>311351</t>
  </si>
  <si>
    <t>Chocolate and Confectionery Manufacturing from Cacao Beans</t>
  </si>
  <si>
    <t>2066</t>
  </si>
  <si>
    <t>Chocolate and Cocoa Products</t>
  </si>
  <si>
    <t>311352</t>
  </si>
  <si>
    <t>Confectionery Manufacturing from Purchased Chocolate</t>
  </si>
  <si>
    <t>311411</t>
  </si>
  <si>
    <t>Frozen Fruit, Juice, and Vegetable Manufacturing</t>
  </si>
  <si>
    <t>2037</t>
  </si>
  <si>
    <t>Frozen Fruits and Vegetables</t>
  </si>
  <si>
    <t>311412</t>
  </si>
  <si>
    <t>Frozen Specialty Food Manufacturing</t>
  </si>
  <si>
    <t>2038</t>
  </si>
  <si>
    <t>Frozen Specialties, Nec</t>
  </si>
  <si>
    <t>311421</t>
  </si>
  <si>
    <t>Fruit and Vegetable Canning</t>
  </si>
  <si>
    <t>2033</t>
  </si>
  <si>
    <t>Canned Fruits and Specialties</t>
  </si>
  <si>
    <t>2035</t>
  </si>
  <si>
    <t>Pickles, Sauces, and Salad Dressings</t>
  </si>
  <si>
    <t>311422</t>
  </si>
  <si>
    <t>Specialty Canning</t>
  </si>
  <si>
    <t>2032</t>
  </si>
  <si>
    <t>Canned Specialties</t>
  </si>
  <si>
    <t>311423</t>
  </si>
  <si>
    <t>Dried and Dehydrated Food Manufacturing</t>
  </si>
  <si>
    <t>311511</t>
  </si>
  <si>
    <t>Fluid Milk Manufacturing</t>
  </si>
  <si>
    <t>2023</t>
  </si>
  <si>
    <t>Dry, Condensed, Evaporated Products</t>
  </si>
  <si>
    <t>2026</t>
  </si>
  <si>
    <t>Fluid Milk</t>
  </si>
  <si>
    <t>311512</t>
  </si>
  <si>
    <t>Creamery Butter Manufacturing</t>
  </si>
  <si>
    <t>2021</t>
  </si>
  <si>
    <t>Creamery Butter</t>
  </si>
  <si>
    <t>311513</t>
  </si>
  <si>
    <t>Cheese Manufacturing</t>
  </si>
  <si>
    <t>2022</t>
  </si>
  <si>
    <t>Cheese; Natural and Processed</t>
  </si>
  <si>
    <t>311514</t>
  </si>
  <si>
    <t>Dry, Condensed, and Evaporated Dairy Product Manufacturing</t>
  </si>
  <si>
    <t>311520</t>
  </si>
  <si>
    <t>Ice Cream and Frozen Dessert Manufacturing</t>
  </si>
  <si>
    <t>2024</t>
  </si>
  <si>
    <t>Ice Cream and Frozen Desserts</t>
  </si>
  <si>
    <t>311611</t>
  </si>
  <si>
    <t>Animal (except Poultry) Slaughtering</t>
  </si>
  <si>
    <t>2011</t>
  </si>
  <si>
    <t>Meat Packing Plants</t>
  </si>
  <si>
    <t>751</t>
  </si>
  <si>
    <t>311612</t>
  </si>
  <si>
    <t>Meat Processed from Carcasses</t>
  </si>
  <si>
    <t>2013</t>
  </si>
  <si>
    <t>Sausages and Other Prepared Meats</t>
  </si>
  <si>
    <t>5147</t>
  </si>
  <si>
    <t>Meats and Meat Products</t>
  </si>
  <si>
    <t>311613</t>
  </si>
  <si>
    <t>Rendering and Meat Byproduct Processing</t>
  </si>
  <si>
    <t>2077</t>
  </si>
  <si>
    <t>Animal and Marine Fats and Oils</t>
  </si>
  <si>
    <t>311615</t>
  </si>
  <si>
    <t>Poultry Processing</t>
  </si>
  <si>
    <t>2015</t>
  </si>
  <si>
    <t>Poultry Slaughtering and Processing</t>
  </si>
  <si>
    <t>311710</t>
  </si>
  <si>
    <t>Seafood Product Preparation and Packaging</t>
  </si>
  <si>
    <t>2091</t>
  </si>
  <si>
    <t>Canned and Cured Fish and Seafoods</t>
  </si>
  <si>
    <t>2092</t>
  </si>
  <si>
    <t>Fresh or Frozen Packaged Fish</t>
  </si>
  <si>
    <t>311811</t>
  </si>
  <si>
    <t>Retail Bakeries</t>
  </si>
  <si>
    <t>5461</t>
  </si>
  <si>
    <t>311812</t>
  </si>
  <si>
    <t>Commercial Bakeries</t>
  </si>
  <si>
    <t>2051</t>
  </si>
  <si>
    <t>Bread, Cake, and Related Products</t>
  </si>
  <si>
    <t>2052</t>
  </si>
  <si>
    <t>Cookies and Crackers</t>
  </si>
  <si>
    <t>311813</t>
  </si>
  <si>
    <t>Frozen Cakes, Pies, and Other Pastries Manufacturing</t>
  </si>
  <si>
    <t>2053</t>
  </si>
  <si>
    <t>Frozen Bakery Products, Except Bread</t>
  </si>
  <si>
    <t>311821</t>
  </si>
  <si>
    <t>Cookie and Cracker Manufacturing</t>
  </si>
  <si>
    <t>311824</t>
  </si>
  <si>
    <t>Dry Pasta, Dough, and Flour Mixes Manufacturing from Purchased Flour</t>
  </si>
  <si>
    <t>2045</t>
  </si>
  <si>
    <t>Prepared Flour Mixes and Doughs</t>
  </si>
  <si>
    <t>2098</t>
  </si>
  <si>
    <t>Macaroni and Spaghetti</t>
  </si>
  <si>
    <t>311830</t>
  </si>
  <si>
    <t>Tortilla Manufacturing</t>
  </si>
  <si>
    <t>311911</t>
  </si>
  <si>
    <t>Roasted Nuts and Peanut Butter Manufacturing</t>
  </si>
  <si>
    <t>2068</t>
  </si>
  <si>
    <t>Salted and Roasted Nuts and Seeds</t>
  </si>
  <si>
    <t>311919</t>
  </si>
  <si>
    <t>Other Snack Food Manufacturing</t>
  </si>
  <si>
    <t>2096</t>
  </si>
  <si>
    <t>Potato Chips and Similar Snacks</t>
  </si>
  <si>
    <t>311920</t>
  </si>
  <si>
    <t>Coffee and Tea Manufacturing</t>
  </si>
  <si>
    <t>BEVERAGE</t>
  </si>
  <si>
    <t>2087</t>
  </si>
  <si>
    <t>Flavoring Extracts and Syrups, Nec</t>
  </si>
  <si>
    <t>2095</t>
  </si>
  <si>
    <t>Roasted Coffee</t>
  </si>
  <si>
    <t>311930</t>
  </si>
  <si>
    <t>Flavoring Syrup and Concentrate Manufacturing</t>
  </si>
  <si>
    <t>311941</t>
  </si>
  <si>
    <t>Mayonnaise, Dressing, and Other Prepared Sauce Manufacturing</t>
  </si>
  <si>
    <t>311942</t>
  </si>
  <si>
    <t>Spice and Extract Manufacturing</t>
  </si>
  <si>
    <t>2082</t>
  </si>
  <si>
    <t>Malt Beverages</t>
  </si>
  <si>
    <t>2899</t>
  </si>
  <si>
    <t>Chemical Preparations, Nec</t>
  </si>
  <si>
    <t>311991</t>
  </si>
  <si>
    <t>Perishable Prepared Food Manufacturing</t>
  </si>
  <si>
    <t>311999</t>
  </si>
  <si>
    <t>All Other Miscellaneous Food Manufacturing</t>
  </si>
  <si>
    <t>312111</t>
  </si>
  <si>
    <t>Soft Drink Manufacturing</t>
  </si>
  <si>
    <t>2086</t>
  </si>
  <si>
    <t>Bottled and Canned Soft Drinks</t>
  </si>
  <si>
    <t>312112</t>
  </si>
  <si>
    <t>Bottled Water Manufacturing</t>
  </si>
  <si>
    <t>5149</t>
  </si>
  <si>
    <t>Groceries and Related Products, Nec</t>
  </si>
  <si>
    <t>312113</t>
  </si>
  <si>
    <t>Ice Manufacturing</t>
  </si>
  <si>
    <t>2097</t>
  </si>
  <si>
    <t>Manufactured Ice</t>
  </si>
  <si>
    <t>312120</t>
  </si>
  <si>
    <t>Breweries</t>
  </si>
  <si>
    <t>312130</t>
  </si>
  <si>
    <t>Wineries</t>
  </si>
  <si>
    <t>2084</t>
  </si>
  <si>
    <t>Wines, Brandy, and Brandy Spirits</t>
  </si>
  <si>
    <t>2085</t>
  </si>
  <si>
    <t>Distilled and Blended Liquors</t>
  </si>
  <si>
    <t>312140</t>
  </si>
  <si>
    <t>Distilleries</t>
  </si>
  <si>
    <t>312230</t>
  </si>
  <si>
    <t>Tobacco Manufacturing</t>
  </si>
  <si>
    <t>2111</t>
  </si>
  <si>
    <t>Cigarettes</t>
  </si>
  <si>
    <t>2121</t>
  </si>
  <si>
    <t>Cigars</t>
  </si>
  <si>
    <t>2131</t>
  </si>
  <si>
    <t>Chewing and Smoking Tobacco</t>
  </si>
  <si>
    <t>2141</t>
  </si>
  <si>
    <t>Tobacco Stemming and Redrying</t>
  </si>
  <si>
    <t>7389</t>
  </si>
  <si>
    <t>Business Services, Nec</t>
  </si>
  <si>
    <t>313110</t>
  </si>
  <si>
    <t>Fiber, Yarn, and Thread Mills</t>
  </si>
  <si>
    <t>2281</t>
  </si>
  <si>
    <t>Yarn Spinning Mills</t>
  </si>
  <si>
    <t>CONSUMER DISCRETIONARY</t>
  </si>
  <si>
    <t>HOME FURNISHINGS</t>
  </si>
  <si>
    <t>2282</t>
  </si>
  <si>
    <t>Throwing and Winding Mills</t>
  </si>
  <si>
    <t>2284</t>
  </si>
  <si>
    <t>Thread Mills</t>
  </si>
  <si>
    <t>2298</t>
  </si>
  <si>
    <t>Cordage and Twine</t>
  </si>
  <si>
    <t>2299</t>
  </si>
  <si>
    <t>Textile Goods, Nec</t>
  </si>
  <si>
    <t>313210</t>
  </si>
  <si>
    <t>Broadwoven Fabric Mills</t>
  </si>
  <si>
    <t>2211</t>
  </si>
  <si>
    <t>Broadwoven Fabric Mills, Cotton</t>
  </si>
  <si>
    <t>TEXTILE APPAREL LUXURY GOODS</t>
  </si>
  <si>
    <t>2221</t>
  </si>
  <si>
    <t>Broadwoven Fabric Mills, Manmade</t>
  </si>
  <si>
    <t>2231</t>
  </si>
  <si>
    <t>Broadwoven Fabric Mills, Wool</t>
  </si>
  <si>
    <t>313220</t>
  </si>
  <si>
    <t>Narrow Fabric Mills and Schiffli Machine Embroidery</t>
  </si>
  <si>
    <t>2241</t>
  </si>
  <si>
    <t>Narrow Fabric Mills</t>
  </si>
  <si>
    <t>2397</t>
  </si>
  <si>
    <t>Schiffli Machine Embroideries</t>
  </si>
  <si>
    <t>313230</t>
  </si>
  <si>
    <t>Nonwoven Fabric Mills</t>
  </si>
  <si>
    <t>2297</t>
  </si>
  <si>
    <t>Nonwoven Fabrics</t>
  </si>
  <si>
    <t>313240</t>
  </si>
  <si>
    <t>Knit Fabric Mills</t>
  </si>
  <si>
    <t>2257</t>
  </si>
  <si>
    <t>Weft Knit Fabric Mills</t>
  </si>
  <si>
    <t>2258</t>
  </si>
  <si>
    <t>Lace and Warp Knit Fabric Mills</t>
  </si>
  <si>
    <t>2259</t>
  </si>
  <si>
    <t>Knitting Mills, Nec</t>
  </si>
  <si>
    <t>313310</t>
  </si>
  <si>
    <t>Textile and Fabric Finishing Mills</t>
  </si>
  <si>
    <t>2251</t>
  </si>
  <si>
    <t>Women's Hosiery, Except Socks</t>
  </si>
  <si>
    <t>2252</t>
  </si>
  <si>
    <t>Hosiery, Nec</t>
  </si>
  <si>
    <t>2253</t>
  </si>
  <si>
    <t>Knit Outerwear Mills</t>
  </si>
  <si>
    <t>2254</t>
  </si>
  <si>
    <t>Knit Underwear Mills</t>
  </si>
  <si>
    <t>2261</t>
  </si>
  <si>
    <t>Finishing Plants, Cotton</t>
  </si>
  <si>
    <t>2262</t>
  </si>
  <si>
    <t>Finishing Plants, Manmade</t>
  </si>
  <si>
    <t>2269</t>
  </si>
  <si>
    <t>Finishing Plants, Nec</t>
  </si>
  <si>
    <t>5131</t>
  </si>
  <si>
    <t>Piece Goods and Notions</t>
  </si>
  <si>
    <t>313320</t>
  </si>
  <si>
    <t>Fabric Coating Mills</t>
  </si>
  <si>
    <t>2295</t>
  </si>
  <si>
    <t>Coated Fabrics, Not Rubberized</t>
  </si>
  <si>
    <t>3069</t>
  </si>
  <si>
    <t>Fabricated Rubber Products, Nec</t>
  </si>
  <si>
    <t>314110</t>
  </si>
  <si>
    <t>Carpet and Rug Mills</t>
  </si>
  <si>
    <t>2273</t>
  </si>
  <si>
    <t>Carpets and Rugs</t>
  </si>
  <si>
    <t>314120</t>
  </si>
  <si>
    <t>Curtain and Linen Mills</t>
  </si>
  <si>
    <t>2391</t>
  </si>
  <si>
    <t>Curtains and Draperies</t>
  </si>
  <si>
    <t>2392</t>
  </si>
  <si>
    <t>Household Furnishings, Nec</t>
  </si>
  <si>
    <t>5714</t>
  </si>
  <si>
    <t>Drapery and Upholstery Stores</t>
  </si>
  <si>
    <t>314910</t>
  </si>
  <si>
    <t>Textile Bag and Canvas Mills</t>
  </si>
  <si>
    <t>2393</t>
  </si>
  <si>
    <t>Textile Bags</t>
  </si>
  <si>
    <t>2394</t>
  </si>
  <si>
    <t>Canvas and Related Products</t>
  </si>
  <si>
    <t>314994</t>
  </si>
  <si>
    <t>Rope, Cordage, Twine, Tire Cord, and Tire Fabric Mills</t>
  </si>
  <si>
    <t>2296</t>
  </si>
  <si>
    <t>Tire Cord and Fabrics</t>
  </si>
  <si>
    <t>314999</t>
  </si>
  <si>
    <t>All Other Miscellaneous Textile Product Mills</t>
  </si>
  <si>
    <t>2311</t>
  </si>
  <si>
    <t>Men's and Boy's Suits and Coats</t>
  </si>
  <si>
    <t>2321</t>
  </si>
  <si>
    <t>Men's and Boy's Furnishings</t>
  </si>
  <si>
    <t>2322</t>
  </si>
  <si>
    <t>Men's and Boy's Underwear and Nightwear</t>
  </si>
  <si>
    <t>2323</t>
  </si>
  <si>
    <t>Men's and Boy's Neckwear</t>
  </si>
  <si>
    <t>2325</t>
  </si>
  <si>
    <t>Men's and Boy's Trousers and Slacks</t>
  </si>
  <si>
    <t>2326</t>
  </si>
  <si>
    <t>Men's and Boy's Work Clothing</t>
  </si>
  <si>
    <t>2329</t>
  </si>
  <si>
    <t>Men's and Boy's Clothing, Nec</t>
  </si>
  <si>
    <t>2331</t>
  </si>
  <si>
    <t>Women's and Misses' Blouses and Shirts</t>
  </si>
  <si>
    <t>2335</t>
  </si>
  <si>
    <t>Women's, Junior's, and Misses' Dresses</t>
  </si>
  <si>
    <t>2337</t>
  </si>
  <si>
    <t>Women's and Misses' Suits and Coats</t>
  </si>
  <si>
    <t>2339</t>
  </si>
  <si>
    <t>Women's and Misses' Outerwear, Nec</t>
  </si>
  <si>
    <t>2341</t>
  </si>
  <si>
    <t>Women's and Children's Underwear</t>
  </si>
  <si>
    <t>2342</t>
  </si>
  <si>
    <t>Bras, Girdles, and Allied Garments</t>
  </si>
  <si>
    <t>2353</t>
  </si>
  <si>
    <t>Hats, Caps, and Millinery</t>
  </si>
  <si>
    <t>2361</t>
  </si>
  <si>
    <t>Girl's and Children's Dresses, Blouses</t>
  </si>
  <si>
    <t>2369</t>
  </si>
  <si>
    <t>Girl's and Children's Outerwear, Nec</t>
  </si>
  <si>
    <t>2371</t>
  </si>
  <si>
    <t>Fur Goods</t>
  </si>
  <si>
    <t>2381</t>
  </si>
  <si>
    <t>Fabric Dress and Work Gloves</t>
  </si>
  <si>
    <t>2384</t>
  </si>
  <si>
    <t>Robes and Dressing Gowns</t>
  </si>
  <si>
    <t>2385</t>
  </si>
  <si>
    <t>Waterproof Outerwear</t>
  </si>
  <si>
    <t>2386</t>
  </si>
  <si>
    <t>Leather and Sheep-lined Clothing</t>
  </si>
  <si>
    <t>2387</t>
  </si>
  <si>
    <t>Apparel Belts</t>
  </si>
  <si>
    <t>2389</t>
  </si>
  <si>
    <t>Apparel and Accessories, Nec</t>
  </si>
  <si>
    <t>2395</t>
  </si>
  <si>
    <t>Pleating and Stitching</t>
  </si>
  <si>
    <t>2396</t>
  </si>
  <si>
    <t>Automotive and Apparel Trimmings</t>
  </si>
  <si>
    <t>2399</t>
  </si>
  <si>
    <t>Fabricated Textile Products, Nec</t>
  </si>
  <si>
    <t>3151</t>
  </si>
  <si>
    <t>Leather Gloves and Mittens</t>
  </si>
  <si>
    <t>3569</t>
  </si>
  <si>
    <t>General Industrial Machinery,</t>
  </si>
  <si>
    <t>315110</t>
  </si>
  <si>
    <t>Hosiery and Sock Mills</t>
  </si>
  <si>
    <t>315190</t>
  </si>
  <si>
    <t>Other Apparel Knitting Mills</t>
  </si>
  <si>
    <t>315210</t>
  </si>
  <si>
    <t>Cut and Sew Apparel Contractors</t>
  </si>
  <si>
    <t>315220</t>
  </si>
  <si>
    <t>Men's and Boys' Cut and Sew Apparel Manufacturing</t>
  </si>
  <si>
    <t>5699</t>
  </si>
  <si>
    <t>Miscellaneous Apparel and Accessories</t>
  </si>
  <si>
    <t>315240</t>
  </si>
  <si>
    <t>Women's, Girls', and Infants' Cut and Sew Apparel Manufacturing</t>
  </si>
  <si>
    <t>315280</t>
  </si>
  <si>
    <t>Other Cut and Sew Apparel Manufacturing</t>
  </si>
  <si>
    <t>315990</t>
  </si>
  <si>
    <t>Apparel Accessories and Other Apparel Manufacturing</t>
  </si>
  <si>
    <t>316110</t>
  </si>
  <si>
    <t>Leather and Hide Tanning and Finishing</t>
  </si>
  <si>
    <t>3111</t>
  </si>
  <si>
    <t>Leather Tanning and Finishing</t>
  </si>
  <si>
    <t>MANUFACTURING</t>
  </si>
  <si>
    <t>3999</t>
  </si>
  <si>
    <t>Manufacturing Industries, Nec</t>
  </si>
  <si>
    <t>316210</t>
  </si>
  <si>
    <t>Footwear Manufacturing</t>
  </si>
  <si>
    <t>3021</t>
  </si>
  <si>
    <t>Rubber and Plastics Footwear</t>
  </si>
  <si>
    <t>3142</t>
  </si>
  <si>
    <t>House Slippers</t>
  </si>
  <si>
    <t>3143</t>
  </si>
  <si>
    <t>Men's Footwear, Except athletic</t>
  </si>
  <si>
    <t>3144</t>
  </si>
  <si>
    <t>Women's Footwear, Except athletic</t>
  </si>
  <si>
    <t>3149</t>
  </si>
  <si>
    <t>Footwear, Except Rubber, Nec</t>
  </si>
  <si>
    <t>316992</t>
  </si>
  <si>
    <t>Women's Handbag and Purse Manufacturing</t>
  </si>
  <si>
    <t>3171</t>
  </si>
  <si>
    <t>Women's Handbags and Purses</t>
  </si>
  <si>
    <t>316998</t>
  </si>
  <si>
    <t>All Other Leather Good and Allied Product Manufacturing</t>
  </si>
  <si>
    <t>3131</t>
  </si>
  <si>
    <t>Footwear Cut Stock</t>
  </si>
  <si>
    <t>3161</t>
  </si>
  <si>
    <t>Luggage</t>
  </si>
  <si>
    <t>3172</t>
  </si>
  <si>
    <t>Personal Leather Goods, Nec</t>
  </si>
  <si>
    <t>3199</t>
  </si>
  <si>
    <t>Leather Goods, Nec</t>
  </si>
  <si>
    <t>321113</t>
  </si>
  <si>
    <t>Sawmills</t>
  </si>
  <si>
    <t>2421</t>
  </si>
  <si>
    <t>Sawmills and Planing Mills, General</t>
  </si>
  <si>
    <t>2426</t>
  </si>
  <si>
    <t>Hardwood Dimension and Flooring Mills</t>
  </si>
  <si>
    <t>2429</t>
  </si>
  <si>
    <t>Special Product Sawmills, Nec</t>
  </si>
  <si>
    <t>321114</t>
  </si>
  <si>
    <t>Wood Preservation</t>
  </si>
  <si>
    <t>2491</t>
  </si>
  <si>
    <t>Wood Preserving</t>
  </si>
  <si>
    <t>321211</t>
  </si>
  <si>
    <t>Hardwood Veneer and Plywood Manufacturing</t>
  </si>
  <si>
    <t>2435</t>
  </si>
  <si>
    <t>Hardwood Veneer and Plywood</t>
  </si>
  <si>
    <t>321212</t>
  </si>
  <si>
    <t>Softwood Veneer and Plywood Manufacturing</t>
  </si>
  <si>
    <t>2436</t>
  </si>
  <si>
    <t>Softwood Veneer and Plywood</t>
  </si>
  <si>
    <t>321213</t>
  </si>
  <si>
    <t>Engineered Wood Member (except Truss) Manufacturing</t>
  </si>
  <si>
    <t>2439</t>
  </si>
  <si>
    <t>Structural Wood Members, Nec</t>
  </si>
  <si>
    <t>321214</t>
  </si>
  <si>
    <t>Truss Manufacturing</t>
  </si>
  <si>
    <t>321219</t>
  </si>
  <si>
    <t>Reconstituted Wood Product Manufacturing</t>
  </si>
  <si>
    <t>2493</t>
  </si>
  <si>
    <t>Reconstituted Wood Products</t>
  </si>
  <si>
    <t>321911</t>
  </si>
  <si>
    <t>Wood Window and Door Manufacturing</t>
  </si>
  <si>
    <t>2431</t>
  </si>
  <si>
    <t>Millwork</t>
  </si>
  <si>
    <t>321912</t>
  </si>
  <si>
    <t>Cut Stock, Resawing Lumber, and Planing</t>
  </si>
  <si>
    <t>321918</t>
  </si>
  <si>
    <t>Other Millwork (including Flooring)</t>
  </si>
  <si>
    <t>321920</t>
  </si>
  <si>
    <t>Wood Container and Pallet Manufacturing</t>
  </si>
  <si>
    <t>2441</t>
  </si>
  <si>
    <t>Nailed Wood Boxes and Shook</t>
  </si>
  <si>
    <t>2448</t>
  </si>
  <si>
    <t>Wood Pallets and Skids</t>
  </si>
  <si>
    <t>2449</t>
  </si>
  <si>
    <t>Wood Containers, Nec</t>
  </si>
  <si>
    <t>2499</t>
  </si>
  <si>
    <t>Wood Products, Nec</t>
  </si>
  <si>
    <t>321991</t>
  </si>
  <si>
    <t>Manufactured Home (Mobile Home) Manufacturing</t>
  </si>
  <si>
    <t>2451</t>
  </si>
  <si>
    <t>Mobile Homes</t>
  </si>
  <si>
    <t>321992</t>
  </si>
  <si>
    <t>Prefabricated Wood Building Manufacturing</t>
  </si>
  <si>
    <t>2452</t>
  </si>
  <si>
    <t>Prefabricated Wood Buildings</t>
  </si>
  <si>
    <t>321999</t>
  </si>
  <si>
    <t>All Other Miscellaneous Wood Product Manufacturing</t>
  </si>
  <si>
    <t>2517</t>
  </si>
  <si>
    <t>Wood Television and Radio Cabinets</t>
  </si>
  <si>
    <t>322110</t>
  </si>
  <si>
    <t>Pulp Mills</t>
  </si>
  <si>
    <t>2611</t>
  </si>
  <si>
    <t>322121</t>
  </si>
  <si>
    <t>Paper (except Newsprint) Mills</t>
  </si>
  <si>
    <t>2621</t>
  </si>
  <si>
    <t>Paper Mills</t>
  </si>
  <si>
    <t>322122</t>
  </si>
  <si>
    <t>Newsprint Mills</t>
  </si>
  <si>
    <t>322130</t>
  </si>
  <si>
    <t>Paperboard Mills</t>
  </si>
  <si>
    <t>2631</t>
  </si>
  <si>
    <t>322211</t>
  </si>
  <si>
    <t>Corrugated and Solid Fiber Box Manufacturing</t>
  </si>
  <si>
    <t>2653</t>
  </si>
  <si>
    <t>Corrugated and Solid Fiber Boxes</t>
  </si>
  <si>
    <t>2679</t>
  </si>
  <si>
    <t>Converted Paper Products, Nec</t>
  </si>
  <si>
    <t>322212</t>
  </si>
  <si>
    <t>Folding Paperboard Box Manufacturing</t>
  </si>
  <si>
    <t>2657</t>
  </si>
  <si>
    <t>Folding Paperboard Boxes</t>
  </si>
  <si>
    <t>322219</t>
  </si>
  <si>
    <t>Other Paperboard Container Manufacturing</t>
  </si>
  <si>
    <t>2652</t>
  </si>
  <si>
    <t>Setup Paperboard Boxes</t>
  </si>
  <si>
    <t>2655</t>
  </si>
  <si>
    <t>Fiber Cans, Drums, and Similar Products</t>
  </si>
  <si>
    <t>2656</t>
  </si>
  <si>
    <t>Sanitary Food Containers</t>
  </si>
  <si>
    <t>322220</t>
  </si>
  <si>
    <t>Paper Bag and Coated and Treated Paper Manufacturing</t>
  </si>
  <si>
    <t>2671</t>
  </si>
  <si>
    <t>Paper; Coated and Laminated Packaging</t>
  </si>
  <si>
    <t>2672</t>
  </si>
  <si>
    <t>Paper; Coated and Laminated, Nec</t>
  </si>
  <si>
    <t>2673</t>
  </si>
  <si>
    <t>Bags: Plastic, Laminated, and Coated</t>
  </si>
  <si>
    <t>2674</t>
  </si>
  <si>
    <t>Bags: Uncoated Paper and Multiwall</t>
  </si>
  <si>
    <t>2675</t>
  </si>
  <si>
    <t>Die-cut Paper and Board</t>
  </si>
  <si>
    <t>3497</t>
  </si>
  <si>
    <t>Metal Foil and Leaf</t>
  </si>
  <si>
    <t>322230</t>
  </si>
  <si>
    <t>Stationery Product Manufacturing</t>
  </si>
  <si>
    <t>2677</t>
  </si>
  <si>
    <t>Envelopes</t>
  </si>
  <si>
    <t>2678</t>
  </si>
  <si>
    <t>Stationery Products</t>
  </si>
  <si>
    <t>322291</t>
  </si>
  <si>
    <t>Sanitary Paper Product Manufacturing</t>
  </si>
  <si>
    <t>2676</t>
  </si>
  <si>
    <t>Sanitary Paper Products</t>
  </si>
  <si>
    <t>3842</t>
  </si>
  <si>
    <t>Surgical Appliances and Supplies</t>
  </si>
  <si>
    <t>322299</t>
  </si>
  <si>
    <t>All Other Converted Paper Product Manufacturing</t>
  </si>
  <si>
    <t>323111</t>
  </si>
  <si>
    <t>Commercial Printing (except Screen and Books)</t>
  </si>
  <si>
    <t>2752</t>
  </si>
  <si>
    <t>Commercial Printing, Lithographic</t>
  </si>
  <si>
    <t>MEDIA</t>
  </si>
  <si>
    <t>2754</t>
  </si>
  <si>
    <t>Commercial Printing, Gravure</t>
  </si>
  <si>
    <t>2759</t>
  </si>
  <si>
    <t>Commercial Printing, Nec</t>
  </si>
  <si>
    <t>2761</t>
  </si>
  <si>
    <t>Manifold Business Forms</t>
  </si>
  <si>
    <t>2771</t>
  </si>
  <si>
    <t>Greeting Cards</t>
  </si>
  <si>
    <t>2782</t>
  </si>
  <si>
    <t>Blankbooks and Looseleaf Binders</t>
  </si>
  <si>
    <t>7334</t>
  </si>
  <si>
    <t>Photocopying and Duplicating Services</t>
  </si>
  <si>
    <t>323113</t>
  </si>
  <si>
    <t>Commercial Screen Printing</t>
  </si>
  <si>
    <t>COMMERCIAL &amp; PROFESSIONAL SERVICES</t>
  </si>
  <si>
    <t>3993</t>
  </si>
  <si>
    <t>Signs and Advertising Specialties</t>
  </si>
  <si>
    <t>323117</t>
  </si>
  <si>
    <t>Books Printing</t>
  </si>
  <si>
    <t>2732</t>
  </si>
  <si>
    <t>Book Printing</t>
  </si>
  <si>
    <t>323120</t>
  </si>
  <si>
    <t>Support Activites for Printing</t>
  </si>
  <si>
    <t>2789</t>
  </si>
  <si>
    <t>Bookbinding and Related Work</t>
  </si>
  <si>
    <t>2791</t>
  </si>
  <si>
    <t>Typesetting</t>
  </si>
  <si>
    <t>2796</t>
  </si>
  <si>
    <t>Platemaking Services</t>
  </si>
  <si>
    <t>324110</t>
  </si>
  <si>
    <t>Petroleum Refineries</t>
  </si>
  <si>
    <t>2911</t>
  </si>
  <si>
    <t>Petroleum Refining</t>
  </si>
  <si>
    <t>324121</t>
  </si>
  <si>
    <t>Asphalt Paving Mixture and Block Manufacturing</t>
  </si>
  <si>
    <t>2951</t>
  </si>
  <si>
    <t>Asphalt Paving Mixtures and Blocks</t>
  </si>
  <si>
    <t>324122</t>
  </si>
  <si>
    <t>Asphalt Shingle and Coating Materials Manufacturing</t>
  </si>
  <si>
    <t>2952</t>
  </si>
  <si>
    <t>Asphalt Felts and Coatings</t>
  </si>
  <si>
    <t>324191</t>
  </si>
  <si>
    <t>Petroleum Lubricating Oil and Grease Manufacturing</t>
  </si>
  <si>
    <t>2992</t>
  </si>
  <si>
    <t>Lubricating Oils and Greases</t>
  </si>
  <si>
    <t>324199</t>
  </si>
  <si>
    <t>All Other Petroleum and Coal Products Manufacturing</t>
  </si>
  <si>
    <t>2999</t>
  </si>
  <si>
    <t>Petroleum and Coal Products, Nec</t>
  </si>
  <si>
    <t>3312</t>
  </si>
  <si>
    <t>Blast Furnaces and Steel Mills</t>
  </si>
  <si>
    <t>325110</t>
  </si>
  <si>
    <t>Petrochemical Manufacturing</t>
  </si>
  <si>
    <t>2865</t>
  </si>
  <si>
    <t>Cyclic Crudes and Intermediates</t>
  </si>
  <si>
    <t>CHEMICALS</t>
  </si>
  <si>
    <t>2869</t>
  </si>
  <si>
    <t>Industrial Organic Chemicals, Nec</t>
  </si>
  <si>
    <t>325120</t>
  </si>
  <si>
    <t>Industrial Gas Manufacturing</t>
  </si>
  <si>
    <t>2813</t>
  </si>
  <si>
    <t>Industrial Gases</t>
  </si>
  <si>
    <t>325130</t>
  </si>
  <si>
    <t>Synthetic Dye and Pigment Manufacturing</t>
  </si>
  <si>
    <t>2816</t>
  </si>
  <si>
    <t>Inorganic Pigments</t>
  </si>
  <si>
    <t>325180</t>
  </si>
  <si>
    <t>Other Basic Inorganic Chemical Manufacturing</t>
  </si>
  <si>
    <t>2812</t>
  </si>
  <si>
    <t>Alkalies and Chlorine</t>
  </si>
  <si>
    <t>2895</t>
  </si>
  <si>
    <t>Carbon Black</t>
  </si>
  <si>
    <t>325193</t>
  </si>
  <si>
    <t>Ethyl Alcohol Manufacturing</t>
  </si>
  <si>
    <t>325194</t>
  </si>
  <si>
    <t>Cyclic Crude, Intermediate, and Gum and Wood Chemical Manufacturing</t>
  </si>
  <si>
    <t>2861</t>
  </si>
  <si>
    <t>Gum and Wood Chemicals</t>
  </si>
  <si>
    <t>325199</t>
  </si>
  <si>
    <t>All Other Basic Organic Chemical Manufacturing</t>
  </si>
  <si>
    <t>325211</t>
  </si>
  <si>
    <t>Plastics Material and Resin Manufacturing</t>
  </si>
  <si>
    <t>2821</t>
  </si>
  <si>
    <t>Plastics Materials and Resins</t>
  </si>
  <si>
    <t>325212</t>
  </si>
  <si>
    <t>Synthetic Rubber Manufacturing</t>
  </si>
  <si>
    <t>2822</t>
  </si>
  <si>
    <t>Synthetic Rubber</t>
  </si>
  <si>
    <t>325220</t>
  </si>
  <si>
    <t>Artificial and Synthetic Fibers and Filaments Manufacturing</t>
  </si>
  <si>
    <t>2823</t>
  </si>
  <si>
    <t>Cellulosic Manmade Fibers</t>
  </si>
  <si>
    <t>2824</t>
  </si>
  <si>
    <t>Organic Fibers, Noncellulosic</t>
  </si>
  <si>
    <t>325311</t>
  </si>
  <si>
    <t>Nitrogenous Fertilizer Manufacturing</t>
  </si>
  <si>
    <t>2873</t>
  </si>
  <si>
    <t>Nitrogenous Fertilizers</t>
  </si>
  <si>
    <t>325312</t>
  </si>
  <si>
    <t>Phosphatic Fertilizer Manufacturing</t>
  </si>
  <si>
    <t>2874</t>
  </si>
  <si>
    <t>Phosphatic Fertilizers</t>
  </si>
  <si>
    <t>325314</t>
  </si>
  <si>
    <t>Fertilizer (Mixing Only) Manufacturing</t>
  </si>
  <si>
    <t>2875</t>
  </si>
  <si>
    <t>Fertilizers, Mixing Only</t>
  </si>
  <si>
    <t>325320</t>
  </si>
  <si>
    <t>Pesticide and Other Agricultural Chemical Manufacturing</t>
  </si>
  <si>
    <t>2879</t>
  </si>
  <si>
    <t>Agricultural Chemicals, Nec</t>
  </si>
  <si>
    <t>325411</t>
  </si>
  <si>
    <t>Medicinal and Botanical Manufacturing</t>
  </si>
  <si>
    <t>2833</t>
  </si>
  <si>
    <t>Medicinals and Botanicals</t>
  </si>
  <si>
    <t>HEALTH CARE</t>
  </si>
  <si>
    <t>PHARMACEUTICALS</t>
  </si>
  <si>
    <t>325412</t>
  </si>
  <si>
    <t>Pharmaceutical Preparation Manufacturing</t>
  </si>
  <si>
    <t>2834</t>
  </si>
  <si>
    <t>Pharmaceutical Preparations</t>
  </si>
  <si>
    <t>2835</t>
  </si>
  <si>
    <t>Diagnostic Substances</t>
  </si>
  <si>
    <t>325413</t>
  </si>
  <si>
    <t>In-Vitro Diagnostic Substance Manufacturing</t>
  </si>
  <si>
    <t>325414</t>
  </si>
  <si>
    <t>Biological Product (except Diagnostic) Manufacturing</t>
  </si>
  <si>
    <t>2836</t>
  </si>
  <si>
    <t>Biological Products, Except Diagnostic</t>
  </si>
  <si>
    <t>325510</t>
  </si>
  <si>
    <t>Paint and Coating Manufacturing</t>
  </si>
  <si>
    <t>2851</t>
  </si>
  <si>
    <t>Paints and Allied Products</t>
  </si>
  <si>
    <t>325520</t>
  </si>
  <si>
    <t>Adhesive Manufacturing</t>
  </si>
  <si>
    <t>2891</t>
  </si>
  <si>
    <t>Adhesives and Sealants</t>
  </si>
  <si>
    <t>325611</t>
  </si>
  <si>
    <t>Soap and Other Detergent Manufacturing</t>
  </si>
  <si>
    <t>2841</t>
  </si>
  <si>
    <t>Soap and Other Detergents</t>
  </si>
  <si>
    <t>2844</t>
  </si>
  <si>
    <t>Toilet Preparations</t>
  </si>
  <si>
    <t>325612</t>
  </si>
  <si>
    <t>Polish and Other Sanitation Good Manufacturing</t>
  </si>
  <si>
    <t>2842</t>
  </si>
  <si>
    <t>Polishes and Sanitation Goods</t>
  </si>
  <si>
    <t>325613</t>
  </si>
  <si>
    <t>Surface Active Agent Manufacturing</t>
  </si>
  <si>
    <t>2843</t>
  </si>
  <si>
    <t>Surface Active Agents</t>
  </si>
  <si>
    <t>325620</t>
  </si>
  <si>
    <t>Toilet Preparation Manufacturing</t>
  </si>
  <si>
    <t>325910</t>
  </si>
  <si>
    <t>Printing Ink Manufacturing</t>
  </si>
  <si>
    <t>2893</t>
  </si>
  <si>
    <t>Printing Ink</t>
  </si>
  <si>
    <t>325920</t>
  </si>
  <si>
    <t>Explosives Manufacturing</t>
  </si>
  <si>
    <t>2892</t>
  </si>
  <si>
    <t>Explosives</t>
  </si>
  <si>
    <t>325991</t>
  </si>
  <si>
    <t>Custom Compounding of Purchased Resins</t>
  </si>
  <si>
    <t>3087</t>
  </si>
  <si>
    <t>Custom Compound Purchased Resins</t>
  </si>
  <si>
    <t>325992</t>
  </si>
  <si>
    <t>Photographic Film, Paper, Plate, and Chemical Manufacturing</t>
  </si>
  <si>
    <t>3861</t>
  </si>
  <si>
    <t>Photographic Equipment and Supplies</t>
  </si>
  <si>
    <t>325998</t>
  </si>
  <si>
    <t>All Other Miscellaneous Chemical Product and Preparation Manufacturing</t>
  </si>
  <si>
    <t>3952</t>
  </si>
  <si>
    <t>Lead Pencils and Art Goods</t>
  </si>
  <si>
    <t>326111</t>
  </si>
  <si>
    <t>Plastics Bag and Pouch Manufacturing</t>
  </si>
  <si>
    <t>326112</t>
  </si>
  <si>
    <t>Plastics Packaging Film and Sheet (including Laminated) Manufacturing</t>
  </si>
  <si>
    <t>326113</t>
  </si>
  <si>
    <t>Unlaminated Plastics Film and Sheet (except Packaging) Manufacturing</t>
  </si>
  <si>
    <t>3081</t>
  </si>
  <si>
    <t>Unsupported Plastics Film and Sheet</t>
  </si>
  <si>
    <t>326121</t>
  </si>
  <si>
    <t>Unlaminated Plastics Profile Shape Manufacturing</t>
  </si>
  <si>
    <t>3082</t>
  </si>
  <si>
    <t>Unsupported Plastics Profile Shapes</t>
  </si>
  <si>
    <t>3089</t>
  </si>
  <si>
    <t>Plastics Products, Nec</t>
  </si>
  <si>
    <t>326122</t>
  </si>
  <si>
    <t>Plastics Pipe and Pipe Fitting Manufacturing</t>
  </si>
  <si>
    <t>3084</t>
  </si>
  <si>
    <t>Plastics Pipe</t>
  </si>
  <si>
    <t>326130</t>
  </si>
  <si>
    <t>Laminated Plastics Plate, Sheet (except Packaging), and Shape Manufacturing</t>
  </si>
  <si>
    <t>3083</t>
  </si>
  <si>
    <t>Laminated Plastics Plate and Sheet</t>
  </si>
  <si>
    <t>326140</t>
  </si>
  <si>
    <t>Polystyrene Foam Product Manufacturing</t>
  </si>
  <si>
    <t>3086</t>
  </si>
  <si>
    <t>Plastics Foam Products</t>
  </si>
  <si>
    <t>326150</t>
  </si>
  <si>
    <t>Urethane and Other Foam Product (except Polystyrene) Manufacturing</t>
  </si>
  <si>
    <t>326160</t>
  </si>
  <si>
    <t>Plastics Bottle Manufacturing</t>
  </si>
  <si>
    <t>3085</t>
  </si>
  <si>
    <t>Plastics Bottles</t>
  </si>
  <si>
    <t>326191</t>
  </si>
  <si>
    <t>Plastics Plumbing Fixture Manufacturing</t>
  </si>
  <si>
    <t>3088</t>
  </si>
  <si>
    <t>Plastics Plumbing Fixtures</t>
  </si>
  <si>
    <t>326199</t>
  </si>
  <si>
    <t>All Other Plastics Product Manufacturing</t>
  </si>
  <si>
    <t>3996</t>
  </si>
  <si>
    <t>Hard Surface Floor Coverings, Nec</t>
  </si>
  <si>
    <t>326211</t>
  </si>
  <si>
    <t>Tire Manufacturing (except Retreading)</t>
  </si>
  <si>
    <t>3011</t>
  </si>
  <si>
    <t>Tires and Inner Tubes</t>
  </si>
  <si>
    <t>AUTOMOBILE &amp; COMPONENTS</t>
  </si>
  <si>
    <t>326212</t>
  </si>
  <si>
    <t>Tire Retreading</t>
  </si>
  <si>
    <t>7534</t>
  </si>
  <si>
    <t>Tire Retreading and Repair Shops</t>
  </si>
  <si>
    <t>326220</t>
  </si>
  <si>
    <t>Rubber and Plastics Hoses and Belting Manufacturing</t>
  </si>
  <si>
    <t>3052</t>
  </si>
  <si>
    <t>Rubber and Plastics Hose and Beltings</t>
  </si>
  <si>
    <t>326291</t>
  </si>
  <si>
    <t>Rubber Product Manufacturing for Mechanical Use</t>
  </si>
  <si>
    <t>3061</t>
  </si>
  <si>
    <t>Mechanical Rubber Goods</t>
  </si>
  <si>
    <t>326299</t>
  </si>
  <si>
    <t>All Other Rubber Product Manufacturing</t>
  </si>
  <si>
    <t>327110</t>
  </si>
  <si>
    <t>Pottery, Ceramics, and Plumbing Fixture Manufacturing</t>
  </si>
  <si>
    <t>3261</t>
  </si>
  <si>
    <t>Vitreous Plumbing Fixtures</t>
  </si>
  <si>
    <t>3262</t>
  </si>
  <si>
    <t>Vitreous China Table and Kitchenware</t>
  </si>
  <si>
    <t>3263</t>
  </si>
  <si>
    <t>Semivitreous Table and Kitchenware</t>
  </si>
  <si>
    <t>3264</t>
  </si>
  <si>
    <t>Porcelain Electrical Supplies</t>
  </si>
  <si>
    <t>3269</t>
  </si>
  <si>
    <t>Pottery Products, Nec</t>
  </si>
  <si>
    <t>3299</t>
  </si>
  <si>
    <t>Nonmetallic Mineral Products,</t>
  </si>
  <si>
    <t>5719</t>
  </si>
  <si>
    <t>Miscellaneous Homefurnishings</t>
  </si>
  <si>
    <t>327120</t>
  </si>
  <si>
    <t>Clay Building Material and Refractories Manufacturing</t>
  </si>
  <si>
    <t>3251</t>
  </si>
  <si>
    <t>Brick and Structural Clay Tile</t>
  </si>
  <si>
    <t>3253</t>
  </si>
  <si>
    <t>Ceramic Wall and Floor Tile</t>
  </si>
  <si>
    <t>3255</t>
  </si>
  <si>
    <t>Clay Refractories</t>
  </si>
  <si>
    <t>3259</t>
  </si>
  <si>
    <t>Structural Clay Products, Nec</t>
  </si>
  <si>
    <t>3297</t>
  </si>
  <si>
    <t>Nonclay Refractories</t>
  </si>
  <si>
    <t>327211</t>
  </si>
  <si>
    <t>Flat Glass Manufacturing</t>
  </si>
  <si>
    <t>3211</t>
  </si>
  <si>
    <t>Flat Glass</t>
  </si>
  <si>
    <t>327212</t>
  </si>
  <si>
    <t>Other Pressed and Blown Glass and Glassware Manufacturing</t>
  </si>
  <si>
    <t>3229</t>
  </si>
  <si>
    <t>Pressed and Blown Glass, Nec</t>
  </si>
  <si>
    <t>327213</t>
  </si>
  <si>
    <t>Glass Container Manufacturing</t>
  </si>
  <si>
    <t>3221</t>
  </si>
  <si>
    <t>Glass Containers</t>
  </si>
  <si>
    <t>327215</t>
  </si>
  <si>
    <t>Glass Product Manufacturing Made of Purchased Glass</t>
  </si>
  <si>
    <t>3231</t>
  </si>
  <si>
    <t>Products of Purchased Glass</t>
  </si>
  <si>
    <t>327310</t>
  </si>
  <si>
    <t>Cement Manufacturing</t>
  </si>
  <si>
    <t>3241</t>
  </si>
  <si>
    <t>Cement, Hydraulic</t>
  </si>
  <si>
    <t>327320</t>
  </si>
  <si>
    <t>Ready-Mix Concrete Manufacturing</t>
  </si>
  <si>
    <t>3273</t>
  </si>
  <si>
    <t>Ready-mixed Concrete</t>
  </si>
  <si>
    <t>327331</t>
  </si>
  <si>
    <t>Concrete Block and Brick Manufacturing</t>
  </si>
  <si>
    <t>3271</t>
  </si>
  <si>
    <t>Concrete Block and Brick</t>
  </si>
  <si>
    <t>327332</t>
  </si>
  <si>
    <t>Concrete Pipe Manufacturing</t>
  </si>
  <si>
    <t>3272</t>
  </si>
  <si>
    <t>Concrete Products, Nec</t>
  </si>
  <si>
    <t>327390</t>
  </si>
  <si>
    <t>Other Concrete Product Manufacturing</t>
  </si>
  <si>
    <t>327410</t>
  </si>
  <si>
    <t>Lime Manufacturing</t>
  </si>
  <si>
    <t>3274</t>
  </si>
  <si>
    <t>Lime</t>
  </si>
  <si>
    <t>327420</t>
  </si>
  <si>
    <t>Gypsum Product Manufacturing</t>
  </si>
  <si>
    <t>3275</t>
  </si>
  <si>
    <t>Gypsum Products</t>
  </si>
  <si>
    <t>327910</t>
  </si>
  <si>
    <t>Abrasive Product Manufacturing</t>
  </si>
  <si>
    <t>3291</t>
  </si>
  <si>
    <t>Abrasive Products</t>
  </si>
  <si>
    <t>327991</t>
  </si>
  <si>
    <t>Cut Stone and Stone Product Manufacturing</t>
  </si>
  <si>
    <t>3281</t>
  </si>
  <si>
    <t>Cut Stone and Stone Products</t>
  </si>
  <si>
    <t>327992</t>
  </si>
  <si>
    <t>Ground or Treated Mineral and Earth Manufacturing</t>
  </si>
  <si>
    <t>327993</t>
  </si>
  <si>
    <t>Mineral Wool Manufacturing</t>
  </si>
  <si>
    <t>3296</t>
  </si>
  <si>
    <t>Mineral Wool</t>
  </si>
  <si>
    <t>327999</t>
  </si>
  <si>
    <t>All Other Miscellaneous Nonmetallic Mineral Product Manufacturing</t>
  </si>
  <si>
    <t>3292</t>
  </si>
  <si>
    <t>Asbestos Products</t>
  </si>
  <si>
    <t>331110</t>
  </si>
  <si>
    <t>Iron and Steel Mills and Ferroalloy Manufacturing</t>
  </si>
  <si>
    <t>3313</t>
  </si>
  <si>
    <t>Electrometallurgical Products</t>
  </si>
  <si>
    <t>3399</t>
  </si>
  <si>
    <t>Primary Metal Products</t>
  </si>
  <si>
    <t>331210</t>
  </si>
  <si>
    <t>Iron and Steel Pipe and Tube Manufacturing from Purchased Steel</t>
  </si>
  <si>
    <t>3317</t>
  </si>
  <si>
    <t>Steel Pipe and Tubes</t>
  </si>
  <si>
    <t>331221</t>
  </si>
  <si>
    <t>Rolled Steel Shape Manufacturing</t>
  </si>
  <si>
    <t>3316</t>
  </si>
  <si>
    <t>Cold Finishing of Steel Shapes</t>
  </si>
  <si>
    <t>331222</t>
  </si>
  <si>
    <t>Steel Wire Drawing</t>
  </si>
  <si>
    <t>3315</t>
  </si>
  <si>
    <t>Steel Wire and Related Products</t>
  </si>
  <si>
    <t>331313</t>
  </si>
  <si>
    <t>Alumina Refining and Primary Aluminum Production</t>
  </si>
  <si>
    <t>3334</t>
  </si>
  <si>
    <t>Primary Aluminum</t>
  </si>
  <si>
    <t>331314</t>
  </si>
  <si>
    <t>Secondary Smelting and Alloying of Aluminum</t>
  </si>
  <si>
    <t>3341</t>
  </si>
  <si>
    <t>Secondary Nonferrous Metals</t>
  </si>
  <si>
    <t>331315</t>
  </si>
  <si>
    <t>Aluminum Sheet, Plate, and Foil Manufacturing</t>
  </si>
  <si>
    <t>3353</t>
  </si>
  <si>
    <t>Aluminum Sheet, Plate, and Foil</t>
  </si>
  <si>
    <t>331318</t>
  </si>
  <si>
    <t>Other Aluminum Rolling, Drawing, and Extruding</t>
  </si>
  <si>
    <t>3354</t>
  </si>
  <si>
    <t>Aluminum Extruded Products</t>
  </si>
  <si>
    <t>3355</t>
  </si>
  <si>
    <t>Aluminum Rolling and Drawing, Nec</t>
  </si>
  <si>
    <t>3357</t>
  </si>
  <si>
    <t>Nonferrous Wiredrawing and Insulating</t>
  </si>
  <si>
    <t>331410</t>
  </si>
  <si>
    <t>Nonferrous Metal (except Aluminum) Smelting and Refining</t>
  </si>
  <si>
    <t>3331</t>
  </si>
  <si>
    <t>Primary Copper</t>
  </si>
  <si>
    <t>3339</t>
  </si>
  <si>
    <t>Primary Nonferrous Metals, Nec</t>
  </si>
  <si>
    <t>331420</t>
  </si>
  <si>
    <t>Copper Rolling, Drawing, Extruding, and Alloying</t>
  </si>
  <si>
    <t>3351</t>
  </si>
  <si>
    <t>Copper Rolling and Drawing</t>
  </si>
  <si>
    <t>331491</t>
  </si>
  <si>
    <t>Nonferrous Metal (except Copper and Aluminum) Rolling, Drawing, and Extruding</t>
  </si>
  <si>
    <t>3356</t>
  </si>
  <si>
    <t>Nonferrous Rolling and Drawing, Nec</t>
  </si>
  <si>
    <t>331492</t>
  </si>
  <si>
    <t>Secondary Smelting, Refining, and Alloying of Nonferrous Metal (except Copper and Aluminum)</t>
  </si>
  <si>
    <t>331511</t>
  </si>
  <si>
    <t>Iron Foundries</t>
  </si>
  <si>
    <t>3321</t>
  </si>
  <si>
    <t>Gray and Ductile Iron Foundries</t>
  </si>
  <si>
    <t>3322</t>
  </si>
  <si>
    <t>Malleable Iron Foundries</t>
  </si>
  <si>
    <t>331512</t>
  </si>
  <si>
    <t>Steel Investment Foundries</t>
  </si>
  <si>
    <t>3324</t>
  </si>
  <si>
    <t>331513</t>
  </si>
  <si>
    <t>Steel Foundries (except Investment)</t>
  </si>
  <si>
    <t>3325</t>
  </si>
  <si>
    <t>Steel Foundries, Nec</t>
  </si>
  <si>
    <t>331523</t>
  </si>
  <si>
    <t>Nonferrous Metal Die-Casting Foundries</t>
  </si>
  <si>
    <t>3363</t>
  </si>
  <si>
    <t>Aluminum Die-castings</t>
  </si>
  <si>
    <t>3364</t>
  </si>
  <si>
    <t>Nonferrous Die-castings Except Aluminum</t>
  </si>
  <si>
    <t>331524</t>
  </si>
  <si>
    <t>Aluminum Foundries (except Die-Casting)</t>
  </si>
  <si>
    <t>3365</t>
  </si>
  <si>
    <t>Aluminum Foundries</t>
  </si>
  <si>
    <t>331529</t>
  </si>
  <si>
    <t>Other Nonferrous Metal Foundries (except Die-Casting)</t>
  </si>
  <si>
    <t>3366</t>
  </si>
  <si>
    <t>Copper Foundries</t>
  </si>
  <si>
    <t>3369</t>
  </si>
  <si>
    <t>Nonferrous Foundries, Nec</t>
  </si>
  <si>
    <t>332111</t>
  </si>
  <si>
    <t>Iron and Steel Forging</t>
  </si>
  <si>
    <t>3462</t>
  </si>
  <si>
    <t>Iron and Steel Forgings</t>
  </si>
  <si>
    <t>332112</t>
  </si>
  <si>
    <t>Nonferrous Forging</t>
  </si>
  <si>
    <t>3463</t>
  </si>
  <si>
    <t>Nonferrous Forgings</t>
  </si>
  <si>
    <t>332114</t>
  </si>
  <si>
    <t>Custom Roll Forming</t>
  </si>
  <si>
    <t>3449</t>
  </si>
  <si>
    <t>Miscellaneous Metalwork</t>
  </si>
  <si>
    <t>332117</t>
  </si>
  <si>
    <t>Powder Metallurgy Part Manufacturing</t>
  </si>
  <si>
    <t>3499</t>
  </si>
  <si>
    <t>Fabricated Metal Products, Nec</t>
  </si>
  <si>
    <t>332119</t>
  </si>
  <si>
    <t>Metal Crown, Closure, and Other Metal Stamping (except Automotive)</t>
  </si>
  <si>
    <t>3466</t>
  </si>
  <si>
    <t>Crowns and Closures</t>
  </si>
  <si>
    <t>3469</t>
  </si>
  <si>
    <t>Metal Stampings, Nec</t>
  </si>
  <si>
    <t>332215</t>
  </si>
  <si>
    <t>Metal Kitchen Cookware, Utensil, Cutlery, and Flatware (except Precious) Manufacturing</t>
  </si>
  <si>
    <t>3421</t>
  </si>
  <si>
    <t>Cutlery</t>
  </si>
  <si>
    <t>3496</t>
  </si>
  <si>
    <t>Miscellaneous Fabricated Wire Products</t>
  </si>
  <si>
    <t>3914</t>
  </si>
  <si>
    <t>Silverware and Plated Ware</t>
  </si>
  <si>
    <t>332216</t>
  </si>
  <si>
    <t>Saw Blade and Handtool Manufacturing</t>
  </si>
  <si>
    <t>3423</t>
  </si>
  <si>
    <t>Hand and Edge Tools, Nec</t>
  </si>
  <si>
    <t>3425</t>
  </si>
  <si>
    <t>Saw Blades and Handsaws</t>
  </si>
  <si>
    <t>3523</t>
  </si>
  <si>
    <t>Farm Machinery and Equipment</t>
  </si>
  <si>
    <t>3524</t>
  </si>
  <si>
    <t>Lawn and Garden Equipment</t>
  </si>
  <si>
    <t>3545</t>
  </si>
  <si>
    <t>Machine Tool Accessories</t>
  </si>
  <si>
    <t>3644</t>
  </si>
  <si>
    <t>Noncurrent-carrying Wiring Devices</t>
  </si>
  <si>
    <t>332311</t>
  </si>
  <si>
    <t>Prefabricated Metal Building and Component Manufacturing</t>
  </si>
  <si>
    <t>3448</t>
  </si>
  <si>
    <t>Prefabricated Metal Buildings</t>
  </si>
  <si>
    <t>332312</t>
  </si>
  <si>
    <t>Fabricated Structural Metal Manufacturing</t>
  </si>
  <si>
    <t>3441</t>
  </si>
  <si>
    <t>Fabricated Structural Metal</t>
  </si>
  <si>
    <t>332313</t>
  </si>
  <si>
    <t>Plate Work Manufacturing</t>
  </si>
  <si>
    <t>3443</t>
  </si>
  <si>
    <t>Fabricated Plate Work (boiler Shop)</t>
  </si>
  <si>
    <t>332321</t>
  </si>
  <si>
    <t>Metal Window and Door Manufacturing</t>
  </si>
  <si>
    <t>3442</t>
  </si>
  <si>
    <t>Metal Doors, Sash, and Trim</t>
  </si>
  <si>
    <t>3444</t>
  </si>
  <si>
    <t>Sheet Metalwork</t>
  </si>
  <si>
    <t>332322</t>
  </si>
  <si>
    <t>Sheet Metal Work Manufacturing</t>
  </si>
  <si>
    <t>332323</t>
  </si>
  <si>
    <t>Ornamental and Architectural Metal Work Manufacturing</t>
  </si>
  <si>
    <t>3446</t>
  </si>
  <si>
    <t>Architectural Metalwork</t>
  </si>
  <si>
    <t>332410</t>
  </si>
  <si>
    <t>Power Boiler and Heat Exchanger Manufacturing</t>
  </si>
  <si>
    <t>3559</t>
  </si>
  <si>
    <t>Special Industry Machinery, Nec</t>
  </si>
  <si>
    <t>332420</t>
  </si>
  <si>
    <t>Metal Tank (Heavy Gauge) Manufacturing</t>
  </si>
  <si>
    <t>332431</t>
  </si>
  <si>
    <t>Metal Can Manufacturing</t>
  </si>
  <si>
    <t>3411</t>
  </si>
  <si>
    <t>Metal Cans</t>
  </si>
  <si>
    <t>332439</t>
  </si>
  <si>
    <t>Other Metal Container Manufacturing</t>
  </si>
  <si>
    <t>3412</t>
  </si>
  <si>
    <t>Metal Barrels, Drums, and Pails</t>
  </si>
  <si>
    <t>3429</t>
  </si>
  <si>
    <t>Hardware, Nec</t>
  </si>
  <si>
    <t>3537</t>
  </si>
  <si>
    <t>Industrial Trucks and Tractors</t>
  </si>
  <si>
    <t>332510</t>
  </si>
  <si>
    <t>Hardware Manufacturing</t>
  </si>
  <si>
    <t>332613</t>
  </si>
  <si>
    <t>Spring Manufacturing</t>
  </si>
  <si>
    <t>3493</t>
  </si>
  <si>
    <t>Steel Springs, Except Wire</t>
  </si>
  <si>
    <t>3495</t>
  </si>
  <si>
    <t>Wire Springs</t>
  </si>
  <si>
    <t>332618</t>
  </si>
  <si>
    <t>Other Fabricated Wire Product Manufacturing</t>
  </si>
  <si>
    <t>332710</t>
  </si>
  <si>
    <t>Machine Shops</t>
  </si>
  <si>
    <t>3599</t>
  </si>
  <si>
    <t>Industrial Machinery, Nec</t>
  </si>
  <si>
    <t>332721</t>
  </si>
  <si>
    <t>Precision Turned Product Manufacturing</t>
  </si>
  <si>
    <t>3451</t>
  </si>
  <si>
    <t>Screw Machine Products</t>
  </si>
  <si>
    <t>332722</t>
  </si>
  <si>
    <t>Bolt, Nut, Screw, Rivet, and Washer Manufacturing</t>
  </si>
  <si>
    <t>3452</t>
  </si>
  <si>
    <t>Bolts, Nuts, Rivets, and Washers</t>
  </si>
  <si>
    <t>332811</t>
  </si>
  <si>
    <t>Metal Heat Treating</t>
  </si>
  <si>
    <t>3398</t>
  </si>
  <si>
    <t>332812</t>
  </si>
  <si>
    <t>Metal Coating, Engraving (except Jewelry and Silverware), and Allied Services to Manufacturers</t>
  </si>
  <si>
    <t>3479</t>
  </si>
  <si>
    <t>Metal Coating and Allied Services</t>
  </si>
  <si>
    <t>332813</t>
  </si>
  <si>
    <t>Electroplating, Plating, Polishing, Anodizing, and Coloring</t>
  </si>
  <si>
    <t>3471</t>
  </si>
  <si>
    <t>Plating and Polishing</t>
  </si>
  <si>
    <t>332911</t>
  </si>
  <si>
    <t>Industrial Valve Manufacturing</t>
  </si>
  <si>
    <t>3491</t>
  </si>
  <si>
    <t>Industrial Valves</t>
  </si>
  <si>
    <t>332912</t>
  </si>
  <si>
    <t>Fluid Power Valve and Hose Fitting Manufacturing</t>
  </si>
  <si>
    <t>3492</t>
  </si>
  <si>
    <t>Fluid Power Valves and Hose Fittings</t>
  </si>
  <si>
    <t>3728</t>
  </si>
  <si>
    <t>Aircraft Parts and Equipment, Nec</t>
  </si>
  <si>
    <t>332913</t>
  </si>
  <si>
    <t>Plumbing Fixture Fitting and Trim Manufacturing</t>
  </si>
  <si>
    <t>3432</t>
  </si>
  <si>
    <t>Plumbing Fixture Fittings and Trim</t>
  </si>
  <si>
    <t>332919</t>
  </si>
  <si>
    <t>Other Metal Valve and Pipe Fitting Manufacturing</t>
  </si>
  <si>
    <t>3494</t>
  </si>
  <si>
    <t>Valves and Pipe Fittings, Nec</t>
  </si>
  <si>
    <t>332991</t>
  </si>
  <si>
    <t>Ball and Roller Bearing Manufacturing</t>
  </si>
  <si>
    <t>3562</t>
  </si>
  <si>
    <t>Ball and Roller Bearings</t>
  </si>
  <si>
    <t>332992</t>
  </si>
  <si>
    <t>Small Arms Ammunition Manufacturing</t>
  </si>
  <si>
    <t>3482</t>
  </si>
  <si>
    <t>Small Arms Ammunition</t>
  </si>
  <si>
    <t>332993</t>
  </si>
  <si>
    <t>Ammunition (except Small Arms) Manufacturing</t>
  </si>
  <si>
    <t>3483</t>
  </si>
  <si>
    <t>Ammunition, Except For Small Arms, Nec</t>
  </si>
  <si>
    <t>332994</t>
  </si>
  <si>
    <t>Small Arms, Ordnance, and Ordnance Accessories Manufacturing</t>
  </si>
  <si>
    <t>3484</t>
  </si>
  <si>
    <t>Small Arms</t>
  </si>
  <si>
    <t>3489</t>
  </si>
  <si>
    <t>Ordnance and Accessories, Nec</t>
  </si>
  <si>
    <t>3841</t>
  </si>
  <si>
    <t>Surgical and Medical Instruments</t>
  </si>
  <si>
    <t>332996</t>
  </si>
  <si>
    <t>Fabricated Pipe and Pipe Fitting Manufacturing</t>
  </si>
  <si>
    <t>3498</t>
  </si>
  <si>
    <t>Fabricated Pipe and Fittings</t>
  </si>
  <si>
    <t>332999</t>
  </si>
  <si>
    <t>All Other Miscellaneous Fabricated Metal Product Manufacturing</t>
  </si>
  <si>
    <t>3431</t>
  </si>
  <si>
    <t>Metal Sanitary Ware</t>
  </si>
  <si>
    <t>3543</t>
  </si>
  <si>
    <t>Industrial Patterns</t>
  </si>
  <si>
    <t>MACHINERY</t>
  </si>
  <si>
    <t>333111</t>
  </si>
  <si>
    <t>Farm Machinery and Equipment Manufacturing</t>
  </si>
  <si>
    <t>333112</t>
  </si>
  <si>
    <t>Lawn and Garden Tractor and Home Lawn and Garden Equipment Manufacturing</t>
  </si>
  <si>
    <t>333120</t>
  </si>
  <si>
    <t>Construction Machinery Manufacturing</t>
  </si>
  <si>
    <t>3531</t>
  </si>
  <si>
    <t>Construction Machinery</t>
  </si>
  <si>
    <t>333131</t>
  </si>
  <si>
    <t>Mining Machinery and Equipment Manufacturing</t>
  </si>
  <si>
    <t>3532</t>
  </si>
  <si>
    <t>Mining Machinery</t>
  </si>
  <si>
    <t>333132</t>
  </si>
  <si>
    <t>Oil and Gas Field Machinery and Equipment Manufacturing</t>
  </si>
  <si>
    <t>3533</t>
  </si>
  <si>
    <t>Oil and Gas Field Machinery</t>
  </si>
  <si>
    <t>333241</t>
  </si>
  <si>
    <t>Food Product Machinery Manufacturing</t>
  </si>
  <si>
    <t>3556</t>
  </si>
  <si>
    <t>Food Products Machinery</t>
  </si>
  <si>
    <t>333242</t>
  </si>
  <si>
    <t>Semiconductor Machinery Manufacturing</t>
  </si>
  <si>
    <t>333243</t>
  </si>
  <si>
    <t>Sawmill, Woodworking, and Paper Machinery Manufacturing</t>
  </si>
  <si>
    <t>3553</t>
  </si>
  <si>
    <t>Woodworking Machinery</t>
  </si>
  <si>
    <t>3554</t>
  </si>
  <si>
    <t>Paper Industries Machinery</t>
  </si>
  <si>
    <t>333244</t>
  </si>
  <si>
    <t>Printing Machinery and Equipment Manufacturing</t>
  </si>
  <si>
    <t>3555</t>
  </si>
  <si>
    <t>Printing Trades Machinery</t>
  </si>
  <si>
    <t>INFORMATION TECHNOLOGY</t>
  </si>
  <si>
    <t>TECHNOLOGY HARDWR EQUIP</t>
  </si>
  <si>
    <t>333249</t>
  </si>
  <si>
    <t>Other Industrial Machinery Manufacturing</t>
  </si>
  <si>
    <t>2599</t>
  </si>
  <si>
    <t>Furniture and Fixtures, Nec</t>
  </si>
  <si>
    <t>3552</t>
  </si>
  <si>
    <t>Textile Machinery</t>
  </si>
  <si>
    <t>3639</t>
  </si>
  <si>
    <t>Household Appliances, Nec</t>
  </si>
  <si>
    <t>3821</t>
  </si>
  <si>
    <t>Laboratory Apparatus and Furniture</t>
  </si>
  <si>
    <t>333314</t>
  </si>
  <si>
    <t>Optical Instrument and Lens Manufacturing</t>
  </si>
  <si>
    <t>3827</t>
  </si>
  <si>
    <t>Optical Instruments and Lenses</t>
  </si>
  <si>
    <t>333316</t>
  </si>
  <si>
    <t>Photographic and Photocopying Equipment Manufacturing</t>
  </si>
  <si>
    <t>3577</t>
  </si>
  <si>
    <t>Computer Peripheral Equipment, Nec</t>
  </si>
  <si>
    <t>CONSUMER ELECTRONICS</t>
  </si>
  <si>
    <t>3578</t>
  </si>
  <si>
    <t>Calculating and Accounting Equipment</t>
  </si>
  <si>
    <t>333318</t>
  </si>
  <si>
    <t>Other Commercial and Service Industry Machinery Manufacturing</t>
  </si>
  <si>
    <t>3579</t>
  </si>
  <si>
    <t>Office Machines, Nec</t>
  </si>
  <si>
    <t>3581</t>
  </si>
  <si>
    <t>Automatic Vending Machines</t>
  </si>
  <si>
    <t>3582</t>
  </si>
  <si>
    <t>Commercial Laundry Equipment</t>
  </si>
  <si>
    <t>3589</t>
  </si>
  <si>
    <t>Service Industry Machinery, Nec</t>
  </si>
  <si>
    <t>3699</t>
  </si>
  <si>
    <t>Electrical Equipment and Supplies, Nec</t>
  </si>
  <si>
    <t>333413</t>
  </si>
  <si>
    <t>Industrial and Commercial Fan and Blower and Air Purification Equipment Manufacturing</t>
  </si>
  <si>
    <t>3564</t>
  </si>
  <si>
    <t>Blowers and Fans</t>
  </si>
  <si>
    <t>333414</t>
  </si>
  <si>
    <t>Heating Equipment (except Warm Air Furnaces) Manufacturing</t>
  </si>
  <si>
    <t>3433</t>
  </si>
  <si>
    <t>Heating Equipment, Except Electric</t>
  </si>
  <si>
    <t>3634</t>
  </si>
  <si>
    <t>Electric Housewares and Fans</t>
  </si>
  <si>
    <t>333415</t>
  </si>
  <si>
    <t>Air-Conditioning and Warm Air Heating Equipment and Commercial and Industrial Refrigeration Equipment Manufacturing</t>
  </si>
  <si>
    <t>3585</t>
  </si>
  <si>
    <t>Refrigeration and Heating Equipment</t>
  </si>
  <si>
    <t>333511</t>
  </si>
  <si>
    <t>Industrial Mold Manufacturing</t>
  </si>
  <si>
    <t>3544</t>
  </si>
  <si>
    <t>Special Dies, Tools, Jigs, and Fixtures</t>
  </si>
  <si>
    <t>333514</t>
  </si>
  <si>
    <t>Special Die and Tool, Die Set, Jig, and Fixture Manufacturing</t>
  </si>
  <si>
    <t>333515</t>
  </si>
  <si>
    <t>Cutting Tool and Machine Tool Accessory Manufacturing</t>
  </si>
  <si>
    <t>333517</t>
  </si>
  <si>
    <t>Machine Tool Manufacturing</t>
  </si>
  <si>
    <t>3541</t>
  </si>
  <si>
    <t>Machine Tools, Metal Cutting Type</t>
  </si>
  <si>
    <t>3542</t>
  </si>
  <si>
    <t>Machine Tools, Metal Forming Type</t>
  </si>
  <si>
    <t>333519</t>
  </si>
  <si>
    <t>Rolling Mill and Other Metalworking Machinery Manufacturing</t>
  </si>
  <si>
    <t>3547</t>
  </si>
  <si>
    <t>Rolling Mill Machinery</t>
  </si>
  <si>
    <t>3549</t>
  </si>
  <si>
    <t>Metalworking Machinery, Nec</t>
  </si>
  <si>
    <t>333611</t>
  </si>
  <si>
    <t>Turbine and Turbine Generator Set Units Manufacturing</t>
  </si>
  <si>
    <t>3511</t>
  </si>
  <si>
    <t>Turbines and Turbine Generator Sets</t>
  </si>
  <si>
    <t>333612</t>
  </si>
  <si>
    <t>Speed Changer, Industrial High-Speed Drive, and Gear Manufacturing</t>
  </si>
  <si>
    <t>3566</t>
  </si>
  <si>
    <t>Speed Changers, Drives, and Gears</t>
  </si>
  <si>
    <t>333613</t>
  </si>
  <si>
    <t>Mechanical Power Transmission Equipment Manufacturing</t>
  </si>
  <si>
    <t>3568</t>
  </si>
  <si>
    <t>Power Transmission Equipment, Nec</t>
  </si>
  <si>
    <t>333618</t>
  </si>
  <si>
    <t>Other Engine Equipment Manufacturing</t>
  </si>
  <si>
    <t>3519</t>
  </si>
  <si>
    <t>Internal Combustion Engines, Nec</t>
  </si>
  <si>
    <t>333912</t>
  </si>
  <si>
    <t>Air and Gas Compressor Manufacturing</t>
  </si>
  <si>
    <t>3563</t>
  </si>
  <si>
    <t>Air and Gas Compressors</t>
  </si>
  <si>
    <t>333914</t>
  </si>
  <si>
    <t>Measuring, Dispensing, and Other Pumping Equipment Manufacturing</t>
  </si>
  <si>
    <t>3561</t>
  </si>
  <si>
    <t>Pumps and Pumping Equipment</t>
  </si>
  <si>
    <t>3586</t>
  </si>
  <si>
    <t>Measuring and Dispensing Pumps</t>
  </si>
  <si>
    <t>3743</t>
  </si>
  <si>
    <t>Railroad Equipment</t>
  </si>
  <si>
    <t>RAILROADS</t>
  </si>
  <si>
    <t>333921</t>
  </si>
  <si>
    <t>Elevator and Moving Stairway Manufacturing</t>
  </si>
  <si>
    <t>3534</t>
  </si>
  <si>
    <t>Elevators and Moving Stairways</t>
  </si>
  <si>
    <t>333922</t>
  </si>
  <si>
    <t>Conveyor and Conveying Equipment Manufacturing</t>
  </si>
  <si>
    <t>3535</t>
  </si>
  <si>
    <t>Conveyors and Conveying Equipment</t>
  </si>
  <si>
    <t>333923</t>
  </si>
  <si>
    <t>Overhead Traveling Crane, Hoist, and Monorail System Manufacturing</t>
  </si>
  <si>
    <t>3536</t>
  </si>
  <si>
    <t>Hoists, Cranes, and Monorails</t>
  </si>
  <si>
    <t>333924</t>
  </si>
  <si>
    <t>Industrial Truck, Tractor, Trailer, and Stacker Machinery Manufacturing</t>
  </si>
  <si>
    <t>3799</t>
  </si>
  <si>
    <t>Transportation Equipment, Nec</t>
  </si>
  <si>
    <t>333991</t>
  </si>
  <si>
    <t>Power-Driven Handtool Manufacturing</t>
  </si>
  <si>
    <t>3546</t>
  </si>
  <si>
    <t>Power-driven Handtools</t>
  </si>
  <si>
    <t>333992</t>
  </si>
  <si>
    <t>Welding and Soldering Equipment Manufacturing</t>
  </si>
  <si>
    <t>3548</t>
  </si>
  <si>
    <t>Welding Apparatus</t>
  </si>
  <si>
    <t>333993</t>
  </si>
  <si>
    <t>Packaging Machinery Manufacturing</t>
  </si>
  <si>
    <t>3565</t>
  </si>
  <si>
    <t>Packaging Machinery</t>
  </si>
  <si>
    <t>333994</t>
  </si>
  <si>
    <t>Industrial Process Furnace and Oven Manufacturing</t>
  </si>
  <si>
    <t>3567</t>
  </si>
  <si>
    <t>Industrial Furnaces and Ovens</t>
  </si>
  <si>
    <t>333995</t>
  </si>
  <si>
    <t>Fluid Power Cylinder and Actuator Manufacturing</t>
  </si>
  <si>
    <t>3593</t>
  </si>
  <si>
    <t>Fluid Power Cylinders and Actuators</t>
  </si>
  <si>
    <t>333996</t>
  </si>
  <si>
    <t>Fluid Power Pump and Motor Manufacturing</t>
  </si>
  <si>
    <t>3594</t>
  </si>
  <si>
    <t>Fluid Power Pumps and Motors</t>
  </si>
  <si>
    <t>333997</t>
  </si>
  <si>
    <t>Scale and Balance Manufacturing</t>
  </si>
  <si>
    <t>3596</t>
  </si>
  <si>
    <t>Scales and Balances, Except Laboratory</t>
  </si>
  <si>
    <t>333999</t>
  </si>
  <si>
    <t>All Other Miscellaneous General Purpose Machinery Manufacturing</t>
  </si>
  <si>
    <t>334111</t>
  </si>
  <si>
    <t>Electronic Computer Manufacturing</t>
  </si>
  <si>
    <t>3571</t>
  </si>
  <si>
    <t>Electronic Computers</t>
  </si>
  <si>
    <t>334112</t>
  </si>
  <si>
    <t>Computer Storage Device Manufacturing</t>
  </si>
  <si>
    <t>3572</t>
  </si>
  <si>
    <t>Computer Storage Devices</t>
  </si>
  <si>
    <t>334118</t>
  </si>
  <si>
    <t>Computer Terminal and Other Computer Peripheral Equipment Manufacturing</t>
  </si>
  <si>
    <t>3575</t>
  </si>
  <si>
    <t>Computer Terminals</t>
  </si>
  <si>
    <t>334210</t>
  </si>
  <si>
    <t>Telephone Apparatus Manufacturing</t>
  </si>
  <si>
    <t>3661</t>
  </si>
  <si>
    <t>Telephone and Telegraph Apparatus</t>
  </si>
  <si>
    <t>334220</t>
  </si>
  <si>
    <t>Radio and Television Broadcasting and Wireless Communications Equipment Manufacturing</t>
  </si>
  <si>
    <t>3663</t>
  </si>
  <si>
    <t>Radio and T.v. Communications Equipment</t>
  </si>
  <si>
    <t>HOUSEHOLD APPLIANCES</t>
  </si>
  <si>
    <t>3679</t>
  </si>
  <si>
    <t>Electronic Components, Nec</t>
  </si>
  <si>
    <t>334290</t>
  </si>
  <si>
    <t>Other Communications Equipment Manufacturing</t>
  </si>
  <si>
    <t>3669</t>
  </si>
  <si>
    <t>Communications Equipment, Nec</t>
  </si>
  <si>
    <t>334310</t>
  </si>
  <si>
    <t>Audio and Video Equipment Manufacturing</t>
  </si>
  <si>
    <t>3651</t>
  </si>
  <si>
    <t>Household Audio and Video Equipment</t>
  </si>
  <si>
    <t>334412</t>
  </si>
  <si>
    <t>Bare Printed Circuit Board Manufacturing</t>
  </si>
  <si>
    <t>3672</t>
  </si>
  <si>
    <t>Printed Circuit Boards</t>
  </si>
  <si>
    <t>SEMICONDUCTORS</t>
  </si>
  <si>
    <t>334413</t>
  </si>
  <si>
    <t>Semiconductor and Related Device Manufacturing</t>
  </si>
  <si>
    <t>3674</t>
  </si>
  <si>
    <t>Semiconductors and Related Devices</t>
  </si>
  <si>
    <t>334416</t>
  </si>
  <si>
    <t>Capacitor, Resistor, Coil, Transformer, and Other Inductor Manufacturing</t>
  </si>
  <si>
    <t>3675</t>
  </si>
  <si>
    <t>Electronic Capacitors</t>
  </si>
  <si>
    <t>3676</t>
  </si>
  <si>
    <t>Electronic Resistors</t>
  </si>
  <si>
    <t>3677</t>
  </si>
  <si>
    <t>Electronic Coils and Transformers</t>
  </si>
  <si>
    <t>334417</t>
  </si>
  <si>
    <t>Electronic Connector Manufacturing</t>
  </si>
  <si>
    <t>3678</t>
  </si>
  <si>
    <t>Electronic Connectors</t>
  </si>
  <si>
    <t>334418</t>
  </si>
  <si>
    <t>Printed Circuit Assembly (Electronic Assembly) Manufacturing</t>
  </si>
  <si>
    <t>334419</t>
  </si>
  <si>
    <t>Other Electronic Component Manufacturing</t>
  </si>
  <si>
    <t>3671</t>
  </si>
  <si>
    <t>Electron Tubes</t>
  </si>
  <si>
    <t>334510</t>
  </si>
  <si>
    <t>Electromedical and Electrotherapeutic Apparatus Manufacturing</t>
  </si>
  <si>
    <t>HEALTHCARE PROVDR AND SVS</t>
  </si>
  <si>
    <t>3845</t>
  </si>
  <si>
    <t>Electromedical Equipment</t>
  </si>
  <si>
    <t>334511</t>
  </si>
  <si>
    <t>Search, Detection, Navigation, Guidance, Aeronautical, and Nautical System and Instrument Manufacturing</t>
  </si>
  <si>
    <t>3812</t>
  </si>
  <si>
    <t>Search and Navigation Equipment</t>
  </si>
  <si>
    <t>334512</t>
  </si>
  <si>
    <t>Automatic Environmental Control Manufacturing for Residential, Commercial, and Appliance Use</t>
  </si>
  <si>
    <t>3822</t>
  </si>
  <si>
    <t>Environmental Controls</t>
  </si>
  <si>
    <t>334513</t>
  </si>
  <si>
    <t>Instruments and Related Products Manufacturing for Measuring, Displaying, and Controlling Industrial Process Variables</t>
  </si>
  <si>
    <t>3823</t>
  </si>
  <si>
    <t>Process Control Instruments</t>
  </si>
  <si>
    <t>334514</t>
  </si>
  <si>
    <t>Totalizing Fluid Meter and Counting Device Manufacturing</t>
  </si>
  <si>
    <t>3824</t>
  </si>
  <si>
    <t>Fluid Meters and Counting Devices</t>
  </si>
  <si>
    <t>3825</t>
  </si>
  <si>
    <t>Instruments To Measure Electricity</t>
  </si>
  <si>
    <t>3829</t>
  </si>
  <si>
    <t>Measuring and Controlling Devices, Nec</t>
  </si>
  <si>
    <t>334515</t>
  </si>
  <si>
    <t>Instrument Manufacturing for Measuring and Testing Electricity and Electrical Signals</t>
  </si>
  <si>
    <t>334516</t>
  </si>
  <si>
    <t>Analytical Laboratory Instrument Manufacturing</t>
  </si>
  <si>
    <t>3826</t>
  </si>
  <si>
    <t>Analytical Instruments</t>
  </si>
  <si>
    <t>334517</t>
  </si>
  <si>
    <t>Irradiation Apparatus Manufacturing</t>
  </si>
  <si>
    <t>3844</t>
  </si>
  <si>
    <t>X-ray Apparatus and Tubes</t>
  </si>
  <si>
    <t>334519</t>
  </si>
  <si>
    <t>Other Measuring and Controlling Device Manufacturing</t>
  </si>
  <si>
    <t>3873</t>
  </si>
  <si>
    <t>Watches, Clocks, Watchcases, and Parts</t>
  </si>
  <si>
    <t>3915</t>
  </si>
  <si>
    <t>Jewelers' Materials and Lapidary Work</t>
  </si>
  <si>
    <t>334613</t>
  </si>
  <si>
    <t>Blank Magnetic and Optical Recording Media Manufacturing</t>
  </si>
  <si>
    <t>3695</t>
  </si>
  <si>
    <t>Magnetic and Optical Recording Media</t>
  </si>
  <si>
    <t>334614</t>
  </si>
  <si>
    <t xml:space="preserve">Software and Other Prerecorded Compact Disc, Tape, and Record Reproducing </t>
  </si>
  <si>
    <t>3652</t>
  </si>
  <si>
    <t>Prerecorded Records and Tapes</t>
  </si>
  <si>
    <t>7372</t>
  </si>
  <si>
    <t>Prepackaged Software</t>
  </si>
  <si>
    <t>7819</t>
  </si>
  <si>
    <t>Services Allied To Motion Pictures</t>
  </si>
  <si>
    <t>335110</t>
  </si>
  <si>
    <t>Electric Lamp Bulb and Part Manufacturing</t>
  </si>
  <si>
    <t>3641</t>
  </si>
  <si>
    <t>Electric Lamps</t>
  </si>
  <si>
    <t>335121</t>
  </si>
  <si>
    <t>Residential Electric Lighting Fixture Manufacturing</t>
  </si>
  <si>
    <t>3645</t>
  </si>
  <si>
    <t>Residential Lighting Fixtures</t>
  </si>
  <si>
    <t>335122</t>
  </si>
  <si>
    <t>Commercial, Industrial, and Institutional Electric Lighting Fixture Manufacturing</t>
  </si>
  <si>
    <t>3646</t>
  </si>
  <si>
    <t>Commercial Lighting Fixtures</t>
  </si>
  <si>
    <t>335129</t>
  </si>
  <si>
    <t>Other Lighting Equipment Manufacturing</t>
  </si>
  <si>
    <t>3648</t>
  </si>
  <si>
    <t>Lighting Equipment, Nec</t>
  </si>
  <si>
    <t>335210</t>
  </si>
  <si>
    <t>Small Electrical Appliance Manufacturing</t>
  </si>
  <si>
    <t>3635</t>
  </si>
  <si>
    <t>Household Vacuum Cleaners</t>
  </si>
  <si>
    <t>335220</t>
  </si>
  <si>
    <t>Major Household Appliance Manufacturing</t>
  </si>
  <si>
    <t>3631</t>
  </si>
  <si>
    <t>Household Cooking Equipment</t>
  </si>
  <si>
    <t>3632</t>
  </si>
  <si>
    <t>Household Refrigerators and Freezers</t>
  </si>
  <si>
    <t>3633</t>
  </si>
  <si>
    <t>Household Laundry Equipment</t>
  </si>
  <si>
    <t>335311</t>
  </si>
  <si>
    <t>Power, Distribution, and Specialty Transformer Manufacturing</t>
  </si>
  <si>
    <t>3612</t>
  </si>
  <si>
    <t>Power, Distribution and Specialty Transformers</t>
  </si>
  <si>
    <t>335312</t>
  </si>
  <si>
    <t>Motor and Generator Manufacturing</t>
  </si>
  <si>
    <t>3621</t>
  </si>
  <si>
    <t>Motors and Generators</t>
  </si>
  <si>
    <t>7694</t>
  </si>
  <si>
    <t>Armature Rewinding Shops</t>
  </si>
  <si>
    <t>335313</t>
  </si>
  <si>
    <t>Switchgear and Switchboard Apparatus Manufacturing</t>
  </si>
  <si>
    <t>3613</t>
  </si>
  <si>
    <t>Switchgear and Switchboard Apparatus</t>
  </si>
  <si>
    <t>335314</t>
  </si>
  <si>
    <t>Relay and Industrial Control Manufacturing</t>
  </si>
  <si>
    <t>3625</t>
  </si>
  <si>
    <t>Relays and Industrial Controls</t>
  </si>
  <si>
    <t>335911</t>
  </si>
  <si>
    <t>Storage Battery Manufacturing</t>
  </si>
  <si>
    <t>3691</t>
  </si>
  <si>
    <t>Storage Batteries</t>
  </si>
  <si>
    <t>335912</t>
  </si>
  <si>
    <t>Primary Battery Manufacturing</t>
  </si>
  <si>
    <t>3692</t>
  </si>
  <si>
    <t>Primary Batteries, Dry and Wet</t>
  </si>
  <si>
    <t>335921</t>
  </si>
  <si>
    <t>Fiber Optic Cable Manufacturing</t>
  </si>
  <si>
    <t>335929</t>
  </si>
  <si>
    <t>Other Communication and Energy Wire Manufacturing</t>
  </si>
  <si>
    <t>335931</t>
  </si>
  <si>
    <t>Current-Carrying Wiring Device Manufacturing</t>
  </si>
  <si>
    <t>3643</t>
  </si>
  <si>
    <t>Current-carrying Wiring Devices</t>
  </si>
  <si>
    <t>335932</t>
  </si>
  <si>
    <t>Noncurrent-Carrying Wiring Device Manufacturing</t>
  </si>
  <si>
    <t>335991</t>
  </si>
  <si>
    <t>Carbon and Graphite Product Manufacturing</t>
  </si>
  <si>
    <t>3624</t>
  </si>
  <si>
    <t>Carbon and Graphite Products</t>
  </si>
  <si>
    <t>335999</t>
  </si>
  <si>
    <t>All Other Miscellaneous Electrical Equipment and Component Manufacturing</t>
  </si>
  <si>
    <t>3629</t>
  </si>
  <si>
    <t>Electrical Industrial Apparatus</t>
  </si>
  <si>
    <t>336111</t>
  </si>
  <si>
    <t>Automobile Manufacturing</t>
  </si>
  <si>
    <t>3711</t>
  </si>
  <si>
    <t>Motor Vehicles and Car Bodies</t>
  </si>
  <si>
    <t>336112</t>
  </si>
  <si>
    <t>Light Truck and Utility Vehicle Manufacturing</t>
  </si>
  <si>
    <t>AUTOMOBILE</t>
  </si>
  <si>
    <t>336120</t>
  </si>
  <si>
    <t>Heavy Duty Truck Manufacturing</t>
  </si>
  <si>
    <t>336211</t>
  </si>
  <si>
    <t>Motor Vehicle Body Manufacturing</t>
  </si>
  <si>
    <t>3713</t>
  </si>
  <si>
    <t>Truck and Bus Bodies</t>
  </si>
  <si>
    <t>3714</t>
  </si>
  <si>
    <t>Motor Vehicle Parts and Accessories</t>
  </si>
  <si>
    <t>336212</t>
  </si>
  <si>
    <t>Truck Trailer Manufacturing</t>
  </si>
  <si>
    <t>3715</t>
  </si>
  <si>
    <t>Truck Trailers</t>
  </si>
  <si>
    <t>336213</t>
  </si>
  <si>
    <t>Motor Home Manufacturing</t>
  </si>
  <si>
    <t>3716</t>
  </si>
  <si>
    <t>Motor Homes</t>
  </si>
  <si>
    <t>336214</t>
  </si>
  <si>
    <t>Travel Trailer and Camper Manufacturing</t>
  </si>
  <si>
    <t>3792</t>
  </si>
  <si>
    <t>Travel Trailers and Campers</t>
  </si>
  <si>
    <t>336310</t>
  </si>
  <si>
    <t>Motor Vehicle Gasoline Engine and Engine Parts Manufacturing</t>
  </si>
  <si>
    <t>3592</t>
  </si>
  <si>
    <t>Carburetors, Pistons, Rings, Valves</t>
  </si>
  <si>
    <t>336320</t>
  </si>
  <si>
    <t>Motor Vehicle Electrical and Electronic Equipment Manufacturing</t>
  </si>
  <si>
    <t>3647</t>
  </si>
  <si>
    <t>Vehicular Lighting Equipment</t>
  </si>
  <si>
    <t>3694</t>
  </si>
  <si>
    <t>Engine Electrical Equipment</t>
  </si>
  <si>
    <t>336330</t>
  </si>
  <si>
    <t>Motor Vehicle Steering and Suspension Components (except Spring) Manufacturing</t>
  </si>
  <si>
    <t>336340</t>
  </si>
  <si>
    <t>Motor Vehicle Brake System Manufacturing</t>
  </si>
  <si>
    <t>336350</t>
  </si>
  <si>
    <t>Motor Vehicle Transmission and Power Train Parts Manufacturing</t>
  </si>
  <si>
    <t>336360</t>
  </si>
  <si>
    <t>Motor Vehicle Seating and Interior Trim Manufacturing</t>
  </si>
  <si>
    <t>2531</t>
  </si>
  <si>
    <t>Public Building and Related Furniture</t>
  </si>
  <si>
    <t>336370</t>
  </si>
  <si>
    <t>Motor Vehicle Metal Stamping</t>
  </si>
  <si>
    <t>3465</t>
  </si>
  <si>
    <t>Automotive Stampings</t>
  </si>
  <si>
    <t>336390</t>
  </si>
  <si>
    <t>Other Motor Vehicle Parts Manufacturing</t>
  </si>
  <si>
    <t>336411</t>
  </si>
  <si>
    <t>Aircraft Manufacturing</t>
  </si>
  <si>
    <t>3721</t>
  </si>
  <si>
    <t>Aircraft</t>
  </si>
  <si>
    <t>AEROSPACE &amp; DEFENSE</t>
  </si>
  <si>
    <t>336412</t>
  </si>
  <si>
    <t>Aircraft Engine and Engine Parts Manufacturing</t>
  </si>
  <si>
    <t>3724</t>
  </si>
  <si>
    <t>Aircraft Engines and Engine Parts</t>
  </si>
  <si>
    <t>336413</t>
  </si>
  <si>
    <t>Other Aircraft Parts and Auxiliary Equipment Manufacturing</t>
  </si>
  <si>
    <t>336414</t>
  </si>
  <si>
    <t>Guided Missile and Space Vehicle Manufacturing</t>
  </si>
  <si>
    <t>3761</t>
  </si>
  <si>
    <t>Guided Missiles and Space Vehicles</t>
  </si>
  <si>
    <t>336415</t>
  </si>
  <si>
    <t>Guided Missile and Space Vehicle Propulsion Unit and Propulsion Unit Parts Manufacturing</t>
  </si>
  <si>
    <t>3764</t>
  </si>
  <si>
    <t>Space Propulsion Units and Parts</t>
  </si>
  <si>
    <t>336419</t>
  </si>
  <si>
    <t>Other Guided Missile and Space Vehicle Parts and Auxiliary Equipment Manufacturing</t>
  </si>
  <si>
    <t>3769</t>
  </si>
  <si>
    <t>Space Vehicle Equipment, Nec</t>
  </si>
  <si>
    <t>336510</t>
  </si>
  <si>
    <t>Railroad Rolling Stock Manufacturing</t>
  </si>
  <si>
    <t>336611</t>
  </si>
  <si>
    <t>Ship Building and Repairing</t>
  </si>
  <si>
    <t>3731</t>
  </si>
  <si>
    <t>Shipbuilding and Repairing</t>
  </si>
  <si>
    <t>336612</t>
  </si>
  <si>
    <t>Boat Building</t>
  </si>
  <si>
    <t>TRANSPORTATION</t>
  </si>
  <si>
    <t>3732</t>
  </si>
  <si>
    <t>Boatbuilding and Repairing</t>
  </si>
  <si>
    <t>336991</t>
  </si>
  <si>
    <t>Motorcycle, Bicycle, and Parts Manufacturing</t>
  </si>
  <si>
    <t>3751</t>
  </si>
  <si>
    <t>Motorcycles, Bicycles, and Parts</t>
  </si>
  <si>
    <t>3944</t>
  </si>
  <si>
    <t>Games, Toys, and Children's Vehicles</t>
  </si>
  <si>
    <t>CAPITAL GOODS</t>
  </si>
  <si>
    <t>336992</t>
  </si>
  <si>
    <t>Military Armored Vehicle, Tank, and Tank Component Manufacturing</t>
  </si>
  <si>
    <t>3795</t>
  </si>
  <si>
    <t>Tanks and Tank Components</t>
  </si>
  <si>
    <t>336999</t>
  </si>
  <si>
    <t>All Other Transportation Equipment Manufacturing</t>
  </si>
  <si>
    <t>337110</t>
  </si>
  <si>
    <t>Wood Kitchen Cabinet and Countertop Manufacturing</t>
  </si>
  <si>
    <t>2434</t>
  </si>
  <si>
    <t>Wood Kitchen Cabinets</t>
  </si>
  <si>
    <t>2541</t>
  </si>
  <si>
    <t>Wood Partitions and Fixtures</t>
  </si>
  <si>
    <t>5712</t>
  </si>
  <si>
    <t>Furniture Stores</t>
  </si>
  <si>
    <t>RETAIL TRADE</t>
  </si>
  <si>
    <t>337121</t>
  </si>
  <si>
    <t>Upholstered Household Furniture Manufacturing</t>
  </si>
  <si>
    <t>2512</t>
  </si>
  <si>
    <t>Upholstered Household Furniture</t>
  </si>
  <si>
    <t>2514</t>
  </si>
  <si>
    <t>Metal Household Furniture</t>
  </si>
  <si>
    <t>2515</t>
  </si>
  <si>
    <t>Mattresses and Bedsprings</t>
  </si>
  <si>
    <t>337122</t>
  </si>
  <si>
    <t>Nonupholstered Wood Household Furniture Manufacturing</t>
  </si>
  <si>
    <t>2511</t>
  </si>
  <si>
    <t>Wood Household Furniture</t>
  </si>
  <si>
    <t>337124</t>
  </si>
  <si>
    <t>Metal Household Furniture Manufacturing</t>
  </si>
  <si>
    <t>337125</t>
  </si>
  <si>
    <t>Household Furniture (except Wood and Metal) Manufacturing</t>
  </si>
  <si>
    <t>2519</t>
  </si>
  <si>
    <t>Household Furniture, Nec</t>
  </si>
  <si>
    <t>Home Furnishings</t>
  </si>
  <si>
    <t>337127</t>
  </si>
  <si>
    <t>Institutional Furniture Manufacturing</t>
  </si>
  <si>
    <t>2542</t>
  </si>
  <si>
    <t>Partitions and Fixtures, Except Wood</t>
  </si>
  <si>
    <t>337211</t>
  </si>
  <si>
    <t>Wood Office Furniture Manufacturing</t>
  </si>
  <si>
    <t>2521</t>
  </si>
  <si>
    <t>Wood Office Furniture</t>
  </si>
  <si>
    <t>337212</t>
  </si>
  <si>
    <t>Custom Architectural Woodwork and Millwork Manufacturing</t>
  </si>
  <si>
    <t>337214</t>
  </si>
  <si>
    <t>Office Furniture (except Wood) Manufacturing</t>
  </si>
  <si>
    <t>2522</t>
  </si>
  <si>
    <t>Office Furniture, Except Wood</t>
  </si>
  <si>
    <t>337215</t>
  </si>
  <si>
    <t>Showcase, Partition, Shelving, and Locker Manufacturing</t>
  </si>
  <si>
    <t>337910</t>
  </si>
  <si>
    <t>Mattress Manufacturing</t>
  </si>
  <si>
    <t>337920</t>
  </si>
  <si>
    <t>Blind and Shade Manufacturing</t>
  </si>
  <si>
    <t>2591</t>
  </si>
  <si>
    <t>Drapery Hardware and Blinds and Shades</t>
  </si>
  <si>
    <t>339112</t>
  </si>
  <si>
    <t>Surgical and Medical Instrument Manufacturing</t>
  </si>
  <si>
    <t>339113</t>
  </si>
  <si>
    <t>Surgical Appliance and Supplies Manufacturing</t>
  </si>
  <si>
    <t>3851</t>
  </si>
  <si>
    <t>Ophthalmic Goods</t>
  </si>
  <si>
    <t>5999</t>
  </si>
  <si>
    <t>Miscellaneous Retail Stores, Nec</t>
  </si>
  <si>
    <t>339114</t>
  </si>
  <si>
    <t>Dental Equipment and Supplies Manufacturing</t>
  </si>
  <si>
    <t>3843</t>
  </si>
  <si>
    <t>Dental Equipment and Supplies</t>
  </si>
  <si>
    <t>339115</t>
  </si>
  <si>
    <t>Ophthalmic Goods Manufacturing</t>
  </si>
  <si>
    <t>5995</t>
  </si>
  <si>
    <t>Optical Goods Stores</t>
  </si>
  <si>
    <t>339116</t>
  </si>
  <si>
    <t>Dental Laboratories</t>
  </si>
  <si>
    <t>8072</t>
  </si>
  <si>
    <t xml:space="preserve">HEALTH CARE  </t>
  </si>
  <si>
    <t>339910</t>
  </si>
  <si>
    <t>Jewelry and Silverware Manufacturing</t>
  </si>
  <si>
    <t>3911</t>
  </si>
  <si>
    <t>Jewelry, Precious Metal</t>
  </si>
  <si>
    <t>3961</t>
  </si>
  <si>
    <t>Costume Jewelry</t>
  </si>
  <si>
    <t>339920</t>
  </si>
  <si>
    <t>Sporting and Athletic Goods Manufacturing</t>
  </si>
  <si>
    <t>3949</t>
  </si>
  <si>
    <t>Sporting and athletic Goods, Nec</t>
  </si>
  <si>
    <t>339930</t>
  </si>
  <si>
    <t>Doll, Toy, and Game Manufacturing</t>
  </si>
  <si>
    <t>LEISURE EQUIPMENT AND PRODUCTS</t>
  </si>
  <si>
    <t>3942</t>
  </si>
  <si>
    <t>Dolls and Stuffed Toys</t>
  </si>
  <si>
    <t>339940</t>
  </si>
  <si>
    <t>Office Supplies (except Paper) Manufacturing</t>
  </si>
  <si>
    <t>3951</t>
  </si>
  <si>
    <t>Pens and Mechanical Pencils</t>
  </si>
  <si>
    <t>3953</t>
  </si>
  <si>
    <t>Marking Devices</t>
  </si>
  <si>
    <t>3955</t>
  </si>
  <si>
    <t>Carbon Paper and Inked Ribbons</t>
  </si>
  <si>
    <t>339950</t>
  </si>
  <si>
    <t>Sign Manufacturing</t>
  </si>
  <si>
    <t>339991</t>
  </si>
  <si>
    <t>Gasket, Packing, and Sealing Device Manufacturing</t>
  </si>
  <si>
    <t>3053</t>
  </si>
  <si>
    <t>Gaskets; Packing and Sealing Devices</t>
  </si>
  <si>
    <t>339992</t>
  </si>
  <si>
    <t>Musical Instrument Manufacturing</t>
  </si>
  <si>
    <t>3931</t>
  </si>
  <si>
    <t>Musical Instruments</t>
  </si>
  <si>
    <t>339993</t>
  </si>
  <si>
    <t>Fastener, Button, Needle, and Pin Manufacturing</t>
  </si>
  <si>
    <t>3965</t>
  </si>
  <si>
    <t>Fasteners, Buttons, Needles, and Pins</t>
  </si>
  <si>
    <t>339994</t>
  </si>
  <si>
    <t>Broom, Brush, and Mop Manufacturing</t>
  </si>
  <si>
    <t>3991</t>
  </si>
  <si>
    <t>Brooms and Brushes</t>
  </si>
  <si>
    <t>339995</t>
  </si>
  <si>
    <t>Burial Casket Manufacturing</t>
  </si>
  <si>
    <t>3995</t>
  </si>
  <si>
    <t>Burial Caskets</t>
  </si>
  <si>
    <t>339999</t>
  </si>
  <si>
    <t>All Other Miscellaneous Manufacturing</t>
  </si>
  <si>
    <t>423110</t>
  </si>
  <si>
    <t>Automobile and Other Motor Vehicle Merchant Wholesalers</t>
  </si>
  <si>
    <t>5012</t>
  </si>
  <si>
    <t>Automobiles and Other Motor Vehicles</t>
  </si>
  <si>
    <t>WHOLESALE TRADE</t>
  </si>
  <si>
    <t>423120</t>
  </si>
  <si>
    <t>Motor Vehicle Supplies and New Parts Merchant Wholesalers</t>
  </si>
  <si>
    <t>5013</t>
  </si>
  <si>
    <t>Motor Vehicle Supplies and New Parts</t>
  </si>
  <si>
    <t>423130</t>
  </si>
  <si>
    <t>Tire and Tube Merchant Wholesalers</t>
  </si>
  <si>
    <t>5014</t>
  </si>
  <si>
    <t>Tires and Tubes</t>
  </si>
  <si>
    <t>423140</t>
  </si>
  <si>
    <t>Motor Vehicle Parts (Used) Merchant Wholesalers</t>
  </si>
  <si>
    <t>5015</t>
  </si>
  <si>
    <t>Motor Vehicle Parts, Used</t>
  </si>
  <si>
    <t>423210</t>
  </si>
  <si>
    <t>Furniture Merchant Wholesalers</t>
  </si>
  <si>
    <t>5021</t>
  </si>
  <si>
    <t>Furniture</t>
  </si>
  <si>
    <t>423220</t>
  </si>
  <si>
    <t>Home Furnishing Merchant Wholesalers</t>
  </si>
  <si>
    <t>5023</t>
  </si>
  <si>
    <t>Homefurnishings</t>
  </si>
  <si>
    <t>423310</t>
  </si>
  <si>
    <t>Lumber, Plywood, Millwork, and Wood Panel Merchant Wholesalers</t>
  </si>
  <si>
    <t>5031</t>
  </si>
  <si>
    <t>Lumber, Plywood, and Millwork</t>
  </si>
  <si>
    <t>5039</t>
  </si>
  <si>
    <t>Construction Materials, Nec</t>
  </si>
  <si>
    <t>423320</t>
  </si>
  <si>
    <t>Brick, Stone, and Related Construction Material Merchant Wholesalers</t>
  </si>
  <si>
    <t>5032</t>
  </si>
  <si>
    <t>Brick, Stone, and Related Material</t>
  </si>
  <si>
    <t>423330</t>
  </si>
  <si>
    <t>Roofing, Siding, and Insulation Material Merchant Wholesalers</t>
  </si>
  <si>
    <t>5033</t>
  </si>
  <si>
    <t>Roofing, Siding, and Insulation</t>
  </si>
  <si>
    <t>423390</t>
  </si>
  <si>
    <t>Other Construction Material Merchant Wholesalers</t>
  </si>
  <si>
    <t>423410</t>
  </si>
  <si>
    <t>Photographic Equipment and Supplies Merchant Wholesalers</t>
  </si>
  <si>
    <t>5043</t>
  </si>
  <si>
    <t>423420</t>
  </si>
  <si>
    <t>Office Equipment Merchant Wholesalers</t>
  </si>
  <si>
    <t>5044</t>
  </si>
  <si>
    <t>Office Equipment</t>
  </si>
  <si>
    <t>423430</t>
  </si>
  <si>
    <t>Computer and Computer Peripheral Equipment and Software Merchant Wholesalers</t>
  </si>
  <si>
    <t>5045</t>
  </si>
  <si>
    <t>Computers, Peripherals, and Software</t>
  </si>
  <si>
    <t>423440</t>
  </si>
  <si>
    <t>Other Commercial Equipment Merchant Wholesalers</t>
  </si>
  <si>
    <t>5046</t>
  </si>
  <si>
    <t>Commercial Equipment, Nec</t>
  </si>
  <si>
    <t>423450</t>
  </si>
  <si>
    <t>Medical, Dental, and Hospital Equipment and Supplies Merchant Wholesalers</t>
  </si>
  <si>
    <t>5047</t>
  </si>
  <si>
    <t>Medical and Hospital Equipment</t>
  </si>
  <si>
    <t>423460</t>
  </si>
  <si>
    <t>Ophthalmic Goods Merchant Wholesalers</t>
  </si>
  <si>
    <t>5048</t>
  </si>
  <si>
    <t>423490</t>
  </si>
  <si>
    <t>Other Professional Equipment and Supplies Merchant Wholesalers</t>
  </si>
  <si>
    <t>5049</t>
  </si>
  <si>
    <t>Professional Equipment, Nec</t>
  </si>
  <si>
    <t>423510</t>
  </si>
  <si>
    <t>Metal Service Centers and Other Metal Merchant Wholesalers</t>
  </si>
  <si>
    <t>5051</t>
  </si>
  <si>
    <t>Metals Service Centers and Offices</t>
  </si>
  <si>
    <t>423520</t>
  </si>
  <si>
    <t>Coal and Other Mineral and Ore Merchant Wholesalers</t>
  </si>
  <si>
    <t>5052</t>
  </si>
  <si>
    <t>Coal and Other Minerals and Ores</t>
  </si>
  <si>
    <t>423610</t>
  </si>
  <si>
    <t>Electrical Apparatus and Equipment, Wiring Supplies, and Related Equipment Merchant Wholesalers</t>
  </si>
  <si>
    <t>5063</t>
  </si>
  <si>
    <t>Electrical Apparatus and Equipment</t>
  </si>
  <si>
    <t>423620</t>
  </si>
  <si>
    <t>Household Appliances, Electric Housewares, and Consumer Electronics Merchant Wholesalers</t>
  </si>
  <si>
    <t>5064</t>
  </si>
  <si>
    <t>Electrical Appliances, Television and Radio</t>
  </si>
  <si>
    <t>5074</t>
  </si>
  <si>
    <t>Plumbing and Hydronic Heating Supplies</t>
  </si>
  <si>
    <t>423690</t>
  </si>
  <si>
    <t>Other Electronic Parts and Equipment Merchant Wholesalers</t>
  </si>
  <si>
    <t>5065</t>
  </si>
  <si>
    <t>Electronic Parts and Equipment, Nec</t>
  </si>
  <si>
    <t>423710</t>
  </si>
  <si>
    <t>Hardware Merchant Wholesalers</t>
  </si>
  <si>
    <t>5072</t>
  </si>
  <si>
    <t>Hardware</t>
  </si>
  <si>
    <t>423720</t>
  </si>
  <si>
    <t>Plumbing and Heating Equipment and Supplies (Hydronics) Merchant Wholesalers</t>
  </si>
  <si>
    <t>423730</t>
  </si>
  <si>
    <t>Warm Air Heating and Air-Conditioning Equipment and Supplies Merchant Wholesalers</t>
  </si>
  <si>
    <t>5075</t>
  </si>
  <si>
    <t>Warm Air Heating and Air Conditioning</t>
  </si>
  <si>
    <t>423740</t>
  </si>
  <si>
    <t>Refrigeration Equipment and Supplies Merchant Wholesalers</t>
  </si>
  <si>
    <t>5078</t>
  </si>
  <si>
    <t>Refrigeration Equipment and Supplies</t>
  </si>
  <si>
    <t>423810</t>
  </si>
  <si>
    <t>Construction and Mining (except Oil Well) Machinery and Equipment Merchant Wholesalers</t>
  </si>
  <si>
    <t>5082</t>
  </si>
  <si>
    <t>Construction and Mining Machinery</t>
  </si>
  <si>
    <t>423820</t>
  </si>
  <si>
    <t>Farm and Garden Machinery and Equipment Merchant Wholesalers</t>
  </si>
  <si>
    <t>5083</t>
  </si>
  <si>
    <t>Farm and Garden Machinery</t>
  </si>
  <si>
    <t>423830</t>
  </si>
  <si>
    <t>Industrial Machinery and Equipment Merchant Wholesalers</t>
  </si>
  <si>
    <t>5084</t>
  </si>
  <si>
    <t>Industrial Machinery and Equipment</t>
  </si>
  <si>
    <t>5085</t>
  </si>
  <si>
    <t>Industrial Supplies</t>
  </si>
  <si>
    <t>423840</t>
  </si>
  <si>
    <t>Industrial Supplies Merchant Wholesalers</t>
  </si>
  <si>
    <t>423850</t>
  </si>
  <si>
    <t>Service Establishment Equipment and Supplies Merchant Wholesalers</t>
  </si>
  <si>
    <t>5087</t>
  </si>
  <si>
    <t>Service Establishment Equipment</t>
  </si>
  <si>
    <t>423860</t>
  </si>
  <si>
    <t>Transportation Equipment and Supplies (except Motor Vehicle) Merchant Wholesalers</t>
  </si>
  <si>
    <t>5088</t>
  </si>
  <si>
    <t>Transportation Equipment and Supplies</t>
  </si>
  <si>
    <t>423910</t>
  </si>
  <si>
    <t>Sporting and Recreational Goods and Supplies Merchant Wholesalers</t>
  </si>
  <si>
    <t>5091</t>
  </si>
  <si>
    <t>Sporting and Recreation Goods</t>
  </si>
  <si>
    <t>5136</t>
  </si>
  <si>
    <t>Men's and Boy's Clothing</t>
  </si>
  <si>
    <t>5137</t>
  </si>
  <si>
    <t>Women's and Children's Clothing</t>
  </si>
  <si>
    <t>423920</t>
  </si>
  <si>
    <t>Toy and Hobby Goods and Supplies Merchant Wholesalers</t>
  </si>
  <si>
    <t>5092</t>
  </si>
  <si>
    <t>Toys and Hobby Goods and Supplies</t>
  </si>
  <si>
    <t>423930</t>
  </si>
  <si>
    <t>Recyclable Material Merchant Wholesalers</t>
  </si>
  <si>
    <t>5093</t>
  </si>
  <si>
    <t>Scrap and Waste Materials</t>
  </si>
  <si>
    <t>423940</t>
  </si>
  <si>
    <t>Jewelry, Watch, Precious Stone, and Precious Metal Merchant Wholesalers</t>
  </si>
  <si>
    <t>5094</t>
  </si>
  <si>
    <t>Jewelry and Precious Stones</t>
  </si>
  <si>
    <t>423990</t>
  </si>
  <si>
    <t>Other Miscellaneous Durable Goods Merchant Wholesalers</t>
  </si>
  <si>
    <t>5099</t>
  </si>
  <si>
    <t>Durable Goods, Nec</t>
  </si>
  <si>
    <t>7822</t>
  </si>
  <si>
    <t>Motion Picture and Tape Distribution</t>
  </si>
  <si>
    <t>424110</t>
  </si>
  <si>
    <t>Printing and Writing Paper Merchant Wholesalers</t>
  </si>
  <si>
    <t>5111</t>
  </si>
  <si>
    <t>Printing and Writing Paper</t>
  </si>
  <si>
    <t>424120</t>
  </si>
  <si>
    <t>Stationery and Office Supplies Merchant Wholesalers</t>
  </si>
  <si>
    <t>5112</t>
  </si>
  <si>
    <t>Stationery and Office Supplies</t>
  </si>
  <si>
    <t>424130</t>
  </si>
  <si>
    <t>Industrial and Personal Service Paper Merchant Wholesalers</t>
  </si>
  <si>
    <t>5113</t>
  </si>
  <si>
    <t>Industrial and Personal Service Paper</t>
  </si>
  <si>
    <t>424210</t>
  </si>
  <si>
    <t>Drugs and Druggists' Sundries Merchant Wholesalers</t>
  </si>
  <si>
    <t>5122</t>
  </si>
  <si>
    <t>Drugs, Proprietaries, and Sundries</t>
  </si>
  <si>
    <t>424310</t>
  </si>
  <si>
    <t>Piece Goods, Notions, and Other Dry Goods Merchant Wholesalers</t>
  </si>
  <si>
    <t>5199</t>
  </si>
  <si>
    <t>Nondurable Goods, Nec</t>
  </si>
  <si>
    <t>424320</t>
  </si>
  <si>
    <t>Men's and Boys' Clothing and Furnishings Merchant Wholesalers</t>
  </si>
  <si>
    <t>424330</t>
  </si>
  <si>
    <t>Women's, Children's, and Infants' Clothing and Accessories Merchant Wholesalers</t>
  </si>
  <si>
    <t>424340</t>
  </si>
  <si>
    <t>Footwear Merchant Wholesalers</t>
  </si>
  <si>
    <t>5139</t>
  </si>
  <si>
    <t>Footwear</t>
  </si>
  <si>
    <t>424410</t>
  </si>
  <si>
    <t>General Line Grocery Merchant Wholesalers</t>
  </si>
  <si>
    <t>5141</t>
  </si>
  <si>
    <t>Groceries, General Line</t>
  </si>
  <si>
    <t>424420</t>
  </si>
  <si>
    <t>Packaged Frozen Food Merchant Wholesalers</t>
  </si>
  <si>
    <t>5142</t>
  </si>
  <si>
    <t>Packaged Frozen Goods</t>
  </si>
  <si>
    <t>424430</t>
  </si>
  <si>
    <t>Dairy Product (except Dried or Canned) Merchant Wholesalers</t>
  </si>
  <si>
    <t>5143</t>
  </si>
  <si>
    <t>Dairy Products, Except Dried or Canned</t>
  </si>
  <si>
    <t>424440</t>
  </si>
  <si>
    <t>Poultry and Poultry Product Merchant Wholesalers</t>
  </si>
  <si>
    <t>5144</t>
  </si>
  <si>
    <t>Poultry and Poultry Products</t>
  </si>
  <si>
    <t>424450</t>
  </si>
  <si>
    <t>Confectionery Merchant Wholesalers</t>
  </si>
  <si>
    <t>5145</t>
  </si>
  <si>
    <t>Confectionery</t>
  </si>
  <si>
    <t>424460</t>
  </si>
  <si>
    <t>Fish and Seafood Merchant Wholesalers</t>
  </si>
  <si>
    <t>5146</t>
  </si>
  <si>
    <t>Fish and Seafoods</t>
  </si>
  <si>
    <t>424470</t>
  </si>
  <si>
    <t>Meat and Meat Product Merchant Wholesalers</t>
  </si>
  <si>
    <t>424480</t>
  </si>
  <si>
    <t>Fresh Fruit and Vegetable Merchant Wholesalers</t>
  </si>
  <si>
    <t>5148</t>
  </si>
  <si>
    <t>Fresh Fruits and Vegetables</t>
  </si>
  <si>
    <t>424490</t>
  </si>
  <si>
    <t>Other Grocery and Related Products Merchant Wholesalers</t>
  </si>
  <si>
    <t>424510</t>
  </si>
  <si>
    <t>Grain and Field Bean Merchant Wholesalers</t>
  </si>
  <si>
    <t>5153</t>
  </si>
  <si>
    <t>Grain and Field Beans</t>
  </si>
  <si>
    <t>424520</t>
  </si>
  <si>
    <t>Livestock Merchant Wholesalers</t>
  </si>
  <si>
    <t>5154</t>
  </si>
  <si>
    <t>Livestock</t>
  </si>
  <si>
    <t>424590</t>
  </si>
  <si>
    <t>Other Farm Product Raw Material Merchant Wholesalers</t>
  </si>
  <si>
    <t>5159</t>
  </si>
  <si>
    <t>Farm-product Raw Materials, Nec</t>
  </si>
  <si>
    <t>424610</t>
  </si>
  <si>
    <t>Plastics Materials and Basic Forms and Shapes Merchant Wholesalers</t>
  </si>
  <si>
    <t>5162</t>
  </si>
  <si>
    <t>Plastics Materials and Basic Shapes</t>
  </si>
  <si>
    <t>424690</t>
  </si>
  <si>
    <t>Other Chemical and Allied Products Merchant Wholesalers</t>
  </si>
  <si>
    <t>5169</t>
  </si>
  <si>
    <t>Chemicals and Allied Products, Nec</t>
  </si>
  <si>
    <t>424710</t>
  </si>
  <si>
    <t>Petroleum Bulk Stations and Terminals</t>
  </si>
  <si>
    <t>5171</t>
  </si>
  <si>
    <t>424720</t>
  </si>
  <si>
    <t>Petroleum and Petroleum Products Merchant Wholesalers (except Bulk Stations and Terminals)</t>
  </si>
  <si>
    <t>5172</t>
  </si>
  <si>
    <t>Petroleum Products, Nec</t>
  </si>
  <si>
    <t>424810</t>
  </si>
  <si>
    <t>Beer and Ale Merchant Wholesalers</t>
  </si>
  <si>
    <t>5181</t>
  </si>
  <si>
    <t>Beer and Ale</t>
  </si>
  <si>
    <t>424820</t>
  </si>
  <si>
    <t>Wine and Distilled Alcoholic Beverage Merchant Wholesalers</t>
  </si>
  <si>
    <t>5182</t>
  </si>
  <si>
    <t>Wine and Distilled Beverages</t>
  </si>
  <si>
    <t>424910</t>
  </si>
  <si>
    <t>Farm Supplies Merchant Wholesalers</t>
  </si>
  <si>
    <t>5191</t>
  </si>
  <si>
    <t>Farm Supplies</t>
  </si>
  <si>
    <t>424920</t>
  </si>
  <si>
    <t>Book, Periodical, and Newspaper Merchant Wholesalers</t>
  </si>
  <si>
    <t>5192</t>
  </si>
  <si>
    <t>Books, Periodicals, and Newspapers</t>
  </si>
  <si>
    <t>424930</t>
  </si>
  <si>
    <t>Flower, Nursery Stock, and Florists' Supplies Merchant Wholesalers</t>
  </si>
  <si>
    <t>5193</t>
  </si>
  <si>
    <t>Flowers and Florists Supplies</t>
  </si>
  <si>
    <t>424940</t>
  </si>
  <si>
    <t>Tobacco and Tobacco Product Merchant Wholesalers</t>
  </si>
  <si>
    <t>5194</t>
  </si>
  <si>
    <t>Tobacco and Tobacco Products</t>
  </si>
  <si>
    <t>424950</t>
  </si>
  <si>
    <t>Paint, Varnish, and Supplies Merchant Wholesalers</t>
  </si>
  <si>
    <t>5198</t>
  </si>
  <si>
    <t>Paints, Varnishes, and Supplies</t>
  </si>
  <si>
    <t>424990</t>
  </si>
  <si>
    <t>Other Miscellaneous Nondurable Goods Merchant Wholesalers</t>
  </si>
  <si>
    <t>425110</t>
  </si>
  <si>
    <t>Business to Business Electronic Markets</t>
  </si>
  <si>
    <t>425120</t>
  </si>
  <si>
    <t>Wholesale Trade Agents and Brokers</t>
  </si>
  <si>
    <t>441110</t>
  </si>
  <si>
    <t>New Car Dealers</t>
  </si>
  <si>
    <t>5511</t>
  </si>
  <si>
    <t>New and Used Car Dealers</t>
  </si>
  <si>
    <t>441120</t>
  </si>
  <si>
    <t>Used Car Dealers</t>
  </si>
  <si>
    <t>5521</t>
  </si>
  <si>
    <t>441210</t>
  </si>
  <si>
    <t>Recreational Vehicle Dealers</t>
  </si>
  <si>
    <t>5561</t>
  </si>
  <si>
    <t>441222</t>
  </si>
  <si>
    <t>Boat Dealers</t>
  </si>
  <si>
    <t>5551</t>
  </si>
  <si>
    <t>441228</t>
  </si>
  <si>
    <t>Motorcycle, ATV, and All Other Motor Vehicle Dealers</t>
  </si>
  <si>
    <t>5571</t>
  </si>
  <si>
    <t>Motorcycle Dealers</t>
  </si>
  <si>
    <t>5599</t>
  </si>
  <si>
    <t>Automotive Dealers, Nec</t>
  </si>
  <si>
    <t>441310</t>
  </si>
  <si>
    <t>Automotive Parts and Accessories Stores</t>
  </si>
  <si>
    <t>5531</t>
  </si>
  <si>
    <t>Auto and Home Supply Stores</t>
  </si>
  <si>
    <t>5731</t>
  </si>
  <si>
    <t>Radio, Television, and Electronic Stores</t>
  </si>
  <si>
    <t>441320</t>
  </si>
  <si>
    <t>Tire Dealers</t>
  </si>
  <si>
    <t>442110</t>
  </si>
  <si>
    <t>442210</t>
  </si>
  <si>
    <t>Floor Covering Stores</t>
  </si>
  <si>
    <t>5713</t>
  </si>
  <si>
    <t>442291</t>
  </si>
  <si>
    <t>Window Treatment Stores</t>
  </si>
  <si>
    <t>442299</t>
  </si>
  <si>
    <t>All Other Home Furnishings Stores</t>
  </si>
  <si>
    <t>443141</t>
  </si>
  <si>
    <t>Household Appliance Stores</t>
  </si>
  <si>
    <t>5722</t>
  </si>
  <si>
    <t>7623</t>
  </si>
  <si>
    <t>Refrigeration Service and Repair</t>
  </si>
  <si>
    <t>7629</t>
  </si>
  <si>
    <t>Electrical Repair Shops</t>
  </si>
  <si>
    <t>443142</t>
  </si>
  <si>
    <t>Electronics Stores</t>
  </si>
  <si>
    <t>5734</t>
  </si>
  <si>
    <t>Computer and Software Stores</t>
  </si>
  <si>
    <t>5735</t>
  </si>
  <si>
    <t>Record and Prerecorded Tape Stores</t>
  </si>
  <si>
    <t>5946</t>
  </si>
  <si>
    <t>Camera and Photographic Supply Stores</t>
  </si>
  <si>
    <t>7378</t>
  </si>
  <si>
    <t>Computer Maintenance and Repair</t>
  </si>
  <si>
    <t>444110</t>
  </si>
  <si>
    <t>Home Centers</t>
  </si>
  <si>
    <t>5211</t>
  </si>
  <si>
    <t>Lumber and Other Building Materials</t>
  </si>
  <si>
    <t>444120</t>
  </si>
  <si>
    <t>Paint and Wallpaper Stores</t>
  </si>
  <si>
    <t>5231</t>
  </si>
  <si>
    <t>Paint, Glass, and Wallpaper Stores</t>
  </si>
  <si>
    <t>444130</t>
  </si>
  <si>
    <t>Hardware Stores</t>
  </si>
  <si>
    <t>5251</t>
  </si>
  <si>
    <t>444190</t>
  </si>
  <si>
    <t>Other Building Material Dealers</t>
  </si>
  <si>
    <t>444210</t>
  </si>
  <si>
    <t>Outdoor Power Equipment Stores</t>
  </si>
  <si>
    <t>5261</t>
  </si>
  <si>
    <t>Retail Nurseries and Garden Stores</t>
  </si>
  <si>
    <t>444220</t>
  </si>
  <si>
    <t>Nursery, Garden Center, and Farm Supply Stores</t>
  </si>
  <si>
    <t>445110</t>
  </si>
  <si>
    <t>Supermarkets and Other Grocery (except Convenience) Stores</t>
  </si>
  <si>
    <t>5411</t>
  </si>
  <si>
    <t>Grocery Stores</t>
  </si>
  <si>
    <t>445120</t>
  </si>
  <si>
    <t>Convenience Stores</t>
  </si>
  <si>
    <t>445210</t>
  </si>
  <si>
    <t>Meat Markets</t>
  </si>
  <si>
    <t>5421</t>
  </si>
  <si>
    <t>Meat and Fish Markets</t>
  </si>
  <si>
    <t>5499</t>
  </si>
  <si>
    <t>Miscellaneous Food Stores</t>
  </si>
  <si>
    <t>445220</t>
  </si>
  <si>
    <t>Fish and Seafood Markets</t>
  </si>
  <si>
    <t>445230</t>
  </si>
  <si>
    <t>Fruit and Vegetable Markets</t>
  </si>
  <si>
    <t>5431</t>
  </si>
  <si>
    <t>445291</t>
  </si>
  <si>
    <t>Baked Goods Stores</t>
  </si>
  <si>
    <t>445292</t>
  </si>
  <si>
    <t>Confectionery and Nut Stores</t>
  </si>
  <si>
    <t>445299</t>
  </si>
  <si>
    <t>All Other Specialty Food Stores</t>
  </si>
  <si>
    <t>5451</t>
  </si>
  <si>
    <t>Dairy Products Stores</t>
  </si>
  <si>
    <t>445310</t>
  </si>
  <si>
    <t>Beer, Wine, and Liquor Stores</t>
  </si>
  <si>
    <t>5921</t>
  </si>
  <si>
    <t>Liquor Stores</t>
  </si>
  <si>
    <t>446110</t>
  </si>
  <si>
    <t>Pharmacies and Drug Stores</t>
  </si>
  <si>
    <t>5912</t>
  </si>
  <si>
    <t>Drug Stores and Proprietary Stores</t>
  </si>
  <si>
    <t>446120</t>
  </si>
  <si>
    <t>Cosmetics, Beauty Supplies, and Perfume Stores</t>
  </si>
  <si>
    <t>446130</t>
  </si>
  <si>
    <t>446191</t>
  </si>
  <si>
    <t>Food (Health) Supplement Stores</t>
  </si>
  <si>
    <t>446199</t>
  </si>
  <si>
    <t>All Other Health and Personal Care Stores</t>
  </si>
  <si>
    <t>447110</t>
  </si>
  <si>
    <t>Gasoline Stations with Convenience Stores</t>
  </si>
  <si>
    <t>5541</t>
  </si>
  <si>
    <t>Gasoline Service Stations</t>
  </si>
  <si>
    <t>447190</t>
  </si>
  <si>
    <t>Other Gasoline Stations</t>
  </si>
  <si>
    <t>448110</t>
  </si>
  <si>
    <t>Men's Clothing Stores</t>
  </si>
  <si>
    <t>5611</t>
  </si>
  <si>
    <t>Men's and Boys' Clothing Stores</t>
  </si>
  <si>
    <t>448120</t>
  </si>
  <si>
    <t>Women's Clothing Stores</t>
  </si>
  <si>
    <t>5621</t>
  </si>
  <si>
    <t>448130</t>
  </si>
  <si>
    <t>Children's and Infants' Clothing Stores</t>
  </si>
  <si>
    <t>5641</t>
  </si>
  <si>
    <t>Children's and Infants' Wear Stores</t>
  </si>
  <si>
    <t>448140</t>
  </si>
  <si>
    <t>Family Clothing Stores</t>
  </si>
  <si>
    <t>5651</t>
  </si>
  <si>
    <t>448150</t>
  </si>
  <si>
    <t>Clothing Accessories Stores</t>
  </si>
  <si>
    <t>5632</t>
  </si>
  <si>
    <t>Women's Accessory and Specialty Stores</t>
  </si>
  <si>
    <t>448190</t>
  </si>
  <si>
    <t>Other Clothing Stores</t>
  </si>
  <si>
    <t>448210</t>
  </si>
  <si>
    <t>Shoe Stores</t>
  </si>
  <si>
    <t>5661</t>
  </si>
  <si>
    <t>448310</t>
  </si>
  <si>
    <t>Jewelry Stores</t>
  </si>
  <si>
    <t>5944</t>
  </si>
  <si>
    <t>7631</t>
  </si>
  <si>
    <t>Watch, Clock, and Jewelry Repair</t>
  </si>
  <si>
    <t>448320</t>
  </si>
  <si>
    <t>Luggage and Leather Goods Stores</t>
  </si>
  <si>
    <t>5948</t>
  </si>
  <si>
    <t>451110</t>
  </si>
  <si>
    <t>Sporting Goods Stores</t>
  </si>
  <si>
    <t>5941</t>
  </si>
  <si>
    <t>Sporting Goods and Bicycle Shops</t>
  </si>
  <si>
    <t>451120</t>
  </si>
  <si>
    <t>Hobby, Toy, and Game Stores</t>
  </si>
  <si>
    <t>5945</t>
  </si>
  <si>
    <t>Hobby, Toy, and Game Shops</t>
  </si>
  <si>
    <t>451130</t>
  </si>
  <si>
    <t>Sewing, Needlework, and Piece Goods Stores</t>
  </si>
  <si>
    <t>5949</t>
  </si>
  <si>
    <t>Sewing, Needlework, and Piece Goods</t>
  </si>
  <si>
    <t>451140</t>
  </si>
  <si>
    <t>Musical Instrument and Supplies Stores</t>
  </si>
  <si>
    <t>5736</t>
  </si>
  <si>
    <t>Musical Instrument Stores</t>
  </si>
  <si>
    <t>451211</t>
  </si>
  <si>
    <t>Book Stores</t>
  </si>
  <si>
    <t>5942</t>
  </si>
  <si>
    <t>451212</t>
  </si>
  <si>
    <t>News Dealers and Newsstands</t>
  </si>
  <si>
    <t>5994</t>
  </si>
  <si>
    <t>452210</t>
  </si>
  <si>
    <t>Department Stores</t>
  </si>
  <si>
    <t>5311</t>
  </si>
  <si>
    <t>452311</t>
  </si>
  <si>
    <t>Warehouse Clubs and Supercenters</t>
  </si>
  <si>
    <t>5399</t>
  </si>
  <si>
    <t>Miscellaneous General Merchandise</t>
  </si>
  <si>
    <t>452319</t>
  </si>
  <si>
    <t>All Other General Merchandise Stores</t>
  </si>
  <si>
    <t>5331</t>
  </si>
  <si>
    <t>Variety Stores</t>
  </si>
  <si>
    <t>453110</t>
  </si>
  <si>
    <t>Florists</t>
  </si>
  <si>
    <t>5992</t>
  </si>
  <si>
    <t>453210</t>
  </si>
  <si>
    <t>Office Supplies and Stationery Stores</t>
  </si>
  <si>
    <t>5943</t>
  </si>
  <si>
    <t>Stationery Stores</t>
  </si>
  <si>
    <t>453220</t>
  </si>
  <si>
    <t>Gift, Novelty, and Souvenir Stores</t>
  </si>
  <si>
    <t>5947</t>
  </si>
  <si>
    <t>Gift, Novelty, and Souvenir Shop</t>
  </si>
  <si>
    <t>453310</t>
  </si>
  <si>
    <t>Used Merchandise Stores</t>
  </si>
  <si>
    <t>5932</t>
  </si>
  <si>
    <t>453910</t>
  </si>
  <si>
    <t>Pet and Pet Supplies Stores</t>
  </si>
  <si>
    <t>453920</t>
  </si>
  <si>
    <t>Art Dealers</t>
  </si>
  <si>
    <t>453930</t>
  </si>
  <si>
    <t>Manufactured (Mobile) Home Dealers</t>
  </si>
  <si>
    <t>5271</t>
  </si>
  <si>
    <t>Mobile Home Dealers</t>
  </si>
  <si>
    <t>453991</t>
  </si>
  <si>
    <t>Tobacco Stores</t>
  </si>
  <si>
    <t>5993</t>
  </si>
  <si>
    <t>Tobacco Stores and Stands</t>
  </si>
  <si>
    <t>453998</t>
  </si>
  <si>
    <t>All Other Miscellaneous Store Retailers (except Tobacco Stores)</t>
  </si>
  <si>
    <t>454110</t>
  </si>
  <si>
    <t>Electronic Shopping and Mail-Order Houses</t>
  </si>
  <si>
    <t>5961</t>
  </si>
  <si>
    <t>Catalog and Mail-order Houses</t>
  </si>
  <si>
    <t>454210</t>
  </si>
  <si>
    <t>Vending Machine Operators</t>
  </si>
  <si>
    <t>5962</t>
  </si>
  <si>
    <t>Merchandising Machine Operators</t>
  </si>
  <si>
    <t>454310</t>
  </si>
  <si>
    <t>Fuel Dealers</t>
  </si>
  <si>
    <t>5983</t>
  </si>
  <si>
    <t>Fuel Oil Dealers</t>
  </si>
  <si>
    <t>5984</t>
  </si>
  <si>
    <t>Liquefied Petroleum Gas Dealers</t>
  </si>
  <si>
    <t>5989</t>
  </si>
  <si>
    <t>Fuel Dealers, Nec</t>
  </si>
  <si>
    <t>454390</t>
  </si>
  <si>
    <t>Other Direct Selling Establishments</t>
  </si>
  <si>
    <t>5963</t>
  </si>
  <si>
    <t>Direct Selling Establishments</t>
  </si>
  <si>
    <t>481111</t>
  </si>
  <si>
    <t>Scheduled Passenger Air Transportation</t>
  </si>
  <si>
    <t>4512</t>
  </si>
  <si>
    <t>Air Transportation, Scheduled</t>
  </si>
  <si>
    <t>AIRLINES</t>
  </si>
  <si>
    <t>481112</t>
  </si>
  <si>
    <t>Scheduled Freight Air Transportation</t>
  </si>
  <si>
    <t>481211</t>
  </si>
  <si>
    <t>Nonscheduled Chartered Passenger Air Transportation</t>
  </si>
  <si>
    <t>4522</t>
  </si>
  <si>
    <t>Air Transportation, Nonscheduled</t>
  </si>
  <si>
    <t>481212</t>
  </si>
  <si>
    <t>Nonscheduled Chartered Freight Air Transportation</t>
  </si>
  <si>
    <t>481219</t>
  </si>
  <si>
    <t>Other Nonscheduled Air Transportation</t>
  </si>
  <si>
    <t>7319</t>
  </si>
  <si>
    <t>Advertising, Nec</t>
  </si>
  <si>
    <t>7335</t>
  </si>
  <si>
    <t>Commercial Photography</t>
  </si>
  <si>
    <t>7997</t>
  </si>
  <si>
    <t>Membership Sports and Recreation Clubs</t>
  </si>
  <si>
    <t>482111</t>
  </si>
  <si>
    <t>Line-Haul Railroads</t>
  </si>
  <si>
    <t>4011</t>
  </si>
  <si>
    <t>Railroads, Line-haul Operating</t>
  </si>
  <si>
    <t>482112</t>
  </si>
  <si>
    <t>Short Line Railroads</t>
  </si>
  <si>
    <t>4013</t>
  </si>
  <si>
    <t>Switching and Terminal Services</t>
  </si>
  <si>
    <t>483111</t>
  </si>
  <si>
    <t>Deep Sea Freight Transportation</t>
  </si>
  <si>
    <t>4412</t>
  </si>
  <si>
    <t>Deep Sea Foreign Transportation of Freight</t>
  </si>
  <si>
    <t>483112</t>
  </si>
  <si>
    <t>Deep Sea Passenger Transportation</t>
  </si>
  <si>
    <t>4481</t>
  </si>
  <si>
    <t>Deep Sea Passenger Transportation, Except Ferry</t>
  </si>
  <si>
    <t>483113</t>
  </si>
  <si>
    <t>Coastal and Great Lakes Freight Transportation</t>
  </si>
  <si>
    <t>4424</t>
  </si>
  <si>
    <t>Deep Sea Domestic Transportation of Freight</t>
  </si>
  <si>
    <t>4432</t>
  </si>
  <si>
    <t>Freight Transportation On The Great Lakes</t>
  </si>
  <si>
    <t>483114</t>
  </si>
  <si>
    <t>Coastal and Great Lakes Passenger Transportation</t>
  </si>
  <si>
    <t>4482</t>
  </si>
  <si>
    <t>Ferries</t>
  </si>
  <si>
    <t>483211</t>
  </si>
  <si>
    <t>Inland Water Freight Transportation</t>
  </si>
  <si>
    <t>4449</t>
  </si>
  <si>
    <t>Water Transportation of Freight</t>
  </si>
  <si>
    <t>4499</t>
  </si>
  <si>
    <t>Water Transportation Services, Nec</t>
  </si>
  <si>
    <t>483212</t>
  </si>
  <si>
    <t>Inland Water Passenger Transportation</t>
  </si>
  <si>
    <t>4489</t>
  </si>
  <si>
    <t>Water Passenger Transportation</t>
  </si>
  <si>
    <t>484110</t>
  </si>
  <si>
    <t>General Freight Trucking, Local</t>
  </si>
  <si>
    <t>4212</t>
  </si>
  <si>
    <t>Local Trucking, Without Storage</t>
  </si>
  <si>
    <t>4214</t>
  </si>
  <si>
    <t>Local Trucking With Storage</t>
  </si>
  <si>
    <t>484121</t>
  </si>
  <si>
    <t>General Freight Trucking, Long-Distance, Truckload</t>
  </si>
  <si>
    <t>4213</t>
  </si>
  <si>
    <t>Trucking, Except Local</t>
  </si>
  <si>
    <t>484122</t>
  </si>
  <si>
    <t>General Freight Trucking, Long-Distance, Less Than Truckload</t>
  </si>
  <si>
    <t>484210</t>
  </si>
  <si>
    <t>Used Household and Office Goods Moving</t>
  </si>
  <si>
    <t>484220</t>
  </si>
  <si>
    <t>Specialized Freight (except Used Goods) Trucking, Local</t>
  </si>
  <si>
    <t>484230</t>
  </si>
  <si>
    <t>Specialized Freight (except Used Goods) Trucking, Long-Distance</t>
  </si>
  <si>
    <t>485111</t>
  </si>
  <si>
    <t>Mixed Mode Transit Systems</t>
  </si>
  <si>
    <t>4111</t>
  </si>
  <si>
    <t>Local and Suburban Transit</t>
  </si>
  <si>
    <t>485112</t>
  </si>
  <si>
    <t>Commuter Rail Systems</t>
  </si>
  <si>
    <t>485113</t>
  </si>
  <si>
    <t>Bus and Other Motor Vehicle Transit Systems</t>
  </si>
  <si>
    <t>485119</t>
  </si>
  <si>
    <t>Other Urban Transit Systems</t>
  </si>
  <si>
    <t>485210</t>
  </si>
  <si>
    <t>Interurban and Rural Bus Transportation</t>
  </si>
  <si>
    <t>4131</t>
  </si>
  <si>
    <t>Intercity and Rural Bus Transportation</t>
  </si>
  <si>
    <t>485310</t>
  </si>
  <si>
    <t>Taxi Service</t>
  </si>
  <si>
    <t>4121</t>
  </si>
  <si>
    <t>Taxicabs</t>
  </si>
  <si>
    <t>4899</t>
  </si>
  <si>
    <t>Communication Services, Nec</t>
  </si>
  <si>
    <t>485320</t>
  </si>
  <si>
    <t>Limousine Service</t>
  </si>
  <si>
    <t>4119</t>
  </si>
  <si>
    <t>Local Passenger Transportation, Nec</t>
  </si>
  <si>
    <t>485410</t>
  </si>
  <si>
    <t>School and Employee Bus Transportation</t>
  </si>
  <si>
    <t>4151</t>
  </si>
  <si>
    <t>School Buses</t>
  </si>
  <si>
    <t>485510</t>
  </si>
  <si>
    <t>Charter Bus Industry</t>
  </si>
  <si>
    <t>4141</t>
  </si>
  <si>
    <t>Local Bus Charter Service</t>
  </si>
  <si>
    <t>4142</t>
  </si>
  <si>
    <t>Bus Charter Service, Except Local</t>
  </si>
  <si>
    <t>485991</t>
  </si>
  <si>
    <t>Special Needs Transportation</t>
  </si>
  <si>
    <t>485999</t>
  </si>
  <si>
    <t>All Other Transit and Ground Passenger Transportation</t>
  </si>
  <si>
    <t>486110</t>
  </si>
  <si>
    <t>Pipeline Transportation of Crude Oil</t>
  </si>
  <si>
    <t>4612</t>
  </si>
  <si>
    <t>Crude Petroleum Pipelines</t>
  </si>
  <si>
    <t>486210</t>
  </si>
  <si>
    <t>Pipeline Transportation of Natural Gas</t>
  </si>
  <si>
    <t>4922</t>
  </si>
  <si>
    <t>Natural Gas Transmission</t>
  </si>
  <si>
    <t>486910</t>
  </si>
  <si>
    <t>Pipeline Transportation of Refined Petroleum Products</t>
  </si>
  <si>
    <t>4613</t>
  </si>
  <si>
    <t>Refined Petroleum Pipelines</t>
  </si>
  <si>
    <t>486990</t>
  </si>
  <si>
    <t>All Other Pipeline Transportation</t>
  </si>
  <si>
    <t>4619</t>
  </si>
  <si>
    <t>Pipelines, Nec</t>
  </si>
  <si>
    <t>487110</t>
  </si>
  <si>
    <t>Scenic and Sightseeing Transportation, Land</t>
  </si>
  <si>
    <t>4789</t>
  </si>
  <si>
    <t>Transportation Services, Nec</t>
  </si>
  <si>
    <t>7999</t>
  </si>
  <si>
    <t>Amusement and Recreation, Nec</t>
  </si>
  <si>
    <t>HOTEL RESTAURANT LEISURE CTR</t>
  </si>
  <si>
    <t>487210</t>
  </si>
  <si>
    <t>Scenic and Sightseeing Transportation, Water</t>
  </si>
  <si>
    <t>487990</t>
  </si>
  <si>
    <t>Scenic and Sightseeing Transportation, Other</t>
  </si>
  <si>
    <t>488111</t>
  </si>
  <si>
    <t>Air Traffic Control</t>
  </si>
  <si>
    <t>4581</t>
  </si>
  <si>
    <t>Airports, Flying Fields, and Services</t>
  </si>
  <si>
    <t>9621</t>
  </si>
  <si>
    <t>Regulation, Administration of Transportation</t>
  </si>
  <si>
    <t>488119</t>
  </si>
  <si>
    <t>Other Airport Operations</t>
  </si>
  <si>
    <t>4959</t>
  </si>
  <si>
    <t>Sanitary Services, Nec</t>
  </si>
  <si>
    <t>488190</t>
  </si>
  <si>
    <t>Other Support Activities for Air Transportation</t>
  </si>
  <si>
    <t>488210</t>
  </si>
  <si>
    <t>Support Activities for Rail Transportation</t>
  </si>
  <si>
    <t>4741</t>
  </si>
  <si>
    <t>Rental of Railroad Cars</t>
  </si>
  <si>
    <t>488310</t>
  </si>
  <si>
    <t>Port and Harbor Operations</t>
  </si>
  <si>
    <t>4491</t>
  </si>
  <si>
    <t>Marine Cargo Handling</t>
  </si>
  <si>
    <t>488320</t>
  </si>
  <si>
    <t>488330</t>
  </si>
  <si>
    <t>Navigational Services to Shipping</t>
  </si>
  <si>
    <t>4492</t>
  </si>
  <si>
    <t>Towing and Tugboat Service</t>
  </si>
  <si>
    <t>488390</t>
  </si>
  <si>
    <t>Other Support Activities for Water Transportation</t>
  </si>
  <si>
    <t>4785</t>
  </si>
  <si>
    <t>Inspection and Fixed Facilities</t>
  </si>
  <si>
    <t>488410</t>
  </si>
  <si>
    <t>Motor Vehicle Towing</t>
  </si>
  <si>
    <t>7549</t>
  </si>
  <si>
    <t>Automotive Services, Nec</t>
  </si>
  <si>
    <t>488490</t>
  </si>
  <si>
    <t>Other Support Activities for Road Transportation</t>
  </si>
  <si>
    <t>4173</t>
  </si>
  <si>
    <t>Bus Terminal and Service Facilities</t>
  </si>
  <si>
    <t>4231</t>
  </si>
  <si>
    <t>Trucking Terminal Facilities</t>
  </si>
  <si>
    <t>488510</t>
  </si>
  <si>
    <t>Freight Transportation Arrangement</t>
  </si>
  <si>
    <t>4731</t>
  </si>
  <si>
    <t>488991</t>
  </si>
  <si>
    <t>Packing and Crating</t>
  </si>
  <si>
    <t>4783</t>
  </si>
  <si>
    <t>488999</t>
  </si>
  <si>
    <t>All Other Support Activities for Transportation</t>
  </si>
  <si>
    <t>4729</t>
  </si>
  <si>
    <t>Passenger Transportation Arrangement</t>
  </si>
  <si>
    <t>491110</t>
  </si>
  <si>
    <t>Postal Service</t>
  </si>
  <si>
    <t>4311</t>
  </si>
  <si>
    <t>U.S. Postal Service</t>
  </si>
  <si>
    <t>492110</t>
  </si>
  <si>
    <t>Couriers and Express Delivery Services</t>
  </si>
  <si>
    <t>4215</t>
  </si>
  <si>
    <t>Courier Services, Except By Air</t>
  </si>
  <si>
    <t>4513</t>
  </si>
  <si>
    <t>Air Courier Services</t>
  </si>
  <si>
    <t>492210</t>
  </si>
  <si>
    <t>Local Messengers and Local Delivery</t>
  </si>
  <si>
    <t>493110</t>
  </si>
  <si>
    <t>General Warehousing and Storage</t>
  </si>
  <si>
    <t>4225</t>
  </si>
  <si>
    <t>4226</t>
  </si>
  <si>
    <t>Special Warehousing and Storage, Nec</t>
  </si>
  <si>
    <t>493120</t>
  </si>
  <si>
    <t>Refrigerated Warehousing and Storage</t>
  </si>
  <si>
    <t>4222</t>
  </si>
  <si>
    <t>493130</t>
  </si>
  <si>
    <t>Farm Product Warehousing and Storage</t>
  </si>
  <si>
    <t>4221</t>
  </si>
  <si>
    <t>493190</t>
  </si>
  <si>
    <t>Other Warehousing and Storage</t>
  </si>
  <si>
    <t>511110</t>
  </si>
  <si>
    <t>Newspaper Publishers</t>
  </si>
  <si>
    <t>2711</t>
  </si>
  <si>
    <t>Newspapers</t>
  </si>
  <si>
    <t>511120</t>
  </si>
  <si>
    <t>Periodical Publishers</t>
  </si>
  <si>
    <t>2721</t>
  </si>
  <si>
    <t>Periodicals</t>
  </si>
  <si>
    <t>2741</t>
  </si>
  <si>
    <t>Miscellaneous Publishing</t>
  </si>
  <si>
    <t>511130</t>
  </si>
  <si>
    <t>Book Publishers</t>
  </si>
  <si>
    <t>2731</t>
  </si>
  <si>
    <t>Book Publishing</t>
  </si>
  <si>
    <t>511140</t>
  </si>
  <si>
    <t>Directory and Mailing List Publishers</t>
  </si>
  <si>
    <t>7331</t>
  </si>
  <si>
    <t>Direct Mail Advertising Services</t>
  </si>
  <si>
    <t>511191</t>
  </si>
  <si>
    <t>Greeting Card Publishers</t>
  </si>
  <si>
    <t>511199</t>
  </si>
  <si>
    <t>All Other Publishers</t>
  </si>
  <si>
    <t>511210</t>
  </si>
  <si>
    <t>Software Publishers</t>
  </si>
  <si>
    <t>SOFTWARE</t>
  </si>
  <si>
    <t>512110</t>
  </si>
  <si>
    <t>Motion Picture and Video Production</t>
  </si>
  <si>
    <t>7812</t>
  </si>
  <si>
    <t>512120</t>
  </si>
  <si>
    <t>Motion Picture and Video Distribution</t>
  </si>
  <si>
    <t>7829</t>
  </si>
  <si>
    <t>Motion Picture Distribution Services</t>
  </si>
  <si>
    <t>512131</t>
  </si>
  <si>
    <t>Motion Picture Theaters (except Drive-Ins)</t>
  </si>
  <si>
    <t>7832</t>
  </si>
  <si>
    <t>Motion Picture Theaters, Except Drive-in</t>
  </si>
  <si>
    <t>512132</t>
  </si>
  <si>
    <t>Drive-In Motion Picture Theaters</t>
  </si>
  <si>
    <t>7833</t>
  </si>
  <si>
    <t>Drive-in Motion Picture Theaters</t>
  </si>
  <si>
    <t>512191</t>
  </si>
  <si>
    <t>Teleproduction and Other Postproduction Services</t>
  </si>
  <si>
    <t>512199</t>
  </si>
  <si>
    <t>Other Motion Picture and Video Industries</t>
  </si>
  <si>
    <t>512230</t>
  </si>
  <si>
    <t>Music Publishers</t>
  </si>
  <si>
    <t>8999</t>
  </si>
  <si>
    <t>Services, Nec</t>
  </si>
  <si>
    <t>512240</t>
  </si>
  <si>
    <t>Sound Recording Studios</t>
  </si>
  <si>
    <t>512250</t>
  </si>
  <si>
    <t>Record Production and Distribution</t>
  </si>
  <si>
    <t>512290</t>
  </si>
  <si>
    <t>Other Sound Recording Industries</t>
  </si>
  <si>
    <t>7922</t>
  </si>
  <si>
    <t>Theatrical Producers and Services</t>
  </si>
  <si>
    <t>515111</t>
  </si>
  <si>
    <t>Radio Networks</t>
  </si>
  <si>
    <t>4832</t>
  </si>
  <si>
    <t>Radio Broadcasting Stations</t>
  </si>
  <si>
    <t>515112</t>
  </si>
  <si>
    <t>Radio Stations</t>
  </si>
  <si>
    <t>515120</t>
  </si>
  <si>
    <t>Television Broadcasting</t>
  </si>
  <si>
    <t>4833</t>
  </si>
  <si>
    <t>Television Broadcasting Stations</t>
  </si>
  <si>
    <t>515210</t>
  </si>
  <si>
    <t>Cable and Other Subscription Programming</t>
  </si>
  <si>
    <t>4841</t>
  </si>
  <si>
    <t>Cable and Other Pay Television Services</t>
  </si>
  <si>
    <t>517311</t>
  </si>
  <si>
    <t>Wired Telecommunications Carriers</t>
  </si>
  <si>
    <t>4813</t>
  </si>
  <si>
    <t>Telephone Communication, Except Radio</t>
  </si>
  <si>
    <t>TELECOMMUNICATION SERVICES</t>
  </si>
  <si>
    <t>4822</t>
  </si>
  <si>
    <t>Telegraph and Other Communications</t>
  </si>
  <si>
    <t>7375</t>
  </si>
  <si>
    <t>Information Retrieval Services</t>
  </si>
  <si>
    <t>517312</t>
  </si>
  <si>
    <t>Wireless Telecommunications Carriers (except Satellite)</t>
  </si>
  <si>
    <t>4812</t>
  </si>
  <si>
    <t>Radiotelephone Communication</t>
  </si>
  <si>
    <t>517410</t>
  </si>
  <si>
    <t>Satellite Telecommunications</t>
  </si>
  <si>
    <t>517911</t>
  </si>
  <si>
    <t>Telecommunications Resellers</t>
  </si>
  <si>
    <t>517919</t>
  </si>
  <si>
    <t>All Other Telecommunications</t>
  </si>
  <si>
    <t>518210</t>
  </si>
  <si>
    <t>Data Processing, Hosting, and Related Services</t>
  </si>
  <si>
    <t>7374</t>
  </si>
  <si>
    <t>Data Processing and Preparation</t>
  </si>
  <si>
    <t>7379</t>
  </si>
  <si>
    <t>Computer Related Services, Nec</t>
  </si>
  <si>
    <t>519110</t>
  </si>
  <si>
    <t>News Syndicates</t>
  </si>
  <si>
    <t>7383</t>
  </si>
  <si>
    <t>519120</t>
  </si>
  <si>
    <t>Libraries and Archives</t>
  </si>
  <si>
    <t>8231</t>
  </si>
  <si>
    <t>Libraries</t>
  </si>
  <si>
    <t>519130</t>
  </si>
  <si>
    <t>Internet Publishing and Broadcasting and Web Search Portals</t>
  </si>
  <si>
    <t>519190</t>
  </si>
  <si>
    <t>All Other Information Services</t>
  </si>
  <si>
    <t>521110</t>
  </si>
  <si>
    <t>Monetary Authorities-Central Bank</t>
  </si>
  <si>
    <t>6011</t>
  </si>
  <si>
    <t>Federal Reserve Banks</t>
  </si>
  <si>
    <t>FINANCIALS</t>
  </si>
  <si>
    <t>COMMERCIAL BANK</t>
  </si>
  <si>
    <t>522110</t>
  </si>
  <si>
    <t>Commercial Banking</t>
  </si>
  <si>
    <t>6021</t>
  </si>
  <si>
    <t>National Commercial Banks</t>
  </si>
  <si>
    <t>6022</t>
  </si>
  <si>
    <t>State Commercial Banks</t>
  </si>
  <si>
    <t>6029</t>
  </si>
  <si>
    <t>Commercial Banks, Nec</t>
  </si>
  <si>
    <t>6081</t>
  </si>
  <si>
    <t>Foreign Bank and Branches and Agencies</t>
  </si>
  <si>
    <t>522120</t>
  </si>
  <si>
    <t>Savings Institutions</t>
  </si>
  <si>
    <t>6035</t>
  </si>
  <si>
    <t>Federal Savings Institutions</t>
  </si>
  <si>
    <t>DIVERSIFIED FINANCIALS</t>
  </si>
  <si>
    <t>6036</t>
  </si>
  <si>
    <t>Savings Institutions, Except Federal</t>
  </si>
  <si>
    <t>522130</t>
  </si>
  <si>
    <t>Credit Unions</t>
  </si>
  <si>
    <t>6061</t>
  </si>
  <si>
    <t>Federal Credit Unions</t>
  </si>
  <si>
    <t>6062</t>
  </si>
  <si>
    <t>State Credit Unions</t>
  </si>
  <si>
    <t>522190</t>
  </si>
  <si>
    <t>Other Depository Credit Intermediation</t>
  </si>
  <si>
    <t>522210</t>
  </si>
  <si>
    <t>Credit Card Issuing</t>
  </si>
  <si>
    <t>6141</t>
  </si>
  <si>
    <t>Personal Credit Institutions</t>
  </si>
  <si>
    <t>6153</t>
  </si>
  <si>
    <t>Short-term Business Credit</t>
  </si>
  <si>
    <t>522220</t>
  </si>
  <si>
    <t>Sales Financing</t>
  </si>
  <si>
    <t>BANKS</t>
  </si>
  <si>
    <t>6159</t>
  </si>
  <si>
    <t>Miscellaneous Business Credit</t>
  </si>
  <si>
    <t>522291</t>
  </si>
  <si>
    <t>Consumer Lending</t>
  </si>
  <si>
    <t>522292</t>
  </si>
  <si>
    <t>Real Estate Credit</t>
  </si>
  <si>
    <t>6111</t>
  </si>
  <si>
    <t>Federal and Federally Sponsored Credit</t>
  </si>
  <si>
    <t>6162</t>
  </si>
  <si>
    <t>Mortgage Bankers and Correspondents</t>
  </si>
  <si>
    <t>522293</t>
  </si>
  <si>
    <t>International Trade Financing</t>
  </si>
  <si>
    <t>6082</t>
  </si>
  <si>
    <t>Foreign Trade and International Banks</t>
  </si>
  <si>
    <t>522294</t>
  </si>
  <si>
    <t>Secondary Market Financing</t>
  </si>
  <si>
    <t>522298</t>
  </si>
  <si>
    <t>All Other Nondepository Credit Intermediation</t>
  </si>
  <si>
    <t>6019</t>
  </si>
  <si>
    <t>Central Reserve Depository, Nec</t>
  </si>
  <si>
    <t>522310</t>
  </si>
  <si>
    <t>Mortgage and Nonmortgage Loan Brokers</t>
  </si>
  <si>
    <t>6163</t>
  </si>
  <si>
    <t>Loan Brokers</t>
  </si>
  <si>
    <t>522320</t>
  </si>
  <si>
    <t>Financial Transactions Processing, Reserve, and Clearinghouse Activities</t>
  </si>
  <si>
    <t>6099</t>
  </si>
  <si>
    <t>Functions Related To Depository Banking</t>
  </si>
  <si>
    <t>522390</t>
  </si>
  <si>
    <t>Other Activities Related to Credit Intermediation</t>
  </si>
  <si>
    <t>523110</t>
  </si>
  <si>
    <t>Investment Banking and Securities Dealing</t>
  </si>
  <si>
    <t>6211</t>
  </si>
  <si>
    <t>Security Brokers and Dealers</t>
  </si>
  <si>
    <t>523120</t>
  </si>
  <si>
    <t>Securities Brokerage</t>
  </si>
  <si>
    <t>523130</t>
  </si>
  <si>
    <t>Commodity Contracts Dealing</t>
  </si>
  <si>
    <t>6221</t>
  </si>
  <si>
    <t>Commodity Contracts Brokers, Dealers</t>
  </si>
  <si>
    <t>6799</t>
  </si>
  <si>
    <t>Investors, Nec</t>
  </si>
  <si>
    <t>523140</t>
  </si>
  <si>
    <t>Commodity Contracts Brokerage</t>
  </si>
  <si>
    <t>523210</t>
  </si>
  <si>
    <t>Securities and Commodity Exchanges</t>
  </si>
  <si>
    <t>6231</t>
  </si>
  <si>
    <t>Security and Commodity Exchanges</t>
  </si>
  <si>
    <t>523910</t>
  </si>
  <si>
    <t>Miscellaneous Intermediation</t>
  </si>
  <si>
    <t>6792</t>
  </si>
  <si>
    <t>Oil Royalty Traders</t>
  </si>
  <si>
    <t>523920</t>
  </si>
  <si>
    <t>Portfolio Management</t>
  </si>
  <si>
    <t>6282</t>
  </si>
  <si>
    <t>Investment Advice</t>
  </si>
  <si>
    <t>ASSET MANAGEMENT</t>
  </si>
  <si>
    <t>INVESTMENT MANAGEMENT</t>
  </si>
  <si>
    <t>6371</t>
  </si>
  <si>
    <t>Pension, Health, and Welfare Funds</t>
  </si>
  <si>
    <t>6733</t>
  </si>
  <si>
    <t>Trusts, Nec</t>
  </si>
  <si>
    <t>523930</t>
  </si>
  <si>
    <t>523991</t>
  </si>
  <si>
    <t>Trust, Fiduciary, and Custody Activities</t>
  </si>
  <si>
    <t>6091</t>
  </si>
  <si>
    <t>Nondeposit Trust Facilities</t>
  </si>
  <si>
    <t>6289</t>
  </si>
  <si>
    <t>Security and Commodity Service</t>
  </si>
  <si>
    <t>523999</t>
  </si>
  <si>
    <t>Miscellaneous Financial Investment Activities</t>
  </si>
  <si>
    <t>524113</t>
  </si>
  <si>
    <t>Direct Life Insurance Carriers</t>
  </si>
  <si>
    <t>6311</t>
  </si>
  <si>
    <t>Life Insurance</t>
  </si>
  <si>
    <t>INSURANCE COMPANY</t>
  </si>
  <si>
    <t>6321</t>
  </si>
  <si>
    <t>Accident and Health Insurance</t>
  </si>
  <si>
    <t>524114</t>
  </si>
  <si>
    <t>Direct Health and Medical Insurance Carriers</t>
  </si>
  <si>
    <t>6324</t>
  </si>
  <si>
    <t>Hospital and Medical Service Plans</t>
  </si>
  <si>
    <t>524126</t>
  </si>
  <si>
    <t>Direct Property and Casualty Insurance Carriers</t>
  </si>
  <si>
    <t>6331</t>
  </si>
  <si>
    <t>Fire, Marine, and Casualty Insurance</t>
  </si>
  <si>
    <t>6351</t>
  </si>
  <si>
    <t>Surety Insurance</t>
  </si>
  <si>
    <t>524127</t>
  </si>
  <si>
    <t>Direct Title Insurance Carriers</t>
  </si>
  <si>
    <t>6361</t>
  </si>
  <si>
    <t>Title Insurance</t>
  </si>
  <si>
    <t>524128</t>
  </si>
  <si>
    <t>Other Direct Insurance (except Life, Health, and Medical) Carriers</t>
  </si>
  <si>
    <t>6399</t>
  </si>
  <si>
    <t>Insurance Carriers, Nec</t>
  </si>
  <si>
    <t>524130</t>
  </si>
  <si>
    <t>Reinsurance Carriers</t>
  </si>
  <si>
    <t>524210</t>
  </si>
  <si>
    <t>Insurance Agencies and Brokerages</t>
  </si>
  <si>
    <t>6411</t>
  </si>
  <si>
    <t>Insurance Agents, Brokers, and Service</t>
  </si>
  <si>
    <t>BROKER/DEALER</t>
  </si>
  <si>
    <t>524291</t>
  </si>
  <si>
    <t>Claims Adjusting</t>
  </si>
  <si>
    <t>INSURANCE AGENTS AND BROKERS</t>
  </si>
  <si>
    <t>524292</t>
  </si>
  <si>
    <t>Third Party Administration of Insurance and Pension Funds</t>
  </si>
  <si>
    <t>524298</t>
  </si>
  <si>
    <t>All Other Insurance Related Activities</t>
  </si>
  <si>
    <t>525110</t>
  </si>
  <si>
    <t>Pension Funds</t>
  </si>
  <si>
    <t>525120</t>
  </si>
  <si>
    <t>Health and Welfare Funds</t>
  </si>
  <si>
    <t>525190</t>
  </si>
  <si>
    <t>Other Insurance Funds</t>
  </si>
  <si>
    <t>525910</t>
  </si>
  <si>
    <t>Open-End Investment Funds</t>
  </si>
  <si>
    <t>6722</t>
  </si>
  <si>
    <t>Management Investment, Open-ended</t>
  </si>
  <si>
    <t>525920</t>
  </si>
  <si>
    <t>Trusts, Estates, and Agency Accounts</t>
  </si>
  <si>
    <t>525990</t>
  </si>
  <si>
    <t>Other Financial Vehicles</t>
  </si>
  <si>
    <t>6726</t>
  </si>
  <si>
    <t>Investment Offices, Nec</t>
  </si>
  <si>
    <t>6798</t>
  </si>
  <si>
    <t>Real Estate Investment Trusts</t>
  </si>
  <si>
    <t>REAL ESTATE</t>
  </si>
  <si>
    <t>REAL ESTATE INVESTMENT TRUST</t>
  </si>
  <si>
    <t>531110</t>
  </si>
  <si>
    <t>Lessors of Residential Buildings and Dwellings</t>
  </si>
  <si>
    <t>6513</t>
  </si>
  <si>
    <t>Apartment Building Operators</t>
  </si>
  <si>
    <t>6514</t>
  </si>
  <si>
    <t>Dwelling Operators, Except Apartments</t>
  </si>
  <si>
    <t>6531</t>
  </si>
  <si>
    <t>Real Estate Agents and Managers</t>
  </si>
  <si>
    <t>531120</t>
  </si>
  <si>
    <t>Lessors of Nonresidential Buildings (excpet Miniwarehouses)</t>
  </si>
  <si>
    <t>6512</t>
  </si>
  <si>
    <t>Nonresidential Building Operators</t>
  </si>
  <si>
    <t>531130</t>
  </si>
  <si>
    <t>Lessors of Miniwarehouses and Self-Storage Units</t>
  </si>
  <si>
    <t>531190</t>
  </si>
  <si>
    <t>Lessors of Other Real Estate Property</t>
  </si>
  <si>
    <t>6515</t>
  </si>
  <si>
    <t>Mobile Home Site Operators</t>
  </si>
  <si>
    <t>6517</t>
  </si>
  <si>
    <t>Railroad Property Lessors</t>
  </si>
  <si>
    <t>6519</t>
  </si>
  <si>
    <t>Real Property Lessors, Nec</t>
  </si>
  <si>
    <t>531210</t>
  </si>
  <si>
    <t>Offices of Real Estate Agents and Brokers</t>
  </si>
  <si>
    <t>531311</t>
  </si>
  <si>
    <t>Residential Property Managers</t>
  </si>
  <si>
    <t>531312</t>
  </si>
  <si>
    <t>Nonresidential Property Managers</t>
  </si>
  <si>
    <t>531320</t>
  </si>
  <si>
    <t>Offices of Real Estate Appraisers</t>
  </si>
  <si>
    <t>531390</t>
  </si>
  <si>
    <t>Other Activities Related to Real Estate</t>
  </si>
  <si>
    <t>532111</t>
  </si>
  <si>
    <t>Passenger Car Rental</t>
  </si>
  <si>
    <t>7514</t>
  </si>
  <si>
    <t>532112</t>
  </si>
  <si>
    <t>Passenger Car Leasing</t>
  </si>
  <si>
    <t>7515</t>
  </si>
  <si>
    <t>532120</t>
  </si>
  <si>
    <t>Truck, Utility Trailer, and RV (Recreational Vehicle) Rental and Leasing</t>
  </si>
  <si>
    <t>7513</t>
  </si>
  <si>
    <t>Truck Rental and Leasing, Without Drivers</t>
  </si>
  <si>
    <t>7519</t>
  </si>
  <si>
    <t>Utility Trailer Rental</t>
  </si>
  <si>
    <t>532210</t>
  </si>
  <si>
    <t>Consumer Electronics and Appliances Rental</t>
  </si>
  <si>
    <t>7359</t>
  </si>
  <si>
    <t>Equipment Rental and Leasing, Nec</t>
  </si>
  <si>
    <t>532281</t>
  </si>
  <si>
    <t>Formal Wear and Costume Rental</t>
  </si>
  <si>
    <t>7299</t>
  </si>
  <si>
    <t>Miscellaneous Personal Services</t>
  </si>
  <si>
    <t>532282</t>
  </si>
  <si>
    <t>Video Tape and Disc Rental</t>
  </si>
  <si>
    <t>7841</t>
  </si>
  <si>
    <t>Video Tape Rental</t>
  </si>
  <si>
    <t>532283</t>
  </si>
  <si>
    <t>Home Health Equipment Rental</t>
  </si>
  <si>
    <t>7352</t>
  </si>
  <si>
    <t>Medical Equipment Rental</t>
  </si>
  <si>
    <t>532284</t>
  </si>
  <si>
    <t>Recreational Goods Rental</t>
  </si>
  <si>
    <t>532289</t>
  </si>
  <si>
    <t>All Other Consumer Goods Rental</t>
  </si>
  <si>
    <t>532310</t>
  </si>
  <si>
    <t>General Rental Centers</t>
  </si>
  <si>
    <t>532411</t>
  </si>
  <si>
    <t>Commercial Air, Rail, and Water Transportation Equipment Rental and Leasing</t>
  </si>
  <si>
    <t>532412</t>
  </si>
  <si>
    <t>Construction, Mining, and Forestry Machinery and Equipment Rental and Leasing</t>
  </si>
  <si>
    <t>532420</t>
  </si>
  <si>
    <t>Office Machinery and Equipment Rental and Leasing</t>
  </si>
  <si>
    <t>7377</t>
  </si>
  <si>
    <t>Computer Rental and Leasing</t>
  </si>
  <si>
    <t>532490</t>
  </si>
  <si>
    <t>Other Commercial and Industrial Machinery and Equipment Rental and Leasing</t>
  </si>
  <si>
    <t>533110</t>
  </si>
  <si>
    <t>Lessors of Nonfinancial Intangible Assets (except Copyrighted Works)</t>
  </si>
  <si>
    <t>6794</t>
  </si>
  <si>
    <t>Patent Owners and Lessors</t>
  </si>
  <si>
    <t>541110</t>
  </si>
  <si>
    <t>Offices of Lawyers</t>
  </si>
  <si>
    <t>8111</t>
  </si>
  <si>
    <t>Legal Services</t>
  </si>
  <si>
    <t>541120</t>
  </si>
  <si>
    <t>Offices of Notaries</t>
  </si>
  <si>
    <t>541191</t>
  </si>
  <si>
    <t>Title Abstract and Settlement Offices</t>
  </si>
  <si>
    <t>6541</t>
  </si>
  <si>
    <t>Title abstract Offices</t>
  </si>
  <si>
    <t>541199</t>
  </si>
  <si>
    <t>All Other Legal Services</t>
  </si>
  <si>
    <t>541211</t>
  </si>
  <si>
    <t>Offices of Certified Public Accountants</t>
  </si>
  <si>
    <t>8721</t>
  </si>
  <si>
    <t>Accounting, Auditing, and Bookkeeping</t>
  </si>
  <si>
    <t>541213</t>
  </si>
  <si>
    <t>Tax Preparation Services</t>
  </si>
  <si>
    <t>7291</t>
  </si>
  <si>
    <t>Tax Return Preparation Services</t>
  </si>
  <si>
    <t>541214</t>
  </si>
  <si>
    <t>Payroll Services</t>
  </si>
  <si>
    <t>541219</t>
  </si>
  <si>
    <t>Other Accounting Services</t>
  </si>
  <si>
    <t>541310</t>
  </si>
  <si>
    <t>Architectural Services</t>
  </si>
  <si>
    <t>8712</t>
  </si>
  <si>
    <t>ARCHITECTS &amp; ENGINEERS</t>
  </si>
  <si>
    <t>541320</t>
  </si>
  <si>
    <t>Landscape Architectural Services</t>
  </si>
  <si>
    <t>781</t>
  </si>
  <si>
    <t>Landscape Counseling and Planning</t>
  </si>
  <si>
    <t>8748</t>
  </si>
  <si>
    <t>Business Consulting, Nec</t>
  </si>
  <si>
    <t>541330</t>
  </si>
  <si>
    <t>Engineering Services</t>
  </si>
  <si>
    <t>8711</t>
  </si>
  <si>
    <t>541340</t>
  </si>
  <si>
    <t>Drafting Services</t>
  </si>
  <si>
    <t>541350</t>
  </si>
  <si>
    <t>Building Inspection Services</t>
  </si>
  <si>
    <t>541360</t>
  </si>
  <si>
    <t>Geophysical Surveying and Mapping Services</t>
  </si>
  <si>
    <t>8713</t>
  </si>
  <si>
    <t>Surveying Services</t>
  </si>
  <si>
    <t>541370</t>
  </si>
  <si>
    <t>Surveying and Mapping (except Geophysical) Services</t>
  </si>
  <si>
    <t>541380</t>
  </si>
  <si>
    <t>Testing Laboratories</t>
  </si>
  <si>
    <t>8734</t>
  </si>
  <si>
    <t>541410</t>
  </si>
  <si>
    <t>Interior Design Services</t>
  </si>
  <si>
    <t>541420</t>
  </si>
  <si>
    <t>Industrial Design Services</t>
  </si>
  <si>
    <t>541430</t>
  </si>
  <si>
    <t>Graphic Design Services</t>
  </si>
  <si>
    <t>7336</t>
  </si>
  <si>
    <t>Commercial Art and Graphic Design</t>
  </si>
  <si>
    <t>8099</t>
  </si>
  <si>
    <t>Health and Allied Services, Nec</t>
  </si>
  <si>
    <t>541490</t>
  </si>
  <si>
    <t>Other Specialized Design Services</t>
  </si>
  <si>
    <t>541511</t>
  </si>
  <si>
    <t>Custom Computer Programming Services</t>
  </si>
  <si>
    <t>7371</t>
  </si>
  <si>
    <t>541512</t>
  </si>
  <si>
    <t>Computer Systems Design Services</t>
  </si>
  <si>
    <t>7373</t>
  </si>
  <si>
    <t>Computer Integrated Systems Design</t>
  </si>
  <si>
    <t>541513</t>
  </si>
  <si>
    <t>Computer Facilities Management Services</t>
  </si>
  <si>
    <t>7376</t>
  </si>
  <si>
    <t>Computer Facilities Management</t>
  </si>
  <si>
    <t>541519</t>
  </si>
  <si>
    <t>Other Computer Related Services</t>
  </si>
  <si>
    <t>541611</t>
  </si>
  <si>
    <t>Administrative Management and General Management Consulting Services</t>
  </si>
  <si>
    <t>8742</t>
  </si>
  <si>
    <t>Management Consulting Services</t>
  </si>
  <si>
    <t>541612</t>
  </si>
  <si>
    <t>Human Resources Consulting Services</t>
  </si>
  <si>
    <t>7361</t>
  </si>
  <si>
    <t>Employment Agencies</t>
  </si>
  <si>
    <t>541613</t>
  </si>
  <si>
    <t>Marketing Consulting Services</t>
  </si>
  <si>
    <t>541614</t>
  </si>
  <si>
    <t>Process, Physical Distribution, and Logistics Consulting Services</t>
  </si>
  <si>
    <t>541618</t>
  </si>
  <si>
    <t>Other Management Consulting Services</t>
  </si>
  <si>
    <t>541620</t>
  </si>
  <si>
    <t>Environmental Consulting Services</t>
  </si>
  <si>
    <t>541690</t>
  </si>
  <si>
    <t>Other Scientific and Technical Consulting Services</t>
  </si>
  <si>
    <t>541713</t>
  </si>
  <si>
    <t>Research and Development in Nanotechnology</t>
  </si>
  <si>
    <t>8731</t>
  </si>
  <si>
    <t>Commercial Physical Research</t>
  </si>
  <si>
    <t>NANOTECHNOLOGY</t>
  </si>
  <si>
    <t>8733</t>
  </si>
  <si>
    <t>Noncommercial Research Organizations</t>
  </si>
  <si>
    <t>541714</t>
  </si>
  <si>
    <t>Research and Development in Biotechnology (except Nanobiotechnology)</t>
  </si>
  <si>
    <t>BIOTECHNOLOGY</t>
  </si>
  <si>
    <t>541715</t>
  </si>
  <si>
    <t>Research and Development in the Physical, Engineering, and Life Sciences (except Nanotechnology and Biotechnology)</t>
  </si>
  <si>
    <t>RESEARCH &amp; CONSULTING SERVICES</t>
  </si>
  <si>
    <t>541720</t>
  </si>
  <si>
    <t>Research and Development in the Social Sciences and Humanities</t>
  </si>
  <si>
    <t>8732</t>
  </si>
  <si>
    <t>Commercial Nonphysical Research</t>
  </si>
  <si>
    <t>541810</t>
  </si>
  <si>
    <t>Advertising Agencies</t>
  </si>
  <si>
    <t>7311</t>
  </si>
  <si>
    <t>541820</t>
  </si>
  <si>
    <t>Public Relations Agencies</t>
  </si>
  <si>
    <t>8743</t>
  </si>
  <si>
    <t>Public Relations Services</t>
  </si>
  <si>
    <t>541830</t>
  </si>
  <si>
    <t>Media Buying Agencies</t>
  </si>
  <si>
    <t>541840</t>
  </si>
  <si>
    <t>Media Representatives</t>
  </si>
  <si>
    <t>7313</t>
  </si>
  <si>
    <t>Radio, Television, Publisher Representatives</t>
  </si>
  <si>
    <t>541850</t>
  </si>
  <si>
    <t>Outdoor Advertising</t>
  </si>
  <si>
    <t>7312</t>
  </si>
  <si>
    <t>Outdoor Advertising Services</t>
  </si>
  <si>
    <t>541860</t>
  </si>
  <si>
    <t>Direct Mail Advertising</t>
  </si>
  <si>
    <t>541870</t>
  </si>
  <si>
    <t>Advertising Material Distribution Services</t>
  </si>
  <si>
    <t>541890</t>
  </si>
  <si>
    <t>Other Services Related to Advertising</t>
  </si>
  <si>
    <t>541910</t>
  </si>
  <si>
    <t>Marketing Research and Public Opinion Polling</t>
  </si>
  <si>
    <t>541921</t>
  </si>
  <si>
    <t>Photography Studios, Portrait</t>
  </si>
  <si>
    <t>7221</t>
  </si>
  <si>
    <t>Photographic Studios, Portrait</t>
  </si>
  <si>
    <t>541922</t>
  </si>
  <si>
    <t>541930</t>
  </si>
  <si>
    <t>Translation and Interpretation Services</t>
  </si>
  <si>
    <t>541940</t>
  </si>
  <si>
    <t>Veterinary Services</t>
  </si>
  <si>
    <t>741</t>
  </si>
  <si>
    <t>Veterinary Services For Livestock</t>
  </si>
  <si>
    <t>742</t>
  </si>
  <si>
    <t>Veterinary Services, Specialties</t>
  </si>
  <si>
    <t>541990</t>
  </si>
  <si>
    <t>All Other Professional, Scientific, and Technical Services</t>
  </si>
  <si>
    <t>551111</t>
  </si>
  <si>
    <t>Offices of Bank Holding Companies</t>
  </si>
  <si>
    <t>6712</t>
  </si>
  <si>
    <t>Bank Holding Companies</t>
  </si>
  <si>
    <t>551112</t>
  </si>
  <si>
    <t>Offices of Other Holding Companies</t>
  </si>
  <si>
    <t>6719</t>
  </si>
  <si>
    <t>Holding Companies, Nec</t>
  </si>
  <si>
    <t>551114</t>
  </si>
  <si>
    <t>Corporate, Subsidiary, and Regional Managing Offices</t>
  </si>
  <si>
    <t>561110</t>
  </si>
  <si>
    <t>Office Administrative Services</t>
  </si>
  <si>
    <t>561210</t>
  </si>
  <si>
    <t>Facilities Support Services</t>
  </si>
  <si>
    <t>8744</t>
  </si>
  <si>
    <t>561311</t>
  </si>
  <si>
    <t>Employment Placement Agencies</t>
  </si>
  <si>
    <t>561312</t>
  </si>
  <si>
    <t>Executive Search Services</t>
  </si>
  <si>
    <t>561320</t>
  </si>
  <si>
    <t>Temporary Help Services</t>
  </si>
  <si>
    <t>7363</t>
  </si>
  <si>
    <t>Help Supply Services</t>
  </si>
  <si>
    <t>561330</t>
  </si>
  <si>
    <t>Professional Employer Organizations</t>
  </si>
  <si>
    <t>561410</t>
  </si>
  <si>
    <t>Document Preparation Services</t>
  </si>
  <si>
    <t>7338</t>
  </si>
  <si>
    <t>Secretarial and Court Reporting</t>
  </si>
  <si>
    <t>561421</t>
  </si>
  <si>
    <t>Telephone Answering Services</t>
  </si>
  <si>
    <t>561422</t>
  </si>
  <si>
    <t>Telemarketing Bureaus and Other Contact Centers</t>
  </si>
  <si>
    <t>561431</t>
  </si>
  <si>
    <t>Private Mail Centers</t>
  </si>
  <si>
    <t>561439</t>
  </si>
  <si>
    <t>Other Business Service Centers (including Copy Shops)</t>
  </si>
  <si>
    <t>561440</t>
  </si>
  <si>
    <t>Collection Agencies</t>
  </si>
  <si>
    <t>7322</t>
  </si>
  <si>
    <t>Adjustment and Collection Services</t>
  </si>
  <si>
    <t>561450</t>
  </si>
  <si>
    <t>Credit Bureaus</t>
  </si>
  <si>
    <t>7323</t>
  </si>
  <si>
    <t>Credit Reporting Services</t>
  </si>
  <si>
    <t>561491</t>
  </si>
  <si>
    <t>Repossession Services</t>
  </si>
  <si>
    <t>561492</t>
  </si>
  <si>
    <t>Court Reporting and Stenotype Services</t>
  </si>
  <si>
    <t>561499</t>
  </si>
  <si>
    <t>All Other Business Support Services</t>
  </si>
  <si>
    <t>561510</t>
  </si>
  <si>
    <t>Travel Agencies</t>
  </si>
  <si>
    <t>4724</t>
  </si>
  <si>
    <t>561520</t>
  </si>
  <si>
    <t>Tour Operators</t>
  </si>
  <si>
    <t>4725</t>
  </si>
  <si>
    <t>561591</t>
  </si>
  <si>
    <t>Convention and Visitors Bureaus</t>
  </si>
  <si>
    <t>561599</t>
  </si>
  <si>
    <t>All Other Travel Arrangement and Reservation Services</t>
  </si>
  <si>
    <t>8699</t>
  </si>
  <si>
    <t>Membership Organizations, Nec</t>
  </si>
  <si>
    <t>561611</t>
  </si>
  <si>
    <t>Investigation Services</t>
  </si>
  <si>
    <t>7381</t>
  </si>
  <si>
    <t>Detective and Armored Car Services</t>
  </si>
  <si>
    <t>561612</t>
  </si>
  <si>
    <t>Security Guards and Patrol Services</t>
  </si>
  <si>
    <t>561613</t>
  </si>
  <si>
    <t>Armored Car Services</t>
  </si>
  <si>
    <t>561621</t>
  </si>
  <si>
    <t>Security Systems Services (except Locksmiths)</t>
  </si>
  <si>
    <t>7382</t>
  </si>
  <si>
    <t>Security Systems Services</t>
  </si>
  <si>
    <t>561622</t>
  </si>
  <si>
    <t>Locksmiths</t>
  </si>
  <si>
    <t>561710</t>
  </si>
  <si>
    <t>Exterminating and Pest Control Services</t>
  </si>
  <si>
    <t>7342</t>
  </si>
  <si>
    <t>Disinfecting and Pest Control Services</t>
  </si>
  <si>
    <t>561720</t>
  </si>
  <si>
    <t>Janitorial Services</t>
  </si>
  <si>
    <t>7349</t>
  </si>
  <si>
    <t>Building Maintenance Services, Nec</t>
  </si>
  <si>
    <t>561730</t>
  </si>
  <si>
    <t>Landscaping Services</t>
  </si>
  <si>
    <t>782</t>
  </si>
  <si>
    <t>Lawn and Garden Services</t>
  </si>
  <si>
    <t>783</t>
  </si>
  <si>
    <t>Ornamental Shrub and Tree Services</t>
  </si>
  <si>
    <t>561740</t>
  </si>
  <si>
    <t>Carpet and Upholstery Cleaning Services</t>
  </si>
  <si>
    <t>7217</t>
  </si>
  <si>
    <t>Carpet and Upholstery Cleaning</t>
  </si>
  <si>
    <t>561790</t>
  </si>
  <si>
    <t>Other Services to Buildings and Dwellings</t>
  </si>
  <si>
    <t>561910</t>
  </si>
  <si>
    <t>Packaging and Labeling Services</t>
  </si>
  <si>
    <t>561920</t>
  </si>
  <si>
    <t>Convention and Trade Show Organizers</t>
  </si>
  <si>
    <t>561990</t>
  </si>
  <si>
    <t>All Other Support Services</t>
  </si>
  <si>
    <t>562111</t>
  </si>
  <si>
    <t>Solid Waste Collection</t>
  </si>
  <si>
    <t>SANITARY SERVICES</t>
  </si>
  <si>
    <t>562112</t>
  </si>
  <si>
    <t>Hazardous Waste Collection</t>
  </si>
  <si>
    <t>562119</t>
  </si>
  <si>
    <t>Other Waste Collection</t>
  </si>
  <si>
    <t>562211</t>
  </si>
  <si>
    <t>Hazardous Waste Treatment and Disposal</t>
  </si>
  <si>
    <t>4953</t>
  </si>
  <si>
    <t>Refuse Systems</t>
  </si>
  <si>
    <t>562212</t>
  </si>
  <si>
    <t>Solid Waste Landfill</t>
  </si>
  <si>
    <t>562213</t>
  </si>
  <si>
    <t>Solid Waste Combustors and Incinerators</t>
  </si>
  <si>
    <t>562219</t>
  </si>
  <si>
    <t>Other Nonhazardous Waste Treatment and Disposal</t>
  </si>
  <si>
    <t>562910</t>
  </si>
  <si>
    <t>Remediation Services</t>
  </si>
  <si>
    <t>562920</t>
  </si>
  <si>
    <t>Materials Recovery Facilities</t>
  </si>
  <si>
    <t>562991</t>
  </si>
  <si>
    <t>Septic Tank and Related Services</t>
  </si>
  <si>
    <t>562998</t>
  </si>
  <si>
    <t>All Other Miscellaneous Waste Management Services</t>
  </si>
  <si>
    <t>611110</t>
  </si>
  <si>
    <t>Elementary and Secondary Schools</t>
  </si>
  <si>
    <t>8211</t>
  </si>
  <si>
    <t>EDUCATION AND TRAINING FACILITIES</t>
  </si>
  <si>
    <t>611210</t>
  </si>
  <si>
    <t>Junior Colleges</t>
  </si>
  <si>
    <t>8222</t>
  </si>
  <si>
    <t>611310</t>
  </si>
  <si>
    <t>Colleges, Universities, and Professional Schools</t>
  </si>
  <si>
    <t>8221</t>
  </si>
  <si>
    <t>Colleges and Universities</t>
  </si>
  <si>
    <t>611410</t>
  </si>
  <si>
    <t>Business and Secretarial Schools</t>
  </si>
  <si>
    <t>8244</t>
  </si>
  <si>
    <t>611420</t>
  </si>
  <si>
    <t>Computer Training</t>
  </si>
  <si>
    <t>8243</t>
  </si>
  <si>
    <t>Data Processing Schools</t>
  </si>
  <si>
    <t>611430</t>
  </si>
  <si>
    <t>Professional and Management Development Training</t>
  </si>
  <si>
    <t>8299</t>
  </si>
  <si>
    <t>Schools and Educational Services</t>
  </si>
  <si>
    <t>611511</t>
  </si>
  <si>
    <t>Cosmetology and Barber Schools</t>
  </si>
  <si>
    <t>7231</t>
  </si>
  <si>
    <t>Beauty Shops</t>
  </si>
  <si>
    <t>7241</t>
  </si>
  <si>
    <t>Barber Shops</t>
  </si>
  <si>
    <t>611512</t>
  </si>
  <si>
    <t>Flight Training</t>
  </si>
  <si>
    <t>8249</t>
  </si>
  <si>
    <t>Vocational Schools, Nec</t>
  </si>
  <si>
    <t>611513</t>
  </si>
  <si>
    <t>Apprenticeship Training</t>
  </si>
  <si>
    <t>611519</t>
  </si>
  <si>
    <t>Other Technical and Trade Schools</t>
  </si>
  <si>
    <t>611610</t>
  </si>
  <si>
    <t>Fine Arts Schools</t>
  </si>
  <si>
    <t>7911</t>
  </si>
  <si>
    <t>Dance Studios, Schools, and Halls</t>
  </si>
  <si>
    <t>611620</t>
  </si>
  <si>
    <t>Sports and Recreation Instruction</t>
  </si>
  <si>
    <t>611630</t>
  </si>
  <si>
    <t>Language Schools</t>
  </si>
  <si>
    <t>611691</t>
  </si>
  <si>
    <t>Exam Preparation and Tutoring</t>
  </si>
  <si>
    <t>611692</t>
  </si>
  <si>
    <t>Automobile Driving Schools</t>
  </si>
  <si>
    <t>611699</t>
  </si>
  <si>
    <t>All Other Miscellaneous Schools and Instruction</t>
  </si>
  <si>
    <t>611710</t>
  </si>
  <si>
    <t>Educational Support Services</t>
  </si>
  <si>
    <t>621111</t>
  </si>
  <si>
    <t>Offices of Physicians (except Mental Health Specialists)</t>
  </si>
  <si>
    <t>8011</t>
  </si>
  <si>
    <t>Offices and Clinics of Medical Doctors</t>
  </si>
  <si>
    <t>8031</t>
  </si>
  <si>
    <t>Offices and Clinics of Osteopathic Physicians</t>
  </si>
  <si>
    <t>621112</t>
  </si>
  <si>
    <t>Offices of Physicians, Mental Health Specialists</t>
  </si>
  <si>
    <t>621210</t>
  </si>
  <si>
    <t>Offices of Dentists</t>
  </si>
  <si>
    <t>8021</t>
  </si>
  <si>
    <t>Offices and Clinics of Dentists</t>
  </si>
  <si>
    <t>621310</t>
  </si>
  <si>
    <t>Offices of Chiropractors</t>
  </si>
  <si>
    <t>8041</t>
  </si>
  <si>
    <t>Offices and Clinics of Chiropractors</t>
  </si>
  <si>
    <t>621320</t>
  </si>
  <si>
    <t>Offices of Optometrists</t>
  </si>
  <si>
    <t>8042</t>
  </si>
  <si>
    <t>Offices and Clinics of Optometrists</t>
  </si>
  <si>
    <t>621330</t>
  </si>
  <si>
    <t>Offices of Mental Health Practitioners (except Physicians)</t>
  </si>
  <si>
    <t>8049</t>
  </si>
  <si>
    <t>Offices of Health Practitioner</t>
  </si>
  <si>
    <t>621340</t>
  </si>
  <si>
    <t>Offices of Physical, Occupational and Speech Therapists, and Audiologists</t>
  </si>
  <si>
    <t>621391</t>
  </si>
  <si>
    <t>Offices of Podiatrists</t>
  </si>
  <si>
    <t>8043</t>
  </si>
  <si>
    <t>Offices and Clinics of Podiatrists</t>
  </si>
  <si>
    <t>621399</t>
  </si>
  <si>
    <t>Offices of All Other Miscellaneous Health Practitioners</t>
  </si>
  <si>
    <t>8093</t>
  </si>
  <si>
    <t>Specialty Outpatient Clinics, Nec</t>
  </si>
  <si>
    <t>621410</t>
  </si>
  <si>
    <t>Family Planning Centers</t>
  </si>
  <si>
    <t>621420</t>
  </si>
  <si>
    <t>Outpatient Mental Health and Substance Abuse Centers</t>
  </si>
  <si>
    <t>621491</t>
  </si>
  <si>
    <t>HMO Medical Centers</t>
  </si>
  <si>
    <t>621492</t>
  </si>
  <si>
    <t>Kidney Dialysis Centers</t>
  </si>
  <si>
    <t>8092</t>
  </si>
  <si>
    <t>621493</t>
  </si>
  <si>
    <t>Freestanding Ambulatory Surgical and Emergency Centers</t>
  </si>
  <si>
    <t>621498</t>
  </si>
  <si>
    <t>All Other Outpatient Care Centers</t>
  </si>
  <si>
    <t>621511</t>
  </si>
  <si>
    <t>Medical Laboratories</t>
  </si>
  <si>
    <t>8071</t>
  </si>
  <si>
    <t>621512</t>
  </si>
  <si>
    <t>Diagnostic Imaging Centers</t>
  </si>
  <si>
    <t>621610</t>
  </si>
  <si>
    <t>Home Health Care Services</t>
  </si>
  <si>
    <t>8082</t>
  </si>
  <si>
    <t>621910</t>
  </si>
  <si>
    <t>Ambulance Services</t>
  </si>
  <si>
    <t>621991</t>
  </si>
  <si>
    <t>Blood and Organ Banks</t>
  </si>
  <si>
    <t>621999</t>
  </si>
  <si>
    <t>All Other Miscellaneous Ambulatory Health Care Services</t>
  </si>
  <si>
    <t>622110</t>
  </si>
  <si>
    <t>General Medical and Surgical Hospitals</t>
  </si>
  <si>
    <t>8062</t>
  </si>
  <si>
    <t>8069</t>
  </si>
  <si>
    <t>Specialty Hospitals, Except Psychiatric</t>
  </si>
  <si>
    <t>622210</t>
  </si>
  <si>
    <t>Psychiatric and Substance Abuse Hospitals</t>
  </si>
  <si>
    <t>8063</t>
  </si>
  <si>
    <t>Psychiatric Hospitals</t>
  </si>
  <si>
    <t>622310</t>
  </si>
  <si>
    <t>Specialty (except Psychiatric and Substance Abuse) Hospitals</t>
  </si>
  <si>
    <t>623110</t>
  </si>
  <si>
    <t>Nursing Care Facilities (Skilled Nursing Facilities)</t>
  </si>
  <si>
    <t>8051</t>
  </si>
  <si>
    <t>Skilled Nursing Care Facilities</t>
  </si>
  <si>
    <t>8052</t>
  </si>
  <si>
    <t>Intermediate Care Facilities</t>
  </si>
  <si>
    <t>8059</t>
  </si>
  <si>
    <t>Nursing and Personal Care, Nec</t>
  </si>
  <si>
    <t>623210</t>
  </si>
  <si>
    <t>Residential Intellectual and Developmental Disability Facilities</t>
  </si>
  <si>
    <t>8361</t>
  </si>
  <si>
    <t>Residential Care</t>
  </si>
  <si>
    <t>623220</t>
  </si>
  <si>
    <t>Residential Mental Health and Substance Abuse Facilities</t>
  </si>
  <si>
    <t>623311</t>
  </si>
  <si>
    <t>Continuing Care Retirement Communities</t>
  </si>
  <si>
    <t>623312</t>
  </si>
  <si>
    <t>Assisted Living Facilities for the Elderly</t>
  </si>
  <si>
    <t>623990</t>
  </si>
  <si>
    <t>Other Residential Care Facilities</t>
  </si>
  <si>
    <t>624110</t>
  </si>
  <si>
    <t>Child and Youth Services</t>
  </si>
  <si>
    <t>8322</t>
  </si>
  <si>
    <t>Individual and Family Services</t>
  </si>
  <si>
    <t>624120</t>
  </si>
  <si>
    <t>Services for the Elderly and Persons with Disabilities</t>
  </si>
  <si>
    <t>624190</t>
  </si>
  <si>
    <t>Other Individual and Family Services</t>
  </si>
  <si>
    <t>624210</t>
  </si>
  <si>
    <t>Community Food Services</t>
  </si>
  <si>
    <t>624221</t>
  </si>
  <si>
    <t>Temporary Shelters</t>
  </si>
  <si>
    <t>624229</t>
  </si>
  <si>
    <t>Other Community Housing Services</t>
  </si>
  <si>
    <t>624230</t>
  </si>
  <si>
    <t>Emergency and Other Relief Services</t>
  </si>
  <si>
    <t>624310</t>
  </si>
  <si>
    <t>Vocational Rehabilitation Services</t>
  </si>
  <si>
    <t>8331</t>
  </si>
  <si>
    <t>Job Training and Related Services</t>
  </si>
  <si>
    <t>624410</t>
  </si>
  <si>
    <t>Child Day Care Services</t>
  </si>
  <si>
    <t>8351</t>
  </si>
  <si>
    <t>711110</t>
  </si>
  <si>
    <t>Theater Companies and Dinner Theaters</t>
  </si>
  <si>
    <t>5812</t>
  </si>
  <si>
    <t>Eating Places</t>
  </si>
  <si>
    <t>711120</t>
  </si>
  <si>
    <t>Dance Companies</t>
  </si>
  <si>
    <t>711130</t>
  </si>
  <si>
    <t>Musical Groups and Artists</t>
  </si>
  <si>
    <t>7929</t>
  </si>
  <si>
    <t>Entertainers and Entertainment Groups</t>
  </si>
  <si>
    <t>711190</t>
  </si>
  <si>
    <t>Other Performing Arts Companies</t>
  </si>
  <si>
    <t>711211</t>
  </si>
  <si>
    <t>Sports Teams and Clubs</t>
  </si>
  <si>
    <t>7941</t>
  </si>
  <si>
    <t>Sports Clubs, Managers, and Promoters</t>
  </si>
  <si>
    <t>711212</t>
  </si>
  <si>
    <t>Racetracks</t>
  </si>
  <si>
    <t>7948</t>
  </si>
  <si>
    <t>Racing, Including Track Operation</t>
  </si>
  <si>
    <t>711219</t>
  </si>
  <si>
    <t>Other Spectator Sports</t>
  </si>
  <si>
    <t>711310</t>
  </si>
  <si>
    <t>Promoters of Performing Arts, Sports, and Similar Events with Facilities</t>
  </si>
  <si>
    <t>711320</t>
  </si>
  <si>
    <t>Promoters of Performing Arts, Sports, and Similar Events without Facilities</t>
  </si>
  <si>
    <t>711410</t>
  </si>
  <si>
    <t>Agents and Managers for Artists, Athletes, Entertainers, and Other Public Figures</t>
  </si>
  <si>
    <t>711510</t>
  </si>
  <si>
    <t>Independent Artists, Writers, and Performers</t>
  </si>
  <si>
    <t>712110</t>
  </si>
  <si>
    <t>Museums</t>
  </si>
  <si>
    <t>8412</t>
  </si>
  <si>
    <t>Museums and Art Galleries</t>
  </si>
  <si>
    <t>712120</t>
  </si>
  <si>
    <t>Historical Sites</t>
  </si>
  <si>
    <t>712130</t>
  </si>
  <si>
    <t>Zoos and Botanical Gardens</t>
  </si>
  <si>
    <t>8422</t>
  </si>
  <si>
    <t>Botanical and Zoological Gardens</t>
  </si>
  <si>
    <t>712190</t>
  </si>
  <si>
    <t>Nature Parks and Other Similar Institutions</t>
  </si>
  <si>
    <t>713110</t>
  </si>
  <si>
    <t>Amusement and Theme Parks</t>
  </si>
  <si>
    <t>7996</t>
  </si>
  <si>
    <t>Amusement Parks</t>
  </si>
  <si>
    <t>713120</t>
  </si>
  <si>
    <t>Amusement Arcades</t>
  </si>
  <si>
    <t>7993</t>
  </si>
  <si>
    <t>Coin-operated Amusement Devices</t>
  </si>
  <si>
    <t>713210</t>
  </si>
  <si>
    <t>Casinos (except Casino Hotels)</t>
  </si>
  <si>
    <t>713290</t>
  </si>
  <si>
    <t>Other Gambling Industries</t>
  </si>
  <si>
    <t>713910</t>
  </si>
  <si>
    <t>Golf Courses and Country Clubs</t>
  </si>
  <si>
    <t>7992</t>
  </si>
  <si>
    <t>Public Golf Courses</t>
  </si>
  <si>
    <t>713920</t>
  </si>
  <si>
    <t>Skiing Facilities</t>
  </si>
  <si>
    <t>713930</t>
  </si>
  <si>
    <t>Marinas</t>
  </si>
  <si>
    <t>4493</t>
  </si>
  <si>
    <t>713940</t>
  </si>
  <si>
    <t>Fitness and Recreational Sports Centers</t>
  </si>
  <si>
    <t>7991</t>
  </si>
  <si>
    <t>Physical Fitness Facilities</t>
  </si>
  <si>
    <t>713950</t>
  </si>
  <si>
    <t>Bowling Centers</t>
  </si>
  <si>
    <t>7933</t>
  </si>
  <si>
    <t>713990</t>
  </si>
  <si>
    <t>All Other Amusement and Recreation Industries</t>
  </si>
  <si>
    <t>721110</t>
  </si>
  <si>
    <t>Hotels (except Casino Hotels) and Motels</t>
  </si>
  <si>
    <t>7011</t>
  </si>
  <si>
    <t>Hotels and Motels</t>
  </si>
  <si>
    <t>7041</t>
  </si>
  <si>
    <t>Membership-basis Organization Hotels</t>
  </si>
  <si>
    <t>721120</t>
  </si>
  <si>
    <t>Casino Hotels</t>
  </si>
  <si>
    <t>721191</t>
  </si>
  <si>
    <t>Bed-and-Breakfast Inns</t>
  </si>
  <si>
    <t>721199</t>
  </si>
  <si>
    <t>All Other Traveler Accommodation</t>
  </si>
  <si>
    <t>721211</t>
  </si>
  <si>
    <t>RV (Recreational Vehicle) Parks and Campgrounds</t>
  </si>
  <si>
    <t>7033</t>
  </si>
  <si>
    <t>Trailer Parks and Campsites</t>
  </si>
  <si>
    <t>721214</t>
  </si>
  <si>
    <t>Recreational and Vacation Camps (except Campgrounds)</t>
  </si>
  <si>
    <t>7032</t>
  </si>
  <si>
    <t>Sporting and Recreational Camps</t>
  </si>
  <si>
    <t>721310</t>
  </si>
  <si>
    <t xml:space="preserve">Rooming and Boarding Houses, Dormitories, and Workers' Camps </t>
  </si>
  <si>
    <t>7021</t>
  </si>
  <si>
    <t>Rooming and Boarding Houses</t>
  </si>
  <si>
    <t>722310</t>
  </si>
  <si>
    <t>Food Service Contractors</t>
  </si>
  <si>
    <t>722320</t>
  </si>
  <si>
    <t>Caterers</t>
  </si>
  <si>
    <t>722330</t>
  </si>
  <si>
    <t>Mobile Food Services</t>
  </si>
  <si>
    <t>722410</t>
  </si>
  <si>
    <t>Drinking Places (Alcoholic Beverages)</t>
  </si>
  <si>
    <t>5813</t>
  </si>
  <si>
    <t>Drinking Places</t>
  </si>
  <si>
    <t>722511</t>
  </si>
  <si>
    <t>Full-Service Restaurants</t>
  </si>
  <si>
    <t>722513</t>
  </si>
  <si>
    <t>Limited-Service Restaurants</t>
  </si>
  <si>
    <t>722514</t>
  </si>
  <si>
    <t>Cafeterias, Grill Buffets, and Buffets</t>
  </si>
  <si>
    <t>722515</t>
  </si>
  <si>
    <t>Snack and Nonalcoholic Beverage Bars</t>
  </si>
  <si>
    <t>811111</t>
  </si>
  <si>
    <t>General Automotive Repair</t>
  </si>
  <si>
    <t>7538</t>
  </si>
  <si>
    <t>General Automotive Repair Shops</t>
  </si>
  <si>
    <t>811112</t>
  </si>
  <si>
    <t>Automotive Exhaust System Repair</t>
  </si>
  <si>
    <t>7533</t>
  </si>
  <si>
    <t>Auto Exhaust System Repair Shops</t>
  </si>
  <si>
    <t>811113</t>
  </si>
  <si>
    <t>Automotive Transmission Repair</t>
  </si>
  <si>
    <t>7537</t>
  </si>
  <si>
    <t>Automotive Transmission Repair Shops</t>
  </si>
  <si>
    <t>811118</t>
  </si>
  <si>
    <t>Other Automotive Mechanical and Electrical Repair and Maintenance</t>
  </si>
  <si>
    <t>7539</t>
  </si>
  <si>
    <t>Automotive Repair Shops, Nec</t>
  </si>
  <si>
    <t>811121</t>
  </si>
  <si>
    <t>Automotive Body, Paint, and Interior Repair and Maintenance</t>
  </si>
  <si>
    <t>7532</t>
  </si>
  <si>
    <t>Top and Body Repair and Paint Shops</t>
  </si>
  <si>
    <t>811122</t>
  </si>
  <si>
    <t>Automotive Glass Replacement Shops</t>
  </si>
  <si>
    <t>7536</t>
  </si>
  <si>
    <t>811191</t>
  </si>
  <si>
    <t>Automotive Oil Change and Lubrication Shops</t>
  </si>
  <si>
    <t>811192</t>
  </si>
  <si>
    <t>Car Washes</t>
  </si>
  <si>
    <t>7542</t>
  </si>
  <si>
    <t>Carwashes</t>
  </si>
  <si>
    <t>811198</t>
  </si>
  <si>
    <t>All Other Automotive Repair and Maintenance</t>
  </si>
  <si>
    <t>811211</t>
  </si>
  <si>
    <t>Consumer Electronics Repair and Maintenance</t>
  </si>
  <si>
    <t>811212</t>
  </si>
  <si>
    <t>Computer and Office Machine Repair and Maintenance</t>
  </si>
  <si>
    <t>811213</t>
  </si>
  <si>
    <t>Communication Equipment Repair and Maintenance</t>
  </si>
  <si>
    <t>811219</t>
  </si>
  <si>
    <t>Other Electronic and Precision Equipment Repair and Maintenance</t>
  </si>
  <si>
    <t>811310</t>
  </si>
  <si>
    <t>Commercial and Industrial Machinery and Equipment (except Automotive and Electronic) Repair and Maintenance</t>
  </si>
  <si>
    <t>7692</t>
  </si>
  <si>
    <t>Welding Repair</t>
  </si>
  <si>
    <t>811411</t>
  </si>
  <si>
    <t>Home and Garden Equipment Repair and Maintenance</t>
  </si>
  <si>
    <t>811412</t>
  </si>
  <si>
    <t>Appliance Repair and Maintenance</t>
  </si>
  <si>
    <t>811420</t>
  </si>
  <si>
    <t>Reupholstery and Furniture Repair</t>
  </si>
  <si>
    <t>7641</t>
  </si>
  <si>
    <t>811430</t>
  </si>
  <si>
    <t>Footwear and Leather Goods Repair</t>
  </si>
  <si>
    <t>7251</t>
  </si>
  <si>
    <t>Shoe Repair and Shoeshine Parlors</t>
  </si>
  <si>
    <t>811490</t>
  </si>
  <si>
    <t>Other Personal and Household Goods Repair and Maintenance</t>
  </si>
  <si>
    <t>7219</t>
  </si>
  <si>
    <t>Laundry and Garment Services, Nec</t>
  </si>
  <si>
    <t>812111</t>
  </si>
  <si>
    <t>812112</t>
  </si>
  <si>
    <t>Beauty Salons</t>
  </si>
  <si>
    <t>812113</t>
  </si>
  <si>
    <t>Nail Salons</t>
  </si>
  <si>
    <t>812191</t>
  </si>
  <si>
    <t>Diet and Weight Reducing Centers</t>
  </si>
  <si>
    <t>812199</t>
  </si>
  <si>
    <t>Other Personal Care Services</t>
  </si>
  <si>
    <t>812210</t>
  </si>
  <si>
    <t>Funeral Homes and Funeral Services</t>
  </si>
  <si>
    <t>7261</t>
  </si>
  <si>
    <t>Funeral Service and Crematories</t>
  </si>
  <si>
    <t>812220</t>
  </si>
  <si>
    <t>Cemeteries and Crematories</t>
  </si>
  <si>
    <t>6553</t>
  </si>
  <si>
    <t>Cemetery Subdividers and Developers</t>
  </si>
  <si>
    <t>812310</t>
  </si>
  <si>
    <t>Coin-Operated Laundries and Drycleaners</t>
  </si>
  <si>
    <t>7215</t>
  </si>
  <si>
    <t>Coin-operated Laundries and Cleaning</t>
  </si>
  <si>
    <t>812320</t>
  </si>
  <si>
    <t>Drycleaning and Laundry Services (except Coin-Operated)</t>
  </si>
  <si>
    <t>7211</t>
  </si>
  <si>
    <t>Power Laundries, Family and Commercial</t>
  </si>
  <si>
    <t>7212</t>
  </si>
  <si>
    <t>Garment Pressing and Cleaners' Agents</t>
  </si>
  <si>
    <t>7216</t>
  </si>
  <si>
    <t>Drycleaning Plants, Except Rugs</t>
  </si>
  <si>
    <t>812331</t>
  </si>
  <si>
    <t>Linen Supply</t>
  </si>
  <si>
    <t>7213</t>
  </si>
  <si>
    <t>812332</t>
  </si>
  <si>
    <t>Industrial Launderers</t>
  </si>
  <si>
    <t>7218</t>
  </si>
  <si>
    <t>812910</t>
  </si>
  <si>
    <t>Pet Care (except Veterinary) Services</t>
  </si>
  <si>
    <t>812921</t>
  </si>
  <si>
    <t>Photofinishing Laboratories (except One-Hour)</t>
  </si>
  <si>
    <t>7384</t>
  </si>
  <si>
    <t>Photofinish Laboratories</t>
  </si>
  <si>
    <t>812922</t>
  </si>
  <si>
    <t>One-Hour Photofinishing</t>
  </si>
  <si>
    <t>812930</t>
  </si>
  <si>
    <t>Parking Lots and Garages</t>
  </si>
  <si>
    <t>7521</t>
  </si>
  <si>
    <t>Automobile Parking</t>
  </si>
  <si>
    <t>812990</t>
  </si>
  <si>
    <t>All Other Personal Services</t>
  </si>
  <si>
    <t>813110</t>
  </si>
  <si>
    <t>Religious Organizations</t>
  </si>
  <si>
    <t>8661</t>
  </si>
  <si>
    <t>ORGANIZATIONS AND ASSOCIATIONS</t>
  </si>
  <si>
    <t>813211</t>
  </si>
  <si>
    <t>Grantmaking Foundations</t>
  </si>
  <si>
    <t>6732</t>
  </si>
  <si>
    <t>Trusts: Educational, Religious, Etc.</t>
  </si>
  <si>
    <t>813212</t>
  </si>
  <si>
    <t>Voluntary Health Organizations</t>
  </si>
  <si>
    <t>8399</t>
  </si>
  <si>
    <t>Social Services, Nec</t>
  </si>
  <si>
    <t>813219</t>
  </si>
  <si>
    <t>Other Grantmaking and Giving Services</t>
  </si>
  <si>
    <t>813311</t>
  </si>
  <si>
    <t>Human Rights Organizations</t>
  </si>
  <si>
    <t>813312</t>
  </si>
  <si>
    <t>Environment, Conservation and Wildlife Organizations</t>
  </si>
  <si>
    <t>813319</t>
  </si>
  <si>
    <t>Other Social Advocacy Organizations</t>
  </si>
  <si>
    <t>8641</t>
  </si>
  <si>
    <t>Civic and Social Associations</t>
  </si>
  <si>
    <t>813410</t>
  </si>
  <si>
    <t>Civic and Social Organizations</t>
  </si>
  <si>
    <t>813910</t>
  </si>
  <si>
    <t>Business Associations</t>
  </si>
  <si>
    <t>8611</t>
  </si>
  <si>
    <t>813920</t>
  </si>
  <si>
    <t>Professional Organizations</t>
  </si>
  <si>
    <t>8621</t>
  </si>
  <si>
    <t>813930</t>
  </si>
  <si>
    <t>Labor Unions and Similar Labor Organizations</t>
  </si>
  <si>
    <t>8631</t>
  </si>
  <si>
    <t>Labor Organizations</t>
  </si>
  <si>
    <t>813940</t>
  </si>
  <si>
    <t>Political Organizations</t>
  </si>
  <si>
    <t>8651</t>
  </si>
  <si>
    <t>813990</t>
  </si>
  <si>
    <t>Other Similar Organizations (except Business, Professional, Labor, and Political Organizations)</t>
  </si>
  <si>
    <t>814110</t>
  </si>
  <si>
    <t>Private Households</t>
  </si>
  <si>
    <t>8811</t>
  </si>
  <si>
    <t>921110</t>
  </si>
  <si>
    <t>Executive Offices</t>
  </si>
  <si>
    <t>9111</t>
  </si>
  <si>
    <t>PUBLIC ADMINISTRATION</t>
  </si>
  <si>
    <t>921120</t>
  </si>
  <si>
    <t>Legislative Bodies</t>
  </si>
  <si>
    <t>9121</t>
  </si>
  <si>
    <t>921130</t>
  </si>
  <si>
    <t>Public Finance Activities</t>
  </si>
  <si>
    <t>9311</t>
  </si>
  <si>
    <t>Finance, Taxation, and Monetary Policy</t>
  </si>
  <si>
    <t>921140</t>
  </si>
  <si>
    <t>Executive and Legislative Offices, Combined</t>
  </si>
  <si>
    <t>9131</t>
  </si>
  <si>
    <t>Executive and Legislative Combined</t>
  </si>
  <si>
    <t>921150</t>
  </si>
  <si>
    <t>American Indian and Alaska Native Tribal Governments</t>
  </si>
  <si>
    <t>921190</t>
  </si>
  <si>
    <t>Other General Government Support</t>
  </si>
  <si>
    <t>9199</t>
  </si>
  <si>
    <t>General Government, Nec</t>
  </si>
  <si>
    <t>922110</t>
  </si>
  <si>
    <t>Courts</t>
  </si>
  <si>
    <t>9211</t>
  </si>
  <si>
    <t>922120</t>
  </si>
  <si>
    <t>Police Protection</t>
  </si>
  <si>
    <t>9221</t>
  </si>
  <si>
    <t>922130</t>
  </si>
  <si>
    <t>Legal Counsel and Prosecution</t>
  </si>
  <si>
    <t>9222</t>
  </si>
  <si>
    <t>922140</t>
  </si>
  <si>
    <t>Correctional Institutions</t>
  </si>
  <si>
    <t>9223</t>
  </si>
  <si>
    <t>922150</t>
  </si>
  <si>
    <t>Parole Offices and Probation Offices</t>
  </si>
  <si>
    <t>922160</t>
  </si>
  <si>
    <t>Fire Protection</t>
  </si>
  <si>
    <t>9224</t>
  </si>
  <si>
    <t>922190</t>
  </si>
  <si>
    <t>Other Justice, Public Order, and Safety Activities</t>
  </si>
  <si>
    <t>9229</t>
  </si>
  <si>
    <t>Public Order and Safety, Nec</t>
  </si>
  <si>
    <t>923110</t>
  </si>
  <si>
    <t>Administration of Education Programs</t>
  </si>
  <si>
    <t>9411</t>
  </si>
  <si>
    <t>Administration of Educational Programs</t>
  </si>
  <si>
    <t>923120</t>
  </si>
  <si>
    <t>Administration of Public Health Programs</t>
  </si>
  <si>
    <t>9431</t>
  </si>
  <si>
    <t>923130</t>
  </si>
  <si>
    <t>Administration of Human Resource Programs (except Education, Public Health, and Veterans' Affairs Programs)</t>
  </si>
  <si>
    <t>9441</t>
  </si>
  <si>
    <t>Administration of Social and Manpower Programs</t>
  </si>
  <si>
    <t>923140</t>
  </si>
  <si>
    <t>Administration of Veterans' Affairs</t>
  </si>
  <si>
    <t>9451</t>
  </si>
  <si>
    <t>924110</t>
  </si>
  <si>
    <t>Administration of Air and Water Resource and Solid Waste Management Programs</t>
  </si>
  <si>
    <t>9511</t>
  </si>
  <si>
    <t>Air, Water, and Solid Waste Management</t>
  </si>
  <si>
    <t>924120</t>
  </si>
  <si>
    <t>Administration of Conservation Programs</t>
  </si>
  <si>
    <t>9512</t>
  </si>
  <si>
    <t>Land, Mineral, and Wildlife Conservation</t>
  </si>
  <si>
    <t>925110</t>
  </si>
  <si>
    <t>Administration of Housing Programs</t>
  </si>
  <si>
    <t>9531</t>
  </si>
  <si>
    <t>Housing Programs</t>
  </si>
  <si>
    <t>925120</t>
  </si>
  <si>
    <t>Administration of Urban Planning and Community and Rural Development</t>
  </si>
  <si>
    <t>9532</t>
  </si>
  <si>
    <t>Urban and Community Development</t>
  </si>
  <si>
    <t>926110</t>
  </si>
  <si>
    <t>Administration of General Economic Programs</t>
  </si>
  <si>
    <t>9611</t>
  </si>
  <si>
    <t>926120</t>
  </si>
  <si>
    <t>Regulation and Administration of Transportation Programs</t>
  </si>
  <si>
    <t>926130</t>
  </si>
  <si>
    <t>Regulation and Administration of Communications, Electric, Gas, and Other Utilities</t>
  </si>
  <si>
    <t>9631</t>
  </si>
  <si>
    <t>Regulation, Administration of Utilities</t>
  </si>
  <si>
    <t>926140</t>
  </si>
  <si>
    <t>Regulation of Agricultural Marketing and Commodities</t>
  </si>
  <si>
    <t>9641</t>
  </si>
  <si>
    <t>Regulation of Agricultural Marketing</t>
  </si>
  <si>
    <t>926150</t>
  </si>
  <si>
    <t>Regulation, Licensing, and Inspection of Miscellaneous Commercial Sectors</t>
  </si>
  <si>
    <t>9651</t>
  </si>
  <si>
    <t>Regulation, Miscellaneous Commercial Sectors</t>
  </si>
  <si>
    <t>927110</t>
  </si>
  <si>
    <t>Space Research and Technology</t>
  </si>
  <si>
    <t>9661</t>
  </si>
  <si>
    <t>928110</t>
  </si>
  <si>
    <t>National Security</t>
  </si>
  <si>
    <t>9711</t>
  </si>
  <si>
    <t>928120</t>
  </si>
  <si>
    <t>International Affairs</t>
  </si>
  <si>
    <t>9721</t>
  </si>
  <si>
    <t>Y</t>
  </si>
  <si>
    <t>NA</t>
  </si>
  <si>
    <t>CCL</t>
  </si>
  <si>
    <t>BRC</t>
  </si>
  <si>
    <t>CP2</t>
  </si>
  <si>
    <t>BUI</t>
  </si>
  <si>
    <t>CBI</t>
  </si>
  <si>
    <t>DLC</t>
  </si>
  <si>
    <t>RER</t>
  </si>
  <si>
    <t>SOE</t>
  </si>
  <si>
    <t>SYF</t>
  </si>
  <si>
    <t xml:space="preserve">Cyber Agg limit </t>
  </si>
  <si>
    <t>Breach Response Costs</t>
  </si>
  <si>
    <t>Cyber Extortion Costs</t>
  </si>
  <si>
    <t>Business Interruption Loss</t>
  </si>
  <si>
    <t>Contingent Business Interruption Loss</t>
  </si>
  <si>
    <t>Data Loss Costs</t>
  </si>
  <si>
    <t>Reputation Repair</t>
  </si>
  <si>
    <t>Social Engineering</t>
  </si>
  <si>
    <t>System Failure</t>
  </si>
  <si>
    <t>Ransom</t>
  </si>
  <si>
    <t>Legal Liability</t>
  </si>
  <si>
    <t>Insured Event Expenses</t>
  </si>
  <si>
    <t xml:space="preserve">Personal Belongings </t>
  </si>
  <si>
    <t>Transit Loss</t>
  </si>
  <si>
    <t>Recall Expenses</t>
  </si>
  <si>
    <t>Accidental Death and Dismemberment - Maximum Benefit Per Insured Person</t>
  </si>
  <si>
    <t>Accidental Death and Dismemberment -   Insured Event Aggregate</t>
  </si>
  <si>
    <t>Additional Insured Event -Threat Response Expenses</t>
  </si>
  <si>
    <t>Additional Insured Event - Disappearance and Investigation Expenses</t>
  </si>
  <si>
    <t xml:space="preserve">Business Interruption </t>
  </si>
  <si>
    <t>Travel Security Evacuation Expenses Limit</t>
  </si>
  <si>
    <t>Travel Security - Personal Effects per Insured Person</t>
  </si>
  <si>
    <t>Travel Security -Relocation Costs per Insured Person</t>
  </si>
  <si>
    <t>Expatriate Security Evacuation Expenses Limit</t>
  </si>
  <si>
    <t>Personal Effects per Insured Person</t>
  </si>
  <si>
    <t>Salary per Insured Person</t>
  </si>
  <si>
    <t>Relocation Costs per Insured Person</t>
  </si>
  <si>
    <t>Repatriation Costs per Insured Person</t>
  </si>
  <si>
    <t>Policy Limits K&amp;R</t>
  </si>
  <si>
    <t>Policy Limits Cyber</t>
  </si>
  <si>
    <t>MPP</t>
  </si>
  <si>
    <t>ICC</t>
  </si>
  <si>
    <t>EAA</t>
  </si>
  <si>
    <t>PBR</t>
  </si>
  <si>
    <t xml:space="preserve">D&amp;O Aggregate Liability Limit          </t>
  </si>
  <si>
    <t>Investigative Costs</t>
  </si>
  <si>
    <t>Asset Protection</t>
  </si>
  <si>
    <t>Public Relations</t>
  </si>
  <si>
    <t>Policy Limits D&amp;O</t>
  </si>
  <si>
    <t>Policy Limits EPL</t>
  </si>
  <si>
    <t>WVC</t>
  </si>
  <si>
    <t>EMPLOYMENT PRACTICES LIABILITY</t>
  </si>
  <si>
    <t>Wage and Hour Defense Cost Sublimit</t>
  </si>
  <si>
    <t>Workplace Violence Expenses</t>
  </si>
  <si>
    <t>EPL Crisis Expenses</t>
  </si>
  <si>
    <t>EPR</t>
  </si>
  <si>
    <t>Policy Limits Fiduciary Liability</t>
  </si>
  <si>
    <t xml:space="preserve">FIDUCIARY LIABILITY           </t>
  </si>
  <si>
    <t>Voluntary Compliance Program Costs</t>
  </si>
  <si>
    <t>Penalties for Violations of HIPAA</t>
  </si>
  <si>
    <t>Penalties under Section 502© of ERISA</t>
  </si>
  <si>
    <t>Penalties under the Pension Protection Act of 2006</t>
  </si>
  <si>
    <t>Penalties under the Affordable Care Act</t>
  </si>
  <si>
    <t>Penalty under IRC Section 4975</t>
  </si>
  <si>
    <t>HIP</t>
  </si>
  <si>
    <t>FID</t>
  </si>
  <si>
    <t>Policy Limits ELL</t>
  </si>
  <si>
    <t>Employed Lawyers Liability</t>
  </si>
  <si>
    <t>CLT</t>
  </si>
  <si>
    <t>Media Liability</t>
  </si>
  <si>
    <t>PCA</t>
  </si>
  <si>
    <t>PCI Re-Certification</t>
  </si>
  <si>
    <t>TEO</t>
  </si>
  <si>
    <t>Wrongful Collection</t>
  </si>
  <si>
    <t>Misc Professional Agg Liability</t>
  </si>
  <si>
    <t>DOL</t>
  </si>
  <si>
    <t>Directors &amp; Officers Liability</t>
  </si>
  <si>
    <t>170/317</t>
  </si>
  <si>
    <t>004</t>
  </si>
  <si>
    <t>Rating Territory</t>
  </si>
  <si>
    <t>Premium State</t>
  </si>
  <si>
    <t>ISO State Code</t>
  </si>
  <si>
    <t>Coverage XYZ Territory Code</t>
  </si>
  <si>
    <t>AK</t>
  </si>
  <si>
    <t>001</t>
  </si>
  <si>
    <t>AL</t>
  </si>
  <si>
    <t>01</t>
  </si>
  <si>
    <t>503</t>
  </si>
  <si>
    <t>AR</t>
  </si>
  <si>
    <t>03</t>
  </si>
  <si>
    <t>AZ</t>
  </si>
  <si>
    <t>02</t>
  </si>
  <si>
    <t>CA</t>
  </si>
  <si>
    <t>04</t>
  </si>
  <si>
    <t>012</t>
  </si>
  <si>
    <t>CO</t>
  </si>
  <si>
    <t>05</t>
  </si>
  <si>
    <t>502</t>
  </si>
  <si>
    <t>CT</t>
  </si>
  <si>
    <t>06</t>
  </si>
  <si>
    <t>507</t>
  </si>
  <si>
    <t>District of Columbia</t>
  </si>
  <si>
    <t>DC</t>
  </si>
  <si>
    <t>08</t>
  </si>
  <si>
    <t>DE</t>
  </si>
  <si>
    <t>07</t>
  </si>
  <si>
    <t>FL</t>
  </si>
  <si>
    <t>09</t>
  </si>
  <si>
    <t>006</t>
  </si>
  <si>
    <t>GA</t>
  </si>
  <si>
    <t>10</t>
  </si>
  <si>
    <t>HI</t>
  </si>
  <si>
    <t>IA</t>
  </si>
  <si>
    <t>14</t>
  </si>
  <si>
    <t>ID</t>
  </si>
  <si>
    <t>11</t>
  </si>
  <si>
    <t>IL</t>
  </si>
  <si>
    <t>12</t>
  </si>
  <si>
    <t>514</t>
  </si>
  <si>
    <t>IN</t>
  </si>
  <si>
    <t>506</t>
  </si>
  <si>
    <t>KS</t>
  </si>
  <si>
    <t>15</t>
  </si>
  <si>
    <t>KY</t>
  </si>
  <si>
    <t>16</t>
  </si>
  <si>
    <t>LA</t>
  </si>
  <si>
    <t>17</t>
  </si>
  <si>
    <t>MA</t>
  </si>
  <si>
    <t>20</t>
  </si>
  <si>
    <t>517</t>
  </si>
  <si>
    <t>MD</t>
  </si>
  <si>
    <t>19</t>
  </si>
  <si>
    <t>501</t>
  </si>
  <si>
    <t>ME</t>
  </si>
  <si>
    <t>18</t>
  </si>
  <si>
    <t>MI</t>
  </si>
  <si>
    <t>21</t>
  </si>
  <si>
    <t>505</t>
  </si>
  <si>
    <t>MN</t>
  </si>
  <si>
    <t>MO</t>
  </si>
  <si>
    <t>MS</t>
  </si>
  <si>
    <t>23</t>
  </si>
  <si>
    <t>MT</t>
  </si>
  <si>
    <t>25</t>
  </si>
  <si>
    <t>NC</t>
  </si>
  <si>
    <t>32</t>
  </si>
  <si>
    <t>002</t>
  </si>
  <si>
    <t>ND</t>
  </si>
  <si>
    <t>33</t>
  </si>
  <si>
    <t>NE</t>
  </si>
  <si>
    <t>26</t>
  </si>
  <si>
    <t>NH</t>
  </si>
  <si>
    <t>28</t>
  </si>
  <si>
    <t>NJ</t>
  </si>
  <si>
    <t>29</t>
  </si>
  <si>
    <t>NM</t>
  </si>
  <si>
    <t>NV</t>
  </si>
  <si>
    <t>27</t>
  </si>
  <si>
    <t>NY</t>
  </si>
  <si>
    <t>024</t>
  </si>
  <si>
    <t>OH</t>
  </si>
  <si>
    <t>34</t>
  </si>
  <si>
    <t>509</t>
  </si>
  <si>
    <t>OK</t>
  </si>
  <si>
    <t>35</t>
  </si>
  <si>
    <t>OR</t>
  </si>
  <si>
    <t>36</t>
  </si>
  <si>
    <t>PA</t>
  </si>
  <si>
    <t>513</t>
  </si>
  <si>
    <t>RI</t>
  </si>
  <si>
    <t>38</t>
  </si>
  <si>
    <t>SC</t>
  </si>
  <si>
    <t>39</t>
  </si>
  <si>
    <t>SD</t>
  </si>
  <si>
    <t>40</t>
  </si>
  <si>
    <t>TN</t>
  </si>
  <si>
    <t>41</t>
  </si>
  <si>
    <t>TX</t>
  </si>
  <si>
    <t>UT</t>
  </si>
  <si>
    <t>43</t>
  </si>
  <si>
    <t>VA</t>
  </si>
  <si>
    <t>45</t>
  </si>
  <si>
    <t>504</t>
  </si>
  <si>
    <t>VT</t>
  </si>
  <si>
    <t>44</t>
  </si>
  <si>
    <t>WA</t>
  </si>
  <si>
    <t>46</t>
  </si>
  <si>
    <t>WI</t>
  </si>
  <si>
    <t>48</t>
  </si>
  <si>
    <t>WV</t>
  </si>
  <si>
    <t>47</t>
  </si>
  <si>
    <t>WY</t>
  </si>
  <si>
    <t>49</t>
  </si>
  <si>
    <t>Entire State</t>
  </si>
  <si>
    <t>Remainder of State</t>
  </si>
  <si>
    <t>Territory Code</t>
  </si>
  <si>
    <t>22</t>
  </si>
  <si>
    <t>50</t>
  </si>
  <si>
    <t>51</t>
  </si>
  <si>
    <t>52</t>
  </si>
  <si>
    <t>53</t>
  </si>
  <si>
    <t>54</t>
  </si>
  <si>
    <t>55</t>
  </si>
  <si>
    <t>57</t>
  </si>
  <si>
    <t>59</t>
  </si>
  <si>
    <t>&gt; 10000000</t>
  </si>
  <si>
    <t>Underlying Limit</t>
  </si>
  <si>
    <t>94</t>
  </si>
  <si>
    <t>95</t>
  </si>
  <si>
    <t>98</t>
  </si>
  <si>
    <t>&gt; 50000000</t>
  </si>
  <si>
    <t>Asset Protection Costs</t>
  </si>
  <si>
    <t>Public Relations Costs</t>
  </si>
  <si>
    <t>Separate Defense Cost Coverage</t>
  </si>
  <si>
    <t>Additional Side A Limit for D&amp;O Liability</t>
  </si>
  <si>
    <t xml:space="preserve">170/317 KY MUNICIPAL TAX </t>
  </si>
  <si>
    <t xml:space="preserve">170/317 KENTUCKY COUNTY TAX   </t>
  </si>
  <si>
    <t>170/317 KY PUBLIC SERV SUR</t>
  </si>
  <si>
    <t>170/317 NJ GUARANTY FUND SC  (NJ PLIGA)</t>
  </si>
  <si>
    <t xml:space="preserve">170/317 WV SURCHARGE   </t>
  </si>
  <si>
    <t>170/317 EXTENDED RPTG PERIOD</t>
  </si>
  <si>
    <t>WV1</t>
  </si>
  <si>
    <t>@3O</t>
  </si>
  <si>
    <t>@ZA</t>
  </si>
  <si>
    <t>K06</t>
  </si>
  <si>
    <t>@ZD</t>
  </si>
  <si>
    <t>000000</t>
  </si>
  <si>
    <t>005</t>
  </si>
  <si>
    <t>260/965 KY. MUNICIPLE TAX</t>
  </si>
  <si>
    <t xml:space="preserve">260/965 KENTUCKY COUNTY TAX </t>
  </si>
  <si>
    <t>260/965 KY PUBLIC SVS SURCHARG</t>
  </si>
  <si>
    <t xml:space="preserve">260/965 MN FIRE SURCHARGE  </t>
  </si>
  <si>
    <t xml:space="preserve">260/965 NJ PROP&amp;LIAB GUAR FUND </t>
  </si>
  <si>
    <t>260/965 WV FIRE &amp; CASUALTY SRC</t>
  </si>
  <si>
    <t>260/965</t>
  </si>
  <si>
    <t>872</t>
  </si>
  <si>
    <t>860</t>
  </si>
  <si>
    <t>866</t>
  </si>
  <si>
    <t>869</t>
  </si>
  <si>
    <t>878</t>
  </si>
  <si>
    <t>863</t>
  </si>
  <si>
    <t>081</t>
  </si>
  <si>
    <t>Limits</t>
  </si>
  <si>
    <t>C</t>
  </si>
  <si>
    <t>&amp;3M</t>
  </si>
  <si>
    <t>K03</t>
  </si>
  <si>
    <t>KY6</t>
  </si>
  <si>
    <t>MF4</t>
  </si>
  <si>
    <t>NJ3</t>
  </si>
  <si>
    <t>WV4</t>
  </si>
  <si>
    <t>Breach Liability</t>
  </si>
  <si>
    <t>Regulatory Penalities</t>
  </si>
  <si>
    <t>PCI Assessements</t>
  </si>
  <si>
    <t>Technology Errors &amp; Omissions</t>
  </si>
  <si>
    <t xml:space="preserve">170/325 KY COUNTY TAX </t>
  </si>
  <si>
    <t xml:space="preserve">170/325 KY MUNICIPAL TAX  </t>
  </si>
  <si>
    <t xml:space="preserve">170/325 KY PUBLIC SERV SUR  </t>
  </si>
  <si>
    <t xml:space="preserve">170/325 NJ PROP&amp;LIAB GUAR FUND </t>
  </si>
  <si>
    <t xml:space="preserve">170/325 WV FIRE &amp; CASUALTY SRC </t>
  </si>
  <si>
    <t>170/325 EXTENDED RPTG PERIOD</t>
  </si>
  <si>
    <t>KYC</t>
  </si>
  <si>
    <t>KYT</t>
  </si>
  <si>
    <t>KYP</t>
  </si>
  <si>
    <t>NJF</t>
  </si>
  <si>
    <t>WVF</t>
  </si>
  <si>
    <t>170/325</t>
  </si>
  <si>
    <t>Endorsement ID</t>
  </si>
  <si>
    <t>INV</t>
  </si>
  <si>
    <t>ASP</t>
  </si>
  <si>
    <t>PUB</t>
  </si>
  <si>
    <t>SDC</t>
  </si>
  <si>
    <t>NAICS 2017</t>
  </si>
  <si>
    <t>D&amp;O Class
Subline 317</t>
  </si>
  <si>
    <t>72100</t>
  </si>
  <si>
    <t>72200</t>
  </si>
  <si>
    <t>56100</t>
  </si>
  <si>
    <t>81261</t>
  </si>
  <si>
    <t>81100</t>
  </si>
  <si>
    <t>22130</t>
  </si>
  <si>
    <t>11500</t>
  </si>
  <si>
    <t>48700</t>
  </si>
  <si>
    <t>56200</t>
  </si>
  <si>
    <t>23500</t>
  </si>
  <si>
    <t>49300</t>
  </si>
  <si>
    <t>11200</t>
  </si>
  <si>
    <t>11100</t>
  </si>
  <si>
    <t>11400</t>
  </si>
  <si>
    <t>11300</t>
  </si>
  <si>
    <t>71300</t>
  </si>
  <si>
    <t>71200</t>
  </si>
  <si>
    <t>71100</t>
  </si>
  <si>
    <t>23300</t>
  </si>
  <si>
    <t>23400</t>
  </si>
  <si>
    <t>61140</t>
  </si>
  <si>
    <t>61160</t>
  </si>
  <si>
    <t>61130</t>
  </si>
  <si>
    <t>61170</t>
  </si>
  <si>
    <t>61110</t>
  </si>
  <si>
    <t>61120</t>
  </si>
  <si>
    <t>61150</t>
  </si>
  <si>
    <t>52239</t>
  </si>
  <si>
    <t>52210</t>
  </si>
  <si>
    <t>52220</t>
  </si>
  <si>
    <t>52512</t>
  </si>
  <si>
    <t>52519</t>
  </si>
  <si>
    <t>52591</t>
  </si>
  <si>
    <t>52599</t>
  </si>
  <si>
    <t>52592</t>
  </si>
  <si>
    <t>52420</t>
  </si>
  <si>
    <t>52412</t>
  </si>
  <si>
    <t>52411</t>
  </si>
  <si>
    <t>52413</t>
  </si>
  <si>
    <t>52100</t>
  </si>
  <si>
    <t>52399</t>
  </si>
  <si>
    <t>52392</t>
  </si>
  <si>
    <t>52391</t>
  </si>
  <si>
    <t>52314</t>
  </si>
  <si>
    <t>52312</t>
  </si>
  <si>
    <t>52311</t>
  </si>
  <si>
    <t>62100</t>
  </si>
  <si>
    <t>62200</t>
  </si>
  <si>
    <t>62300</t>
  </si>
  <si>
    <t>62400</t>
  </si>
  <si>
    <t>51309</t>
  </si>
  <si>
    <t>51409</t>
  </si>
  <si>
    <t>51200</t>
  </si>
  <si>
    <t>32300</t>
  </si>
  <si>
    <t>51100</t>
  </si>
  <si>
    <t>55100</t>
  </si>
  <si>
    <t>31500</t>
  </si>
  <si>
    <t>31200</t>
  </si>
  <si>
    <t>32500</t>
  </si>
  <si>
    <t>32600</t>
  </si>
  <si>
    <t>32540</t>
  </si>
  <si>
    <t>33400</t>
  </si>
  <si>
    <t>33500</t>
  </si>
  <si>
    <t>33209</t>
  </si>
  <si>
    <t>31100</t>
  </si>
  <si>
    <t>33700</t>
  </si>
  <si>
    <t>31600</t>
  </si>
  <si>
    <t>33900</t>
  </si>
  <si>
    <t>33309</t>
  </si>
  <si>
    <t>32700</t>
  </si>
  <si>
    <t>32200</t>
  </si>
  <si>
    <t>32400</t>
  </si>
  <si>
    <t>33100</t>
  </si>
  <si>
    <t>31300</t>
  </si>
  <si>
    <t>31400</t>
  </si>
  <si>
    <t>33600</t>
  </si>
  <si>
    <t>32100</t>
  </si>
  <si>
    <t>21200</t>
  </si>
  <si>
    <t>21100</t>
  </si>
  <si>
    <t>21300</t>
  </si>
  <si>
    <t>81200</t>
  </si>
  <si>
    <t>81409</t>
  </si>
  <si>
    <t>81300</t>
  </si>
  <si>
    <t>54120</t>
  </si>
  <si>
    <t>54180</t>
  </si>
  <si>
    <t>54130</t>
  </si>
  <si>
    <t>54150</t>
  </si>
  <si>
    <t>54110</t>
  </si>
  <si>
    <t>54160</t>
  </si>
  <si>
    <t>54190</t>
  </si>
  <si>
    <t>54170</t>
  </si>
  <si>
    <t>54140</t>
  </si>
  <si>
    <t>92600</t>
  </si>
  <si>
    <t>92400</t>
  </si>
  <si>
    <t>92500</t>
  </si>
  <si>
    <t>92300</t>
  </si>
  <si>
    <t>92109</t>
  </si>
  <si>
    <t>92299</t>
  </si>
  <si>
    <t>92800</t>
  </si>
  <si>
    <t>53300</t>
  </si>
  <si>
    <t>53100</t>
  </si>
  <si>
    <t>53200</t>
  </si>
  <si>
    <t>48300</t>
  </si>
  <si>
    <t>44400</t>
  </si>
  <si>
    <t>44800</t>
  </si>
  <si>
    <t>44300</t>
  </si>
  <si>
    <t>44509</t>
  </si>
  <si>
    <t>44200</t>
  </si>
  <si>
    <t>44700</t>
  </si>
  <si>
    <t>45200</t>
  </si>
  <si>
    <t>44600</t>
  </si>
  <si>
    <t>45300</t>
  </si>
  <si>
    <t>44199</t>
  </si>
  <si>
    <t>45400</t>
  </si>
  <si>
    <t>45100</t>
  </si>
  <si>
    <t>48100</t>
  </si>
  <si>
    <t>48800</t>
  </si>
  <si>
    <t>48609</t>
  </si>
  <si>
    <t>49100</t>
  </si>
  <si>
    <t>48200</t>
  </si>
  <si>
    <t>48500</t>
  </si>
  <si>
    <t>48400</t>
  </si>
  <si>
    <t>22110</t>
  </si>
  <si>
    <t>22120</t>
  </si>
  <si>
    <t>42100</t>
  </si>
  <si>
    <t>42200</t>
  </si>
  <si>
    <t>LargeCommercialExemption</t>
  </si>
  <si>
    <t>Coinsurance Percentage Code</t>
  </si>
  <si>
    <t>Taxes &amp; Assessments</t>
  </si>
  <si>
    <t>Assessment %</t>
  </si>
  <si>
    <t>Florida Hurricane CAT Fund</t>
  </si>
  <si>
    <t>FIGA Regular Assessment</t>
  </si>
  <si>
    <t>Kentucky County Tax</t>
  </si>
  <si>
    <t>Kentucky Municipal Tax</t>
  </si>
  <si>
    <t>KY Public Surcharge</t>
  </si>
  <si>
    <t>NJ PLIGA Surcharge</t>
  </si>
  <si>
    <t>WV Fire &amp; Casualty Surcharge</t>
  </si>
  <si>
    <t>DAL</t>
  </si>
  <si>
    <t>SDE</t>
  </si>
  <si>
    <t>CLF</t>
  </si>
  <si>
    <t>BRP</t>
  </si>
  <si>
    <t>CEC</t>
  </si>
  <si>
    <t>BLO</t>
  </si>
  <si>
    <t>CLO</t>
  </si>
  <si>
    <t>RNR</t>
  </si>
  <si>
    <t>ERD</t>
  </si>
  <si>
    <t>BLB</t>
  </si>
  <si>
    <t>RPN</t>
  </si>
  <si>
    <t>PCF</t>
  </si>
  <si>
    <t>MDL</t>
  </si>
  <si>
    <t>WCO</t>
  </si>
  <si>
    <t>Insuring Agreement Code/CoIns</t>
  </si>
  <si>
    <t>RAN</t>
  </si>
  <si>
    <t>IEE</t>
  </si>
  <si>
    <t>PRB</t>
  </si>
  <si>
    <t>TLO</t>
  </si>
  <si>
    <t>REX</t>
  </si>
  <si>
    <t>MPI</t>
  </si>
  <si>
    <t>IEA</t>
  </si>
  <si>
    <t>BIN</t>
  </si>
  <si>
    <t>TSE</t>
  </si>
  <si>
    <t>TSR</t>
  </si>
  <si>
    <t>EEE</t>
  </si>
  <si>
    <t>SPI</t>
  </si>
  <si>
    <t>RCP</t>
  </si>
  <si>
    <t>RCI</t>
  </si>
  <si>
    <t>LEL</t>
  </si>
  <si>
    <t>TRE</t>
  </si>
  <si>
    <t>DIE</t>
  </si>
  <si>
    <t>PEF</t>
  </si>
  <si>
    <t>KNR</t>
  </si>
  <si>
    <t>CDR</t>
  </si>
  <si>
    <t>REE</t>
  </si>
  <si>
    <t>TEP</t>
  </si>
  <si>
    <t>DAI</t>
  </si>
  <si>
    <t>BIP</t>
  </si>
  <si>
    <t>ESE</t>
  </si>
  <si>
    <t>Core Kidnap &amp; Ransom</t>
  </si>
  <si>
    <t>Threat Response Expenses</t>
  </si>
  <si>
    <t>Disappearance and Investigation Expenses</t>
  </si>
  <si>
    <t>Business Interruption</t>
  </si>
  <si>
    <t>Travel Security Evacuation Expenses</t>
  </si>
  <si>
    <t>Expatriate  Security Evacuation Expenses</t>
  </si>
  <si>
    <t>301</t>
  </si>
  <si>
    <t>330</t>
  </si>
  <si>
    <t>889</t>
  </si>
  <si>
    <t>325</t>
  </si>
  <si>
    <t>Rate Group</t>
  </si>
  <si>
    <t>031</t>
  </si>
  <si>
    <t>WHD</t>
  </si>
  <si>
    <t>ECE</t>
  </si>
  <si>
    <t>ACE</t>
  </si>
  <si>
    <t>EBP</t>
  </si>
  <si>
    <t>WVE</t>
  </si>
  <si>
    <t>KT1</t>
  </si>
  <si>
    <t>KT2</t>
  </si>
  <si>
    <t>KT3</t>
  </si>
  <si>
    <t>NF1</t>
  </si>
  <si>
    <t>WF5</t>
  </si>
  <si>
    <t>170/360</t>
  </si>
  <si>
    <t>Additional Claim Expenses</t>
  </si>
  <si>
    <t xml:space="preserve">170/360 KY MUNICIPAL TAX </t>
  </si>
  <si>
    <t xml:space="preserve">170/360 KY COUNTY TAX  </t>
  </si>
  <si>
    <t xml:space="preserve">170/360 KY PUBLIC SERVICE SURC </t>
  </si>
  <si>
    <t xml:space="preserve">170/360 NJ PLIG FUND </t>
  </si>
  <si>
    <t xml:space="preserve">170/360 WV FIRE &amp; CASUALTY SUR </t>
  </si>
  <si>
    <t>170/360 EXTENDED RPTG PERIOD</t>
  </si>
  <si>
    <t>Deductible Code</t>
  </si>
  <si>
    <t>1</t>
  </si>
  <si>
    <t>Occurrence Limit</t>
  </si>
  <si>
    <t>Edorsement ID</t>
  </si>
  <si>
    <t>VCP</t>
  </si>
  <si>
    <t>PSE</t>
  </si>
  <si>
    <t>PPP</t>
  </si>
  <si>
    <t>PAC</t>
  </si>
  <si>
    <t>PUS</t>
  </si>
  <si>
    <t>FIL</t>
  </si>
  <si>
    <t>PVH</t>
  </si>
  <si>
    <t>PPA</t>
  </si>
  <si>
    <t>PEC</t>
  </si>
  <si>
    <t>PIS</t>
  </si>
  <si>
    <t>Penalties for Violations of HIPAA Privacy Provisions</t>
  </si>
  <si>
    <t>Penalties under Section 502(c) of ERISA</t>
  </si>
  <si>
    <t>Penalties under The Pension Protection Act of 2006</t>
  </si>
  <si>
    <t>Additional Claim Expense Limit for Fiduciary Liability</t>
  </si>
  <si>
    <t>Deductible Code / Retention Amt</t>
  </si>
  <si>
    <t>2</t>
  </si>
  <si>
    <t>EML</t>
  </si>
  <si>
    <t>MSP</t>
  </si>
  <si>
    <t>081400</t>
  </si>
  <si>
    <t>Occurrence Limit Amount</t>
  </si>
  <si>
    <t>Area of Practice Percentage</t>
  </si>
  <si>
    <t>Policy Limits Crime</t>
  </si>
  <si>
    <t>MOC</t>
  </si>
  <si>
    <t>CCF</t>
  </si>
  <si>
    <t>CLC</t>
  </si>
  <si>
    <t>SEF</t>
  </si>
  <si>
    <t>EPC</t>
  </si>
  <si>
    <t>ETC</t>
  </si>
  <si>
    <t>OPR</t>
  </si>
  <si>
    <t>INT</t>
  </si>
  <si>
    <t>FRG</t>
  </si>
  <si>
    <t>ELC</t>
  </si>
  <si>
    <t>FRT</t>
  </si>
  <si>
    <t>Premises Coverage</t>
  </si>
  <si>
    <t>In Transit Coverage</t>
  </si>
  <si>
    <t>Forgery Coverage</t>
  </si>
  <si>
    <t>Computer Fraud Coverage</t>
  </si>
  <si>
    <t>Funds Transfer Fraud Coverage</t>
  </si>
  <si>
    <t>Money Orders and Counterfeit Currency Fraud Coverage</t>
  </si>
  <si>
    <t>Credit Card Fraud Coverage</t>
  </si>
  <si>
    <t>Client Coverage</t>
  </si>
  <si>
    <t>Social Engineering Fraud Coverage</t>
  </si>
  <si>
    <t>Expense Coverage</t>
  </si>
  <si>
    <t>Employee Theft Coverage</t>
  </si>
  <si>
    <t>CRC</t>
  </si>
  <si>
    <t>PCO</t>
  </si>
  <si>
    <t>ITC</t>
  </si>
  <si>
    <t>FTF</t>
  </si>
  <si>
    <t>ESC</t>
  </si>
  <si>
    <t>Form</t>
  </si>
  <si>
    <t>Territory Group Code</t>
  </si>
  <si>
    <t>ASA</t>
  </si>
  <si>
    <t>Retention Amount sub317</t>
  </si>
  <si>
    <t>&gt;50000000</t>
  </si>
  <si>
    <t>Underlying pol lmt</t>
  </si>
  <si>
    <t>Deductibles -subline 360</t>
  </si>
  <si>
    <t>13</t>
  </si>
  <si>
    <t>&gt;1000000</t>
  </si>
  <si>
    <t>92</t>
  </si>
  <si>
    <t>Policy Limits Code - sub 360</t>
  </si>
  <si>
    <t>24</t>
  </si>
  <si>
    <t>MPP Rating Mod</t>
  </si>
  <si>
    <t>Rate Group / Hazard Group Code</t>
  </si>
  <si>
    <t>Cyber RateGroup</t>
  </si>
  <si>
    <t>Ded - sub 965</t>
  </si>
  <si>
    <t>&gt;2000000</t>
  </si>
  <si>
    <t>003</t>
  </si>
  <si>
    <t>Subline 360</t>
  </si>
  <si>
    <t>67070</t>
  </si>
  <si>
    <t>For Employees, Customers and Vendors Verification Option Required for all transfer instructions</t>
  </si>
  <si>
    <t>For Employees, Customers and Vendors Verification Option Required for all transfer instructions in excess of an amount</t>
  </si>
  <si>
    <t>For Employees, Customers and Vendors Verification Option Transfer instructions are not required</t>
  </si>
  <si>
    <t>For Employees only Verification Option Required for all transfer instructions</t>
  </si>
  <si>
    <t>For Employees only Verification Option Required for all transfer instructions in excess of an amount</t>
  </si>
  <si>
    <t>For Employees only Verification Option Transfer instructions are not required</t>
  </si>
  <si>
    <t>For Customers and Vendors only Verification Option Required for all transfer instructions</t>
  </si>
  <si>
    <t>For Customers and Vendors only Verification Option Required for all transfer instructions in excess of an amount</t>
  </si>
  <si>
    <t>For Customers and Vendors only Verification Option Transfer instructions are not required</t>
  </si>
  <si>
    <t>Crime Rate group</t>
  </si>
  <si>
    <t>Total Employee #</t>
  </si>
  <si>
    <t># of Ratable Emp</t>
  </si>
  <si>
    <t>Media And Information Security Protection Policy</t>
  </si>
  <si>
    <t>Financial Institutions Information Security Protection Policy</t>
  </si>
  <si>
    <t>Information Security Protection Policy</t>
  </si>
  <si>
    <t>Limit Cod sub 325</t>
  </si>
  <si>
    <t>30</t>
  </si>
  <si>
    <t>Historical Incurred Loss</t>
  </si>
  <si>
    <t>Misc Incurred Loss Amount</t>
  </si>
  <si>
    <t>&gt;250000</t>
  </si>
  <si>
    <t>9</t>
  </si>
  <si>
    <t>3</t>
  </si>
  <si>
    <t>4</t>
  </si>
  <si>
    <t>5</t>
  </si>
  <si>
    <t>6</t>
  </si>
  <si>
    <t>7</t>
  </si>
  <si>
    <t>8</t>
  </si>
  <si>
    <t>A</t>
  </si>
  <si>
    <t>B</t>
  </si>
  <si>
    <t>D</t>
  </si>
  <si>
    <t>E</t>
  </si>
  <si>
    <t>H</t>
  </si>
  <si>
    <t>Not in Bus</t>
  </si>
  <si>
    <t>No loss</t>
  </si>
  <si>
    <t>Loss Amt</t>
  </si>
  <si>
    <t>Historical Incurred Loss Code</t>
  </si>
  <si>
    <t>Payment Plan</t>
  </si>
  <si>
    <t>Pre-paid Annual</t>
  </si>
  <si>
    <t>100% due within 45 days</t>
  </si>
  <si>
    <t>40% down, 2 equal payments</t>
  </si>
  <si>
    <t>25% down, 5 equal payments</t>
  </si>
  <si>
    <t>Direct Bill</t>
  </si>
  <si>
    <t>New or Renewal</t>
  </si>
  <si>
    <t>Insured Type</t>
  </si>
  <si>
    <t>WINS Code</t>
  </si>
  <si>
    <t>Individual</t>
  </si>
  <si>
    <t>Partnership</t>
  </si>
  <si>
    <t>Corporation</t>
  </si>
  <si>
    <t>Assoc, Lab Union, Religious Group</t>
  </si>
  <si>
    <t>Limited Partnership</t>
  </si>
  <si>
    <t>Joint Venture</t>
  </si>
  <si>
    <t>Common Ownership</t>
  </si>
  <si>
    <t>Multiple Status</t>
  </si>
  <si>
    <t>Joint Employers</t>
  </si>
  <si>
    <t>Limited Liability Company(LLC)</t>
  </si>
  <si>
    <t>Trust Or Estate</t>
  </si>
  <si>
    <t>Executor Or Trustee</t>
  </si>
  <si>
    <t>Limited Liability Partnership</t>
  </si>
  <si>
    <t>Government Entity</t>
  </si>
  <si>
    <t>Schools</t>
  </si>
  <si>
    <t>Transit Districts</t>
  </si>
  <si>
    <t>Private</t>
  </si>
  <si>
    <t>Non-Profit</t>
  </si>
  <si>
    <t>Public</t>
  </si>
  <si>
    <t>All Other</t>
  </si>
  <si>
    <t xml:space="preserve"> Code</t>
  </si>
  <si>
    <t xml:space="preserve">Annual                        </t>
  </si>
  <si>
    <t>Semi-Annual</t>
  </si>
  <si>
    <t xml:space="preserve">Quarterly                     </t>
  </si>
  <si>
    <t xml:space="preserve">Monthly                       </t>
  </si>
  <si>
    <t>USD</t>
  </si>
  <si>
    <t>CMP</t>
  </si>
  <si>
    <t>1- Policy Level  - Crime</t>
  </si>
  <si>
    <t>00TRV</t>
  </si>
  <si>
    <t>00SCH</t>
  </si>
  <si>
    <t>00NOP</t>
  </si>
  <si>
    <t>Nature of Operations</t>
  </si>
  <si>
    <t>00PWC</t>
  </si>
  <si>
    <t>Profile of Workplace</t>
  </si>
  <si>
    <t>00OCC</t>
  </si>
  <si>
    <t>Organizational Complexity</t>
  </si>
  <si>
    <t>00FLE</t>
  </si>
  <si>
    <t>Foreign Location Exposure</t>
  </si>
  <si>
    <t>00HVP</t>
  </si>
  <si>
    <t>High Value Processing Materials</t>
  </si>
  <si>
    <t>00AFC</t>
  </si>
  <si>
    <t>Audit Functions</t>
  </si>
  <si>
    <t>00ICC</t>
  </si>
  <si>
    <t>Internal Controls</t>
  </si>
  <si>
    <t>00PES</t>
  </si>
  <si>
    <t>Pre-Employment Screening</t>
  </si>
  <si>
    <t>00IMC</t>
  </si>
  <si>
    <t>Inventory Management</t>
  </si>
  <si>
    <t>00VMG</t>
  </si>
  <si>
    <t>Vendor Management Guidelines</t>
  </si>
  <si>
    <t xml:space="preserve">00YIB </t>
  </si>
  <si>
    <t>Number of Years in Business</t>
  </si>
  <si>
    <t>00MAA</t>
  </si>
  <si>
    <t>Merger and Acquisition Activity</t>
  </si>
  <si>
    <t>00ETF</t>
  </si>
  <si>
    <t>Endorsement Factor</t>
  </si>
  <si>
    <t>1- Policy Level- K&amp;R</t>
  </si>
  <si>
    <t>00NEM</t>
  </si>
  <si>
    <t>00RCT</t>
  </si>
  <si>
    <t>Riskiness of Countries Traveled to</t>
  </si>
  <si>
    <t>00FOT</t>
  </si>
  <si>
    <t>Frequency of Travel</t>
  </si>
  <si>
    <t>00SMK</t>
  </si>
  <si>
    <t>Security Measures</t>
  </si>
  <si>
    <t>00IGK</t>
  </si>
  <si>
    <t>Industry Group</t>
  </si>
  <si>
    <t>00TAP</t>
  </si>
  <si>
    <t>Travel Advisory Policies</t>
  </si>
  <si>
    <t>00PEK</t>
  </si>
  <si>
    <t>Product Exposure</t>
  </si>
  <si>
    <t>00SLC</t>
  </si>
  <si>
    <t>00NAT</t>
  </si>
  <si>
    <t>Nature and Amount of Third Party Personal Information</t>
  </si>
  <si>
    <t>00LOC</t>
  </si>
  <si>
    <t>Location/Jurisdiction Factor</t>
  </si>
  <si>
    <t>00FIR</t>
  </si>
  <si>
    <t>Format Incident Response Plan</t>
  </si>
  <si>
    <t>00FBC</t>
  </si>
  <si>
    <t>Formal Business Continuity &amp; Disaster Recovery Plans</t>
  </si>
  <si>
    <t>00SCI</t>
  </si>
  <si>
    <t>Sharing of Confidential Information</t>
  </si>
  <si>
    <t>00ASI</t>
  </si>
  <si>
    <t>Asset Inventory</t>
  </si>
  <si>
    <t>00SCO</t>
  </si>
  <si>
    <t>Security Configurations</t>
  </si>
  <si>
    <t>00VAR</t>
  </si>
  <si>
    <t>Vulnerability Assessment and Remediation</t>
  </si>
  <si>
    <t>00EMT</t>
  </si>
  <si>
    <t>Employee Training</t>
  </si>
  <si>
    <t>00ACC</t>
  </si>
  <si>
    <t>Access Control</t>
  </si>
  <si>
    <t>00UOE</t>
  </si>
  <si>
    <t>Use of Encryption</t>
  </si>
  <si>
    <t>00RCV</t>
  </si>
  <si>
    <t>Reliance on Critical Vendors or Service Providers</t>
  </si>
  <si>
    <t>00ONS</t>
  </si>
  <si>
    <t>Online Sales</t>
  </si>
  <si>
    <t>00CRM</t>
  </si>
  <si>
    <t>Contract based Risk Management Controls</t>
  </si>
  <si>
    <t>00MAD</t>
  </si>
  <si>
    <t>00ENF</t>
  </si>
  <si>
    <t>00SDL</t>
  </si>
  <si>
    <t>Shared Defense Limit Credit</t>
  </si>
  <si>
    <t>2- Coverage  Level - MPP   (For D&amp;O)</t>
  </si>
  <si>
    <t>00TAS</t>
  </si>
  <si>
    <t>00NOS</t>
  </si>
  <si>
    <t>Number of Subsidiaries</t>
  </si>
  <si>
    <t>Merger, Acquisition, or Divestiture Activity</t>
  </si>
  <si>
    <t>00MGO</t>
  </si>
  <si>
    <t>Management Ownership</t>
  </si>
  <si>
    <t>00SOF</t>
  </si>
  <si>
    <t>Securities Offering Activity</t>
  </si>
  <si>
    <t>00LIT</t>
  </si>
  <si>
    <t>Litigation History</t>
  </si>
  <si>
    <t>00STE</t>
  </si>
  <si>
    <t>Significant Transaction or Event</t>
  </si>
  <si>
    <t>00MES</t>
  </si>
  <si>
    <t>Management Stability</t>
  </si>
  <si>
    <t>00BSF</t>
  </si>
  <si>
    <t>Quality of Balance Sheet</t>
  </si>
  <si>
    <t>00ISF</t>
  </si>
  <si>
    <t>Quality of Income Statement</t>
  </si>
  <si>
    <t>00CFF</t>
  </si>
  <si>
    <t>Quality of Statement of Cash Flows</t>
  </si>
  <si>
    <t>00DTD</t>
  </si>
  <si>
    <t>Duty to Defend Selection Factor</t>
  </si>
  <si>
    <t>2- Coverage  Level - EML  - Employed Lawyers</t>
  </si>
  <si>
    <t>00AOP</t>
  </si>
  <si>
    <t>Area of Practice</t>
  </si>
  <si>
    <t>00PDE</t>
  </si>
  <si>
    <t>Public Debt Exposure</t>
  </si>
  <si>
    <t>00UEL</t>
  </si>
  <si>
    <t>Use of External Legal Resources</t>
  </si>
  <si>
    <t>00EEL</t>
  </si>
  <si>
    <t>Experience of Employed Lawyers</t>
  </si>
  <si>
    <t>00OLS</t>
  </si>
  <si>
    <t>Other Legal Services Performed</t>
  </si>
  <si>
    <t>00SCF</t>
  </si>
  <si>
    <t>Securities Coverage Factor</t>
  </si>
  <si>
    <t>2- Coverage  Level -  EPL (Employment Practice)</t>
  </si>
  <si>
    <t>00HCL</t>
  </si>
  <si>
    <t>Hazard County Locations</t>
  </si>
  <si>
    <t>Past or Contemplated Layoff or Closing Activity</t>
  </si>
  <si>
    <t>00ACE</t>
  </si>
  <si>
    <t>Annual Compensation of Employees</t>
  </si>
  <si>
    <t>00ETV</t>
  </si>
  <si>
    <t>Employee Turnover</t>
  </si>
  <si>
    <t xml:space="preserve">00STE </t>
  </si>
  <si>
    <t>00HRD</t>
  </si>
  <si>
    <t>Human Resources, Policies, and Procedures</t>
  </si>
  <si>
    <t>DOD</t>
  </si>
  <si>
    <t>00TPL</t>
  </si>
  <si>
    <t>Third Party Liability Coverage Deleted</t>
  </si>
  <si>
    <t>00TPE</t>
  </si>
  <si>
    <t>2- Coverage  Level - FDU (Fiduciary)</t>
  </si>
  <si>
    <t>00MTF</t>
  </si>
  <si>
    <t>Plan Termination, Merging, or Freezing Activity</t>
  </si>
  <si>
    <t>00TOP</t>
  </si>
  <si>
    <t>Plan Type</t>
  </si>
  <si>
    <t>00ESP</t>
  </si>
  <si>
    <t>Employee Stock Ownership Plan</t>
  </si>
  <si>
    <t>00FSD</t>
  </si>
  <si>
    <t>Funding Status of Defined Benefit Plans</t>
  </si>
  <si>
    <t>00PPO</t>
  </si>
  <si>
    <t>Plan Participants</t>
  </si>
  <si>
    <t>00QDP</t>
  </si>
  <si>
    <t>Quality and Diversity of Plan Investments</t>
  </si>
  <si>
    <t>2- Coverage  Level - MSP  - Misc Professional Liability</t>
  </si>
  <si>
    <t>Years in Business</t>
  </si>
  <si>
    <t>00COR</t>
  </si>
  <si>
    <t>Complexity of Risk</t>
  </si>
  <si>
    <t>00PEP</t>
  </si>
  <si>
    <t>Professional Experience</t>
  </si>
  <si>
    <t>00WCT</t>
  </si>
  <si>
    <t>Written Contracts</t>
  </si>
  <si>
    <t>00SPT</t>
  </si>
  <si>
    <t>Severity Potential</t>
  </si>
  <si>
    <t xml:space="preserve">00RMF </t>
  </si>
  <si>
    <t>Risk Management</t>
  </si>
  <si>
    <t>00PAF</t>
  </si>
  <si>
    <t>Prior Acts Coverage</t>
  </si>
  <si>
    <t>Territories of Operations</t>
  </si>
  <si>
    <t>00CIS</t>
  </si>
  <si>
    <t>Client Industries</t>
  </si>
  <si>
    <t>00DOD</t>
  </si>
  <si>
    <t>00MLC</t>
  </si>
  <si>
    <t>Media Liability Coveage Factor(Yes/No)</t>
  </si>
  <si>
    <t>2- Coverage  Level - EML Employed Lawyers</t>
  </si>
  <si>
    <t xml:space="preserve">1- Policy Level </t>
  </si>
  <si>
    <t>00IAR</t>
  </si>
  <si>
    <t>Extra Information</t>
  </si>
  <si>
    <t>Value</t>
  </si>
  <si>
    <t>1 - Policy Level</t>
  </si>
  <si>
    <t>00PFN</t>
  </si>
  <si>
    <t>Policy Form Name</t>
  </si>
  <si>
    <t>New - TBD</t>
  </si>
  <si>
    <t>00ROC</t>
  </si>
  <si>
    <t xml:space="preserve">Run Off Coverage Term -Dec Item 5.1 </t>
  </si>
  <si>
    <t>Enter Applicable term Item #5 (1)</t>
  </si>
  <si>
    <t>00ROT</t>
  </si>
  <si>
    <t xml:space="preserve">Run Off Coverage Term -Dec Item 5.2 </t>
  </si>
  <si>
    <t>Enter Applicable term Item #5 (2)</t>
  </si>
  <si>
    <t>00ROD</t>
  </si>
  <si>
    <t>Run Off Coverage Term -Dec Item 5.3</t>
  </si>
  <si>
    <t>Enter Applicable term Item #5 (3)</t>
  </si>
  <si>
    <t>00ROE</t>
  </si>
  <si>
    <t xml:space="preserve">Run Off Coverage Percent -Dec Item 5.1 </t>
  </si>
  <si>
    <t>Enter Applicable Percent Item #5 (1)</t>
  </si>
  <si>
    <t>00ROM</t>
  </si>
  <si>
    <t xml:space="preserve">Run Off Coverage Percent  -Dec Item 5.2 </t>
  </si>
  <si>
    <t>Enter Applicable Percent Item #5 (2)</t>
  </si>
  <si>
    <t>00ROI</t>
  </si>
  <si>
    <t>Run Off Coverage Percent  -Dec Item 5.3</t>
  </si>
  <si>
    <t>Enter Applicable Percent Item #5 (3)</t>
  </si>
  <si>
    <t>00ERY</t>
  </si>
  <si>
    <t xml:space="preserve">ERP- No. Of Years </t>
  </si>
  <si>
    <t>Enter Applicable Number of Years -on Item #4 (B)</t>
  </si>
  <si>
    <t>ERP - Premium Percent</t>
  </si>
  <si>
    <t>Enter Applicable % on Item #4 (A)</t>
  </si>
  <si>
    <t>00POP</t>
  </si>
  <si>
    <t>Portfolio Program</t>
  </si>
  <si>
    <t>Enter YES or NO</t>
  </si>
  <si>
    <t>00CDC</t>
  </si>
  <si>
    <t>Contuinity Date - CYBER</t>
  </si>
  <si>
    <t>Applicable Date</t>
  </si>
  <si>
    <t xml:space="preserve">Cyber Rating Modifier code </t>
  </si>
  <si>
    <t>1 - Policy Level (CYBER First Party )</t>
  </si>
  <si>
    <t>00BIL</t>
  </si>
  <si>
    <t>Waiting Period- Business Interruption Loss</t>
  </si>
  <si>
    <t>Applicable number of hours</t>
  </si>
  <si>
    <t>00CBL</t>
  </si>
  <si>
    <t>Waiting Period- Contingent Business Interruption Loss</t>
  </si>
  <si>
    <t>1 - Policy Level (K&amp;Ransom)</t>
  </si>
  <si>
    <t>00KEC</t>
  </si>
  <si>
    <t>K&amp;R Excluded Countries</t>
  </si>
  <si>
    <t>Applicable Excluded Country Code</t>
  </si>
  <si>
    <t>00TSE</t>
  </si>
  <si>
    <t>Travel Security Evacuation Excluded Countries</t>
  </si>
  <si>
    <t>00ESE</t>
  </si>
  <si>
    <t>Expatriate Security Evacuation Excluded Countries</t>
  </si>
  <si>
    <t>00BII</t>
  </si>
  <si>
    <t>Business Interruption Indemnity Period</t>
  </si>
  <si>
    <t>Applicable number  of Days</t>
  </si>
  <si>
    <t>00BIW</t>
  </si>
  <si>
    <t>Business Interruption Waiting Period</t>
  </si>
  <si>
    <t>00DBA</t>
  </si>
  <si>
    <t xml:space="preserve"> Death Benefit Amount </t>
  </si>
  <si>
    <t>Applicable  %</t>
  </si>
  <si>
    <t>00LLB</t>
  </si>
  <si>
    <t xml:space="preserve"> Loss of Limb Benefit Amount </t>
  </si>
  <si>
    <t>00LSB</t>
  </si>
  <si>
    <t xml:space="preserve">Loss of Sight Benefit Amount </t>
  </si>
  <si>
    <t>00LBA</t>
  </si>
  <si>
    <t xml:space="preserve">Loss of Speech Benefit Amount </t>
  </si>
  <si>
    <t>00PTD</t>
  </si>
  <si>
    <t xml:space="preserve">Permanent Total Disability Benefit Amount </t>
  </si>
  <si>
    <t>00MBA</t>
  </si>
  <si>
    <t xml:space="preserve">Mutilation Benefit Amount </t>
  </si>
  <si>
    <t>00TRE</t>
  </si>
  <si>
    <t>Threat Response Expenses Indemnity Period</t>
  </si>
  <si>
    <t>00DIE</t>
  </si>
  <si>
    <t>Disappearance and Investigation Expenses Indemnity Period</t>
  </si>
  <si>
    <t>00DIW</t>
  </si>
  <si>
    <t>Disappearance and Investigation Expenses Waiting Period</t>
  </si>
  <si>
    <t>2- Coverage Level (D&amp;O Coverage Part)</t>
  </si>
  <si>
    <t>00DEF</t>
  </si>
  <si>
    <t>2- Coverage Level (EPL Coverage Part)</t>
  </si>
  <si>
    <t>2- Coverage Level (Fiduciary Coverage Part)</t>
  </si>
  <si>
    <t>2- Coverage Level (Employed Lawyers Coverage Part)</t>
  </si>
  <si>
    <t>2- Coverage Level (Misc.  Prof Liability Coverage Part)</t>
  </si>
  <si>
    <t>00SCL</t>
  </si>
  <si>
    <t>Shared Coverage Limit</t>
  </si>
  <si>
    <t>2- Coverage Level (Cyber Liability 3rd Party Coverage Part)</t>
  </si>
  <si>
    <t>2- Coverage Level (Cyber Liability 1st Party Coverage Part)</t>
  </si>
  <si>
    <t>00SSD</t>
  </si>
  <si>
    <t>Shared Separate Defense Cost Limit</t>
  </si>
  <si>
    <t>LAWYERS-AOP% FOR RPTG TO ISO</t>
  </si>
  <si>
    <t>PrivateCo/Cyber Coding Sheet</t>
  </si>
  <si>
    <t>Everest</t>
  </si>
  <si>
    <t>Department</t>
  </si>
  <si>
    <t>ERP</t>
  </si>
  <si>
    <t>&amp;9H</t>
  </si>
  <si>
    <t>ETD</t>
  </si>
  <si>
    <t>NAICS_2012_CODE</t>
  </si>
  <si>
    <t>NAICS_DESC</t>
  </si>
  <si>
    <t>SIC_1987_CODE</t>
  </si>
  <si>
    <t>SIC_DESC</t>
  </si>
  <si>
    <t>Oil and Gas Extraction</t>
  </si>
  <si>
    <t>Crude Petroleum and Natural Gas Extraction</t>
  </si>
  <si>
    <t>Natural Gas Liquid Extraction</t>
  </si>
  <si>
    <t>Lead Ore and Zinc Ore Mining</t>
  </si>
  <si>
    <t>Copper Ore and Nickel Ore Mining</t>
  </si>
  <si>
    <r>
      <t xml:space="preserve">Other Electric Power Generation - </t>
    </r>
    <r>
      <rPr>
        <i/>
        <sz val="10"/>
        <rFont val="Arial"/>
        <family val="2"/>
      </rPr>
      <t>solar electric power generation</t>
    </r>
  </si>
  <si>
    <r>
      <t xml:space="preserve">Other Electric Power Generation - </t>
    </r>
    <r>
      <rPr>
        <i/>
        <sz val="10"/>
        <rFont val="Arial"/>
        <family val="2"/>
      </rPr>
      <t>wind</t>
    </r>
    <r>
      <rPr>
        <sz val="10"/>
        <rFont val="Arial"/>
        <family val="2"/>
      </rPr>
      <t xml:space="preserve"> electric power generation</t>
    </r>
  </si>
  <si>
    <r>
      <t xml:space="preserve">Other Electric Power Generation - </t>
    </r>
    <r>
      <rPr>
        <i/>
        <sz val="10"/>
        <rFont val="Arial"/>
        <family val="2"/>
      </rPr>
      <t>geothermal electric power generation</t>
    </r>
  </si>
  <si>
    <r>
      <t xml:space="preserve">Other Electric Power Generation - </t>
    </r>
    <r>
      <rPr>
        <i/>
        <sz val="10"/>
        <rFont val="Arial"/>
        <family val="2"/>
      </rPr>
      <t>biomass electric power generation</t>
    </r>
  </si>
  <si>
    <r>
      <t xml:space="preserve">Other Electric Power Generation - </t>
    </r>
    <r>
      <rPr>
        <i/>
        <sz val="10"/>
        <rFont val="Arial"/>
        <family val="2"/>
      </rPr>
      <t>except solar, wind, geothermal, and biomass electric power generation</t>
    </r>
  </si>
  <si>
    <t>Residential Building Construction</t>
  </si>
  <si>
    <t>Nonresidential Building Construction</t>
  </si>
  <si>
    <t>Animal Food Manufacturing</t>
  </si>
  <si>
    <t>Soybean Processing</t>
  </si>
  <si>
    <t>Other Oilseed Processing</t>
  </si>
  <si>
    <t>Sugarcane Mills</t>
  </si>
  <si>
    <t>Seafood Canning</t>
  </si>
  <si>
    <t>Fresh and Frozen Seafood Processing</t>
  </si>
  <si>
    <t>Flour Mixes and Dough Manufacturing from Purchased Flour</t>
  </si>
  <si>
    <t>Dry Pasta Manufacturing</t>
  </si>
  <si>
    <t>Cigarette Manufacturing</t>
  </si>
  <si>
    <t>Other Tobacco Product Manufacturing</t>
  </si>
  <si>
    <t>Yarn Texturizing, Throwing, and Twisting Mills</t>
  </si>
  <si>
    <t>Schiffli Machine Embroidery</t>
  </si>
  <si>
    <t>Other Knit Fabric and Lace Mills</t>
  </si>
  <si>
    <t>Broadwoven Fabric Finishing Mills</t>
  </si>
  <si>
    <t>Textile and Fabric Finishing (except Broadwoven Fabric) Mills</t>
  </si>
  <si>
    <t>Curtains and draperies, window, made from purchased fabrics</t>
  </si>
  <si>
    <t>Other Household Textile Product Mills</t>
  </si>
  <si>
    <t>Textile Bag Mills</t>
  </si>
  <si>
    <t>Canvas and Related Product Mills</t>
  </si>
  <si>
    <t>All Other Textile Product Mills</t>
  </si>
  <si>
    <t>Tire Cord and Tire Fabric Mills</t>
  </si>
  <si>
    <t>Apparel Manufacturing</t>
  </si>
  <si>
    <t>Sheer Hosiery Mills</t>
  </si>
  <si>
    <t>Other Hosiery and Sock Mills</t>
  </si>
  <si>
    <t>Underwear and Nightwear Knitting Mills</t>
  </si>
  <si>
    <t>Men's and Boys' Cut and Sew Apparel Contractors</t>
  </si>
  <si>
    <t>Women's, Girls', and Infants' Cut and Sew Apparel Contractors</t>
  </si>
  <si>
    <t>Men's and Boys' Cut and Sew Underwear and Nightwear Manufacturing</t>
  </si>
  <si>
    <t>Men's and Boys' Cut and Sew Suit, Coat, and Overcoat Manufacturing</t>
  </si>
  <si>
    <t>Men's and Boys' Cut and Sew Shirt (except Work Shirt) Manufacturing</t>
  </si>
  <si>
    <t>Trousers, men's and boys', cut and sewn from purchased fabric (except apparel contractors)</t>
  </si>
  <si>
    <t>Men's and Boys' Cut and Sew Work Clothing Manufacturing</t>
  </si>
  <si>
    <t>Men's and Boys' Cut and Sew Other Outerwear Manufacturing</t>
  </si>
  <si>
    <t>Women's and Girls' Cut and Sew Lingerie, Loungewear, and Nightwear Manufacturing</t>
  </si>
  <si>
    <t>Women's and Girls' Cut and Sew Blouse and Shirt Manufacturing</t>
  </si>
  <si>
    <t>Women's and Girls' Cut and Sew Dress Manufacturing</t>
  </si>
  <si>
    <t>Women's and Girls' Cut and Sew Suit, Coat, Tailored Jacket, and Skirt Manufacturing</t>
  </si>
  <si>
    <t>Cut and Sew Apparel Manufacturing</t>
  </si>
  <si>
    <t> Other Cut and Sew Apparel Manufacturing</t>
  </si>
  <si>
    <t>Fur and Leather Apparel Manufacturing</t>
  </si>
  <si>
    <t>All Other Cut and Sew Apparel Manufacturing</t>
  </si>
  <si>
    <t>Hat, Cap, and Millinery Manufacturing</t>
  </si>
  <si>
    <t>Glove and Mitten Manufacturing</t>
  </si>
  <si>
    <t>Men's and Boys' Neckwear Manufacturing</t>
  </si>
  <si>
    <t>Other Apparel Accessories and Other Apparel Manufacturing</t>
  </si>
  <si>
    <t>Rubber and Plastics Footwear Manufacturing</t>
  </si>
  <si>
    <t>House Slipper Manufacturing</t>
  </si>
  <si>
    <t>Men's Footwear (except Athletic) Manufacturing</t>
  </si>
  <si>
    <t>Women's Footwear (except Athletic) Manufacturing</t>
  </si>
  <si>
    <t>Other Footwear Manufacturing</t>
  </si>
  <si>
    <t>Luggage Manufacturing</t>
  </si>
  <si>
    <t>Personal Leather Good (except Women's Handbag and Purse) Manufacturing</t>
  </si>
  <si>
    <t>Other Wood Product Manufacturing</t>
  </si>
  <si>
    <t>Setup Paperboard Box Manufacturing</t>
  </si>
  <si>
    <t>Fiber Can, Tube, Drum, and Similar Products Manufacturing</t>
  </si>
  <si>
    <t>Nonfolding Sanitary Food Container Manufacturing</t>
  </si>
  <si>
    <t>Coated and Laminated Paper Manufacturing</t>
  </si>
  <si>
    <t>Coated Paper Bag and Pouch Manufacturing</t>
  </si>
  <si>
    <t>Uncoated Paper and Multiwall Bag Manufacturing</t>
  </si>
  <si>
    <t>Laminated Aluminum Foil Manufacturing for Flexible Packaging Uses</t>
  </si>
  <si>
    <t>Surface-Coated Paperboard Manufacturing</t>
  </si>
  <si>
    <t>Die-Cut Paper and Paperboard Office Supplies Manufacturing</t>
  </si>
  <si>
    <t>Envelope Manufacturing</t>
  </si>
  <si>
    <t>Stationery, Tablet, and Related Product Manufacturing</t>
  </si>
  <si>
    <t>Commercial Lithographic Printing</t>
  </si>
  <si>
    <t>Commercial Flexographic Printing</t>
  </si>
  <si>
    <t>Quick Printing</t>
  </si>
  <si>
    <t>Digital Printing</t>
  </si>
  <si>
    <t>Manifold Business Forms Printing</t>
  </si>
  <si>
    <t>Blankbook, Looseleaf Binders, and Devices Manufacturing</t>
  </si>
  <si>
    <t>Other Commercial Printing</t>
  </si>
  <si>
    <t>Tradebinding and Related Work</t>
  </si>
  <si>
    <t>Prepress Services</t>
  </si>
  <si>
    <t>Inorganic Dye and Pigment Manufacturing</t>
  </si>
  <si>
    <t>Synthetic Organic Dye and Pigment Manufacturing</t>
  </si>
  <si>
    <t>Alkalies and Chlorine Manufacturing</t>
  </si>
  <si>
    <t>All Other Basic Inorganic Chemical Manufacturing</t>
  </si>
  <si>
    <t>Gum and Wood Chemical Manufacturing</t>
  </si>
  <si>
    <t>Cyclic Crude and Intermediate Manufacturing</t>
  </si>
  <si>
    <t>Cellulosic Organic Fiber Manufacturing</t>
  </si>
  <si>
    <t>Noncellulosic Organic Fiber Manufacturing</t>
  </si>
  <si>
    <t>Paint, Coating, and Adhesive Manufacturing</t>
  </si>
  <si>
    <t>Resilient Floor Covering Manufacturing</t>
  </si>
  <si>
    <t>Vitreous China Plumbing Fixture and China and Earthenware Bathroom Accessories Manufacturing</t>
  </si>
  <si>
    <t>Vitreous China, Fine Earthenware, and Other Pottery Product Manufacturing</t>
  </si>
  <si>
    <t>Porcelain Electrical Supply Manufacturing</t>
  </si>
  <si>
    <t>Brick and Structural Clay Tile Manufacturing</t>
  </si>
  <si>
    <t>Ceramic Wall and Floor Tile Manufacturing</t>
  </si>
  <si>
    <t>Other Structural Clay Product Manufacturing</t>
  </si>
  <si>
    <t>Clay Refractory Manufacturing</t>
  </si>
  <si>
    <t>Nonclay Refractory Manufacturing</t>
  </si>
  <si>
    <t>Iron and Steel Mills</t>
  </si>
  <si>
    <t>Electrometallurgical Ferroalloy Product Manufacturing</t>
  </si>
  <si>
    <t>Alumina Refining</t>
  </si>
  <si>
    <t>Primary Aluminum Production</t>
  </si>
  <si>
    <t>Aluminum Extruded Product Manufacturing</t>
  </si>
  <si>
    <t>Other Aluminum Rolling and Drawing</t>
  </si>
  <si>
    <t>Primary Smelting and Refining of Copper</t>
  </si>
  <si>
    <t>Primary Smelting and Refining of Nonferrous Metal (except Copper and Aluminum)</t>
  </si>
  <si>
    <t>Copper Rolling, Drawing, and Extruding</t>
  </si>
  <si>
    <t>Secondary Smelting, Refining, and Alloying of Copper</t>
  </si>
  <si>
    <t>Aluminum Die-Casting Foundries</t>
  </si>
  <si>
    <t>Nonferrous (except Aluminum) Die-Casting Foundries</t>
  </si>
  <si>
    <t>Forging and Stamping</t>
  </si>
  <si>
    <t>Crown and Closure Manufacturing</t>
  </si>
  <si>
    <t>Metal Stamping</t>
  </si>
  <si>
    <t>Hand and Edge Tool Manufacturing</t>
  </si>
  <si>
    <t>Saw Blade and Handsaw Manufacturing</t>
  </si>
  <si>
    <t>Kitchen Utensil, Pot, and Pan Manufacturing</t>
  </si>
  <si>
    <t>Spring (Heavy Gauge) Manufacturing</t>
  </si>
  <si>
    <t>Spring (Light Gauge) Manufacturing</t>
  </si>
  <si>
    <t>Other Ordnance and Accessories Manufacturing</t>
  </si>
  <si>
    <t>Industrial Pattern Manufacturing</t>
  </si>
  <si>
    <t>Enameled Iron and Metal Sanitary Ware Manufacturing</t>
  </si>
  <si>
    <t>Sawmill and Woodworking Machinery Manufacturing</t>
  </si>
  <si>
    <t>Plastics and Rubber Industry Machinery Manufacturing</t>
  </si>
  <si>
    <t>Paper Industry Machinery Manufacturing</t>
  </si>
  <si>
    <t>Textile Machinery Manufacturing</t>
  </si>
  <si>
    <t>All Other Industrial Machinery Manufacturing</t>
  </si>
  <si>
    <t>Automatic Vending Machine Manufacturing</t>
  </si>
  <si>
    <t>Commercial Laundry, Drycleaning, and Pressing Machine Manufacturing</t>
  </si>
  <si>
    <t>Office Machinery Manufacturing</t>
  </si>
  <si>
    <t>Air Purification Equipment Manufacturing</t>
  </si>
  <si>
    <t>Industrial and Commercial Fan and Blower Manufacturing</t>
  </si>
  <si>
    <t>Machine Tool (Metal Cutting Types) Manufacturing</t>
  </si>
  <si>
    <t>Machine Tool (Metal Forming Types) Manufacturing</t>
  </si>
  <si>
    <t>Rolling Mill Machinery and Equipment Manufacturing</t>
  </si>
  <si>
    <t>Other Metalworking Machinery Manufacturing</t>
  </si>
  <si>
    <t>Pump and Pumping Equipment Manufacturing</t>
  </si>
  <si>
    <t>Measuring and Dispensing Pump Manufacturing</t>
  </si>
  <si>
    <r>
      <t xml:space="preserve">Other Computer Peripheral Equipment Manufacturing - </t>
    </r>
    <r>
      <rPr>
        <i/>
        <sz val="10"/>
        <rFont val="Arial"/>
        <family val="2"/>
      </rPr>
      <t>digital camera manufacturing</t>
    </r>
  </si>
  <si>
    <r>
      <t xml:space="preserve">Other Computer Peripheral Equipment Manufacturing - </t>
    </r>
    <r>
      <rPr>
        <i/>
        <sz val="10"/>
        <rFont val="Arial"/>
        <family val="2"/>
      </rPr>
      <t>except digital camera manufacturing</t>
    </r>
  </si>
  <si>
    <t>Electron Tube Manufacturing</t>
  </si>
  <si>
    <t>Electronic Capacitor Manufacturing</t>
  </si>
  <si>
    <t>Electronic Resistor Manufacturing</t>
  </si>
  <si>
    <t>Watch, Clock, and Part Manufacturing</t>
  </si>
  <si>
    <t>Software Reproducing</t>
  </si>
  <si>
    <t>Prerecorded Compact Disc (except Software), Tape, and Record Reproducing</t>
  </si>
  <si>
    <t>Electric Housewares and Household Fan Manufacturing</t>
  </si>
  <si>
    <t>Household Vacuum Cleaner Manufacturing</t>
  </si>
  <si>
    <t>Household Cooking Appliance Manufacturing</t>
  </si>
  <si>
    <t>Household Refrigerator and Home Freezer Manufacturing</t>
  </si>
  <si>
    <t>Household Laundry Equipment Manufacturing</t>
  </si>
  <si>
    <t>Other Major Household Appliance Manufacturing</t>
  </si>
  <si>
    <t>Vehicular Lighting Equipment Manufacturing</t>
  </si>
  <si>
    <t>Other Motor Vehicle Electrical and Electronic Equipment Manufacturing</t>
  </si>
  <si>
    <t>Motor Vehicle Air-Conditioning Manufacturing</t>
  </si>
  <si>
    <t>All Other Motor Vehicle Parts Manufacturing</t>
  </si>
  <si>
    <t>Wood Television, Radio, and Sewing Machine Cabinet Manufacturing</t>
  </si>
  <si>
    <t>Other Miscellaneous Manufacturing</t>
  </si>
  <si>
    <t>Jewelry (except Costume) Manufacturing</t>
  </si>
  <si>
    <t>Silverware and Hollowware Manufacturing</t>
  </si>
  <si>
    <t>Jewelers' Material and Lapidary Work Manufacturing</t>
  </si>
  <si>
    <t>Costume Jewelry and Novelty Manufacturing</t>
  </si>
  <si>
    <t>Doll and Stuffed Toy Manufacturing</t>
  </si>
  <si>
    <t>Game, Toy, and Children's Vehicle Manufacturing</t>
  </si>
  <si>
    <t>Pen and Mechanical Pencil Manufacturing</t>
  </si>
  <si>
    <t>Lead Pencil and Art Good Manufacturing</t>
  </si>
  <si>
    <t>Marking Device Manufacturing</t>
  </si>
  <si>
    <t>Carbon Paper and Inked Ribbon Manufacturing</t>
  </si>
  <si>
    <t>Petroleum and Petroleum Products Merchant Wholesalers</t>
  </si>
  <si>
    <t>Motorcycle, ATV, and Personal Watercraft Dealers</t>
  </si>
  <si>
    <t>Radio, Television, and Other Electronics Stores</t>
  </si>
  <si>
    <t>Electronics and Appliance Stores</t>
  </si>
  <si>
    <t>Book Stores and News Dealers</t>
  </si>
  <si>
    <t>Department Stores (except Discount Department Stores)</t>
  </si>
  <si>
    <t>Discount Department Stores – insignificant perishable grocery sales</t>
  </si>
  <si>
    <t>Discount Department Stores – significant perishable grocery sales</t>
  </si>
  <si>
    <t>Discount Department Stores</t>
  </si>
  <si>
    <t>All Other Miscellaneous Store Retailers</t>
  </si>
  <si>
    <t>Electronic Shopping</t>
  </si>
  <si>
    <t>Electronic Auctions</t>
  </si>
  <si>
    <t>Mail-Order Houses</t>
  </si>
  <si>
    <t>Heating Oil Dealers</t>
  </si>
  <si>
    <t>Liquefied Petroleum Gas (Bottled Gas) Dealers</t>
  </si>
  <si>
    <t>Other Fuel Dealers</t>
  </si>
  <si>
    <t>Rail Transportation</t>
  </si>
  <si>
    <t>Inland Water Transportation</t>
  </si>
  <si>
    <t>General Freight Trucking, Long-Distance</t>
  </si>
  <si>
    <t>Record Production</t>
  </si>
  <si>
    <t>Integrated Record Production/Distribution</t>
  </si>
  <si>
    <t>Telecommunications</t>
  </si>
  <si>
    <t>Securities and Commodity Contracts Intermediation and Brokerage</t>
  </si>
  <si>
    <t>Insurance Carriers and Related Activities</t>
  </si>
  <si>
    <t>Consumer Goods Rental</t>
  </si>
  <si>
    <t>Research and Development in the Physical, Engineering, and Life Sciences</t>
  </si>
  <si>
    <t>Research and Development in Biotechnology – nanobiotechnologies research and experimental development laboratories</t>
  </si>
  <si>
    <t>Research and Development in Biotechnology – except nanobiotechnologies research and experimental development laboratories</t>
  </si>
  <si>
    <t>Research and Development in Biotechnology</t>
  </si>
  <si>
    <t>Research and Development in the Physical, Engineering, and Life Sciences (except Biotechnology) – nanotechnology research and experimental development laboratories</t>
  </si>
  <si>
    <t>Research and Development in the Physical, Engineering, and Life Sciences (except Biotechnology) – except nanotechnology research and experimental development laboratories</t>
  </si>
  <si>
    <t>Research and Development in the Physical, Engineering, and Life Sciences (except Biotechnology)</t>
  </si>
  <si>
    <t>Management of Companies and Enterprises</t>
  </si>
  <si>
    <t>Administrative and Support Services</t>
  </si>
  <si>
    <t>Employment Placement Agencies and Executive Search Services</t>
  </si>
  <si>
    <t>Waste Management and Remediation Services</t>
  </si>
  <si>
    <t>Performing Arts Companies</t>
  </si>
  <si>
    <t>Museums, Historical Sites, and Similar Institutions</t>
  </si>
  <si>
    <t>ELL</t>
  </si>
  <si>
    <t>MPA</t>
  </si>
  <si>
    <t>Policy Limits Misc Professional Liability</t>
  </si>
  <si>
    <t>Policy Level</t>
  </si>
  <si>
    <t>31</t>
  </si>
  <si>
    <t>37</t>
  </si>
  <si>
    <t>42</t>
  </si>
  <si>
    <t>Pgm Rating Mod</t>
  </si>
  <si>
    <t>0008</t>
  </si>
  <si>
    <t>TSI</t>
  </si>
  <si>
    <t>Retention Amount (Deductible code)</t>
  </si>
  <si>
    <t>Version</t>
  </si>
  <si>
    <t>Date</t>
  </si>
  <si>
    <t>Wins Sic corrected.</t>
  </si>
  <si>
    <t>SDF</t>
  </si>
  <si>
    <t>AEP</t>
  </si>
  <si>
    <t xml:space="preserve"> Pvt Co Expedition Mgt Liab</t>
  </si>
  <si>
    <r>
      <rPr>
        <b/>
        <sz val="10"/>
        <color theme="1"/>
        <rFont val="Calibri"/>
        <family val="2"/>
        <scheme val="minor"/>
      </rPr>
      <t>PROD:</t>
    </r>
    <r>
      <rPr>
        <sz val="10"/>
        <color theme="1"/>
        <rFont val="Calibri"/>
        <family val="2"/>
        <scheme val="minor"/>
      </rPr>
      <t xml:space="preserve"> DOP</t>
    </r>
  </si>
  <si>
    <r>
      <rPr>
        <b/>
        <sz val="10"/>
        <color theme="1"/>
        <rFont val="Calibri"/>
        <family val="2"/>
        <scheme val="minor"/>
      </rPr>
      <t>PROD:</t>
    </r>
    <r>
      <rPr>
        <sz val="10"/>
        <color theme="1"/>
        <rFont val="Calibri"/>
        <family val="2"/>
        <scheme val="minor"/>
      </rPr>
      <t xml:space="preserve"> Crime</t>
    </r>
  </si>
  <si>
    <r>
      <rPr>
        <b/>
        <sz val="10"/>
        <color theme="1"/>
        <rFont val="Calibri"/>
        <family val="2"/>
        <scheme val="minor"/>
      </rPr>
      <t>PROD:</t>
    </r>
    <r>
      <rPr>
        <sz val="10"/>
        <color theme="1"/>
        <rFont val="Calibri"/>
        <family val="2"/>
        <scheme val="minor"/>
      </rPr>
      <t xml:space="preserve"> SGL</t>
    </r>
  </si>
  <si>
    <r>
      <rPr>
        <b/>
        <sz val="10"/>
        <color theme="1"/>
        <rFont val="Calibri"/>
        <family val="2"/>
        <scheme val="minor"/>
      </rPr>
      <t>PROD:</t>
    </r>
    <r>
      <rPr>
        <sz val="10"/>
        <color theme="1"/>
        <rFont val="Calibri"/>
        <family val="2"/>
        <scheme val="minor"/>
      </rPr>
      <t xml:space="preserve"> EPL</t>
    </r>
  </si>
  <si>
    <r>
      <rPr>
        <b/>
        <sz val="10"/>
        <color theme="1"/>
        <rFont val="Calibri"/>
        <family val="2"/>
        <scheme val="minor"/>
      </rPr>
      <t>PROD:</t>
    </r>
    <r>
      <rPr>
        <sz val="10"/>
        <color theme="1"/>
        <rFont val="Calibri"/>
        <family val="2"/>
        <scheme val="minor"/>
      </rPr>
      <t xml:space="preserve"> EOP</t>
    </r>
  </si>
  <si>
    <t>005419</t>
  </si>
  <si>
    <t>005499</t>
  </si>
  <si>
    <t>054990</t>
  </si>
  <si>
    <t>081738</t>
  </si>
  <si>
    <r>
      <t xml:space="preserve">Rating/Premium State: </t>
    </r>
    <r>
      <rPr>
        <sz val="10"/>
        <color theme="1"/>
        <rFont val="Calibri"/>
        <family val="2"/>
        <scheme val="minor"/>
      </rPr>
      <t>P</t>
    </r>
  </si>
  <si>
    <t>Policy Limits Cyber 3rd Party</t>
  </si>
  <si>
    <t>REP</t>
  </si>
  <si>
    <t>MEL</t>
  </si>
  <si>
    <t>PRC</t>
  </si>
  <si>
    <t>WRC</t>
  </si>
  <si>
    <t>Regulatory Penalties</t>
  </si>
  <si>
    <t>PCI Assessments</t>
  </si>
  <si>
    <t>Technology Errors and Omissions</t>
  </si>
  <si>
    <t>Separte Defense Cost Limit</t>
  </si>
  <si>
    <r>
      <t xml:space="preserve">Cov Form: </t>
    </r>
    <r>
      <rPr>
        <sz val="10"/>
        <color theme="1"/>
        <rFont val="Calibri"/>
        <family val="2"/>
        <scheme val="minor"/>
      </rPr>
      <t>CRM</t>
    </r>
  </si>
  <si>
    <r>
      <t xml:space="preserve">Cov Form: </t>
    </r>
    <r>
      <rPr>
        <sz val="10"/>
        <color theme="1"/>
        <rFont val="Calibri"/>
        <family val="2"/>
        <scheme val="minor"/>
      </rPr>
      <t>KNR</t>
    </r>
  </si>
  <si>
    <r>
      <t xml:space="preserve">Cov Form: </t>
    </r>
    <r>
      <rPr>
        <sz val="10"/>
        <color theme="1"/>
        <rFont val="Calibri"/>
        <family val="2"/>
        <scheme val="minor"/>
      </rPr>
      <t>CYB</t>
    </r>
  </si>
  <si>
    <t>Company</t>
  </si>
  <si>
    <t>EVEREST INDEMNITY</t>
  </si>
  <si>
    <t>EVEREST NATIONAL INS CO</t>
  </si>
  <si>
    <t>KY County Name</t>
  </si>
  <si>
    <t>KY County Tax</t>
  </si>
  <si>
    <t>KY Muni Name</t>
  </si>
  <si>
    <t>KY Muni Tax</t>
  </si>
  <si>
    <t>Adairville</t>
  </si>
  <si>
    <t>Albany</t>
  </si>
  <si>
    <t>Alexandria</t>
  </si>
  <si>
    <t>Allen</t>
  </si>
  <si>
    <t>Anchorage</t>
  </si>
  <si>
    <t>Arlington</t>
  </si>
  <si>
    <t>Ashland</t>
  </si>
  <si>
    <t>Audubon Park</t>
  </si>
  <si>
    <t>Auburn</t>
  </si>
  <si>
    <t>Augusta</t>
  </si>
  <si>
    <t>Bancroft</t>
  </si>
  <si>
    <t>Barbourmeade</t>
  </si>
  <si>
    <t>Barbourville</t>
  </si>
  <si>
    <t>Bardwell</t>
  </si>
  <si>
    <t>Barlow</t>
  </si>
  <si>
    <t>Beattyville</t>
  </si>
  <si>
    <t>Beaver Dam</t>
  </si>
  <si>
    <t>Bedford</t>
  </si>
  <si>
    <t>Beechwood Village</t>
  </si>
  <si>
    <t>Bellemeade</t>
  </si>
  <si>
    <t>Bellevue</t>
  </si>
  <si>
    <t>Bellewood</t>
  </si>
  <si>
    <t>Benton</t>
  </si>
  <si>
    <t>Berea</t>
  </si>
  <si>
    <t>Berry</t>
  </si>
  <si>
    <t>Blue Ridge Manor</t>
  </si>
  <si>
    <t>Bowling Green</t>
  </si>
  <si>
    <t>Bradfordsville</t>
  </si>
  <si>
    <t>Brandenburg</t>
  </si>
  <si>
    <t>Briarwood</t>
  </si>
  <si>
    <t>Brodhead</t>
  </si>
  <si>
    <t>Broeck Pointe</t>
  </si>
  <si>
    <t>Bromley</t>
  </si>
  <si>
    <t>Brooksville</t>
  </si>
  <si>
    <t>Brownsboro Farm</t>
  </si>
  <si>
    <t>Brownsboro Village</t>
  </si>
  <si>
    <t>Brownsville</t>
  </si>
  <si>
    <t>Burgin</t>
  </si>
  <si>
    <t>Burkesville</t>
  </si>
  <si>
    <t>Burnside</t>
  </si>
  <si>
    <t>Butler</t>
  </si>
  <si>
    <t>Cadiz</t>
  </si>
  <si>
    <t>Calhoun</t>
  </si>
  <si>
    <t>Calvert City</t>
  </si>
  <si>
    <t>Cambridge</t>
  </si>
  <si>
    <t>Campbellsburg</t>
  </si>
  <si>
    <t>Campbellsville</t>
  </si>
  <si>
    <t>Campton</t>
  </si>
  <si>
    <t>Caneyville</t>
  </si>
  <si>
    <t>Carlisle</t>
  </si>
  <si>
    <t>Carrollton</t>
  </si>
  <si>
    <t>Catlettsburg</t>
  </si>
  <si>
    <t>Cave City</t>
  </si>
  <si>
    <t>Centertown</t>
  </si>
  <si>
    <t>Central City</t>
  </si>
  <si>
    <t>Clarkson</t>
  </si>
  <si>
    <t>Clay</t>
  </si>
  <si>
    <t>Clay City</t>
  </si>
  <si>
    <t>Cloverport</t>
  </si>
  <si>
    <t>Coal Run Village</t>
  </si>
  <si>
    <t>Cold Spring</t>
  </si>
  <si>
    <t>Coldstream</t>
  </si>
  <si>
    <t>Columbia</t>
  </si>
  <si>
    <t>Corbin</t>
  </si>
  <si>
    <t>Corinth</t>
  </si>
  <si>
    <t>Corydon</t>
  </si>
  <si>
    <t>Covington</t>
  </si>
  <si>
    <t>Crab Orchard</t>
  </si>
  <si>
    <t>Creekside</t>
  </si>
  <si>
    <t>Crescent Springs</t>
  </si>
  <si>
    <t>Crestview</t>
  </si>
  <si>
    <t>Crestwood</t>
  </si>
  <si>
    <t>Crittenden</t>
  </si>
  <si>
    <t>Crofton</t>
  </si>
  <si>
    <t>Crossgate</t>
  </si>
  <si>
    <t>Cumberland</t>
  </si>
  <si>
    <t>Cynthiana</t>
  </si>
  <si>
    <t>Danville</t>
  </si>
  <si>
    <t>Dawson Springs</t>
  </si>
  <si>
    <t>Dayton</t>
  </si>
  <si>
    <t>Dixon</t>
  </si>
  <si>
    <t>Douglass Hills</t>
  </si>
  <si>
    <t>Dover</t>
  </si>
  <si>
    <t>Druid Hills</t>
  </si>
  <si>
    <t>Dry Ridge</t>
  </si>
  <si>
    <t>Earlington</t>
  </si>
  <si>
    <t>Eddyville</t>
  </si>
  <si>
    <t>Edmonton</t>
  </si>
  <si>
    <t>Ekron</t>
  </si>
  <si>
    <t>Elizabethtown</t>
  </si>
  <si>
    <t>Elkhorn City</t>
  </si>
  <si>
    <t>Elkton</t>
  </si>
  <si>
    <t>Elsmere</t>
  </si>
  <si>
    <t>Eminence</t>
  </si>
  <si>
    <t>Erlanger</t>
  </si>
  <si>
    <t>Evarts</t>
  </si>
  <si>
    <t>Ewing</t>
  </si>
  <si>
    <t>Falmouth</t>
  </si>
  <si>
    <t>Fincastle</t>
  </si>
  <si>
    <t>Flatwoods</t>
  </si>
  <si>
    <t>Fleming-Neon</t>
  </si>
  <si>
    <t>Flemingsburg</t>
  </si>
  <si>
    <t>Florence</t>
  </si>
  <si>
    <t>Fordsville</t>
  </si>
  <si>
    <t>Forest Hills</t>
  </si>
  <si>
    <t>Fort Mitchell</t>
  </si>
  <si>
    <t>Fort Thomas</t>
  </si>
  <si>
    <t>Fort Wright</t>
  </si>
  <si>
    <t>Fountain Run</t>
  </si>
  <si>
    <t>Fox Chase</t>
  </si>
  <si>
    <t>Frankfort</t>
  </si>
  <si>
    <t>Franklin</t>
  </si>
  <si>
    <t>Fredonia</t>
  </si>
  <si>
    <t>Frenchburg</t>
  </si>
  <si>
    <t>Gamaliel</t>
  </si>
  <si>
    <t>Georgetown</t>
  </si>
  <si>
    <t>Ghent</t>
  </si>
  <si>
    <t>Glasgow</t>
  </si>
  <si>
    <t>Glencoe</t>
  </si>
  <si>
    <t>Glenview</t>
  </si>
  <si>
    <t>Glenview Hills</t>
  </si>
  <si>
    <t>Glenview Manor</t>
  </si>
  <si>
    <t>Goose Creek</t>
  </si>
  <si>
    <t>Goshen</t>
  </si>
  <si>
    <t>Graymoor-Devondale</t>
  </si>
  <si>
    <t>Grayson</t>
  </si>
  <si>
    <t>Green Spring</t>
  </si>
  <si>
    <t>Greensburg</t>
  </si>
  <si>
    <t>Greenup</t>
  </si>
  <si>
    <t>Greenville</t>
  </si>
  <si>
    <t>Guthrie</t>
  </si>
  <si>
    <t>Hanson</t>
  </si>
  <si>
    <t>Hardinsburg</t>
  </si>
  <si>
    <t>Harlan</t>
  </si>
  <si>
    <t>Harrodsburg</t>
  </si>
  <si>
    <t>Hartford</t>
  </si>
  <si>
    <t>Hawesville</t>
  </si>
  <si>
    <t>Hebron Estates</t>
  </si>
  <si>
    <t>Henderson</t>
  </si>
  <si>
    <t>Heritage Creek</t>
  </si>
  <si>
    <t>Hickman</t>
  </si>
  <si>
    <t>Hickory Hill</t>
  </si>
  <si>
    <t>Highland Heights</t>
  </si>
  <si>
    <t>Hillview</t>
  </si>
  <si>
    <t>Hindman</t>
  </si>
  <si>
    <t>Hodgenville</t>
  </si>
  <si>
    <t>Hollow Creek</t>
  </si>
  <si>
    <t>Hopkinsville</t>
  </si>
  <si>
    <t>Horse Cave</t>
  </si>
  <si>
    <t>Houston Acres</t>
  </si>
  <si>
    <t>Hunters Hollow</t>
  </si>
  <si>
    <t>Hurstbourne</t>
  </si>
  <si>
    <t>Hurstbourne Acres</t>
  </si>
  <si>
    <t>Hustonville</t>
  </si>
  <si>
    <t>Hyden</t>
  </si>
  <si>
    <t>Indian Hills</t>
  </si>
  <si>
    <t>Irvine</t>
  </si>
  <si>
    <t>Irvington</t>
  </si>
  <si>
    <t>Island</t>
  </si>
  <si>
    <t>Jackson</t>
  </si>
  <si>
    <t>Jamestown</t>
  </si>
  <si>
    <t>Jeffersontown</t>
  </si>
  <si>
    <t>Jeffersonville</t>
  </si>
  <si>
    <t>Jenkins</t>
  </si>
  <si>
    <t>Junction City</t>
  </si>
  <si>
    <t>Kingsley</t>
  </si>
  <si>
    <t>Kuttawa</t>
  </si>
  <si>
    <t>La Center</t>
  </si>
  <si>
    <t>Lakeside Park</t>
  </si>
  <si>
    <t>Lancaster</t>
  </si>
  <si>
    <t>Langdon Place</t>
  </si>
  <si>
    <t>Lawrenceburg</t>
  </si>
  <si>
    <t>Lebanon</t>
  </si>
  <si>
    <t>Lebanon Junction</t>
  </si>
  <si>
    <t>Leitchfield</t>
  </si>
  <si>
    <t>Lewisburg</t>
  </si>
  <si>
    <t>Liberty</t>
  </si>
  <si>
    <t>Lincolnshire</t>
  </si>
  <si>
    <t>Livermore</t>
  </si>
  <si>
    <t>Livingston</t>
  </si>
  <si>
    <t>London</t>
  </si>
  <si>
    <t>Loretto</t>
  </si>
  <si>
    <t>Louisa</t>
  </si>
  <si>
    <t>Loyall</t>
  </si>
  <si>
    <t>Ludlow</t>
  </si>
  <si>
    <t>Lynch</t>
  </si>
  <si>
    <t>Lyndon</t>
  </si>
  <si>
    <t>Lynnview</t>
  </si>
  <si>
    <t>Madisonville</t>
  </si>
  <si>
    <t>Manchester</t>
  </si>
  <si>
    <t>Manor Creek</t>
  </si>
  <si>
    <t>Marion</t>
  </si>
  <si>
    <t>Martin</t>
  </si>
  <si>
    <t>Maryhill Estates</t>
  </si>
  <si>
    <t>Mayfield</t>
  </si>
  <si>
    <t>Maysville</t>
  </si>
  <si>
    <t>McKee</t>
  </si>
  <si>
    <t>Meadow Vale</t>
  </si>
  <si>
    <t>Meadowbrook Farm</t>
  </si>
  <si>
    <t>Meadowview Estates</t>
  </si>
  <si>
    <t>Melbourne</t>
  </si>
  <si>
    <t>Mentor</t>
  </si>
  <si>
    <t>Middlesboro</t>
  </si>
  <si>
    <t>Middletown</t>
  </si>
  <si>
    <t>Midway</t>
  </si>
  <si>
    <t>Millersburg</t>
  </si>
  <si>
    <t>Milton</t>
  </si>
  <si>
    <t>Mockingbird Valley</t>
  </si>
  <si>
    <t>Monticello</t>
  </si>
  <si>
    <t>Morehead</t>
  </si>
  <si>
    <t>Morganfield</t>
  </si>
  <si>
    <t>Morgantown</t>
  </si>
  <si>
    <t>Mortons Gap</t>
  </si>
  <si>
    <t>Mount Sterling</t>
  </si>
  <si>
    <t>Mount Vernon</t>
  </si>
  <si>
    <t>Mount Washington</t>
  </si>
  <si>
    <t>Muldraugh</t>
  </si>
  <si>
    <t>Munfordville</t>
  </si>
  <si>
    <t>Murray</t>
  </si>
  <si>
    <t>Murray Hill</t>
  </si>
  <si>
    <t>Nebo</t>
  </si>
  <si>
    <t>New Castle</t>
  </si>
  <si>
    <t>New Haven</t>
  </si>
  <si>
    <t>Newport</t>
  </si>
  <si>
    <t>Nicholasville</t>
  </si>
  <si>
    <t>Norbourne Estates</t>
  </si>
  <si>
    <t>North Middletown</t>
  </si>
  <si>
    <t>Northfield</t>
  </si>
  <si>
    <t>Nortonville</t>
  </si>
  <si>
    <t>Norwood</t>
  </si>
  <si>
    <t>Oak Grove</t>
  </si>
  <si>
    <t>Oakland</t>
  </si>
  <si>
    <t>Old Brownsboro Place</t>
  </si>
  <si>
    <t>Olive Hill</t>
  </si>
  <si>
    <t>Orchard Grass Hills</t>
  </si>
  <si>
    <t>Owensboro</t>
  </si>
  <si>
    <t>Owingsville</t>
  </si>
  <si>
    <t>Paducah</t>
  </si>
  <si>
    <t>Paintsville</t>
  </si>
  <si>
    <t>Paris</t>
  </si>
  <si>
    <t>Park City</t>
  </si>
  <si>
    <t>Park Hills</t>
  </si>
  <si>
    <t>Parkway Village</t>
  </si>
  <si>
    <t>Pembroke</t>
  </si>
  <si>
    <t>Perryville</t>
  </si>
  <si>
    <t>Pewee Valley</t>
  </si>
  <si>
    <t>Pineville</t>
  </si>
  <si>
    <t>Pioneer Village</t>
  </si>
  <si>
    <t>Plantation</t>
  </si>
  <si>
    <t>Pleasureville</t>
  </si>
  <si>
    <t>Plum Springs</t>
  </si>
  <si>
    <t>Powderly</t>
  </si>
  <si>
    <t>Prestonsburg</t>
  </si>
  <si>
    <t>Prestonville</t>
  </si>
  <si>
    <t>Princeton</t>
  </si>
  <si>
    <t>Prospect</t>
  </si>
  <si>
    <t>Providence</t>
  </si>
  <si>
    <t>Raceland</t>
  </si>
  <si>
    <t>Radcliff</t>
  </si>
  <si>
    <t>Ravenna</t>
  </si>
  <si>
    <t>Richlawn</t>
  </si>
  <si>
    <t>Richmond</t>
  </si>
  <si>
    <t>River Bluff</t>
  </si>
  <si>
    <t>Riverwood</t>
  </si>
  <si>
    <t>Robards</t>
  </si>
  <si>
    <t>Rockport</t>
  </si>
  <si>
    <t>Rolling Fields</t>
  </si>
  <si>
    <t>Rolling Hills</t>
  </si>
  <si>
    <t>Russell Springs</t>
  </si>
  <si>
    <t>Russellville</t>
  </si>
  <si>
    <t>Ryland Heights</t>
  </si>
  <si>
    <t>Sacramento</t>
  </si>
  <si>
    <t>Sadieville</t>
  </si>
  <si>
    <t>Salyersville</t>
  </si>
  <si>
    <t>Sandy Hook</t>
  </si>
  <si>
    <t>Science Hill</t>
  </si>
  <si>
    <t>Scottsville</t>
  </si>
  <si>
    <t>Sebree</t>
  </si>
  <si>
    <t>Seneca Gardens</t>
  </si>
  <si>
    <t>Shelbyville</t>
  </si>
  <si>
    <t>Shepherdsville</t>
  </si>
  <si>
    <t>Shively</t>
  </si>
  <si>
    <t>Silver Grove</t>
  </si>
  <si>
    <t>Simpsonville</t>
  </si>
  <si>
    <t>Slaughters</t>
  </si>
  <si>
    <t>Smithfield</t>
  </si>
  <si>
    <t>Smithland</t>
  </si>
  <si>
    <t>Smiths Grove</t>
  </si>
  <si>
    <t>Somerset</t>
  </si>
  <si>
    <t>South Shore</t>
  </si>
  <si>
    <t>Southgate</t>
  </si>
  <si>
    <t>Sparta</t>
  </si>
  <si>
    <t>Spring Valley</t>
  </si>
  <si>
    <t>Springfield</t>
  </si>
  <si>
    <t>St. Charles</t>
  </si>
  <si>
    <t>St. Matthews</t>
  </si>
  <si>
    <t>St. Regis Park</t>
  </si>
  <si>
    <t>Stamping Ground</t>
  </si>
  <si>
    <t>Stanford</t>
  </si>
  <si>
    <t>Stanton</t>
  </si>
  <si>
    <t>Strathmoor Manor</t>
  </si>
  <si>
    <t>Strathmoor Village</t>
  </si>
  <si>
    <t>Sturgis</t>
  </si>
  <si>
    <t>Sycamore</t>
  </si>
  <si>
    <t>Taylor Mill</t>
  </si>
  <si>
    <t>Taylorsville</t>
  </si>
  <si>
    <t>Ten Broeck</t>
  </si>
  <si>
    <t>Thornhill</t>
  </si>
  <si>
    <t>Tompkinsville</t>
  </si>
  <si>
    <t>Trenton</t>
  </si>
  <si>
    <t>Uniontown</t>
  </si>
  <si>
    <t>Vanceburg</t>
  </si>
  <si>
    <t>Versailles</t>
  </si>
  <si>
    <t>Vicco</t>
  </si>
  <si>
    <t>Villa Hills</t>
  </si>
  <si>
    <t>Vine Grove</t>
  </si>
  <si>
    <t>Walton</t>
  </si>
  <si>
    <t>Warsaw</t>
  </si>
  <si>
    <t>Watterson Park</t>
  </si>
  <si>
    <t>Wayland</t>
  </si>
  <si>
    <t>Wellington</t>
  </si>
  <si>
    <t>West Buechel</t>
  </si>
  <si>
    <t>West Liberty</t>
  </si>
  <si>
    <t>West Point</t>
  </si>
  <si>
    <t>Westwood</t>
  </si>
  <si>
    <t>Wheatcroft</t>
  </si>
  <si>
    <t>Wheelwright</t>
  </si>
  <si>
    <t>White Plains</t>
  </si>
  <si>
    <t>Whitesburg</t>
  </si>
  <si>
    <t>Whitesville</t>
  </si>
  <si>
    <t>Wickliffe</t>
  </si>
  <si>
    <t>Wilder</t>
  </si>
  <si>
    <t>Wildwood</t>
  </si>
  <si>
    <t>Williamsburg</t>
  </si>
  <si>
    <t>Williamstown</t>
  </si>
  <si>
    <t>Wilmore</t>
  </si>
  <si>
    <t>Winchester</t>
  </si>
  <si>
    <t>Windy Hills</t>
  </si>
  <si>
    <t>Wingo</t>
  </si>
  <si>
    <t>Woodburn</t>
  </si>
  <si>
    <t>Woodbury</t>
  </si>
  <si>
    <t>Woodland Hills</t>
  </si>
  <si>
    <t>Woodlawn</t>
  </si>
  <si>
    <t>Woodlawn Park</t>
  </si>
  <si>
    <t>Worthington</t>
  </si>
  <si>
    <t>Worthington Hills</t>
  </si>
  <si>
    <t>Worthville</t>
  </si>
  <si>
    <t>Wurtland</t>
  </si>
  <si>
    <t>Logan</t>
  </si>
  <si>
    <t>Clinton</t>
  </si>
  <si>
    <t>Campbell</t>
  </si>
  <si>
    <t>Floyd</t>
  </si>
  <si>
    <t>Jefferson</t>
  </si>
  <si>
    <t>Boyd</t>
  </si>
  <si>
    <t>Bracken</t>
  </si>
  <si>
    <t>Knox</t>
  </si>
  <si>
    <t>Nelson</t>
  </si>
  <si>
    <t>Ballard</t>
  </si>
  <si>
    <t>Lee</t>
  </si>
  <si>
    <t>Trimble</t>
  </si>
  <si>
    <t>Marshall</t>
  </si>
  <si>
    <t>Madison</t>
  </si>
  <si>
    <t>Harrison</t>
  </si>
  <si>
    <t>Letcher</t>
  </si>
  <si>
    <t>Lawrence</t>
  </si>
  <si>
    <t>Hart</t>
  </si>
  <si>
    <t>Owsley</t>
  </si>
  <si>
    <t>Warren</t>
  </si>
  <si>
    <t>Meade</t>
  </si>
  <si>
    <t>Muhlenberg</t>
  </si>
  <si>
    <t>Rockcastle</t>
  </si>
  <si>
    <t>Kenton</t>
  </si>
  <si>
    <t>Edmonson</t>
  </si>
  <si>
    <t>Perry</t>
  </si>
  <si>
    <t>Mercer</t>
  </si>
  <si>
    <t>Pulaski</t>
  </si>
  <si>
    <t>Pendleton</t>
  </si>
  <si>
    <t>Trigg</t>
  </si>
  <si>
    <t>McLean</t>
  </si>
  <si>
    <t>Montgomery</t>
  </si>
  <si>
    <t>Henry</t>
  </si>
  <si>
    <t>Taylor</t>
  </si>
  <si>
    <t>Wolfe</t>
  </si>
  <si>
    <t>Nicholas</t>
  </si>
  <si>
    <t>Carroll</t>
  </si>
  <si>
    <t>Barren</t>
  </si>
  <si>
    <t>Webster</t>
  </si>
  <si>
    <t>Powell</t>
  </si>
  <si>
    <t>Breckinridge</t>
  </si>
  <si>
    <t>Pike</t>
  </si>
  <si>
    <t>Adair</t>
  </si>
  <si>
    <t>Lewis</t>
  </si>
  <si>
    <t>Whitley</t>
  </si>
  <si>
    <t>Grant</t>
  </si>
  <si>
    <t>Lincoln</t>
  </si>
  <si>
    <t>Oldham</t>
  </si>
  <si>
    <t>Christian</t>
  </si>
  <si>
    <t>Boyle</t>
  </si>
  <si>
    <t>Hopkins</t>
  </si>
  <si>
    <t>Caldwell</t>
  </si>
  <si>
    <t>Mason</t>
  </si>
  <si>
    <t>Lyon</t>
  </si>
  <si>
    <t>Metcalfe</t>
  </si>
  <si>
    <t>Hardin</t>
  </si>
  <si>
    <t>Todd</t>
  </si>
  <si>
    <t>Fleming</t>
  </si>
  <si>
    <t>Boone</t>
  </si>
  <si>
    <t>Monroe</t>
  </si>
  <si>
    <t>Bullitt</t>
  </si>
  <si>
    <t>Simpson</t>
  </si>
  <si>
    <t>Menifee</t>
  </si>
  <si>
    <t>Fulton</t>
  </si>
  <si>
    <t>Scott</t>
  </si>
  <si>
    <t>Gallatin</t>
  </si>
  <si>
    <t>Owen</t>
  </si>
  <si>
    <t>Carter</t>
  </si>
  <si>
    <t>Green</t>
  </si>
  <si>
    <t>Hancock</t>
  </si>
  <si>
    <t>Calloway</t>
  </si>
  <si>
    <t>Hills and Dales</t>
  </si>
  <si>
    <t>Knott</t>
  </si>
  <si>
    <t>LaRue</t>
  </si>
  <si>
    <t>Leslie</t>
  </si>
  <si>
    <t>Estill</t>
  </si>
  <si>
    <t>Breathitt</t>
  </si>
  <si>
    <t>Russell</t>
  </si>
  <si>
    <t>Jessamine</t>
  </si>
  <si>
    <t>LaFayette</t>
  </si>
  <si>
    <t>Rowan</t>
  </si>
  <si>
    <t>Garrard</t>
  </si>
  <si>
    <t>Anderson</t>
  </si>
  <si>
    <t>Lexington</t>
  </si>
  <si>
    <t>Fayette</t>
  </si>
  <si>
    <t>Casey</t>
  </si>
  <si>
    <t>Laurel</t>
  </si>
  <si>
    <t>Louisville</t>
  </si>
  <si>
    <t>Graves</t>
  </si>
  <si>
    <t>McHenry</t>
  </si>
  <si>
    <t>Bell</t>
  </si>
  <si>
    <t>Woodford</t>
  </si>
  <si>
    <t>Bourbon</t>
  </si>
  <si>
    <t>Wayne</t>
  </si>
  <si>
    <t>Union</t>
  </si>
  <si>
    <t>Daviess</t>
  </si>
  <si>
    <t>Bath</t>
  </si>
  <si>
    <t>McCracken</t>
  </si>
  <si>
    <t>Johnson</t>
  </si>
  <si>
    <t>Shelby</t>
  </si>
  <si>
    <t>Magoffin</t>
  </si>
  <si>
    <t>Elliott</t>
  </si>
  <si>
    <t>Spencer</t>
  </si>
  <si>
    <t>Morgan</t>
  </si>
  <si>
    <t>Clark</t>
  </si>
  <si>
    <t>County</t>
  </si>
  <si>
    <t>LaGrange</t>
  </si>
  <si>
    <t>x</t>
  </si>
  <si>
    <t>000</t>
  </si>
  <si>
    <t>Ky taxes included and spec updates made.</t>
  </si>
  <si>
    <t>Updated ILF tables</t>
  </si>
  <si>
    <t>File name change</t>
  </si>
  <si>
    <t>93</t>
  </si>
  <si>
    <t>FID "AEP" coverage changed to "ACE". 3rdCyber ded updated</t>
  </si>
  <si>
    <t>For Employees, Customers, and Vendors Verification Option Transfer Instructions are Not Required</t>
  </si>
  <si>
    <t>Added rounding/ 1st Cy AggSIR removed</t>
  </si>
  <si>
    <t>.</t>
  </si>
  <si>
    <t>Rounding updated with Steve's version / Social Engineering pop up updated</t>
  </si>
  <si>
    <t>Rounding rule removed, reverted to original. Defaults added to rating factors.</t>
  </si>
  <si>
    <t>Over $250,000 in incurred losses in the last five years</t>
  </si>
  <si>
    <t xml:space="preserve">No incurred losses in the last five years </t>
  </si>
  <si>
    <t>$1 – $3,000 in incurred losses in the last five years</t>
  </si>
  <si>
    <t>$3,001 – $7,000 in incurred losses in the last five years</t>
  </si>
  <si>
    <r>
      <rPr>
        <sz val="7"/>
        <color rgb="FF1F497D"/>
        <rFont val="Times New Roman"/>
        <family val="1"/>
      </rPr>
      <t xml:space="preserve"> </t>
    </r>
    <r>
      <rPr>
        <sz val="11"/>
        <color rgb="FF1F497D"/>
        <rFont val="Calibri"/>
        <family val="2"/>
        <scheme val="minor"/>
      </rPr>
      <t>$7,001 – $12,000 in incurred losses in the last five years</t>
    </r>
  </si>
  <si>
    <t>$12,001 – $18,000 in incurred losses in the last five years</t>
  </si>
  <si>
    <t>$18,001 – $25,000 in incurred losses in the last five years</t>
  </si>
  <si>
    <t>$25,001 – $35,000 in incurred losses in the last five years</t>
  </si>
  <si>
    <t>$35,001 – $45,000 in incurred losses in the last five years</t>
  </si>
  <si>
    <t>$45,001 – $60,000 in incurred losses in the, last five years</t>
  </si>
  <si>
    <t>$60,001 – $80,000 in incurred losses in the last five years</t>
  </si>
  <si>
    <t>$80,001 – $100,000 in incurred losses in the last five years</t>
  </si>
  <si>
    <t>$100,001 – $140,000 in incurred losses in the last five years</t>
  </si>
  <si>
    <t>$140,001 – $250,000 in incurred losses in the last five years</t>
  </si>
  <si>
    <t>Formula added to # of Rateable employees in crime cov</t>
  </si>
  <si>
    <t>Steve's rounding rules updated.</t>
  </si>
  <si>
    <t xml:space="preserve">2. Would like the field underneath the “Premium at Limit/Retention” field to pre-populate to “Information security protection policy”
3. Would like Rep Repair to pre-populate to “0”
(2) I am getting an error message with the Miscellaneous PL for the Historical Incurred Loss: - FIXED
(3) Change default on Crime 4.10 Social Engineering to $100,000 limit as the default - FIXED
(4) This row is showing up regardless of if Cyber is selected (row 504): - FIXED
</t>
  </si>
  <si>
    <t>US Non-Union (Independent and Leased Contractors)</t>
  </si>
  <si>
    <t>US Non-Union (Part Time, Seasonal, Temporary, and Volunteer)</t>
  </si>
  <si>
    <t>extrap min</t>
  </si>
  <si>
    <t>Priv Co</t>
  </si>
  <si>
    <t>Not Approved</t>
  </si>
  <si>
    <t>X</t>
  </si>
  <si>
    <t>2.5.6</t>
  </si>
  <si>
    <t>States table updated, EPL formula fixed, Steve's rules updated.</t>
  </si>
  <si>
    <t>2.5.7</t>
  </si>
  <si>
    <t>Rater tab cell c664 data validation allows &lt;=$25 million and coding sheet fixed</t>
  </si>
  <si>
    <t>for bermuda</t>
  </si>
  <si>
    <t>Country Name</t>
  </si>
  <si>
    <t>Country Code</t>
  </si>
  <si>
    <t>Country Num Code</t>
  </si>
  <si>
    <t>Afghanistan</t>
  </si>
  <si>
    <t>AFG</t>
  </si>
  <si>
    <t>Åland Islands</t>
  </si>
  <si>
    <t>ALA</t>
  </si>
  <si>
    <t>Albania</t>
  </si>
  <si>
    <t>ALB</t>
  </si>
  <si>
    <t>Algeria</t>
  </si>
  <si>
    <t>DZA</t>
  </si>
  <si>
    <t>ASM</t>
  </si>
  <si>
    <t>Andorra</t>
  </si>
  <si>
    <t>AND</t>
  </si>
  <si>
    <t>Angola</t>
  </si>
  <si>
    <t>AGO</t>
  </si>
  <si>
    <t>Anguilla</t>
  </si>
  <si>
    <t>AIA</t>
  </si>
  <si>
    <t>Antarctica</t>
  </si>
  <si>
    <t>ATA</t>
  </si>
  <si>
    <t>Antigua and Barbuda</t>
  </si>
  <si>
    <t>ATG</t>
  </si>
  <si>
    <t>Argentina</t>
  </si>
  <si>
    <t>ARG</t>
  </si>
  <si>
    <t>Armenia</t>
  </si>
  <si>
    <t>ARM</t>
  </si>
  <si>
    <t>Aruba</t>
  </si>
  <si>
    <t>ABW</t>
  </si>
  <si>
    <t>Australia</t>
  </si>
  <si>
    <t>AUS</t>
  </si>
  <si>
    <t>Austria</t>
  </si>
  <si>
    <t>AUT</t>
  </si>
  <si>
    <t>Azerbaijan</t>
  </si>
  <si>
    <t>AZE</t>
  </si>
  <si>
    <t>Bahamas (the)</t>
  </si>
  <si>
    <t>BHS</t>
  </si>
  <si>
    <t>Bahrain</t>
  </si>
  <si>
    <t>BHR</t>
  </si>
  <si>
    <t>Bangladesh</t>
  </si>
  <si>
    <t>BGD</t>
  </si>
  <si>
    <t>Barbados</t>
  </si>
  <si>
    <t>BRB</t>
  </si>
  <si>
    <t>Belarus</t>
  </si>
  <si>
    <t>BLR</t>
  </si>
  <si>
    <t>Belgium</t>
  </si>
  <si>
    <t>BEL</t>
  </si>
  <si>
    <t>Belize</t>
  </si>
  <si>
    <t>BLZ</t>
  </si>
  <si>
    <t>Benin</t>
  </si>
  <si>
    <t>BEN</t>
  </si>
  <si>
    <t>BMU</t>
  </si>
  <si>
    <t>Bhutan</t>
  </si>
  <si>
    <t>BTN</t>
  </si>
  <si>
    <t>Bolivia (Plurinational State of)</t>
  </si>
  <si>
    <t>BOL</t>
  </si>
  <si>
    <t>Bonaire, Sint Eustatius and Saba</t>
  </si>
  <si>
    <t>BES</t>
  </si>
  <si>
    <t>Bosnia and Herzegovina</t>
  </si>
  <si>
    <t>BIH</t>
  </si>
  <si>
    <t>Botswana</t>
  </si>
  <si>
    <t>BWA</t>
  </si>
  <si>
    <t>Bouvet Island</t>
  </si>
  <si>
    <t>BVT</t>
  </si>
  <si>
    <t>Brazil</t>
  </si>
  <si>
    <t>BRA</t>
  </si>
  <si>
    <t>British Indian Ocean Territory (the)</t>
  </si>
  <si>
    <t>IOT</t>
  </si>
  <si>
    <t>Brunei Darussalam</t>
  </si>
  <si>
    <t>BRN</t>
  </si>
  <si>
    <t>Bulgaria</t>
  </si>
  <si>
    <t>BGR</t>
  </si>
  <si>
    <t>Burkina Faso</t>
  </si>
  <si>
    <t>BFA</t>
  </si>
  <si>
    <t>Burundi</t>
  </si>
  <si>
    <t>BDI</t>
  </si>
  <si>
    <t>Cabo Verde</t>
  </si>
  <si>
    <t>CPV</t>
  </si>
  <si>
    <t>Cambodia</t>
  </si>
  <si>
    <t>KHM</t>
  </si>
  <si>
    <t>Cameroon</t>
  </si>
  <si>
    <t>CMR</t>
  </si>
  <si>
    <t>Canada</t>
  </si>
  <si>
    <t>CAN</t>
  </si>
  <si>
    <t>Cayman Islands (the)</t>
  </si>
  <si>
    <t>CYM</t>
  </si>
  <si>
    <t>Central African Republic (the)</t>
  </si>
  <si>
    <t>CAF</t>
  </si>
  <si>
    <t>Chad</t>
  </si>
  <si>
    <t>TCD</t>
  </si>
  <si>
    <t>Chile</t>
  </si>
  <si>
    <t>CHL</t>
  </si>
  <si>
    <t>China</t>
  </si>
  <si>
    <t>CHN</t>
  </si>
  <si>
    <t>Christmas Island</t>
  </si>
  <si>
    <t>CXR</t>
  </si>
  <si>
    <t>Cocos (Keeling) Islands (the)</t>
  </si>
  <si>
    <t>CCK</t>
  </si>
  <si>
    <t>Colombia</t>
  </si>
  <si>
    <t>COL</t>
  </si>
  <si>
    <t>Comoros (the)</t>
  </si>
  <si>
    <t>COM</t>
  </si>
  <si>
    <t>Congo (the Democratic Republic of the)</t>
  </si>
  <si>
    <t>COD</t>
  </si>
  <si>
    <t>Congo (the)</t>
  </si>
  <si>
    <t>COG</t>
  </si>
  <si>
    <t>Cook Islands (the)</t>
  </si>
  <si>
    <t>COK</t>
  </si>
  <si>
    <t>Costa Rica</t>
  </si>
  <si>
    <t>CRI</t>
  </si>
  <si>
    <t>Côte d'Ivoire</t>
  </si>
  <si>
    <t>CIV</t>
  </si>
  <si>
    <t>Croatia</t>
  </si>
  <si>
    <t>HRV</t>
  </si>
  <si>
    <t>Cuba</t>
  </si>
  <si>
    <t>CUB</t>
  </si>
  <si>
    <t>Curaçao</t>
  </si>
  <si>
    <t>CUW</t>
  </si>
  <si>
    <t>Cyprus</t>
  </si>
  <si>
    <t>CYP</t>
  </si>
  <si>
    <t>Czechia</t>
  </si>
  <si>
    <t>CZE</t>
  </si>
  <si>
    <t>Denmark</t>
  </si>
  <si>
    <t>DNK</t>
  </si>
  <si>
    <t>Djibouti</t>
  </si>
  <si>
    <t>DJI</t>
  </si>
  <si>
    <t>Dominica</t>
  </si>
  <si>
    <t>DMA</t>
  </si>
  <si>
    <t>Dominican Republic (the)</t>
  </si>
  <si>
    <t>DOM</t>
  </si>
  <si>
    <t>Ecuador</t>
  </si>
  <si>
    <t>ECU</t>
  </si>
  <si>
    <t>Egypt</t>
  </si>
  <si>
    <t>EGY</t>
  </si>
  <si>
    <t>El Salvador</t>
  </si>
  <si>
    <t>SLV</t>
  </si>
  <si>
    <t>Equatorial Guinea</t>
  </si>
  <si>
    <t>GNQ</t>
  </si>
  <si>
    <t>Eritrea</t>
  </si>
  <si>
    <t>ERI</t>
  </si>
  <si>
    <t>Estonia</t>
  </si>
  <si>
    <t>EST</t>
  </si>
  <si>
    <t>Ethiopia</t>
  </si>
  <si>
    <t>ETH</t>
  </si>
  <si>
    <t>Falkland Islands (the) [Malvinas]</t>
  </si>
  <si>
    <t>FLK</t>
  </si>
  <si>
    <t>Faroe Islands (the)</t>
  </si>
  <si>
    <t>FRO</t>
  </si>
  <si>
    <t>Fiji</t>
  </si>
  <si>
    <t>FJI</t>
  </si>
  <si>
    <t>Finland</t>
  </si>
  <si>
    <t>FIN</t>
  </si>
  <si>
    <t>France</t>
  </si>
  <si>
    <t>FRA</t>
  </si>
  <si>
    <t>French Guiana</t>
  </si>
  <si>
    <t>GUF</t>
  </si>
  <si>
    <t>French Polynesia</t>
  </si>
  <si>
    <t>PYF</t>
  </si>
  <si>
    <t>French Southern Territories (the)</t>
  </si>
  <si>
    <t>ATF</t>
  </si>
  <si>
    <t>Gabon</t>
  </si>
  <si>
    <t>GAB</t>
  </si>
  <si>
    <t>Gambia (the)</t>
  </si>
  <si>
    <t>GMB</t>
  </si>
  <si>
    <t>GEO</t>
  </si>
  <si>
    <t>Germany</t>
  </si>
  <si>
    <t>DEU</t>
  </si>
  <si>
    <t>Ghana</t>
  </si>
  <si>
    <t>GHA</t>
  </si>
  <si>
    <t>Gibraltar</t>
  </si>
  <si>
    <t>GIB</t>
  </si>
  <si>
    <t>Greece</t>
  </si>
  <si>
    <t>GRC</t>
  </si>
  <si>
    <t>Greenland</t>
  </si>
  <si>
    <t>GRL</t>
  </si>
  <si>
    <t>Grenada</t>
  </si>
  <si>
    <t>GRD</t>
  </si>
  <si>
    <t>Guadeloupe</t>
  </si>
  <si>
    <t>GLP</t>
  </si>
  <si>
    <t>GUM</t>
  </si>
  <si>
    <t>Guatemala</t>
  </si>
  <si>
    <t>GTM</t>
  </si>
  <si>
    <t>Guernsey</t>
  </si>
  <si>
    <t>GGY</t>
  </si>
  <si>
    <t>Guinea</t>
  </si>
  <si>
    <t>GIN</t>
  </si>
  <si>
    <t>Guinea-Bissau</t>
  </si>
  <si>
    <t>GNB</t>
  </si>
  <si>
    <t>Guyana</t>
  </si>
  <si>
    <t>GUY</t>
  </si>
  <si>
    <t>Haiti</t>
  </si>
  <si>
    <t>HTI</t>
  </si>
  <si>
    <t>Heard Island and McDonald Islands</t>
  </si>
  <si>
    <t>HMD</t>
  </si>
  <si>
    <t>Holy See (the)</t>
  </si>
  <si>
    <t>VAT</t>
  </si>
  <si>
    <t>Honduras</t>
  </si>
  <si>
    <t>HND</t>
  </si>
  <si>
    <t>Hong Kong</t>
  </si>
  <si>
    <t>HKG</t>
  </si>
  <si>
    <t>Hungary</t>
  </si>
  <si>
    <t>HUN</t>
  </si>
  <si>
    <t>Iceland</t>
  </si>
  <si>
    <t>ISL</t>
  </si>
  <si>
    <t>India</t>
  </si>
  <si>
    <t>IND</t>
  </si>
  <si>
    <t>Indonesia</t>
  </si>
  <si>
    <t>IDN</t>
  </si>
  <si>
    <t>Iran (Islamic Republic of)</t>
  </si>
  <si>
    <t>IRN</t>
  </si>
  <si>
    <t>Iraq</t>
  </si>
  <si>
    <t>IRQ</t>
  </si>
  <si>
    <t>Ireland</t>
  </si>
  <si>
    <t>IRL</t>
  </si>
  <si>
    <t>Isle of Man</t>
  </si>
  <si>
    <t>IMN</t>
  </si>
  <si>
    <t>Israel</t>
  </si>
  <si>
    <t>ISR</t>
  </si>
  <si>
    <t>Italy</t>
  </si>
  <si>
    <t>ITA</t>
  </si>
  <si>
    <t>Jamaica</t>
  </si>
  <si>
    <t>JAM</t>
  </si>
  <si>
    <t>Japan</t>
  </si>
  <si>
    <t>JPN</t>
  </si>
  <si>
    <t>Jersey</t>
  </si>
  <si>
    <t>JEY</t>
  </si>
  <si>
    <t>Jordan</t>
  </si>
  <si>
    <t>JOR</t>
  </si>
  <si>
    <t>Kazakhstan</t>
  </si>
  <si>
    <t>KAZ</t>
  </si>
  <si>
    <t>Kenya</t>
  </si>
  <si>
    <t>KEN</t>
  </si>
  <si>
    <t>Kiribati</t>
  </si>
  <si>
    <t>KIR</t>
  </si>
  <si>
    <t>Korea (the Democratic People's Republic of)</t>
  </si>
  <si>
    <t>PRK</t>
  </si>
  <si>
    <t>Korea (the Republic of)</t>
  </si>
  <si>
    <t>KOR</t>
  </si>
  <si>
    <t>Kuwait</t>
  </si>
  <si>
    <t>KWT</t>
  </si>
  <si>
    <t>Kyrgyzstan</t>
  </si>
  <si>
    <t>KGZ</t>
  </si>
  <si>
    <t>Lao People's Democratic Republic (the)</t>
  </si>
  <si>
    <t>LAO</t>
  </si>
  <si>
    <t>Latvia</t>
  </si>
  <si>
    <t>LVA</t>
  </si>
  <si>
    <t>LBN</t>
  </si>
  <si>
    <t>Lesotho</t>
  </si>
  <si>
    <t>LSO</t>
  </si>
  <si>
    <t>Liberia</t>
  </si>
  <si>
    <t>LBR</t>
  </si>
  <si>
    <t>Libya</t>
  </si>
  <si>
    <t>LBY</t>
  </si>
  <si>
    <t>Liechtenstein</t>
  </si>
  <si>
    <t>LIE</t>
  </si>
  <si>
    <t>Lithuania</t>
  </si>
  <si>
    <t>LTU</t>
  </si>
  <si>
    <t>Luxembourg</t>
  </si>
  <si>
    <t>LUX</t>
  </si>
  <si>
    <t>Macao</t>
  </si>
  <si>
    <t>MAC</t>
  </si>
  <si>
    <t>Macedonia (the former Yugoslav Republic of)</t>
  </si>
  <si>
    <t>MKD</t>
  </si>
  <si>
    <t>Madagascar</t>
  </si>
  <si>
    <t>MDG</t>
  </si>
  <si>
    <t>Malawi</t>
  </si>
  <si>
    <t>MWI</t>
  </si>
  <si>
    <t>Malaysia</t>
  </si>
  <si>
    <t>MYS</t>
  </si>
  <si>
    <t>Maldives</t>
  </si>
  <si>
    <t>MDV</t>
  </si>
  <si>
    <t>Mali</t>
  </si>
  <si>
    <t>MLI</t>
  </si>
  <si>
    <t>Malta</t>
  </si>
  <si>
    <t>MLT</t>
  </si>
  <si>
    <t>Marshall Islands (the)</t>
  </si>
  <si>
    <t>MHL</t>
  </si>
  <si>
    <t>Martinique</t>
  </si>
  <si>
    <t>MTQ</t>
  </si>
  <si>
    <t>Mauritania</t>
  </si>
  <si>
    <t>MRT</t>
  </si>
  <si>
    <t>Mauritius</t>
  </si>
  <si>
    <t>MUS</t>
  </si>
  <si>
    <t>Mayotte</t>
  </si>
  <si>
    <t>MYT</t>
  </si>
  <si>
    <t>Mexico</t>
  </si>
  <si>
    <t>MEX</t>
  </si>
  <si>
    <t>Micronesia (Federated States of)</t>
  </si>
  <si>
    <t>FSM</t>
  </si>
  <si>
    <t>Moldova (the Republic of)</t>
  </si>
  <si>
    <t>MDA</t>
  </si>
  <si>
    <t>Monaco</t>
  </si>
  <si>
    <t>MCO</t>
  </si>
  <si>
    <t>Mongolia</t>
  </si>
  <si>
    <t>MNG</t>
  </si>
  <si>
    <t>Montenegro</t>
  </si>
  <si>
    <t>MNE</t>
  </si>
  <si>
    <t>Montserrat</t>
  </si>
  <si>
    <t>MSR</t>
  </si>
  <si>
    <t>Morocco</t>
  </si>
  <si>
    <t>MAR</t>
  </si>
  <si>
    <t>Mozambique</t>
  </si>
  <si>
    <t>MOZ</t>
  </si>
  <si>
    <t>Myanmar</t>
  </si>
  <si>
    <t>MMR</t>
  </si>
  <si>
    <t>Namibia</t>
  </si>
  <si>
    <t>NAM</t>
  </si>
  <si>
    <t>Nauru</t>
  </si>
  <si>
    <t>NRU</t>
  </si>
  <si>
    <t>Nepal</t>
  </si>
  <si>
    <t>NPL</t>
  </si>
  <si>
    <t>Netherlands (the)</t>
  </si>
  <si>
    <t>NLD</t>
  </si>
  <si>
    <t>New Caledonia</t>
  </si>
  <si>
    <t>NCL</t>
  </si>
  <si>
    <t>New Zealand</t>
  </si>
  <si>
    <t>NZL</t>
  </si>
  <si>
    <t>Nicaragua</t>
  </si>
  <si>
    <t>NIC</t>
  </si>
  <si>
    <t>Niger (the)</t>
  </si>
  <si>
    <t>NER</t>
  </si>
  <si>
    <t>Nigeria</t>
  </si>
  <si>
    <t>NGA</t>
  </si>
  <si>
    <t>Niue</t>
  </si>
  <si>
    <t>NIU</t>
  </si>
  <si>
    <t>Norfolk Island</t>
  </si>
  <si>
    <t>NFK</t>
  </si>
  <si>
    <t>Northern Mariana Islands (the)</t>
  </si>
  <si>
    <t>MNP</t>
  </si>
  <si>
    <t>Norway</t>
  </si>
  <si>
    <t>NOR</t>
  </si>
  <si>
    <t>Oman</t>
  </si>
  <si>
    <t>OMN</t>
  </si>
  <si>
    <t>Pakistan</t>
  </si>
  <si>
    <t>PAK</t>
  </si>
  <si>
    <t>PLW</t>
  </si>
  <si>
    <t>Palestine, State of</t>
  </si>
  <si>
    <t>Panama</t>
  </si>
  <si>
    <t>PAN</t>
  </si>
  <si>
    <t>Papua New Guinea</t>
  </si>
  <si>
    <t>PNG</t>
  </si>
  <si>
    <t>Paraguay</t>
  </si>
  <si>
    <t>PRY</t>
  </si>
  <si>
    <t>Peru</t>
  </si>
  <si>
    <t>PER</t>
  </si>
  <si>
    <t>Philippines (the)</t>
  </si>
  <si>
    <t>PHL</t>
  </si>
  <si>
    <t>Pitcairn</t>
  </si>
  <si>
    <t>PCN</t>
  </si>
  <si>
    <t>Poland</t>
  </si>
  <si>
    <t>POL</t>
  </si>
  <si>
    <t>Portugal</t>
  </si>
  <si>
    <t>PRT</t>
  </si>
  <si>
    <t>PRI</t>
  </si>
  <si>
    <t>Qatar</t>
  </si>
  <si>
    <t>QAT</t>
  </si>
  <si>
    <t>Réunion</t>
  </si>
  <si>
    <t>REU</t>
  </si>
  <si>
    <t>Romania</t>
  </si>
  <si>
    <t>ROU</t>
  </si>
  <si>
    <t>Russian Federation (the)</t>
  </si>
  <si>
    <t>RUS</t>
  </si>
  <si>
    <t>Rwanda</t>
  </si>
  <si>
    <t>RWA</t>
  </si>
  <si>
    <t>Saint Barthélemy</t>
  </si>
  <si>
    <t>BLM</t>
  </si>
  <si>
    <t>Saint Helena, Ascension and Tristan da Cunha</t>
  </si>
  <si>
    <t>SHN</t>
  </si>
  <si>
    <t>Saint Kitts and Nevis</t>
  </si>
  <si>
    <t>KNA</t>
  </si>
  <si>
    <t>Saint Lucia</t>
  </si>
  <si>
    <t>LCA</t>
  </si>
  <si>
    <t>Saint Martin (French part)</t>
  </si>
  <si>
    <t>MAF</t>
  </si>
  <si>
    <t>Saint Pierre and Miquelon</t>
  </si>
  <si>
    <t>SPM</t>
  </si>
  <si>
    <t>Saint Vincent and the Grenadines</t>
  </si>
  <si>
    <t>VCT</t>
  </si>
  <si>
    <t>Samoa</t>
  </si>
  <si>
    <t>WSM</t>
  </si>
  <si>
    <t>San Marino</t>
  </si>
  <si>
    <t>SMR</t>
  </si>
  <si>
    <t>Sao Tome and Principe</t>
  </si>
  <si>
    <t>STP</t>
  </si>
  <si>
    <t>Saudi Arabia</t>
  </si>
  <si>
    <t>SAU</t>
  </si>
  <si>
    <t>Senegal</t>
  </si>
  <si>
    <t>SEN</t>
  </si>
  <si>
    <t>Serbia</t>
  </si>
  <si>
    <t>SRB</t>
  </si>
  <si>
    <t>Seychelles</t>
  </si>
  <si>
    <t>SYC</t>
  </si>
  <si>
    <t>Sierra Leone</t>
  </si>
  <si>
    <t>SLE</t>
  </si>
  <si>
    <t>Singapore</t>
  </si>
  <si>
    <t>SGP</t>
  </si>
  <si>
    <t>Sint Maarten (Dutch part)</t>
  </si>
  <si>
    <t>SXM</t>
  </si>
  <si>
    <t>Slovakia</t>
  </si>
  <si>
    <t>SVK</t>
  </si>
  <si>
    <t>Slovenia</t>
  </si>
  <si>
    <t>SVN</t>
  </si>
  <si>
    <t>Solomon Islands</t>
  </si>
  <si>
    <t>SLB</t>
  </si>
  <si>
    <t>Somalia</t>
  </si>
  <si>
    <t>SOM</t>
  </si>
  <si>
    <t>South Africa</t>
  </si>
  <si>
    <t>ZAF</t>
  </si>
  <si>
    <t>South Georgia and the South Sandwich Islands</t>
  </si>
  <si>
    <t>SGS</t>
  </si>
  <si>
    <t>South Sudan</t>
  </si>
  <si>
    <t>SSD</t>
  </si>
  <si>
    <t>Spain</t>
  </si>
  <si>
    <t>ESP</t>
  </si>
  <si>
    <t>Sri Lanka</t>
  </si>
  <si>
    <t>LKA</t>
  </si>
  <si>
    <t>Sudan (the)</t>
  </si>
  <si>
    <t>SDN</t>
  </si>
  <si>
    <t>Suriname</t>
  </si>
  <si>
    <t>SUR</t>
  </si>
  <si>
    <t>Svalbard and Jan Mayen</t>
  </si>
  <si>
    <t>SJM</t>
  </si>
  <si>
    <t>Swaziland</t>
  </si>
  <si>
    <t>SWZ</t>
  </si>
  <si>
    <t>Sweden</t>
  </si>
  <si>
    <t>SWE</t>
  </si>
  <si>
    <t>Switzerland</t>
  </si>
  <si>
    <t>CHE</t>
  </si>
  <si>
    <t>Syrian Arab Republic</t>
  </si>
  <si>
    <t>SYR</t>
  </si>
  <si>
    <t>Taiwan (Province of China)</t>
  </si>
  <si>
    <t>TWN</t>
  </si>
  <si>
    <t>Tajikistan</t>
  </si>
  <si>
    <t>TJK</t>
  </si>
  <si>
    <t>Tanzania, United Republic of</t>
  </si>
  <si>
    <t>TZA</t>
  </si>
  <si>
    <t>Thailand</t>
  </si>
  <si>
    <t>THA</t>
  </si>
  <si>
    <t>Timor-Leste</t>
  </si>
  <si>
    <t>TLS</t>
  </si>
  <si>
    <t>Togo</t>
  </si>
  <si>
    <t>TGO</t>
  </si>
  <si>
    <t>Tokelau</t>
  </si>
  <si>
    <t>TKL</t>
  </si>
  <si>
    <t>Tonga</t>
  </si>
  <si>
    <t>TON</t>
  </si>
  <si>
    <t>Trinidad and Tobago</t>
  </si>
  <si>
    <t>TTO</t>
  </si>
  <si>
    <t>Tunisia</t>
  </si>
  <si>
    <t>TUN</t>
  </si>
  <si>
    <t>Turkey</t>
  </si>
  <si>
    <t>TUR</t>
  </si>
  <si>
    <t>Turkmenistan</t>
  </si>
  <si>
    <t>TKM</t>
  </si>
  <si>
    <t>Turks and Caicos Islands (the)</t>
  </si>
  <si>
    <t>TCA</t>
  </si>
  <si>
    <t>Tuvalu</t>
  </si>
  <si>
    <t>TUV</t>
  </si>
  <si>
    <t>Uganda</t>
  </si>
  <si>
    <t>UGA</t>
  </si>
  <si>
    <t>Ukraine</t>
  </si>
  <si>
    <t>UKR</t>
  </si>
  <si>
    <t>United Arab Emirates (the)</t>
  </si>
  <si>
    <t>ARE</t>
  </si>
  <si>
    <t>United Kingdom of Great Britain and Northern Ireland (the)</t>
  </si>
  <si>
    <t>GBR</t>
  </si>
  <si>
    <t>United States Minor Outlying Islands (the)</t>
  </si>
  <si>
    <t>UMI</t>
  </si>
  <si>
    <t>United States of America (the)</t>
  </si>
  <si>
    <t>USA</t>
  </si>
  <si>
    <t>Uruguay</t>
  </si>
  <si>
    <t>URY</t>
  </si>
  <si>
    <t>Uzbekistan</t>
  </si>
  <si>
    <t>UZB</t>
  </si>
  <si>
    <t>Vanuatu</t>
  </si>
  <si>
    <t>VUT</t>
  </si>
  <si>
    <t>Venezuela (Bolivarian Republic of)</t>
  </si>
  <si>
    <t>VEN</t>
  </si>
  <si>
    <t>Viet Nam</t>
  </si>
  <si>
    <t>VNM</t>
  </si>
  <si>
    <t>Virgin Islands (British)</t>
  </si>
  <si>
    <t>VGB</t>
  </si>
  <si>
    <t>Virgin Islands (U.S.)</t>
  </si>
  <si>
    <t>VIR</t>
  </si>
  <si>
    <t>Wallis and Futuna</t>
  </si>
  <si>
    <t>WLF</t>
  </si>
  <si>
    <t>Western Sahara*</t>
  </si>
  <si>
    <t>ESH</t>
  </si>
  <si>
    <t>Yemen</t>
  </si>
  <si>
    <t>YEM</t>
  </si>
  <si>
    <t>Zambia</t>
  </si>
  <si>
    <t>ZMB</t>
  </si>
  <si>
    <t>Zimbabwe</t>
  </si>
  <si>
    <t>ZWE</t>
  </si>
  <si>
    <t>Sch Min(Priv Co)</t>
  </si>
  <si>
    <t>Sch Max(Priv Co)</t>
  </si>
  <si>
    <t>Sch Min(Cyber)</t>
  </si>
  <si>
    <t>Sch Max(Cyber)</t>
  </si>
  <si>
    <t>Sch Min(Priv Co) ENIC</t>
  </si>
  <si>
    <t>Sch Max(Priv Co) ENIC</t>
  </si>
  <si>
    <t>Sch Min(Cyber) ENIC</t>
  </si>
  <si>
    <t>Sch Max(Cyber) ENIC</t>
  </si>
  <si>
    <t>Sch Min(Priv Co) EIAL</t>
  </si>
  <si>
    <t>Sch Max(Priv Co) EIAL</t>
  </si>
  <si>
    <t>Sch Min(Cyber) EIAL</t>
  </si>
  <si>
    <t>Sch Max(Cyber) EIAL</t>
  </si>
  <si>
    <t>Not Applicable</t>
  </si>
  <si>
    <t>2.5.8</t>
  </si>
  <si>
    <t>Term length Adjustment</t>
  </si>
  <si>
    <t>0001</t>
  </si>
  <si>
    <t>0005</t>
  </si>
  <si>
    <t>0011</t>
  </si>
  <si>
    <t xml:space="preserve">1. Company field now has a drop down that points to a table including Everest International Assurance LTD paper and Everest Indemnity
2. The rater now allows new (wide) schedule rating factors for all states if the writing company is not ENIC.
3. The rater now treats all states as “Range States” if the writing company is not ENIC.
4. The rater now allows a user to select a state “Not Applicable” which is intended for insured locations outside of the USA
new term length calculation is complicated, but what it is doing is:
If policy is less than one year in length term factor is #days/365
If policy is one year or longer in length the term factor is [number of days – number of Feb 29 lead dates in period]/365
 Updated =w98 x98 and states tab
</t>
  </si>
  <si>
    <t>Everest International Assurance, LT</t>
  </si>
  <si>
    <t>2.5.10</t>
  </si>
  <si>
    <t>Kevin's updates 7/11</t>
  </si>
  <si>
    <t>Numerator method</t>
  </si>
  <si>
    <t>EPL Blend method NFP</t>
  </si>
  <si>
    <t>Everest Expedition Not For Profit</t>
  </si>
  <si>
    <t>Numerator</t>
  </si>
  <si>
    <t>Denominator</t>
  </si>
  <si>
    <t>Private Company</t>
  </si>
  <si>
    <t>NFP</t>
  </si>
  <si>
    <t>Area for adding NFP</t>
  </si>
  <si>
    <t>PCI</t>
  </si>
  <si>
    <t>2.5.12</t>
  </si>
  <si>
    <t>Kevin's updates 7/22</t>
  </si>
  <si>
    <t>Version 2.5.12(Prod)</t>
  </si>
  <si>
    <t>Fidelis Anderson</t>
  </si>
  <si>
    <t>Rosalina Covert</t>
  </si>
  <si>
    <t>16210 S Pioneer Bl</t>
  </si>
  <si>
    <t>Norwalk</t>
  </si>
  <si>
    <t>Brown and Riding Insurance Services, Inc.</t>
  </si>
  <si>
    <t>New</t>
  </si>
  <si>
    <t>WHOLESALE</t>
  </si>
  <si>
    <t>California Workers Comp</t>
  </si>
  <si>
    <t>General Business</t>
  </si>
  <si>
    <t>Orange</t>
  </si>
  <si>
    <t>Declined</t>
  </si>
  <si>
    <t>777 South Figueroa Street</t>
  </si>
  <si>
    <t>Suite 2550</t>
  </si>
  <si>
    <t>Los Angeles</t>
  </si>
  <si>
    <t>Workers Comp</t>
  </si>
  <si>
    <t>C1301</t>
  </si>
  <si>
    <t>GB</t>
  </si>
  <si>
    <t>00CA</t>
  </si>
  <si>
    <t>VUMM International Inc DBA El Cortez Meat Market  DBA Guadalajara Meat Market</t>
  </si>
  <si>
    <t>1286367-1</t>
  </si>
  <si>
    <t>-</t>
  </si>
  <si>
    <t>Annual</t>
  </si>
  <si>
    <t>10/21/2019</t>
  </si>
  <si>
    <t>New PCI Pack Auto Test Rater</t>
  </si>
  <si>
    <t>2021 Cross</t>
  </si>
  <si>
    <t>Norwalk CA 90650</t>
  </si>
  <si>
    <t>00PC</t>
  </si>
  <si>
    <t>Agency</t>
  </si>
  <si>
    <t>Norwalk, CA</t>
  </si>
  <si>
    <t>165</t>
  </si>
  <si>
    <t>017</t>
  </si>
  <si>
    <t>202</t>
  </si>
  <si>
    <t>229</t>
  </si>
  <si>
    <t>237</t>
  </si>
  <si>
    <t>999</t>
  </si>
  <si>
    <t>P1</t>
  </si>
  <si>
    <t>122</t>
  </si>
  <si>
    <t>P4</t>
  </si>
  <si>
    <t>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</si>
</sst>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5" formatCode="&quot;$&quot;#,##0_);\(&quot;$&quot;#,##0\)"/>
    <numFmt numFmtId="44" formatCode="_(&quot;$&quot;* #,##0.00_);_(&quot;$&quot;* \(#,##0.00\);_(&quot;$&quot;* &quot;-&quot;??_);_(@_)"/>
    <numFmt numFmtId="43" formatCode="_(* #,##0.00_);_(* \(#,##0.00\);_(* &quot;-&quot;??_);_(@_)"/>
    <numFmt numFmtId="164" formatCode="[$-409]m/d/yy\ h:mm\ AM/PM;@"/>
    <numFmt numFmtId="165" formatCode="mm/dd/yy;@"/>
    <numFmt numFmtId="166" formatCode="00000"/>
    <numFmt numFmtId="167" formatCode="[$-409]mmmm\ d\,\ yyyy;@"/>
    <numFmt numFmtId="168" formatCode="yyyy"/>
    <numFmt numFmtId="169" formatCode="mm\-yy"/>
    <numFmt numFmtId="170" formatCode="_-* #,##0.00_-;\-* #,##0.00_-;_-* &quot;-&quot;??_-;_-@_-"/>
    <numFmt numFmtId="171" formatCode="&quot;$&quot;#,##0\ ;\(&quot;$&quot;#,##0\)"/>
    <numFmt numFmtId="172" formatCode="m/d"/>
    <numFmt numFmtId="173" formatCode="General_)"/>
    <numFmt numFmtId="174" formatCode="&quot;$&quot;#,##0"/>
    <numFmt numFmtId="175" formatCode="&quot;$&quot;#,##0.00"/>
    <numFmt numFmtId="176" formatCode="0.000"/>
    <numFmt numFmtId="177" formatCode="_(* #,##0.000_);_(* \(#,##0.000\);_(* &quot;-&quot;??_);_(@_)"/>
    <numFmt numFmtId="178" formatCode="#,##0.000"/>
    <numFmt numFmtId="179" formatCode="0.0"/>
    <numFmt numFmtId="180" formatCode="_(* #,##0_);_(* \(#,##0\);_(* &quot;-&quot;??_);_(@_)"/>
    <numFmt numFmtId="181" formatCode="#,##0.00000"/>
  </numFmts>
  <fonts count="155" x14ac:knownFonts="1">
    <font>
      <sz val="11"/>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b/>
      <u/>
      <sz val="11"/>
      <color theme="1"/>
      <name val="Arial"/>
      <family val="2"/>
    </font>
    <font>
      <sz val="11"/>
      <color theme="1"/>
      <name val="Arial"/>
      <family val="2"/>
    </font>
    <font>
      <b/>
      <sz val="10"/>
      <color theme="1"/>
      <name val="Arial"/>
      <family val="2"/>
    </font>
    <font>
      <b/>
      <sz val="11"/>
      <color theme="1"/>
      <name val="Arial"/>
      <family val="2"/>
    </font>
    <font>
      <sz val="10"/>
      <color theme="1"/>
      <name val="Arial"/>
      <family val="2"/>
    </font>
    <font>
      <sz val="11"/>
      <color indexed="8"/>
      <name val="Calibri"/>
      <family val="2"/>
    </font>
    <font>
      <sz val="11"/>
      <color indexed="9"/>
      <name val="Calibri"/>
      <family val="2"/>
    </font>
    <font>
      <sz val="10"/>
      <color theme="0"/>
      <name val="Arial"/>
      <family val="2"/>
    </font>
    <font>
      <sz val="10"/>
      <name val="Arial"/>
      <family val="2"/>
    </font>
    <font>
      <b/>
      <sz val="18"/>
      <color indexed="18"/>
      <name val="Arial"/>
      <family val="2"/>
    </font>
    <font>
      <sz val="10"/>
      <color indexed="18"/>
      <name val="Arial"/>
      <family val="2"/>
    </font>
    <font>
      <sz val="16"/>
      <color indexed="18"/>
      <name val="Arial"/>
      <family val="2"/>
    </font>
    <font>
      <sz val="10"/>
      <color indexed="21"/>
      <name val="MS Sans Serif"/>
      <family val="2"/>
    </font>
    <font>
      <sz val="11"/>
      <color indexed="20"/>
      <name val="Calibri"/>
      <family val="2"/>
    </font>
    <font>
      <sz val="10"/>
      <color rgb="FF9C0006"/>
      <name val="Arial"/>
      <family val="2"/>
    </font>
    <font>
      <b/>
      <sz val="11"/>
      <color indexed="52"/>
      <name val="Calibri"/>
      <family val="2"/>
    </font>
    <font>
      <b/>
      <sz val="10"/>
      <color rgb="FFFA7D00"/>
      <name val="Arial"/>
      <family val="2"/>
    </font>
    <font>
      <b/>
      <sz val="11"/>
      <color indexed="9"/>
      <name val="Calibri"/>
      <family val="2"/>
    </font>
    <font>
      <b/>
      <sz val="10"/>
      <color theme="0"/>
      <name val="Arial"/>
      <family val="2"/>
    </font>
    <font>
      <sz val="10"/>
      <color indexed="8"/>
      <name val="Arial"/>
      <family val="2"/>
    </font>
    <font>
      <sz val="11"/>
      <name val="Tahoma"/>
      <family val="2"/>
    </font>
    <font>
      <sz val="10"/>
      <name val="Times New Roman"/>
      <family val="1"/>
    </font>
    <font>
      <sz val="9"/>
      <color theme="1"/>
      <name val="Verdana"/>
      <family val="2"/>
    </font>
    <font>
      <sz val="12"/>
      <color theme="1"/>
      <name val="Times New Roman"/>
      <family val="2"/>
    </font>
    <font>
      <sz val="10"/>
      <color theme="1"/>
      <name val="Calibri"/>
      <family val="2"/>
    </font>
    <font>
      <sz val="12"/>
      <color indexed="18"/>
      <name val="Arial"/>
      <family val="2"/>
    </font>
    <font>
      <i/>
      <sz val="11"/>
      <color indexed="23"/>
      <name val="Calibri"/>
      <family val="2"/>
    </font>
    <font>
      <i/>
      <sz val="10"/>
      <color rgb="FF7F7F7F"/>
      <name val="Arial"/>
      <family val="2"/>
    </font>
    <font>
      <sz val="11"/>
      <color indexed="17"/>
      <name val="Calibri"/>
      <family val="2"/>
    </font>
    <font>
      <sz val="10"/>
      <color rgb="FF006100"/>
      <name val="Arial"/>
      <family val="2"/>
    </font>
    <font>
      <sz val="8"/>
      <name val="MS Sans Serif"/>
      <family val="2"/>
    </font>
    <font>
      <b/>
      <sz val="15"/>
      <color indexed="56"/>
      <name val="Calibri"/>
      <family val="2"/>
    </font>
    <font>
      <b/>
      <sz val="15"/>
      <color rgb="FFF79646"/>
      <name val="Calibri"/>
      <family val="2"/>
      <scheme val="minor"/>
    </font>
    <font>
      <b/>
      <sz val="15"/>
      <color theme="3"/>
      <name val="Arial"/>
      <family val="2"/>
    </font>
    <font>
      <b/>
      <sz val="13"/>
      <color indexed="56"/>
      <name val="Calibri"/>
      <family val="2"/>
    </font>
    <font>
      <b/>
      <sz val="13"/>
      <color theme="3"/>
      <name val="Arial"/>
      <family val="2"/>
    </font>
    <font>
      <b/>
      <sz val="11"/>
      <color indexed="56"/>
      <name val="Calibri"/>
      <family val="2"/>
    </font>
    <font>
      <b/>
      <sz val="11"/>
      <color theme="3"/>
      <name val="Arial"/>
      <family val="2"/>
    </font>
    <font>
      <b/>
      <sz val="11"/>
      <color rgb="FFF79646"/>
      <name val="Calibri"/>
      <family val="2"/>
      <scheme val="minor"/>
    </font>
    <font>
      <u/>
      <sz val="10.199999999999999"/>
      <color theme="10"/>
      <name val="Times New Roman"/>
      <family val="2"/>
    </font>
    <font>
      <u/>
      <sz val="10"/>
      <color theme="10"/>
      <name val="Arial"/>
      <family val="2"/>
    </font>
    <font>
      <u/>
      <sz val="11"/>
      <color theme="10"/>
      <name val="Calibri"/>
      <family val="2"/>
    </font>
    <font>
      <u/>
      <sz val="10"/>
      <color indexed="12"/>
      <name val="Arial"/>
      <family val="2"/>
    </font>
    <font>
      <u/>
      <sz val="7.5"/>
      <color theme="10"/>
      <name val="Calibri"/>
      <family val="2"/>
    </font>
    <font>
      <u/>
      <sz val="11"/>
      <color theme="10"/>
      <name val="Calibri"/>
      <family val="2"/>
      <scheme val="minor"/>
    </font>
    <font>
      <u/>
      <sz val="10"/>
      <color theme="10"/>
      <name val="Calibri"/>
      <family val="2"/>
    </font>
    <font>
      <u/>
      <sz val="9"/>
      <color theme="10"/>
      <name val="Arial"/>
      <family val="2"/>
    </font>
    <font>
      <u/>
      <sz val="12"/>
      <color indexed="12"/>
      <name val="Arial Narrow"/>
      <family val="2"/>
    </font>
    <font>
      <u/>
      <sz val="10"/>
      <color theme="10"/>
      <name val="Times New Roman"/>
      <family val="1"/>
    </font>
    <font>
      <sz val="11"/>
      <color indexed="62"/>
      <name val="Calibri"/>
      <family val="2"/>
    </font>
    <font>
      <sz val="10"/>
      <color rgb="FF3F3F76"/>
      <name val="Arial"/>
      <family val="2"/>
    </font>
    <font>
      <sz val="18"/>
      <name val="Times New Roman"/>
      <family val="1"/>
    </font>
    <font>
      <b/>
      <sz val="13"/>
      <name val="Times New Roman"/>
      <family val="1"/>
    </font>
    <font>
      <b/>
      <i/>
      <sz val="12"/>
      <name val="Times New Roman"/>
      <family val="1"/>
    </font>
    <font>
      <i/>
      <sz val="12"/>
      <name val="Times New Roman"/>
      <family val="1"/>
    </font>
    <font>
      <sz val="11"/>
      <name val="Times New Roman"/>
      <family val="1"/>
    </font>
    <font>
      <sz val="11"/>
      <color indexed="52"/>
      <name val="Calibri"/>
      <family val="2"/>
    </font>
    <font>
      <sz val="10"/>
      <color rgb="FFFA7D00"/>
      <name val="Arial"/>
      <family val="2"/>
    </font>
    <font>
      <sz val="11"/>
      <color indexed="60"/>
      <name val="Calibri"/>
      <family val="2"/>
    </font>
    <font>
      <sz val="10"/>
      <color rgb="FF9C6500"/>
      <name val="Arial"/>
      <family val="2"/>
    </font>
    <font>
      <sz val="11"/>
      <color theme="1"/>
      <name val="Calibri"/>
      <family val="2"/>
    </font>
    <font>
      <sz val="10"/>
      <name val="MS Sans Serif"/>
      <family val="2"/>
    </font>
    <font>
      <sz val="12"/>
      <name val="Helv"/>
    </font>
    <font>
      <sz val="10"/>
      <color rgb="FF000000"/>
      <name val="Times New Roman"/>
      <family val="1"/>
    </font>
    <font>
      <sz val="10"/>
      <name val="Calibri"/>
      <family val="1"/>
      <scheme val="minor"/>
    </font>
    <font>
      <sz val="12"/>
      <name val="Times New Roman"/>
      <family val="1"/>
    </font>
    <font>
      <sz val="12"/>
      <name val="Arial"/>
      <family val="2"/>
    </font>
    <font>
      <sz val="11"/>
      <name val="Calibri"/>
      <family val="2"/>
    </font>
    <font>
      <sz val="10"/>
      <name val="Tahoma"/>
      <family val="2"/>
    </font>
    <font>
      <sz val="8"/>
      <name val="Arial"/>
      <family val="2"/>
    </font>
    <font>
      <sz val="12"/>
      <name val="Arial Narrow"/>
      <family val="2"/>
    </font>
    <font>
      <b/>
      <sz val="11"/>
      <color indexed="63"/>
      <name val="Calibri"/>
      <family val="2"/>
    </font>
    <font>
      <b/>
      <sz val="10"/>
      <color rgb="FF3F3F3F"/>
      <name val="Arial"/>
      <family val="2"/>
    </font>
    <font>
      <b/>
      <sz val="10"/>
      <color indexed="10"/>
      <name val="Helv"/>
    </font>
    <font>
      <b/>
      <i/>
      <sz val="10"/>
      <color indexed="10"/>
      <name val="Helv"/>
    </font>
    <font>
      <b/>
      <sz val="18"/>
      <color indexed="56"/>
      <name val="Cambria"/>
      <family val="2"/>
    </font>
    <font>
      <sz val="18"/>
      <color rgb="FFF79646"/>
      <name val="Cambria"/>
      <family val="2"/>
      <scheme val="major"/>
    </font>
    <font>
      <b/>
      <sz val="11"/>
      <color indexed="8"/>
      <name val="Calibri"/>
      <family val="2"/>
    </font>
    <font>
      <b/>
      <sz val="10"/>
      <color indexed="18"/>
      <name val="Arial"/>
      <family val="2"/>
    </font>
    <font>
      <sz val="11"/>
      <color indexed="10"/>
      <name val="Calibri"/>
      <family val="2"/>
    </font>
    <font>
      <sz val="10"/>
      <color rgb="FFFF0000"/>
      <name val="Arial"/>
      <family val="2"/>
    </font>
    <font>
      <sz val="10"/>
      <color indexed="9"/>
      <name val="Calibri"/>
      <family val="2"/>
      <scheme val="minor"/>
    </font>
    <font>
      <sz val="10"/>
      <color theme="0"/>
      <name val="Calibri"/>
      <family val="2"/>
      <scheme val="minor"/>
    </font>
    <font>
      <sz val="10"/>
      <color theme="1"/>
      <name val="Calibri"/>
      <family val="2"/>
      <scheme val="minor"/>
    </font>
    <font>
      <b/>
      <u/>
      <sz val="12"/>
      <name val="Calibri"/>
      <family val="2"/>
      <scheme val="minor"/>
    </font>
    <font>
      <b/>
      <u/>
      <sz val="10"/>
      <name val="Calibri"/>
      <family val="2"/>
      <scheme val="minor"/>
    </font>
    <font>
      <b/>
      <sz val="10"/>
      <color theme="1"/>
      <name val="Calibri"/>
      <family val="2"/>
      <scheme val="minor"/>
    </font>
    <font>
      <sz val="10"/>
      <name val="Calibri"/>
      <family val="2"/>
      <scheme val="minor"/>
    </font>
    <font>
      <sz val="10"/>
      <color rgb="FFFF0000"/>
      <name val="Calibri"/>
      <family val="2"/>
      <scheme val="minor"/>
    </font>
    <font>
      <b/>
      <sz val="10"/>
      <name val="Calibri"/>
      <family val="2"/>
      <scheme val="minor"/>
    </font>
    <font>
      <sz val="9"/>
      <color theme="1"/>
      <name val="Calibri"/>
      <family val="2"/>
      <scheme val="minor"/>
    </font>
    <font>
      <b/>
      <u/>
      <sz val="10"/>
      <color theme="1"/>
      <name val="Calibri"/>
      <family val="2"/>
      <scheme val="minor"/>
    </font>
    <font>
      <sz val="11"/>
      <name val="Calibri"/>
      <family val="2"/>
      <scheme val="minor"/>
    </font>
    <font>
      <sz val="12"/>
      <color theme="1"/>
      <name val="Calibri"/>
      <family val="2"/>
      <scheme val="minor"/>
    </font>
    <font>
      <b/>
      <u/>
      <sz val="12"/>
      <color theme="1"/>
      <name val="Calibri"/>
      <family val="2"/>
      <scheme val="minor"/>
    </font>
    <font>
      <b/>
      <u/>
      <sz val="10"/>
      <color theme="1"/>
      <name val="Calibri"/>
      <family val="2"/>
    </font>
    <font>
      <b/>
      <u/>
      <sz val="10"/>
      <name val="Calibri"/>
      <family val="2"/>
    </font>
    <font>
      <sz val="10"/>
      <name val="Calibri"/>
      <family val="2"/>
    </font>
    <font>
      <b/>
      <sz val="12"/>
      <color theme="1"/>
      <name val="Calibri"/>
      <family val="2"/>
      <scheme val="minor"/>
    </font>
    <font>
      <b/>
      <sz val="11"/>
      <color rgb="FFFF0000"/>
      <name val="Calibri"/>
      <family val="2"/>
      <scheme val="minor"/>
    </font>
    <font>
      <sz val="12"/>
      <name val="Calibri"/>
      <family val="2"/>
      <scheme val="minor"/>
    </font>
    <font>
      <b/>
      <u/>
      <sz val="11"/>
      <color theme="1"/>
      <name val="Calibri"/>
      <family val="2"/>
      <scheme val="minor"/>
    </font>
    <font>
      <b/>
      <sz val="16"/>
      <color indexed="9"/>
      <name val="Calibri"/>
      <family val="2"/>
      <scheme val="minor"/>
    </font>
    <font>
      <b/>
      <sz val="16"/>
      <color theme="1"/>
      <name val="Calibri"/>
      <family val="2"/>
      <scheme val="minor"/>
    </font>
    <font>
      <sz val="16"/>
      <color theme="1"/>
      <name val="Calibri"/>
      <family val="2"/>
      <scheme val="minor"/>
    </font>
    <font>
      <b/>
      <sz val="22"/>
      <color theme="1"/>
      <name val="Calibri"/>
      <family val="2"/>
      <scheme val="minor"/>
    </font>
    <font>
      <b/>
      <i/>
      <sz val="14"/>
      <name val="Calibri"/>
      <family val="2"/>
      <scheme val="minor"/>
    </font>
    <font>
      <sz val="12"/>
      <color indexed="8"/>
      <name val="Calibri"/>
      <family val="2"/>
      <scheme val="minor"/>
    </font>
    <font>
      <b/>
      <sz val="12"/>
      <color indexed="12"/>
      <name val="Calibri"/>
      <family val="2"/>
      <scheme val="minor"/>
    </font>
    <font>
      <sz val="11"/>
      <color indexed="8"/>
      <name val="Calibri"/>
      <family val="2"/>
      <scheme val="minor"/>
    </font>
    <font>
      <i/>
      <sz val="11"/>
      <color rgb="FFFF0000"/>
      <name val="Calibri"/>
      <family val="2"/>
      <scheme val="minor"/>
    </font>
    <font>
      <sz val="12"/>
      <color rgb="FFFF0000"/>
      <name val="Calibri"/>
      <family val="2"/>
      <scheme val="minor"/>
    </font>
    <font>
      <sz val="14"/>
      <color theme="1"/>
      <name val="Calibri"/>
      <family val="2"/>
      <scheme val="minor"/>
    </font>
    <font>
      <b/>
      <sz val="14"/>
      <color theme="1"/>
      <name val="Calibri"/>
      <family val="2"/>
      <scheme val="minor"/>
    </font>
    <font>
      <b/>
      <sz val="11"/>
      <color rgb="FFFF0000"/>
      <name val="Arial"/>
      <family val="2"/>
    </font>
    <font>
      <b/>
      <sz val="65"/>
      <color theme="1"/>
      <name val="Calibri"/>
      <family val="2"/>
      <scheme val="minor"/>
    </font>
    <font>
      <sz val="65"/>
      <color theme="1"/>
      <name val="Calibri"/>
      <family val="2"/>
      <scheme val="minor"/>
    </font>
    <font>
      <b/>
      <sz val="50"/>
      <color theme="1"/>
      <name val="Calibri"/>
      <family val="2"/>
      <scheme val="minor"/>
    </font>
    <font>
      <b/>
      <sz val="11"/>
      <name val="Calibri"/>
      <family val="2"/>
      <scheme val="minor"/>
    </font>
    <font>
      <b/>
      <sz val="38"/>
      <color theme="1"/>
      <name val="Calibri"/>
      <family val="2"/>
      <scheme val="minor"/>
    </font>
    <font>
      <b/>
      <sz val="60"/>
      <color theme="1"/>
      <name val="Calibri"/>
      <family val="2"/>
      <scheme val="minor"/>
    </font>
    <font>
      <sz val="60"/>
      <color theme="1"/>
      <name val="Calibri"/>
      <family val="2"/>
      <scheme val="minor"/>
    </font>
    <font>
      <b/>
      <sz val="72"/>
      <color theme="1"/>
      <name val="Calibri"/>
      <family val="2"/>
      <scheme val="minor"/>
    </font>
    <font>
      <b/>
      <sz val="100"/>
      <color theme="1"/>
      <name val="Calibri"/>
      <family val="2"/>
      <scheme val="minor"/>
    </font>
    <font>
      <b/>
      <sz val="42"/>
      <color theme="1"/>
      <name val="Calibri"/>
      <family val="2"/>
      <scheme val="minor"/>
    </font>
    <font>
      <b/>
      <sz val="36"/>
      <color theme="1"/>
      <name val="Calibri"/>
      <family val="2"/>
      <scheme val="minor"/>
    </font>
    <font>
      <b/>
      <sz val="24"/>
      <color theme="1"/>
      <name val="Calibri"/>
      <family val="2"/>
      <scheme val="minor"/>
    </font>
    <font>
      <b/>
      <sz val="10"/>
      <color theme="1"/>
      <name val="Verdana"/>
      <family val="2"/>
    </font>
    <font>
      <sz val="10"/>
      <color theme="1"/>
      <name val="Verdana"/>
      <family val="2"/>
    </font>
    <font>
      <b/>
      <u/>
      <sz val="10"/>
      <color theme="1"/>
      <name val="Verdana"/>
      <family val="2"/>
    </font>
    <font>
      <u/>
      <sz val="11"/>
      <color theme="1"/>
      <name val="Calibri"/>
      <family val="2"/>
      <scheme val="minor"/>
    </font>
    <font>
      <sz val="10"/>
      <name val="Verdana"/>
      <family val="2"/>
    </font>
    <font>
      <b/>
      <sz val="10"/>
      <name val="Verdana"/>
      <family val="2"/>
    </font>
    <font>
      <sz val="13.5"/>
      <name val="Calibri"/>
      <family val="2"/>
      <scheme val="minor"/>
    </font>
    <font>
      <i/>
      <sz val="10"/>
      <name val="Arial"/>
      <family val="2"/>
    </font>
    <font>
      <sz val="11"/>
      <color rgb="FF1F497D"/>
      <name val="Calibri"/>
      <family val="2"/>
      <scheme val="minor"/>
    </font>
    <font>
      <sz val="7"/>
      <color rgb="FF1F497D"/>
      <name val="Times New Roman"/>
      <family val="1"/>
    </font>
  </fonts>
  <fills count="8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
      <patternFill patternType="solid">
        <fgColor theme="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22"/>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9"/>
      </patternFill>
    </fill>
    <fill>
      <patternFill patternType="gray125">
        <fgColor indexed="13"/>
      </patternFill>
    </fill>
    <fill>
      <patternFill patternType="lightGray">
        <fgColor indexed="13"/>
      </patternFill>
    </fill>
    <fill>
      <patternFill patternType="lightGray">
        <fgColor indexed="13"/>
        <bgColor indexed="9"/>
      </patternFill>
    </fill>
    <fill>
      <patternFill patternType="solid">
        <fgColor indexed="55"/>
      </patternFill>
    </fill>
    <fill>
      <patternFill patternType="gray125">
        <fgColor indexed="8"/>
        <bgColor indexed="9"/>
      </patternFill>
    </fill>
    <fill>
      <patternFill patternType="solid">
        <fgColor indexed="43"/>
      </patternFill>
    </fill>
    <fill>
      <patternFill patternType="solid">
        <fgColor indexed="26"/>
      </patternFill>
    </fill>
    <fill>
      <patternFill patternType="solid">
        <fgColor indexed="22"/>
        <bgColor indexed="0"/>
      </patternFill>
    </fill>
    <fill>
      <patternFill patternType="solid">
        <fgColor theme="3"/>
        <bgColor indexed="56"/>
      </patternFill>
    </fill>
    <fill>
      <patternFill patternType="solid">
        <fgColor theme="0" tint="-0.499984740745262"/>
        <bgColor indexed="64"/>
      </patternFill>
    </fill>
    <fill>
      <patternFill patternType="solid">
        <fgColor rgb="FFFFFF00"/>
        <bgColor indexed="64"/>
      </patternFill>
    </fill>
    <fill>
      <patternFill patternType="mediumGray"/>
    </fill>
    <fill>
      <patternFill patternType="solid">
        <fgColor indexed="65"/>
        <bgColor indexed="64"/>
      </patternFill>
    </fill>
    <fill>
      <patternFill patternType="solid">
        <fgColor theme="9" tint="0.59999389629810485"/>
        <bgColor indexed="64"/>
      </patternFill>
    </fill>
    <fill>
      <patternFill patternType="solid">
        <fgColor rgb="FFFFFFCC"/>
        <bgColor indexed="64"/>
      </patternFill>
    </fill>
    <fill>
      <patternFill patternType="solid">
        <fgColor indexed="26"/>
        <bgColor indexed="64"/>
      </patternFill>
    </fill>
    <fill>
      <patternFill patternType="solid">
        <fgColor rgb="FF92D050"/>
        <bgColor indexed="64"/>
      </patternFill>
    </fill>
    <fill>
      <patternFill patternType="solid">
        <fgColor theme="5" tint="0.59999389629810485"/>
        <bgColor indexed="64"/>
      </patternFill>
    </fill>
    <fill>
      <patternFill patternType="solid">
        <fgColor theme="1"/>
        <bgColor indexed="64"/>
      </patternFill>
    </fill>
    <fill>
      <patternFill patternType="solid">
        <fgColor theme="3" tint="0.39997558519241921"/>
        <bgColor indexed="64"/>
      </patternFill>
    </fill>
    <fill>
      <patternFill patternType="solid">
        <fgColor theme="9" tint="-0.249977111117893"/>
        <bgColor indexed="64"/>
      </patternFill>
    </fill>
    <fill>
      <patternFill patternType="mediumGray">
        <fgColor theme="0"/>
      </patternFill>
    </fill>
    <fill>
      <patternFill patternType="solid">
        <fgColor indexed="65"/>
        <bgColor theme="0"/>
      </patternFill>
    </fill>
    <fill>
      <patternFill patternType="solid">
        <fgColor rgb="FFFFC000"/>
        <bgColor indexed="64"/>
      </patternFill>
    </fill>
    <fill>
      <patternFill patternType="solid">
        <fgColor theme="0" tint="-0.34998626667073579"/>
        <bgColor indexed="64"/>
      </patternFill>
    </fill>
    <fill>
      <patternFill patternType="solid">
        <fgColor theme="2" tint="-9.9978637043366805E-2"/>
        <bgColor indexed="64"/>
      </patternFill>
    </fill>
    <fill>
      <patternFill patternType="solid">
        <fgColor theme="3" tint="0.59999389629810485"/>
        <bgColor indexed="64"/>
      </patternFill>
    </fill>
  </fills>
  <borders count="10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rgb="FFF79646"/>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ck">
        <color indexed="64"/>
      </top>
      <bottom style="double">
        <color indexed="64"/>
      </bottom>
      <diagonal/>
    </border>
    <border>
      <left style="thin">
        <color indexed="8"/>
      </left>
      <right style="thin">
        <color indexed="8"/>
      </right>
      <top style="thin">
        <color indexed="8"/>
      </top>
      <bottom style="thin">
        <color indexed="8"/>
      </bottom>
      <diagonal/>
    </border>
    <border>
      <left style="thin">
        <color indexed="64"/>
      </left>
      <right style="thin">
        <color indexed="64"/>
      </right>
      <top/>
      <bottom/>
      <diagonal/>
    </border>
    <border>
      <left/>
      <right/>
      <top/>
      <bottom style="medium">
        <color rgb="FFFF0000"/>
      </bottom>
      <diagonal/>
    </border>
    <border>
      <left/>
      <right/>
      <top style="medium">
        <color rgb="FFFF0000"/>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dashed">
        <color indexed="64"/>
      </bottom>
      <diagonal/>
    </border>
    <border>
      <left/>
      <right/>
      <top/>
      <bottom style="dashed">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medium">
        <color auto="1"/>
      </right>
      <top style="thin">
        <color auto="1"/>
      </top>
      <bottom style="thin">
        <color auto="1"/>
      </bottom>
      <diagonal/>
    </border>
    <border>
      <left/>
      <right/>
      <top style="thin">
        <color auto="1"/>
      </top>
      <bottom/>
      <diagonal/>
    </border>
    <border>
      <left style="thin">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ck">
        <color indexed="64"/>
      </left>
      <right style="thick">
        <color indexed="64"/>
      </right>
      <top style="thick">
        <color indexed="64"/>
      </top>
      <bottom style="thick">
        <color indexed="64"/>
      </bottom>
      <diagonal/>
    </border>
    <border>
      <left/>
      <right style="thick">
        <color indexed="64"/>
      </right>
      <top style="thick">
        <color indexed="64"/>
      </top>
      <bottom style="thick">
        <color indexed="64"/>
      </bottom>
      <diagonal/>
    </border>
    <border>
      <left style="thick">
        <color indexed="64"/>
      </left>
      <right/>
      <top/>
      <bottom/>
      <diagonal/>
    </border>
    <border>
      <left style="thin">
        <color indexed="8"/>
      </left>
      <right style="thin">
        <color indexed="8"/>
      </right>
      <top style="thin">
        <color indexed="8"/>
      </top>
      <bottom/>
      <diagonal/>
    </border>
    <border>
      <left style="thin">
        <color indexed="8"/>
      </left>
      <right style="thin">
        <color indexed="8"/>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auto="1"/>
      </left>
      <right style="medium">
        <color auto="1"/>
      </right>
      <top style="thin">
        <color auto="1"/>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s>
  <cellStyleXfs count="63077">
    <xf numFmtId="164" fontId="0" fillId="0" borderId="0"/>
    <xf numFmtId="0" fontId="23" fillId="35" borderId="0" applyNumberFormat="0" applyBorder="0" applyAlignment="0" applyProtection="0"/>
    <xf numFmtId="0" fontId="23" fillId="35"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22" fillId="10" borderId="0" applyNumberFormat="0" applyBorder="0" applyAlignment="0" applyProtection="0"/>
    <xf numFmtId="0" fontId="23" fillId="35"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22" fillId="10" borderId="0" applyNumberFormat="0" applyBorder="0" applyAlignment="0" applyProtection="0"/>
    <xf numFmtId="0" fontId="23" fillId="36" borderId="0" applyNumberFormat="0" applyBorder="0" applyAlignment="0" applyProtection="0"/>
    <xf numFmtId="0" fontId="23" fillId="36"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22" fillId="14" borderId="0" applyNumberFormat="0" applyBorder="0" applyAlignment="0" applyProtection="0"/>
    <xf numFmtId="0" fontId="23" fillId="36"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22" fillId="14"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22" fillId="18" borderId="0" applyNumberFormat="0" applyBorder="0" applyAlignment="0" applyProtection="0"/>
    <xf numFmtId="0" fontId="23" fillId="37"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22" fillId="1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22" fillId="22" borderId="0" applyNumberFormat="0" applyBorder="0" applyAlignment="0" applyProtection="0"/>
    <xf numFmtId="0" fontId="23" fillId="38"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22" fillId="22"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22" fillId="26" borderId="0" applyNumberFormat="0" applyBorder="0" applyAlignment="0" applyProtection="0"/>
    <xf numFmtId="0" fontId="23" fillId="39"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22" fillId="26"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23" fillId="41" borderId="0" applyNumberFormat="0" applyBorder="0" applyAlignment="0" applyProtection="0"/>
    <xf numFmtId="0" fontId="1" fillId="30" borderId="0" applyNumberFormat="0" applyBorder="0" applyAlignment="0" applyProtection="0"/>
    <xf numFmtId="0" fontId="22" fillId="30" borderId="0" applyNumberFormat="0" applyBorder="0" applyAlignment="0" applyProtection="0"/>
    <xf numFmtId="0" fontId="23" fillId="41" borderId="0" applyNumberFormat="0" applyBorder="0" applyAlignment="0" applyProtection="0"/>
    <xf numFmtId="0" fontId="23" fillId="4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22" fillId="30"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23" fillId="42"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23" fillId="43" borderId="0" applyNumberFormat="0" applyBorder="0" applyAlignment="0" applyProtection="0"/>
    <xf numFmtId="0" fontId="23" fillId="43"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23" fillId="43"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23" fillId="44"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23" fillId="38"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23" fillId="4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23" fillId="45" borderId="0" applyNumberFormat="0" applyBorder="0" applyAlignment="0" applyProtection="0"/>
    <xf numFmtId="0" fontId="23" fillId="45"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23" fillId="45"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24" fillId="46" borderId="0" applyNumberFormat="0" applyBorder="0" applyAlignment="0" applyProtection="0"/>
    <xf numFmtId="0" fontId="24" fillId="46"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25" fillId="12" borderId="0" applyNumberFormat="0" applyBorder="0" applyAlignment="0" applyProtection="0"/>
    <xf numFmtId="0" fontId="24" fillId="46" borderId="0" applyNumberFormat="0" applyBorder="0" applyAlignment="0" applyProtection="0"/>
    <xf numFmtId="0" fontId="25" fillId="12" borderId="0" applyNumberFormat="0" applyBorder="0" applyAlignment="0" applyProtection="0"/>
    <xf numFmtId="0" fontId="24" fillId="43" borderId="0" applyNumberFormat="0" applyBorder="0" applyAlignment="0" applyProtection="0"/>
    <xf numFmtId="0" fontId="24" fillId="43" borderId="0" applyNumberFormat="0" applyBorder="0" applyAlignment="0" applyProtection="0"/>
    <xf numFmtId="0" fontId="16" fillId="16" borderId="0" applyNumberFormat="0" applyBorder="0" applyAlignment="0" applyProtection="0"/>
    <xf numFmtId="0" fontId="16" fillId="16" borderId="0" applyNumberFormat="0" applyBorder="0" applyAlignment="0" applyProtection="0"/>
    <xf numFmtId="0" fontId="25" fillId="16" borderId="0" applyNumberFormat="0" applyBorder="0" applyAlignment="0" applyProtection="0"/>
    <xf numFmtId="0" fontId="24" fillId="43" borderId="0" applyNumberFormat="0" applyBorder="0" applyAlignment="0" applyProtection="0"/>
    <xf numFmtId="0" fontId="25" fillId="16" borderId="0" applyNumberFormat="0" applyBorder="0" applyAlignment="0" applyProtection="0"/>
    <xf numFmtId="0" fontId="24" fillId="44" borderId="0" applyNumberFormat="0" applyBorder="0" applyAlignment="0" applyProtection="0"/>
    <xf numFmtId="0" fontId="24" fillId="44" borderId="0" applyNumberFormat="0" applyBorder="0" applyAlignment="0" applyProtection="0"/>
    <xf numFmtId="0" fontId="16" fillId="20" borderId="0" applyNumberFormat="0" applyBorder="0" applyAlignment="0" applyProtection="0"/>
    <xf numFmtId="0" fontId="16" fillId="20" borderId="0" applyNumberFormat="0" applyBorder="0" applyAlignment="0" applyProtection="0"/>
    <xf numFmtId="0" fontId="25" fillId="20" borderId="0" applyNumberFormat="0" applyBorder="0" applyAlignment="0" applyProtection="0"/>
    <xf numFmtId="0" fontId="24" fillId="44" borderId="0" applyNumberFormat="0" applyBorder="0" applyAlignment="0" applyProtection="0"/>
    <xf numFmtId="0" fontId="25" fillId="20" borderId="0" applyNumberFormat="0" applyBorder="0" applyAlignment="0" applyProtection="0"/>
    <xf numFmtId="0" fontId="24" fillId="47" borderId="0" applyNumberFormat="0" applyBorder="0" applyAlignment="0" applyProtection="0"/>
    <xf numFmtId="0" fontId="24" fillId="47" borderId="0" applyNumberFormat="0" applyBorder="0" applyAlignment="0" applyProtection="0"/>
    <xf numFmtId="0" fontId="16" fillId="24" borderId="0" applyNumberFormat="0" applyBorder="0" applyAlignment="0" applyProtection="0"/>
    <xf numFmtId="0" fontId="16" fillId="24" borderId="0" applyNumberFormat="0" applyBorder="0" applyAlignment="0" applyProtection="0"/>
    <xf numFmtId="0" fontId="25" fillId="24" borderId="0" applyNumberFormat="0" applyBorder="0" applyAlignment="0" applyProtection="0"/>
    <xf numFmtId="0" fontId="24" fillId="47" borderId="0" applyNumberFormat="0" applyBorder="0" applyAlignment="0" applyProtection="0"/>
    <xf numFmtId="0" fontId="25" fillId="24" borderId="0" applyNumberFormat="0" applyBorder="0" applyAlignment="0" applyProtection="0"/>
    <xf numFmtId="0" fontId="24" fillId="48" borderId="0" applyNumberFormat="0" applyBorder="0" applyAlignment="0" applyProtection="0"/>
    <xf numFmtId="0" fontId="24" fillId="48" borderId="0" applyNumberFormat="0" applyBorder="0" applyAlignment="0" applyProtection="0"/>
    <xf numFmtId="0" fontId="16" fillId="28" borderId="0" applyNumberFormat="0" applyBorder="0" applyAlignment="0" applyProtection="0"/>
    <xf numFmtId="0" fontId="16" fillId="28" borderId="0" applyNumberFormat="0" applyBorder="0" applyAlignment="0" applyProtection="0"/>
    <xf numFmtId="0" fontId="25" fillId="28" borderId="0" applyNumberFormat="0" applyBorder="0" applyAlignment="0" applyProtection="0"/>
    <xf numFmtId="0" fontId="24" fillId="48" borderId="0" applyNumberFormat="0" applyBorder="0" applyAlignment="0" applyProtection="0"/>
    <xf numFmtId="0" fontId="25" fillId="28" borderId="0" applyNumberFormat="0" applyBorder="0" applyAlignment="0" applyProtection="0"/>
    <xf numFmtId="0" fontId="24" fillId="49" borderId="0" applyNumberFormat="0" applyBorder="0" applyAlignment="0" applyProtection="0"/>
    <xf numFmtId="0" fontId="24" fillId="49" borderId="0" applyNumberFormat="0" applyBorder="0" applyAlignment="0" applyProtection="0"/>
    <xf numFmtId="0" fontId="16" fillId="32" borderId="0" applyNumberFormat="0" applyBorder="0" applyAlignment="0" applyProtection="0"/>
    <xf numFmtId="0" fontId="16" fillId="32" borderId="0" applyNumberFormat="0" applyBorder="0" applyAlignment="0" applyProtection="0"/>
    <xf numFmtId="0" fontId="25" fillId="32" borderId="0" applyNumberFormat="0" applyBorder="0" applyAlignment="0" applyProtection="0"/>
    <xf numFmtId="0" fontId="24" fillId="49" borderId="0" applyNumberFormat="0" applyBorder="0" applyAlignment="0" applyProtection="0"/>
    <xf numFmtId="0" fontId="25" fillId="32" borderId="0" applyNumberFormat="0" applyBorder="0" applyAlignment="0" applyProtection="0"/>
    <xf numFmtId="0" fontId="24" fillId="50" borderId="0" applyNumberFormat="0" applyBorder="0" applyAlignment="0" applyProtection="0"/>
    <xf numFmtId="0" fontId="24" fillId="50"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25" fillId="9" borderId="0" applyNumberFormat="0" applyBorder="0" applyAlignment="0" applyProtection="0"/>
    <xf numFmtId="0" fontId="24" fillId="50" borderId="0" applyNumberFormat="0" applyBorder="0" applyAlignment="0" applyProtection="0"/>
    <xf numFmtId="0" fontId="25" fillId="9" borderId="0" applyNumberFormat="0" applyBorder="0" applyAlignment="0" applyProtection="0"/>
    <xf numFmtId="0" fontId="24" fillId="51" borderId="0" applyNumberFormat="0" applyBorder="0" applyAlignment="0" applyProtection="0"/>
    <xf numFmtId="0" fontId="24" fillId="51"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25" fillId="13" borderId="0" applyNumberFormat="0" applyBorder="0" applyAlignment="0" applyProtection="0"/>
    <xf numFmtId="0" fontId="24" fillId="51" borderId="0" applyNumberFormat="0" applyBorder="0" applyAlignment="0" applyProtection="0"/>
    <xf numFmtId="0" fontId="25" fillId="13" borderId="0" applyNumberFormat="0" applyBorder="0" applyAlignment="0" applyProtection="0"/>
    <xf numFmtId="0" fontId="24" fillId="52" borderId="0" applyNumberFormat="0" applyBorder="0" applyAlignment="0" applyProtection="0"/>
    <xf numFmtId="0" fontId="24" fillId="52" borderId="0" applyNumberFormat="0" applyBorder="0" applyAlignment="0" applyProtection="0"/>
    <xf numFmtId="0" fontId="16" fillId="17" borderId="0" applyNumberFormat="0" applyBorder="0" applyAlignment="0" applyProtection="0"/>
    <xf numFmtId="0" fontId="16" fillId="17" borderId="0" applyNumberFormat="0" applyBorder="0" applyAlignment="0" applyProtection="0"/>
    <xf numFmtId="0" fontId="25" fillId="17" borderId="0" applyNumberFormat="0" applyBorder="0" applyAlignment="0" applyProtection="0"/>
    <xf numFmtId="0" fontId="24" fillId="52" borderId="0" applyNumberFormat="0" applyBorder="0" applyAlignment="0" applyProtection="0"/>
    <xf numFmtId="0" fontId="25" fillId="17" borderId="0" applyNumberFormat="0" applyBorder="0" applyAlignment="0" applyProtection="0"/>
    <xf numFmtId="0" fontId="24" fillId="47" borderId="0" applyNumberFormat="0" applyBorder="0" applyAlignment="0" applyProtection="0"/>
    <xf numFmtId="0" fontId="24" fillId="47" borderId="0" applyNumberFormat="0" applyBorder="0" applyAlignment="0" applyProtection="0"/>
    <xf numFmtId="0" fontId="16" fillId="21" borderId="0" applyNumberFormat="0" applyBorder="0" applyAlignment="0" applyProtection="0"/>
    <xf numFmtId="0" fontId="16" fillId="21" borderId="0" applyNumberFormat="0" applyBorder="0" applyAlignment="0" applyProtection="0"/>
    <xf numFmtId="0" fontId="25" fillId="21" borderId="0" applyNumberFormat="0" applyBorder="0" applyAlignment="0" applyProtection="0"/>
    <xf numFmtId="0" fontId="24" fillId="47" borderId="0" applyNumberFormat="0" applyBorder="0" applyAlignment="0" applyProtection="0"/>
    <xf numFmtId="0" fontId="25" fillId="21" borderId="0" applyNumberFormat="0" applyBorder="0" applyAlignment="0" applyProtection="0"/>
    <xf numFmtId="0" fontId="24" fillId="48" borderId="0" applyNumberFormat="0" applyBorder="0" applyAlignment="0" applyProtection="0"/>
    <xf numFmtId="0" fontId="24" fillId="48" borderId="0" applyNumberFormat="0" applyBorder="0" applyAlignment="0" applyProtection="0"/>
    <xf numFmtId="0" fontId="16" fillId="25" borderId="0" applyNumberFormat="0" applyBorder="0" applyAlignment="0" applyProtection="0"/>
    <xf numFmtId="0" fontId="16" fillId="25" borderId="0" applyNumberFormat="0" applyBorder="0" applyAlignment="0" applyProtection="0"/>
    <xf numFmtId="0" fontId="25" fillId="25" borderId="0" applyNumberFormat="0" applyBorder="0" applyAlignment="0" applyProtection="0"/>
    <xf numFmtId="0" fontId="24" fillId="48" borderId="0" applyNumberFormat="0" applyBorder="0" applyAlignment="0" applyProtection="0"/>
    <xf numFmtId="0" fontId="25" fillId="25" borderId="0" applyNumberFormat="0" applyBorder="0" applyAlignment="0" applyProtection="0"/>
    <xf numFmtId="0" fontId="24" fillId="53" borderId="0" applyNumberFormat="0" applyBorder="0" applyAlignment="0" applyProtection="0"/>
    <xf numFmtId="0" fontId="24" fillId="53" borderId="0" applyNumberFormat="0" applyBorder="0" applyAlignment="0" applyProtection="0"/>
    <xf numFmtId="0" fontId="16" fillId="29" borderId="0" applyNumberFormat="0" applyBorder="0" applyAlignment="0" applyProtection="0"/>
    <xf numFmtId="0" fontId="16" fillId="29" borderId="0" applyNumberFormat="0" applyBorder="0" applyAlignment="0" applyProtection="0"/>
    <xf numFmtId="0" fontId="25" fillId="29" borderId="0" applyNumberFormat="0" applyBorder="0" applyAlignment="0" applyProtection="0"/>
    <xf numFmtId="0" fontId="24" fillId="53" borderId="0" applyNumberFormat="0" applyBorder="0" applyAlignment="0" applyProtection="0"/>
    <xf numFmtId="0" fontId="25" fillId="29" borderId="0" applyNumberFormat="0" applyBorder="0" applyAlignment="0" applyProtection="0"/>
    <xf numFmtId="168" fontId="26" fillId="0" borderId="0" applyFont="0" applyFill="0" applyBorder="0" applyAlignment="0" applyProtection="0"/>
    <xf numFmtId="0" fontId="26" fillId="54" borderId="0" applyBorder="0">
      <alignment horizontal="left"/>
      <protection locked="0"/>
    </xf>
    <xf numFmtId="0" fontId="27" fillId="55" borderId="0" applyNumberFormat="0" applyBorder="0">
      <alignment horizontal="centerContinuous"/>
      <protection locked="0"/>
    </xf>
    <xf numFmtId="169" fontId="28" fillId="56" borderId="0" applyBorder="0">
      <alignment horizontal="center"/>
      <protection locked="0"/>
    </xf>
    <xf numFmtId="3" fontId="28" fillId="55" borderId="0" applyBorder="0">
      <alignment horizontal="right"/>
      <protection locked="0"/>
    </xf>
    <xf numFmtId="0" fontId="29" fillId="56" borderId="0" applyNumberFormat="0" applyBorder="0">
      <alignment horizontal="centerContinuous"/>
      <protection locked="0"/>
    </xf>
    <xf numFmtId="168" fontId="28" fillId="57" borderId="0" applyBorder="0">
      <alignment horizontal="center"/>
      <protection locked="0"/>
    </xf>
    <xf numFmtId="168" fontId="28" fillId="57" borderId="0" applyBorder="0">
      <alignment horizontal="center"/>
      <protection locked="0"/>
    </xf>
    <xf numFmtId="168" fontId="28" fillId="57" borderId="0" applyBorder="0">
      <alignment horizontal="center"/>
      <protection locked="0"/>
    </xf>
    <xf numFmtId="169" fontId="26" fillId="55" borderId="12" applyNumberFormat="0" applyFont="0" applyFill="0" applyAlignment="0" applyProtection="0">
      <protection locked="0"/>
    </xf>
    <xf numFmtId="169" fontId="26" fillId="55" borderId="12" applyNumberFormat="0" applyFont="0" applyFill="0" applyAlignment="0" applyProtection="0">
      <protection locked="0"/>
    </xf>
    <xf numFmtId="169" fontId="26" fillId="55" borderId="12" applyNumberFormat="0" applyFont="0" applyFill="0" applyAlignment="0" applyProtection="0">
      <protection locked="0"/>
    </xf>
    <xf numFmtId="3" fontId="28" fillId="54" borderId="0" applyBorder="0">
      <alignment horizontal="right"/>
      <protection locked="0"/>
    </xf>
    <xf numFmtId="169" fontId="30" fillId="0" borderId="0" applyFont="0" applyFill="0" applyBorder="0" applyAlignment="0" applyProtection="0">
      <alignment horizontal="center"/>
      <protection locked="0"/>
    </xf>
    <xf numFmtId="169" fontId="30" fillId="0" borderId="0" applyFont="0" applyFill="0" applyBorder="0" applyAlignment="0">
      <alignment horizontal="center"/>
      <protection locked="0"/>
    </xf>
    <xf numFmtId="169" fontId="30" fillId="0" borderId="0" applyFont="0" applyFill="0" applyBorder="0" applyAlignment="0" applyProtection="0">
      <alignment horizontal="center"/>
      <protection locked="0"/>
    </xf>
    <xf numFmtId="3" fontId="28" fillId="56" borderId="0" applyBorder="0">
      <alignment horizontal="right"/>
      <protection locked="0"/>
    </xf>
    <xf numFmtId="0" fontId="31" fillId="36" borderId="0" applyNumberFormat="0" applyBorder="0" applyAlignment="0" applyProtection="0"/>
    <xf numFmtId="0" fontId="31" fillId="36"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32" fillId="3" borderId="0" applyNumberFormat="0" applyBorder="0" applyAlignment="0" applyProtection="0"/>
    <xf numFmtId="0" fontId="31" fillId="36" borderId="0" applyNumberFormat="0" applyBorder="0" applyAlignment="0" applyProtection="0"/>
    <xf numFmtId="0" fontId="32" fillId="3" borderId="0" applyNumberFormat="0" applyBorder="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10" fillId="6" borderId="4"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4" fillId="6" borderId="4"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3" fillId="41" borderId="18" applyNumberFormat="0" applyAlignment="0" applyProtection="0"/>
    <xf numFmtId="0" fontId="34" fillId="6" borderId="4" applyNumberFormat="0" applyAlignment="0" applyProtection="0"/>
    <xf numFmtId="0" fontId="35" fillId="58" borderId="19" applyNumberFormat="0" applyAlignment="0" applyProtection="0"/>
    <xf numFmtId="0" fontId="35" fillId="58" borderId="19" applyNumberFormat="0" applyAlignment="0" applyProtection="0"/>
    <xf numFmtId="0" fontId="12" fillId="7" borderId="7" applyNumberFormat="0" applyAlignment="0" applyProtection="0"/>
    <xf numFmtId="0" fontId="12" fillId="7" borderId="7" applyNumberFormat="0" applyAlignment="0" applyProtection="0"/>
    <xf numFmtId="0" fontId="36" fillId="7" borderId="7" applyNumberFormat="0" applyAlignment="0" applyProtection="0"/>
    <xf numFmtId="0" fontId="35" fillId="58" borderId="19" applyNumberFormat="0" applyAlignment="0" applyProtection="0"/>
    <xf numFmtId="0" fontId="36" fillId="7" borderId="7" applyNumberFormat="0" applyAlignment="0" applyProtection="0"/>
    <xf numFmtId="43" fontId="26"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1" fillId="0" borderId="0" applyFont="0" applyFill="0" applyBorder="0" applyAlignment="0" applyProtection="0"/>
    <xf numFmtId="170" fontId="26" fillId="0" borderId="0" applyFont="0" applyFill="0" applyBorder="0" applyAlignment="0" applyProtection="0"/>
    <xf numFmtId="43" fontId="26" fillId="0" borderId="0" applyFont="0" applyFill="0" applyBorder="0" applyAlignment="0" applyProtection="0"/>
    <xf numFmtId="43" fontId="3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37" fillId="0" borderId="0" applyFont="0" applyFill="0" applyBorder="0" applyAlignment="0" applyProtection="0">
      <alignment vertical="top"/>
    </xf>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6" fillId="0" borderId="0" applyFont="0" applyFill="0" applyBorder="0" applyAlignment="0" applyProtection="0"/>
    <xf numFmtId="43" fontId="1" fillId="0" borderId="0" applyFont="0" applyFill="0" applyBorder="0" applyAlignment="0" applyProtection="0"/>
    <xf numFmtId="43" fontId="37" fillId="0" borderId="0" applyFont="0" applyFill="0" applyBorder="0" applyAlignment="0" applyProtection="0"/>
    <xf numFmtId="43" fontId="23"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3"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37"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3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3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37" fillId="0" borderId="0" applyFont="0" applyFill="0" applyBorder="0" applyAlignment="0" applyProtection="0"/>
    <xf numFmtId="43" fontId="1" fillId="0" borderId="0" applyFont="0" applyFill="0" applyBorder="0" applyAlignment="0" applyProtection="0"/>
    <xf numFmtId="43" fontId="37" fillId="0" borderId="0" applyFont="0" applyFill="0" applyBorder="0" applyAlignment="0" applyProtection="0"/>
    <xf numFmtId="43" fontId="1" fillId="0" borderId="0" applyFont="0" applyFill="0" applyBorder="0" applyAlignment="0" applyProtection="0"/>
    <xf numFmtId="43" fontId="26" fillId="0" borderId="0" applyFont="0" applyFill="0" applyBorder="0" applyAlignment="0" applyProtection="0"/>
    <xf numFmtId="43" fontId="3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3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3" fontId="26" fillId="0" borderId="0" applyFont="0" applyFill="0" applyBorder="0" applyAlignment="0" applyProtection="0"/>
    <xf numFmtId="44" fontId="40" fillId="0" borderId="0" applyFont="0" applyFill="0" applyBorder="0" applyAlignment="0" applyProtection="0"/>
    <xf numFmtId="44" fontId="41" fillId="0" borderId="0" applyFont="0" applyFill="0" applyBorder="0" applyAlignment="0" applyProtection="0"/>
    <xf numFmtId="44" fontId="26" fillId="0" borderId="0" applyFont="0" applyFill="0" applyBorder="0" applyAlignment="0" applyProtection="0"/>
    <xf numFmtId="44" fontId="26" fillId="0" borderId="0" applyFont="0" applyFill="0" applyBorder="0" applyAlignment="0" applyProtection="0"/>
    <xf numFmtId="44" fontId="26" fillId="0" borderId="0" applyFont="0" applyFill="0" applyBorder="0" applyAlignment="0" applyProtection="0"/>
    <xf numFmtId="44" fontId="42" fillId="0" borderId="0" applyFont="0" applyFill="0" applyBorder="0" applyAlignment="0" applyProtection="0"/>
    <xf numFmtId="44" fontId="3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42" fillId="0" borderId="0" applyFont="0" applyFill="0" applyBorder="0" applyAlignment="0" applyProtection="0"/>
    <xf numFmtId="44" fontId="39" fillId="0" borderId="0" applyFont="0" applyFill="0" applyBorder="0" applyAlignment="0" applyProtection="0"/>
    <xf numFmtId="44" fontId="26" fillId="0" borderId="0" applyFont="0" applyFill="0" applyBorder="0" applyAlignment="0" applyProtection="0"/>
    <xf numFmtId="44" fontId="39" fillId="0" borderId="0" applyFont="0" applyFill="0" applyBorder="0" applyAlignment="0" applyProtection="0"/>
    <xf numFmtId="44" fontId="1" fillId="0" borderId="0" applyFont="0" applyFill="0" applyBorder="0" applyAlignment="0" applyProtection="0"/>
    <xf numFmtId="44" fontId="39" fillId="0" borderId="0" applyFont="0" applyFill="0" applyBorder="0" applyAlignment="0" applyProtection="0"/>
    <xf numFmtId="44" fontId="41" fillId="0" borderId="0" applyFont="0" applyFill="0" applyBorder="0" applyAlignment="0" applyProtection="0"/>
    <xf numFmtId="44" fontId="39" fillId="0" borderId="0" applyFont="0" applyFill="0" applyBorder="0" applyAlignment="0" applyProtection="0"/>
    <xf numFmtId="44" fontId="38"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4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2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2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2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2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38"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2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2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2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41" fillId="0" borderId="0" applyFont="0" applyFill="0" applyBorder="0" applyAlignment="0" applyProtection="0"/>
    <xf numFmtId="44" fontId="2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1" fontId="26" fillId="0" borderId="0" applyFont="0" applyFill="0" applyBorder="0" applyAlignment="0" applyProtection="0"/>
    <xf numFmtId="172" fontId="26" fillId="0" borderId="0" applyFont="0" applyFill="0" applyBorder="0" applyAlignment="0" applyProtection="0"/>
    <xf numFmtId="3" fontId="43" fillId="56" borderId="0" applyBorder="0">
      <alignment horizontal="center"/>
      <protection locked="0"/>
    </xf>
    <xf numFmtId="0" fontId="44" fillId="0" borderId="0" applyNumberFormat="0" applyFill="0" applyBorder="0" applyAlignment="0" applyProtection="0"/>
    <xf numFmtId="0" fontId="4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2" fontId="26" fillId="0" borderId="0" applyFont="0" applyFill="0" applyBorder="0" applyAlignment="0" applyProtection="0"/>
    <xf numFmtId="0" fontId="46" fillId="37" borderId="0" applyNumberFormat="0" applyBorder="0" applyAlignment="0" applyProtection="0"/>
    <xf numFmtId="0" fontId="46" fillId="37" borderId="0" applyNumberFormat="0" applyBorder="0" applyAlignment="0" applyProtection="0"/>
    <xf numFmtId="0" fontId="5" fillId="2" borderId="0" applyNumberFormat="0" applyBorder="0" applyAlignment="0" applyProtection="0"/>
    <xf numFmtId="0" fontId="5" fillId="2" borderId="0" applyNumberFormat="0" applyBorder="0" applyAlignment="0" applyProtection="0"/>
    <xf numFmtId="0" fontId="47" fillId="2" borderId="0" applyNumberFormat="0" applyBorder="0" applyAlignment="0" applyProtection="0"/>
    <xf numFmtId="0" fontId="46" fillId="37" borderId="0" applyNumberFormat="0" applyBorder="0" applyAlignment="0" applyProtection="0"/>
    <xf numFmtId="0" fontId="47" fillId="2" borderId="0" applyNumberFormat="0" applyBorder="0" applyAlignment="0" applyProtection="0"/>
    <xf numFmtId="0" fontId="48" fillId="59" borderId="14" applyFont="0" applyBorder="0" applyAlignment="0"/>
    <xf numFmtId="0" fontId="49" fillId="0" borderId="20" applyNumberFormat="0" applyFill="0" applyAlignment="0" applyProtection="0"/>
    <xf numFmtId="0" fontId="49" fillId="0" borderId="20" applyNumberFormat="0" applyFill="0" applyAlignment="0" applyProtection="0"/>
    <xf numFmtId="0" fontId="50" fillId="0" borderId="21" applyNumberFormat="0" applyFill="0" applyAlignment="0" applyProtection="0"/>
    <xf numFmtId="0" fontId="2" fillId="0" borderId="1" applyNumberFormat="0" applyFill="0" applyAlignment="0" applyProtection="0"/>
    <xf numFmtId="0" fontId="51" fillId="0" borderId="1" applyNumberFormat="0" applyFill="0" applyAlignment="0" applyProtection="0"/>
    <xf numFmtId="0" fontId="49" fillId="0" borderId="20" applyNumberFormat="0" applyFill="0" applyAlignment="0" applyProtection="0"/>
    <xf numFmtId="0" fontId="49" fillId="0" borderId="20" applyNumberFormat="0" applyFill="0" applyAlignment="0" applyProtection="0"/>
    <xf numFmtId="0" fontId="2" fillId="0" borderId="1" applyNumberFormat="0" applyFill="0" applyAlignment="0" applyProtection="0"/>
    <xf numFmtId="0" fontId="51" fillId="0" borderId="1" applyNumberFormat="0" applyFill="0" applyAlignment="0" applyProtection="0"/>
    <xf numFmtId="0" fontId="52" fillId="0" borderId="22" applyNumberFormat="0" applyFill="0" applyAlignment="0" applyProtection="0"/>
    <xf numFmtId="0" fontId="52" fillId="0" borderId="22" applyNumberFormat="0" applyFill="0" applyAlignment="0" applyProtection="0"/>
    <xf numFmtId="0" fontId="3" fillId="0" borderId="2" applyNumberFormat="0" applyFill="0" applyAlignment="0" applyProtection="0"/>
    <xf numFmtId="0" fontId="53" fillId="0" borderId="2" applyNumberFormat="0" applyFill="0" applyAlignment="0" applyProtection="0"/>
    <xf numFmtId="0" fontId="52" fillId="0" borderId="22" applyNumberFormat="0" applyFill="0" applyAlignment="0" applyProtection="0"/>
    <xf numFmtId="0" fontId="53" fillId="0" borderId="2" applyNumberFormat="0" applyFill="0" applyAlignment="0" applyProtection="0"/>
    <xf numFmtId="0" fontId="54" fillId="0" borderId="23" applyNumberFormat="0" applyFill="0" applyAlignment="0" applyProtection="0"/>
    <xf numFmtId="0" fontId="54" fillId="0" borderId="23" applyNumberFormat="0" applyFill="0" applyAlignment="0" applyProtection="0"/>
    <xf numFmtId="0" fontId="54" fillId="0" borderId="23" applyNumberFormat="0" applyFill="0" applyAlignment="0" applyProtection="0"/>
    <xf numFmtId="0" fontId="54" fillId="0" borderId="23" applyNumberFormat="0" applyFill="0" applyAlignment="0" applyProtection="0"/>
    <xf numFmtId="0" fontId="54" fillId="0" borderId="23" applyNumberFormat="0" applyFill="0" applyAlignment="0" applyProtection="0"/>
    <xf numFmtId="0" fontId="54" fillId="0" borderId="23" applyNumberFormat="0" applyFill="0" applyAlignment="0" applyProtection="0"/>
    <xf numFmtId="0" fontId="54" fillId="0" borderId="23" applyNumberFormat="0" applyFill="0" applyAlignment="0" applyProtection="0"/>
    <xf numFmtId="0" fontId="54" fillId="0" borderId="23" applyNumberFormat="0" applyFill="0" applyAlignment="0" applyProtection="0"/>
    <xf numFmtId="0" fontId="54" fillId="0" borderId="23" applyNumberFormat="0" applyFill="0" applyAlignment="0" applyProtection="0"/>
    <xf numFmtId="0" fontId="4" fillId="0" borderId="3" applyNumberFormat="0" applyFill="0" applyAlignment="0" applyProtection="0"/>
    <xf numFmtId="0" fontId="54" fillId="0" borderId="23" applyNumberFormat="0" applyFill="0" applyAlignment="0" applyProtection="0"/>
    <xf numFmtId="0" fontId="54" fillId="0" borderId="23" applyNumberFormat="0" applyFill="0" applyAlignment="0" applyProtection="0"/>
    <xf numFmtId="0" fontId="55" fillId="0" borderId="3" applyNumberFormat="0" applyFill="0" applyAlignment="0" applyProtection="0"/>
    <xf numFmtId="0" fontId="54" fillId="0" borderId="23" applyNumberFormat="0" applyFill="0" applyAlignment="0" applyProtection="0"/>
    <xf numFmtId="0" fontId="54" fillId="0" borderId="23" applyNumberFormat="0" applyFill="0" applyAlignment="0" applyProtection="0"/>
    <xf numFmtId="0" fontId="55" fillId="0" borderId="3" applyNumberFormat="0" applyFill="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4" fillId="0" borderId="0" applyNumberFormat="0" applyFill="0" applyBorder="0" applyAlignment="0" applyProtection="0"/>
    <xf numFmtId="0" fontId="56"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4" fillId="0" borderId="0" applyNumberFormat="0" applyFill="0" applyBorder="0" applyAlignment="0" applyProtection="0"/>
    <xf numFmtId="0" fontId="55" fillId="0" borderId="0" applyNumberFormat="0" applyFill="0" applyBorder="0" applyAlignment="0" applyProtection="0"/>
    <xf numFmtId="0" fontId="57" fillId="0" borderId="0" applyNumberFormat="0" applyFill="0" applyBorder="0" applyAlignment="0" applyProtection="0">
      <alignment vertical="top"/>
      <protection locked="0"/>
    </xf>
    <xf numFmtId="0" fontId="58" fillId="0" borderId="0" applyNumberFormat="0" applyFill="0" applyBorder="0" applyAlignment="0" applyProtection="0">
      <alignment vertical="top"/>
      <protection locked="0"/>
    </xf>
    <xf numFmtId="0" fontId="59" fillId="0" borderId="0" applyNumberFormat="0" applyFill="0" applyBorder="0" applyAlignment="0" applyProtection="0">
      <alignment vertical="top"/>
      <protection locked="0"/>
    </xf>
    <xf numFmtId="0" fontId="60" fillId="0" borderId="0" applyNumberFormat="0" applyFill="0" applyBorder="0" applyAlignment="0" applyProtection="0">
      <alignment vertical="top"/>
      <protection locked="0"/>
    </xf>
    <xf numFmtId="0" fontId="61" fillId="0" borderId="0" applyNumberFormat="0" applyFill="0" applyBorder="0" applyAlignment="0" applyProtection="0">
      <alignment vertical="top"/>
      <protection locked="0"/>
    </xf>
    <xf numFmtId="0" fontId="62" fillId="0" borderId="0" applyNumberFormat="0" applyFill="0" applyBorder="0" applyAlignment="0" applyProtection="0"/>
    <xf numFmtId="0" fontId="63" fillId="0" borderId="0" applyNumberFormat="0" applyFill="0" applyBorder="0" applyAlignment="0" applyProtection="0">
      <alignment vertical="top"/>
      <protection locked="0"/>
    </xf>
    <xf numFmtId="0" fontId="59" fillId="0" borderId="0" applyNumberFormat="0" applyFill="0" applyBorder="0" applyAlignment="0" applyProtection="0">
      <alignment vertical="top"/>
      <protection locked="0"/>
    </xf>
    <xf numFmtId="0" fontId="58" fillId="0" borderId="0" applyNumberFormat="0" applyFill="0" applyBorder="0" applyAlignment="0" applyProtection="0">
      <alignment vertical="top"/>
      <protection locked="0"/>
    </xf>
    <xf numFmtId="0" fontId="60" fillId="0" borderId="0" applyNumberFormat="0" applyFill="0" applyBorder="0" applyAlignment="0" applyProtection="0">
      <alignment vertical="top"/>
      <protection locked="0"/>
    </xf>
    <xf numFmtId="0" fontId="60" fillId="0" borderId="0" applyNumberFormat="0" applyFill="0" applyBorder="0" applyAlignment="0" applyProtection="0">
      <alignment vertical="top"/>
      <protection locked="0"/>
    </xf>
    <xf numFmtId="0" fontId="64" fillId="0" borderId="0" applyNumberFormat="0" applyFill="0" applyBorder="0" applyAlignment="0" applyProtection="0">
      <alignment vertical="top"/>
      <protection locked="0"/>
    </xf>
    <xf numFmtId="0" fontId="58" fillId="0" borderId="0" applyNumberFormat="0" applyFill="0" applyBorder="0" applyAlignment="0" applyProtection="0"/>
    <xf numFmtId="0" fontId="64" fillId="0" borderId="0" applyNumberFormat="0" applyFill="0" applyBorder="0" applyAlignment="0" applyProtection="0">
      <alignment vertical="top"/>
      <protection locked="0"/>
    </xf>
    <xf numFmtId="0" fontId="64" fillId="0" borderId="0" applyNumberFormat="0" applyFill="0" applyBorder="0" applyAlignment="0" applyProtection="0">
      <alignment vertical="top"/>
      <protection locked="0"/>
    </xf>
    <xf numFmtId="0" fontId="58" fillId="0" borderId="0" applyNumberFormat="0" applyFill="0" applyBorder="0" applyAlignment="0" applyProtection="0">
      <alignment vertical="top"/>
      <protection locked="0"/>
    </xf>
    <xf numFmtId="0" fontId="65" fillId="0" borderId="0" applyNumberFormat="0" applyFill="0" applyBorder="0" applyAlignment="0" applyProtection="0">
      <alignment vertical="top"/>
      <protection locked="0"/>
    </xf>
    <xf numFmtId="0" fontId="60" fillId="0" borderId="0" applyNumberFormat="0" applyFill="0" applyBorder="0" applyAlignment="0" applyProtection="0">
      <alignment vertical="top"/>
      <protection locked="0"/>
    </xf>
    <xf numFmtId="0" fontId="60" fillId="0" borderId="0" applyNumberFormat="0" applyFill="0" applyBorder="0" applyAlignment="0" applyProtection="0">
      <alignment vertical="top"/>
      <protection locked="0"/>
    </xf>
    <xf numFmtId="0" fontId="66" fillId="0" borderId="0" applyNumberFormat="0" applyFill="0" applyBorder="0" applyAlignment="0" applyProtection="0">
      <alignment vertical="top"/>
      <protection locked="0"/>
    </xf>
    <xf numFmtId="0" fontId="59" fillId="0" borderId="0" applyNumberFormat="0" applyFill="0" applyBorder="0" applyAlignment="0" applyProtection="0">
      <alignment vertical="top"/>
      <protection locked="0"/>
    </xf>
    <xf numFmtId="0" fontId="62" fillId="0" borderId="0" applyNumberFormat="0" applyFill="0" applyBorder="0" applyAlignment="0" applyProtection="0"/>
    <xf numFmtId="0" fontId="61" fillId="0" borderId="0" applyNumberFormat="0" applyFill="0" applyBorder="0" applyAlignment="0" applyProtection="0">
      <alignment vertical="top"/>
      <protection locked="0"/>
    </xf>
    <xf numFmtId="0" fontId="66" fillId="0" borderId="0" applyNumberFormat="0" applyFill="0" applyBorder="0" applyAlignment="0" applyProtection="0">
      <alignment vertical="top"/>
      <protection locked="0"/>
    </xf>
    <xf numFmtId="0" fontId="60" fillId="0" borderId="0" applyNumberFormat="0" applyFill="0" applyBorder="0" applyAlignment="0" applyProtection="0">
      <alignment vertical="top"/>
      <protection locked="0"/>
    </xf>
    <xf numFmtId="0" fontId="59" fillId="0" borderId="0" applyNumberFormat="0" applyFill="0" applyBorder="0" applyAlignment="0" applyProtection="0">
      <alignment vertical="top"/>
      <protection locked="0"/>
    </xf>
    <xf numFmtId="0" fontId="57" fillId="0" borderId="0" applyNumberFormat="0" applyFill="0" applyBorder="0" applyAlignment="0" applyProtection="0">
      <alignment vertical="top"/>
      <protection locked="0"/>
    </xf>
    <xf numFmtId="0" fontId="58" fillId="0" borderId="0" applyNumberFormat="0" applyFill="0" applyBorder="0" applyAlignment="0" applyProtection="0">
      <alignment vertical="top"/>
      <protection locked="0"/>
    </xf>
    <xf numFmtId="0" fontId="62" fillId="0" borderId="0" applyNumberFormat="0" applyFill="0" applyBorder="0" applyAlignment="0" applyProtection="0"/>
    <xf numFmtId="0" fontId="59" fillId="0" borderId="0" applyNumberFormat="0" applyFill="0" applyBorder="0" applyAlignment="0" applyProtection="0">
      <alignment vertical="top"/>
      <protection locked="0"/>
    </xf>
    <xf numFmtId="0" fontId="62" fillId="0" borderId="0" applyNumberFormat="0" applyFill="0" applyBorder="0" applyAlignment="0" applyProtection="0"/>
    <xf numFmtId="0" fontId="60" fillId="0" borderId="0" applyNumberFormat="0" applyFill="0" applyBorder="0" applyAlignment="0" applyProtection="0">
      <alignment vertical="top"/>
      <protection locked="0"/>
    </xf>
    <xf numFmtId="0" fontId="60" fillId="0" borderId="0" applyNumberFormat="0" applyFill="0" applyBorder="0" applyAlignment="0" applyProtection="0">
      <alignment vertical="top"/>
      <protection locked="0"/>
    </xf>
    <xf numFmtId="0" fontId="57" fillId="0" borderId="0" applyNumberFormat="0" applyFill="0" applyBorder="0" applyAlignment="0" applyProtection="0">
      <alignment vertical="top"/>
      <protection locked="0"/>
    </xf>
    <xf numFmtId="0" fontId="58" fillId="0" borderId="0" applyNumberFormat="0" applyFill="0" applyBorder="0" applyAlignment="0" applyProtection="0">
      <alignment vertical="top"/>
      <protection locked="0"/>
    </xf>
    <xf numFmtId="0" fontId="59" fillId="0" borderId="0" applyNumberFormat="0" applyFill="0" applyBorder="0" applyAlignment="0" applyProtection="0"/>
    <xf numFmtId="0" fontId="67" fillId="40" borderId="18" applyNumberFormat="0" applyAlignment="0" applyProtection="0"/>
    <xf numFmtId="0" fontId="67" fillId="40" borderId="18" applyNumberFormat="0" applyAlignment="0" applyProtection="0"/>
    <xf numFmtId="0" fontId="67" fillId="41" borderId="18" applyNumberFormat="0" applyAlignment="0" applyProtection="0"/>
    <xf numFmtId="0" fontId="67" fillId="40"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0"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0"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0"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0"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8" fillId="5" borderId="4"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8" fillId="5" borderId="4"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1" borderId="18" applyNumberFormat="0" applyAlignment="0" applyProtection="0"/>
    <xf numFmtId="0" fontId="67" fillId="40" borderId="18" applyNumberFormat="0" applyAlignment="0" applyProtection="0"/>
    <xf numFmtId="0" fontId="67" fillId="40" borderId="18" applyNumberFormat="0" applyAlignment="0" applyProtection="0"/>
    <xf numFmtId="0" fontId="67" fillId="40" borderId="18" applyNumberFormat="0" applyAlignment="0" applyProtection="0"/>
    <xf numFmtId="0" fontId="67" fillId="40" borderId="18" applyNumberFormat="0" applyAlignment="0" applyProtection="0"/>
    <xf numFmtId="0" fontId="67" fillId="40" borderId="18" applyNumberFormat="0" applyAlignment="0" applyProtection="0"/>
    <xf numFmtId="0" fontId="67" fillId="40" borderId="18" applyNumberFormat="0" applyAlignment="0" applyProtection="0"/>
    <xf numFmtId="0" fontId="67" fillId="40" borderId="18" applyNumberFormat="0" applyAlignment="0" applyProtection="0"/>
    <xf numFmtId="0" fontId="67" fillId="40" borderId="18" applyNumberFormat="0" applyAlignment="0" applyProtection="0"/>
    <xf numFmtId="0" fontId="68" fillId="5" borderId="4" applyNumberFormat="0" applyAlignment="0" applyProtection="0"/>
    <xf numFmtId="38" fontId="69" fillId="0" borderId="0"/>
    <xf numFmtId="38" fontId="70" fillId="0" borderId="0"/>
    <xf numFmtId="38" fontId="71" fillId="0" borderId="0"/>
    <xf numFmtId="38" fontId="72" fillId="0" borderId="0"/>
    <xf numFmtId="0" fontId="73" fillId="0" borderId="0"/>
    <xf numFmtId="0" fontId="73" fillId="0" borderId="0"/>
    <xf numFmtId="0" fontId="74" fillId="0" borderId="24" applyNumberFormat="0" applyFill="0" applyAlignment="0" applyProtection="0"/>
    <xf numFmtId="0" fontId="74" fillId="0" borderId="24" applyNumberFormat="0" applyFill="0" applyAlignment="0" applyProtection="0"/>
    <xf numFmtId="0" fontId="11" fillId="0" borderId="6" applyNumberFormat="0" applyFill="0" applyAlignment="0" applyProtection="0"/>
    <xf numFmtId="0" fontId="11" fillId="0" borderId="6" applyNumberFormat="0" applyFill="0" applyAlignment="0" applyProtection="0"/>
    <xf numFmtId="0" fontId="75" fillId="0" borderId="6" applyNumberFormat="0" applyFill="0" applyAlignment="0" applyProtection="0"/>
    <xf numFmtId="0" fontId="74" fillId="0" borderId="24" applyNumberFormat="0" applyFill="0" applyAlignment="0" applyProtection="0"/>
    <xf numFmtId="0" fontId="75" fillId="0" borderId="6" applyNumberFormat="0" applyFill="0" applyAlignment="0" applyProtection="0"/>
    <xf numFmtId="0" fontId="76" fillId="60" borderId="0" applyNumberFormat="0" applyBorder="0" applyAlignment="0" applyProtection="0"/>
    <xf numFmtId="0" fontId="76" fillId="60" borderId="0" applyNumberFormat="0" applyBorder="0" applyAlignment="0" applyProtection="0"/>
    <xf numFmtId="0" fontId="7" fillId="4" borderId="0" applyNumberFormat="0" applyBorder="0" applyAlignment="0" applyProtection="0"/>
    <xf numFmtId="0" fontId="7" fillId="4" borderId="0" applyNumberFormat="0" applyBorder="0" applyAlignment="0" applyProtection="0"/>
    <xf numFmtId="0" fontId="77" fillId="4" borderId="0" applyNumberFormat="0" applyBorder="0" applyAlignment="0" applyProtection="0"/>
    <xf numFmtId="0" fontId="76" fillId="60" borderId="0" applyNumberFormat="0" applyBorder="0" applyAlignment="0" applyProtection="0"/>
    <xf numFmtId="0" fontId="77" fillId="4" borderId="0" applyNumberFormat="0" applyBorder="0" applyAlignment="0" applyProtection="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7" fillId="0" borderId="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26"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26" fillId="0" borderId="0"/>
    <xf numFmtId="0" fontId="26" fillId="0" borderId="0"/>
    <xf numFmtId="0" fontId="26" fillId="0" borderId="0"/>
    <xf numFmtId="0" fontId="78" fillId="0" borderId="0"/>
    <xf numFmtId="0" fontId="78" fillId="0" borderId="0"/>
    <xf numFmtId="0" fontId="26" fillId="0" borderId="0"/>
    <xf numFmtId="0" fontId="26" fillId="0" borderId="0"/>
    <xf numFmtId="0" fontId="22" fillId="0" borderId="0"/>
    <xf numFmtId="0" fontId="1" fillId="0" borderId="0"/>
    <xf numFmtId="0" fontId="79" fillId="0" borderId="0"/>
    <xf numFmtId="0" fontId="22" fillId="0" borderId="0"/>
    <xf numFmtId="0" fontId="1" fillId="0" borderId="0"/>
    <xf numFmtId="0" fontId="37" fillId="0" borderId="0">
      <alignment vertical="top"/>
    </xf>
    <xf numFmtId="0" fontId="26" fillId="0" borderId="0"/>
    <xf numFmtId="0" fontId="79" fillId="0" borderId="0"/>
    <xf numFmtId="0" fontId="42" fillId="0" borderId="0"/>
    <xf numFmtId="0" fontId="26"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9"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3" fontId="8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7" fillId="0" borderId="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7" fillId="0" borderId="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8" fillId="0" borderId="0"/>
    <xf numFmtId="0" fontId="22" fillId="0" borderId="0"/>
    <xf numFmtId="0" fontId="22" fillId="0" borderId="0"/>
    <xf numFmtId="0" fontId="1" fillId="0" borderId="0"/>
    <xf numFmtId="0" fontId="26" fillId="0" borderId="0"/>
    <xf numFmtId="0" fontId="22" fillId="0" borderId="0"/>
    <xf numFmtId="0" fontId="1" fillId="0" borderId="0"/>
    <xf numFmtId="0" fontId="26" fillId="0" borderId="0"/>
    <xf numFmtId="0" fontId="22" fillId="0" borderId="0"/>
    <xf numFmtId="0" fontId="22" fillId="0" borderId="0"/>
    <xf numFmtId="0" fontId="22" fillId="0" borderId="0"/>
    <xf numFmtId="0" fontId="37" fillId="0" borderId="0">
      <alignment vertical="top"/>
    </xf>
    <xf numFmtId="0" fontId="1" fillId="0" borderId="0"/>
    <xf numFmtId="0" fontId="22" fillId="0" borderId="0"/>
    <xf numFmtId="0" fontId="37" fillId="0" borderId="0">
      <alignment vertical="top"/>
    </xf>
    <xf numFmtId="0" fontId="41" fillId="0" borderId="0"/>
    <xf numFmtId="0" fontId="22" fillId="0" borderId="0"/>
    <xf numFmtId="0" fontId="22" fillId="0" borderId="0"/>
    <xf numFmtId="0" fontId="39" fillId="0" borderId="0"/>
    <xf numFmtId="0" fontId="39" fillId="0" borderId="0"/>
    <xf numFmtId="0" fontId="22" fillId="0" borderId="0"/>
    <xf numFmtId="0" fontId="39" fillId="0" borderId="0"/>
    <xf numFmtId="0" fontId="39" fillId="0" borderId="0"/>
    <xf numFmtId="0" fontId="39" fillId="0" borderId="0"/>
    <xf numFmtId="0" fontId="39" fillId="0" borderId="0"/>
    <xf numFmtId="0" fontId="1" fillId="0" borderId="0"/>
    <xf numFmtId="0" fontId="1" fillId="0" borderId="0"/>
    <xf numFmtId="0" fontId="39" fillId="0" borderId="0"/>
    <xf numFmtId="0" fontId="22" fillId="0" borderId="0"/>
    <xf numFmtId="0" fontId="22" fillId="0" borderId="0"/>
    <xf numFmtId="0" fontId="22" fillId="0" borderId="0"/>
    <xf numFmtId="0" fontId="37" fillId="0" borderId="0">
      <alignment vertical="top"/>
    </xf>
    <xf numFmtId="0" fontId="26" fillId="0" borderId="0"/>
    <xf numFmtId="0" fontId="22" fillId="0" borderId="0"/>
    <xf numFmtId="0" fontId="26" fillId="0" borderId="0"/>
    <xf numFmtId="0" fontId="26" fillId="0" borderId="0"/>
    <xf numFmtId="0" fontId="37" fillId="0" borderId="0">
      <alignment vertical="top"/>
    </xf>
    <xf numFmtId="0" fontId="26" fillId="0" borderId="0"/>
    <xf numFmtId="0" fontId="26" fillId="0" borderId="0"/>
    <xf numFmtId="164" fontId="1" fillId="0" borderId="0"/>
    <xf numFmtId="0" fontId="1" fillId="0" borderId="0"/>
    <xf numFmtId="0" fontId="1" fillId="0" borderId="0"/>
    <xf numFmtId="0" fontId="41" fillId="0" borderId="0"/>
    <xf numFmtId="0" fontId="1" fillId="0" borderId="0"/>
    <xf numFmtId="0" fontId="1" fillId="0" borderId="0"/>
    <xf numFmtId="0" fontId="1" fillId="0" borderId="0"/>
    <xf numFmtId="0" fontId="1" fillId="0" borderId="0"/>
    <xf numFmtId="0" fontId="26" fillId="0" borderId="0"/>
    <xf numFmtId="0" fontId="81" fillId="0" borderId="0"/>
    <xf numFmtId="0" fontId="1" fillId="0" borderId="0"/>
    <xf numFmtId="0" fontId="81" fillId="0" borderId="0"/>
    <xf numFmtId="0" fontId="26" fillId="0" borderId="0"/>
    <xf numFmtId="0" fontId="22" fillId="0" borderId="0"/>
    <xf numFmtId="0" fontId="8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2" fillId="0" borderId="0"/>
    <xf numFmtId="0" fontId="26" fillId="0" borderId="0"/>
    <xf numFmtId="0" fontId="37" fillId="0" borderId="0">
      <alignment vertical="top"/>
    </xf>
    <xf numFmtId="0" fontId="1" fillId="0" borderId="0"/>
    <xf numFmtId="0" fontId="1" fillId="0" borderId="0"/>
    <xf numFmtId="0" fontId="1" fillId="0" borderId="0"/>
    <xf numFmtId="0" fontId="39"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9"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7" fillId="0" borderId="0">
      <alignment vertical="top"/>
    </xf>
    <xf numFmtId="0" fontId="1" fillId="0" borderId="0"/>
    <xf numFmtId="0" fontId="1" fillId="0" borderId="0"/>
    <xf numFmtId="0" fontId="1" fillId="0" borderId="0"/>
    <xf numFmtId="0" fontId="26" fillId="0" borderId="0"/>
    <xf numFmtId="0" fontId="1" fillId="0" borderId="0"/>
    <xf numFmtId="0" fontId="1" fillId="0" borderId="0"/>
    <xf numFmtId="0" fontId="39" fillId="0" borderId="0"/>
    <xf numFmtId="0" fontId="1" fillId="0" borderId="0"/>
    <xf numFmtId="0" fontId="1" fillId="0" borderId="0"/>
    <xf numFmtId="0" fontId="1" fillId="0" borderId="0"/>
    <xf numFmtId="0" fontId="26" fillId="0" borderId="0"/>
    <xf numFmtId="0" fontId="8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84" fillId="0" borderId="0"/>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0" borderId="0"/>
    <xf numFmtId="0" fontId="42" fillId="0" borderId="0"/>
    <xf numFmtId="0" fontId="1" fillId="0" borderId="0"/>
    <xf numFmtId="0" fontId="1" fillId="0" borderId="0"/>
    <xf numFmtId="0" fontId="39" fillId="0" borderId="0"/>
    <xf numFmtId="0" fontId="1" fillId="0" borderId="0"/>
    <xf numFmtId="0" fontId="1" fillId="0" borderId="0"/>
    <xf numFmtId="0" fontId="85" fillId="0" borderId="0"/>
    <xf numFmtId="0" fontId="85" fillId="0" borderId="0"/>
    <xf numFmtId="0" fontId="85" fillId="0" borderId="0"/>
    <xf numFmtId="0" fontId="1" fillId="0" borderId="0"/>
    <xf numFmtId="0" fontId="1" fillId="0" borderId="0"/>
    <xf numFmtId="0" fontId="85" fillId="0" borderId="0"/>
    <xf numFmtId="0" fontId="1" fillId="0" borderId="0"/>
    <xf numFmtId="0" fontId="22" fillId="0" borderId="0"/>
    <xf numFmtId="0" fontId="22" fillId="0" borderId="0"/>
    <xf numFmtId="0" fontId="4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2" fillId="0" borderId="0"/>
    <xf numFmtId="0" fontId="22" fillId="0" borderId="0"/>
    <xf numFmtId="0" fontId="42" fillId="0" borderId="0"/>
    <xf numFmtId="0" fontId="1" fillId="0" borderId="0"/>
    <xf numFmtId="0" fontId="1" fillId="0" borderId="0"/>
    <xf numFmtId="0" fontId="1" fillId="0" borderId="0"/>
    <xf numFmtId="0" fontId="1" fillId="0" borderId="0"/>
    <xf numFmtId="0" fontId="1" fillId="0" borderId="0"/>
    <xf numFmtId="0" fontId="1" fillId="0" borderId="0"/>
    <xf numFmtId="0" fontId="42" fillId="0" borderId="0"/>
    <xf numFmtId="0" fontId="1" fillId="0" borderId="0"/>
    <xf numFmtId="0" fontId="42" fillId="0" borderId="0"/>
    <xf numFmtId="0" fontId="1" fillId="0" borderId="0"/>
    <xf numFmtId="0" fontId="1" fillId="0" borderId="0"/>
    <xf numFmtId="0" fontId="1" fillId="0" borderId="0"/>
    <xf numFmtId="0" fontId="1" fillId="0" borderId="0"/>
    <xf numFmtId="0" fontId="42" fillId="0" borderId="0"/>
    <xf numFmtId="0" fontId="42" fillId="0" borderId="0"/>
    <xf numFmtId="0" fontId="1" fillId="0" borderId="0"/>
    <xf numFmtId="0" fontId="1" fillId="0" borderId="0"/>
    <xf numFmtId="0" fontId="42" fillId="0" borderId="0"/>
    <xf numFmtId="0" fontId="22"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2" fillId="0" borderId="0"/>
    <xf numFmtId="0" fontId="22" fillId="0" borderId="0"/>
    <xf numFmtId="0" fontId="42" fillId="0" borderId="0"/>
    <xf numFmtId="0" fontId="1" fillId="0" borderId="0"/>
    <xf numFmtId="0" fontId="1" fillId="0" borderId="0"/>
    <xf numFmtId="0" fontId="42" fillId="0" borderId="0"/>
    <xf numFmtId="3" fontId="86" fillId="0" borderId="0">
      <alignment vertical="top" wrapText="1"/>
    </xf>
    <xf numFmtId="0" fontId="42" fillId="0" borderId="0"/>
    <xf numFmtId="0" fontId="42" fillId="0" borderId="0"/>
    <xf numFmtId="0" fontId="42" fillId="0" borderId="0"/>
    <xf numFmtId="0" fontId="42" fillId="0" borderId="0"/>
    <xf numFmtId="0" fontId="22" fillId="0" borderId="0"/>
    <xf numFmtId="0" fontId="22" fillId="0" borderId="0"/>
    <xf numFmtId="0" fontId="42" fillId="0" borderId="0"/>
    <xf numFmtId="0" fontId="1" fillId="0" borderId="0"/>
    <xf numFmtId="0" fontId="1" fillId="0" borderId="0"/>
    <xf numFmtId="0" fontId="1" fillId="0" borderId="0"/>
    <xf numFmtId="0" fontId="1" fillId="0" borderId="0"/>
    <xf numFmtId="0" fontId="1" fillId="0" borderId="0"/>
    <xf numFmtId="0" fontId="1" fillId="0" borderId="0"/>
    <xf numFmtId="0" fontId="42" fillId="0" borderId="0"/>
    <xf numFmtId="0" fontId="22" fillId="0" borderId="0"/>
    <xf numFmtId="0" fontId="42" fillId="0" borderId="0"/>
    <xf numFmtId="0" fontId="1" fillId="0" borderId="0"/>
    <xf numFmtId="0" fontId="42" fillId="0" borderId="0"/>
    <xf numFmtId="0" fontId="1" fillId="0" borderId="0"/>
    <xf numFmtId="0" fontId="1" fillId="0" borderId="0"/>
    <xf numFmtId="0" fontId="1" fillId="0" borderId="0"/>
    <xf numFmtId="0" fontId="1" fillId="0" borderId="0"/>
    <xf numFmtId="0" fontId="1" fillId="0" borderId="0"/>
    <xf numFmtId="0" fontId="87" fillId="0" borderId="0"/>
    <xf numFmtId="0" fontId="42" fillId="0" borderId="0"/>
    <xf numFmtId="0" fontId="1" fillId="0" borderId="0"/>
    <xf numFmtId="0" fontId="1" fillId="0" borderId="0"/>
    <xf numFmtId="0" fontId="42" fillId="0" borderId="0"/>
    <xf numFmtId="0" fontId="42"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4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87" fillId="0" borderId="0"/>
    <xf numFmtId="0" fontId="1" fillId="0" borderId="0"/>
    <xf numFmtId="0" fontId="1" fillId="0" borderId="0"/>
    <xf numFmtId="0" fontId="1" fillId="0" borderId="0"/>
    <xf numFmtId="0" fontId="1" fillId="0" borderId="0"/>
    <xf numFmtId="0" fontId="1" fillId="0" borderId="0"/>
    <xf numFmtId="0" fontId="42" fillId="0" borderId="0"/>
    <xf numFmtId="0" fontId="1" fillId="0" borderId="0"/>
    <xf numFmtId="0" fontId="1" fillId="0" borderId="0"/>
    <xf numFmtId="0" fontId="4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2" fillId="0" borderId="0"/>
    <xf numFmtId="0" fontId="1" fillId="0" borderId="0"/>
    <xf numFmtId="0" fontId="1" fillId="0" borderId="0"/>
    <xf numFmtId="0" fontId="1" fillId="0" borderId="0"/>
    <xf numFmtId="0" fontId="1" fillId="0" borderId="0"/>
    <xf numFmtId="0" fontId="1" fillId="0" borderId="0"/>
    <xf numFmtId="0" fontId="4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8" fillId="0" borderId="0"/>
    <xf numFmtId="0" fontId="78" fillId="0" borderId="0"/>
    <xf numFmtId="0" fontId="78" fillId="0" borderId="0"/>
    <xf numFmtId="0" fontId="41" fillId="0" borderId="0"/>
    <xf numFmtId="0" fontId="78" fillId="0" borderId="0"/>
    <xf numFmtId="0" fontId="1" fillId="0" borderId="0"/>
    <xf numFmtId="0" fontId="26"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1" fillId="0" borderId="0"/>
    <xf numFmtId="0" fontId="1"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4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42" fillId="0" borderId="0"/>
    <xf numFmtId="0" fontId="1" fillId="0" borderId="0"/>
    <xf numFmtId="0" fontId="26" fillId="0" borderId="0" applyFill="0"/>
    <xf numFmtId="0" fontId="1" fillId="0" borderId="0"/>
    <xf numFmtId="0" fontId="26" fillId="0" borderId="0"/>
    <xf numFmtId="0" fontId="26" fillId="0" borderId="0" applyFill="0"/>
    <xf numFmtId="0" fontId="42" fillId="0" borderId="0"/>
    <xf numFmtId="0" fontId="1" fillId="0" borderId="0"/>
    <xf numFmtId="0" fontId="26" fillId="0" borderId="0" applyFill="0"/>
    <xf numFmtId="0" fontId="22" fillId="0" borderId="0"/>
    <xf numFmtId="0" fontId="22" fillId="0" borderId="0"/>
    <xf numFmtId="0" fontId="42" fillId="0" borderId="0"/>
    <xf numFmtId="0" fontId="1" fillId="0" borderId="0"/>
    <xf numFmtId="0" fontId="26" fillId="0" borderId="0" applyFill="0"/>
    <xf numFmtId="0" fontId="42" fillId="0" borderId="0"/>
    <xf numFmtId="0" fontId="26" fillId="0" borderId="0"/>
    <xf numFmtId="0" fontId="26" fillId="0" borderId="0" applyFill="0"/>
    <xf numFmtId="0" fontId="42" fillId="0" borderId="0"/>
    <xf numFmtId="0" fontId="1" fillId="0" borderId="0"/>
    <xf numFmtId="0" fontId="26" fillId="0" borderId="0"/>
    <xf numFmtId="0" fontId="22"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22" fillId="0" borderId="0"/>
    <xf numFmtId="0" fontId="22" fillId="0" borderId="0"/>
    <xf numFmtId="0" fontId="26" fillId="0" borderId="0" applyFill="0"/>
    <xf numFmtId="0" fontId="1" fillId="0" borderId="0"/>
    <xf numFmtId="0" fontId="26" fillId="0" borderId="0"/>
    <xf numFmtId="0" fontId="26" fillId="0" borderId="0" applyFill="0"/>
    <xf numFmtId="0" fontId="26" fillId="0" borderId="0"/>
    <xf numFmtId="0" fontId="26" fillId="0" borderId="0"/>
    <xf numFmtId="0" fontId="1" fillId="0" borderId="0"/>
    <xf numFmtId="0" fontId="26" fillId="0" borderId="0"/>
    <xf numFmtId="164" fontId="26" fillId="0" borderId="0"/>
    <xf numFmtId="0" fontId="26" fillId="0" borderId="0"/>
    <xf numFmtId="164" fontId="26" fillId="0" borderId="0"/>
    <xf numFmtId="0" fontId="26" fillId="0" borderId="0"/>
    <xf numFmtId="0" fontId="26" fillId="0" borderId="0"/>
    <xf numFmtId="0" fontId="37" fillId="0" borderId="0">
      <alignment vertical="top"/>
    </xf>
    <xf numFmtId="0" fontId="42" fillId="0" borderId="0"/>
    <xf numFmtId="0" fontId="39" fillId="0" borderId="0"/>
    <xf numFmtId="0" fontId="1" fillId="0" borderId="0"/>
    <xf numFmtId="0" fontId="37" fillId="0" borderId="0">
      <alignment vertical="top"/>
    </xf>
    <xf numFmtId="0" fontId="26" fillId="0" borderId="0"/>
    <xf numFmtId="0" fontId="37" fillId="0" borderId="0">
      <alignment vertical="top"/>
    </xf>
    <xf numFmtId="0" fontId="39" fillId="0" borderId="0"/>
    <xf numFmtId="0" fontId="82" fillId="0" borderId="0"/>
    <xf numFmtId="0" fontId="1" fillId="0" borderId="0"/>
    <xf numFmtId="0" fontId="1" fillId="0" borderId="0"/>
    <xf numFmtId="0" fontId="1" fillId="0" borderId="0"/>
    <xf numFmtId="0" fontId="37" fillId="0" borderId="0">
      <alignment vertical="top"/>
    </xf>
    <xf numFmtId="0" fontId="1" fillId="0" borderId="0"/>
    <xf numFmtId="0" fontId="37" fillId="0" borderId="0">
      <alignment vertical="top"/>
    </xf>
    <xf numFmtId="0" fontId="79" fillId="0" borderId="0"/>
    <xf numFmtId="0" fontId="26" fillId="0" borderId="0"/>
    <xf numFmtId="0" fontId="4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7" fillId="0" borderId="0">
      <alignment vertical="top"/>
    </xf>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1" fillId="0" borderId="0"/>
    <xf numFmtId="0" fontId="1" fillId="0" borderId="0"/>
    <xf numFmtId="0" fontId="26" fillId="0" borderId="0"/>
    <xf numFmtId="0" fontId="37" fillId="0" borderId="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7" fillId="0" borderId="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41" fillId="0" borderId="0"/>
    <xf numFmtId="0" fontId="1" fillId="0" borderId="0"/>
    <xf numFmtId="0" fontId="1" fillId="0" borderId="0"/>
    <xf numFmtId="0" fontId="1" fillId="0" borderId="0"/>
    <xf numFmtId="0" fontId="1" fillId="0" borderId="0"/>
    <xf numFmtId="0" fontId="37" fillId="0" borderId="0">
      <alignment vertical="top"/>
    </xf>
    <xf numFmtId="0" fontId="22" fillId="0" borderId="0"/>
    <xf numFmtId="0" fontId="22" fillId="0" borderId="0"/>
    <xf numFmtId="0" fontId="26" fillId="0" borderId="0"/>
    <xf numFmtId="0" fontId="1" fillId="0" borderId="0"/>
    <xf numFmtId="0" fontId="1" fillId="0" borderId="0"/>
    <xf numFmtId="0" fontId="1" fillId="0" borderId="0"/>
    <xf numFmtId="0" fontId="1" fillId="0" borderId="0"/>
    <xf numFmtId="0" fontId="1" fillId="0" borderId="0"/>
    <xf numFmtId="0" fontId="26" fillId="0" borderId="0"/>
    <xf numFmtId="0" fontId="22"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26" fillId="0" borderId="0"/>
    <xf numFmtId="0" fontId="22" fillId="0" borderId="0"/>
    <xf numFmtId="0" fontId="26"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22"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26" fillId="0" borderId="0"/>
    <xf numFmtId="0" fontId="22" fillId="0" borderId="0"/>
    <xf numFmtId="0" fontId="26"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22"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26" fillId="0" borderId="0"/>
    <xf numFmtId="0" fontId="22" fillId="0" borderId="0"/>
    <xf numFmtId="0" fontId="26"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22"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26" fillId="0" borderId="0"/>
    <xf numFmtId="0" fontId="22" fillId="0" borderId="0"/>
    <xf numFmtId="0" fontId="26"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22"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26" fillId="0" borderId="0"/>
    <xf numFmtId="0" fontId="22" fillId="0" borderId="0"/>
    <xf numFmtId="0" fontId="26"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22" fillId="0" borderId="0"/>
    <xf numFmtId="0" fontId="22" fillId="0" borderId="0"/>
    <xf numFmtId="0" fontId="26" fillId="0" borderId="0"/>
    <xf numFmtId="0" fontId="26" fillId="0" borderId="0"/>
    <xf numFmtId="0" fontId="26" fillId="0" borderId="0"/>
    <xf numFmtId="0" fontId="26" fillId="0" borderId="0"/>
    <xf numFmtId="0" fontId="22" fillId="0" borderId="0"/>
    <xf numFmtId="0" fontId="22" fillId="0" borderId="0"/>
    <xf numFmtId="0" fontId="1" fillId="0" borderId="0"/>
    <xf numFmtId="0" fontId="26" fillId="0" borderId="0"/>
    <xf numFmtId="0" fontId="22" fillId="0" borderId="0"/>
    <xf numFmtId="0" fontId="22" fillId="0" borderId="0"/>
    <xf numFmtId="0" fontId="26"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7" fillId="0" borderId="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26" fillId="0" borderId="0"/>
    <xf numFmtId="0" fontId="42" fillId="0" borderId="0"/>
    <xf numFmtId="0" fontId="4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4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1"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1"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1" fillId="0" borderId="0"/>
    <xf numFmtId="0" fontId="1" fillId="0" borderId="0"/>
    <xf numFmtId="0" fontId="1" fillId="0" borderId="0"/>
    <xf numFmtId="0" fontId="1" fillId="0" borderId="0"/>
    <xf numFmtId="0" fontId="37" fillId="0" borderId="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6" fillId="0" borderId="0"/>
    <xf numFmtId="0" fontId="22" fillId="0" borderId="0"/>
    <xf numFmtId="0" fontId="22" fillId="0" borderId="0"/>
    <xf numFmtId="0" fontId="26" fillId="0" borderId="0"/>
    <xf numFmtId="0" fontId="22" fillId="0" borderId="0"/>
    <xf numFmtId="0" fontId="22" fillId="0" borderId="0"/>
    <xf numFmtId="0" fontId="26" fillId="0" borderId="0"/>
    <xf numFmtId="0" fontId="22" fillId="0" borderId="0"/>
    <xf numFmtId="0" fontId="22" fillId="0" borderId="0"/>
    <xf numFmtId="0" fontId="26" fillId="0" borderId="0"/>
    <xf numFmtId="0" fontId="22" fillId="0" borderId="0"/>
    <xf numFmtId="0" fontId="22" fillId="0" borderId="0"/>
    <xf numFmtId="0" fontId="26" fillId="0" borderId="0"/>
    <xf numFmtId="0" fontId="22" fillId="0" borderId="0"/>
    <xf numFmtId="0" fontId="22" fillId="0" borderId="0"/>
    <xf numFmtId="0" fontId="26" fillId="0" borderId="0"/>
    <xf numFmtId="0" fontId="22" fillId="0" borderId="0"/>
    <xf numFmtId="0" fontId="22" fillId="0" borderId="0"/>
    <xf numFmtId="0" fontId="26" fillId="0" borderId="0"/>
    <xf numFmtId="0" fontId="1" fillId="0" borderId="0"/>
    <xf numFmtId="0" fontId="26" fillId="0" borderId="0"/>
    <xf numFmtId="0" fontId="22"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1" fillId="0" borderId="0"/>
    <xf numFmtId="0" fontId="22"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22"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1" fillId="0" borderId="0"/>
    <xf numFmtId="0" fontId="22"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1" fillId="0" borderId="0"/>
    <xf numFmtId="0" fontId="1" fillId="0" borderId="0"/>
    <xf numFmtId="0" fontId="1" fillId="0" borderId="0"/>
    <xf numFmtId="0" fontId="3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9" fillId="0" borderId="0"/>
    <xf numFmtId="0" fontId="1" fillId="0" borderId="0"/>
    <xf numFmtId="0" fontId="1" fillId="0" borderId="0"/>
    <xf numFmtId="0" fontId="1" fillId="0" borderId="0"/>
    <xf numFmtId="0" fontId="1" fillId="0" borderId="0"/>
    <xf numFmtId="0" fontId="1" fillId="0" borderId="0"/>
    <xf numFmtId="0" fontId="1" fillId="0" borderId="0"/>
    <xf numFmtId="0" fontId="3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1" fillId="0" borderId="0"/>
    <xf numFmtId="0" fontId="4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26"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26"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26"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22"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22"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22"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22"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26"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22"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22"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22"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22"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26" fillId="0" borderId="0"/>
    <xf numFmtId="0" fontId="78" fillId="0" borderId="0"/>
    <xf numFmtId="0" fontId="78" fillId="0" borderId="0"/>
    <xf numFmtId="0" fontId="78" fillId="0" borderId="0"/>
    <xf numFmtId="0" fontId="78" fillId="0" borderId="0"/>
    <xf numFmtId="0" fontId="78" fillId="0" borderId="0"/>
    <xf numFmtId="0" fontId="78" fillId="0" borderId="0"/>
    <xf numFmtId="0" fontId="40"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23"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7" fillId="0" borderId="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78" fillId="0" borderId="0"/>
    <xf numFmtId="0" fontId="78" fillId="0" borderId="0"/>
    <xf numFmtId="0" fontId="78" fillId="0" borderId="0"/>
    <xf numFmtId="0" fontId="78" fillId="0" borderId="0"/>
    <xf numFmtId="0" fontId="78" fillId="0" borderId="0"/>
    <xf numFmtId="0" fontId="78" fillId="0" borderId="0"/>
    <xf numFmtId="0" fontId="22"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22" fillId="0" borderId="0"/>
    <xf numFmtId="0" fontId="78" fillId="0" borderId="0"/>
    <xf numFmtId="0" fontId="78" fillId="0" borderId="0"/>
    <xf numFmtId="0" fontId="78" fillId="0" borderId="0"/>
    <xf numFmtId="0" fontId="78" fillId="0" borderId="0"/>
    <xf numFmtId="0" fontId="78" fillId="0" borderId="0"/>
    <xf numFmtId="0" fontId="78" fillId="0" borderId="0"/>
    <xf numFmtId="0" fontId="22"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26"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26"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26"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22" fillId="0" borderId="0"/>
    <xf numFmtId="0" fontId="78" fillId="0" borderId="0"/>
    <xf numFmtId="0" fontId="78" fillId="0" borderId="0"/>
    <xf numFmtId="0" fontId="78" fillId="0" borderId="0"/>
    <xf numFmtId="0" fontId="78" fillId="0" borderId="0"/>
    <xf numFmtId="0" fontId="78" fillId="0" borderId="0"/>
    <xf numFmtId="0" fontId="78" fillId="0" borderId="0"/>
    <xf numFmtId="0" fontId="22"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26"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23"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23"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23"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7" fillId="0" borderId="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7" fillId="0" borderId="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7" fillId="0" borderId="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37" fillId="0" borderId="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7" fillId="0" borderId="0">
      <alignment vertical="top"/>
    </xf>
    <xf numFmtId="0" fontId="23"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23"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23"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23"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23"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23"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8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7" fillId="0" borderId="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7" fillId="0" borderId="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7" fillId="0" borderId="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7" fillId="0" borderId="0">
      <alignment vertical="top"/>
    </xf>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26" fillId="0" borderId="0"/>
    <xf numFmtId="0" fontId="78" fillId="0" borderId="0"/>
    <xf numFmtId="0" fontId="78" fillId="0" borderId="0"/>
    <xf numFmtId="0" fontId="78" fillId="0" borderId="0"/>
    <xf numFmtId="0" fontId="78" fillId="0" borderId="0"/>
    <xf numFmtId="0" fontId="78" fillId="0" borderId="0"/>
    <xf numFmtId="0" fontId="78" fillId="0" borderId="0"/>
    <xf numFmtId="0" fontId="26"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37" fillId="0" borderId="0"/>
    <xf numFmtId="0" fontId="23"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3"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3" fillId="61" borderId="25"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23"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3" fillId="61" borderId="25"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3" fillId="61" borderId="25"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3" fillId="61" borderId="25"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2" fillId="8" borderId="8"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6" fillId="61" borderId="25" applyNumberFormat="0" applyFont="0" applyAlignment="0" applyProtection="0"/>
    <xf numFmtId="0" fontId="23"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3"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3"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3"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3"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3"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3"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3"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3"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3" fillId="61" borderId="25"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2"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9" fillId="6" borderId="5"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90" fillId="6" borderId="5"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89" fillId="41" borderId="26" applyNumberFormat="0" applyAlignment="0" applyProtection="0"/>
    <xf numFmtId="0" fontId="90" fillId="6" borderId="5" applyNumberFormat="0" applyAlignment="0" applyProtection="0"/>
    <xf numFmtId="9" fontId="26" fillId="0" borderId="0" applyFont="0" applyFill="0" applyBorder="0" applyAlignment="0" applyProtection="0"/>
    <xf numFmtId="9" fontId="26" fillId="0" borderId="0" applyFont="0" applyFill="0" applyBorder="0" applyAlignment="0" applyProtection="0"/>
    <xf numFmtId="9" fontId="41" fillId="0" borderId="0" applyFont="0" applyFill="0" applyBorder="0" applyAlignment="0" applyProtection="0"/>
    <xf numFmtId="9" fontId="38" fillId="0" borderId="0" applyFont="0" applyFill="0" applyBorder="0" applyAlignment="0" applyProtection="0"/>
    <xf numFmtId="9" fontId="38" fillId="0" borderId="0" applyFont="0" applyFill="0" applyBorder="0" applyAlignment="0" applyProtection="0"/>
    <xf numFmtId="9" fontId="26" fillId="0" borderId="0" applyFont="0" applyFill="0" applyBorder="0" applyAlignment="0" applyProtection="0"/>
    <xf numFmtId="9" fontId="38" fillId="0" borderId="0" applyFont="0" applyFill="0" applyBorder="0" applyAlignment="0" applyProtection="0"/>
    <xf numFmtId="9" fontId="38" fillId="0" borderId="0" applyFont="0" applyFill="0" applyBorder="0" applyAlignment="0" applyProtection="0"/>
    <xf numFmtId="9" fontId="26" fillId="0" borderId="0" applyFont="0" applyFill="0" applyBorder="0" applyAlignment="0" applyProtection="0"/>
    <xf numFmtId="9" fontId="37" fillId="0" borderId="0" applyFont="0" applyFill="0" applyBorder="0" applyAlignment="0" applyProtection="0"/>
    <xf numFmtId="5" fontId="2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5" fontId="26" fillId="0" borderId="0" applyFont="0" applyFill="0" applyBorder="0" applyAlignment="0" applyProtection="0"/>
    <xf numFmtId="9" fontId="41" fillId="0" borderId="0" applyFont="0" applyFill="0" applyBorder="0" applyAlignment="0" applyProtection="0"/>
    <xf numFmtId="9" fontId="23"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8"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5" fontId="2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4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5" fontId="2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3"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5" fontId="2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5" fontId="2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4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41" fillId="0" borderId="0" applyFont="0" applyFill="0" applyBorder="0" applyAlignment="0" applyProtection="0"/>
    <xf numFmtId="9" fontId="2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5" fontId="2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5" fontId="2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91" fillId="0" borderId="0"/>
    <xf numFmtId="0" fontId="92" fillId="0" borderId="0"/>
    <xf numFmtId="0" fontId="93" fillId="0" borderId="0" applyNumberFormat="0" applyFill="0" applyBorder="0" applyAlignment="0" applyProtection="0"/>
    <xf numFmtId="0" fontId="93" fillId="0" borderId="0" applyNumberFormat="0" applyFill="0" applyBorder="0" applyAlignment="0" applyProtection="0"/>
    <xf numFmtId="0" fontId="94" fillId="0" borderId="0" applyNumberFormat="0" applyFill="0" applyBorder="0" applyAlignment="0" applyProtection="0"/>
    <xf numFmtId="0" fontId="93" fillId="0" borderId="0" applyNumberFormat="0" applyFill="0" applyBorder="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15" fillId="0" borderId="28"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20" fillId="0" borderId="9"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15" fillId="0" borderId="9" applyNumberFormat="0" applyFill="0" applyAlignment="0" applyProtection="0"/>
    <xf numFmtId="0" fontId="95" fillId="0" borderId="27" applyNumberFormat="0" applyFill="0" applyAlignment="0" applyProtection="0"/>
    <xf numFmtId="0" fontId="95" fillId="0" borderId="27" applyNumberFormat="0" applyFill="0" applyAlignment="0" applyProtection="0"/>
    <xf numFmtId="0" fontId="20" fillId="0" borderId="9" applyNumberFormat="0" applyFill="0" applyAlignment="0" applyProtection="0"/>
    <xf numFmtId="3" fontId="96" fillId="55" borderId="0" applyBorder="0">
      <alignment horizontal="center"/>
      <protection locked="0"/>
    </xf>
    <xf numFmtId="0" fontId="97" fillId="0" borderId="0" applyNumberFormat="0" applyFill="0" applyBorder="0" applyAlignment="0" applyProtection="0"/>
    <xf numFmtId="0" fontId="97"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78" fillId="0" borderId="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8" fillId="0" borderId="0"/>
    <xf numFmtId="0" fontId="7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1136">
    <xf numFmtId="164" fontId="0" fillId="0" borderId="0" xfId="0"/>
    <xf numFmtId="0" fontId="18" fillId="33" borderId="10" xfId="0" applyNumberFormat="1" applyFont="1" applyFill="1" applyBorder="1"/>
    <xf numFmtId="0" fontId="19" fillId="33" borderId="11" xfId="0" applyNumberFormat="1" applyFont="1" applyFill="1" applyBorder="1" applyAlignment="1">
      <alignment horizontal="left"/>
    </xf>
    <xf numFmtId="0" fontId="19" fillId="34" borderId="0" xfId="0" applyNumberFormat="1" applyFont="1" applyFill="1"/>
    <xf numFmtId="0" fontId="19" fillId="33" borderId="0" xfId="0" applyNumberFormat="1" applyFont="1" applyFill="1"/>
    <xf numFmtId="0" fontId="19" fillId="0" borderId="0" xfId="0" applyNumberFormat="1" applyFont="1" applyFill="1"/>
    <xf numFmtId="0" fontId="19" fillId="0" borderId="12" xfId="0" applyNumberFormat="1" applyFont="1" applyFill="1" applyBorder="1"/>
    <xf numFmtId="49" fontId="19" fillId="0" borderId="12" xfId="0" applyNumberFormat="1" applyFont="1" applyFill="1" applyBorder="1" applyAlignment="1">
      <alignment horizontal="left" wrapText="1"/>
    </xf>
    <xf numFmtId="0" fontId="20" fillId="33" borderId="0" xfId="0" applyNumberFormat="1" applyFont="1" applyFill="1" applyBorder="1" applyAlignment="1">
      <alignment horizontal="center" vertical="center"/>
    </xf>
    <xf numFmtId="49" fontId="19" fillId="0" borderId="12" xfId="0" applyNumberFormat="1" applyFont="1" applyFill="1" applyBorder="1" applyAlignment="1">
      <alignment horizontal="left"/>
    </xf>
    <xf numFmtId="0" fontId="19" fillId="0" borderId="12" xfId="0" applyNumberFormat="1" applyFont="1" applyFill="1" applyBorder="1" applyAlignment="1">
      <alignment horizontal="left"/>
    </xf>
    <xf numFmtId="165" fontId="19" fillId="0" borderId="12" xfId="0" applyNumberFormat="1" applyFont="1" applyFill="1" applyBorder="1" applyAlignment="1">
      <alignment horizontal="left"/>
    </xf>
    <xf numFmtId="0" fontId="19" fillId="0" borderId="13" xfId="0" applyNumberFormat="1" applyFont="1" applyFill="1" applyBorder="1"/>
    <xf numFmtId="0" fontId="19" fillId="0" borderId="14" xfId="0" applyNumberFormat="1" applyFont="1" applyFill="1" applyBorder="1" applyAlignment="1">
      <alignment horizontal="left"/>
    </xf>
    <xf numFmtId="0" fontId="18" fillId="33" borderId="13" xfId="0" applyNumberFormat="1" applyFont="1" applyFill="1" applyBorder="1"/>
    <xf numFmtId="0" fontId="19" fillId="33" borderId="14" xfId="0" applyNumberFormat="1" applyFont="1" applyFill="1" applyBorder="1" applyAlignment="1">
      <alignment horizontal="left"/>
    </xf>
    <xf numFmtId="0" fontId="19" fillId="0" borderId="14" xfId="0" applyNumberFormat="1" applyFont="1" applyFill="1" applyBorder="1" applyAlignment="1" applyProtection="1">
      <alignment horizontal="left"/>
    </xf>
    <xf numFmtId="0" fontId="19" fillId="34" borderId="0" xfId="0" applyNumberFormat="1" applyFont="1" applyFill="1" applyAlignment="1" applyProtection="1">
      <alignment horizontal="left"/>
    </xf>
    <xf numFmtId="0" fontId="19" fillId="33" borderId="0" xfId="0" applyNumberFormat="1" applyFont="1" applyFill="1" applyAlignment="1" applyProtection="1">
      <alignment horizontal="left"/>
    </xf>
    <xf numFmtId="0" fontId="19" fillId="0" borderId="12" xfId="0" applyNumberFormat="1" applyFont="1" applyFill="1" applyBorder="1" applyAlignment="1" applyProtection="1">
      <alignment horizontal="left"/>
    </xf>
    <xf numFmtId="49" fontId="19" fillId="0" borderId="12" xfId="0" applyNumberFormat="1" applyFont="1" applyFill="1" applyBorder="1" applyAlignment="1" applyProtection="1">
      <alignment horizontal="left"/>
    </xf>
    <xf numFmtId="166" fontId="19" fillId="0" borderId="12" xfId="0" applyNumberFormat="1" applyFont="1" applyFill="1" applyBorder="1" applyAlignment="1" applyProtection="1">
      <alignment horizontal="left"/>
    </xf>
    <xf numFmtId="0" fontId="19" fillId="33" borderId="14" xfId="0" applyNumberFormat="1" applyFont="1" applyFill="1" applyBorder="1" applyAlignment="1" applyProtection="1">
      <alignment horizontal="left"/>
      <protection locked="0"/>
    </xf>
    <xf numFmtId="0" fontId="19" fillId="33" borderId="0" xfId="0" applyNumberFormat="1" applyFont="1" applyFill="1" applyBorder="1"/>
    <xf numFmtId="0" fontId="19" fillId="0" borderId="14" xfId="0" applyNumberFormat="1" applyFont="1" applyFill="1" applyBorder="1" applyAlignment="1">
      <alignment horizontal="left" wrapText="1"/>
    </xf>
    <xf numFmtId="0" fontId="19" fillId="34" borderId="0" xfId="0" applyNumberFormat="1" applyFont="1" applyFill="1" applyAlignment="1">
      <alignment horizontal="left" wrapText="1"/>
    </xf>
    <xf numFmtId="0" fontId="19" fillId="33" borderId="0" xfId="0" applyNumberFormat="1" applyFont="1" applyFill="1" applyAlignment="1">
      <alignment horizontal="left" wrapText="1"/>
    </xf>
    <xf numFmtId="0" fontId="19" fillId="0" borderId="15" xfId="0" applyNumberFormat="1" applyFont="1" applyFill="1" applyBorder="1"/>
    <xf numFmtId="167" fontId="19" fillId="0" borderId="16" xfId="0" applyNumberFormat="1" applyFont="1" applyFill="1" applyBorder="1" applyAlignment="1" applyProtection="1">
      <alignment horizontal="left"/>
      <protection locked="0"/>
    </xf>
    <xf numFmtId="167" fontId="19" fillId="0" borderId="12" xfId="0" applyNumberFormat="1" applyFont="1" applyFill="1" applyBorder="1" applyAlignment="1" applyProtection="1">
      <alignment horizontal="left"/>
      <protection locked="0"/>
    </xf>
    <xf numFmtId="0" fontId="22" fillId="34" borderId="0" xfId="0" applyNumberFormat="1" applyFont="1" applyFill="1" applyAlignment="1" applyProtection="1">
      <alignment horizontal="left"/>
      <protection locked="0"/>
    </xf>
    <xf numFmtId="0" fontId="19" fillId="33" borderId="0" xfId="0" applyNumberFormat="1" applyFont="1" applyFill="1" applyAlignment="1">
      <alignment horizontal="left"/>
    </xf>
    <xf numFmtId="0" fontId="19" fillId="0" borderId="0" xfId="0" applyNumberFormat="1" applyFont="1" applyFill="1" applyAlignment="1">
      <alignment horizontal="left"/>
    </xf>
    <xf numFmtId="0" fontId="23" fillId="62" borderId="29" xfId="42157" applyFont="1" applyFill="1" applyBorder="1" applyAlignment="1">
      <alignment horizontal="center"/>
    </xf>
    <xf numFmtId="0" fontId="23" fillId="0" borderId="25" xfId="42157" applyFont="1" applyFill="1" applyBorder="1" applyAlignment="1">
      <alignment horizontal="right" wrapText="1"/>
    </xf>
    <xf numFmtId="0" fontId="23" fillId="0" borderId="25" xfId="42157" applyFont="1" applyFill="1" applyBorder="1" applyAlignment="1">
      <alignment wrapText="1"/>
    </xf>
    <xf numFmtId="49" fontId="0" fillId="0" borderId="0" xfId="0" applyNumberFormat="1" applyAlignment="1">
      <alignment horizontal="left"/>
    </xf>
    <xf numFmtId="0" fontId="0" fillId="0" borderId="0" xfId="0" applyNumberFormat="1" applyAlignment="1">
      <alignment horizontal="left"/>
    </xf>
    <xf numFmtId="0" fontId="0" fillId="0" borderId="0" xfId="0" applyNumberFormat="1"/>
    <xf numFmtId="49" fontId="15" fillId="0" borderId="0" xfId="0" applyNumberFormat="1" applyFont="1" applyAlignment="1">
      <alignment horizontal="left"/>
    </xf>
    <xf numFmtId="49" fontId="19" fillId="0" borderId="16" xfId="0" applyNumberFormat="1" applyFont="1" applyFill="1" applyBorder="1" applyAlignment="1" applyProtection="1">
      <alignment horizontal="left"/>
    </xf>
    <xf numFmtId="49" fontId="19" fillId="0" borderId="30" xfId="0" applyNumberFormat="1" applyFont="1" applyFill="1" applyBorder="1" applyAlignment="1" applyProtection="1">
      <alignment horizontal="left"/>
    </xf>
    <xf numFmtId="0" fontId="21" fillId="0" borderId="0" xfId="0" applyNumberFormat="1" applyFont="1" applyFill="1" applyBorder="1"/>
    <xf numFmtId="167" fontId="19" fillId="0" borderId="0" xfId="0" applyNumberFormat="1" applyFont="1" applyFill="1" applyBorder="1" applyAlignment="1" applyProtection="1">
      <alignment horizontal="left"/>
      <protection locked="0"/>
    </xf>
    <xf numFmtId="0" fontId="78" fillId="0" borderId="0" xfId="46025" applyAlignment="1" applyProtection="1">
      <alignment horizontal="right"/>
    </xf>
    <xf numFmtId="0" fontId="99" fillId="63" borderId="0" xfId="25627" applyFont="1" applyFill="1" applyBorder="1" applyAlignment="1" applyProtection="1">
      <alignment vertical="center"/>
    </xf>
    <xf numFmtId="0" fontId="99" fillId="63" borderId="0" xfId="25627" applyFont="1" applyFill="1" applyBorder="1" applyAlignment="1" applyProtection="1">
      <alignment vertical="center" wrapText="1"/>
    </xf>
    <xf numFmtId="0" fontId="99" fillId="0" borderId="0" xfId="25627" applyFont="1" applyFill="1" applyBorder="1" applyAlignment="1" applyProtection="1">
      <alignment vertical="center" wrapText="1"/>
    </xf>
    <xf numFmtId="0" fontId="78" fillId="0" borderId="0" xfId="46025" applyProtection="1"/>
    <xf numFmtId="0" fontId="99" fillId="63" borderId="31" xfId="25627" applyFont="1" applyFill="1" applyBorder="1" applyAlignment="1" applyProtection="1">
      <alignment vertical="center"/>
    </xf>
    <xf numFmtId="0" fontId="99" fillId="63" borderId="31" xfId="25627" applyFont="1" applyFill="1" applyBorder="1" applyAlignment="1" applyProtection="1">
      <alignment vertical="center" wrapText="1"/>
    </xf>
    <xf numFmtId="0" fontId="99" fillId="0" borderId="31" xfId="25627" applyFont="1" applyFill="1" applyBorder="1" applyAlignment="1" applyProtection="1">
      <alignment vertical="center" wrapText="1"/>
    </xf>
    <xf numFmtId="0" fontId="100" fillId="64" borderId="32" xfId="25627" applyFont="1" applyFill="1" applyBorder="1" applyAlignment="1" applyProtection="1">
      <alignment vertical="center"/>
    </xf>
    <xf numFmtId="0" fontId="100" fillId="0" borderId="32" xfId="25627" applyFont="1" applyFill="1" applyBorder="1" applyAlignment="1" applyProtection="1">
      <alignment vertical="center"/>
    </xf>
    <xf numFmtId="0" fontId="100" fillId="0" borderId="0" xfId="25627" applyFont="1" applyFill="1" applyBorder="1" applyAlignment="1" applyProtection="1">
      <alignment vertical="center"/>
    </xf>
    <xf numFmtId="0" fontId="99" fillId="0" borderId="0" xfId="25627" applyFont="1" applyFill="1" applyBorder="1" applyAlignment="1" applyProtection="1">
      <alignment horizontal="center" vertical="center" wrapText="1"/>
    </xf>
    <xf numFmtId="0" fontId="101" fillId="0" borderId="0" xfId="25627" applyFont="1" applyProtection="1"/>
    <xf numFmtId="0" fontId="101" fillId="0" borderId="0" xfId="25627" applyFont="1" applyFill="1" applyProtection="1"/>
    <xf numFmtId="0" fontId="101" fillId="0" borderId="0" xfId="25627" applyFont="1" applyFill="1" applyBorder="1" applyProtection="1"/>
    <xf numFmtId="0" fontId="102" fillId="0" borderId="33" xfId="25627" applyFont="1" applyFill="1" applyBorder="1" applyAlignment="1" applyProtection="1">
      <alignment vertical="center"/>
    </xf>
    <xf numFmtId="0" fontId="103" fillId="0" borderId="34" xfId="25627" applyFont="1" applyFill="1" applyBorder="1" applyAlignment="1" applyProtection="1">
      <alignment vertical="center"/>
    </xf>
    <xf numFmtId="0" fontId="99" fillId="0" borderId="34" xfId="25627" applyFont="1" applyFill="1" applyBorder="1" applyAlignment="1" applyProtection="1">
      <alignment horizontal="center" vertical="center" wrapText="1"/>
    </xf>
    <xf numFmtId="0" fontId="99" fillId="0" borderId="35" xfId="25627" applyFont="1" applyFill="1" applyBorder="1" applyAlignment="1" applyProtection="1">
      <alignment horizontal="center" vertical="center" wrapText="1"/>
    </xf>
    <xf numFmtId="0" fontId="101" fillId="0" borderId="35" xfId="25627" applyFont="1" applyBorder="1" applyProtection="1"/>
    <xf numFmtId="0" fontId="101" fillId="0" borderId="34" xfId="25627" applyFont="1" applyBorder="1" applyProtection="1"/>
    <xf numFmtId="0" fontId="103" fillId="0" borderId="35" xfId="25627" applyFont="1" applyFill="1" applyBorder="1" applyAlignment="1" applyProtection="1">
      <alignment vertical="center"/>
    </xf>
    <xf numFmtId="0" fontId="41" fillId="0" borderId="0" xfId="13344" applyProtection="1"/>
    <xf numFmtId="0" fontId="104" fillId="0" borderId="36" xfId="25627" applyFont="1" applyFill="1" applyBorder="1" applyAlignment="1" applyProtection="1">
      <alignment vertical="center"/>
    </xf>
    <xf numFmtId="1" fontId="101" fillId="0" borderId="0" xfId="25627" applyNumberFormat="1" applyFont="1" applyFill="1" applyBorder="1" applyAlignment="1" applyProtection="1">
      <alignment horizontal="left" vertical="center"/>
    </xf>
    <xf numFmtId="0" fontId="99" fillId="0" borderId="37" xfId="25627" applyFont="1" applyFill="1" applyBorder="1" applyAlignment="1" applyProtection="1">
      <alignment horizontal="center" vertical="center" wrapText="1"/>
    </xf>
    <xf numFmtId="0" fontId="103" fillId="0" borderId="36" xfId="25627" applyFont="1" applyFill="1" applyBorder="1" applyAlignment="1" applyProtection="1">
      <alignment vertical="center"/>
    </xf>
    <xf numFmtId="0" fontId="101" fillId="0" borderId="37" xfId="25627" applyFont="1" applyBorder="1" applyProtection="1"/>
    <xf numFmtId="0" fontId="101" fillId="0" borderId="36" xfId="25627" applyFont="1" applyBorder="1" applyProtection="1"/>
    <xf numFmtId="0" fontId="101" fillId="0" borderId="0" xfId="25627" applyFont="1" applyBorder="1" applyProtection="1"/>
    <xf numFmtId="0" fontId="103" fillId="0" borderId="37" xfId="25627" applyFont="1" applyFill="1" applyBorder="1" applyAlignment="1" applyProtection="1">
      <alignment vertical="center"/>
    </xf>
    <xf numFmtId="0" fontId="104" fillId="0" borderId="0" xfId="25627" applyFont="1" applyFill="1" applyBorder="1" applyAlignment="1" applyProtection="1">
      <alignment horizontal="right" vertical="center"/>
    </xf>
    <xf numFmtId="0" fontId="101" fillId="0" borderId="0" xfId="25627" applyFont="1" applyFill="1" applyBorder="1" applyAlignment="1" applyProtection="1">
      <alignment horizontal="left" vertical="center"/>
    </xf>
    <xf numFmtId="0" fontId="101" fillId="0" borderId="37" xfId="25627" applyFont="1" applyFill="1" applyBorder="1" applyProtection="1"/>
    <xf numFmtId="0" fontId="104" fillId="0" borderId="36" xfId="25627" applyFont="1" applyFill="1" applyBorder="1" applyAlignment="1" applyProtection="1">
      <alignment horizontal="left" vertical="center"/>
    </xf>
    <xf numFmtId="0" fontId="105" fillId="0" borderId="0" xfId="25627" applyFont="1" applyBorder="1" applyAlignment="1" applyProtection="1">
      <alignment vertical="center"/>
    </xf>
    <xf numFmtId="0" fontId="104" fillId="0" borderId="36" xfId="25627" applyFont="1" applyBorder="1" applyAlignment="1" applyProtection="1">
      <alignment vertical="center"/>
    </xf>
    <xf numFmtId="0" fontId="106" fillId="0" borderId="0" xfId="25627" applyFont="1" applyBorder="1" applyProtection="1"/>
    <xf numFmtId="165" fontId="101" fillId="0" borderId="0" xfId="25627" applyNumberFormat="1" applyFont="1" applyFill="1" applyBorder="1" applyAlignment="1" applyProtection="1">
      <alignment horizontal="left" vertical="center"/>
    </xf>
    <xf numFmtId="0" fontId="107" fillId="0" borderId="0" xfId="25627" applyFont="1" applyFill="1" applyBorder="1" applyAlignment="1" applyProtection="1">
      <alignment horizontal="right" vertical="center"/>
    </xf>
    <xf numFmtId="0" fontId="105" fillId="0" borderId="0" xfId="25627" applyFont="1" applyFill="1" applyBorder="1" applyAlignment="1" applyProtection="1">
      <alignment horizontal="left" vertical="center"/>
    </xf>
    <xf numFmtId="0" fontId="105" fillId="0" borderId="37" xfId="25627" applyFont="1" applyFill="1" applyBorder="1" applyProtection="1"/>
    <xf numFmtId="0" fontId="101" fillId="0" borderId="0" xfId="25627" applyFont="1" applyFill="1" applyBorder="1" applyAlignment="1" applyProtection="1">
      <alignment vertical="center"/>
    </xf>
    <xf numFmtId="0" fontId="106" fillId="0" borderId="0" xfId="25627" applyFont="1" applyFill="1" applyBorder="1" applyAlignment="1" applyProtection="1"/>
    <xf numFmtId="10" fontId="101" fillId="0" borderId="0" xfId="25627" applyNumberFormat="1" applyFont="1" applyFill="1" applyBorder="1" applyAlignment="1" applyProtection="1">
      <alignment horizontal="left" vertical="center"/>
    </xf>
    <xf numFmtId="0" fontId="104" fillId="0" borderId="38" xfId="25627" applyFont="1" applyBorder="1" applyAlignment="1" applyProtection="1">
      <alignment vertical="center"/>
    </xf>
    <xf numFmtId="0" fontId="105" fillId="0" borderId="39" xfId="25627" applyFont="1" applyFill="1" applyBorder="1" applyAlignment="1" applyProtection="1">
      <alignment horizontal="left" vertical="center"/>
    </xf>
    <xf numFmtId="0" fontId="101" fillId="0" borderId="39" xfId="25627" applyFont="1" applyBorder="1" applyProtection="1"/>
    <xf numFmtId="0" fontId="106" fillId="0" borderId="39" xfId="25627" applyFont="1" applyFill="1" applyBorder="1" applyAlignment="1" applyProtection="1"/>
    <xf numFmtId="0" fontId="101" fillId="0" borderId="40" xfId="25627" applyFont="1" applyFill="1" applyBorder="1" applyProtection="1"/>
    <xf numFmtId="0" fontId="104" fillId="0" borderId="0" xfId="25627" applyFont="1" applyBorder="1" applyAlignment="1" applyProtection="1">
      <alignment horizontal="left"/>
    </xf>
    <xf numFmtId="166" fontId="101" fillId="0" borderId="0" xfId="25627" applyNumberFormat="1" applyFont="1" applyFill="1" applyBorder="1" applyProtection="1"/>
    <xf numFmtId="0" fontId="101" fillId="0" borderId="0" xfId="25627" applyFont="1" applyBorder="1" applyAlignment="1" applyProtection="1">
      <alignment horizontal="right"/>
    </xf>
    <xf numFmtId="0" fontId="104" fillId="0" borderId="0" xfId="25627" applyFont="1" applyBorder="1" applyProtection="1"/>
    <xf numFmtId="0" fontId="101" fillId="0" borderId="0" xfId="25627" applyFont="1" applyBorder="1" applyAlignment="1" applyProtection="1">
      <alignment vertical="center"/>
    </xf>
    <xf numFmtId="0" fontId="104" fillId="0" borderId="0" xfId="25627" applyFont="1" applyFill="1" applyBorder="1" applyProtection="1"/>
    <xf numFmtId="0" fontId="101" fillId="0" borderId="36" xfId="25627" applyFont="1" applyBorder="1" applyAlignment="1" applyProtection="1">
      <alignment vertical="center"/>
    </xf>
    <xf numFmtId="0" fontId="104" fillId="0" borderId="37" xfId="25627" applyFont="1" applyFill="1" applyBorder="1" applyProtection="1"/>
    <xf numFmtId="166" fontId="101" fillId="0" borderId="0" xfId="25627" applyNumberFormat="1" applyFont="1" applyBorder="1" applyAlignment="1" applyProtection="1">
      <alignment horizontal="left" indent="1"/>
    </xf>
    <xf numFmtId="0" fontId="104" fillId="0" borderId="0" xfId="25627" applyFont="1" applyFill="1" applyBorder="1" applyAlignment="1" applyProtection="1">
      <alignment horizontal="right"/>
    </xf>
    <xf numFmtId="0" fontId="104" fillId="0" borderId="38" xfId="25627" applyFont="1" applyFill="1" applyBorder="1" applyAlignment="1" applyProtection="1">
      <alignment vertical="center"/>
    </xf>
    <xf numFmtId="0" fontId="101" fillId="0" borderId="39" xfId="25627" applyFont="1" applyFill="1" applyBorder="1" applyAlignment="1" applyProtection="1">
      <alignment vertical="center"/>
    </xf>
    <xf numFmtId="0" fontId="101" fillId="0" borderId="0" xfId="25627" applyFont="1" applyBorder="1" applyAlignment="1" applyProtection="1">
      <alignment horizontal="left"/>
    </xf>
    <xf numFmtId="0" fontId="101" fillId="0" borderId="0" xfId="25627" applyFont="1" applyFill="1" applyBorder="1" applyAlignment="1" applyProtection="1">
      <alignment horizontal="left"/>
    </xf>
    <xf numFmtId="0" fontId="101" fillId="0" borderId="0" xfId="25627" applyFont="1" applyBorder="1" applyAlignment="1" applyProtection="1">
      <alignment horizontal="left" indent="1"/>
    </xf>
    <xf numFmtId="0" fontId="107" fillId="0" borderId="39" xfId="25627" applyFont="1" applyFill="1" applyBorder="1" applyAlignment="1" applyProtection="1">
      <alignment horizontal="right" vertical="center"/>
    </xf>
    <xf numFmtId="0" fontId="101" fillId="0" borderId="40" xfId="25627" applyFont="1" applyBorder="1" applyProtection="1"/>
    <xf numFmtId="174" fontId="101" fillId="0" borderId="0" xfId="25627" applyNumberFormat="1" applyFont="1" applyBorder="1" applyAlignment="1" applyProtection="1">
      <alignment horizontal="left"/>
    </xf>
    <xf numFmtId="0" fontId="101" fillId="0" borderId="0" xfId="25627" applyNumberFormat="1" applyFont="1" applyBorder="1" applyAlignment="1" applyProtection="1">
      <alignment horizontal="left"/>
    </xf>
    <xf numFmtId="0" fontId="102" fillId="0" borderId="33" xfId="25627" applyFont="1" applyBorder="1" applyProtection="1"/>
    <xf numFmtId="0" fontId="103" fillId="0" borderId="34" xfId="25627" applyFont="1" applyBorder="1" applyProtection="1"/>
    <xf numFmtId="0" fontId="105" fillId="0" borderId="34" xfId="25627" applyFont="1" applyBorder="1" applyProtection="1"/>
    <xf numFmtId="0" fontId="105" fillId="0" borderId="34" xfId="25627" applyFont="1" applyFill="1" applyBorder="1" applyProtection="1"/>
    <xf numFmtId="175" fontId="107" fillId="0" borderId="34" xfId="25627" applyNumberFormat="1" applyFont="1" applyBorder="1" applyAlignment="1" applyProtection="1">
      <alignment horizontal="center"/>
    </xf>
    <xf numFmtId="0" fontId="105" fillId="0" borderId="34" xfId="25627" applyFont="1" applyFill="1" applyBorder="1" applyAlignment="1" applyProtection="1">
      <alignment horizontal="center" vertical="center" wrapText="1"/>
    </xf>
    <xf numFmtId="0" fontId="101" fillId="0" borderId="34" xfId="25627" applyFont="1" applyFill="1" applyBorder="1" applyProtection="1"/>
    <xf numFmtId="14" fontId="104" fillId="0" borderId="41" xfId="25627" applyNumberFormat="1" applyFont="1" applyBorder="1" applyAlignment="1" applyProtection="1">
      <alignment horizontal="left"/>
    </xf>
    <xf numFmtId="0" fontId="105" fillId="0" borderId="0" xfId="25627" applyFont="1" applyBorder="1" applyProtection="1"/>
    <xf numFmtId="14" fontId="104" fillId="0" borderId="36" xfId="25627" applyNumberFormat="1" applyFont="1" applyBorder="1" applyAlignment="1" applyProtection="1">
      <alignment horizontal="left"/>
    </xf>
    <xf numFmtId="3" fontId="101" fillId="0" borderId="0" xfId="25627" applyNumberFormat="1" applyFont="1" applyFill="1" applyBorder="1" applyAlignment="1" applyProtection="1">
      <alignment horizontal="left"/>
    </xf>
    <xf numFmtId="0" fontId="109" fillId="0" borderId="36" xfId="25627" applyFont="1" applyFill="1" applyBorder="1" applyAlignment="1" applyProtection="1">
      <alignment horizontal="center" wrapText="1"/>
    </xf>
    <xf numFmtId="0" fontId="109" fillId="0" borderId="0" xfId="25627" applyFont="1" applyFill="1" applyBorder="1" applyAlignment="1" applyProtection="1">
      <alignment horizontal="center" wrapText="1"/>
    </xf>
    <xf numFmtId="0" fontId="109" fillId="0" borderId="0" xfId="25627" applyFont="1" applyBorder="1" applyAlignment="1" applyProtection="1">
      <alignment horizontal="center" wrapText="1"/>
    </xf>
    <xf numFmtId="0" fontId="109" fillId="0" borderId="0" xfId="46025" applyFont="1" applyBorder="1" applyAlignment="1" applyProtection="1">
      <alignment horizontal="center" wrapText="1"/>
    </xf>
    <xf numFmtId="0" fontId="109" fillId="0" borderId="37" xfId="25627" applyFont="1" applyBorder="1" applyAlignment="1" applyProtection="1">
      <alignment horizontal="center" wrapText="1"/>
    </xf>
    <xf numFmtId="0" fontId="109" fillId="0" borderId="0" xfId="25627" applyFont="1" applyAlignment="1" applyProtection="1">
      <alignment horizontal="center" wrapText="1"/>
    </xf>
    <xf numFmtId="0" fontId="19" fillId="0" borderId="12" xfId="39139" applyFont="1" applyBorder="1" applyAlignment="1" applyProtection="1">
      <alignment horizontal="center" vertical="center" wrapText="1"/>
    </xf>
    <xf numFmtId="0" fontId="110" fillId="0" borderId="12" xfId="13383" applyFont="1" applyFill="1" applyBorder="1" applyAlignment="1" applyProtection="1">
      <alignment horizontal="center" vertical="center" wrapText="1"/>
    </xf>
    <xf numFmtId="0" fontId="87" fillId="0" borderId="12" xfId="13383" applyFont="1" applyFill="1" applyBorder="1" applyAlignment="1" applyProtection="1">
      <alignment horizontal="center" vertical="center" wrapText="1"/>
    </xf>
    <xf numFmtId="0" fontId="111" fillId="66" borderId="12" xfId="25627" applyFont="1" applyFill="1" applyBorder="1" applyAlignment="1" applyProtection="1">
      <alignment horizontal="center" vertical="center"/>
    </xf>
    <xf numFmtId="5" fontId="101" fillId="66" borderId="12" xfId="46025" applyNumberFormat="1" applyFont="1" applyFill="1" applyBorder="1" applyAlignment="1" applyProtection="1">
      <alignment horizontal="center" vertical="center" wrapText="1"/>
    </xf>
    <xf numFmtId="0" fontId="111" fillId="0" borderId="12" xfId="25627" applyFont="1" applyFill="1" applyBorder="1" applyAlignment="1" applyProtection="1">
      <alignment horizontal="center" vertical="center"/>
    </xf>
    <xf numFmtId="0" fontId="101" fillId="0" borderId="12" xfId="25627" applyFont="1" applyFill="1" applyBorder="1" applyAlignment="1" applyProtection="1">
      <alignment horizontal="center" vertical="center" wrapText="1"/>
    </xf>
    <xf numFmtId="0" fontId="111" fillId="66" borderId="44" xfId="25627" applyFont="1" applyFill="1" applyBorder="1" applyAlignment="1" applyProtection="1">
      <alignment horizontal="center" vertical="center"/>
    </xf>
    <xf numFmtId="14" fontId="110" fillId="0" borderId="12" xfId="13383" applyNumberFormat="1" applyFont="1" applyFill="1" applyBorder="1" applyAlignment="1" applyProtection="1">
      <alignment horizontal="center" vertical="center" wrapText="1"/>
    </xf>
    <xf numFmtId="0" fontId="78" fillId="0" borderId="0" xfId="46025" applyFill="1" applyAlignment="1" applyProtection="1">
      <alignment horizontal="right"/>
    </xf>
    <xf numFmtId="3" fontId="111" fillId="66" borderId="12" xfId="25627" applyNumberFormat="1" applyFont="1" applyFill="1" applyBorder="1" applyAlignment="1" applyProtection="1">
      <alignment horizontal="center" vertical="center"/>
    </xf>
    <xf numFmtId="0" fontId="101" fillId="0" borderId="0" xfId="25627" applyFont="1" applyFill="1" applyBorder="1" applyAlignment="1" applyProtection="1">
      <alignment horizontal="center"/>
    </xf>
    <xf numFmtId="14" fontId="110" fillId="0" borderId="16" xfId="13383" applyNumberFormat="1" applyFont="1" applyFill="1" applyBorder="1" applyAlignment="1" applyProtection="1">
      <alignment horizontal="center" vertical="center" wrapText="1"/>
    </xf>
    <xf numFmtId="0" fontId="111" fillId="66" borderId="16" xfId="25627" applyFont="1" applyFill="1" applyBorder="1" applyAlignment="1" applyProtection="1">
      <alignment horizontal="center" vertical="center"/>
    </xf>
    <xf numFmtId="5" fontId="101" fillId="66" borderId="16" xfId="46025" applyNumberFormat="1" applyFont="1" applyFill="1" applyBorder="1" applyAlignment="1" applyProtection="1">
      <alignment horizontal="center" vertical="center" wrapText="1"/>
    </xf>
    <xf numFmtId="0" fontId="112" fillId="0" borderId="33" xfId="25627" applyFont="1" applyBorder="1" applyProtection="1"/>
    <xf numFmtId="175" fontId="104" fillId="0" borderId="34" xfId="25627" applyNumberFormat="1" applyFont="1" applyBorder="1" applyAlignment="1" applyProtection="1">
      <alignment horizontal="right"/>
    </xf>
    <xf numFmtId="0" fontId="101" fillId="0" borderId="34" xfId="25627" applyFont="1" applyFill="1" applyBorder="1" applyAlignment="1" applyProtection="1">
      <alignment horizontal="left" vertical="center"/>
    </xf>
    <xf numFmtId="174" fontId="101" fillId="0" borderId="34" xfId="25627" applyNumberFormat="1" applyFont="1" applyBorder="1" applyProtection="1"/>
    <xf numFmtId="0" fontId="101" fillId="0" borderId="34" xfId="25627" applyFont="1" applyBorder="1" applyAlignment="1" applyProtection="1">
      <alignment horizontal="center"/>
    </xf>
    <xf numFmtId="0" fontId="109" fillId="0" borderId="34" xfId="25627" applyFont="1" applyFill="1" applyBorder="1" applyProtection="1"/>
    <xf numFmtId="174" fontId="101" fillId="0" borderId="34" xfId="25627" applyNumberFormat="1" applyFont="1" applyFill="1" applyBorder="1" applyProtection="1"/>
    <xf numFmtId="175" fontId="101" fillId="0" borderId="34" xfId="25627" applyNumberFormat="1" applyFont="1" applyFill="1" applyBorder="1" applyAlignment="1" applyProtection="1">
      <alignment horizontal="right"/>
    </xf>
    <xf numFmtId="0" fontId="101" fillId="0" borderId="34" xfId="25627" applyFont="1" applyFill="1" applyBorder="1" applyAlignment="1" applyProtection="1">
      <alignment horizontal="center"/>
    </xf>
    <xf numFmtId="0" fontId="109" fillId="0" borderId="36" xfId="25627" applyFont="1" applyBorder="1" applyAlignment="1" applyProtection="1">
      <alignment horizontal="center" wrapText="1"/>
    </xf>
    <xf numFmtId="0" fontId="103" fillId="0" borderId="0" xfId="25627" applyFont="1" applyFill="1" applyBorder="1" applyAlignment="1" applyProtection="1">
      <alignment horizontal="center" wrapText="1"/>
    </xf>
    <xf numFmtId="0" fontId="103" fillId="0" borderId="0" xfId="25627" applyFont="1" applyBorder="1" applyAlignment="1" applyProtection="1">
      <alignment horizontal="center" wrapText="1"/>
    </xf>
    <xf numFmtId="0" fontId="105" fillId="0" borderId="43" xfId="25627" applyFont="1" applyFill="1" applyBorder="1" applyAlignment="1" applyProtection="1">
      <alignment horizontal="center" vertical="center"/>
    </xf>
    <xf numFmtId="0" fontId="105" fillId="0" borderId="12" xfId="25627" applyFont="1" applyFill="1" applyBorder="1" applyAlignment="1" applyProtection="1">
      <alignment horizontal="center" vertical="center"/>
    </xf>
    <xf numFmtId="0" fontId="101" fillId="0" borderId="12" xfId="25627" applyFont="1" applyFill="1" applyBorder="1" applyAlignment="1" applyProtection="1">
      <alignment horizontal="center" vertical="center"/>
    </xf>
    <xf numFmtId="49" fontId="101" fillId="0" borderId="12" xfId="25627" applyNumberFormat="1" applyFont="1" applyFill="1" applyBorder="1" applyAlignment="1" applyProtection="1">
      <alignment horizontal="center" vertical="center"/>
    </xf>
    <xf numFmtId="3" fontId="101" fillId="0" borderId="12" xfId="25627" applyNumberFormat="1" applyFont="1" applyFill="1" applyBorder="1" applyAlignment="1" applyProtection="1">
      <alignment horizontal="center" vertical="center" wrapText="1"/>
    </xf>
    <xf numFmtId="3" fontId="101" fillId="0" borderId="12" xfId="25627" applyNumberFormat="1" applyFont="1" applyBorder="1" applyAlignment="1" applyProtection="1">
      <alignment horizontal="center" vertical="center"/>
    </xf>
    <xf numFmtId="1" fontId="101" fillId="0" borderId="12" xfId="25627" applyNumberFormat="1" applyFont="1" applyFill="1" applyBorder="1" applyAlignment="1" applyProtection="1">
      <alignment horizontal="center" vertical="center"/>
    </xf>
    <xf numFmtId="0" fontId="101" fillId="0" borderId="15" xfId="25627" applyFont="1" applyFill="1" applyBorder="1" applyAlignment="1" applyProtection="1">
      <alignment horizontal="center" vertical="center" wrapText="1"/>
    </xf>
    <xf numFmtId="3" fontId="101" fillId="0" borderId="12" xfId="25627" applyNumberFormat="1" applyFont="1" applyBorder="1" applyAlignment="1" applyProtection="1">
      <alignment horizontal="center" vertical="center" wrapText="1"/>
    </xf>
    <xf numFmtId="0" fontId="101" fillId="0" borderId="46" xfId="25627" applyFont="1" applyFill="1" applyBorder="1" applyAlignment="1" applyProtection="1">
      <alignment horizontal="center" vertical="center"/>
    </xf>
    <xf numFmtId="0" fontId="105" fillId="0" borderId="47" xfId="25627" applyFont="1" applyFill="1" applyBorder="1" applyAlignment="1" applyProtection="1">
      <alignment horizontal="center" vertical="center"/>
    </xf>
    <xf numFmtId="0" fontId="101" fillId="0" borderId="47" xfId="25627" applyFont="1" applyFill="1" applyBorder="1" applyAlignment="1" applyProtection="1">
      <alignment horizontal="center" vertical="center"/>
    </xf>
    <xf numFmtId="0" fontId="101" fillId="0" borderId="47" xfId="25627" applyFont="1" applyBorder="1" applyAlignment="1" applyProtection="1">
      <alignment horizontal="center" vertical="center"/>
    </xf>
    <xf numFmtId="0" fontId="111" fillId="66" borderId="47" xfId="25627" applyFont="1" applyFill="1" applyBorder="1" applyAlignment="1" applyProtection="1">
      <alignment horizontal="center" vertical="center"/>
    </xf>
    <xf numFmtId="3" fontId="111" fillId="66" borderId="47" xfId="25627" applyNumberFormat="1" applyFont="1" applyFill="1" applyBorder="1" applyAlignment="1" applyProtection="1">
      <alignment horizontal="center" vertical="center"/>
    </xf>
    <xf numFmtId="0" fontId="78" fillId="0" borderId="0" xfId="46025" applyAlignment="1" applyProtection="1">
      <alignment horizontal="center"/>
    </xf>
    <xf numFmtId="0" fontId="101" fillId="0" borderId="34" xfId="25627" applyFont="1" applyBorder="1" applyAlignment="1" applyProtection="1">
      <alignment horizontal="left" vertical="center"/>
    </xf>
    <xf numFmtId="0" fontId="101" fillId="0" borderId="35" xfId="25627" applyFont="1" applyBorder="1" applyProtection="1">
      <protection hidden="1"/>
    </xf>
    <xf numFmtId="0" fontId="42" fillId="0" borderId="0" xfId="46025" applyFont="1" applyFill="1" applyAlignment="1" applyProtection="1">
      <alignment horizontal="right"/>
    </xf>
    <xf numFmtId="0" fontId="113" fillId="0" borderId="36" xfId="25627" applyFont="1" applyBorder="1" applyAlignment="1" applyProtection="1">
      <alignment horizontal="center" vertical="center" wrapText="1"/>
    </xf>
    <xf numFmtId="0" fontId="113" fillId="0" borderId="0" xfId="25627" applyFont="1" applyBorder="1" applyAlignment="1" applyProtection="1">
      <alignment horizontal="center" vertical="center" wrapText="1"/>
    </xf>
    <xf numFmtId="0" fontId="114" fillId="0" borderId="0" xfId="25627" applyFont="1" applyBorder="1" applyAlignment="1" applyProtection="1">
      <alignment horizontal="center" vertical="center" wrapText="1"/>
    </xf>
    <xf numFmtId="0" fontId="113" fillId="0" borderId="0" xfId="25627" applyFont="1" applyFill="1" applyBorder="1" applyAlignment="1" applyProtection="1">
      <alignment horizontal="center" vertical="center" wrapText="1"/>
    </xf>
    <xf numFmtId="0" fontId="113" fillId="0" borderId="37" xfId="25627" applyFont="1" applyFill="1" applyBorder="1" applyAlignment="1" applyProtection="1">
      <alignment horizontal="center" vertical="center" wrapText="1"/>
    </xf>
    <xf numFmtId="0" fontId="42" fillId="0" borderId="0" xfId="46025" applyFont="1" applyAlignment="1" applyProtection="1">
      <alignment horizontal="center"/>
    </xf>
    <xf numFmtId="0" fontId="115" fillId="0" borderId="43" xfId="25627" applyFont="1" applyFill="1" applyBorder="1" applyAlignment="1" applyProtection="1">
      <alignment horizontal="center" vertical="center"/>
    </xf>
    <xf numFmtId="0" fontId="115" fillId="0" borderId="12" xfId="25627" applyFont="1" applyFill="1" applyBorder="1" applyAlignment="1" applyProtection="1">
      <alignment horizontal="center" vertical="center"/>
    </xf>
    <xf numFmtId="0" fontId="42" fillId="0" borderId="12" xfId="25627" applyFont="1" applyFill="1" applyBorder="1" applyAlignment="1" applyProtection="1">
      <alignment horizontal="center" vertical="center" wrapText="1"/>
    </xf>
    <xf numFmtId="0" fontId="42" fillId="0" borderId="12" xfId="25627" applyFont="1" applyBorder="1" applyAlignment="1" applyProtection="1">
      <alignment horizontal="center" vertical="center"/>
    </xf>
    <xf numFmtId="49" fontId="42" fillId="0" borderId="12" xfId="13344" applyNumberFormat="1" applyFont="1" applyFill="1" applyBorder="1" applyAlignment="1" applyProtection="1">
      <alignment horizontal="center" vertical="center"/>
      <protection hidden="1"/>
    </xf>
    <xf numFmtId="0" fontId="42" fillId="0" borderId="12" xfId="13344" applyFont="1" applyFill="1" applyBorder="1" applyAlignment="1" applyProtection="1">
      <alignment horizontal="center" vertical="center"/>
      <protection hidden="1"/>
    </xf>
    <xf numFmtId="3" fontId="42" fillId="66" borderId="12" xfId="25627" applyNumberFormat="1" applyFont="1" applyFill="1" applyBorder="1" applyAlignment="1" applyProtection="1">
      <alignment horizontal="center" vertical="center" wrapText="1"/>
    </xf>
    <xf numFmtId="1" fontId="42" fillId="66" borderId="12" xfId="25627" applyNumberFormat="1" applyFont="1" applyFill="1" applyBorder="1" applyAlignment="1" applyProtection="1">
      <alignment horizontal="center" vertical="center"/>
    </xf>
    <xf numFmtId="0" fontId="42" fillId="66" borderId="12" xfId="25627" applyFont="1" applyFill="1" applyBorder="1" applyAlignment="1" applyProtection="1">
      <alignment horizontal="center" vertical="center" wrapText="1"/>
    </xf>
    <xf numFmtId="3" fontId="42" fillId="0" borderId="12" xfId="25627" applyNumberFormat="1" applyFont="1" applyFill="1" applyBorder="1" applyAlignment="1" applyProtection="1">
      <alignment horizontal="center" vertical="center"/>
    </xf>
    <xf numFmtId="3" fontId="42" fillId="0" borderId="12" xfId="13344" applyNumberFormat="1" applyFont="1" applyFill="1" applyBorder="1" applyAlignment="1" applyProtection="1">
      <alignment horizontal="center" vertical="center" wrapText="1"/>
      <protection hidden="1"/>
    </xf>
    <xf numFmtId="3" fontId="42" fillId="66" borderId="12" xfId="13344" applyNumberFormat="1" applyFont="1" applyFill="1" applyBorder="1" applyAlignment="1" applyProtection="1">
      <alignment horizontal="center" vertical="center"/>
      <protection hidden="1"/>
    </xf>
    <xf numFmtId="0" fontId="42" fillId="66" borderId="12" xfId="13344" applyFont="1" applyFill="1" applyBorder="1" applyAlignment="1" applyProtection="1">
      <alignment horizontal="center" vertical="center"/>
      <protection hidden="1"/>
    </xf>
    <xf numFmtId="0" fontId="42" fillId="66" borderId="12" xfId="25627" applyFont="1" applyFill="1" applyBorder="1" applyAlignment="1" applyProtection="1">
      <alignment horizontal="left" vertical="center"/>
      <protection hidden="1"/>
    </xf>
    <xf numFmtId="0" fontId="42" fillId="0" borderId="12" xfId="13344" applyFont="1" applyFill="1" applyBorder="1" applyAlignment="1" applyProtection="1">
      <alignment horizontal="center" vertical="center" wrapText="1"/>
      <protection hidden="1"/>
    </xf>
    <xf numFmtId="3" fontId="42" fillId="0" borderId="12" xfId="25627" applyNumberFormat="1" applyFont="1" applyBorder="1" applyAlignment="1" applyProtection="1">
      <alignment horizontal="center" vertical="center" wrapText="1"/>
    </xf>
    <xf numFmtId="3" fontId="42" fillId="0" borderId="44" xfId="25627" applyNumberFormat="1" applyFont="1" applyBorder="1" applyAlignment="1" applyProtection="1">
      <alignment horizontal="center" vertical="center" wrapText="1"/>
    </xf>
    <xf numFmtId="0" fontId="42" fillId="0" borderId="43" xfId="25627" applyFont="1" applyFill="1" applyBorder="1" applyAlignment="1" applyProtection="1">
      <alignment horizontal="center" vertical="center"/>
    </xf>
    <xf numFmtId="0" fontId="42" fillId="0" borderId="12" xfId="25627" applyFont="1" applyFill="1" applyBorder="1" applyAlignment="1" applyProtection="1">
      <alignment horizontal="center" vertical="center"/>
    </xf>
    <xf numFmtId="49" fontId="42" fillId="0" borderId="12" xfId="25627" applyNumberFormat="1" applyFont="1" applyFill="1" applyBorder="1" applyAlignment="1" applyProtection="1">
      <alignment horizontal="center" vertical="center"/>
      <protection hidden="1"/>
    </xf>
    <xf numFmtId="0" fontId="42" fillId="0" borderId="46" xfId="25627" applyFont="1" applyFill="1" applyBorder="1" applyAlignment="1" applyProtection="1">
      <alignment horizontal="center" vertical="center"/>
    </xf>
    <xf numFmtId="0" fontId="115" fillId="0" borderId="47" xfId="25627" applyFont="1" applyFill="1" applyBorder="1" applyAlignment="1" applyProtection="1">
      <alignment horizontal="center" vertical="center"/>
    </xf>
    <xf numFmtId="0" fontId="42" fillId="0" borderId="47" xfId="25627" applyFont="1" applyFill="1" applyBorder="1" applyAlignment="1" applyProtection="1">
      <alignment horizontal="center" vertical="center"/>
    </xf>
    <xf numFmtId="0" fontId="42" fillId="0" borderId="47" xfId="25627" applyFont="1" applyBorder="1" applyAlignment="1" applyProtection="1">
      <alignment horizontal="center" vertical="center"/>
    </xf>
    <xf numFmtId="0" fontId="42" fillId="66" borderId="47" xfId="25627" applyFont="1" applyFill="1" applyBorder="1" applyAlignment="1" applyProtection="1">
      <alignment horizontal="left" vertical="center"/>
      <protection hidden="1"/>
    </xf>
    <xf numFmtId="49" fontId="42" fillId="0" borderId="47" xfId="25627" applyNumberFormat="1" applyFont="1" applyFill="1" applyBorder="1" applyAlignment="1" applyProtection="1">
      <alignment horizontal="center" vertical="center"/>
      <protection hidden="1"/>
    </xf>
    <xf numFmtId="176" fontId="101" fillId="0" borderId="0" xfId="25627" applyNumberFormat="1" applyFont="1" applyFill="1" applyBorder="1" applyAlignment="1" applyProtection="1">
      <alignment horizontal="center"/>
    </xf>
    <xf numFmtId="174" fontId="101" fillId="0" borderId="0" xfId="25627" applyNumberFormat="1" applyFont="1" applyFill="1" applyBorder="1" applyAlignment="1" applyProtection="1">
      <alignment horizontal="center"/>
    </xf>
    <xf numFmtId="0" fontId="116" fillId="0" borderId="33" xfId="25627" applyFont="1" applyBorder="1" applyAlignment="1" applyProtection="1">
      <alignment horizontal="left"/>
    </xf>
    <xf numFmtId="0" fontId="106" fillId="0" borderId="34" xfId="25627" applyFont="1" applyFill="1" applyBorder="1" applyAlignment="1" applyProtection="1">
      <alignment horizontal="left"/>
    </xf>
    <xf numFmtId="0" fontId="101" fillId="0" borderId="34" xfId="25627" applyFont="1" applyFill="1" applyBorder="1" applyAlignment="1" applyProtection="1">
      <alignment horizontal="left"/>
    </xf>
    <xf numFmtId="0" fontId="101" fillId="0" borderId="35" xfId="25627" applyFont="1" applyBorder="1" applyAlignment="1" applyProtection="1">
      <alignment horizontal="left"/>
    </xf>
    <xf numFmtId="0" fontId="106" fillId="0" borderId="0" xfId="25627" applyFont="1" applyFill="1" applyProtection="1"/>
    <xf numFmtId="0" fontId="116" fillId="0" borderId="36" xfId="25627" applyFont="1" applyBorder="1" applyAlignment="1" applyProtection="1">
      <alignment horizontal="left"/>
    </xf>
    <xf numFmtId="0" fontId="101" fillId="0" borderId="37" xfId="25627" applyFont="1" applyBorder="1" applyAlignment="1" applyProtection="1">
      <alignment horizontal="left"/>
    </xf>
    <xf numFmtId="0" fontId="101" fillId="0" borderId="36" xfId="25627" applyFont="1" applyBorder="1" applyAlignment="1" applyProtection="1">
      <alignment horizontal="left"/>
    </xf>
    <xf numFmtId="0" fontId="106" fillId="0" borderId="0" xfId="25627" applyFont="1" applyFill="1" applyBorder="1" applyAlignment="1" applyProtection="1">
      <alignment horizontal="left"/>
    </xf>
    <xf numFmtId="0" fontId="106" fillId="0" borderId="0" xfId="25627" applyFont="1" applyBorder="1" applyAlignment="1" applyProtection="1">
      <alignment horizontal="center"/>
    </xf>
    <xf numFmtId="0" fontId="106" fillId="0" borderId="0" xfId="25627" applyFont="1" applyAlignment="1" applyProtection="1">
      <alignment horizontal="center"/>
    </xf>
    <xf numFmtId="0" fontId="15" fillId="0" borderId="0" xfId="25627" applyFont="1" applyFill="1" applyBorder="1" applyAlignment="1" applyProtection="1">
      <alignment horizontal="center" vertical="center"/>
    </xf>
    <xf numFmtId="0" fontId="105" fillId="0" borderId="0" xfId="2553" applyFont="1" applyFill="1" applyBorder="1" applyAlignment="1" applyProtection="1">
      <alignment horizontal="center" vertical="center"/>
    </xf>
    <xf numFmtId="0" fontId="101" fillId="0" borderId="0" xfId="2553" applyFont="1" applyFill="1" applyBorder="1" applyAlignment="1" applyProtection="1">
      <alignment horizontal="left" vertical="center"/>
    </xf>
    <xf numFmtId="1" fontId="105" fillId="0" borderId="0" xfId="2553" applyNumberFormat="1" applyFont="1" applyFill="1" applyBorder="1" applyAlignment="1" applyProtection="1">
      <alignment horizontal="left" vertical="center" wrapText="1"/>
    </xf>
    <xf numFmtId="164" fontId="119" fillId="0" borderId="0" xfId="0" applyFont="1"/>
    <xf numFmtId="0" fontId="105" fillId="0" borderId="0" xfId="25627" applyFont="1" applyBorder="1" applyAlignment="1" applyProtection="1">
      <alignment horizontal="left" vertical="center"/>
    </xf>
    <xf numFmtId="0" fontId="108" fillId="0" borderId="39" xfId="25627" applyFont="1" applyFill="1" applyBorder="1" applyAlignment="1" applyProtection="1">
      <alignment horizontal="left" vertical="center"/>
    </xf>
    <xf numFmtId="167" fontId="19" fillId="0" borderId="16" xfId="0" applyNumberFormat="1" applyFont="1" applyFill="1" applyBorder="1" applyAlignment="1" applyProtection="1">
      <alignment horizontal="left"/>
    </xf>
    <xf numFmtId="167" fontId="19" fillId="0" borderId="17" xfId="0" applyNumberFormat="1" applyFont="1" applyFill="1" applyBorder="1" applyAlignment="1" applyProtection="1">
      <alignment horizontal="left"/>
    </xf>
    <xf numFmtId="167" fontId="19" fillId="0" borderId="12" xfId="0" applyNumberFormat="1" applyFont="1" applyFill="1" applyBorder="1" applyAlignment="1" applyProtection="1">
      <alignment horizontal="left"/>
    </xf>
    <xf numFmtId="49" fontId="19" fillId="0" borderId="16" xfId="0" applyNumberFormat="1" applyFont="1" applyFill="1" applyBorder="1" applyAlignment="1" applyProtection="1">
      <alignment horizontal="left"/>
      <protection locked="0"/>
    </xf>
    <xf numFmtId="0" fontId="19" fillId="0" borderId="12" xfId="0" applyNumberFormat="1" applyFont="1" applyFill="1" applyBorder="1" applyAlignment="1" applyProtection="1">
      <alignment horizontal="left"/>
      <protection locked="0"/>
    </xf>
    <xf numFmtId="0" fontId="1" fillId="0" borderId="0" xfId="2481" applyProtection="1"/>
    <xf numFmtId="0" fontId="1" fillId="0" borderId="0" xfId="2481" applyAlignment="1" applyProtection="1">
      <alignment horizontal="left"/>
    </xf>
    <xf numFmtId="0" fontId="123" fillId="0" borderId="0" xfId="2481" applyFont="1" applyAlignment="1" applyProtection="1">
      <alignment horizontal="right"/>
    </xf>
    <xf numFmtId="0" fontId="1" fillId="0" borderId="0" xfId="2481" applyAlignment="1" applyProtection="1">
      <alignment horizontal="center"/>
      <protection locked="0"/>
    </xf>
    <xf numFmtId="0" fontId="15" fillId="0" borderId="0" xfId="2481" applyFont="1" applyAlignment="1" applyProtection="1">
      <alignment horizontal="center"/>
      <protection locked="0"/>
    </xf>
    <xf numFmtId="0" fontId="1" fillId="0" borderId="0" xfId="2481" applyProtection="1">
      <protection locked="0"/>
    </xf>
    <xf numFmtId="0" fontId="124" fillId="0" borderId="33" xfId="2481" applyFont="1" applyFill="1" applyBorder="1" applyProtection="1">
      <protection hidden="1"/>
    </xf>
    <xf numFmtId="0" fontId="118" fillId="0" borderId="34" xfId="2481" applyFont="1" applyFill="1" applyBorder="1" applyProtection="1">
      <protection hidden="1"/>
    </xf>
    <xf numFmtId="0" fontId="124" fillId="0" borderId="34" xfId="2481" applyFont="1" applyFill="1" applyBorder="1" applyProtection="1">
      <protection hidden="1"/>
    </xf>
    <xf numFmtId="0" fontId="118" fillId="0" borderId="34" xfId="2481" applyFont="1" applyFill="1" applyBorder="1" applyAlignment="1" applyProtection="1">
      <alignment horizontal="right"/>
      <protection hidden="1"/>
    </xf>
    <xf numFmtId="0" fontId="118" fillId="0" borderId="34" xfId="2481" applyFont="1" applyFill="1" applyBorder="1" applyAlignment="1" applyProtection="1"/>
    <xf numFmtId="0" fontId="111" fillId="0" borderId="34" xfId="2481" applyFont="1" applyBorder="1" applyAlignment="1" applyProtection="1"/>
    <xf numFmtId="0" fontId="111" fillId="0" borderId="35" xfId="2481" applyFont="1" applyBorder="1" applyAlignment="1" applyProtection="1"/>
    <xf numFmtId="0" fontId="1" fillId="0" borderId="0" xfId="2481" applyFill="1" applyAlignment="1" applyProtection="1">
      <alignment horizontal="center"/>
      <protection locked="0"/>
    </xf>
    <xf numFmtId="3" fontId="1" fillId="0" borderId="0" xfId="2481" applyNumberFormat="1" applyAlignment="1" applyProtection="1">
      <alignment horizontal="center"/>
      <protection locked="0"/>
    </xf>
    <xf numFmtId="0" fontId="1" fillId="0" borderId="15" xfId="2481" applyBorder="1" applyProtection="1">
      <protection locked="0"/>
    </xf>
    <xf numFmtId="0" fontId="1" fillId="0" borderId="12" xfId="2481" applyBorder="1" applyProtection="1">
      <protection locked="0"/>
    </xf>
    <xf numFmtId="0" fontId="118" fillId="0" borderId="36" xfId="2481" applyFont="1" applyBorder="1" applyProtection="1">
      <protection hidden="1"/>
    </xf>
    <xf numFmtId="0" fontId="118" fillId="0" borderId="0" xfId="2481" applyFont="1" applyBorder="1" applyProtection="1">
      <protection hidden="1"/>
    </xf>
    <xf numFmtId="0" fontId="125" fillId="0" borderId="0" xfId="2481" applyFont="1" applyBorder="1" applyAlignment="1" applyProtection="1">
      <alignment horizontal="right"/>
      <protection hidden="1"/>
    </xf>
    <xf numFmtId="0" fontId="118" fillId="69" borderId="49" xfId="2481" applyFont="1" applyFill="1" applyBorder="1" applyAlignment="1" applyProtection="1">
      <alignment horizontal="left"/>
      <protection locked="0" hidden="1"/>
    </xf>
    <xf numFmtId="0" fontId="111" fillId="0" borderId="0" xfId="2481" applyFont="1" applyFill="1" applyBorder="1" applyAlignment="1">
      <alignment horizontal="right"/>
    </xf>
    <xf numFmtId="0" fontId="1" fillId="0" borderId="0" xfId="2481" applyBorder="1"/>
    <xf numFmtId="0" fontId="118" fillId="0" borderId="0" xfId="2481" applyFont="1" applyBorder="1" applyAlignment="1" applyProtection="1">
      <alignment horizontal="right"/>
      <protection hidden="1"/>
    </xf>
    <xf numFmtId="0" fontId="0" fillId="0" borderId="0" xfId="2481" applyFont="1" applyBorder="1" applyProtection="1">
      <protection locked="0"/>
    </xf>
    <xf numFmtId="49" fontId="0" fillId="0" borderId="37" xfId="2481" applyNumberFormat="1" applyFont="1" applyFill="1" applyBorder="1" applyAlignment="1" applyProtection="1">
      <alignment horizontal="left"/>
      <protection locked="0"/>
    </xf>
    <xf numFmtId="0" fontId="0" fillId="0" borderId="0" xfId="2481" applyFont="1" applyBorder="1" applyProtection="1">
      <protection hidden="1"/>
    </xf>
    <xf numFmtId="0" fontId="0" fillId="0" borderId="37" xfId="2481" applyFont="1" applyBorder="1" applyProtection="1">
      <protection hidden="1"/>
    </xf>
    <xf numFmtId="0" fontId="118" fillId="0" borderId="0" xfId="2481" applyFont="1" applyFill="1" applyBorder="1" applyAlignment="1" applyProtection="1">
      <alignment horizontal="right"/>
      <protection hidden="1"/>
    </xf>
    <xf numFmtId="14" fontId="118" fillId="70" borderId="49" xfId="2481" applyNumberFormat="1" applyFont="1" applyFill="1" applyBorder="1" applyAlignment="1" applyProtection="1">
      <alignment horizontal="center"/>
      <protection locked="0" hidden="1"/>
    </xf>
    <xf numFmtId="49" fontId="118" fillId="70" borderId="49" xfId="2481" applyNumberFormat="1" applyFont="1" applyFill="1" applyBorder="1" applyAlignment="1" applyProtection="1">
      <alignment horizontal="center"/>
      <protection locked="0" hidden="1"/>
    </xf>
    <xf numFmtId="0" fontId="0" fillId="0" borderId="37" xfId="2481" applyFont="1" applyFill="1" applyBorder="1" applyProtection="1"/>
    <xf numFmtId="0" fontId="1" fillId="65" borderId="0" xfId="2481" applyFill="1" applyAlignment="1" applyProtection="1">
      <alignment horizontal="center"/>
      <protection locked="0"/>
    </xf>
    <xf numFmtId="3" fontId="1" fillId="65" borderId="0" xfId="2481" applyNumberFormat="1" applyFill="1" applyAlignment="1" applyProtection="1">
      <alignment horizontal="center"/>
      <protection locked="0"/>
    </xf>
    <xf numFmtId="14" fontId="126" fillId="0" borderId="0" xfId="2481" applyNumberFormat="1" applyFont="1" applyFill="1" applyBorder="1" applyAlignment="1" applyProtection="1">
      <alignment horizontal="left"/>
      <protection hidden="1"/>
    </xf>
    <xf numFmtId="10" fontId="118" fillId="70" borderId="49" xfId="2481" applyNumberFormat="1" applyFont="1" applyFill="1" applyBorder="1" applyAlignment="1" applyProtection="1">
      <alignment horizontal="center"/>
      <protection locked="0" hidden="1"/>
    </xf>
    <xf numFmtId="0" fontId="0" fillId="0" borderId="37" xfId="2481" applyFont="1" applyFill="1" applyBorder="1" applyProtection="1">
      <protection locked="0"/>
    </xf>
    <xf numFmtId="0" fontId="118" fillId="0" borderId="38" xfId="2481" applyFont="1" applyBorder="1" applyProtection="1">
      <protection hidden="1"/>
    </xf>
    <xf numFmtId="0" fontId="118" fillId="0" borderId="39" xfId="2481" applyFont="1" applyBorder="1" applyProtection="1">
      <protection hidden="1"/>
    </xf>
    <xf numFmtId="0" fontId="99" fillId="0" borderId="40" xfId="2481" applyFont="1" applyFill="1" applyBorder="1" applyAlignment="1" applyProtection="1">
      <alignment horizontal="center" vertical="center" wrapText="1"/>
      <protection hidden="1"/>
    </xf>
    <xf numFmtId="0" fontId="0" fillId="0" borderId="35" xfId="2481" applyFont="1" applyBorder="1" applyProtection="1">
      <protection hidden="1"/>
    </xf>
    <xf numFmtId="0" fontId="125" fillId="0" borderId="0" xfId="2481" applyFont="1" applyBorder="1" applyProtection="1">
      <protection hidden="1"/>
    </xf>
    <xf numFmtId="0" fontId="118" fillId="0" borderId="53" xfId="2481" applyFont="1" applyFill="1" applyBorder="1" applyAlignment="1" applyProtection="1">
      <protection locked="0" hidden="1"/>
    </xf>
    <xf numFmtId="0" fontId="127" fillId="0" borderId="0" xfId="2481" applyFont="1" applyBorder="1" applyProtection="1">
      <protection hidden="1"/>
    </xf>
    <xf numFmtId="0" fontId="15" fillId="0" borderId="0" xfId="2481" applyFont="1" applyAlignment="1" applyProtection="1">
      <alignment horizontal="right"/>
      <protection locked="0"/>
    </xf>
    <xf numFmtId="3" fontId="1" fillId="0" borderId="0" xfId="2481" applyNumberFormat="1" applyProtection="1">
      <protection locked="0"/>
    </xf>
    <xf numFmtId="0" fontId="111" fillId="0" borderId="0" xfId="2481" applyFont="1" applyBorder="1" applyProtection="1">
      <protection hidden="1"/>
    </xf>
    <xf numFmtId="0" fontId="111" fillId="0" borderId="0" xfId="2481" applyFont="1" applyBorder="1" applyProtection="1">
      <protection locked="0"/>
    </xf>
    <xf numFmtId="0" fontId="128" fillId="0" borderId="0" xfId="2481" applyFont="1" applyBorder="1" applyAlignment="1" applyProtection="1">
      <alignment horizontal="right"/>
      <protection hidden="1"/>
    </xf>
    <xf numFmtId="0" fontId="1" fillId="0" borderId="0" xfId="2481" applyFill="1" applyAlignment="1" applyProtection="1">
      <alignment horizontal="left"/>
    </xf>
    <xf numFmtId="0" fontId="118" fillId="0" borderId="53" xfId="2481" applyFont="1" applyFill="1" applyBorder="1" applyAlignment="1" applyProtection="1">
      <alignment horizontal="right"/>
      <protection locked="0"/>
    </xf>
    <xf numFmtId="0" fontId="118" fillId="0" borderId="0" xfId="2481" applyFont="1" applyFill="1" applyBorder="1" applyAlignment="1" applyProtection="1">
      <protection locked="0"/>
    </xf>
    <xf numFmtId="0" fontId="1" fillId="0" borderId="37" xfId="2481" applyBorder="1"/>
    <xf numFmtId="0" fontId="1" fillId="0" borderId="0" xfId="2481" applyFill="1" applyAlignment="1" applyProtection="1">
      <alignment horizontal="center"/>
    </xf>
    <xf numFmtId="0" fontId="118" fillId="0" borderId="36" xfId="2481" applyFont="1" applyFill="1" applyBorder="1" applyProtection="1">
      <protection hidden="1"/>
    </xf>
    <xf numFmtId="0" fontId="125" fillId="0" borderId="0" xfId="2481" applyFont="1" applyFill="1" applyBorder="1" applyProtection="1">
      <protection hidden="1"/>
    </xf>
    <xf numFmtId="0" fontId="111" fillId="0" borderId="0" xfId="2481" applyFont="1" applyFill="1" applyBorder="1" applyProtection="1">
      <protection hidden="1"/>
    </xf>
    <xf numFmtId="0" fontId="125" fillId="0" borderId="0" xfId="2481" applyFont="1" applyFill="1" applyBorder="1" applyAlignment="1" applyProtection="1">
      <alignment horizontal="right"/>
      <protection hidden="1"/>
    </xf>
    <xf numFmtId="0" fontId="118" fillId="0" borderId="51" xfId="2481" applyFont="1" applyFill="1" applyBorder="1" applyAlignment="1" applyProtection="1">
      <protection hidden="1"/>
    </xf>
    <xf numFmtId="0" fontId="0" fillId="0" borderId="51" xfId="2481" applyFont="1" applyFill="1" applyBorder="1" applyAlignment="1" applyProtection="1">
      <protection hidden="1"/>
    </xf>
    <xf numFmtId="0" fontId="0" fillId="0" borderId="0" xfId="2481" applyFont="1" applyFill="1" applyBorder="1" applyAlignment="1" applyProtection="1">
      <protection hidden="1"/>
    </xf>
    <xf numFmtId="0" fontId="111" fillId="0" borderId="0" xfId="2481" applyFont="1" applyBorder="1" applyAlignment="1" applyProtection="1">
      <alignment horizontal="right"/>
      <protection hidden="1"/>
    </xf>
    <xf numFmtId="166" fontId="118" fillId="69" borderId="49" xfId="2481" applyNumberFormat="1" applyFont="1" applyFill="1" applyBorder="1" applyAlignment="1" applyProtection="1">
      <alignment horizontal="left"/>
      <protection locked="0"/>
    </xf>
    <xf numFmtId="0" fontId="129" fillId="0" borderId="0" xfId="2481" applyFont="1" applyBorder="1" applyProtection="1">
      <protection hidden="1"/>
    </xf>
    <xf numFmtId="0" fontId="118" fillId="0" borderId="0" xfId="2481" applyFont="1" applyFill="1" applyBorder="1" applyAlignment="1" applyProtection="1">
      <alignment horizontal="left"/>
      <protection locked="0"/>
    </xf>
    <xf numFmtId="0" fontId="111" fillId="0" borderId="39" xfId="2481" applyFont="1" applyFill="1" applyBorder="1" applyAlignment="1" applyProtection="1">
      <protection locked="0"/>
    </xf>
    <xf numFmtId="0" fontId="0" fillId="0" borderId="40" xfId="2481" applyFont="1" applyBorder="1" applyProtection="1">
      <protection hidden="1"/>
    </xf>
    <xf numFmtId="0" fontId="118" fillId="0" borderId="33" xfId="2481" applyFont="1" applyBorder="1" applyProtection="1">
      <protection hidden="1"/>
    </xf>
    <xf numFmtId="0" fontId="118" fillId="0" borderId="34" xfId="2481" applyFont="1" applyBorder="1" applyProtection="1">
      <protection hidden="1"/>
    </xf>
    <xf numFmtId="0" fontId="111" fillId="0" borderId="34" xfId="2481" applyFont="1" applyFill="1" applyBorder="1" applyAlignment="1" applyProtection="1">
      <protection locked="0"/>
    </xf>
    <xf numFmtId="0" fontId="1" fillId="0" borderId="36" xfId="2481" applyBorder="1" applyProtection="1"/>
    <xf numFmtId="0" fontId="1" fillId="0" borderId="0" xfId="2481" applyBorder="1" applyProtection="1"/>
    <xf numFmtId="0" fontId="1" fillId="0" borderId="37" xfId="2481" applyBorder="1" applyProtection="1"/>
    <xf numFmtId="0" fontId="15" fillId="0" borderId="0" xfId="2481" applyFont="1" applyProtection="1"/>
    <xf numFmtId="0" fontId="0" fillId="0" borderId="0" xfId="2481" applyFont="1" applyProtection="1">
      <protection locked="0"/>
    </xf>
    <xf numFmtId="0" fontId="0" fillId="0" borderId="33" xfId="2481" applyFont="1" applyBorder="1"/>
    <xf numFmtId="0" fontId="0" fillId="0" borderId="34" xfId="2481" applyFont="1" applyBorder="1"/>
    <xf numFmtId="0" fontId="0" fillId="0" borderId="34" xfId="2481" applyFont="1" applyFill="1" applyBorder="1"/>
    <xf numFmtId="0" fontId="0" fillId="0" borderId="35" xfId="2481" applyFont="1" applyBorder="1"/>
    <xf numFmtId="2" fontId="0" fillId="0" borderId="0" xfId="2481" applyNumberFormat="1" applyFont="1" applyFill="1" applyProtection="1">
      <protection locked="0"/>
    </xf>
    <xf numFmtId="0" fontId="0" fillId="0" borderId="0" xfId="2481" applyFont="1" applyFill="1" applyProtection="1">
      <protection locked="0"/>
    </xf>
    <xf numFmtId="0" fontId="0" fillId="0" borderId="0" xfId="2481" applyFont="1" applyFill="1" applyBorder="1" applyProtection="1">
      <protection locked="0"/>
    </xf>
    <xf numFmtId="0" fontId="0" fillId="0" borderId="0" xfId="2481" applyFont="1" applyFill="1"/>
    <xf numFmtId="0" fontId="0" fillId="0" borderId="0" xfId="2481" applyFont="1"/>
    <xf numFmtId="0" fontId="0" fillId="0" borderId="36" xfId="2481" applyFont="1" applyBorder="1"/>
    <xf numFmtId="0" fontId="15" fillId="0" borderId="0" xfId="2481" applyFont="1" applyBorder="1" applyAlignment="1">
      <alignment horizontal="right"/>
    </xf>
    <xf numFmtId="3" fontId="0" fillId="0" borderId="12" xfId="2481" applyNumberFormat="1" applyFont="1" applyBorder="1" applyAlignment="1">
      <alignment horizontal="right"/>
    </xf>
    <xf numFmtId="0" fontId="0" fillId="0" borderId="0" xfId="2481" applyFont="1" applyFill="1" applyBorder="1"/>
    <xf numFmtId="0" fontId="0" fillId="0" borderId="0" xfId="2481" applyFont="1" applyBorder="1"/>
    <xf numFmtId="0" fontId="0" fillId="0" borderId="37" xfId="2481" applyFont="1" applyBorder="1"/>
    <xf numFmtId="0" fontId="0" fillId="0" borderId="0" xfId="2481" applyFont="1" applyBorder="1" applyAlignment="1">
      <alignment horizontal="right"/>
    </xf>
    <xf numFmtId="0" fontId="0" fillId="0" borderId="38" xfId="2481" applyFont="1" applyBorder="1"/>
    <xf numFmtId="0" fontId="0" fillId="0" borderId="39" xfId="2481" applyFont="1" applyBorder="1"/>
    <xf numFmtId="0" fontId="0" fillId="0" borderId="39" xfId="2481" applyFont="1" applyFill="1" applyBorder="1"/>
    <xf numFmtId="0" fontId="0" fillId="0" borderId="40" xfId="2481" applyFont="1" applyBorder="1"/>
    <xf numFmtId="0" fontId="130" fillId="0" borderId="0" xfId="2481" applyFont="1" applyProtection="1">
      <protection locked="0"/>
    </xf>
    <xf numFmtId="0" fontId="131" fillId="0" borderId="54" xfId="2481" applyFont="1" applyBorder="1" applyAlignment="1">
      <alignment horizontal="centerContinuous"/>
    </xf>
    <xf numFmtId="0" fontId="130" fillId="0" borderId="55" xfId="2481" applyFont="1" applyBorder="1" applyAlignment="1">
      <alignment horizontal="centerContinuous"/>
    </xf>
    <xf numFmtId="0" fontId="130" fillId="0" borderId="55" xfId="2481" applyFont="1" applyFill="1" applyBorder="1" applyAlignment="1">
      <alignment horizontal="centerContinuous"/>
    </xf>
    <xf numFmtId="0" fontId="130" fillId="0" borderId="56" xfId="2481" applyFont="1" applyBorder="1" applyAlignment="1">
      <alignment horizontal="centerContinuous"/>
    </xf>
    <xf numFmtId="2" fontId="130" fillId="0" borderId="0" xfId="2481" applyNumberFormat="1" applyFont="1" applyFill="1" applyBorder="1" applyAlignment="1" applyProtection="1">
      <alignment horizontal="centerContinuous"/>
      <protection locked="0"/>
    </xf>
    <xf numFmtId="0" fontId="130" fillId="0" borderId="0" xfId="2481" applyFont="1" applyFill="1" applyProtection="1">
      <protection locked="0"/>
    </xf>
    <xf numFmtId="0" fontId="130" fillId="71" borderId="0" xfId="2481" applyFont="1" applyFill="1" applyProtection="1">
      <protection locked="0"/>
    </xf>
    <xf numFmtId="0" fontId="130" fillId="71" borderId="0" xfId="2481" applyFont="1" applyFill="1" applyBorder="1" applyProtection="1">
      <protection locked="0"/>
    </xf>
    <xf numFmtId="0" fontId="130" fillId="0" borderId="0" xfId="2481" applyFont="1" applyFill="1" applyBorder="1" applyProtection="1">
      <protection locked="0"/>
    </xf>
    <xf numFmtId="0" fontId="130" fillId="0" borderId="0" xfId="2481" applyFont="1" applyFill="1"/>
    <xf numFmtId="0" fontId="130" fillId="0" borderId="0" xfId="2481" applyFont="1"/>
    <xf numFmtId="2" fontId="0" fillId="0" borderId="0" xfId="2481" applyNumberFormat="1" applyFont="1" applyFill="1" applyBorder="1" applyProtection="1">
      <protection locked="0"/>
    </xf>
    <xf numFmtId="3" fontId="19" fillId="71" borderId="12" xfId="2481" applyNumberFormat="1" applyFont="1" applyFill="1" applyBorder="1" applyAlignment="1" applyProtection="1">
      <alignment horizontal="left"/>
      <protection locked="0"/>
    </xf>
    <xf numFmtId="0" fontId="19" fillId="71" borderId="0" xfId="2481" applyFont="1" applyFill="1" applyAlignment="1" applyProtection="1">
      <alignment horizontal="left"/>
      <protection locked="0"/>
    </xf>
    <xf numFmtId="0" fontId="21" fillId="65" borderId="0" xfId="2481" applyFont="1" applyFill="1" applyProtection="1">
      <protection locked="0"/>
    </xf>
    <xf numFmtId="3" fontId="21" fillId="65" borderId="57" xfId="2481" applyNumberFormat="1" applyFont="1" applyFill="1" applyBorder="1" applyProtection="1">
      <protection locked="0"/>
    </xf>
    <xf numFmtId="3" fontId="19" fillId="65" borderId="58" xfId="2481" applyNumberFormat="1" applyFont="1" applyFill="1" applyBorder="1" applyAlignment="1" applyProtection="1">
      <alignment horizontal="right"/>
      <protection locked="0"/>
    </xf>
    <xf numFmtId="0" fontId="21" fillId="0" borderId="0" xfId="2481" applyFont="1" applyFill="1" applyProtection="1">
      <protection locked="0"/>
    </xf>
    <xf numFmtId="0" fontId="132" fillId="0" borderId="0" xfId="2481" applyFont="1" applyFill="1" applyProtection="1">
      <protection locked="0"/>
    </xf>
    <xf numFmtId="0" fontId="15" fillId="0" borderId="0" xfId="2481" applyFont="1" applyBorder="1" applyAlignment="1">
      <alignment horizontal="centerContinuous"/>
    </xf>
    <xf numFmtId="0" fontId="0" fillId="0" borderId="0" xfId="2481" applyFont="1" applyBorder="1" applyAlignment="1">
      <alignment horizontal="centerContinuous"/>
    </xf>
    <xf numFmtId="3" fontId="19" fillId="71" borderId="58" xfId="2481" applyNumberFormat="1" applyFont="1" applyFill="1" applyBorder="1" applyAlignment="1" applyProtection="1">
      <alignment horizontal="left"/>
      <protection locked="0"/>
    </xf>
    <xf numFmtId="3" fontId="19" fillId="65" borderId="58" xfId="2481" applyNumberFormat="1" applyFont="1" applyFill="1" applyBorder="1" applyProtection="1">
      <protection locked="0"/>
    </xf>
    <xf numFmtId="0" fontId="19" fillId="65" borderId="0" xfId="2481" applyFont="1" applyFill="1" applyProtection="1">
      <protection locked="0"/>
    </xf>
    <xf numFmtId="0" fontId="19" fillId="0" borderId="0" xfId="2481" applyFont="1" applyFill="1" applyAlignment="1" applyProtection="1">
      <alignment horizontal="center"/>
      <protection locked="0"/>
    </xf>
    <xf numFmtId="0" fontId="19" fillId="0" borderId="0" xfId="2481" applyFont="1" applyFill="1" applyProtection="1">
      <protection locked="0"/>
    </xf>
    <xf numFmtId="1" fontId="19" fillId="71" borderId="59" xfId="2481" applyNumberFormat="1" applyFont="1" applyFill="1" applyBorder="1" applyAlignment="1" applyProtection="1">
      <alignment horizontal="left"/>
      <protection locked="0"/>
    </xf>
    <xf numFmtId="0" fontId="19" fillId="65" borderId="58" xfId="2481" applyFont="1" applyFill="1" applyBorder="1" applyProtection="1">
      <protection locked="0"/>
    </xf>
    <xf numFmtId="3" fontId="19" fillId="65" borderId="58" xfId="2481" applyNumberFormat="1" applyFont="1" applyFill="1" applyBorder="1" applyAlignment="1" applyProtection="1">
      <alignment horizontal="left"/>
      <protection locked="0"/>
    </xf>
    <xf numFmtId="3" fontId="19" fillId="65" borderId="59" xfId="2481" applyNumberFormat="1" applyFont="1" applyFill="1" applyBorder="1" applyAlignment="1" applyProtection="1">
      <alignment horizontal="left"/>
      <protection locked="0"/>
    </xf>
    <xf numFmtId="0" fontId="19" fillId="65" borderId="0" xfId="2481" applyFont="1" applyFill="1" applyAlignment="1" applyProtection="1">
      <alignment horizontal="left"/>
      <protection locked="0"/>
    </xf>
    <xf numFmtId="0" fontId="0" fillId="65" borderId="0" xfId="2481" applyFont="1" applyFill="1"/>
    <xf numFmtId="0" fontId="15" fillId="0" borderId="0" xfId="2481" applyFont="1" applyBorder="1" applyAlignment="1">
      <alignment horizontal="center"/>
    </xf>
    <xf numFmtId="0" fontId="1" fillId="0" borderId="0" xfId="2481"/>
    <xf numFmtId="0" fontId="15" fillId="0" borderId="37" xfId="2481" applyFont="1" applyBorder="1" applyAlignment="1">
      <alignment horizontal="center"/>
    </xf>
    <xf numFmtId="0" fontId="19" fillId="65" borderId="0" xfId="2481" applyFont="1" applyFill="1" applyAlignment="1" applyProtection="1">
      <alignment horizontal="right"/>
      <protection locked="0"/>
    </xf>
    <xf numFmtId="176" fontId="19" fillId="71" borderId="0" xfId="2481" applyNumberFormat="1" applyFont="1" applyFill="1" applyAlignment="1" applyProtection="1">
      <alignment horizontal="left"/>
      <protection locked="0"/>
    </xf>
    <xf numFmtId="3" fontId="0" fillId="69" borderId="58" xfId="2481" applyNumberFormat="1" applyFont="1" applyFill="1" applyBorder="1" applyAlignment="1" applyProtection="1">
      <alignment horizontal="left"/>
      <protection locked="0"/>
    </xf>
    <xf numFmtId="3" fontId="0" fillId="0" borderId="0" xfId="2481" applyNumberFormat="1" applyFont="1" applyFill="1" applyBorder="1"/>
    <xf numFmtId="0" fontId="0" fillId="0" borderId="58" xfId="2481" applyFont="1" applyBorder="1"/>
    <xf numFmtId="3" fontId="110" fillId="69" borderId="58" xfId="2481" applyNumberFormat="1" applyFont="1" applyFill="1" applyBorder="1" applyAlignment="1" applyProtection="1">
      <alignment horizontal="left"/>
      <protection locked="0"/>
    </xf>
    <xf numFmtId="3" fontId="110" fillId="0" borderId="60" xfId="2481" applyNumberFormat="1" applyFont="1" applyFill="1" applyBorder="1" applyAlignment="1" applyProtection="1">
      <alignment horizontal="left"/>
    </xf>
    <xf numFmtId="3" fontId="19" fillId="71" borderId="59" xfId="2481" applyNumberFormat="1" applyFont="1" applyFill="1" applyBorder="1" applyAlignment="1" applyProtection="1">
      <alignment horizontal="left"/>
      <protection locked="0"/>
    </xf>
    <xf numFmtId="0" fontId="15" fillId="0" borderId="58" xfId="2481" applyFont="1" applyBorder="1" applyProtection="1"/>
    <xf numFmtId="3" fontId="110" fillId="0" borderId="58" xfId="2481" applyNumberFormat="1" applyFont="1" applyFill="1" applyBorder="1" applyAlignment="1" applyProtection="1">
      <alignment horizontal="left"/>
    </xf>
    <xf numFmtId="0" fontId="1" fillId="65" borderId="0" xfId="2481" applyFill="1"/>
    <xf numFmtId="0" fontId="15" fillId="65" borderId="0" xfId="2481" applyFont="1" applyFill="1" applyAlignment="1">
      <alignment horizontal="center"/>
    </xf>
    <xf numFmtId="2" fontId="19" fillId="65" borderId="58" xfId="2481" applyNumberFormat="1" applyFont="1" applyFill="1" applyBorder="1" applyProtection="1">
      <protection locked="0"/>
    </xf>
    <xf numFmtId="4" fontId="0" fillId="65" borderId="58" xfId="2481" applyNumberFormat="1" applyFont="1" applyFill="1" applyBorder="1" applyProtection="1">
      <protection locked="0"/>
    </xf>
    <xf numFmtId="2" fontId="0" fillId="65" borderId="58" xfId="2481" applyNumberFormat="1" applyFont="1" applyFill="1" applyBorder="1" applyProtection="1">
      <protection locked="0"/>
    </xf>
    <xf numFmtId="3" fontId="0" fillId="0" borderId="58" xfId="2481" applyNumberFormat="1" applyFont="1" applyBorder="1" applyAlignment="1">
      <alignment horizontal="left"/>
    </xf>
    <xf numFmtId="3" fontId="19" fillId="71" borderId="0" xfId="2481" applyNumberFormat="1" applyFont="1" applyFill="1" applyBorder="1" applyAlignment="1" applyProtection="1">
      <alignment horizontal="left"/>
      <protection locked="0"/>
    </xf>
    <xf numFmtId="0" fontId="19" fillId="0" borderId="0" xfId="2481" applyFont="1" applyFill="1" applyAlignment="1" applyProtection="1">
      <alignment horizontal="left"/>
      <protection locked="0"/>
    </xf>
    <xf numFmtId="177" fontId="19" fillId="65" borderId="0" xfId="2481" applyNumberFormat="1" applyFont="1" applyFill="1" applyBorder="1" applyProtection="1">
      <protection locked="0"/>
    </xf>
    <xf numFmtId="0" fontId="19" fillId="71" borderId="0" xfId="2481" applyFont="1" applyFill="1" applyProtection="1">
      <protection locked="0"/>
    </xf>
    <xf numFmtId="3" fontId="0" fillId="0" borderId="58" xfId="2481" applyNumberFormat="1" applyFont="1" applyFill="1" applyBorder="1" applyAlignment="1">
      <alignment horizontal="left"/>
    </xf>
    <xf numFmtId="0" fontId="0" fillId="0" borderId="61" xfId="2481" applyFont="1" applyBorder="1"/>
    <xf numFmtId="0" fontId="0" fillId="0" borderId="62" xfId="2481" applyFont="1" applyBorder="1"/>
    <xf numFmtId="0" fontId="0" fillId="0" borderId="63" xfId="2481" applyFont="1" applyBorder="1"/>
    <xf numFmtId="0" fontId="0" fillId="65" borderId="0" xfId="2481" applyFont="1" applyFill="1" applyProtection="1">
      <protection locked="0"/>
    </xf>
    <xf numFmtId="0" fontId="1" fillId="71" borderId="0" xfId="2481" applyFill="1" applyProtection="1">
      <protection locked="0"/>
    </xf>
    <xf numFmtId="3" fontId="19" fillId="65" borderId="0" xfId="2481" applyNumberFormat="1" applyFont="1" applyFill="1" applyProtection="1">
      <protection locked="0"/>
    </xf>
    <xf numFmtId="0" fontId="19" fillId="71" borderId="0" xfId="2481" applyFont="1" applyFill="1" applyBorder="1" applyAlignment="1" applyProtection="1">
      <alignment horizontal="left"/>
      <protection locked="0"/>
    </xf>
    <xf numFmtId="0" fontId="1" fillId="0" borderId="0" xfId="2481" applyFill="1" applyProtection="1">
      <protection locked="0"/>
    </xf>
    <xf numFmtId="0" fontId="19" fillId="0" borderId="0" xfId="2481" applyFont="1" applyFill="1" applyBorder="1" applyAlignment="1" applyProtection="1">
      <alignment horizontal="left"/>
      <protection locked="0"/>
    </xf>
    <xf numFmtId="0" fontId="15" fillId="0" borderId="0" xfId="2481" applyFont="1" applyBorder="1" applyAlignment="1">
      <alignment horizontal="right" wrapText="1"/>
    </xf>
    <xf numFmtId="3" fontId="19" fillId="65" borderId="57" xfId="2481" applyNumberFormat="1" applyFont="1" applyFill="1" applyBorder="1" applyProtection="1">
      <protection locked="0"/>
    </xf>
    <xf numFmtId="3" fontId="19" fillId="0" borderId="0" xfId="2481" applyNumberFormat="1" applyFont="1" applyBorder="1" applyAlignment="1">
      <alignment horizontal="right"/>
    </xf>
    <xf numFmtId="0" fontId="0" fillId="0" borderId="58" xfId="2481" applyFont="1" applyFill="1" applyBorder="1" applyProtection="1">
      <protection locked="0"/>
    </xf>
    <xf numFmtId="3" fontId="19" fillId="0" borderId="64" xfId="2481" applyNumberFormat="1" applyFont="1" applyFill="1" applyBorder="1" applyProtection="1">
      <protection locked="0"/>
    </xf>
    <xf numFmtId="0" fontId="19" fillId="0" borderId="0" xfId="2481" applyFont="1" applyFill="1" applyBorder="1" applyProtection="1">
      <protection locked="0"/>
    </xf>
    <xf numFmtId="0" fontId="19" fillId="0" borderId="0" xfId="2481" applyFont="1" applyFill="1" applyBorder="1" applyAlignment="1" applyProtection="1">
      <alignment horizontal="center"/>
      <protection locked="0"/>
    </xf>
    <xf numFmtId="0" fontId="15" fillId="0" borderId="39" xfId="2481" applyFont="1" applyBorder="1" applyAlignment="1">
      <alignment horizontal="right" wrapText="1"/>
    </xf>
    <xf numFmtId="3" fontId="19" fillId="0" borderId="39" xfId="2481" applyNumberFormat="1" applyFont="1" applyBorder="1" applyAlignment="1">
      <alignment horizontal="right"/>
    </xf>
    <xf numFmtId="3" fontId="0" fillId="0" borderId="39" xfId="2481" applyNumberFormat="1" applyFont="1" applyFill="1" applyBorder="1"/>
    <xf numFmtId="3" fontId="19" fillId="0" borderId="0" xfId="2481" applyNumberFormat="1" applyFont="1" applyFill="1" applyBorder="1" applyProtection="1">
      <protection locked="0"/>
    </xf>
    <xf numFmtId="0" fontId="0" fillId="65" borderId="58" xfId="2481" applyFont="1" applyFill="1" applyBorder="1" applyProtection="1">
      <protection locked="0"/>
    </xf>
    <xf numFmtId="3" fontId="0" fillId="65" borderId="61" xfId="2481" applyNumberFormat="1" applyFont="1" applyFill="1" applyBorder="1" applyProtection="1">
      <protection locked="0"/>
    </xf>
    <xf numFmtId="3" fontId="0" fillId="65" borderId="58" xfId="2481" applyNumberFormat="1" applyFont="1" applyFill="1" applyBorder="1" applyProtection="1">
      <protection locked="0"/>
    </xf>
    <xf numFmtId="3" fontId="0" fillId="71" borderId="58" xfId="2481" applyNumberFormat="1" applyFont="1" applyFill="1" applyBorder="1" applyProtection="1">
      <protection locked="0"/>
    </xf>
    <xf numFmtId="1" fontId="0" fillId="65" borderId="58" xfId="2481" applyNumberFormat="1" applyFont="1" applyFill="1" applyBorder="1" applyProtection="1">
      <protection locked="0"/>
    </xf>
    <xf numFmtId="3" fontId="0" fillId="0" borderId="58" xfId="2481" applyNumberFormat="1" applyFont="1" applyFill="1" applyBorder="1" applyProtection="1">
      <protection locked="0"/>
    </xf>
    <xf numFmtId="0" fontId="0" fillId="0" borderId="33" xfId="2481" applyFont="1" applyFill="1" applyBorder="1"/>
    <xf numFmtId="0" fontId="15" fillId="0" borderId="34" xfId="2481" applyFont="1" applyFill="1" applyBorder="1" applyAlignment="1">
      <alignment horizontal="right" wrapText="1"/>
    </xf>
    <xf numFmtId="3" fontId="19" fillId="0" borderId="34" xfId="2481" applyNumberFormat="1" applyFont="1" applyFill="1" applyBorder="1" applyAlignment="1">
      <alignment horizontal="right"/>
    </xf>
    <xf numFmtId="3" fontId="0" fillId="0" borderId="34" xfId="2481" applyNumberFormat="1" applyFont="1" applyFill="1" applyBorder="1"/>
    <xf numFmtId="0" fontId="0" fillId="0" borderId="35" xfId="2481" applyFont="1" applyFill="1" applyBorder="1"/>
    <xf numFmtId="0" fontId="15" fillId="0" borderId="34" xfId="2481" applyFont="1" applyBorder="1" applyAlignment="1">
      <alignment horizontal="right" wrapText="1"/>
    </xf>
    <xf numFmtId="3" fontId="19" fillId="0" borderId="34" xfId="2481" applyNumberFormat="1" applyFont="1" applyBorder="1" applyAlignment="1">
      <alignment horizontal="right"/>
    </xf>
    <xf numFmtId="3" fontId="0" fillId="0" borderId="35" xfId="2481" applyNumberFormat="1" applyFont="1" applyFill="1" applyBorder="1"/>
    <xf numFmtId="3" fontId="0" fillId="65" borderId="0" xfId="2481" applyNumberFormat="1" applyFont="1" applyFill="1" applyProtection="1">
      <protection locked="0"/>
    </xf>
    <xf numFmtId="0" fontId="0" fillId="71" borderId="0" xfId="2481" applyFont="1" applyFill="1" applyProtection="1">
      <protection locked="0"/>
    </xf>
    <xf numFmtId="176" fontId="0" fillId="65" borderId="0" xfId="2481" applyNumberFormat="1" applyFont="1" applyFill="1" applyProtection="1">
      <protection locked="0"/>
    </xf>
    <xf numFmtId="3" fontId="0" fillId="0" borderId="0" xfId="2481" applyNumberFormat="1" applyFont="1" applyFill="1" applyProtection="1">
      <protection locked="0"/>
    </xf>
    <xf numFmtId="0" fontId="0" fillId="0" borderId="36" xfId="2481" applyFont="1" applyFill="1" applyBorder="1"/>
    <xf numFmtId="0" fontId="0" fillId="0" borderId="37" xfId="2481" applyFont="1" applyFill="1" applyBorder="1"/>
    <xf numFmtId="3" fontId="0" fillId="69" borderId="58" xfId="2481" applyNumberFormat="1" applyFont="1" applyFill="1" applyBorder="1" applyProtection="1">
      <protection locked="0"/>
    </xf>
    <xf numFmtId="3" fontId="0" fillId="0" borderId="37" xfId="2481" applyNumberFormat="1" applyFont="1" applyFill="1" applyBorder="1"/>
    <xf numFmtId="0" fontId="15" fillId="0" borderId="0" xfId="2481" applyFont="1" applyFill="1" applyBorder="1" applyAlignment="1">
      <alignment horizontal="right" wrapText="1"/>
    </xf>
    <xf numFmtId="3" fontId="19" fillId="0" borderId="0" xfId="2481" applyNumberFormat="1" applyFont="1" applyFill="1" applyBorder="1" applyAlignment="1">
      <alignment horizontal="right"/>
    </xf>
    <xf numFmtId="3" fontId="0" fillId="65" borderId="58" xfId="2481" applyNumberFormat="1" applyFont="1" applyFill="1" applyBorder="1"/>
    <xf numFmtId="0" fontId="0" fillId="0" borderId="38" xfId="2481" applyFont="1" applyFill="1" applyBorder="1"/>
    <xf numFmtId="0" fontId="15" fillId="0" borderId="39" xfId="2481" applyFont="1" applyFill="1" applyBorder="1" applyAlignment="1">
      <alignment horizontal="right" wrapText="1"/>
    </xf>
    <xf numFmtId="3" fontId="19" fillId="0" borderId="39" xfId="2481" applyNumberFormat="1" applyFont="1" applyFill="1" applyBorder="1" applyAlignment="1">
      <alignment horizontal="right"/>
    </xf>
    <xf numFmtId="0" fontId="0" fillId="0" borderId="40" xfId="2481" applyFont="1" applyFill="1" applyBorder="1"/>
    <xf numFmtId="3" fontId="0" fillId="0" borderId="40" xfId="2481" applyNumberFormat="1" applyFont="1" applyFill="1" applyBorder="1"/>
    <xf numFmtId="3" fontId="19" fillId="71" borderId="0" xfId="2481" applyNumberFormat="1" applyFont="1" applyFill="1" applyBorder="1" applyProtection="1">
      <protection locked="0"/>
    </xf>
    <xf numFmtId="3" fontId="19" fillId="65" borderId="0" xfId="2481" applyNumberFormat="1" applyFont="1" applyFill="1" applyBorder="1" applyProtection="1">
      <protection locked="0"/>
    </xf>
    <xf numFmtId="0" fontId="19" fillId="71" borderId="0" xfId="2481" applyFont="1" applyFill="1" applyBorder="1" applyProtection="1">
      <protection locked="0"/>
    </xf>
    <xf numFmtId="0" fontId="19" fillId="71" borderId="0" xfId="2481" applyFont="1" applyFill="1" applyBorder="1" applyAlignment="1" applyProtection="1">
      <alignment horizontal="center"/>
      <protection locked="0"/>
    </xf>
    <xf numFmtId="0" fontId="0" fillId="0" borderId="0" xfId="2481" applyFont="1" applyFill="1" applyBorder="1" applyAlignment="1">
      <alignment horizontal="centerContinuous"/>
    </xf>
    <xf numFmtId="0" fontId="15" fillId="0" borderId="0" xfId="2481" applyFont="1" applyFill="1" applyBorder="1" applyAlignment="1">
      <alignment horizontal="centerContinuous"/>
    </xf>
    <xf numFmtId="0" fontId="15" fillId="0" borderId="0" xfId="2481" applyFont="1" applyFill="1" applyBorder="1" applyAlignment="1">
      <alignment horizontal="centerContinuous" wrapText="1"/>
    </xf>
    <xf numFmtId="0" fontId="0" fillId="0" borderId="14" xfId="2481" applyFont="1" applyBorder="1"/>
    <xf numFmtId="2" fontId="0" fillId="0" borderId="58" xfId="2481" applyNumberFormat="1" applyFont="1" applyBorder="1" applyAlignment="1">
      <alignment horizontal="center"/>
    </xf>
    <xf numFmtId="2" fontId="0" fillId="69" borderId="58" xfId="2481" applyNumberFormat="1" applyFont="1" applyFill="1" applyBorder="1" applyAlignment="1" applyProtection="1">
      <alignment horizontal="center"/>
      <protection locked="0"/>
    </xf>
    <xf numFmtId="0" fontId="0" fillId="0" borderId="65" xfId="2481" applyFont="1" applyBorder="1"/>
    <xf numFmtId="0" fontId="15" fillId="0" borderId="39" xfId="2481" applyFont="1" applyFill="1" applyBorder="1" applyAlignment="1">
      <alignment horizontal="left" wrapText="1"/>
    </xf>
    <xf numFmtId="2" fontId="0" fillId="0" borderId="39" xfId="2481" applyNumberFormat="1" applyFont="1" applyBorder="1" applyAlignment="1">
      <alignment horizontal="center"/>
    </xf>
    <xf numFmtId="2" fontId="0" fillId="0" borderId="39" xfId="2481" applyNumberFormat="1" applyFont="1" applyFill="1" applyBorder="1" applyAlignment="1">
      <alignment horizontal="center"/>
    </xf>
    <xf numFmtId="0" fontId="0" fillId="0" borderId="39" xfId="2481" applyFont="1" applyFill="1" applyBorder="1" applyAlignment="1">
      <alignment horizontal="left" wrapText="1"/>
    </xf>
    <xf numFmtId="0" fontId="1" fillId="0" borderId="39" xfId="2481" applyFill="1" applyBorder="1" applyAlignment="1">
      <alignment horizontal="left" wrapText="1"/>
    </xf>
    <xf numFmtId="0" fontId="131" fillId="0" borderId="36" xfId="2481" applyFont="1" applyBorder="1"/>
    <xf numFmtId="0" fontId="15" fillId="0" borderId="0" xfId="2481" applyFont="1" applyFill="1" applyBorder="1" applyAlignment="1">
      <alignment wrapText="1"/>
    </xf>
    <xf numFmtId="0" fontId="0" fillId="0" borderId="0" xfId="2481" applyFont="1" applyAlignment="1">
      <alignment horizontal="centerContinuous"/>
    </xf>
    <xf numFmtId="2" fontId="0" fillId="69" borderId="61" xfId="2481" applyNumberFormat="1" applyFont="1" applyFill="1" applyBorder="1" applyAlignment="1" applyProtection="1">
      <alignment horizontal="center"/>
      <protection locked="0"/>
    </xf>
    <xf numFmtId="0" fontId="1" fillId="65" borderId="0" xfId="2481" applyFill="1" applyProtection="1">
      <protection locked="0"/>
    </xf>
    <xf numFmtId="0" fontId="0" fillId="0" borderId="0" xfId="2481" applyFont="1" applyBorder="1" applyAlignment="1"/>
    <xf numFmtId="0" fontId="0" fillId="0" borderId="0" xfId="2481" applyFont="1" applyFill="1" applyBorder="1" applyAlignment="1"/>
    <xf numFmtId="0" fontId="15" fillId="0" borderId="0" xfId="2481" applyFont="1" applyFill="1" applyBorder="1" applyAlignment="1"/>
    <xf numFmtId="0" fontId="0" fillId="0" borderId="0" xfId="2481" applyFont="1" applyFill="1" applyBorder="1" applyAlignment="1">
      <alignment horizontal="center"/>
    </xf>
    <xf numFmtId="0" fontId="117" fillId="0" borderId="0" xfId="2481" applyFont="1" applyFill="1" applyBorder="1" applyAlignment="1">
      <alignment horizontal="center"/>
    </xf>
    <xf numFmtId="0" fontId="0" fillId="0" borderId="0" xfId="2481" applyFont="1" applyFill="1" applyBorder="1" applyAlignment="1">
      <alignment horizontal="left"/>
    </xf>
    <xf numFmtId="0" fontId="1" fillId="0" borderId="0" xfId="2481" applyFill="1" applyBorder="1" applyAlignment="1">
      <alignment horizontal="left"/>
    </xf>
    <xf numFmtId="2" fontId="0" fillId="0" borderId="0" xfId="2481" applyNumberFormat="1" applyFont="1" applyFill="1" applyBorder="1" applyAlignment="1">
      <alignment horizontal="center"/>
    </xf>
    <xf numFmtId="0" fontId="0" fillId="0" borderId="0" xfId="2481" applyFont="1" applyBorder="1" applyAlignment="1">
      <alignment horizontal="center"/>
    </xf>
    <xf numFmtId="0" fontId="15" fillId="0" borderId="0" xfId="2481" applyFont="1" applyFill="1" applyBorder="1" applyAlignment="1">
      <alignment horizontal="right"/>
    </xf>
    <xf numFmtId="2" fontId="0" fillId="0" borderId="0" xfId="2481" applyNumberFormat="1" applyFont="1" applyBorder="1" applyAlignment="1">
      <alignment horizontal="center"/>
    </xf>
    <xf numFmtId="0" fontId="0" fillId="0" borderId="0" xfId="2481" applyFont="1" applyFill="1" applyBorder="1" applyAlignment="1">
      <alignment horizontal="left" wrapText="1"/>
    </xf>
    <xf numFmtId="0" fontId="1" fillId="0" borderId="0" xfId="2481" applyFill="1" applyBorder="1" applyAlignment="1">
      <alignment horizontal="left" wrapText="1"/>
    </xf>
    <xf numFmtId="0" fontId="0" fillId="0" borderId="39" xfId="2481" applyFont="1" applyBorder="1" applyAlignment="1">
      <alignment horizontal="center"/>
    </xf>
    <xf numFmtId="0" fontId="131" fillId="0" borderId="33" xfId="2481" applyFont="1" applyBorder="1"/>
    <xf numFmtId="3" fontId="15" fillId="0" borderId="71" xfId="2481" applyNumberFormat="1" applyFont="1" applyBorder="1" applyAlignment="1">
      <alignment horizontal="left"/>
    </xf>
    <xf numFmtId="2" fontId="0" fillId="0" borderId="72" xfId="2481" applyNumberFormat="1" applyFont="1" applyBorder="1" applyAlignment="1">
      <alignment horizontal="left"/>
    </xf>
    <xf numFmtId="2" fontId="0" fillId="0" borderId="73" xfId="2481" applyNumberFormat="1" applyFont="1" applyFill="1" applyBorder="1" applyAlignment="1">
      <alignment horizontal="left"/>
    </xf>
    <xf numFmtId="0" fontId="0" fillId="0" borderId="0" xfId="2481" applyFont="1" applyBorder="1" applyAlignment="1">
      <alignment horizontal="left"/>
    </xf>
    <xf numFmtId="3" fontId="15" fillId="0" borderId="43" xfId="2481" applyNumberFormat="1" applyFont="1" applyBorder="1" applyAlignment="1">
      <alignment horizontal="left"/>
    </xf>
    <xf numFmtId="2" fontId="0" fillId="0" borderId="58" xfId="2481" applyNumberFormat="1" applyFont="1" applyBorder="1" applyAlignment="1">
      <alignment horizontal="left"/>
    </xf>
    <xf numFmtId="2" fontId="0" fillId="0" borderId="44" xfId="2481" applyNumberFormat="1" applyFont="1" applyFill="1" applyBorder="1" applyAlignment="1">
      <alignment horizontal="left"/>
    </xf>
    <xf numFmtId="3" fontId="15" fillId="0" borderId="46" xfId="2481" applyNumberFormat="1" applyFont="1" applyBorder="1" applyAlignment="1">
      <alignment horizontal="left"/>
    </xf>
    <xf numFmtId="2" fontId="0" fillId="0" borderId="47" xfId="2481" applyNumberFormat="1" applyFont="1" applyBorder="1" applyAlignment="1">
      <alignment horizontal="left"/>
    </xf>
    <xf numFmtId="2" fontId="0" fillId="0" borderId="48" xfId="2481" applyNumberFormat="1" applyFont="1" applyFill="1" applyBorder="1" applyAlignment="1">
      <alignment horizontal="left"/>
    </xf>
    <xf numFmtId="3" fontId="15" fillId="0" borderId="34" xfId="2481" applyNumberFormat="1" applyFont="1" applyBorder="1" applyAlignment="1">
      <alignment horizontal="left"/>
    </xf>
    <xf numFmtId="2" fontId="0" fillId="0" borderId="0" xfId="2481" applyNumberFormat="1" applyFont="1" applyBorder="1" applyAlignment="1">
      <alignment horizontal="left"/>
    </xf>
    <xf numFmtId="2" fontId="0" fillId="0" borderId="0" xfId="2481" applyNumberFormat="1" applyFont="1" applyFill="1" applyBorder="1" applyAlignment="1">
      <alignment horizontal="left"/>
    </xf>
    <xf numFmtId="2" fontId="0" fillId="72" borderId="58" xfId="2481" applyNumberFormat="1" applyFont="1" applyFill="1" applyBorder="1" applyProtection="1">
      <protection locked="0"/>
    </xf>
    <xf numFmtId="3" fontId="15" fillId="0" borderId="0" xfId="2481" applyNumberFormat="1" applyFont="1" applyBorder="1" applyAlignment="1">
      <alignment horizontal="left"/>
    </xf>
    <xf numFmtId="4" fontId="0" fillId="0" borderId="0" xfId="2481" applyNumberFormat="1" applyFont="1" applyBorder="1" applyAlignment="1">
      <alignment horizontal="left"/>
    </xf>
    <xf numFmtId="2" fontId="0" fillId="0" borderId="13" xfId="2481" applyNumberFormat="1" applyFont="1" applyFill="1" applyBorder="1" applyAlignment="1">
      <alignment horizontal="left"/>
    </xf>
    <xf numFmtId="0" fontId="19" fillId="0" borderId="39" xfId="2481" applyFont="1" applyFill="1" applyBorder="1"/>
    <xf numFmtId="2" fontId="19" fillId="0" borderId="39" xfId="2481" applyNumberFormat="1" applyFont="1" applyFill="1" applyBorder="1" applyAlignment="1">
      <alignment horizontal="left"/>
    </xf>
    <xf numFmtId="2" fontId="110" fillId="73" borderId="58" xfId="2481" applyNumberFormat="1" applyFont="1" applyFill="1" applyBorder="1" applyAlignment="1">
      <alignment horizontal="center"/>
    </xf>
    <xf numFmtId="3" fontId="0" fillId="0" borderId="0" xfId="2481" applyNumberFormat="1" applyFont="1" applyFill="1" applyBorder="1" applyAlignment="1">
      <alignment horizontal="left"/>
    </xf>
    <xf numFmtId="3" fontId="1" fillId="0" borderId="0" xfId="2481" applyNumberFormat="1" applyFill="1" applyBorder="1" applyAlignment="1">
      <alignment horizontal="left"/>
    </xf>
    <xf numFmtId="3" fontId="0" fillId="0" borderId="0" xfId="2481" applyNumberFormat="1" applyFont="1" applyBorder="1" applyAlignment="1">
      <alignment horizontal="center"/>
    </xf>
    <xf numFmtId="2" fontId="110" fillId="0" borderId="0" xfId="2481" applyNumberFormat="1" applyFont="1" applyFill="1" applyBorder="1" applyAlignment="1">
      <alignment horizontal="center"/>
    </xf>
    <xf numFmtId="0" fontId="0" fillId="74" borderId="0" xfId="2481" applyFont="1" applyFill="1" applyProtection="1">
      <protection locked="0"/>
    </xf>
    <xf numFmtId="3" fontId="0" fillId="0" borderId="0" xfId="2481" applyNumberFormat="1" applyFont="1" applyFill="1" applyBorder="1" applyAlignment="1">
      <alignment horizontal="center"/>
    </xf>
    <xf numFmtId="2" fontId="136" fillId="0" borderId="0" xfId="2481" applyNumberFormat="1" applyFont="1" applyFill="1" applyBorder="1" applyAlignment="1">
      <alignment horizontal="center"/>
    </xf>
    <xf numFmtId="3" fontId="0" fillId="69" borderId="58" xfId="2481" applyNumberFormat="1" applyFont="1" applyFill="1" applyBorder="1" applyAlignment="1" applyProtection="1">
      <alignment horizontal="center"/>
      <protection locked="0"/>
    </xf>
    <xf numFmtId="0" fontId="0" fillId="75" borderId="0" xfId="2481" applyFont="1" applyFill="1" applyProtection="1">
      <protection locked="0"/>
    </xf>
    <xf numFmtId="0" fontId="15" fillId="65" borderId="0" xfId="2481" applyFont="1" applyFill="1" applyProtection="1">
      <protection locked="0"/>
    </xf>
    <xf numFmtId="0" fontId="0" fillId="0" borderId="34" xfId="2481" applyFont="1" applyFill="1" applyBorder="1" applyAlignment="1">
      <alignment horizontal="center"/>
    </xf>
    <xf numFmtId="0" fontId="15" fillId="71" borderId="0" xfId="2481" applyFont="1" applyFill="1" applyProtection="1">
      <protection locked="0"/>
    </xf>
    <xf numFmtId="0" fontId="15" fillId="65" borderId="0" xfId="2481" applyFont="1" applyFill="1" applyAlignment="1" applyProtection="1">
      <alignment horizontal="left"/>
      <protection locked="0"/>
    </xf>
    <xf numFmtId="0" fontId="15" fillId="71" borderId="0" xfId="2481" applyFont="1" applyFill="1" applyAlignment="1" applyProtection="1">
      <alignment horizontal="left"/>
      <protection locked="0"/>
    </xf>
    <xf numFmtId="0" fontId="0" fillId="71" borderId="58" xfId="2481" applyFont="1" applyFill="1" applyBorder="1" applyProtection="1">
      <protection locked="0"/>
    </xf>
    <xf numFmtId="2" fontId="0" fillId="71" borderId="58" xfId="2481" applyNumberFormat="1" applyFont="1" applyFill="1" applyBorder="1" applyProtection="1">
      <protection locked="0"/>
    </xf>
    <xf numFmtId="2" fontId="0" fillId="0" borderId="13" xfId="2481" applyNumberFormat="1" applyFont="1" applyFill="1" applyBorder="1" applyProtection="1">
      <protection locked="0"/>
    </xf>
    <xf numFmtId="2" fontId="0" fillId="0" borderId="14" xfId="2481" applyNumberFormat="1" applyFont="1" applyFill="1" applyBorder="1" applyProtection="1">
      <protection locked="0"/>
    </xf>
    <xf numFmtId="0" fontId="1" fillId="0" borderId="0" xfId="2481" applyFill="1" applyBorder="1" applyProtection="1">
      <protection locked="0"/>
    </xf>
    <xf numFmtId="0" fontId="15" fillId="0" borderId="0" xfId="2481" applyFont="1" applyFill="1" applyAlignment="1" applyProtection="1">
      <alignment horizontal="left"/>
      <protection locked="0"/>
    </xf>
    <xf numFmtId="0" fontId="15" fillId="0" borderId="0" xfId="2481" applyFont="1" applyFill="1" applyProtection="1">
      <protection locked="0"/>
    </xf>
    <xf numFmtId="0" fontId="0" fillId="0" borderId="34" xfId="2481" applyFont="1" applyBorder="1" applyAlignment="1">
      <alignment horizontal="center"/>
    </xf>
    <xf numFmtId="0" fontId="19" fillId="0" borderId="0" xfId="2481" applyFont="1" applyFill="1" applyBorder="1"/>
    <xf numFmtId="2" fontId="19" fillId="0" borderId="0" xfId="2481" applyNumberFormat="1" applyFont="1" applyFill="1" applyBorder="1" applyAlignment="1">
      <alignment horizontal="left"/>
    </xf>
    <xf numFmtId="4" fontId="19" fillId="0" borderId="0" xfId="2481" applyNumberFormat="1" applyFont="1" applyBorder="1" applyAlignment="1">
      <alignment horizontal="left"/>
    </xf>
    <xf numFmtId="2" fontId="0" fillId="73" borderId="58" xfId="2481" applyNumberFormat="1" applyFont="1" applyFill="1" applyBorder="1" applyAlignment="1">
      <alignment horizontal="center"/>
    </xf>
    <xf numFmtId="2" fontId="0" fillId="0" borderId="58" xfId="2481" applyNumberFormat="1" applyFont="1" applyFill="1" applyBorder="1" applyAlignment="1">
      <alignment horizontal="center"/>
    </xf>
    <xf numFmtId="0" fontId="1" fillId="0" borderId="64" xfId="2481" applyFill="1" applyBorder="1" applyProtection="1">
      <protection locked="0"/>
    </xf>
    <xf numFmtId="0" fontId="0" fillId="0" borderId="39" xfId="2481" applyFont="1" applyFill="1" applyBorder="1" applyAlignment="1">
      <alignment horizontal="center"/>
    </xf>
    <xf numFmtId="3" fontId="0" fillId="71" borderId="59" xfId="2481" applyNumberFormat="1" applyFont="1" applyFill="1" applyBorder="1" applyAlignment="1" applyProtection="1">
      <alignment horizontal="left"/>
      <protection locked="0"/>
    </xf>
    <xf numFmtId="0" fontId="0" fillId="71" borderId="0" xfId="2481" applyFont="1" applyFill="1" applyAlignment="1" applyProtection="1">
      <alignment horizontal="left"/>
      <protection locked="0"/>
    </xf>
    <xf numFmtId="3" fontId="0" fillId="71" borderId="0" xfId="2481" applyNumberFormat="1" applyFont="1" applyFill="1" applyAlignment="1" applyProtection="1">
      <alignment horizontal="left"/>
      <protection locked="0"/>
    </xf>
    <xf numFmtId="0" fontId="0" fillId="71" borderId="0" xfId="2481" applyFont="1" applyFill="1" applyBorder="1" applyProtection="1">
      <protection locked="0"/>
    </xf>
    <xf numFmtId="3" fontId="0" fillId="71" borderId="0" xfId="2481" applyNumberFormat="1" applyFont="1" applyFill="1" applyBorder="1" applyProtection="1">
      <protection locked="0"/>
    </xf>
    <xf numFmtId="0" fontId="15" fillId="0" borderId="0" xfId="2481" applyFont="1" applyFill="1" applyBorder="1" applyProtection="1">
      <protection locked="0"/>
    </xf>
    <xf numFmtId="3" fontId="0" fillId="71" borderId="13" xfId="2481" applyNumberFormat="1" applyFont="1" applyFill="1" applyBorder="1" applyProtection="1">
      <protection locked="0"/>
    </xf>
    <xf numFmtId="3" fontId="0" fillId="71" borderId="14" xfId="2481" applyNumberFormat="1" applyFont="1" applyFill="1" applyBorder="1" applyProtection="1">
      <protection locked="0"/>
    </xf>
    <xf numFmtId="0" fontId="15" fillId="0" borderId="34" xfId="2481" applyFont="1" applyFill="1" applyBorder="1" applyAlignment="1">
      <alignment wrapText="1"/>
    </xf>
    <xf numFmtId="0" fontId="0" fillId="65" borderId="0" xfId="2481" applyFont="1" applyFill="1" applyBorder="1" applyProtection="1">
      <protection locked="0"/>
    </xf>
    <xf numFmtId="3" fontId="0" fillId="65" borderId="13" xfId="2481" applyNumberFormat="1" applyFont="1" applyFill="1" applyBorder="1" applyProtection="1">
      <protection locked="0"/>
    </xf>
    <xf numFmtId="3" fontId="0" fillId="65" borderId="14" xfId="2481" applyNumberFormat="1" applyFont="1" applyFill="1" applyBorder="1" applyProtection="1">
      <protection locked="0"/>
    </xf>
    <xf numFmtId="0" fontId="0" fillId="71" borderId="64" xfId="2481" applyFont="1" applyFill="1" applyBorder="1" applyProtection="1">
      <protection locked="0"/>
    </xf>
    <xf numFmtId="2" fontId="0" fillId="71" borderId="0" xfId="2481" applyNumberFormat="1" applyFont="1" applyFill="1" applyBorder="1" applyProtection="1">
      <protection locked="0"/>
    </xf>
    <xf numFmtId="0" fontId="0" fillId="0" borderId="34" xfId="2481" applyFont="1" applyBorder="1" applyAlignment="1"/>
    <xf numFmtId="0" fontId="0" fillId="0" borderId="34" xfId="2481" applyFont="1" applyFill="1" applyBorder="1" applyAlignment="1"/>
    <xf numFmtId="3" fontId="15" fillId="0" borderId="0" xfId="2481" applyNumberFormat="1" applyFont="1" applyFill="1" applyBorder="1" applyAlignment="1">
      <alignment horizontal="centerContinuous"/>
    </xf>
    <xf numFmtId="0" fontId="1" fillId="0" borderId="0" xfId="2481" applyAlignment="1"/>
    <xf numFmtId="0" fontId="1" fillId="0" borderId="0" xfId="2481" applyBorder="1" applyAlignment="1">
      <alignment wrapText="1"/>
    </xf>
    <xf numFmtId="0" fontId="15" fillId="0" borderId="69" xfId="2481" applyFont="1" applyBorder="1" applyAlignment="1"/>
    <xf numFmtId="0" fontId="1" fillId="0" borderId="69" xfId="2481" applyBorder="1" applyAlignment="1"/>
    <xf numFmtId="3" fontId="1" fillId="69" borderId="59" xfId="2481" applyNumberFormat="1" applyFill="1" applyBorder="1" applyAlignment="1" applyProtection="1">
      <alignment horizontal="center"/>
      <protection locked="0"/>
    </xf>
    <xf numFmtId="3" fontId="0" fillId="0" borderId="0" xfId="2481" applyNumberFormat="1" applyFont="1" applyBorder="1"/>
    <xf numFmtId="3" fontId="1" fillId="0" borderId="59" xfId="2481" applyNumberFormat="1" applyFill="1" applyBorder="1" applyAlignment="1" applyProtection="1">
      <alignment horizontal="center"/>
    </xf>
    <xf numFmtId="3" fontId="110" fillId="73" borderId="59" xfId="2481" applyNumberFormat="1" applyFont="1" applyFill="1" applyBorder="1" applyAlignment="1">
      <alignment horizontal="center"/>
    </xf>
    <xf numFmtId="2" fontId="0" fillId="0" borderId="58" xfId="2481" applyNumberFormat="1" applyFont="1" applyFill="1" applyBorder="1" applyProtection="1">
      <protection locked="0"/>
    </xf>
    <xf numFmtId="0" fontId="0" fillId="0" borderId="0" xfId="2481" applyFont="1" applyFill="1" applyBorder="1" applyAlignment="1" applyProtection="1">
      <alignment horizontal="left"/>
      <protection locked="0"/>
    </xf>
    <xf numFmtId="0" fontId="1" fillId="0" borderId="0" xfId="2481" applyFill="1" applyBorder="1" applyAlignment="1" applyProtection="1">
      <alignment horizontal="left"/>
      <protection locked="0"/>
    </xf>
    <xf numFmtId="2" fontId="0" fillId="0" borderId="0" xfId="2481" applyNumberFormat="1" applyFont="1" applyFill="1" applyBorder="1" applyAlignment="1" applyProtection="1">
      <alignment horizontal="center"/>
      <protection locked="0"/>
    </xf>
    <xf numFmtId="0" fontId="1" fillId="0" borderId="0" xfId="2481" applyBorder="1" applyAlignment="1" applyProtection="1">
      <alignment wrapText="1"/>
      <protection locked="0"/>
    </xf>
    <xf numFmtId="3" fontId="110" fillId="69" borderId="58" xfId="2481" applyNumberFormat="1" applyFont="1" applyFill="1" applyBorder="1" applyAlignment="1" applyProtection="1">
      <alignment horizontal="center"/>
      <protection locked="0"/>
    </xf>
    <xf numFmtId="0" fontId="15" fillId="0" borderId="0" xfId="2481" applyFont="1" applyAlignment="1">
      <alignment horizontal="center"/>
    </xf>
    <xf numFmtId="2" fontId="15" fillId="0" borderId="0" xfId="2481" applyNumberFormat="1" applyFont="1" applyBorder="1" applyAlignment="1">
      <alignment horizontal="center"/>
    </xf>
    <xf numFmtId="3" fontId="0" fillId="0" borderId="0" xfId="2481" applyNumberFormat="1" applyFont="1" applyFill="1" applyBorder="1" applyAlignment="1">
      <alignment horizontal="center" wrapText="1"/>
    </xf>
    <xf numFmtId="3" fontId="1" fillId="0" borderId="0" xfId="2481" applyNumberFormat="1" applyBorder="1" applyAlignment="1">
      <alignment horizontal="center" wrapText="1"/>
    </xf>
    <xf numFmtId="0" fontId="15" fillId="0" borderId="0" xfId="2481" applyFont="1" applyFill="1" applyBorder="1" applyAlignment="1">
      <alignment horizontal="left"/>
    </xf>
    <xf numFmtId="0" fontId="15" fillId="65" borderId="0" xfId="2481" applyFont="1" applyFill="1" applyBorder="1" applyProtection="1">
      <protection locked="0"/>
    </xf>
    <xf numFmtId="2" fontId="0" fillId="65" borderId="0" xfId="2481" applyNumberFormat="1" applyFont="1" applyFill="1" applyBorder="1" applyProtection="1">
      <protection locked="0"/>
    </xf>
    <xf numFmtId="0" fontId="1" fillId="0" borderId="0" xfId="2481" applyFill="1"/>
    <xf numFmtId="3" fontId="0" fillId="0" borderId="0" xfId="2481" applyNumberFormat="1" applyFont="1" applyFill="1" applyBorder="1" applyAlignment="1"/>
    <xf numFmtId="0" fontId="15" fillId="0" borderId="71" xfId="2481" applyFont="1" applyFill="1" applyBorder="1"/>
    <xf numFmtId="0" fontId="15" fillId="0" borderId="45" xfId="2481" applyFont="1" applyFill="1" applyBorder="1"/>
    <xf numFmtId="0" fontId="15" fillId="0" borderId="43" xfId="2481" applyFont="1" applyFill="1" applyBorder="1"/>
    <xf numFmtId="0" fontId="15" fillId="0" borderId="46" xfId="2481" applyFont="1" applyFill="1" applyBorder="1"/>
    <xf numFmtId="2" fontId="15" fillId="0" borderId="0" xfId="2481" applyNumberFormat="1" applyFont="1" applyFill="1" applyBorder="1" applyAlignment="1">
      <alignment horizontal="right"/>
    </xf>
    <xf numFmtId="2" fontId="21" fillId="0" borderId="0" xfId="2481" applyNumberFormat="1" applyFont="1" applyFill="1" applyBorder="1" applyAlignment="1">
      <alignment horizontal="right"/>
    </xf>
    <xf numFmtId="0" fontId="0" fillId="0" borderId="79" xfId="2481" applyFont="1" applyBorder="1"/>
    <xf numFmtId="0" fontId="0" fillId="0" borderId="80" xfId="2481" applyFont="1" applyBorder="1"/>
    <xf numFmtId="0" fontId="0" fillId="0" borderId="80" xfId="2481" applyFont="1" applyFill="1" applyBorder="1"/>
    <xf numFmtId="0" fontId="0" fillId="0" borderId="80" xfId="2481" applyFont="1" applyBorder="1" applyAlignment="1">
      <alignment horizontal="center"/>
    </xf>
    <xf numFmtId="0" fontId="0" fillId="0" borderId="80" xfId="2481" applyFont="1" applyFill="1" applyBorder="1" applyAlignment="1">
      <alignment horizontal="center"/>
    </xf>
    <xf numFmtId="0" fontId="0" fillId="0" borderId="81" xfId="2481" applyFont="1" applyBorder="1"/>
    <xf numFmtId="176" fontId="0" fillId="0" borderId="58" xfId="2481" applyNumberFormat="1" applyFont="1" applyBorder="1" applyAlignment="1">
      <alignment horizontal="center"/>
    </xf>
    <xf numFmtId="176" fontId="146" fillId="0" borderId="0" xfId="2481" applyNumberFormat="1" applyFont="1" applyFill="1"/>
    <xf numFmtId="3" fontId="146" fillId="0" borderId="58" xfId="2481" applyNumberFormat="1" applyFont="1" applyFill="1" applyBorder="1"/>
    <xf numFmtId="176" fontId="149" fillId="0" borderId="0" xfId="2481" applyNumberFormat="1" applyFont="1" applyFill="1"/>
    <xf numFmtId="3" fontId="145" fillId="0" borderId="82" xfId="2481" applyNumberFormat="1" applyFont="1" applyFill="1" applyBorder="1"/>
    <xf numFmtId="0" fontId="146" fillId="0" borderId="84" xfId="2481" applyFont="1" applyFill="1" applyBorder="1"/>
    <xf numFmtId="0" fontId="146" fillId="0" borderId="0" xfId="2481" applyFont="1" applyFill="1"/>
    <xf numFmtId="3" fontId="146" fillId="0" borderId="0" xfId="2481" applyNumberFormat="1" applyFont="1" applyFill="1"/>
    <xf numFmtId="3" fontId="145" fillId="0" borderId="0" xfId="2481" applyNumberFormat="1" applyFont="1" applyFill="1"/>
    <xf numFmtId="0" fontId="147" fillId="0" borderId="0" xfId="2481" applyFont="1" applyFill="1"/>
    <xf numFmtId="3" fontId="0" fillId="0" borderId="0" xfId="2481" applyNumberFormat="1" applyFont="1" applyFill="1"/>
    <xf numFmtId="3" fontId="147" fillId="0" borderId="0" xfId="2481" applyNumberFormat="1" applyFont="1" applyFill="1"/>
    <xf numFmtId="3" fontId="0" fillId="0" borderId="58" xfId="2481" applyNumberFormat="1" applyFont="1" applyFill="1" applyBorder="1"/>
    <xf numFmtId="176" fontId="146" fillId="0" borderId="58" xfId="2481" applyNumberFormat="1" applyFont="1" applyFill="1" applyBorder="1"/>
    <xf numFmtId="3" fontId="150" fillId="0" borderId="0" xfId="2481" applyNumberFormat="1" applyFont="1" applyFill="1"/>
    <xf numFmtId="176" fontId="1" fillId="0" borderId="0" xfId="2481" applyNumberFormat="1" applyFill="1"/>
    <xf numFmtId="176" fontId="110" fillId="0" borderId="0" xfId="2481" applyNumberFormat="1" applyFont="1" applyFill="1"/>
    <xf numFmtId="3" fontId="149" fillId="0" borderId="0" xfId="2481" applyNumberFormat="1" applyFont="1" applyFill="1"/>
    <xf numFmtId="1" fontId="146" fillId="0" borderId="0" xfId="2481" applyNumberFormat="1" applyFont="1" applyFill="1"/>
    <xf numFmtId="3" fontId="1" fillId="0" borderId="58" xfId="2481" applyNumberFormat="1" applyFont="1" applyFill="1" applyBorder="1"/>
    <xf numFmtId="178" fontId="0" fillId="0" borderId="58" xfId="2481" applyNumberFormat="1" applyFont="1" applyFill="1" applyBorder="1"/>
    <xf numFmtId="0" fontId="145" fillId="0" borderId="0" xfId="2481" applyFont="1" applyFill="1"/>
    <xf numFmtId="0" fontId="15" fillId="0" borderId="58" xfId="2481" applyFont="1" applyBorder="1" applyAlignment="1">
      <alignment horizontal="left"/>
    </xf>
    <xf numFmtId="0" fontId="15" fillId="0" borderId="0" xfId="2481" applyFont="1" applyAlignment="1">
      <alignment horizontal="left"/>
    </xf>
    <xf numFmtId="0" fontId="1" fillId="0" borderId="58" xfId="2481" applyBorder="1" applyAlignment="1">
      <alignment horizontal="left"/>
    </xf>
    <xf numFmtId="0" fontId="1" fillId="0" borderId="0" xfId="2481" applyAlignment="1">
      <alignment horizontal="left"/>
    </xf>
    <xf numFmtId="0" fontId="15" fillId="0" borderId="0" xfId="2481" applyFont="1" applyBorder="1"/>
    <xf numFmtId="0" fontId="1" fillId="0" borderId="0" xfId="2481" applyBorder="1" applyAlignment="1">
      <alignment horizontal="left"/>
    </xf>
    <xf numFmtId="0" fontId="1" fillId="0" borderId="0" xfId="2481" applyFill="1" applyBorder="1"/>
    <xf numFmtId="49" fontId="23" fillId="62" borderId="85" xfId="2481" applyNumberFormat="1" applyFont="1" applyFill="1" applyBorder="1" applyAlignment="1">
      <alignment horizontal="left" vertical="center"/>
    </xf>
    <xf numFmtId="0" fontId="23" fillId="62" borderId="85" xfId="2481" applyFont="1" applyFill="1" applyBorder="1" applyAlignment="1">
      <alignment horizontal="left" vertical="center"/>
    </xf>
    <xf numFmtId="0" fontId="23" fillId="62" borderId="86" xfId="2481" applyFont="1" applyFill="1" applyBorder="1" applyAlignment="1">
      <alignment horizontal="left" vertical="center"/>
    </xf>
    <xf numFmtId="0" fontId="78" fillId="0" borderId="0" xfId="2481" applyFont="1"/>
    <xf numFmtId="49" fontId="23" fillId="0" borderId="58" xfId="2481" applyNumberFormat="1" applyFont="1" applyFill="1" applyBorder="1" applyAlignment="1">
      <alignment horizontal="left" vertical="center" wrapText="1"/>
    </xf>
    <xf numFmtId="1" fontId="23" fillId="0" borderId="58" xfId="2481" applyNumberFormat="1" applyFont="1" applyFill="1" applyBorder="1" applyAlignment="1">
      <alignment horizontal="left" vertical="center" wrapText="1"/>
    </xf>
    <xf numFmtId="0" fontId="23" fillId="0" borderId="58" xfId="2481" applyFont="1" applyFill="1" applyBorder="1" applyAlignment="1">
      <alignment horizontal="left" vertical="center" wrapText="1"/>
    </xf>
    <xf numFmtId="0" fontId="78" fillId="0" borderId="0" xfId="2481" applyFont="1" applyFill="1"/>
    <xf numFmtId="0" fontId="78" fillId="0" borderId="58" xfId="2481" applyFont="1" applyFill="1" applyBorder="1" applyAlignment="1">
      <alignment horizontal="left" vertical="center"/>
    </xf>
    <xf numFmtId="0" fontId="78" fillId="0" borderId="58" xfId="2481" applyFont="1" applyFill="1" applyBorder="1" applyAlignment="1">
      <alignment vertical="center"/>
    </xf>
    <xf numFmtId="0" fontId="78" fillId="0" borderId="58" xfId="2481" applyFont="1" applyFill="1" applyBorder="1"/>
    <xf numFmtId="49" fontId="85" fillId="0" borderId="58" xfId="2481" applyNumberFormat="1" applyFont="1" applyFill="1" applyBorder="1" applyAlignment="1">
      <alignment horizontal="left" vertical="center" wrapText="1"/>
    </xf>
    <xf numFmtId="1" fontId="85" fillId="0" borderId="58" xfId="2481" applyNumberFormat="1" applyFont="1" applyFill="1" applyBorder="1" applyAlignment="1">
      <alignment horizontal="left" vertical="center" wrapText="1"/>
    </xf>
    <xf numFmtId="0" fontId="85" fillId="0" borderId="58" xfId="2481" applyFont="1" applyFill="1" applyBorder="1" applyAlignment="1">
      <alignment horizontal="left" vertical="center" wrapText="1"/>
    </xf>
    <xf numFmtId="0" fontId="85" fillId="0" borderId="0" xfId="2481" applyFont="1" applyFill="1"/>
    <xf numFmtId="0" fontId="78" fillId="0" borderId="0" xfId="2481" applyFont="1" applyFill="1" applyAlignment="1">
      <alignment vertical="center"/>
    </xf>
    <xf numFmtId="49" fontId="78" fillId="0" borderId="0" xfId="2481" applyNumberFormat="1" applyFont="1" applyAlignment="1">
      <alignment horizontal="left"/>
    </xf>
    <xf numFmtId="49" fontId="78" fillId="0" borderId="0" xfId="2481" applyNumberFormat="1" applyFont="1"/>
    <xf numFmtId="0" fontId="78" fillId="0" borderId="0" xfId="2481" applyFont="1" applyAlignment="1">
      <alignment vertical="center"/>
    </xf>
    <xf numFmtId="49" fontId="78" fillId="0" borderId="0" xfId="2481" applyNumberFormat="1" applyFont="1" applyAlignment="1">
      <alignment horizontal="left" vertical="center"/>
    </xf>
    <xf numFmtId="49" fontId="78" fillId="0" borderId="0" xfId="2481" applyNumberFormat="1" applyFont="1" applyAlignment="1">
      <alignment vertical="center"/>
    </xf>
    <xf numFmtId="0" fontId="0" fillId="0" borderId="12" xfId="25627" applyFont="1" applyFill="1" applyBorder="1" applyAlignment="1" applyProtection="1">
      <alignment horizontal="center" vertical="center"/>
    </xf>
    <xf numFmtId="0" fontId="0" fillId="0" borderId="87" xfId="25627" applyFont="1" applyFill="1" applyBorder="1" applyAlignment="1" applyProtection="1">
      <alignment horizontal="center" vertical="center"/>
    </xf>
    <xf numFmtId="0" fontId="19" fillId="0" borderId="87" xfId="39139" applyFont="1" applyBorder="1" applyAlignment="1" applyProtection="1">
      <alignment horizontal="center" vertical="center" wrapText="1"/>
    </xf>
    <xf numFmtId="14" fontId="110" fillId="0" borderId="87" xfId="13383" applyNumberFormat="1" applyFont="1" applyFill="1" applyBorder="1" applyAlignment="1" applyProtection="1">
      <alignment horizontal="center" vertical="center" wrapText="1"/>
    </xf>
    <xf numFmtId="0" fontId="87" fillId="0" borderId="87" xfId="13383" applyFont="1" applyFill="1" applyBorder="1" applyAlignment="1" applyProtection="1">
      <alignment horizontal="center" vertical="center" wrapText="1"/>
    </xf>
    <xf numFmtId="0" fontId="111" fillId="0" borderId="87" xfId="25627" applyFont="1" applyFill="1" applyBorder="1" applyAlignment="1" applyProtection="1">
      <alignment horizontal="center" vertical="center"/>
    </xf>
    <xf numFmtId="0" fontId="111" fillId="66" borderId="87" xfId="25627" applyFont="1" applyFill="1" applyBorder="1" applyAlignment="1" applyProtection="1">
      <alignment horizontal="center" vertical="center"/>
    </xf>
    <xf numFmtId="5" fontId="101" fillId="66" borderId="87" xfId="46025" applyNumberFormat="1" applyFont="1" applyFill="1" applyBorder="1" applyAlignment="1" applyProtection="1">
      <alignment horizontal="center" vertical="center" wrapText="1"/>
    </xf>
    <xf numFmtId="0" fontId="111" fillId="66" borderId="88" xfId="25627" applyFont="1" applyFill="1" applyBorder="1" applyAlignment="1" applyProtection="1">
      <alignment horizontal="center" vertical="center"/>
    </xf>
    <xf numFmtId="0" fontId="0" fillId="0" borderId="16" xfId="25627" applyFont="1" applyFill="1" applyBorder="1" applyAlignment="1" applyProtection="1">
      <alignment horizontal="center" vertical="center"/>
    </xf>
    <xf numFmtId="0" fontId="1" fillId="0" borderId="12" xfId="25627" applyFont="1" applyFill="1" applyBorder="1" applyAlignment="1" applyProtection="1">
      <alignment vertical="center"/>
    </xf>
    <xf numFmtId="0" fontId="1" fillId="0" borderId="87" xfId="25627" applyFont="1" applyFill="1" applyBorder="1" applyAlignment="1" applyProtection="1">
      <alignment vertical="center"/>
    </xf>
    <xf numFmtId="0" fontId="1" fillId="0" borderId="16" xfId="25627" applyFont="1" applyFill="1" applyBorder="1" applyAlignment="1" applyProtection="1">
      <alignment vertical="center"/>
    </xf>
    <xf numFmtId="0" fontId="111" fillId="67" borderId="12" xfId="25627" applyFont="1" applyFill="1" applyBorder="1" applyAlignment="1" applyProtection="1">
      <alignment horizontal="center" vertical="center"/>
    </xf>
    <xf numFmtId="0" fontId="111" fillId="67" borderId="87" xfId="25627" applyFont="1" applyFill="1" applyBorder="1" applyAlignment="1" applyProtection="1">
      <alignment horizontal="center" vertical="center"/>
    </xf>
    <xf numFmtId="0" fontId="111" fillId="67" borderId="16" xfId="25627" applyFont="1" applyFill="1" applyBorder="1" applyAlignment="1" applyProtection="1">
      <alignment horizontal="center" vertical="center"/>
    </xf>
    <xf numFmtId="0" fontId="0" fillId="0" borderId="43" xfId="25627" applyFont="1" applyFill="1" applyBorder="1" applyAlignment="1" applyProtection="1">
      <alignment horizontal="center" vertical="center"/>
    </xf>
    <xf numFmtId="0" fontId="101" fillId="0" borderId="0" xfId="25627" applyFont="1" applyFill="1" applyBorder="1" applyAlignment="1" applyProtection="1">
      <alignment horizontal="center" vertical="center"/>
    </xf>
    <xf numFmtId="0" fontId="105" fillId="0" borderId="0" xfId="25627" applyFont="1" applyFill="1" applyBorder="1" applyAlignment="1" applyProtection="1">
      <alignment horizontal="center" vertical="center"/>
    </xf>
    <xf numFmtId="176" fontId="111" fillId="0" borderId="0" xfId="25627" applyNumberFormat="1" applyFont="1" applyFill="1" applyBorder="1" applyAlignment="1" applyProtection="1">
      <alignment horizontal="center" vertical="center"/>
    </xf>
    <xf numFmtId="4" fontId="101" fillId="0" borderId="0" xfId="25627" applyNumberFormat="1" applyFont="1" applyBorder="1" applyAlignment="1" applyProtection="1">
      <alignment horizontal="center" vertical="center" wrapText="1"/>
    </xf>
    <xf numFmtId="0" fontId="111" fillId="0" borderId="87" xfId="25627" applyFont="1" applyFill="1" applyBorder="1" applyAlignment="1" applyProtection="1">
      <alignment vertical="center"/>
    </xf>
    <xf numFmtId="0" fontId="111" fillId="67" borderId="44" xfId="25627" applyFont="1" applyFill="1" applyBorder="1" applyAlignment="1" applyProtection="1">
      <alignment horizontal="center" vertical="center"/>
    </xf>
    <xf numFmtId="0" fontId="111" fillId="67" borderId="88" xfId="25627" applyFont="1" applyFill="1" applyBorder="1" applyAlignment="1" applyProtection="1">
      <alignment horizontal="center" vertical="center"/>
    </xf>
    <xf numFmtId="0" fontId="42" fillId="0" borderId="0" xfId="25627" applyFont="1" applyFill="1" applyBorder="1" applyAlignment="1" applyProtection="1">
      <alignment horizontal="center" vertical="center"/>
    </xf>
    <xf numFmtId="0" fontId="115" fillId="0" borderId="0" xfId="25627" applyFont="1" applyFill="1" applyBorder="1" applyAlignment="1" applyProtection="1">
      <alignment horizontal="center" vertical="center"/>
    </xf>
    <xf numFmtId="0" fontId="42" fillId="0" borderId="0" xfId="25627" applyFont="1" applyBorder="1" applyAlignment="1" applyProtection="1">
      <alignment horizontal="center" vertical="center"/>
    </xf>
    <xf numFmtId="4" fontId="42" fillId="0" borderId="0" xfId="25627" applyNumberFormat="1" applyFont="1" applyBorder="1" applyAlignment="1" applyProtection="1">
      <alignment horizontal="center" vertical="center" wrapText="1"/>
    </xf>
    <xf numFmtId="0" fontId="42" fillId="76" borderId="0" xfId="25627" applyFont="1" applyFill="1" applyBorder="1" applyAlignment="1" applyProtection="1">
      <alignment horizontal="left" vertical="center"/>
      <protection hidden="1"/>
    </xf>
    <xf numFmtId="49" fontId="42" fillId="77" borderId="0" xfId="25627" applyNumberFormat="1" applyFont="1" applyFill="1" applyBorder="1" applyAlignment="1" applyProtection="1">
      <alignment horizontal="center" vertical="center"/>
      <protection hidden="1"/>
    </xf>
    <xf numFmtId="0" fontId="0" fillId="0" borderId="89" xfId="25627" applyFont="1" applyFill="1" applyBorder="1" applyAlignment="1" applyProtection="1">
      <alignment horizontal="center" vertical="center"/>
    </xf>
    <xf numFmtId="0" fontId="0" fillId="0" borderId="90" xfId="25627" applyFont="1" applyFill="1" applyBorder="1" applyAlignment="1" applyProtection="1">
      <alignment horizontal="center" vertical="center"/>
    </xf>
    <xf numFmtId="0" fontId="0" fillId="0" borderId="91" xfId="25627" applyFont="1" applyFill="1" applyBorder="1" applyAlignment="1" applyProtection="1">
      <alignment horizontal="center" vertical="center"/>
    </xf>
    <xf numFmtId="0" fontId="1" fillId="0" borderId="91" xfId="25627" applyFont="1" applyFill="1" applyBorder="1" applyAlignment="1" applyProtection="1">
      <alignment vertical="center"/>
    </xf>
    <xf numFmtId="0" fontId="19" fillId="0" borderId="91" xfId="39139" applyFont="1" applyBorder="1" applyAlignment="1" applyProtection="1">
      <alignment horizontal="center" vertical="center" wrapText="1"/>
    </xf>
    <xf numFmtId="14" fontId="110" fillId="0" borderId="91" xfId="13383" applyNumberFormat="1" applyFont="1" applyFill="1" applyBorder="1" applyAlignment="1" applyProtection="1">
      <alignment horizontal="center" vertical="center" wrapText="1"/>
    </xf>
    <xf numFmtId="0" fontId="87" fillId="0" borderId="91" xfId="13383" applyFont="1" applyFill="1" applyBorder="1" applyAlignment="1" applyProtection="1">
      <alignment horizontal="center" vertical="center" wrapText="1"/>
    </xf>
    <xf numFmtId="0" fontId="111" fillId="0" borderId="91" xfId="25627" applyFont="1" applyFill="1" applyBorder="1" applyAlignment="1" applyProtection="1">
      <alignment vertical="center"/>
    </xf>
    <xf numFmtId="0" fontId="111" fillId="66" borderId="91" xfId="25627" applyFont="1" applyFill="1" applyBorder="1" applyAlignment="1" applyProtection="1">
      <alignment horizontal="center" vertical="center"/>
    </xf>
    <xf numFmtId="0" fontId="111" fillId="67" borderId="91" xfId="25627" applyFont="1" applyFill="1" applyBorder="1" applyAlignment="1" applyProtection="1">
      <alignment horizontal="center" vertical="center"/>
    </xf>
    <xf numFmtId="5" fontId="101" fillId="66" borderId="91" xfId="46025" applyNumberFormat="1" applyFont="1" applyFill="1" applyBorder="1" applyAlignment="1" applyProtection="1">
      <alignment horizontal="center" vertical="center" wrapText="1"/>
    </xf>
    <xf numFmtId="0" fontId="42" fillId="67" borderId="0" xfId="25627" applyFont="1" applyFill="1" applyBorder="1" applyAlignment="1" applyProtection="1">
      <alignment horizontal="left" vertical="center"/>
      <protection hidden="1"/>
    </xf>
    <xf numFmtId="49" fontId="42" fillId="67" borderId="0" xfId="25627" applyNumberFormat="1" applyFont="1" applyFill="1" applyBorder="1" applyAlignment="1" applyProtection="1">
      <alignment horizontal="center" vertical="center"/>
      <protection hidden="1"/>
    </xf>
    <xf numFmtId="0" fontId="111" fillId="0" borderId="91" xfId="25627" applyFont="1" applyFill="1" applyBorder="1" applyAlignment="1" applyProtection="1">
      <alignment horizontal="center" vertical="center"/>
    </xf>
    <xf numFmtId="0" fontId="111" fillId="66" borderId="92" xfId="25627" applyFont="1" applyFill="1" applyBorder="1" applyAlignment="1" applyProtection="1">
      <alignment horizontal="center" vertical="center"/>
    </xf>
    <xf numFmtId="4" fontId="42" fillId="77" borderId="0" xfId="25627" applyNumberFormat="1" applyFont="1" applyFill="1" applyBorder="1" applyAlignment="1" applyProtection="1">
      <alignment horizontal="center" vertical="center" wrapText="1"/>
    </xf>
    <xf numFmtId="0" fontId="42" fillId="77" borderId="0" xfId="46025" applyFont="1" applyFill="1" applyAlignment="1" applyProtection="1">
      <alignment horizontal="center"/>
    </xf>
    <xf numFmtId="3" fontId="105" fillId="0" borderId="42" xfId="25627" applyNumberFormat="1" applyFont="1" applyFill="1" applyBorder="1" applyAlignment="1" applyProtection="1">
      <alignment horizontal="left"/>
    </xf>
    <xf numFmtId="0" fontId="0" fillId="0" borderId="87" xfId="25627" applyFont="1" applyFill="1" applyBorder="1" applyAlignment="1" applyProtection="1">
      <alignment horizontal="center" vertical="center" wrapText="1"/>
    </xf>
    <xf numFmtId="49" fontId="0" fillId="0" borderId="0" xfId="0" applyNumberFormat="1"/>
    <xf numFmtId="3" fontId="101" fillId="0" borderId="61" xfId="25627" applyNumberFormat="1" applyFont="1" applyBorder="1" applyAlignment="1" applyProtection="1">
      <alignment horizontal="center" vertical="center" wrapText="1"/>
    </xf>
    <xf numFmtId="3" fontId="0" fillId="0" borderId="0" xfId="0" applyNumberFormat="1"/>
    <xf numFmtId="0" fontId="105" fillId="0" borderId="57" xfId="25627" applyFont="1" applyFill="1" applyBorder="1" applyAlignment="1" applyProtection="1">
      <alignment horizontal="center" vertical="center"/>
    </xf>
    <xf numFmtId="0" fontId="101" fillId="0" borderId="57" xfId="25627" applyFont="1" applyFill="1" applyBorder="1" applyAlignment="1" applyProtection="1">
      <alignment horizontal="center" vertical="center"/>
    </xf>
    <xf numFmtId="0" fontId="111" fillId="66" borderId="57" xfId="25627" applyFont="1" applyFill="1" applyBorder="1" applyAlignment="1" applyProtection="1">
      <alignment horizontal="center" vertical="center"/>
    </xf>
    <xf numFmtId="3" fontId="111" fillId="66" borderId="57" xfId="25627" applyNumberFormat="1" applyFont="1" applyFill="1" applyBorder="1" applyAlignment="1" applyProtection="1">
      <alignment horizontal="center" vertical="center"/>
    </xf>
    <xf numFmtId="4" fontId="101" fillId="0" borderId="57" xfId="25627" applyNumberFormat="1" applyFont="1" applyBorder="1" applyAlignment="1" applyProtection="1">
      <alignment horizontal="center" vertical="center" wrapText="1"/>
    </xf>
    <xf numFmtId="0" fontId="105" fillId="0" borderId="57" xfId="25627" quotePrefix="1" applyFont="1" applyFill="1" applyBorder="1" applyAlignment="1" applyProtection="1">
      <alignment horizontal="center" vertical="center"/>
    </xf>
    <xf numFmtId="49" fontId="101" fillId="0" borderId="57" xfId="25627" applyNumberFormat="1" applyFont="1" applyFill="1" applyBorder="1" applyAlignment="1" applyProtection="1">
      <alignment horizontal="center" vertical="center"/>
    </xf>
    <xf numFmtId="3" fontId="101" fillId="0" borderId="91" xfId="25627" applyNumberFormat="1" applyFont="1" applyBorder="1" applyAlignment="1" applyProtection="1">
      <alignment horizontal="center" vertical="center"/>
    </xf>
    <xf numFmtId="49" fontId="101" fillId="0" borderId="91" xfId="25627" applyNumberFormat="1" applyFont="1" applyFill="1" applyBorder="1" applyAlignment="1" applyProtection="1">
      <alignment horizontal="center" vertical="center"/>
    </xf>
    <xf numFmtId="0" fontId="115" fillId="0" borderId="89" xfId="25627" applyFont="1" applyFill="1" applyBorder="1" applyAlignment="1" applyProtection="1">
      <alignment horizontal="center" vertical="center"/>
    </xf>
    <xf numFmtId="0" fontId="115" fillId="0" borderId="87" xfId="25627" applyFont="1" applyFill="1" applyBorder="1" applyAlignment="1" applyProtection="1">
      <alignment horizontal="center" vertical="center"/>
    </xf>
    <xf numFmtId="0" fontId="42" fillId="0" borderId="87" xfId="25627" applyFont="1" applyFill="1" applyBorder="1" applyAlignment="1" applyProtection="1">
      <alignment horizontal="center" vertical="center" wrapText="1"/>
    </xf>
    <xf numFmtId="0" fontId="42" fillId="0" borderId="87" xfId="25627" applyFont="1" applyBorder="1" applyAlignment="1" applyProtection="1">
      <alignment horizontal="center" vertical="center"/>
    </xf>
    <xf numFmtId="49" fontId="42" fillId="0" borderId="87" xfId="13344" applyNumberFormat="1" applyFont="1" applyFill="1" applyBorder="1" applyAlignment="1" applyProtection="1">
      <alignment horizontal="center" vertical="center"/>
      <protection hidden="1"/>
    </xf>
    <xf numFmtId="0" fontId="42" fillId="0" borderId="87" xfId="13344" applyFont="1" applyFill="1" applyBorder="1" applyAlignment="1" applyProtection="1">
      <alignment horizontal="center" vertical="center"/>
      <protection hidden="1"/>
    </xf>
    <xf numFmtId="3" fontId="42" fillId="66" borderId="87" xfId="25627" applyNumberFormat="1" applyFont="1" applyFill="1" applyBorder="1" applyAlignment="1" applyProtection="1">
      <alignment horizontal="center" vertical="center" wrapText="1"/>
    </xf>
    <xf numFmtId="1" fontId="42" fillId="66" borderId="87" xfId="25627" applyNumberFormat="1" applyFont="1" applyFill="1" applyBorder="1" applyAlignment="1" applyProtection="1">
      <alignment horizontal="center" vertical="center"/>
    </xf>
    <xf numFmtId="0" fontId="42" fillId="66" borderId="87" xfId="25627" applyFont="1" applyFill="1" applyBorder="1" applyAlignment="1" applyProtection="1">
      <alignment horizontal="center" vertical="center" wrapText="1"/>
    </xf>
    <xf numFmtId="3" fontId="42" fillId="0" borderId="87" xfId="13344" applyNumberFormat="1" applyFont="1" applyFill="1" applyBorder="1" applyAlignment="1" applyProtection="1">
      <alignment horizontal="center" vertical="center" wrapText="1"/>
      <protection hidden="1"/>
    </xf>
    <xf numFmtId="0" fontId="42" fillId="66" borderId="87" xfId="13344" applyFont="1" applyFill="1" applyBorder="1" applyAlignment="1" applyProtection="1">
      <alignment horizontal="center" vertical="center"/>
      <protection hidden="1"/>
    </xf>
    <xf numFmtId="0" fontId="42" fillId="66" borderId="87" xfId="25627" applyFont="1" applyFill="1" applyBorder="1" applyAlignment="1" applyProtection="1">
      <alignment horizontal="left" vertical="center"/>
      <protection hidden="1"/>
    </xf>
    <xf numFmtId="0" fontId="42" fillId="0" borderId="87" xfId="13344" applyFont="1" applyFill="1" applyBorder="1" applyAlignment="1" applyProtection="1">
      <alignment horizontal="center" vertical="center" wrapText="1"/>
      <protection hidden="1"/>
    </xf>
    <xf numFmtId="3" fontId="42" fillId="0" borderId="87" xfId="25627" applyNumberFormat="1" applyFont="1" applyBorder="1" applyAlignment="1" applyProtection="1">
      <alignment horizontal="center" vertical="center" wrapText="1"/>
    </xf>
    <xf numFmtId="3" fontId="42" fillId="0" borderId="88" xfId="25627" applyNumberFormat="1" applyFont="1" applyBorder="1" applyAlignment="1" applyProtection="1">
      <alignment horizontal="center" vertical="center" wrapText="1"/>
    </xf>
    <xf numFmtId="0" fontId="42" fillId="0" borderId="91" xfId="13344" applyFont="1" applyFill="1" applyBorder="1" applyAlignment="1" applyProtection="1">
      <alignment horizontal="center" vertical="center" wrapText="1"/>
      <protection hidden="1"/>
    </xf>
    <xf numFmtId="49" fontId="101" fillId="34" borderId="12" xfId="25627" applyNumberFormat="1" applyFont="1" applyFill="1" applyBorder="1" applyAlignment="1" applyProtection="1">
      <alignment horizontal="center" vertical="center"/>
    </xf>
    <xf numFmtId="0" fontId="42" fillId="66" borderId="91" xfId="25627" applyFont="1" applyFill="1" applyBorder="1" applyAlignment="1" applyProtection="1">
      <alignment horizontal="left" vertical="center"/>
      <protection hidden="1"/>
    </xf>
    <xf numFmtId="49" fontId="42" fillId="0" borderId="0" xfId="25627" applyNumberFormat="1" applyFont="1" applyFill="1" applyBorder="1" applyAlignment="1" applyProtection="1">
      <alignment horizontal="center" vertical="center"/>
      <protection hidden="1"/>
    </xf>
    <xf numFmtId="3" fontId="42" fillId="34" borderId="0" xfId="25627" applyNumberFormat="1" applyFont="1" applyFill="1" applyBorder="1" applyAlignment="1" applyProtection="1">
      <alignment horizontal="center" vertical="center"/>
    </xf>
    <xf numFmtId="49" fontId="42" fillId="34" borderId="0" xfId="25627" applyNumberFormat="1" applyFont="1" applyFill="1" applyBorder="1" applyAlignment="1" applyProtection="1">
      <alignment horizontal="center" vertical="center"/>
      <protection hidden="1"/>
    </xf>
    <xf numFmtId="0" fontId="42" fillId="34" borderId="0" xfId="13344" applyFont="1" applyFill="1" applyBorder="1" applyAlignment="1" applyProtection="1">
      <alignment horizontal="center" vertical="center" wrapText="1"/>
      <protection hidden="1"/>
    </xf>
    <xf numFmtId="0" fontId="42" fillId="34" borderId="0" xfId="25627" applyFont="1" applyFill="1" applyBorder="1" applyAlignment="1" applyProtection="1">
      <alignment horizontal="left" vertical="center"/>
      <protection hidden="1"/>
    </xf>
    <xf numFmtId="0" fontId="42" fillId="0" borderId="90" xfId="25627" applyFont="1" applyFill="1" applyBorder="1" applyAlignment="1" applyProtection="1">
      <alignment horizontal="center" vertical="center"/>
    </xf>
    <xf numFmtId="0" fontId="105" fillId="0" borderId="91" xfId="25627" applyFont="1" applyFill="1" applyBorder="1" applyAlignment="1" applyProtection="1">
      <alignment horizontal="center" vertical="center"/>
    </xf>
    <xf numFmtId="0" fontId="115" fillId="0" borderId="91" xfId="25627" applyFont="1" applyFill="1" applyBorder="1" applyAlignment="1" applyProtection="1">
      <alignment horizontal="center" vertical="center"/>
    </xf>
    <xf numFmtId="0" fontId="42" fillId="0" borderId="91" xfId="25627" applyFont="1" applyFill="1" applyBorder="1" applyAlignment="1" applyProtection="1">
      <alignment horizontal="center" vertical="center"/>
    </xf>
    <xf numFmtId="0" fontId="42" fillId="0" borderId="91" xfId="25627" applyFont="1" applyBorder="1" applyAlignment="1" applyProtection="1">
      <alignment horizontal="center" vertical="center"/>
    </xf>
    <xf numFmtId="3" fontId="42" fillId="67" borderId="0" xfId="25627" applyNumberFormat="1" applyFont="1" applyFill="1" applyBorder="1" applyAlignment="1" applyProtection="1">
      <alignment horizontal="center" vertical="center"/>
    </xf>
    <xf numFmtId="0" fontId="42" fillId="67" borderId="0" xfId="13344" applyFont="1" applyFill="1" applyBorder="1" applyAlignment="1" applyProtection="1">
      <alignment horizontal="center" vertical="center" wrapText="1"/>
      <protection hidden="1"/>
    </xf>
    <xf numFmtId="4" fontId="42" fillId="67" borderId="0" xfId="25627" applyNumberFormat="1" applyFont="1" applyFill="1" applyBorder="1" applyAlignment="1" applyProtection="1">
      <alignment horizontal="center" vertical="center" wrapText="1"/>
    </xf>
    <xf numFmtId="0" fontId="101" fillId="0" borderId="34" xfId="25627" applyFont="1" applyBorder="1" applyProtection="1">
      <protection hidden="1"/>
    </xf>
    <xf numFmtId="3" fontId="42" fillId="0" borderId="95" xfId="25627" applyNumberFormat="1" applyFont="1" applyBorder="1" applyAlignment="1" applyProtection="1">
      <alignment horizontal="center" vertical="center" wrapText="1"/>
    </xf>
    <xf numFmtId="0" fontId="42" fillId="0" borderId="35" xfId="46025" applyFont="1" applyBorder="1" applyAlignment="1" applyProtection="1">
      <alignment horizontal="center"/>
    </xf>
    <xf numFmtId="0" fontId="42" fillId="0" borderId="88" xfId="46025" applyFont="1" applyBorder="1" applyAlignment="1" applyProtection="1">
      <alignment horizontal="center"/>
    </xf>
    <xf numFmtId="0" fontId="42" fillId="0" borderId="92" xfId="46025" applyFont="1" applyBorder="1" applyAlignment="1" applyProtection="1">
      <alignment horizontal="center"/>
    </xf>
    <xf numFmtId="3" fontId="42" fillId="67" borderId="87" xfId="25627" applyNumberFormat="1" applyFont="1" applyFill="1" applyBorder="1" applyAlignment="1" applyProtection="1">
      <alignment horizontal="center" vertical="center" wrapText="1"/>
    </xf>
    <xf numFmtId="3" fontId="42" fillId="67" borderId="91" xfId="25627" applyNumberFormat="1" applyFont="1" applyFill="1" applyBorder="1" applyAlignment="1" applyProtection="1">
      <alignment horizontal="center" vertical="center" wrapText="1"/>
    </xf>
    <xf numFmtId="49" fontId="101" fillId="34" borderId="91" xfId="25627" applyNumberFormat="1" applyFont="1" applyFill="1" applyBorder="1" applyAlignment="1" applyProtection="1">
      <alignment horizontal="center" vertical="center"/>
    </xf>
    <xf numFmtId="0" fontId="42" fillId="0" borderId="34" xfId="46025" applyFont="1" applyBorder="1" applyAlignment="1" applyProtection="1">
      <alignment horizontal="center"/>
    </xf>
    <xf numFmtId="3" fontId="105" fillId="0" borderId="12" xfId="25627" applyNumberFormat="1" applyFont="1" applyFill="1" applyBorder="1" applyAlignment="1" applyProtection="1">
      <alignment horizontal="center"/>
    </xf>
    <xf numFmtId="3" fontId="105" fillId="0" borderId="57" xfId="25627" applyNumberFormat="1" applyFont="1" applyFill="1" applyBorder="1" applyAlignment="1" applyProtection="1">
      <alignment horizontal="center"/>
    </xf>
    <xf numFmtId="3" fontId="105" fillId="0" borderId="47" xfId="25627" applyNumberFormat="1" applyFont="1" applyFill="1" applyBorder="1" applyAlignment="1" applyProtection="1">
      <alignment horizontal="center"/>
    </xf>
    <xf numFmtId="1" fontId="101" fillId="0" borderId="95" xfId="25627" applyNumberFormat="1" applyFont="1" applyFill="1" applyBorder="1" applyAlignment="1" applyProtection="1">
      <alignment horizontal="center" vertical="center"/>
    </xf>
    <xf numFmtId="1" fontId="101" fillId="0" borderId="87" xfId="25627" applyNumberFormat="1" applyFont="1" applyFill="1" applyBorder="1" applyAlignment="1" applyProtection="1">
      <alignment horizontal="center" vertical="center"/>
    </xf>
    <xf numFmtId="0" fontId="101" fillId="0" borderId="95" xfId="25627" applyFont="1" applyFill="1" applyBorder="1" applyAlignment="1" applyProtection="1">
      <alignment horizontal="center" vertical="center" wrapText="1"/>
    </xf>
    <xf numFmtId="0" fontId="15" fillId="0" borderId="0" xfId="0" applyNumberFormat="1" applyFont="1"/>
    <xf numFmtId="4" fontId="101" fillId="78" borderId="47" xfId="25627" applyNumberFormat="1" applyFont="1" applyFill="1" applyBorder="1" applyAlignment="1" applyProtection="1">
      <alignment horizontal="center" vertical="center" wrapText="1"/>
    </xf>
    <xf numFmtId="4" fontId="101" fillId="78" borderId="93" xfId="25627" applyNumberFormat="1" applyFont="1" applyFill="1" applyBorder="1" applyAlignment="1" applyProtection="1">
      <alignment horizontal="center" vertical="center" wrapText="1"/>
    </xf>
    <xf numFmtId="0" fontId="78" fillId="0" borderId="35" xfId="46025" applyBorder="1" applyProtection="1"/>
    <xf numFmtId="0" fontId="101" fillId="0" borderId="87" xfId="25627" applyFont="1" applyBorder="1" applyProtection="1"/>
    <xf numFmtId="0" fontId="78" fillId="0" borderId="87" xfId="46025" applyBorder="1" applyProtection="1"/>
    <xf numFmtId="0" fontId="42" fillId="0" borderId="91" xfId="25627" applyFont="1" applyFill="1" applyBorder="1" applyAlignment="1" applyProtection="1">
      <alignment horizontal="left" vertical="center"/>
      <protection hidden="1"/>
    </xf>
    <xf numFmtId="0" fontId="42" fillId="0" borderId="12" xfId="25627" applyFont="1" applyFill="1" applyBorder="1" applyAlignment="1" applyProtection="1">
      <alignment horizontal="left" vertical="center"/>
      <protection hidden="1"/>
    </xf>
    <xf numFmtId="0" fontId="42" fillId="0" borderId="87" xfId="25627" applyFont="1" applyFill="1" applyBorder="1" applyAlignment="1" applyProtection="1">
      <alignment horizontal="left" vertical="center"/>
      <protection hidden="1"/>
    </xf>
    <xf numFmtId="0" fontId="42" fillId="0" borderId="91" xfId="25627" applyFont="1" applyFill="1" applyBorder="1" applyAlignment="1" applyProtection="1">
      <alignment horizontal="center" vertical="center"/>
      <protection hidden="1"/>
    </xf>
    <xf numFmtId="3" fontId="42" fillId="0" borderId="87" xfId="25627" applyNumberFormat="1" applyFont="1" applyFill="1" applyBorder="1" applyAlignment="1" applyProtection="1">
      <alignment horizontal="center" vertical="center"/>
    </xf>
    <xf numFmtId="3" fontId="42" fillId="66" borderId="87" xfId="13344" applyNumberFormat="1" applyFont="1" applyFill="1" applyBorder="1" applyAlignment="1" applyProtection="1">
      <alignment horizontal="center" vertical="center"/>
      <protection hidden="1"/>
    </xf>
    <xf numFmtId="49" fontId="42" fillId="0" borderId="47" xfId="25627" applyNumberFormat="1" applyFont="1" applyFill="1" applyBorder="1" applyAlignment="1" applyProtection="1">
      <alignment horizontal="center" vertical="center"/>
    </xf>
    <xf numFmtId="49" fontId="42" fillId="0" borderId="12" xfId="25627" applyNumberFormat="1" applyFont="1" applyFill="1" applyBorder="1" applyAlignment="1" applyProtection="1">
      <alignment horizontal="center" vertical="center"/>
    </xf>
    <xf numFmtId="49" fontId="101" fillId="0" borderId="87" xfId="25627" applyNumberFormat="1" applyFont="1" applyFill="1" applyBorder="1" applyAlignment="1" applyProtection="1">
      <alignment horizontal="center" vertical="center"/>
    </xf>
    <xf numFmtId="3" fontId="42" fillId="0" borderId="12" xfId="13344" applyNumberFormat="1" applyFont="1" applyFill="1" applyBorder="1" applyAlignment="1" applyProtection="1">
      <alignment horizontal="center" vertical="center"/>
      <protection hidden="1"/>
    </xf>
    <xf numFmtId="3" fontId="42" fillId="0" borderId="87" xfId="13344" applyNumberFormat="1" applyFont="1" applyFill="1" applyBorder="1" applyAlignment="1" applyProtection="1">
      <alignment horizontal="center" vertical="center"/>
      <protection hidden="1"/>
    </xf>
    <xf numFmtId="49" fontId="42" fillId="0" borderId="87" xfId="25627" applyNumberFormat="1" applyFont="1" applyFill="1" applyBorder="1" applyAlignment="1" applyProtection="1">
      <alignment horizontal="center" vertical="center"/>
    </xf>
    <xf numFmtId="0" fontId="42" fillId="0" borderId="87" xfId="13344" applyNumberFormat="1" applyFont="1" applyFill="1" applyBorder="1" applyAlignment="1" applyProtection="1">
      <alignment horizontal="center" vertical="center" wrapText="1"/>
      <protection hidden="1"/>
    </xf>
    <xf numFmtId="0" fontId="42" fillId="0" borderId="47" xfId="25627" applyFont="1" applyFill="1" applyBorder="1" applyAlignment="1" applyProtection="1">
      <alignment horizontal="left" vertical="center"/>
      <protection hidden="1"/>
    </xf>
    <xf numFmtId="49" fontId="42" fillId="0" borderId="91" xfId="25627" applyNumberFormat="1" applyFont="1" applyFill="1" applyBorder="1" applyAlignment="1" applyProtection="1">
      <alignment horizontal="center" vertical="center"/>
      <protection hidden="1"/>
    </xf>
    <xf numFmtId="0" fontId="42" fillId="0" borderId="89" xfId="25627" applyFont="1" applyFill="1" applyBorder="1" applyAlignment="1" applyProtection="1">
      <alignment horizontal="center" vertical="center"/>
    </xf>
    <xf numFmtId="0" fontId="105" fillId="0" borderId="87" xfId="25627" applyFont="1" applyFill="1" applyBorder="1" applyAlignment="1" applyProtection="1">
      <alignment horizontal="center" vertical="center"/>
    </xf>
    <xf numFmtId="0" fontId="42" fillId="0" borderId="87" xfId="25627" applyFont="1" applyFill="1" applyBorder="1" applyAlignment="1" applyProtection="1">
      <alignment horizontal="center" vertical="center"/>
    </xf>
    <xf numFmtId="49" fontId="42" fillId="0" borderId="87" xfId="25627" applyNumberFormat="1" applyFont="1" applyFill="1" applyBorder="1" applyAlignment="1" applyProtection="1">
      <alignment horizontal="center" vertical="center"/>
      <protection hidden="1"/>
    </xf>
    <xf numFmtId="49" fontId="42" fillId="0" borderId="87" xfId="13344" applyNumberFormat="1" applyFont="1" applyFill="1" applyBorder="1" applyAlignment="1" applyProtection="1">
      <alignment horizontal="center" vertical="center" wrapText="1"/>
      <protection hidden="1"/>
    </xf>
    <xf numFmtId="49" fontId="42" fillId="66" borderId="12" xfId="25627" applyNumberFormat="1" applyFont="1" applyFill="1" applyBorder="1" applyAlignment="1" applyProtection="1">
      <alignment horizontal="left" vertical="center"/>
      <protection hidden="1"/>
    </xf>
    <xf numFmtId="49" fontId="42" fillId="0" borderId="91" xfId="25627" applyNumberFormat="1" applyFont="1" applyFill="1" applyBorder="1" applyAlignment="1" applyProtection="1">
      <alignment horizontal="center" vertical="center"/>
    </xf>
    <xf numFmtId="1" fontId="42" fillId="0" borderId="12" xfId="25627" applyNumberFormat="1" applyFont="1" applyFill="1" applyBorder="1" applyAlignment="1" applyProtection="1">
      <alignment horizontal="center" vertical="center"/>
    </xf>
    <xf numFmtId="1" fontId="42" fillId="0" borderId="87" xfId="25627" applyNumberFormat="1" applyFont="1" applyFill="1" applyBorder="1" applyAlignment="1" applyProtection="1">
      <alignment horizontal="center" vertical="center"/>
    </xf>
    <xf numFmtId="174" fontId="42" fillId="0" borderId="87" xfId="25627" applyNumberFormat="1" applyFont="1" applyFill="1" applyBorder="1" applyAlignment="1" applyProtection="1">
      <alignment horizontal="center" vertical="center"/>
    </xf>
    <xf numFmtId="174" fontId="42" fillId="0" borderId="87" xfId="25627" applyNumberFormat="1" applyFont="1" applyBorder="1" applyAlignment="1" applyProtection="1">
      <alignment horizontal="center" vertical="center"/>
    </xf>
    <xf numFmtId="174" fontId="42" fillId="0" borderId="91" xfId="25627" applyNumberFormat="1" applyFont="1" applyBorder="1" applyAlignment="1" applyProtection="1">
      <alignment horizontal="center" vertical="center"/>
    </xf>
    <xf numFmtId="9" fontId="42" fillId="0" borderId="87" xfId="25627" applyNumberFormat="1" applyFont="1" applyFill="1" applyBorder="1" applyAlignment="1" applyProtection="1">
      <alignment horizontal="center" vertical="center"/>
    </xf>
    <xf numFmtId="9" fontId="42" fillId="0" borderId="87" xfId="25627" applyNumberFormat="1" applyFont="1" applyBorder="1" applyAlignment="1" applyProtection="1">
      <alignment horizontal="center" vertical="center"/>
    </xf>
    <xf numFmtId="9" fontId="42" fillId="0" borderId="91" xfId="25627" applyNumberFormat="1" applyFont="1" applyBorder="1" applyAlignment="1" applyProtection="1">
      <alignment horizontal="center" vertical="center"/>
    </xf>
    <xf numFmtId="9" fontId="42" fillId="0" borderId="12" xfId="13344" applyNumberFormat="1" applyFont="1" applyFill="1" applyBorder="1" applyAlignment="1" applyProtection="1">
      <alignment horizontal="center" vertical="center" wrapText="1"/>
      <protection hidden="1"/>
    </xf>
    <xf numFmtId="9" fontId="42" fillId="0" borderId="87" xfId="13344" applyNumberFormat="1" applyFont="1" applyFill="1" applyBorder="1" applyAlignment="1" applyProtection="1">
      <alignment horizontal="center" vertical="center" wrapText="1"/>
      <protection hidden="1"/>
    </xf>
    <xf numFmtId="9" fontId="42" fillId="0" borderId="47" xfId="25627" applyNumberFormat="1" applyFont="1" applyFill="1" applyBorder="1" applyAlignment="1" applyProtection="1">
      <alignment horizontal="left" vertical="center"/>
      <protection hidden="1"/>
    </xf>
    <xf numFmtId="179" fontId="42" fillId="0" borderId="87" xfId="25627" applyNumberFormat="1" applyFont="1" applyFill="1" applyBorder="1" applyAlignment="1" applyProtection="1">
      <alignment horizontal="center" vertical="center"/>
    </xf>
    <xf numFmtId="179" fontId="42" fillId="0" borderId="91" xfId="25627" applyNumberFormat="1" applyFont="1" applyBorder="1" applyAlignment="1" applyProtection="1">
      <alignment horizontal="center" vertical="center"/>
    </xf>
    <xf numFmtId="49" fontId="42" fillId="0" borderId="0" xfId="25627" applyNumberFormat="1" applyFont="1" applyFill="1" applyBorder="1" applyAlignment="1" applyProtection="1">
      <alignment horizontal="center" vertical="center"/>
    </xf>
    <xf numFmtId="0" fontId="42" fillId="0" borderId="0" xfId="25627" applyFont="1" applyFill="1" applyBorder="1" applyAlignment="1" applyProtection="1">
      <alignment horizontal="left" vertical="center"/>
      <protection hidden="1"/>
    </xf>
    <xf numFmtId="174" fontId="42" fillId="0" borderId="0" xfId="25627" applyNumberFormat="1" applyFont="1" applyFill="1" applyBorder="1" applyAlignment="1" applyProtection="1">
      <alignment horizontal="center" vertical="center"/>
    </xf>
    <xf numFmtId="9" fontId="42" fillId="0" borderId="0" xfId="25627" applyNumberFormat="1" applyFont="1" applyFill="1" applyBorder="1" applyAlignment="1" applyProtection="1">
      <alignment horizontal="center" vertical="center"/>
    </xf>
    <xf numFmtId="179" fontId="42" fillId="0" borderId="0" xfId="25627" applyNumberFormat="1" applyFont="1" applyFill="1" applyBorder="1" applyAlignment="1" applyProtection="1">
      <alignment horizontal="center" vertical="center"/>
    </xf>
    <xf numFmtId="4" fontId="42" fillId="0" borderId="0" xfId="25627" applyNumberFormat="1" applyFont="1" applyFill="1" applyBorder="1" applyAlignment="1" applyProtection="1">
      <alignment horizontal="center" vertical="center" wrapText="1"/>
    </xf>
    <xf numFmtId="0" fontId="42" fillId="0" borderId="0" xfId="46025" applyFont="1" applyFill="1" applyAlignment="1" applyProtection="1">
      <alignment horizontal="center"/>
    </xf>
    <xf numFmtId="3" fontId="111" fillId="0" borderId="87" xfId="25627" applyNumberFormat="1" applyFont="1" applyFill="1" applyBorder="1" applyAlignment="1" applyProtection="1">
      <alignment horizontal="center" vertical="center"/>
    </xf>
    <xf numFmtId="3" fontId="111" fillId="0" borderId="91" xfId="25627" applyNumberFormat="1" applyFont="1" applyFill="1" applyBorder="1" applyAlignment="1" applyProtection="1">
      <alignment horizontal="center" vertical="center"/>
    </xf>
    <xf numFmtId="3" fontId="42" fillId="0" borderId="12" xfId="25627" applyNumberFormat="1" applyFont="1" applyFill="1" applyBorder="1" applyAlignment="1" applyProtection="1">
      <alignment horizontal="center" vertical="center" wrapText="1"/>
    </xf>
    <xf numFmtId="0" fontId="42" fillId="0" borderId="47" xfId="25627" applyFont="1" applyFill="1" applyBorder="1" applyAlignment="1" applyProtection="1">
      <alignment horizontal="center" vertical="center"/>
      <protection hidden="1"/>
    </xf>
    <xf numFmtId="49" fontId="42" fillId="0" borderId="12" xfId="25627" applyNumberFormat="1" applyFont="1" applyFill="1" applyBorder="1" applyAlignment="1" applyProtection="1">
      <alignment horizontal="center" vertical="center" wrapText="1"/>
    </xf>
    <xf numFmtId="3" fontId="42" fillId="0" borderId="87" xfId="25627" applyNumberFormat="1" applyFont="1" applyFill="1" applyBorder="1" applyAlignment="1" applyProtection="1">
      <alignment horizontal="center" vertical="center" wrapText="1"/>
    </xf>
    <xf numFmtId="3" fontId="101" fillId="0" borderId="61" xfId="25627" applyNumberFormat="1" applyFont="1" applyFill="1" applyBorder="1" applyAlignment="1" applyProtection="1">
      <alignment horizontal="center" vertical="center" wrapText="1"/>
    </xf>
    <xf numFmtId="49" fontId="42" fillId="66" borderId="87" xfId="25627" applyNumberFormat="1" applyFont="1" applyFill="1" applyBorder="1" applyAlignment="1" applyProtection="1">
      <alignment horizontal="left" vertical="center"/>
      <protection hidden="1"/>
    </xf>
    <xf numFmtId="49" fontId="42" fillId="0" borderId="87" xfId="25627" applyNumberFormat="1" applyFont="1" applyBorder="1" applyAlignment="1" applyProtection="1">
      <alignment horizontal="center" vertical="center"/>
    </xf>
    <xf numFmtId="49" fontId="42" fillId="0" borderId="91" xfId="25627" applyNumberFormat="1" applyFont="1" applyBorder="1" applyAlignment="1" applyProtection="1">
      <alignment horizontal="center" vertical="center"/>
    </xf>
    <xf numFmtId="49" fontId="42" fillId="0" borderId="12" xfId="13344" applyNumberFormat="1" applyFont="1" applyFill="1" applyBorder="1" applyAlignment="1" applyProtection="1">
      <alignment horizontal="center" vertical="center" wrapText="1"/>
      <protection hidden="1"/>
    </xf>
    <xf numFmtId="3" fontId="0" fillId="0" borderId="57" xfId="2481" applyNumberFormat="1" applyFont="1" applyBorder="1" applyAlignment="1">
      <alignment horizontal="left"/>
    </xf>
    <xf numFmtId="180" fontId="0" fillId="0" borderId="0" xfId="63076" applyNumberFormat="1" applyFont="1"/>
    <xf numFmtId="0" fontId="15" fillId="0" borderId="0" xfId="2481" applyFont="1" applyBorder="1" applyAlignment="1">
      <alignment horizontal="right" vertical="top" wrapText="1"/>
    </xf>
    <xf numFmtId="0" fontId="0" fillId="0" borderId="87" xfId="0" applyNumberFormat="1" applyBorder="1"/>
    <xf numFmtId="3" fontId="0" fillId="0" borderId="87" xfId="0" applyNumberFormat="1" applyBorder="1"/>
    <xf numFmtId="4" fontId="101" fillId="0" borderId="0" xfId="25627" applyNumberFormat="1" applyFont="1" applyFill="1" applyBorder="1" applyAlignment="1" applyProtection="1">
      <alignment horizontal="left" vertical="center"/>
    </xf>
    <xf numFmtId="5" fontId="101" fillId="0" borderId="39" xfId="25627" applyNumberFormat="1" applyFont="1" applyFill="1" applyBorder="1" applyAlignment="1" applyProtection="1">
      <alignment horizontal="left" vertical="center"/>
    </xf>
    <xf numFmtId="1" fontId="101" fillId="0" borderId="0" xfId="25627" applyNumberFormat="1" applyFont="1" applyFill="1" applyBorder="1" applyAlignment="1" applyProtection="1">
      <alignment vertical="center"/>
    </xf>
    <xf numFmtId="14" fontId="118" fillId="70" borderId="49" xfId="2481" applyNumberFormat="1" applyFont="1" applyFill="1" applyBorder="1" applyAlignment="1" applyProtection="1">
      <protection locked="0" hidden="1"/>
    </xf>
    <xf numFmtId="0" fontId="105" fillId="0" borderId="0" xfId="25627" applyFont="1" applyFill="1" applyBorder="1" applyAlignment="1" applyProtection="1">
      <alignment vertical="center"/>
    </xf>
    <xf numFmtId="165" fontId="41" fillId="0" borderId="0" xfId="13344" applyNumberFormat="1" applyFill="1" applyAlignment="1" applyProtection="1">
      <alignment horizontal="left"/>
    </xf>
    <xf numFmtId="0" fontId="41" fillId="0" borderId="0" xfId="13344" applyFill="1" applyAlignment="1" applyProtection="1">
      <alignment horizontal="left"/>
    </xf>
    <xf numFmtId="3" fontId="105" fillId="0" borderId="0" xfId="25627" applyNumberFormat="1" applyFont="1" applyFill="1" applyBorder="1" applyAlignment="1" applyProtection="1">
      <alignment horizontal="left" vertical="center"/>
    </xf>
    <xf numFmtId="0" fontId="110" fillId="0" borderId="87" xfId="25627" applyFont="1" applyFill="1" applyBorder="1" applyAlignment="1" applyProtection="1">
      <alignment horizontal="right"/>
    </xf>
    <xf numFmtId="3" fontId="101" fillId="0" borderId="87" xfId="25627" applyNumberFormat="1" applyFont="1" applyFill="1" applyBorder="1" applyAlignment="1" applyProtection="1">
      <alignment horizontal="left"/>
    </xf>
    <xf numFmtId="0" fontId="1" fillId="0" borderId="87" xfId="25627" applyFont="1" applyFill="1" applyBorder="1" applyAlignment="1" applyProtection="1">
      <alignment horizontal="left"/>
    </xf>
    <xf numFmtId="0" fontId="101" fillId="0" borderId="36" xfId="25627" applyFont="1" applyFill="1" applyBorder="1" applyAlignment="1" applyProtection="1">
      <alignment horizontal="left" vertical="center" wrapText="1"/>
    </xf>
    <xf numFmtId="0" fontId="101" fillId="0" borderId="37" xfId="2553" applyFont="1" applyFill="1" applyBorder="1" applyAlignment="1" applyProtection="1">
      <alignment horizontal="left" vertical="center"/>
    </xf>
    <xf numFmtId="0" fontId="101" fillId="0" borderId="89" xfId="25627" applyFont="1" applyBorder="1" applyProtection="1"/>
    <xf numFmtId="0" fontId="101" fillId="0" borderId="88" xfId="25627" applyFont="1" applyBorder="1" applyProtection="1"/>
    <xf numFmtId="0" fontId="42" fillId="66" borderId="88" xfId="25627" applyFont="1" applyFill="1" applyBorder="1" applyAlignment="1" applyProtection="1">
      <alignment horizontal="left" vertical="center"/>
      <protection hidden="1"/>
    </xf>
    <xf numFmtId="0" fontId="101" fillId="0" borderId="90" xfId="25627" applyFont="1" applyBorder="1" applyProtection="1"/>
    <xf numFmtId="0" fontId="101" fillId="0" borderId="91" xfId="25627" applyFont="1" applyBorder="1" applyProtection="1"/>
    <xf numFmtId="0" fontId="101" fillId="0" borderId="92" xfId="25627" applyFont="1" applyBorder="1" applyProtection="1"/>
    <xf numFmtId="0" fontId="101" fillId="0" borderId="72" xfId="25627" applyFont="1" applyBorder="1" applyProtection="1"/>
    <xf numFmtId="0" fontId="101" fillId="0" borderId="73" xfId="25627" applyFont="1" applyBorder="1" applyProtection="1"/>
    <xf numFmtId="0" fontId="104" fillId="0" borderId="89" xfId="25627" applyFont="1" applyBorder="1" applyProtection="1"/>
    <xf numFmtId="0" fontId="104" fillId="0" borderId="87" xfId="25627" applyFont="1" applyBorder="1" applyProtection="1"/>
    <xf numFmtId="0" fontId="104" fillId="0" borderId="88" xfId="25627" applyFont="1" applyBorder="1" applyProtection="1"/>
    <xf numFmtId="179" fontId="101" fillId="0" borderId="92" xfId="25627" applyNumberFormat="1" applyFont="1" applyBorder="1" applyAlignment="1" applyProtection="1">
      <alignment horizontal="left"/>
    </xf>
    <xf numFmtId="0" fontId="118" fillId="0" borderId="0" xfId="2481" applyNumberFormat="1" applyFont="1" applyFill="1" applyBorder="1" applyAlignment="1" applyProtection="1">
      <protection locked="0" hidden="1"/>
    </xf>
    <xf numFmtId="3" fontId="0" fillId="71" borderId="87" xfId="2481" applyNumberFormat="1" applyFont="1" applyFill="1" applyBorder="1" applyProtection="1">
      <protection locked="0"/>
    </xf>
    <xf numFmtId="0" fontId="0" fillId="0" borderId="58" xfId="2481" applyFont="1" applyBorder="1" applyAlignment="1">
      <alignment wrapText="1"/>
    </xf>
    <xf numFmtId="49" fontId="105" fillId="0" borderId="0" xfId="25627" applyNumberFormat="1" applyFont="1" applyFill="1" applyBorder="1" applyAlignment="1" applyProtection="1">
      <alignment horizontal="left" vertical="center"/>
    </xf>
    <xf numFmtId="0" fontId="110" fillId="0" borderId="0" xfId="0" applyNumberFormat="1" applyFont="1" applyFill="1"/>
    <xf numFmtId="0" fontId="0" fillId="0" borderId="0" xfId="0" applyNumberFormat="1" applyFill="1"/>
    <xf numFmtId="0" fontId="151" fillId="0" borderId="0" xfId="0" applyNumberFormat="1" applyFont="1" applyFill="1"/>
    <xf numFmtId="0" fontId="13" fillId="0" borderId="0" xfId="0" applyNumberFormat="1" applyFont="1" applyFill="1"/>
    <xf numFmtId="3" fontId="42" fillId="0" borderId="91" xfId="25627" applyNumberFormat="1" applyFont="1" applyBorder="1" applyAlignment="1" applyProtection="1">
      <alignment horizontal="center" vertical="center" wrapText="1"/>
    </xf>
    <xf numFmtId="49" fontId="101" fillId="0" borderId="60" xfId="25627" applyNumberFormat="1" applyFont="1" applyBorder="1" applyAlignment="1" applyProtection="1">
      <alignment horizontal="center"/>
    </xf>
    <xf numFmtId="49" fontId="78" fillId="0" borderId="60" xfId="46025" applyNumberFormat="1" applyBorder="1" applyAlignment="1" applyProtection="1">
      <alignment horizontal="center"/>
    </xf>
    <xf numFmtId="49" fontId="78" fillId="79" borderId="94" xfId="46025" applyNumberFormat="1" applyFill="1" applyBorder="1" applyAlignment="1" applyProtection="1">
      <alignment horizontal="center"/>
    </xf>
    <xf numFmtId="49" fontId="78" fillId="0" borderId="92" xfId="46025" applyNumberFormat="1" applyBorder="1" applyAlignment="1" applyProtection="1">
      <alignment horizontal="center"/>
    </xf>
    <xf numFmtId="49" fontId="101" fillId="0" borderId="12" xfId="25627" applyNumberFormat="1" applyFont="1" applyBorder="1" applyAlignment="1" applyProtection="1">
      <alignment horizontal="center" vertical="center"/>
    </xf>
    <xf numFmtId="49" fontId="101" fillId="0" borderId="57" xfId="25627" applyNumberFormat="1" applyFont="1" applyBorder="1" applyAlignment="1" applyProtection="1">
      <alignment horizontal="center" vertical="center"/>
    </xf>
    <xf numFmtId="49" fontId="101" fillId="0" borderId="47" xfId="25627" applyNumberFormat="1" applyFont="1" applyBorder="1" applyAlignment="1" applyProtection="1">
      <alignment horizontal="center" vertical="center"/>
    </xf>
    <xf numFmtId="49" fontId="42" fillId="66" borderId="87" xfId="25627" applyNumberFormat="1" applyFont="1" applyFill="1" applyBorder="1" applyAlignment="1" applyProtection="1">
      <alignment horizontal="center" vertical="center" wrapText="1"/>
    </xf>
    <xf numFmtId="49" fontId="42" fillId="0" borderId="12" xfId="25627" applyNumberFormat="1" applyFont="1" applyBorder="1" applyAlignment="1" applyProtection="1">
      <alignment horizontal="center" vertical="center"/>
    </xf>
    <xf numFmtId="49" fontId="42" fillId="0" borderId="47" xfId="25627" applyNumberFormat="1" applyFont="1" applyBorder="1" applyAlignment="1" applyProtection="1">
      <alignment horizontal="center" vertical="center"/>
    </xf>
    <xf numFmtId="3" fontId="101" fillId="0" borderId="87" xfId="25627" applyNumberFormat="1" applyFont="1" applyFill="1" applyBorder="1" applyAlignment="1" applyProtection="1">
      <alignment horizontal="center" vertical="center"/>
    </xf>
    <xf numFmtId="3" fontId="101" fillId="0" borderId="91" xfId="25627" applyNumberFormat="1" applyFont="1" applyFill="1" applyBorder="1" applyAlignment="1" applyProtection="1">
      <alignment horizontal="center" vertical="center"/>
    </xf>
    <xf numFmtId="3" fontId="42" fillId="66" borderId="87" xfId="25627" applyNumberFormat="1" applyFont="1" applyFill="1" applyBorder="1" applyAlignment="1" applyProtection="1">
      <alignment horizontal="center" vertical="center"/>
      <protection hidden="1"/>
    </xf>
    <xf numFmtId="10" fontId="101" fillId="0" borderId="12" xfId="25627" applyNumberFormat="1" applyFont="1" applyBorder="1" applyAlignment="1" applyProtection="1">
      <alignment horizontal="center" vertical="center" wrapText="1"/>
    </xf>
    <xf numFmtId="10" fontId="111" fillId="0" borderId="12" xfId="25627" applyNumberFormat="1" applyFont="1" applyFill="1" applyBorder="1" applyAlignment="1" applyProtection="1">
      <alignment horizontal="center" vertical="center"/>
    </xf>
    <xf numFmtId="10" fontId="111" fillId="66" borderId="57" xfId="25627" applyNumberFormat="1" applyFont="1" applyFill="1" applyBorder="1" applyAlignment="1" applyProtection="1">
      <alignment horizontal="center" vertical="center"/>
    </xf>
    <xf numFmtId="10" fontId="101" fillId="0" borderId="87" xfId="25627" applyNumberFormat="1" applyFont="1" applyBorder="1" applyProtection="1"/>
    <xf numFmtId="10" fontId="42" fillId="0" borderId="12" xfId="13344" applyNumberFormat="1" applyFont="1" applyFill="1" applyBorder="1" applyAlignment="1" applyProtection="1">
      <alignment horizontal="center" vertical="center" wrapText="1"/>
      <protection hidden="1"/>
    </xf>
    <xf numFmtId="10" fontId="42" fillId="0" borderId="87" xfId="13344" applyNumberFormat="1" applyFont="1" applyFill="1" applyBorder="1" applyAlignment="1" applyProtection="1">
      <alignment horizontal="center" vertical="center" wrapText="1"/>
      <protection hidden="1"/>
    </xf>
    <xf numFmtId="10" fontId="42" fillId="66" borderId="12" xfId="25627" applyNumberFormat="1" applyFont="1" applyFill="1" applyBorder="1" applyAlignment="1" applyProtection="1">
      <alignment horizontal="left" vertical="center"/>
      <protection hidden="1"/>
    </xf>
    <xf numFmtId="10" fontId="42" fillId="66" borderId="87" xfId="25627" applyNumberFormat="1" applyFont="1" applyFill="1" applyBorder="1" applyAlignment="1" applyProtection="1">
      <alignment horizontal="left" vertical="center"/>
      <protection hidden="1"/>
    </xf>
    <xf numFmtId="10" fontId="42" fillId="0" borderId="91" xfId="25627" applyNumberFormat="1" applyFont="1" applyFill="1" applyBorder="1" applyAlignment="1" applyProtection="1">
      <alignment horizontal="left" vertical="center"/>
      <protection hidden="1"/>
    </xf>
    <xf numFmtId="10" fontId="42" fillId="0" borderId="47" xfId="25627" applyNumberFormat="1" applyFont="1" applyBorder="1" applyAlignment="1" applyProtection="1">
      <alignment horizontal="center" vertical="center" wrapText="1"/>
    </xf>
    <xf numFmtId="10" fontId="42" fillId="0" borderId="87" xfId="25627" applyNumberFormat="1" applyFont="1" applyFill="1" applyBorder="1" applyAlignment="1" applyProtection="1">
      <alignment horizontal="center" vertical="center" wrapText="1"/>
    </xf>
    <xf numFmtId="10" fontId="42" fillId="0" borderId="91" xfId="25627" applyNumberFormat="1" applyFont="1" applyFill="1" applyBorder="1" applyAlignment="1" applyProtection="1">
      <alignment horizontal="center" vertical="center"/>
      <protection hidden="1"/>
    </xf>
    <xf numFmtId="3" fontId="42" fillId="0" borderId="47" xfId="25627" applyNumberFormat="1" applyFont="1" applyBorder="1" applyAlignment="1" applyProtection="1">
      <alignment horizontal="center" vertical="center" wrapText="1"/>
    </xf>
    <xf numFmtId="3" fontId="42" fillId="0" borderId="48" xfId="25627" applyNumberFormat="1" applyFont="1" applyBorder="1" applyAlignment="1" applyProtection="1">
      <alignment horizontal="center" vertical="center" wrapText="1"/>
    </xf>
    <xf numFmtId="0" fontId="42" fillId="0" borderId="97" xfId="25627" applyFont="1" applyFill="1" applyBorder="1" applyAlignment="1" applyProtection="1">
      <alignment horizontal="center" vertical="center"/>
    </xf>
    <xf numFmtId="0" fontId="105" fillId="0" borderId="17" xfId="25627" applyFont="1" applyFill="1" applyBorder="1" applyAlignment="1" applyProtection="1">
      <alignment horizontal="center" vertical="center"/>
    </xf>
    <xf numFmtId="0" fontId="42" fillId="0" borderId="17" xfId="25627" applyFont="1" applyFill="1" applyBorder="1" applyAlignment="1" applyProtection="1">
      <alignment horizontal="center" vertical="center"/>
    </xf>
    <xf numFmtId="0" fontId="42" fillId="0" borderId="17" xfId="25627" applyFont="1" applyBorder="1" applyAlignment="1" applyProtection="1">
      <alignment horizontal="center" vertical="center"/>
    </xf>
    <xf numFmtId="0" fontId="42" fillId="66" borderId="17" xfId="25627" applyFont="1" applyFill="1" applyBorder="1" applyAlignment="1" applyProtection="1">
      <alignment horizontal="left" vertical="center"/>
      <protection hidden="1"/>
    </xf>
    <xf numFmtId="10" fontId="42" fillId="66" borderId="17" xfId="25627" applyNumberFormat="1" applyFont="1" applyFill="1" applyBorder="1" applyAlignment="1" applyProtection="1">
      <alignment horizontal="left" vertical="center"/>
      <protection hidden="1"/>
    </xf>
    <xf numFmtId="4" fontId="42" fillId="0" borderId="17" xfId="25627" applyNumberFormat="1" applyFont="1" applyBorder="1" applyAlignment="1" applyProtection="1">
      <alignment horizontal="center" vertical="center" wrapText="1"/>
    </xf>
    <xf numFmtId="4" fontId="42" fillId="0" borderId="98" xfId="25627" applyNumberFormat="1" applyFont="1" applyBorder="1" applyAlignment="1" applyProtection="1">
      <alignment horizontal="center" vertical="center" wrapText="1"/>
    </xf>
    <xf numFmtId="0" fontId="115" fillId="0" borderId="45" xfId="25627" applyFont="1" applyFill="1" applyBorder="1" applyAlignment="1" applyProtection="1">
      <alignment horizontal="center" vertical="center"/>
    </xf>
    <xf numFmtId="0" fontId="115" fillId="0" borderId="16" xfId="25627" applyFont="1" applyFill="1" applyBorder="1" applyAlignment="1" applyProtection="1">
      <alignment horizontal="center" vertical="center"/>
    </xf>
    <xf numFmtId="49" fontId="42" fillId="0" borderId="16" xfId="13344" applyNumberFormat="1" applyFont="1" applyFill="1" applyBorder="1" applyAlignment="1" applyProtection="1">
      <alignment horizontal="center" vertical="center" wrapText="1"/>
      <protection hidden="1"/>
    </xf>
    <xf numFmtId="0" fontId="42" fillId="0" borderId="16" xfId="46025" applyFont="1" applyBorder="1" applyAlignment="1" applyProtection="1">
      <alignment horizontal="center"/>
    </xf>
    <xf numFmtId="49" fontId="42" fillId="0" borderId="16" xfId="25627" applyNumberFormat="1" applyFont="1" applyBorder="1" applyAlignment="1" applyProtection="1">
      <alignment horizontal="center" vertical="center"/>
    </xf>
    <xf numFmtId="49" fontId="101" fillId="34" borderId="16" xfId="25627" applyNumberFormat="1" applyFont="1" applyFill="1" applyBorder="1" applyAlignment="1" applyProtection="1">
      <alignment horizontal="center" vertical="center"/>
    </xf>
    <xf numFmtId="0" fontId="42" fillId="0" borderId="16" xfId="13344" applyFont="1" applyFill="1" applyBorder="1" applyAlignment="1" applyProtection="1">
      <alignment horizontal="center" vertical="center"/>
      <protection hidden="1"/>
    </xf>
    <xf numFmtId="3" fontId="42" fillId="67" borderId="16" xfId="25627" applyNumberFormat="1" applyFont="1" applyFill="1" applyBorder="1" applyAlignment="1" applyProtection="1">
      <alignment horizontal="center" vertical="center" wrapText="1"/>
    </xf>
    <xf numFmtId="0" fontId="42" fillId="0" borderId="16" xfId="25627" applyFont="1" applyFill="1" applyBorder="1" applyAlignment="1" applyProtection="1">
      <alignment horizontal="center" vertical="center" wrapText="1"/>
    </xf>
    <xf numFmtId="3" fontId="42" fillId="0" borderId="16" xfId="25627" applyNumberFormat="1" applyFont="1" applyFill="1" applyBorder="1" applyAlignment="1" applyProtection="1">
      <alignment horizontal="center" vertical="center"/>
    </xf>
    <xf numFmtId="3" fontId="42" fillId="0" borderId="16" xfId="13344" applyNumberFormat="1" applyFont="1" applyFill="1" applyBorder="1" applyAlignment="1" applyProtection="1">
      <alignment horizontal="center" vertical="center" wrapText="1"/>
      <protection hidden="1"/>
    </xf>
    <xf numFmtId="0" fontId="42" fillId="66" borderId="16" xfId="25627" applyFont="1" applyFill="1" applyBorder="1" applyAlignment="1" applyProtection="1">
      <alignment horizontal="left" vertical="center"/>
      <protection hidden="1"/>
    </xf>
    <xf numFmtId="0" fontId="42" fillId="0" borderId="16" xfId="25627" applyFont="1" applyFill="1" applyBorder="1" applyAlignment="1" applyProtection="1">
      <alignment horizontal="left" vertical="center"/>
      <protection hidden="1"/>
    </xf>
    <xf numFmtId="49" fontId="42" fillId="0" borderId="16" xfId="25627" applyNumberFormat="1" applyFont="1" applyFill="1" applyBorder="1" applyAlignment="1" applyProtection="1">
      <alignment horizontal="center" vertical="center"/>
      <protection hidden="1"/>
    </xf>
    <xf numFmtId="0" fontId="42" fillId="0" borderId="16" xfId="13344" applyFont="1" applyFill="1" applyBorder="1" applyAlignment="1" applyProtection="1">
      <alignment horizontal="center" vertical="center" wrapText="1"/>
      <protection hidden="1"/>
    </xf>
    <xf numFmtId="3" fontId="42" fillId="0" borderId="16" xfId="25627" applyNumberFormat="1" applyFont="1" applyBorder="1" applyAlignment="1" applyProtection="1">
      <alignment horizontal="center" vertical="center" wrapText="1"/>
    </xf>
    <xf numFmtId="10" fontId="42" fillId="0" borderId="16" xfId="13344" applyNumberFormat="1" applyFont="1" applyFill="1" applyBorder="1" applyAlignment="1" applyProtection="1">
      <alignment horizontal="center" vertical="center" wrapText="1"/>
      <protection hidden="1"/>
    </xf>
    <xf numFmtId="3" fontId="42" fillId="0" borderId="68" xfId="25627" applyNumberFormat="1" applyFont="1" applyBorder="1" applyAlignment="1" applyProtection="1">
      <alignment horizontal="center" vertical="center" wrapText="1"/>
    </xf>
    <xf numFmtId="0" fontId="42" fillId="0" borderId="99" xfId="46025" applyFont="1" applyBorder="1" applyAlignment="1" applyProtection="1">
      <alignment horizontal="center"/>
    </xf>
    <xf numFmtId="4" fontId="42" fillId="0" borderId="87" xfId="25627" applyNumberFormat="1" applyFont="1" applyFill="1" applyBorder="1" applyAlignment="1" applyProtection="1">
      <alignment horizontal="center" vertical="center" wrapText="1"/>
    </xf>
    <xf numFmtId="0" fontId="113" fillId="0" borderId="87" xfId="25627" applyFont="1" applyFill="1" applyBorder="1" applyAlignment="1" applyProtection="1">
      <alignment horizontal="center" vertical="center" wrapText="1"/>
    </xf>
    <xf numFmtId="49" fontId="42" fillId="66" borderId="91" xfId="25627" applyNumberFormat="1" applyFont="1" applyFill="1" applyBorder="1" applyAlignment="1" applyProtection="1">
      <alignment horizontal="left" vertical="center"/>
      <protection hidden="1"/>
    </xf>
    <xf numFmtId="10" fontId="42" fillId="66" borderId="91" xfId="25627" applyNumberFormat="1" applyFont="1" applyFill="1" applyBorder="1" applyAlignment="1" applyProtection="1">
      <alignment horizontal="left" vertical="center"/>
      <protection hidden="1"/>
    </xf>
    <xf numFmtId="3" fontId="146" fillId="0" borderId="0" xfId="13371" applyNumberFormat="1" applyFont="1" applyFill="1"/>
    <xf numFmtId="49" fontId="0" fillId="0" borderId="0" xfId="0" quotePrefix="1" applyNumberFormat="1"/>
    <xf numFmtId="3" fontId="111" fillId="67" borderId="12" xfId="25627" applyNumberFormat="1" applyFont="1" applyFill="1" applyBorder="1" applyAlignment="1" applyProtection="1">
      <alignment horizontal="center" vertical="center"/>
    </xf>
    <xf numFmtId="3" fontId="111" fillId="67" borderId="87" xfId="25627" applyNumberFormat="1" applyFont="1" applyFill="1" applyBorder="1" applyAlignment="1" applyProtection="1">
      <alignment horizontal="center" vertical="center"/>
    </xf>
    <xf numFmtId="3" fontId="111" fillId="66" borderId="87" xfId="25627" applyNumberFormat="1" applyFont="1" applyFill="1" applyBorder="1" applyAlignment="1" applyProtection="1">
      <alignment horizontal="center" vertical="center"/>
    </xf>
    <xf numFmtId="3" fontId="111" fillId="67" borderId="91" xfId="25627" applyNumberFormat="1" applyFont="1" applyFill="1" applyBorder="1" applyAlignment="1" applyProtection="1">
      <alignment horizontal="center" vertical="center"/>
    </xf>
    <xf numFmtId="49" fontId="101" fillId="0" borderId="95" xfId="25627" applyNumberFormat="1" applyFont="1" applyFill="1" applyBorder="1" applyAlignment="1" applyProtection="1">
      <alignment horizontal="center" vertical="center" wrapText="1"/>
    </xf>
    <xf numFmtId="49" fontId="42" fillId="0" borderId="87" xfId="25627" applyNumberFormat="1" applyFont="1" applyFill="1" applyBorder="1" applyAlignment="1" applyProtection="1">
      <alignment horizontal="center" vertical="center" wrapText="1"/>
    </xf>
    <xf numFmtId="49" fontId="42" fillId="0" borderId="87" xfId="25627" applyNumberFormat="1" applyFont="1" applyFill="1" applyBorder="1" applyAlignment="1" applyProtection="1">
      <alignment horizontal="left" vertical="center"/>
      <protection hidden="1"/>
    </xf>
    <xf numFmtId="49" fontId="42" fillId="0" borderId="16" xfId="25627" applyNumberFormat="1" applyFont="1" applyFill="1" applyBorder="1" applyAlignment="1" applyProtection="1">
      <alignment horizontal="center" vertical="center" wrapText="1"/>
    </xf>
    <xf numFmtId="49" fontId="42" fillId="0" borderId="91" xfId="25627" applyNumberFormat="1" applyFont="1" applyFill="1" applyBorder="1" applyAlignment="1" applyProtection="1">
      <alignment horizontal="left" vertical="center"/>
      <protection hidden="1"/>
    </xf>
    <xf numFmtId="14" fontId="0" fillId="0" borderId="0" xfId="0" applyNumberFormat="1"/>
    <xf numFmtId="164" fontId="15" fillId="0" borderId="0" xfId="0" applyFont="1"/>
    <xf numFmtId="49" fontId="101" fillId="0" borderId="12" xfId="25627" applyNumberFormat="1" applyFont="1" applyFill="1" applyBorder="1" applyAlignment="1" applyProtection="1">
      <alignment horizontal="center" vertical="center" wrapText="1"/>
    </xf>
    <xf numFmtId="49" fontId="111" fillId="66" borderId="57" xfId="25627" applyNumberFormat="1" applyFont="1" applyFill="1" applyBorder="1" applyAlignment="1" applyProtection="1">
      <alignment horizontal="center" vertical="center"/>
    </xf>
    <xf numFmtId="49" fontId="101" fillId="0" borderId="91" xfId="25627" applyNumberFormat="1" applyFont="1" applyBorder="1" applyAlignment="1" applyProtection="1">
      <alignment horizontal="center" vertical="center"/>
    </xf>
    <xf numFmtId="0" fontId="100" fillId="0" borderId="34" xfId="25627" applyFont="1" applyBorder="1" applyProtection="1"/>
    <xf numFmtId="49" fontId="42" fillId="0" borderId="91" xfId="13344" applyNumberFormat="1" applyFont="1" applyFill="1" applyBorder="1" applyAlignment="1" applyProtection="1">
      <alignment horizontal="center" vertical="center" wrapText="1"/>
      <protection hidden="1"/>
    </xf>
    <xf numFmtId="49" fontId="42" fillId="66" borderId="47" xfId="25627" applyNumberFormat="1" applyFont="1" applyFill="1" applyBorder="1" applyAlignment="1" applyProtection="1">
      <alignment horizontal="left" vertical="center"/>
      <protection hidden="1"/>
    </xf>
    <xf numFmtId="49" fontId="42" fillId="66" borderId="87" xfId="13344" applyNumberFormat="1" applyFont="1" applyFill="1" applyBorder="1" applyAlignment="1" applyProtection="1">
      <alignment horizontal="center" vertical="center"/>
      <protection hidden="1"/>
    </xf>
    <xf numFmtId="49" fontId="42" fillId="0" borderId="47" xfId="25627" applyNumberFormat="1" applyFont="1" applyFill="1" applyBorder="1" applyAlignment="1" applyProtection="1">
      <alignment horizontal="left" vertical="center"/>
      <protection hidden="1"/>
    </xf>
    <xf numFmtId="0" fontId="101" fillId="0" borderId="87" xfId="25627" applyFont="1" applyBorder="1" applyAlignment="1" applyProtection="1">
      <alignment horizontal="center"/>
    </xf>
    <xf numFmtId="174" fontId="104" fillId="0" borderId="34" xfId="25627" applyNumberFormat="1" applyFont="1" applyBorder="1" applyProtection="1"/>
    <xf numFmtId="3" fontId="42" fillId="0" borderId="44" xfId="25627" applyNumberFormat="1" applyFont="1" applyFill="1" applyBorder="1" applyAlignment="1" applyProtection="1">
      <alignment horizontal="center" vertical="center" wrapText="1"/>
    </xf>
    <xf numFmtId="3" fontId="42" fillId="0" borderId="93" xfId="25627" applyNumberFormat="1" applyFont="1" applyBorder="1" applyAlignment="1" applyProtection="1">
      <alignment horizontal="center" vertical="center" wrapText="1"/>
    </xf>
    <xf numFmtId="4" fontId="78" fillId="0" borderId="87" xfId="46025" applyNumberFormat="1" applyBorder="1" applyProtection="1"/>
    <xf numFmtId="4" fontId="101" fillId="0" borderId="66" xfId="25627" applyNumberFormat="1" applyFont="1" applyBorder="1" applyAlignment="1" applyProtection="1">
      <alignment horizontal="center" vertical="center" wrapText="1"/>
    </xf>
    <xf numFmtId="4" fontId="42" fillId="0" borderId="91" xfId="25627" applyNumberFormat="1" applyFont="1" applyBorder="1" applyAlignment="1" applyProtection="1">
      <alignment horizontal="center" vertical="center" wrapText="1"/>
    </xf>
    <xf numFmtId="4" fontId="42" fillId="0" borderId="92" xfId="25627" applyNumberFormat="1" applyFont="1" applyBorder="1" applyAlignment="1" applyProtection="1">
      <alignment horizontal="center" vertical="center" wrapText="1"/>
    </xf>
    <xf numFmtId="4" fontId="42" fillId="0" borderId="12" xfId="25627" applyNumberFormat="1" applyFont="1" applyBorder="1" applyAlignment="1" applyProtection="1">
      <alignment horizontal="center" vertical="center" wrapText="1"/>
    </xf>
    <xf numFmtId="4" fontId="42" fillId="0" borderId="95" xfId="25627" applyNumberFormat="1" applyFont="1" applyBorder="1" applyAlignment="1" applyProtection="1">
      <alignment horizontal="center" vertical="center" wrapText="1"/>
    </xf>
    <xf numFmtId="4" fontId="42" fillId="0" borderId="47" xfId="25627" applyNumberFormat="1" applyFont="1" applyBorder="1" applyAlignment="1" applyProtection="1">
      <alignment horizontal="center" vertical="center" wrapText="1"/>
    </xf>
    <xf numFmtId="4" fontId="42" fillId="0" borderId="48" xfId="25627" applyNumberFormat="1" applyFont="1" applyBorder="1" applyAlignment="1" applyProtection="1">
      <alignment horizontal="center" vertical="center" wrapText="1"/>
    </xf>
    <xf numFmtId="4" fontId="42" fillId="0" borderId="44" xfId="25627" applyNumberFormat="1" applyFont="1" applyBorder="1" applyAlignment="1" applyProtection="1">
      <alignment horizontal="center" vertical="center" wrapText="1"/>
    </xf>
    <xf numFmtId="4" fontId="42" fillId="0" borderId="87" xfId="25627" applyNumberFormat="1" applyFont="1" applyBorder="1" applyAlignment="1" applyProtection="1">
      <alignment horizontal="center" vertical="center" wrapText="1"/>
    </xf>
    <xf numFmtId="4" fontId="42" fillId="0" borderId="88" xfId="25627" applyNumberFormat="1" applyFont="1" applyBorder="1" applyAlignment="1" applyProtection="1">
      <alignment horizontal="center" vertical="center" wrapText="1"/>
    </xf>
    <xf numFmtId="4" fontId="42" fillId="0" borderId="88" xfId="46025" applyNumberFormat="1" applyFont="1" applyBorder="1" applyAlignment="1" applyProtection="1">
      <alignment horizontal="center"/>
    </xf>
    <xf numFmtId="4" fontId="101" fillId="0" borderId="87" xfId="25627" applyNumberFormat="1" applyFont="1" applyBorder="1" applyAlignment="1" applyProtection="1">
      <alignment horizontal="center" vertical="center" wrapText="1"/>
    </xf>
    <xf numFmtId="10" fontId="0" fillId="0" borderId="0" xfId="0" applyNumberFormat="1"/>
    <xf numFmtId="49" fontId="42" fillId="0" borderId="91" xfId="13344" applyNumberFormat="1" applyFont="1" applyFill="1" applyBorder="1" applyAlignment="1" applyProtection="1">
      <alignment horizontal="center" vertical="center"/>
      <protection hidden="1"/>
    </xf>
    <xf numFmtId="0" fontId="146" fillId="0" borderId="83" xfId="2481" applyFont="1" applyFill="1" applyBorder="1"/>
    <xf numFmtId="3" fontId="0" fillId="0" borderId="87" xfId="2481" applyNumberFormat="1" applyFont="1" applyFill="1" applyBorder="1"/>
    <xf numFmtId="3" fontId="0" fillId="0" borderId="64" xfId="2481" applyNumberFormat="1" applyFont="1" applyFill="1" applyBorder="1"/>
    <xf numFmtId="0" fontId="1" fillId="0" borderId="0" xfId="2481" applyFill="1" applyAlignment="1">
      <alignment horizontal="right"/>
    </xf>
    <xf numFmtId="0" fontId="15" fillId="0" borderId="0" xfId="2481" applyFont="1" applyFill="1" applyAlignment="1">
      <alignment horizontal="right"/>
    </xf>
    <xf numFmtId="0" fontId="148" fillId="0" borderId="0" xfId="2481" applyFont="1" applyFill="1" applyAlignment="1">
      <alignment horizontal="center"/>
    </xf>
    <xf numFmtId="3" fontId="1" fillId="0" borderId="0" xfId="2481" applyNumberFormat="1" applyFill="1"/>
    <xf numFmtId="3" fontId="1" fillId="0" borderId="0" xfId="2481" applyNumberFormat="1" applyFill="1" applyAlignment="1">
      <alignment horizontal="right"/>
    </xf>
    <xf numFmtId="178" fontId="146" fillId="0" borderId="0" xfId="2481" applyNumberFormat="1" applyFont="1" applyFill="1"/>
    <xf numFmtId="3" fontId="42" fillId="0" borderId="16" xfId="25627" applyNumberFormat="1" applyFont="1" applyFill="1" applyBorder="1" applyAlignment="1" applyProtection="1">
      <alignment horizontal="left" vertical="center"/>
      <protection hidden="1"/>
    </xf>
    <xf numFmtId="3" fontId="42" fillId="0" borderId="87" xfId="25627" applyNumberFormat="1" applyFont="1" applyFill="1" applyBorder="1" applyAlignment="1" applyProtection="1">
      <alignment horizontal="left" vertical="center"/>
      <protection hidden="1"/>
    </xf>
    <xf numFmtId="3" fontId="42" fillId="66" borderId="87" xfId="25627" applyNumberFormat="1" applyFont="1" applyFill="1" applyBorder="1" applyAlignment="1" applyProtection="1">
      <alignment horizontal="left" vertical="center"/>
      <protection hidden="1"/>
    </xf>
    <xf numFmtId="3" fontId="42" fillId="66" borderId="12" xfId="25627" applyNumberFormat="1" applyFont="1" applyFill="1" applyBorder="1" applyAlignment="1" applyProtection="1">
      <alignment horizontal="left" vertical="center"/>
      <protection hidden="1"/>
    </xf>
    <xf numFmtId="3" fontId="42" fillId="0" borderId="91" xfId="25627" applyNumberFormat="1" applyFont="1" applyFill="1" applyBorder="1" applyAlignment="1" applyProtection="1">
      <alignment horizontal="left" vertical="center"/>
      <protection hidden="1"/>
    </xf>
    <xf numFmtId="3" fontId="0" fillId="0" borderId="58" xfId="2481" applyNumberFormat="1" applyFont="1" applyFill="1" applyBorder="1" applyAlignment="1">
      <alignment horizontal="center"/>
    </xf>
    <xf numFmtId="0" fontId="0" fillId="0" borderId="0" xfId="2481" applyFont="1" applyBorder="1" applyAlignment="1">
      <alignment wrapText="1"/>
    </xf>
    <xf numFmtId="0" fontId="153" fillId="0" borderId="0" xfId="0" applyNumberFormat="1" applyFont="1" applyAlignment="1">
      <alignment vertical="center"/>
    </xf>
    <xf numFmtId="0" fontId="15" fillId="0" borderId="0" xfId="2481" applyFont="1" applyBorder="1" applyAlignment="1"/>
    <xf numFmtId="3" fontId="19" fillId="0" borderId="0" xfId="2481" applyNumberFormat="1" applyFont="1" applyBorder="1" applyAlignment="1"/>
    <xf numFmtId="0" fontId="15" fillId="0" borderId="0" xfId="2481" applyFont="1" applyBorder="1" applyAlignment="1">
      <alignment vertical="top"/>
    </xf>
    <xf numFmtId="164" fontId="0" fillId="0" borderId="0" xfId="0" applyAlignment="1">
      <alignment wrapText="1"/>
    </xf>
    <xf numFmtId="0" fontId="1" fillId="0" borderId="87" xfId="2481" applyBorder="1" applyAlignment="1">
      <alignment horizontal="left"/>
    </xf>
    <xf numFmtId="3" fontId="146" fillId="0" borderId="87" xfId="2481" applyNumberFormat="1" applyFont="1" applyFill="1" applyBorder="1"/>
    <xf numFmtId="0" fontId="146" fillId="0" borderId="87" xfId="2481" applyFont="1" applyFill="1" applyBorder="1"/>
    <xf numFmtId="181" fontId="0" fillId="69" borderId="74" xfId="2481" applyNumberFormat="1" applyFont="1" applyFill="1" applyBorder="1" applyAlignment="1" applyProtection="1">
      <alignment horizontal="left"/>
      <protection locked="0"/>
    </xf>
    <xf numFmtId="181" fontId="0" fillId="69" borderId="75" xfId="2481" applyNumberFormat="1" applyFont="1" applyFill="1" applyBorder="1" applyAlignment="1" applyProtection="1">
      <alignment horizontal="left"/>
      <protection locked="0"/>
    </xf>
    <xf numFmtId="181" fontId="0" fillId="69" borderId="76" xfId="2481" applyNumberFormat="1" applyFont="1" applyFill="1" applyBorder="1" applyAlignment="1" applyProtection="1">
      <alignment horizontal="left"/>
      <protection locked="0"/>
    </xf>
    <xf numFmtId="181" fontId="0" fillId="0" borderId="77" xfId="2481" applyNumberFormat="1" applyFont="1" applyBorder="1" applyAlignment="1">
      <alignment horizontal="left"/>
    </xf>
    <xf numFmtId="181" fontId="0" fillId="69" borderId="78" xfId="2481" applyNumberFormat="1" applyFont="1" applyFill="1" applyBorder="1" applyAlignment="1" applyProtection="1">
      <alignment horizontal="left"/>
      <protection locked="0"/>
    </xf>
    <xf numFmtId="176" fontId="0" fillId="69" borderId="58" xfId="2481" applyNumberFormat="1" applyFont="1" applyFill="1" applyBorder="1" applyAlignment="1" applyProtection="1">
      <alignment horizontal="center"/>
      <protection locked="0"/>
    </xf>
    <xf numFmtId="176" fontId="146" fillId="0" borderId="87" xfId="2481" applyNumberFormat="1" applyFont="1" applyFill="1" applyBorder="1"/>
    <xf numFmtId="9" fontId="15" fillId="0" borderId="17" xfId="2481" applyNumberFormat="1" applyFont="1" applyBorder="1" applyAlignment="1">
      <alignment horizontal="left"/>
    </xf>
    <xf numFmtId="2" fontId="1" fillId="0" borderId="87" xfId="2481" applyNumberFormat="1" applyBorder="1" applyAlignment="1">
      <alignment horizontal="left"/>
    </xf>
    <xf numFmtId="2" fontId="1" fillId="0" borderId="87" xfId="2481" applyNumberFormat="1" applyBorder="1"/>
    <xf numFmtId="0" fontId="15" fillId="0" borderId="87" xfId="2481" applyFont="1" applyBorder="1" applyAlignment="1">
      <alignment horizontal="left"/>
    </xf>
    <xf numFmtId="14" fontId="15" fillId="0" borderId="87" xfId="2481" applyNumberFormat="1" applyFont="1" applyBorder="1" applyAlignment="1">
      <alignment horizontal="left"/>
    </xf>
    <xf numFmtId="0" fontId="1" fillId="0" borderId="87" xfId="2481" applyBorder="1"/>
    <xf numFmtId="0" fontId="0" fillId="0" borderId="87" xfId="2481" applyFont="1" applyBorder="1" applyAlignment="1">
      <alignment horizontal="left"/>
    </xf>
    <xf numFmtId="14" fontId="1" fillId="0" borderId="87" xfId="2481" applyNumberFormat="1" applyBorder="1" applyAlignment="1">
      <alignment horizontal="left"/>
    </xf>
    <xf numFmtId="3" fontId="0" fillId="0" borderId="58" xfId="2481" applyNumberFormat="1" applyFont="1" applyFill="1" applyBorder="1" applyAlignment="1"/>
    <xf numFmtId="3" fontId="0" fillId="65" borderId="87" xfId="2481" applyNumberFormat="1" applyFont="1" applyFill="1" applyBorder="1" applyProtection="1">
      <protection locked="0"/>
    </xf>
    <xf numFmtId="3" fontId="0" fillId="65" borderId="95" xfId="2481" applyNumberFormat="1" applyFont="1" applyFill="1" applyBorder="1" applyProtection="1">
      <protection locked="0"/>
    </xf>
    <xf numFmtId="3" fontId="0" fillId="71" borderId="96" xfId="2481" applyNumberFormat="1" applyFont="1" applyFill="1" applyBorder="1" applyProtection="1">
      <protection locked="0"/>
    </xf>
    <xf numFmtId="3" fontId="0" fillId="65" borderId="0" xfId="2481" applyNumberFormat="1" applyFont="1" applyFill="1" applyBorder="1" applyProtection="1">
      <protection locked="0"/>
    </xf>
    <xf numFmtId="0" fontId="0" fillId="65" borderId="87" xfId="2481" applyFont="1" applyFill="1" applyBorder="1" applyProtection="1">
      <protection locked="0"/>
    </xf>
    <xf numFmtId="3" fontId="0" fillId="0" borderId="0" xfId="2481" applyNumberFormat="1" applyFont="1" applyFill="1" applyBorder="1" applyProtection="1">
      <protection locked="0"/>
    </xf>
    <xf numFmtId="0" fontId="118" fillId="0" borderId="0" xfId="2481" applyFont="1" applyFill="1" applyBorder="1" applyAlignment="1" applyProtection="1">
      <alignment horizontal="right"/>
      <protection locked="0" hidden="1"/>
    </xf>
    <xf numFmtId="0" fontId="0" fillId="0" borderId="87" xfId="2481" applyFont="1" applyBorder="1" applyProtection="1"/>
    <xf numFmtId="0" fontId="1" fillId="0" borderId="87" xfId="2481" applyBorder="1" applyProtection="1"/>
    <xf numFmtId="0" fontId="21" fillId="80" borderId="0" xfId="2481" applyFont="1" applyFill="1" applyBorder="1" applyAlignment="1" applyProtection="1">
      <alignment horizontal="left"/>
      <protection locked="0"/>
    </xf>
    <xf numFmtId="3" fontId="19" fillId="80" borderId="87" xfId="2481" applyNumberFormat="1" applyFont="1" applyFill="1" applyBorder="1" applyAlignment="1" applyProtection="1">
      <alignment horizontal="right"/>
      <protection locked="0"/>
    </xf>
    <xf numFmtId="0" fontId="19" fillId="80" borderId="0" xfId="2481" applyFont="1" applyFill="1" applyAlignment="1" applyProtection="1">
      <alignment horizontal="right"/>
      <protection locked="0"/>
    </xf>
    <xf numFmtId="0" fontId="1" fillId="81" borderId="87" xfId="2481" applyFill="1" applyBorder="1" applyProtection="1">
      <protection locked="0"/>
    </xf>
    <xf numFmtId="0" fontId="0" fillId="81" borderId="87" xfId="2481" applyFont="1" applyFill="1" applyBorder="1" applyProtection="1"/>
    <xf numFmtId="0" fontId="0" fillId="0" borderId="87" xfId="2481" applyFont="1" applyBorder="1" applyProtection="1">
      <protection locked="0"/>
    </xf>
    <xf numFmtId="3" fontId="19" fillId="81" borderId="87" xfId="2481" applyNumberFormat="1" applyFont="1" applyFill="1" applyBorder="1" applyAlignment="1" applyProtection="1">
      <alignment horizontal="left"/>
      <protection locked="0"/>
    </xf>
    <xf numFmtId="3" fontId="19" fillId="81" borderId="87" xfId="2481" applyNumberFormat="1" applyFont="1" applyFill="1" applyBorder="1" applyProtection="1">
      <protection locked="0"/>
    </xf>
    <xf numFmtId="3" fontId="19" fillId="81" borderId="17" xfId="2481" applyNumberFormat="1" applyFont="1" applyFill="1" applyBorder="1" applyProtection="1">
      <protection locked="0"/>
    </xf>
    <xf numFmtId="3" fontId="145" fillId="81" borderId="82" xfId="2481" applyNumberFormat="1" applyFont="1" applyFill="1" applyBorder="1"/>
    <xf numFmtId="0" fontId="146" fillId="81" borderId="83" xfId="2481" applyFont="1" applyFill="1" applyBorder="1"/>
    <xf numFmtId="0" fontId="146" fillId="81" borderId="0" xfId="2481" applyFont="1" applyFill="1"/>
    <xf numFmtId="0" fontId="145" fillId="81" borderId="0" xfId="2481" applyFont="1" applyFill="1"/>
    <xf numFmtId="3" fontId="145" fillId="81" borderId="0" xfId="2481" applyNumberFormat="1" applyFont="1" applyFill="1"/>
    <xf numFmtId="0" fontId="147" fillId="81" borderId="0" xfId="2481" applyFont="1" applyFill="1"/>
    <xf numFmtId="3" fontId="147" fillId="81" borderId="0" xfId="2481" applyNumberFormat="1" applyFont="1" applyFill="1"/>
    <xf numFmtId="176" fontId="146" fillId="81" borderId="0" xfId="2481" applyNumberFormat="1" applyFont="1" applyFill="1"/>
    <xf numFmtId="176" fontId="149" fillId="81" borderId="0" xfId="2481" applyNumberFormat="1" applyFont="1" applyFill="1"/>
    <xf numFmtId="0" fontId="0" fillId="81" borderId="0" xfId="2481" applyFont="1" applyFill="1"/>
    <xf numFmtId="0" fontId="130" fillId="81" borderId="0" xfId="2481" applyFont="1" applyFill="1" applyProtection="1">
      <protection locked="0"/>
    </xf>
    <xf numFmtId="0" fontId="130" fillId="81" borderId="0" xfId="2481" applyFont="1" applyFill="1"/>
    <xf numFmtId="0" fontId="131" fillId="81" borderId="0" xfId="2481" applyFont="1" applyFill="1" applyProtection="1">
      <protection locked="0"/>
    </xf>
    <xf numFmtId="0" fontId="131" fillId="81" borderId="0" xfId="2481" applyFont="1" applyFill="1"/>
    <xf numFmtId="3" fontId="19" fillId="81" borderId="87" xfId="0" applyNumberFormat="1" applyFont="1" applyFill="1" applyBorder="1" applyAlignment="1" applyProtection="1">
      <alignment horizontal="left"/>
      <protection locked="0"/>
    </xf>
    <xf numFmtId="0" fontId="21" fillId="81" borderId="0" xfId="2481" applyFont="1" applyFill="1" applyProtection="1">
      <protection locked="0"/>
    </xf>
    <xf numFmtId="3" fontId="21" fillId="81" borderId="17" xfId="2481" applyNumberFormat="1" applyFont="1" applyFill="1" applyBorder="1" applyProtection="1">
      <protection locked="0"/>
    </xf>
    <xf numFmtId="176" fontId="146" fillId="71" borderId="0" xfId="2481" applyNumberFormat="1" applyFont="1" applyFill="1"/>
    <xf numFmtId="49" fontId="118" fillId="69" borderId="50" xfId="2481" applyNumberFormat="1" applyFont="1" applyFill="1" applyBorder="1" applyAlignment="1" applyProtection="1">
      <alignment horizontal="left"/>
      <protection locked="0"/>
    </xf>
    <xf numFmtId="49" fontId="118" fillId="69" borderId="51" xfId="2481" applyNumberFormat="1" applyFont="1" applyFill="1" applyBorder="1" applyAlignment="1" applyProtection="1">
      <alignment horizontal="left"/>
      <protection locked="0"/>
    </xf>
    <xf numFmtId="49" fontId="118" fillId="69" borderId="52" xfId="2481" applyNumberFormat="1" applyFont="1" applyFill="1" applyBorder="1" applyAlignment="1" applyProtection="1">
      <alignment horizontal="left"/>
      <protection locked="0"/>
    </xf>
    <xf numFmtId="0" fontId="120" fillId="63" borderId="33" xfId="2481" applyFont="1" applyFill="1" applyBorder="1" applyAlignment="1" applyProtection="1">
      <alignment vertical="center" wrapText="1"/>
      <protection hidden="1"/>
    </xf>
    <xf numFmtId="0" fontId="1" fillId="0" borderId="34" xfId="2481" applyBorder="1" applyAlignment="1">
      <alignment vertical="center" wrapText="1"/>
    </xf>
    <xf numFmtId="0" fontId="1" fillId="0" borderId="35" xfId="2481" applyBorder="1" applyAlignment="1">
      <alignment vertical="center" wrapText="1"/>
    </xf>
    <xf numFmtId="0" fontId="1" fillId="0" borderId="36" xfId="2481" applyBorder="1" applyAlignment="1">
      <alignment vertical="center" wrapText="1"/>
    </xf>
    <xf numFmtId="0" fontId="1" fillId="0" borderId="0" xfId="2481" applyBorder="1" applyAlignment="1">
      <alignment vertical="center" wrapText="1"/>
    </xf>
    <xf numFmtId="0" fontId="1" fillId="0" borderId="37" xfId="2481" applyBorder="1" applyAlignment="1">
      <alignment vertical="center" wrapText="1"/>
    </xf>
    <xf numFmtId="0" fontId="1" fillId="0" borderId="38" xfId="2481" applyBorder="1" applyAlignment="1">
      <alignment vertical="center" wrapText="1"/>
    </xf>
    <xf numFmtId="0" fontId="1" fillId="0" borderId="39" xfId="2481" applyBorder="1" applyAlignment="1">
      <alignment vertical="center" wrapText="1"/>
    </xf>
    <xf numFmtId="0" fontId="1" fillId="0" borderId="40" xfId="2481" applyBorder="1" applyAlignment="1">
      <alignment vertical="center" wrapText="1"/>
    </xf>
    <xf numFmtId="0" fontId="121" fillId="68" borderId="33" xfId="2481" applyFont="1" applyFill="1" applyBorder="1" applyAlignment="1" applyProtection="1">
      <alignment horizontal="center" vertical="top" wrapText="1"/>
      <protection hidden="1"/>
    </xf>
    <xf numFmtId="0" fontId="122" fillId="68" borderId="34" xfId="2481" applyFont="1" applyFill="1" applyBorder="1" applyAlignment="1">
      <alignment horizontal="center" vertical="top" wrapText="1"/>
    </xf>
    <xf numFmtId="0" fontId="122" fillId="68" borderId="35" xfId="2481" applyFont="1" applyFill="1" applyBorder="1" applyAlignment="1">
      <alignment horizontal="center" vertical="top" wrapText="1"/>
    </xf>
    <xf numFmtId="0" fontId="122" fillId="68" borderId="36" xfId="2481" applyFont="1" applyFill="1" applyBorder="1" applyAlignment="1">
      <alignment horizontal="center" vertical="top" wrapText="1"/>
    </xf>
    <xf numFmtId="0" fontId="122" fillId="68" borderId="0" xfId="2481" applyFont="1" applyFill="1" applyBorder="1" applyAlignment="1">
      <alignment horizontal="center" vertical="top" wrapText="1"/>
    </xf>
    <xf numFmtId="0" fontId="122" fillId="68" borderId="37" xfId="2481" applyFont="1" applyFill="1" applyBorder="1" applyAlignment="1">
      <alignment horizontal="center" vertical="top" wrapText="1"/>
    </xf>
    <xf numFmtId="0" fontId="122" fillId="68" borderId="38" xfId="2481" applyFont="1" applyFill="1" applyBorder="1" applyAlignment="1">
      <alignment horizontal="center" vertical="top" wrapText="1"/>
    </xf>
    <xf numFmtId="0" fontId="122" fillId="68" borderId="39" xfId="2481" applyFont="1" applyFill="1" applyBorder="1" applyAlignment="1">
      <alignment horizontal="center" vertical="top" wrapText="1"/>
    </xf>
    <xf numFmtId="0" fontId="122" fillId="68" borderId="40" xfId="2481" applyFont="1" applyFill="1" applyBorder="1" applyAlignment="1">
      <alignment horizontal="center" vertical="top" wrapText="1"/>
    </xf>
    <xf numFmtId="49" fontId="118" fillId="69" borderId="50" xfId="2481" applyNumberFormat="1" applyFont="1" applyFill="1" applyBorder="1" applyAlignment="1" applyProtection="1">
      <protection locked="0"/>
    </xf>
    <xf numFmtId="49" fontId="0" fillId="0" borderId="51" xfId="2481" applyNumberFormat="1" applyFont="1" applyBorder="1" applyAlignment="1" applyProtection="1">
      <protection locked="0"/>
    </xf>
    <xf numFmtId="49" fontId="0" fillId="0" borderId="52" xfId="2481" applyNumberFormat="1" applyFont="1" applyBorder="1" applyAlignment="1" applyProtection="1">
      <protection locked="0"/>
    </xf>
    <xf numFmtId="49" fontId="118" fillId="69" borderId="51" xfId="2481" applyNumberFormat="1" applyFont="1" applyFill="1" applyBorder="1" applyAlignment="1" applyProtection="1">
      <protection locked="0"/>
    </xf>
    <xf numFmtId="49" fontId="118" fillId="69" borderId="52" xfId="2481" applyNumberFormat="1" applyFont="1" applyFill="1" applyBorder="1" applyAlignment="1" applyProtection="1">
      <protection locked="0"/>
    </xf>
    <xf numFmtId="14" fontId="118" fillId="70" borderId="50" xfId="2481" applyNumberFormat="1" applyFont="1" applyFill="1" applyBorder="1" applyAlignment="1" applyProtection="1">
      <protection locked="0" hidden="1"/>
    </xf>
    <xf numFmtId="164" fontId="0" fillId="0" borderId="52" xfId="0" applyBorder="1" applyAlignment="1" applyProtection="1">
      <protection locked="0"/>
    </xf>
    <xf numFmtId="0" fontId="136" fillId="0" borderId="0" xfId="2481" applyFont="1" applyBorder="1" applyAlignment="1">
      <alignment horizontal="center" wrapText="1"/>
    </xf>
    <xf numFmtId="0" fontId="110" fillId="0" borderId="0" xfId="2481" applyFont="1" applyAlignment="1">
      <alignment wrapText="1"/>
    </xf>
    <xf numFmtId="0" fontId="110" fillId="0" borderId="69" xfId="2481" applyFont="1" applyBorder="1" applyAlignment="1">
      <alignment wrapText="1"/>
    </xf>
    <xf numFmtId="0" fontId="15" fillId="0" borderId="69" xfId="2481" applyFont="1" applyBorder="1" applyAlignment="1">
      <alignment horizontal="center" wrapText="1"/>
    </xf>
    <xf numFmtId="3" fontId="0" fillId="69" borderId="61" xfId="2481" applyNumberFormat="1" applyFont="1" applyFill="1" applyBorder="1" applyAlignment="1" applyProtection="1">
      <alignment horizontal="left"/>
      <protection locked="0"/>
    </xf>
    <xf numFmtId="0" fontId="1" fillId="0" borderId="59" xfId="2481" applyBorder="1" applyAlignment="1" applyProtection="1">
      <protection locked="0"/>
    </xf>
    <xf numFmtId="3" fontId="110" fillId="73" borderId="61" xfId="2481" applyNumberFormat="1" applyFont="1" applyFill="1" applyBorder="1" applyAlignment="1" applyProtection="1">
      <alignment horizontal="center"/>
    </xf>
    <xf numFmtId="0" fontId="110" fillId="73" borderId="62" xfId="2481" applyFont="1" applyFill="1" applyBorder="1" applyAlignment="1" applyProtection="1">
      <alignment horizontal="center"/>
    </xf>
    <xf numFmtId="0" fontId="110" fillId="73" borderId="59" xfId="2481" applyFont="1" applyFill="1" applyBorder="1" applyAlignment="1" applyProtection="1">
      <alignment horizontal="center"/>
    </xf>
    <xf numFmtId="3" fontId="0" fillId="73" borderId="61" xfId="2481" applyNumberFormat="1" applyFont="1" applyFill="1" applyBorder="1" applyAlignment="1">
      <alignment horizontal="center" wrapText="1"/>
    </xf>
    <xf numFmtId="3" fontId="1" fillId="73" borderId="59" xfId="2481" applyNumberFormat="1" applyFill="1" applyBorder="1" applyAlignment="1">
      <alignment horizontal="center" wrapText="1"/>
    </xf>
    <xf numFmtId="0" fontId="1" fillId="69" borderId="66" xfId="2481" applyFill="1" applyBorder="1" applyAlignment="1" applyProtection="1">
      <alignment horizontal="center" wrapText="1"/>
      <protection locked="0"/>
    </xf>
    <xf numFmtId="0" fontId="1" fillId="69" borderId="64" xfId="2481" applyFill="1" applyBorder="1" applyAlignment="1" applyProtection="1">
      <alignment wrapText="1"/>
      <protection locked="0"/>
    </xf>
    <xf numFmtId="0" fontId="1" fillId="69" borderId="67" xfId="2481" applyFill="1" applyBorder="1" applyAlignment="1" applyProtection="1">
      <alignment wrapText="1"/>
      <protection locked="0"/>
    </xf>
    <xf numFmtId="0" fontId="1" fillId="0" borderId="13" xfId="2481" applyBorder="1" applyAlignment="1" applyProtection="1">
      <alignment wrapText="1"/>
      <protection locked="0"/>
    </xf>
    <xf numFmtId="0" fontId="1" fillId="0" borderId="0" xfId="2481" applyBorder="1" applyAlignment="1" applyProtection="1">
      <alignment wrapText="1"/>
      <protection locked="0"/>
    </xf>
    <xf numFmtId="0" fontId="1" fillId="0" borderId="14" xfId="2481" applyBorder="1" applyAlignment="1" applyProtection="1">
      <alignment wrapText="1"/>
      <protection locked="0"/>
    </xf>
    <xf numFmtId="0" fontId="1" fillId="0" borderId="68" xfId="2481" applyBorder="1" applyAlignment="1">
      <alignment wrapText="1"/>
    </xf>
    <xf numFmtId="0" fontId="1" fillId="0" borderId="69" xfId="2481" applyBorder="1" applyAlignment="1">
      <alignment wrapText="1"/>
    </xf>
    <xf numFmtId="0" fontId="1" fillId="0" borderId="70" xfId="2481" applyBorder="1" applyAlignment="1">
      <alignment wrapText="1"/>
    </xf>
    <xf numFmtId="3" fontId="0" fillId="0" borderId="61" xfId="2481" applyNumberFormat="1" applyFont="1" applyFill="1" applyBorder="1" applyAlignment="1">
      <alignment horizontal="center" wrapText="1"/>
    </xf>
    <xf numFmtId="3" fontId="1" fillId="0" borderId="59" xfId="2481" applyNumberFormat="1" applyFill="1" applyBorder="1" applyAlignment="1">
      <alignment horizontal="center" wrapText="1"/>
    </xf>
    <xf numFmtId="0" fontId="1" fillId="0" borderId="68" xfId="2481" applyBorder="1" applyAlignment="1" applyProtection="1">
      <alignment wrapText="1"/>
      <protection locked="0"/>
    </xf>
    <xf numFmtId="0" fontId="1" fillId="0" borderId="69" xfId="2481" applyBorder="1" applyAlignment="1" applyProtection="1">
      <alignment wrapText="1"/>
      <protection locked="0"/>
    </xf>
    <xf numFmtId="0" fontId="1" fillId="0" borderId="70" xfId="2481" applyBorder="1" applyAlignment="1" applyProtection="1">
      <alignment wrapText="1"/>
      <protection locked="0"/>
    </xf>
    <xf numFmtId="0" fontId="0" fillId="69" borderId="61" xfId="2481" applyFont="1" applyFill="1" applyBorder="1" applyAlignment="1" applyProtection="1">
      <alignment horizontal="left"/>
      <protection locked="0"/>
    </xf>
    <xf numFmtId="0" fontId="1" fillId="69" borderId="62" xfId="2481" applyFill="1" applyBorder="1" applyAlignment="1" applyProtection="1">
      <alignment horizontal="left"/>
      <protection locked="0"/>
    </xf>
    <xf numFmtId="0" fontId="1" fillId="69" borderId="59" xfId="2481" applyFill="1" applyBorder="1" applyAlignment="1" applyProtection="1">
      <alignment horizontal="left"/>
      <protection locked="0"/>
    </xf>
    <xf numFmtId="0" fontId="0" fillId="69" borderId="66" xfId="2481" applyFont="1" applyFill="1" applyBorder="1" applyAlignment="1" applyProtection="1">
      <alignment horizontal="left" wrapText="1"/>
      <protection locked="0"/>
    </xf>
    <xf numFmtId="0" fontId="1" fillId="69" borderId="64" xfId="2481" applyFill="1" applyBorder="1" applyAlignment="1" applyProtection="1">
      <alignment horizontal="left" wrapText="1"/>
      <protection locked="0"/>
    </xf>
    <xf numFmtId="0" fontId="1" fillId="69" borderId="67" xfId="2481" applyFill="1" applyBorder="1" applyAlignment="1" applyProtection="1">
      <alignment horizontal="left" wrapText="1"/>
      <protection locked="0"/>
    </xf>
    <xf numFmtId="0" fontId="0" fillId="69" borderId="61" xfId="2481" applyFont="1" applyFill="1" applyBorder="1" applyAlignment="1" applyProtection="1">
      <alignment wrapText="1"/>
      <protection locked="0"/>
    </xf>
    <xf numFmtId="0" fontId="1" fillId="69" borderId="62" xfId="2481" applyFill="1" applyBorder="1" applyAlignment="1" applyProtection="1">
      <alignment wrapText="1"/>
      <protection locked="0"/>
    </xf>
    <xf numFmtId="0" fontId="1" fillId="69" borderId="59" xfId="2481" applyFill="1" applyBorder="1" applyAlignment="1" applyProtection="1">
      <alignment wrapText="1"/>
      <protection locked="0"/>
    </xf>
    <xf numFmtId="3" fontId="110" fillId="73" borderId="61" xfId="2481" applyNumberFormat="1" applyFont="1" applyFill="1" applyBorder="1" applyAlignment="1">
      <alignment horizontal="center" wrapText="1"/>
    </xf>
    <xf numFmtId="3" fontId="110" fillId="73" borderId="59" xfId="2481" applyNumberFormat="1" applyFont="1" applyFill="1" applyBorder="1" applyAlignment="1">
      <alignment horizontal="center" wrapText="1"/>
    </xf>
    <xf numFmtId="0" fontId="1" fillId="0" borderId="64" xfId="2481" applyBorder="1" applyAlignment="1">
      <alignment wrapText="1"/>
    </xf>
    <xf numFmtId="0" fontId="1" fillId="0" borderId="67" xfId="2481" applyBorder="1" applyAlignment="1">
      <alignment wrapText="1"/>
    </xf>
    <xf numFmtId="0" fontId="137" fillId="0" borderId="36" xfId="2481" applyFont="1" applyBorder="1" applyAlignment="1">
      <alignment horizontal="center" vertical="center" textRotation="90" wrapText="1"/>
    </xf>
    <xf numFmtId="0" fontId="137" fillId="0" borderId="0" xfId="2481" applyFont="1" applyAlignment="1">
      <alignment horizontal="center" vertical="center" textRotation="90" wrapText="1"/>
    </xf>
    <xf numFmtId="0" fontId="137" fillId="0" borderId="38" xfId="2481" applyFont="1" applyBorder="1" applyAlignment="1">
      <alignment horizontal="center" vertical="center" textRotation="90" wrapText="1"/>
    </xf>
    <xf numFmtId="0" fontId="137" fillId="0" borderId="39" xfId="2481" applyFont="1" applyBorder="1" applyAlignment="1">
      <alignment horizontal="center" vertical="center" textRotation="90" wrapText="1"/>
    </xf>
    <xf numFmtId="0" fontId="144" fillId="0" borderId="36" xfId="2481" applyFont="1" applyBorder="1" applyAlignment="1">
      <alignment horizontal="center" vertical="center" textRotation="90" wrapText="1"/>
    </xf>
    <xf numFmtId="0" fontId="144" fillId="0" borderId="0" xfId="2481" applyFont="1" applyAlignment="1">
      <alignment horizontal="center" vertical="center" textRotation="90" wrapText="1"/>
    </xf>
    <xf numFmtId="0" fontId="144" fillId="0" borderId="38" xfId="2481" applyFont="1" applyBorder="1" applyAlignment="1">
      <alignment horizontal="center" vertical="center" textRotation="90" wrapText="1"/>
    </xf>
    <xf numFmtId="0" fontId="144" fillId="0" borderId="39" xfId="2481" applyFont="1" applyBorder="1" applyAlignment="1">
      <alignment horizontal="center" vertical="center" textRotation="90" wrapText="1"/>
    </xf>
    <xf numFmtId="0" fontId="143" fillId="0" borderId="36" xfId="2481" applyFont="1" applyBorder="1" applyAlignment="1">
      <alignment horizontal="center" vertical="center" textRotation="90" wrapText="1"/>
    </xf>
    <xf numFmtId="0" fontId="143" fillId="0" borderId="0" xfId="2481" applyFont="1" applyAlignment="1">
      <alignment horizontal="center" vertical="center" textRotation="90" wrapText="1"/>
    </xf>
    <xf numFmtId="0" fontId="143" fillId="0" borderId="38" xfId="2481" applyFont="1" applyBorder="1" applyAlignment="1">
      <alignment horizontal="center" vertical="center" textRotation="90" wrapText="1"/>
    </xf>
    <xf numFmtId="0" fontId="143" fillId="0" borderId="39" xfId="2481" applyFont="1" applyBorder="1" applyAlignment="1">
      <alignment horizontal="center" vertical="center" textRotation="90" wrapText="1"/>
    </xf>
    <xf numFmtId="0" fontId="142" fillId="0" borderId="36" xfId="2481" applyFont="1" applyBorder="1" applyAlignment="1">
      <alignment horizontal="center" vertical="center" textRotation="90" wrapText="1"/>
    </xf>
    <xf numFmtId="0" fontId="142" fillId="0" borderId="0" xfId="2481" applyFont="1" applyAlignment="1">
      <alignment horizontal="center" vertical="center" textRotation="90" wrapText="1"/>
    </xf>
    <xf numFmtId="0" fontId="142" fillId="0" borderId="38" xfId="2481" applyFont="1" applyBorder="1" applyAlignment="1">
      <alignment horizontal="center" vertical="center" textRotation="90" wrapText="1"/>
    </xf>
    <xf numFmtId="0" fontId="142" fillId="0" borderId="39" xfId="2481" applyFont="1" applyBorder="1" applyAlignment="1">
      <alignment horizontal="center" vertical="center" textRotation="90" wrapText="1"/>
    </xf>
    <xf numFmtId="0" fontId="15" fillId="0" borderId="0" xfId="2481" applyFont="1" applyBorder="1" applyAlignment="1">
      <alignment horizontal="center" wrapText="1"/>
    </xf>
    <xf numFmtId="0" fontId="1" fillId="0" borderId="0" xfId="2481" applyAlignment="1">
      <alignment wrapText="1"/>
    </xf>
    <xf numFmtId="3" fontId="1" fillId="69" borderId="61" xfId="2481" applyNumberFormat="1" applyFill="1" applyBorder="1" applyAlignment="1" applyProtection="1">
      <alignment horizontal="center"/>
      <protection locked="0"/>
    </xf>
    <xf numFmtId="0" fontId="1" fillId="69" borderId="62" xfId="2481" applyFill="1" applyBorder="1" applyAlignment="1">
      <alignment horizontal="center"/>
    </xf>
    <xf numFmtId="0" fontId="1" fillId="69" borderId="59" xfId="2481" applyFill="1" applyBorder="1" applyAlignment="1">
      <alignment horizontal="center"/>
    </xf>
    <xf numFmtId="0" fontId="1" fillId="69" borderId="13" xfId="2481" applyFill="1" applyBorder="1" applyAlignment="1" applyProtection="1">
      <alignment horizontal="center" wrapText="1"/>
      <protection locked="0"/>
    </xf>
    <xf numFmtId="0" fontId="1" fillId="0" borderId="0" xfId="2481" applyBorder="1" applyAlignment="1">
      <alignment wrapText="1"/>
    </xf>
    <xf numFmtId="0" fontId="1" fillId="0" borderId="14" xfId="2481" applyBorder="1" applyAlignment="1">
      <alignment wrapText="1"/>
    </xf>
    <xf numFmtId="0" fontId="141" fillId="0" borderId="36" xfId="2481" applyFont="1" applyBorder="1" applyAlignment="1">
      <alignment horizontal="center" vertical="center" textRotation="90" wrapText="1"/>
    </xf>
    <xf numFmtId="0" fontId="141" fillId="0" borderId="0" xfId="2481" applyFont="1" applyAlignment="1">
      <alignment horizontal="center" vertical="center" textRotation="90" wrapText="1"/>
    </xf>
    <xf numFmtId="0" fontId="141" fillId="0" borderId="38" xfId="2481" applyFont="1" applyBorder="1" applyAlignment="1">
      <alignment horizontal="center" vertical="center" textRotation="90" wrapText="1"/>
    </xf>
    <xf numFmtId="0" fontId="141" fillId="0" borderId="39" xfId="2481" applyFont="1" applyBorder="1" applyAlignment="1">
      <alignment horizontal="center" vertical="center" textRotation="90" wrapText="1"/>
    </xf>
    <xf numFmtId="0" fontId="15" fillId="0" borderId="64" xfId="2481" applyFont="1" applyBorder="1" applyAlignment="1">
      <alignment horizontal="center" wrapText="1"/>
    </xf>
    <xf numFmtId="0" fontId="0" fillId="0" borderId="64" xfId="2481" applyFont="1" applyBorder="1" applyAlignment="1" applyProtection="1">
      <alignment wrapText="1"/>
      <protection locked="0"/>
    </xf>
    <xf numFmtId="164" fontId="0" fillId="0" borderId="64" xfId="0" applyBorder="1" applyAlignment="1" applyProtection="1">
      <alignment wrapText="1"/>
      <protection locked="0"/>
    </xf>
    <xf numFmtId="0" fontId="1" fillId="0" borderId="59" xfId="2481" applyBorder="1" applyAlignment="1"/>
    <xf numFmtId="3" fontId="1" fillId="0" borderId="62" xfId="2481" applyNumberFormat="1" applyFill="1" applyBorder="1" applyAlignment="1">
      <alignment horizontal="center" wrapText="1"/>
    </xf>
    <xf numFmtId="3" fontId="1" fillId="69" borderId="62" xfId="2481" applyNumberFormat="1" applyFill="1" applyBorder="1" applyAlignment="1" applyProtection="1">
      <alignment horizontal="left"/>
      <protection locked="0"/>
    </xf>
    <xf numFmtId="3" fontId="1" fillId="69" borderId="59" xfId="2481" applyNumberFormat="1" applyFill="1" applyBorder="1" applyAlignment="1" applyProtection="1">
      <alignment horizontal="left"/>
      <protection locked="0"/>
    </xf>
    <xf numFmtId="0" fontId="140" fillId="0" borderId="36" xfId="2481" applyFont="1" applyBorder="1" applyAlignment="1">
      <alignment horizontal="center" vertical="center" textRotation="90" wrapText="1"/>
    </xf>
    <xf numFmtId="0" fontId="140" fillId="0" borderId="0" xfId="2481" applyFont="1" applyAlignment="1">
      <alignment horizontal="center" vertical="center" textRotation="90" wrapText="1"/>
    </xf>
    <xf numFmtId="0" fontId="140" fillId="0" borderId="38" xfId="2481" applyFont="1" applyBorder="1" applyAlignment="1">
      <alignment horizontal="center" vertical="center" textRotation="90" wrapText="1"/>
    </xf>
    <xf numFmtId="0" fontId="140" fillId="0" borderId="39" xfId="2481" applyFont="1" applyBorder="1" applyAlignment="1">
      <alignment horizontal="center" vertical="center" textRotation="90" wrapText="1"/>
    </xf>
    <xf numFmtId="0" fontId="138" fillId="0" borderId="36" xfId="2481" applyFont="1" applyBorder="1" applyAlignment="1">
      <alignment horizontal="center" vertical="center" textRotation="90" wrapText="1"/>
    </xf>
    <xf numFmtId="0" fontId="139" fillId="0" borderId="0" xfId="2481" applyFont="1" applyAlignment="1">
      <alignment horizontal="center" vertical="center" textRotation="90" wrapText="1"/>
    </xf>
    <xf numFmtId="0" fontId="139" fillId="0" borderId="36" xfId="2481" applyFont="1" applyBorder="1" applyAlignment="1">
      <alignment horizontal="center" vertical="center" textRotation="90" wrapText="1"/>
    </xf>
    <xf numFmtId="0" fontId="139" fillId="0" borderId="38" xfId="2481" applyFont="1" applyBorder="1" applyAlignment="1">
      <alignment horizontal="center" vertical="center" textRotation="90" wrapText="1"/>
    </xf>
    <xf numFmtId="0" fontId="139" fillId="0" borderId="39" xfId="2481" applyFont="1" applyBorder="1" applyAlignment="1">
      <alignment horizontal="center" vertical="center" textRotation="90" wrapText="1"/>
    </xf>
    <xf numFmtId="0" fontId="135" fillId="0" borderId="36" xfId="2481" applyFont="1" applyBorder="1" applyAlignment="1">
      <alignment horizontal="center" vertical="center" textRotation="90" wrapText="1"/>
    </xf>
    <xf numFmtId="0" fontId="135" fillId="0" borderId="0" xfId="2481" applyFont="1" applyAlignment="1">
      <alignment horizontal="center" vertical="center" textRotation="90" wrapText="1"/>
    </xf>
    <xf numFmtId="0" fontId="135" fillId="0" borderId="38" xfId="2481" applyFont="1" applyBorder="1" applyAlignment="1">
      <alignment horizontal="center" vertical="center" textRotation="90" wrapText="1"/>
    </xf>
    <xf numFmtId="0" fontId="135" fillId="0" borderId="39" xfId="2481" applyFont="1" applyBorder="1" applyAlignment="1">
      <alignment horizontal="center" vertical="center" textRotation="90" wrapText="1"/>
    </xf>
    <xf numFmtId="0" fontId="131" fillId="0" borderId="54" xfId="2481" applyFont="1" applyBorder="1" applyAlignment="1">
      <alignment horizontal="center"/>
    </xf>
    <xf numFmtId="0" fontId="1" fillId="0" borderId="55" xfId="2481" applyBorder="1" applyAlignment="1">
      <alignment horizontal="center"/>
    </xf>
    <xf numFmtId="0" fontId="1" fillId="0" borderId="56" xfId="2481" applyBorder="1" applyAlignment="1">
      <alignment horizontal="center"/>
    </xf>
    <xf numFmtId="0" fontId="0" fillId="0" borderId="61" xfId="2481" applyFont="1" applyBorder="1" applyAlignment="1">
      <alignment wrapText="1"/>
    </xf>
    <xf numFmtId="0" fontId="1" fillId="0" borderId="62" xfId="2481" applyBorder="1" applyAlignment="1">
      <alignment wrapText="1"/>
    </xf>
    <xf numFmtId="0" fontId="1" fillId="0" borderId="63" xfId="2481" applyBorder="1" applyAlignment="1">
      <alignment wrapText="1"/>
    </xf>
    <xf numFmtId="0" fontId="1" fillId="0" borderId="61" xfId="2481" applyBorder="1" applyAlignment="1">
      <alignment wrapText="1"/>
    </xf>
    <xf numFmtId="0" fontId="15" fillId="0" borderId="61" xfId="2481" applyFont="1" applyFill="1" applyBorder="1" applyAlignment="1">
      <alignment horizontal="left"/>
    </xf>
    <xf numFmtId="0" fontId="15" fillId="0" borderId="62" xfId="2481" applyFont="1" applyFill="1" applyBorder="1" applyAlignment="1">
      <alignment horizontal="left"/>
    </xf>
    <xf numFmtId="0" fontId="15" fillId="0" borderId="59" xfId="2481" applyFont="1" applyFill="1" applyBorder="1" applyAlignment="1">
      <alignment horizontal="left"/>
    </xf>
    <xf numFmtId="0" fontId="0" fillId="69" borderId="61" xfId="2481" applyFont="1" applyFill="1" applyBorder="1" applyAlignment="1" applyProtection="1">
      <alignment horizontal="left" wrapText="1"/>
      <protection locked="0"/>
    </xf>
    <xf numFmtId="0" fontId="0" fillId="69" borderId="62" xfId="2481" applyFont="1" applyFill="1" applyBorder="1" applyAlignment="1" applyProtection="1">
      <alignment horizontal="left" wrapText="1"/>
      <protection locked="0"/>
    </xf>
    <xf numFmtId="0" fontId="0" fillId="69" borderId="59" xfId="2481" applyFont="1" applyFill="1" applyBorder="1" applyAlignment="1" applyProtection="1">
      <alignment horizontal="left" wrapText="1"/>
      <protection locked="0"/>
    </xf>
    <xf numFmtId="0" fontId="1" fillId="69" borderId="95" xfId="2481" applyFont="1" applyFill="1" applyBorder="1" applyAlignment="1" applyProtection="1">
      <protection locked="0"/>
    </xf>
    <xf numFmtId="164" fontId="0" fillId="69" borderId="96" xfId="0" applyFont="1" applyFill="1" applyBorder="1" applyAlignment="1" applyProtection="1">
      <protection locked="0"/>
    </xf>
    <xf numFmtId="0" fontId="133" fillId="0" borderId="36" xfId="2481" applyFont="1" applyBorder="1" applyAlignment="1">
      <alignment horizontal="center" vertical="center" textRotation="90" wrapText="1"/>
    </xf>
    <xf numFmtId="0" fontId="134" fillId="0" borderId="0" xfId="2481" applyFont="1" applyAlignment="1">
      <alignment horizontal="center" vertical="center" textRotation="90" wrapText="1"/>
    </xf>
    <xf numFmtId="0" fontId="134" fillId="0" borderId="36" xfId="2481" applyFont="1" applyBorder="1" applyAlignment="1">
      <alignment horizontal="center" vertical="center" textRotation="90" wrapText="1"/>
    </xf>
    <xf numFmtId="0" fontId="134" fillId="0" borderId="38" xfId="2481" applyFont="1" applyBorder="1" applyAlignment="1">
      <alignment horizontal="center" vertical="center" textRotation="90" wrapText="1"/>
    </xf>
    <xf numFmtId="0" fontId="134" fillId="0" borderId="39" xfId="2481" applyFont="1" applyBorder="1" applyAlignment="1">
      <alignment horizontal="center" vertical="center" textRotation="90" wrapText="1"/>
    </xf>
    <xf numFmtId="0" fontId="101" fillId="0" borderId="0" xfId="2561" applyFont="1" applyFill="1" applyBorder="1" applyAlignment="1" applyProtection="1">
      <alignment horizontal="center" vertical="center" wrapText="1"/>
    </xf>
  </cellXfs>
  <cellStyles count="63077">
    <cellStyle name="20% - Accent1 2" xfId="1" xr:uid="{00000000-0005-0000-0000-000000000000}"/>
    <cellStyle name="20% - Accent1 2 2" xfId="2" xr:uid="{00000000-0005-0000-0000-000001000000}"/>
    <cellStyle name="20% - Accent1 2 2 2" xfId="3" xr:uid="{00000000-0005-0000-0000-000002000000}"/>
    <cellStyle name="20% - Accent1 2 2 2 2" xfId="4" xr:uid="{00000000-0005-0000-0000-000003000000}"/>
    <cellStyle name="20% - Accent1 2 2 2 2 2" xfId="46026" xr:uid="{00000000-0005-0000-0000-000004000000}"/>
    <cellStyle name="20% - Accent1 2 2 2 2 3" xfId="46027" xr:uid="{00000000-0005-0000-0000-000005000000}"/>
    <cellStyle name="20% - Accent1 2 2 2 3" xfId="46028" xr:uid="{00000000-0005-0000-0000-000006000000}"/>
    <cellStyle name="20% - Accent1 2 2 2 4" xfId="46029" xr:uid="{00000000-0005-0000-0000-000007000000}"/>
    <cellStyle name="20% - Accent1 2 2 3" xfId="5" xr:uid="{00000000-0005-0000-0000-000008000000}"/>
    <cellStyle name="20% - Accent1 2 2 3 2" xfId="46030" xr:uid="{00000000-0005-0000-0000-000009000000}"/>
    <cellStyle name="20% - Accent1 2 2 3 3" xfId="46031" xr:uid="{00000000-0005-0000-0000-00000A000000}"/>
    <cellStyle name="20% - Accent1 2 2 4" xfId="46032" xr:uid="{00000000-0005-0000-0000-00000B000000}"/>
    <cellStyle name="20% - Accent1 2 2 5" xfId="46033" xr:uid="{00000000-0005-0000-0000-00000C000000}"/>
    <cellStyle name="20% - Accent1 2 3" xfId="6" xr:uid="{00000000-0005-0000-0000-00000D000000}"/>
    <cellStyle name="20% - Accent1 2 4" xfId="7" xr:uid="{00000000-0005-0000-0000-00000E000000}"/>
    <cellStyle name="20% - Accent1 3" xfId="8" xr:uid="{00000000-0005-0000-0000-00000F000000}"/>
    <cellStyle name="20% - Accent1 3 2" xfId="9" xr:uid="{00000000-0005-0000-0000-000010000000}"/>
    <cellStyle name="20% - Accent1 3 3" xfId="10" xr:uid="{00000000-0005-0000-0000-000011000000}"/>
    <cellStyle name="20% - Accent1 4" xfId="11" xr:uid="{00000000-0005-0000-0000-000012000000}"/>
    <cellStyle name="20% - Accent2 2" xfId="12" xr:uid="{00000000-0005-0000-0000-000013000000}"/>
    <cellStyle name="20% - Accent2 2 2" xfId="13" xr:uid="{00000000-0005-0000-0000-000014000000}"/>
    <cellStyle name="20% - Accent2 2 2 2" xfId="14" xr:uid="{00000000-0005-0000-0000-000015000000}"/>
    <cellStyle name="20% - Accent2 2 2 2 2" xfId="15" xr:uid="{00000000-0005-0000-0000-000016000000}"/>
    <cellStyle name="20% - Accent2 2 2 2 2 2" xfId="46034" xr:uid="{00000000-0005-0000-0000-000017000000}"/>
    <cellStyle name="20% - Accent2 2 2 2 2 3" xfId="46035" xr:uid="{00000000-0005-0000-0000-000018000000}"/>
    <cellStyle name="20% - Accent2 2 2 2 3" xfId="46036" xr:uid="{00000000-0005-0000-0000-000019000000}"/>
    <cellStyle name="20% - Accent2 2 2 2 4" xfId="46037" xr:uid="{00000000-0005-0000-0000-00001A000000}"/>
    <cellStyle name="20% - Accent2 2 2 3" xfId="16" xr:uid="{00000000-0005-0000-0000-00001B000000}"/>
    <cellStyle name="20% - Accent2 2 2 3 2" xfId="46038" xr:uid="{00000000-0005-0000-0000-00001C000000}"/>
    <cellStyle name="20% - Accent2 2 2 3 3" xfId="46039" xr:uid="{00000000-0005-0000-0000-00001D000000}"/>
    <cellStyle name="20% - Accent2 2 2 4" xfId="46040" xr:uid="{00000000-0005-0000-0000-00001E000000}"/>
    <cellStyle name="20% - Accent2 2 2 5" xfId="46041" xr:uid="{00000000-0005-0000-0000-00001F000000}"/>
    <cellStyle name="20% - Accent2 2 3" xfId="17" xr:uid="{00000000-0005-0000-0000-000020000000}"/>
    <cellStyle name="20% - Accent2 2 4" xfId="18" xr:uid="{00000000-0005-0000-0000-000021000000}"/>
    <cellStyle name="20% - Accent2 3" xfId="19" xr:uid="{00000000-0005-0000-0000-000022000000}"/>
    <cellStyle name="20% - Accent2 3 2" xfId="20" xr:uid="{00000000-0005-0000-0000-000023000000}"/>
    <cellStyle name="20% - Accent2 3 3" xfId="21" xr:uid="{00000000-0005-0000-0000-000024000000}"/>
    <cellStyle name="20% - Accent2 4" xfId="22" xr:uid="{00000000-0005-0000-0000-000025000000}"/>
    <cellStyle name="20% - Accent3 2" xfId="23" xr:uid="{00000000-0005-0000-0000-000026000000}"/>
    <cellStyle name="20% - Accent3 2 2" xfId="24" xr:uid="{00000000-0005-0000-0000-000027000000}"/>
    <cellStyle name="20% - Accent3 2 2 2" xfId="25" xr:uid="{00000000-0005-0000-0000-000028000000}"/>
    <cellStyle name="20% - Accent3 2 2 2 2" xfId="26" xr:uid="{00000000-0005-0000-0000-000029000000}"/>
    <cellStyle name="20% - Accent3 2 2 2 2 2" xfId="46042" xr:uid="{00000000-0005-0000-0000-00002A000000}"/>
    <cellStyle name="20% - Accent3 2 2 2 2 3" xfId="46043" xr:uid="{00000000-0005-0000-0000-00002B000000}"/>
    <cellStyle name="20% - Accent3 2 2 2 3" xfId="46044" xr:uid="{00000000-0005-0000-0000-00002C000000}"/>
    <cellStyle name="20% - Accent3 2 2 2 4" xfId="46045" xr:uid="{00000000-0005-0000-0000-00002D000000}"/>
    <cellStyle name="20% - Accent3 2 2 3" xfId="27" xr:uid="{00000000-0005-0000-0000-00002E000000}"/>
    <cellStyle name="20% - Accent3 2 2 3 2" xfId="46046" xr:uid="{00000000-0005-0000-0000-00002F000000}"/>
    <cellStyle name="20% - Accent3 2 2 3 3" xfId="46047" xr:uid="{00000000-0005-0000-0000-000030000000}"/>
    <cellStyle name="20% - Accent3 2 2 4" xfId="46048" xr:uid="{00000000-0005-0000-0000-000031000000}"/>
    <cellStyle name="20% - Accent3 2 2 5" xfId="46049" xr:uid="{00000000-0005-0000-0000-000032000000}"/>
    <cellStyle name="20% - Accent3 2 3" xfId="28" xr:uid="{00000000-0005-0000-0000-000033000000}"/>
    <cellStyle name="20% - Accent3 2 4" xfId="29" xr:uid="{00000000-0005-0000-0000-000034000000}"/>
    <cellStyle name="20% - Accent3 3" xfId="30" xr:uid="{00000000-0005-0000-0000-000035000000}"/>
    <cellStyle name="20% - Accent3 3 2" xfId="31" xr:uid="{00000000-0005-0000-0000-000036000000}"/>
    <cellStyle name="20% - Accent3 3 3" xfId="32" xr:uid="{00000000-0005-0000-0000-000037000000}"/>
    <cellStyle name="20% - Accent3 4" xfId="33" xr:uid="{00000000-0005-0000-0000-000038000000}"/>
    <cellStyle name="20% - Accent4 2" xfId="34" xr:uid="{00000000-0005-0000-0000-000039000000}"/>
    <cellStyle name="20% - Accent4 2 2" xfId="35" xr:uid="{00000000-0005-0000-0000-00003A000000}"/>
    <cellStyle name="20% - Accent4 2 2 2" xfId="36" xr:uid="{00000000-0005-0000-0000-00003B000000}"/>
    <cellStyle name="20% - Accent4 2 2 2 2" xfId="37" xr:uid="{00000000-0005-0000-0000-00003C000000}"/>
    <cellStyle name="20% - Accent4 2 2 2 2 2" xfId="46050" xr:uid="{00000000-0005-0000-0000-00003D000000}"/>
    <cellStyle name="20% - Accent4 2 2 2 2 3" xfId="46051" xr:uid="{00000000-0005-0000-0000-00003E000000}"/>
    <cellStyle name="20% - Accent4 2 2 2 3" xfId="46052" xr:uid="{00000000-0005-0000-0000-00003F000000}"/>
    <cellStyle name="20% - Accent4 2 2 2 4" xfId="46053" xr:uid="{00000000-0005-0000-0000-000040000000}"/>
    <cellStyle name="20% - Accent4 2 2 3" xfId="38" xr:uid="{00000000-0005-0000-0000-000041000000}"/>
    <cellStyle name="20% - Accent4 2 2 3 2" xfId="46054" xr:uid="{00000000-0005-0000-0000-000042000000}"/>
    <cellStyle name="20% - Accent4 2 2 3 3" xfId="46055" xr:uid="{00000000-0005-0000-0000-000043000000}"/>
    <cellStyle name="20% - Accent4 2 2 4" xfId="46056" xr:uid="{00000000-0005-0000-0000-000044000000}"/>
    <cellStyle name="20% - Accent4 2 2 5" xfId="46057" xr:uid="{00000000-0005-0000-0000-000045000000}"/>
    <cellStyle name="20% - Accent4 2 3" xfId="39" xr:uid="{00000000-0005-0000-0000-000046000000}"/>
    <cellStyle name="20% - Accent4 2 4" xfId="40" xr:uid="{00000000-0005-0000-0000-000047000000}"/>
    <cellStyle name="20% - Accent4 3" xfId="41" xr:uid="{00000000-0005-0000-0000-000048000000}"/>
    <cellStyle name="20% - Accent4 3 2" xfId="42" xr:uid="{00000000-0005-0000-0000-000049000000}"/>
    <cellStyle name="20% - Accent4 3 3" xfId="43" xr:uid="{00000000-0005-0000-0000-00004A000000}"/>
    <cellStyle name="20% - Accent4 4" xfId="44" xr:uid="{00000000-0005-0000-0000-00004B000000}"/>
    <cellStyle name="20% - Accent5 2" xfId="45" xr:uid="{00000000-0005-0000-0000-00004C000000}"/>
    <cellStyle name="20% - Accent5 2 2" xfId="46" xr:uid="{00000000-0005-0000-0000-00004D000000}"/>
    <cellStyle name="20% - Accent5 2 2 2" xfId="47" xr:uid="{00000000-0005-0000-0000-00004E000000}"/>
    <cellStyle name="20% - Accent5 2 2 2 2" xfId="48" xr:uid="{00000000-0005-0000-0000-00004F000000}"/>
    <cellStyle name="20% - Accent5 2 2 2 2 2" xfId="46058" xr:uid="{00000000-0005-0000-0000-000050000000}"/>
    <cellStyle name="20% - Accent5 2 2 2 2 3" xfId="46059" xr:uid="{00000000-0005-0000-0000-000051000000}"/>
    <cellStyle name="20% - Accent5 2 2 2 3" xfId="46060" xr:uid="{00000000-0005-0000-0000-000052000000}"/>
    <cellStyle name="20% - Accent5 2 2 2 4" xfId="46061" xr:uid="{00000000-0005-0000-0000-000053000000}"/>
    <cellStyle name="20% - Accent5 2 2 3" xfId="49" xr:uid="{00000000-0005-0000-0000-000054000000}"/>
    <cellStyle name="20% - Accent5 2 2 3 2" xfId="46062" xr:uid="{00000000-0005-0000-0000-000055000000}"/>
    <cellStyle name="20% - Accent5 2 2 3 3" xfId="46063" xr:uid="{00000000-0005-0000-0000-000056000000}"/>
    <cellStyle name="20% - Accent5 2 2 4" xfId="46064" xr:uid="{00000000-0005-0000-0000-000057000000}"/>
    <cellStyle name="20% - Accent5 2 2 5" xfId="46065" xr:uid="{00000000-0005-0000-0000-000058000000}"/>
    <cellStyle name="20% - Accent5 2 3" xfId="50" xr:uid="{00000000-0005-0000-0000-000059000000}"/>
    <cellStyle name="20% - Accent5 2 4" xfId="51" xr:uid="{00000000-0005-0000-0000-00005A000000}"/>
    <cellStyle name="20% - Accent5 3" xfId="52" xr:uid="{00000000-0005-0000-0000-00005B000000}"/>
    <cellStyle name="20% - Accent5 3 2" xfId="53" xr:uid="{00000000-0005-0000-0000-00005C000000}"/>
    <cellStyle name="20% - Accent5 3 3" xfId="54" xr:uid="{00000000-0005-0000-0000-00005D000000}"/>
    <cellStyle name="20% - Accent5 4" xfId="55" xr:uid="{00000000-0005-0000-0000-00005E000000}"/>
    <cellStyle name="20% - Accent6 2" xfId="56" xr:uid="{00000000-0005-0000-0000-00005F000000}"/>
    <cellStyle name="20% - Accent6 2 2" xfId="57" xr:uid="{00000000-0005-0000-0000-000060000000}"/>
    <cellStyle name="20% - Accent6 2 2 2" xfId="58" xr:uid="{00000000-0005-0000-0000-000061000000}"/>
    <cellStyle name="20% - Accent6 2 2 2 2" xfId="59" xr:uid="{00000000-0005-0000-0000-000062000000}"/>
    <cellStyle name="20% - Accent6 2 2 2 2 2" xfId="46066" xr:uid="{00000000-0005-0000-0000-000063000000}"/>
    <cellStyle name="20% - Accent6 2 2 2 2 3" xfId="46067" xr:uid="{00000000-0005-0000-0000-000064000000}"/>
    <cellStyle name="20% - Accent6 2 2 2 3" xfId="46068" xr:uid="{00000000-0005-0000-0000-000065000000}"/>
    <cellStyle name="20% - Accent6 2 2 2 4" xfId="46069" xr:uid="{00000000-0005-0000-0000-000066000000}"/>
    <cellStyle name="20% - Accent6 2 2 3" xfId="60" xr:uid="{00000000-0005-0000-0000-000067000000}"/>
    <cellStyle name="20% - Accent6 2 2 3 2" xfId="46070" xr:uid="{00000000-0005-0000-0000-000068000000}"/>
    <cellStyle name="20% - Accent6 2 2 3 3" xfId="46071" xr:uid="{00000000-0005-0000-0000-000069000000}"/>
    <cellStyle name="20% - Accent6 2 2 4" xfId="61" xr:uid="{00000000-0005-0000-0000-00006A000000}"/>
    <cellStyle name="20% - Accent6 2 2 5" xfId="46072" xr:uid="{00000000-0005-0000-0000-00006B000000}"/>
    <cellStyle name="20% - Accent6 2 3" xfId="62" xr:uid="{00000000-0005-0000-0000-00006C000000}"/>
    <cellStyle name="20% - Accent6 2 4" xfId="63" xr:uid="{00000000-0005-0000-0000-00006D000000}"/>
    <cellStyle name="20% - Accent6 2 5" xfId="64" xr:uid="{00000000-0005-0000-0000-00006E000000}"/>
    <cellStyle name="20% - Accent6 3" xfId="65" xr:uid="{00000000-0005-0000-0000-00006F000000}"/>
    <cellStyle name="20% - Accent6 3 2" xfId="66" xr:uid="{00000000-0005-0000-0000-000070000000}"/>
    <cellStyle name="20% - Accent6 3 3" xfId="67" xr:uid="{00000000-0005-0000-0000-000071000000}"/>
    <cellStyle name="20% - Accent6 4" xfId="68" xr:uid="{00000000-0005-0000-0000-000072000000}"/>
    <cellStyle name="40% - Accent1 2" xfId="69" xr:uid="{00000000-0005-0000-0000-000073000000}"/>
    <cellStyle name="40% - Accent1 2 2" xfId="70" xr:uid="{00000000-0005-0000-0000-000074000000}"/>
    <cellStyle name="40% - Accent1 2 2 2" xfId="71" xr:uid="{00000000-0005-0000-0000-000075000000}"/>
    <cellStyle name="40% - Accent1 2 2 2 2" xfId="72" xr:uid="{00000000-0005-0000-0000-000076000000}"/>
    <cellStyle name="40% - Accent1 2 2 2 2 2" xfId="46073" xr:uid="{00000000-0005-0000-0000-000077000000}"/>
    <cellStyle name="40% - Accent1 2 2 2 2 3" xfId="46074" xr:uid="{00000000-0005-0000-0000-000078000000}"/>
    <cellStyle name="40% - Accent1 2 2 2 3" xfId="46075" xr:uid="{00000000-0005-0000-0000-000079000000}"/>
    <cellStyle name="40% - Accent1 2 2 2 4" xfId="46076" xr:uid="{00000000-0005-0000-0000-00007A000000}"/>
    <cellStyle name="40% - Accent1 2 2 3" xfId="73" xr:uid="{00000000-0005-0000-0000-00007B000000}"/>
    <cellStyle name="40% - Accent1 2 2 3 2" xfId="46077" xr:uid="{00000000-0005-0000-0000-00007C000000}"/>
    <cellStyle name="40% - Accent1 2 2 3 3" xfId="46078" xr:uid="{00000000-0005-0000-0000-00007D000000}"/>
    <cellStyle name="40% - Accent1 2 2 4" xfId="46079" xr:uid="{00000000-0005-0000-0000-00007E000000}"/>
    <cellStyle name="40% - Accent1 2 2 5" xfId="46080" xr:uid="{00000000-0005-0000-0000-00007F000000}"/>
    <cellStyle name="40% - Accent1 2 3" xfId="74" xr:uid="{00000000-0005-0000-0000-000080000000}"/>
    <cellStyle name="40% - Accent1 2 4" xfId="75" xr:uid="{00000000-0005-0000-0000-000081000000}"/>
    <cellStyle name="40% - Accent1 3" xfId="76" xr:uid="{00000000-0005-0000-0000-000082000000}"/>
    <cellStyle name="40% - Accent1 3 2" xfId="77" xr:uid="{00000000-0005-0000-0000-000083000000}"/>
    <cellStyle name="40% - Accent1 3 3" xfId="78" xr:uid="{00000000-0005-0000-0000-000084000000}"/>
    <cellStyle name="40% - Accent1 4" xfId="79" xr:uid="{00000000-0005-0000-0000-000085000000}"/>
    <cellStyle name="40% - Accent2 2" xfId="80" xr:uid="{00000000-0005-0000-0000-000086000000}"/>
    <cellStyle name="40% - Accent2 2 2" xfId="81" xr:uid="{00000000-0005-0000-0000-000087000000}"/>
    <cellStyle name="40% - Accent2 2 2 2" xfId="82" xr:uid="{00000000-0005-0000-0000-000088000000}"/>
    <cellStyle name="40% - Accent2 2 2 2 2" xfId="83" xr:uid="{00000000-0005-0000-0000-000089000000}"/>
    <cellStyle name="40% - Accent2 2 2 2 2 2" xfId="46081" xr:uid="{00000000-0005-0000-0000-00008A000000}"/>
    <cellStyle name="40% - Accent2 2 2 2 2 3" xfId="46082" xr:uid="{00000000-0005-0000-0000-00008B000000}"/>
    <cellStyle name="40% - Accent2 2 2 2 3" xfId="46083" xr:uid="{00000000-0005-0000-0000-00008C000000}"/>
    <cellStyle name="40% - Accent2 2 2 2 4" xfId="46084" xr:uid="{00000000-0005-0000-0000-00008D000000}"/>
    <cellStyle name="40% - Accent2 2 2 3" xfId="84" xr:uid="{00000000-0005-0000-0000-00008E000000}"/>
    <cellStyle name="40% - Accent2 2 2 3 2" xfId="46085" xr:uid="{00000000-0005-0000-0000-00008F000000}"/>
    <cellStyle name="40% - Accent2 2 2 3 3" xfId="46086" xr:uid="{00000000-0005-0000-0000-000090000000}"/>
    <cellStyle name="40% - Accent2 2 2 4" xfId="46087" xr:uid="{00000000-0005-0000-0000-000091000000}"/>
    <cellStyle name="40% - Accent2 2 2 5" xfId="46088" xr:uid="{00000000-0005-0000-0000-000092000000}"/>
    <cellStyle name="40% - Accent2 2 3" xfId="85" xr:uid="{00000000-0005-0000-0000-000093000000}"/>
    <cellStyle name="40% - Accent2 2 4" xfId="86" xr:uid="{00000000-0005-0000-0000-000094000000}"/>
    <cellStyle name="40% - Accent2 3" xfId="87" xr:uid="{00000000-0005-0000-0000-000095000000}"/>
    <cellStyle name="40% - Accent2 3 2" xfId="88" xr:uid="{00000000-0005-0000-0000-000096000000}"/>
    <cellStyle name="40% - Accent2 3 3" xfId="89" xr:uid="{00000000-0005-0000-0000-000097000000}"/>
    <cellStyle name="40% - Accent2 4" xfId="90" xr:uid="{00000000-0005-0000-0000-000098000000}"/>
    <cellStyle name="40% - Accent3 2" xfId="91" xr:uid="{00000000-0005-0000-0000-000099000000}"/>
    <cellStyle name="40% - Accent3 2 2" xfId="92" xr:uid="{00000000-0005-0000-0000-00009A000000}"/>
    <cellStyle name="40% - Accent3 2 2 2" xfId="93" xr:uid="{00000000-0005-0000-0000-00009B000000}"/>
    <cellStyle name="40% - Accent3 2 2 2 2" xfId="94" xr:uid="{00000000-0005-0000-0000-00009C000000}"/>
    <cellStyle name="40% - Accent3 2 2 2 2 2" xfId="46089" xr:uid="{00000000-0005-0000-0000-00009D000000}"/>
    <cellStyle name="40% - Accent3 2 2 2 2 3" xfId="46090" xr:uid="{00000000-0005-0000-0000-00009E000000}"/>
    <cellStyle name="40% - Accent3 2 2 2 3" xfId="46091" xr:uid="{00000000-0005-0000-0000-00009F000000}"/>
    <cellStyle name="40% - Accent3 2 2 2 4" xfId="46092" xr:uid="{00000000-0005-0000-0000-0000A0000000}"/>
    <cellStyle name="40% - Accent3 2 2 3" xfId="95" xr:uid="{00000000-0005-0000-0000-0000A1000000}"/>
    <cellStyle name="40% - Accent3 2 2 3 2" xfId="46093" xr:uid="{00000000-0005-0000-0000-0000A2000000}"/>
    <cellStyle name="40% - Accent3 2 2 3 3" xfId="46094" xr:uid="{00000000-0005-0000-0000-0000A3000000}"/>
    <cellStyle name="40% - Accent3 2 2 4" xfId="46095" xr:uid="{00000000-0005-0000-0000-0000A4000000}"/>
    <cellStyle name="40% - Accent3 2 2 5" xfId="46096" xr:uid="{00000000-0005-0000-0000-0000A5000000}"/>
    <cellStyle name="40% - Accent3 2 3" xfId="96" xr:uid="{00000000-0005-0000-0000-0000A6000000}"/>
    <cellStyle name="40% - Accent3 2 4" xfId="97" xr:uid="{00000000-0005-0000-0000-0000A7000000}"/>
    <cellStyle name="40% - Accent3 3" xfId="98" xr:uid="{00000000-0005-0000-0000-0000A8000000}"/>
    <cellStyle name="40% - Accent3 3 2" xfId="99" xr:uid="{00000000-0005-0000-0000-0000A9000000}"/>
    <cellStyle name="40% - Accent3 3 3" xfId="100" xr:uid="{00000000-0005-0000-0000-0000AA000000}"/>
    <cellStyle name="40% - Accent3 4" xfId="101" xr:uid="{00000000-0005-0000-0000-0000AB000000}"/>
    <cellStyle name="40% - Accent4 2" xfId="102" xr:uid="{00000000-0005-0000-0000-0000AC000000}"/>
    <cellStyle name="40% - Accent4 2 2" xfId="103" xr:uid="{00000000-0005-0000-0000-0000AD000000}"/>
    <cellStyle name="40% - Accent4 2 2 2" xfId="104" xr:uid="{00000000-0005-0000-0000-0000AE000000}"/>
    <cellStyle name="40% - Accent4 2 2 2 2" xfId="105" xr:uid="{00000000-0005-0000-0000-0000AF000000}"/>
    <cellStyle name="40% - Accent4 2 2 2 2 2" xfId="46097" xr:uid="{00000000-0005-0000-0000-0000B0000000}"/>
    <cellStyle name="40% - Accent4 2 2 2 2 3" xfId="46098" xr:uid="{00000000-0005-0000-0000-0000B1000000}"/>
    <cellStyle name="40% - Accent4 2 2 2 3" xfId="46099" xr:uid="{00000000-0005-0000-0000-0000B2000000}"/>
    <cellStyle name="40% - Accent4 2 2 2 4" xfId="46100" xr:uid="{00000000-0005-0000-0000-0000B3000000}"/>
    <cellStyle name="40% - Accent4 2 2 3" xfId="106" xr:uid="{00000000-0005-0000-0000-0000B4000000}"/>
    <cellStyle name="40% - Accent4 2 2 3 2" xfId="46101" xr:uid="{00000000-0005-0000-0000-0000B5000000}"/>
    <cellStyle name="40% - Accent4 2 2 3 3" xfId="46102" xr:uid="{00000000-0005-0000-0000-0000B6000000}"/>
    <cellStyle name="40% - Accent4 2 2 4" xfId="46103" xr:uid="{00000000-0005-0000-0000-0000B7000000}"/>
    <cellStyle name="40% - Accent4 2 2 5" xfId="46104" xr:uid="{00000000-0005-0000-0000-0000B8000000}"/>
    <cellStyle name="40% - Accent4 2 3" xfId="107" xr:uid="{00000000-0005-0000-0000-0000B9000000}"/>
    <cellStyle name="40% - Accent4 2 4" xfId="108" xr:uid="{00000000-0005-0000-0000-0000BA000000}"/>
    <cellStyle name="40% - Accent4 3" xfId="109" xr:uid="{00000000-0005-0000-0000-0000BB000000}"/>
    <cellStyle name="40% - Accent4 3 2" xfId="110" xr:uid="{00000000-0005-0000-0000-0000BC000000}"/>
    <cellStyle name="40% - Accent4 3 3" xfId="111" xr:uid="{00000000-0005-0000-0000-0000BD000000}"/>
    <cellStyle name="40% - Accent4 4" xfId="112" xr:uid="{00000000-0005-0000-0000-0000BE000000}"/>
    <cellStyle name="40% - Accent5 2" xfId="113" xr:uid="{00000000-0005-0000-0000-0000BF000000}"/>
    <cellStyle name="40% - Accent5 2 2" xfId="114" xr:uid="{00000000-0005-0000-0000-0000C0000000}"/>
    <cellStyle name="40% - Accent5 2 2 2" xfId="115" xr:uid="{00000000-0005-0000-0000-0000C1000000}"/>
    <cellStyle name="40% - Accent5 2 2 2 2" xfId="116" xr:uid="{00000000-0005-0000-0000-0000C2000000}"/>
    <cellStyle name="40% - Accent5 2 2 2 2 2" xfId="46105" xr:uid="{00000000-0005-0000-0000-0000C3000000}"/>
    <cellStyle name="40% - Accent5 2 2 2 2 3" xfId="46106" xr:uid="{00000000-0005-0000-0000-0000C4000000}"/>
    <cellStyle name="40% - Accent5 2 2 2 3" xfId="46107" xr:uid="{00000000-0005-0000-0000-0000C5000000}"/>
    <cellStyle name="40% - Accent5 2 2 2 4" xfId="46108" xr:uid="{00000000-0005-0000-0000-0000C6000000}"/>
    <cellStyle name="40% - Accent5 2 2 3" xfId="117" xr:uid="{00000000-0005-0000-0000-0000C7000000}"/>
    <cellStyle name="40% - Accent5 2 2 3 2" xfId="46109" xr:uid="{00000000-0005-0000-0000-0000C8000000}"/>
    <cellStyle name="40% - Accent5 2 2 3 3" xfId="46110" xr:uid="{00000000-0005-0000-0000-0000C9000000}"/>
    <cellStyle name="40% - Accent5 2 2 4" xfId="46111" xr:uid="{00000000-0005-0000-0000-0000CA000000}"/>
    <cellStyle name="40% - Accent5 2 2 5" xfId="46112" xr:uid="{00000000-0005-0000-0000-0000CB000000}"/>
    <cellStyle name="40% - Accent5 2 3" xfId="118" xr:uid="{00000000-0005-0000-0000-0000CC000000}"/>
    <cellStyle name="40% - Accent5 2 4" xfId="119" xr:uid="{00000000-0005-0000-0000-0000CD000000}"/>
    <cellStyle name="40% - Accent5 3" xfId="120" xr:uid="{00000000-0005-0000-0000-0000CE000000}"/>
    <cellStyle name="40% - Accent5 3 2" xfId="121" xr:uid="{00000000-0005-0000-0000-0000CF000000}"/>
    <cellStyle name="40% - Accent5 3 3" xfId="122" xr:uid="{00000000-0005-0000-0000-0000D0000000}"/>
    <cellStyle name="40% - Accent5 4" xfId="123" xr:uid="{00000000-0005-0000-0000-0000D1000000}"/>
    <cellStyle name="40% - Accent6 2" xfId="124" xr:uid="{00000000-0005-0000-0000-0000D2000000}"/>
    <cellStyle name="40% - Accent6 2 2" xfId="125" xr:uid="{00000000-0005-0000-0000-0000D3000000}"/>
    <cellStyle name="40% - Accent6 2 2 2" xfId="126" xr:uid="{00000000-0005-0000-0000-0000D4000000}"/>
    <cellStyle name="40% - Accent6 2 2 2 2" xfId="127" xr:uid="{00000000-0005-0000-0000-0000D5000000}"/>
    <cellStyle name="40% - Accent6 2 2 2 2 2" xfId="46113" xr:uid="{00000000-0005-0000-0000-0000D6000000}"/>
    <cellStyle name="40% - Accent6 2 2 2 2 3" xfId="46114" xr:uid="{00000000-0005-0000-0000-0000D7000000}"/>
    <cellStyle name="40% - Accent6 2 2 2 3" xfId="46115" xr:uid="{00000000-0005-0000-0000-0000D8000000}"/>
    <cellStyle name="40% - Accent6 2 2 2 4" xfId="46116" xr:uid="{00000000-0005-0000-0000-0000D9000000}"/>
    <cellStyle name="40% - Accent6 2 2 3" xfId="128" xr:uid="{00000000-0005-0000-0000-0000DA000000}"/>
    <cellStyle name="40% - Accent6 2 2 3 2" xfId="46117" xr:uid="{00000000-0005-0000-0000-0000DB000000}"/>
    <cellStyle name="40% - Accent6 2 2 3 3" xfId="46118" xr:uid="{00000000-0005-0000-0000-0000DC000000}"/>
    <cellStyle name="40% - Accent6 2 2 4" xfId="46119" xr:uid="{00000000-0005-0000-0000-0000DD000000}"/>
    <cellStyle name="40% - Accent6 2 2 5" xfId="46120" xr:uid="{00000000-0005-0000-0000-0000DE000000}"/>
    <cellStyle name="40% - Accent6 2 3" xfId="129" xr:uid="{00000000-0005-0000-0000-0000DF000000}"/>
    <cellStyle name="40% - Accent6 2 4" xfId="130" xr:uid="{00000000-0005-0000-0000-0000E0000000}"/>
    <cellStyle name="40% - Accent6 3" xfId="131" xr:uid="{00000000-0005-0000-0000-0000E1000000}"/>
    <cellStyle name="40% - Accent6 3 2" xfId="132" xr:uid="{00000000-0005-0000-0000-0000E2000000}"/>
    <cellStyle name="40% - Accent6 3 3" xfId="133" xr:uid="{00000000-0005-0000-0000-0000E3000000}"/>
    <cellStyle name="40% - Accent6 4" xfId="134" xr:uid="{00000000-0005-0000-0000-0000E4000000}"/>
    <cellStyle name="60% - Accent1 2" xfId="135" xr:uid="{00000000-0005-0000-0000-0000E5000000}"/>
    <cellStyle name="60% - Accent1 2 2" xfId="136" xr:uid="{00000000-0005-0000-0000-0000E6000000}"/>
    <cellStyle name="60% - Accent1 2 2 2" xfId="137" xr:uid="{00000000-0005-0000-0000-0000E7000000}"/>
    <cellStyle name="60% - Accent1 2 3" xfId="138" xr:uid="{00000000-0005-0000-0000-0000E8000000}"/>
    <cellStyle name="60% - Accent1 2 4" xfId="139" xr:uid="{00000000-0005-0000-0000-0000E9000000}"/>
    <cellStyle name="60% - Accent1 3" xfId="140" xr:uid="{00000000-0005-0000-0000-0000EA000000}"/>
    <cellStyle name="60% - Accent1 4" xfId="141" xr:uid="{00000000-0005-0000-0000-0000EB000000}"/>
    <cellStyle name="60% - Accent2 2" xfId="142" xr:uid="{00000000-0005-0000-0000-0000EC000000}"/>
    <cellStyle name="60% - Accent2 2 2" xfId="143" xr:uid="{00000000-0005-0000-0000-0000ED000000}"/>
    <cellStyle name="60% - Accent2 2 2 2" xfId="144" xr:uid="{00000000-0005-0000-0000-0000EE000000}"/>
    <cellStyle name="60% - Accent2 2 3" xfId="145" xr:uid="{00000000-0005-0000-0000-0000EF000000}"/>
    <cellStyle name="60% - Accent2 2 4" xfId="146" xr:uid="{00000000-0005-0000-0000-0000F0000000}"/>
    <cellStyle name="60% - Accent2 3" xfId="147" xr:uid="{00000000-0005-0000-0000-0000F1000000}"/>
    <cellStyle name="60% - Accent2 4" xfId="148" xr:uid="{00000000-0005-0000-0000-0000F2000000}"/>
    <cellStyle name="60% - Accent3 2" xfId="149" xr:uid="{00000000-0005-0000-0000-0000F3000000}"/>
    <cellStyle name="60% - Accent3 2 2" xfId="150" xr:uid="{00000000-0005-0000-0000-0000F4000000}"/>
    <cellStyle name="60% - Accent3 2 2 2" xfId="151" xr:uid="{00000000-0005-0000-0000-0000F5000000}"/>
    <cellStyle name="60% - Accent3 2 3" xfId="152" xr:uid="{00000000-0005-0000-0000-0000F6000000}"/>
    <cellStyle name="60% - Accent3 2 4" xfId="153" xr:uid="{00000000-0005-0000-0000-0000F7000000}"/>
    <cellStyle name="60% - Accent3 3" xfId="154" xr:uid="{00000000-0005-0000-0000-0000F8000000}"/>
    <cellStyle name="60% - Accent3 4" xfId="155" xr:uid="{00000000-0005-0000-0000-0000F9000000}"/>
    <cellStyle name="60% - Accent4 2" xfId="156" xr:uid="{00000000-0005-0000-0000-0000FA000000}"/>
    <cellStyle name="60% - Accent4 2 2" xfId="157" xr:uid="{00000000-0005-0000-0000-0000FB000000}"/>
    <cellStyle name="60% - Accent4 2 2 2" xfId="158" xr:uid="{00000000-0005-0000-0000-0000FC000000}"/>
    <cellStyle name="60% - Accent4 2 3" xfId="159" xr:uid="{00000000-0005-0000-0000-0000FD000000}"/>
    <cellStyle name="60% - Accent4 2 4" xfId="160" xr:uid="{00000000-0005-0000-0000-0000FE000000}"/>
    <cellStyle name="60% - Accent4 3" xfId="161" xr:uid="{00000000-0005-0000-0000-0000FF000000}"/>
    <cellStyle name="60% - Accent4 4" xfId="162" xr:uid="{00000000-0005-0000-0000-000000010000}"/>
    <cellStyle name="60% - Accent5 2" xfId="163" xr:uid="{00000000-0005-0000-0000-000001010000}"/>
    <cellStyle name="60% - Accent5 2 2" xfId="164" xr:uid="{00000000-0005-0000-0000-000002010000}"/>
    <cellStyle name="60% - Accent5 2 2 2" xfId="165" xr:uid="{00000000-0005-0000-0000-000003010000}"/>
    <cellStyle name="60% - Accent5 2 3" xfId="166" xr:uid="{00000000-0005-0000-0000-000004010000}"/>
    <cellStyle name="60% - Accent5 2 4" xfId="167" xr:uid="{00000000-0005-0000-0000-000005010000}"/>
    <cellStyle name="60% - Accent5 3" xfId="168" xr:uid="{00000000-0005-0000-0000-000006010000}"/>
    <cellStyle name="60% - Accent5 4" xfId="169" xr:uid="{00000000-0005-0000-0000-000007010000}"/>
    <cellStyle name="60% - Accent6 2" xfId="170" xr:uid="{00000000-0005-0000-0000-000008010000}"/>
    <cellStyle name="60% - Accent6 2 2" xfId="171" xr:uid="{00000000-0005-0000-0000-000009010000}"/>
    <cellStyle name="60% - Accent6 2 2 2" xfId="172" xr:uid="{00000000-0005-0000-0000-00000A010000}"/>
    <cellStyle name="60% - Accent6 2 3" xfId="173" xr:uid="{00000000-0005-0000-0000-00000B010000}"/>
    <cellStyle name="60% - Accent6 2 4" xfId="174" xr:uid="{00000000-0005-0000-0000-00000C010000}"/>
    <cellStyle name="60% - Accent6 3" xfId="175" xr:uid="{00000000-0005-0000-0000-00000D010000}"/>
    <cellStyle name="60% - Accent6 4" xfId="176" xr:uid="{00000000-0005-0000-0000-00000E010000}"/>
    <cellStyle name="Accent1 2" xfId="177" xr:uid="{00000000-0005-0000-0000-00000F010000}"/>
    <cellStyle name="Accent1 2 2" xfId="178" xr:uid="{00000000-0005-0000-0000-000010010000}"/>
    <cellStyle name="Accent1 2 2 2" xfId="179" xr:uid="{00000000-0005-0000-0000-000011010000}"/>
    <cellStyle name="Accent1 2 3" xfId="180" xr:uid="{00000000-0005-0000-0000-000012010000}"/>
    <cellStyle name="Accent1 2 4" xfId="181" xr:uid="{00000000-0005-0000-0000-000013010000}"/>
    <cellStyle name="Accent1 3" xfId="182" xr:uid="{00000000-0005-0000-0000-000014010000}"/>
    <cellStyle name="Accent1 4" xfId="183" xr:uid="{00000000-0005-0000-0000-000015010000}"/>
    <cellStyle name="Accent2 2" xfId="184" xr:uid="{00000000-0005-0000-0000-000016010000}"/>
    <cellStyle name="Accent2 2 2" xfId="185" xr:uid="{00000000-0005-0000-0000-000017010000}"/>
    <cellStyle name="Accent2 2 2 2" xfId="186" xr:uid="{00000000-0005-0000-0000-000018010000}"/>
    <cellStyle name="Accent2 2 3" xfId="187" xr:uid="{00000000-0005-0000-0000-000019010000}"/>
    <cellStyle name="Accent2 2 4" xfId="188" xr:uid="{00000000-0005-0000-0000-00001A010000}"/>
    <cellStyle name="Accent2 3" xfId="189" xr:uid="{00000000-0005-0000-0000-00001B010000}"/>
    <cellStyle name="Accent2 4" xfId="190" xr:uid="{00000000-0005-0000-0000-00001C010000}"/>
    <cellStyle name="Accent3 2" xfId="191" xr:uid="{00000000-0005-0000-0000-00001D010000}"/>
    <cellStyle name="Accent3 2 2" xfId="192" xr:uid="{00000000-0005-0000-0000-00001E010000}"/>
    <cellStyle name="Accent3 2 2 2" xfId="193" xr:uid="{00000000-0005-0000-0000-00001F010000}"/>
    <cellStyle name="Accent3 2 3" xfId="194" xr:uid="{00000000-0005-0000-0000-000020010000}"/>
    <cellStyle name="Accent3 2 4" xfId="195" xr:uid="{00000000-0005-0000-0000-000021010000}"/>
    <cellStyle name="Accent3 3" xfId="196" xr:uid="{00000000-0005-0000-0000-000022010000}"/>
    <cellStyle name="Accent3 4" xfId="197" xr:uid="{00000000-0005-0000-0000-000023010000}"/>
    <cellStyle name="Accent4 2" xfId="198" xr:uid="{00000000-0005-0000-0000-000024010000}"/>
    <cellStyle name="Accent4 2 2" xfId="199" xr:uid="{00000000-0005-0000-0000-000025010000}"/>
    <cellStyle name="Accent4 2 2 2" xfId="200" xr:uid="{00000000-0005-0000-0000-000026010000}"/>
    <cellStyle name="Accent4 2 3" xfId="201" xr:uid="{00000000-0005-0000-0000-000027010000}"/>
    <cellStyle name="Accent4 2 4" xfId="202" xr:uid="{00000000-0005-0000-0000-000028010000}"/>
    <cellStyle name="Accent4 3" xfId="203" xr:uid="{00000000-0005-0000-0000-000029010000}"/>
    <cellStyle name="Accent4 4" xfId="204" xr:uid="{00000000-0005-0000-0000-00002A010000}"/>
    <cellStyle name="Accent5 2" xfId="205" xr:uid="{00000000-0005-0000-0000-00002B010000}"/>
    <cellStyle name="Accent5 2 2" xfId="206" xr:uid="{00000000-0005-0000-0000-00002C010000}"/>
    <cellStyle name="Accent5 2 2 2" xfId="207" xr:uid="{00000000-0005-0000-0000-00002D010000}"/>
    <cellStyle name="Accent5 2 3" xfId="208" xr:uid="{00000000-0005-0000-0000-00002E010000}"/>
    <cellStyle name="Accent5 2 4" xfId="209" xr:uid="{00000000-0005-0000-0000-00002F010000}"/>
    <cellStyle name="Accent5 3" xfId="210" xr:uid="{00000000-0005-0000-0000-000030010000}"/>
    <cellStyle name="Accent5 4" xfId="211" xr:uid="{00000000-0005-0000-0000-000031010000}"/>
    <cellStyle name="Accent6 2" xfId="212" xr:uid="{00000000-0005-0000-0000-000032010000}"/>
    <cellStyle name="Accent6 2 2" xfId="213" xr:uid="{00000000-0005-0000-0000-000033010000}"/>
    <cellStyle name="Accent6 2 2 2" xfId="214" xr:uid="{00000000-0005-0000-0000-000034010000}"/>
    <cellStyle name="Accent6 2 3" xfId="215" xr:uid="{00000000-0005-0000-0000-000035010000}"/>
    <cellStyle name="Accent6 2 4" xfId="216" xr:uid="{00000000-0005-0000-0000-000036010000}"/>
    <cellStyle name="Accent6 3" xfId="217" xr:uid="{00000000-0005-0000-0000-000037010000}"/>
    <cellStyle name="Accent6 4" xfId="218" xr:uid="{00000000-0005-0000-0000-000038010000}"/>
    <cellStyle name="Affinity Annual" xfId="219" xr:uid="{00000000-0005-0000-0000-000039010000}"/>
    <cellStyle name="Affinity Background" xfId="220" xr:uid="{00000000-0005-0000-0000-00003A010000}"/>
    <cellStyle name="Affinity Caption" xfId="221" xr:uid="{00000000-0005-0000-0000-00003B010000}"/>
    <cellStyle name="Affinity Date" xfId="222" xr:uid="{00000000-0005-0000-0000-00003C010000}"/>
    <cellStyle name="Affinity Exhibit" xfId="223" xr:uid="{00000000-0005-0000-0000-00003D010000}"/>
    <cellStyle name="Affinity Exhibit Header" xfId="224" xr:uid="{00000000-0005-0000-0000-00003E010000}"/>
    <cellStyle name="Affinity Headings" xfId="225" xr:uid="{00000000-0005-0000-0000-00003F010000}"/>
    <cellStyle name="Affinity Headings 2" xfId="226" xr:uid="{00000000-0005-0000-0000-000040010000}"/>
    <cellStyle name="Affinity Headings 3" xfId="227" xr:uid="{00000000-0005-0000-0000-000041010000}"/>
    <cellStyle name="Affinity Highlight" xfId="228" xr:uid="{00000000-0005-0000-0000-000042010000}"/>
    <cellStyle name="Affinity Highlight 2" xfId="229" xr:uid="{00000000-0005-0000-0000-000043010000}"/>
    <cellStyle name="Affinity Highlight 3" xfId="230" xr:uid="{00000000-0005-0000-0000-000044010000}"/>
    <cellStyle name="Affinity Input" xfId="231" xr:uid="{00000000-0005-0000-0000-000045010000}"/>
    <cellStyle name="Affinity Monthly" xfId="232" xr:uid="{00000000-0005-0000-0000-000046010000}"/>
    <cellStyle name="Affinity Qtr" xfId="233" xr:uid="{00000000-0005-0000-0000-000047010000}"/>
    <cellStyle name="Affinity Semi-Annual" xfId="234" xr:uid="{00000000-0005-0000-0000-000048010000}"/>
    <cellStyle name="Affinity Totals" xfId="235" xr:uid="{00000000-0005-0000-0000-000049010000}"/>
    <cellStyle name="Bad 2" xfId="236" xr:uid="{00000000-0005-0000-0000-00004A010000}"/>
    <cellStyle name="Bad 2 2" xfId="237" xr:uid="{00000000-0005-0000-0000-00004B010000}"/>
    <cellStyle name="Bad 2 2 2" xfId="238" xr:uid="{00000000-0005-0000-0000-00004C010000}"/>
    <cellStyle name="Bad 2 3" xfId="239" xr:uid="{00000000-0005-0000-0000-00004D010000}"/>
    <cellStyle name="Bad 2 4" xfId="240" xr:uid="{00000000-0005-0000-0000-00004E010000}"/>
    <cellStyle name="Bad 3" xfId="241" xr:uid="{00000000-0005-0000-0000-00004F010000}"/>
    <cellStyle name="Bad 4" xfId="242" xr:uid="{00000000-0005-0000-0000-000050010000}"/>
    <cellStyle name="Calculation 2" xfId="243" xr:uid="{00000000-0005-0000-0000-000051010000}"/>
    <cellStyle name="Calculation 2 2" xfId="244" xr:uid="{00000000-0005-0000-0000-000052010000}"/>
    <cellStyle name="Calculation 2 2 2" xfId="245" xr:uid="{00000000-0005-0000-0000-000053010000}"/>
    <cellStyle name="Calculation 2 2 2 10" xfId="246" xr:uid="{00000000-0005-0000-0000-000054010000}"/>
    <cellStyle name="Calculation 2 2 2 2" xfId="247" xr:uid="{00000000-0005-0000-0000-000055010000}"/>
    <cellStyle name="Calculation 2 2 2 2 2" xfId="248" xr:uid="{00000000-0005-0000-0000-000056010000}"/>
    <cellStyle name="Calculation 2 2 2 2 3" xfId="249" xr:uid="{00000000-0005-0000-0000-000057010000}"/>
    <cellStyle name="Calculation 2 2 2 3" xfId="250" xr:uid="{00000000-0005-0000-0000-000058010000}"/>
    <cellStyle name="Calculation 2 2 2 3 2" xfId="251" xr:uid="{00000000-0005-0000-0000-000059010000}"/>
    <cellStyle name="Calculation 2 2 2 4" xfId="252" xr:uid="{00000000-0005-0000-0000-00005A010000}"/>
    <cellStyle name="Calculation 2 2 2 4 2" xfId="253" xr:uid="{00000000-0005-0000-0000-00005B010000}"/>
    <cellStyle name="Calculation 2 2 2 5" xfId="254" xr:uid="{00000000-0005-0000-0000-00005C010000}"/>
    <cellStyle name="Calculation 2 2 2 6" xfId="255" xr:uid="{00000000-0005-0000-0000-00005D010000}"/>
    <cellStyle name="Calculation 2 2 2 7" xfId="256" xr:uid="{00000000-0005-0000-0000-00005E010000}"/>
    <cellStyle name="Calculation 2 2 2 8" xfId="257" xr:uid="{00000000-0005-0000-0000-00005F010000}"/>
    <cellStyle name="Calculation 2 2 2 9" xfId="258" xr:uid="{00000000-0005-0000-0000-000060010000}"/>
    <cellStyle name="Calculation 2 2 3" xfId="259" xr:uid="{00000000-0005-0000-0000-000061010000}"/>
    <cellStyle name="Calculation 2 2 3 10" xfId="260" xr:uid="{00000000-0005-0000-0000-000062010000}"/>
    <cellStyle name="Calculation 2 2 3 2" xfId="261" xr:uid="{00000000-0005-0000-0000-000063010000}"/>
    <cellStyle name="Calculation 2 2 3 2 2" xfId="262" xr:uid="{00000000-0005-0000-0000-000064010000}"/>
    <cellStyle name="Calculation 2 2 3 2 3" xfId="263" xr:uid="{00000000-0005-0000-0000-000065010000}"/>
    <cellStyle name="Calculation 2 2 3 3" xfId="264" xr:uid="{00000000-0005-0000-0000-000066010000}"/>
    <cellStyle name="Calculation 2 2 3 3 2" xfId="265" xr:uid="{00000000-0005-0000-0000-000067010000}"/>
    <cellStyle name="Calculation 2 2 3 4" xfId="266" xr:uid="{00000000-0005-0000-0000-000068010000}"/>
    <cellStyle name="Calculation 2 2 3 4 2" xfId="267" xr:uid="{00000000-0005-0000-0000-000069010000}"/>
    <cellStyle name="Calculation 2 2 3 5" xfId="268" xr:uid="{00000000-0005-0000-0000-00006A010000}"/>
    <cellStyle name="Calculation 2 2 3 6" xfId="269" xr:uid="{00000000-0005-0000-0000-00006B010000}"/>
    <cellStyle name="Calculation 2 2 3 7" xfId="270" xr:uid="{00000000-0005-0000-0000-00006C010000}"/>
    <cellStyle name="Calculation 2 2 3 8" xfId="271" xr:uid="{00000000-0005-0000-0000-00006D010000}"/>
    <cellStyle name="Calculation 2 2 3 9" xfId="272" xr:uid="{00000000-0005-0000-0000-00006E010000}"/>
    <cellStyle name="Calculation 2 2 4" xfId="273" xr:uid="{00000000-0005-0000-0000-00006F010000}"/>
    <cellStyle name="Calculation 2 2 4 10" xfId="274" xr:uid="{00000000-0005-0000-0000-000070010000}"/>
    <cellStyle name="Calculation 2 2 4 2" xfId="275" xr:uid="{00000000-0005-0000-0000-000071010000}"/>
    <cellStyle name="Calculation 2 2 4 3" xfId="276" xr:uid="{00000000-0005-0000-0000-000072010000}"/>
    <cellStyle name="Calculation 2 2 4 4" xfId="277" xr:uid="{00000000-0005-0000-0000-000073010000}"/>
    <cellStyle name="Calculation 2 2 4 5" xfId="278" xr:uid="{00000000-0005-0000-0000-000074010000}"/>
    <cellStyle name="Calculation 2 2 4 6" xfId="279" xr:uid="{00000000-0005-0000-0000-000075010000}"/>
    <cellStyle name="Calculation 2 2 4 7" xfId="280" xr:uid="{00000000-0005-0000-0000-000076010000}"/>
    <cellStyle name="Calculation 2 2 4 8" xfId="281" xr:uid="{00000000-0005-0000-0000-000077010000}"/>
    <cellStyle name="Calculation 2 2 4 9" xfId="282" xr:uid="{00000000-0005-0000-0000-000078010000}"/>
    <cellStyle name="Calculation 2 2 5" xfId="283" xr:uid="{00000000-0005-0000-0000-000079010000}"/>
    <cellStyle name="Calculation 2 2 5 10" xfId="284" xr:uid="{00000000-0005-0000-0000-00007A010000}"/>
    <cellStyle name="Calculation 2 2 5 2" xfId="285" xr:uid="{00000000-0005-0000-0000-00007B010000}"/>
    <cellStyle name="Calculation 2 2 5 3" xfId="286" xr:uid="{00000000-0005-0000-0000-00007C010000}"/>
    <cellStyle name="Calculation 2 2 5 4" xfId="287" xr:uid="{00000000-0005-0000-0000-00007D010000}"/>
    <cellStyle name="Calculation 2 2 5 5" xfId="288" xr:uid="{00000000-0005-0000-0000-00007E010000}"/>
    <cellStyle name="Calculation 2 2 5 6" xfId="289" xr:uid="{00000000-0005-0000-0000-00007F010000}"/>
    <cellStyle name="Calculation 2 2 5 7" xfId="290" xr:uid="{00000000-0005-0000-0000-000080010000}"/>
    <cellStyle name="Calculation 2 2 5 8" xfId="291" xr:uid="{00000000-0005-0000-0000-000081010000}"/>
    <cellStyle name="Calculation 2 2 5 9" xfId="292" xr:uid="{00000000-0005-0000-0000-000082010000}"/>
    <cellStyle name="Calculation 2 2 6" xfId="293" xr:uid="{00000000-0005-0000-0000-000083010000}"/>
    <cellStyle name="Calculation 2 2 6 10" xfId="294" xr:uid="{00000000-0005-0000-0000-000084010000}"/>
    <cellStyle name="Calculation 2 2 6 2" xfId="295" xr:uid="{00000000-0005-0000-0000-000085010000}"/>
    <cellStyle name="Calculation 2 2 6 3" xfId="296" xr:uid="{00000000-0005-0000-0000-000086010000}"/>
    <cellStyle name="Calculation 2 2 6 4" xfId="297" xr:uid="{00000000-0005-0000-0000-000087010000}"/>
    <cellStyle name="Calculation 2 2 6 5" xfId="298" xr:uid="{00000000-0005-0000-0000-000088010000}"/>
    <cellStyle name="Calculation 2 2 6 6" xfId="299" xr:uid="{00000000-0005-0000-0000-000089010000}"/>
    <cellStyle name="Calculation 2 2 6 7" xfId="300" xr:uid="{00000000-0005-0000-0000-00008A010000}"/>
    <cellStyle name="Calculation 2 2 6 8" xfId="301" xr:uid="{00000000-0005-0000-0000-00008B010000}"/>
    <cellStyle name="Calculation 2 2 6 9" xfId="302" xr:uid="{00000000-0005-0000-0000-00008C010000}"/>
    <cellStyle name="Calculation 2 2 7" xfId="303" xr:uid="{00000000-0005-0000-0000-00008D010000}"/>
    <cellStyle name="Calculation 2 2 7 10" xfId="304" xr:uid="{00000000-0005-0000-0000-00008E010000}"/>
    <cellStyle name="Calculation 2 2 7 2" xfId="305" xr:uid="{00000000-0005-0000-0000-00008F010000}"/>
    <cellStyle name="Calculation 2 2 7 3" xfId="306" xr:uid="{00000000-0005-0000-0000-000090010000}"/>
    <cellStyle name="Calculation 2 2 7 4" xfId="307" xr:uid="{00000000-0005-0000-0000-000091010000}"/>
    <cellStyle name="Calculation 2 2 7 5" xfId="308" xr:uid="{00000000-0005-0000-0000-000092010000}"/>
    <cellStyle name="Calculation 2 2 7 6" xfId="309" xr:uid="{00000000-0005-0000-0000-000093010000}"/>
    <cellStyle name="Calculation 2 2 7 7" xfId="310" xr:uid="{00000000-0005-0000-0000-000094010000}"/>
    <cellStyle name="Calculation 2 2 7 8" xfId="311" xr:uid="{00000000-0005-0000-0000-000095010000}"/>
    <cellStyle name="Calculation 2 2 7 9" xfId="312" xr:uid="{00000000-0005-0000-0000-000096010000}"/>
    <cellStyle name="Calculation 2 2 8" xfId="313" xr:uid="{00000000-0005-0000-0000-000097010000}"/>
    <cellStyle name="Calculation 2 2 9" xfId="314" xr:uid="{00000000-0005-0000-0000-000098010000}"/>
    <cellStyle name="Calculation 2 3" xfId="315" xr:uid="{00000000-0005-0000-0000-000099010000}"/>
    <cellStyle name="Calculation 2 3 10" xfId="316" xr:uid="{00000000-0005-0000-0000-00009A010000}"/>
    <cellStyle name="Calculation 2 3 2" xfId="317" xr:uid="{00000000-0005-0000-0000-00009B010000}"/>
    <cellStyle name="Calculation 2 3 2 2" xfId="318" xr:uid="{00000000-0005-0000-0000-00009C010000}"/>
    <cellStyle name="Calculation 2 3 2 3" xfId="319" xr:uid="{00000000-0005-0000-0000-00009D010000}"/>
    <cellStyle name="Calculation 2 3 3" xfId="320" xr:uid="{00000000-0005-0000-0000-00009E010000}"/>
    <cellStyle name="Calculation 2 3 3 2" xfId="321" xr:uid="{00000000-0005-0000-0000-00009F010000}"/>
    <cellStyle name="Calculation 2 3 4" xfId="322" xr:uid="{00000000-0005-0000-0000-0000A0010000}"/>
    <cellStyle name="Calculation 2 3 4 2" xfId="323" xr:uid="{00000000-0005-0000-0000-0000A1010000}"/>
    <cellStyle name="Calculation 2 3 5" xfId="324" xr:uid="{00000000-0005-0000-0000-0000A2010000}"/>
    <cellStyle name="Calculation 2 3 6" xfId="325" xr:uid="{00000000-0005-0000-0000-0000A3010000}"/>
    <cellStyle name="Calculation 2 3 7" xfId="326" xr:uid="{00000000-0005-0000-0000-0000A4010000}"/>
    <cellStyle name="Calculation 2 3 8" xfId="327" xr:uid="{00000000-0005-0000-0000-0000A5010000}"/>
    <cellStyle name="Calculation 2 3 9" xfId="328" xr:uid="{00000000-0005-0000-0000-0000A6010000}"/>
    <cellStyle name="Calculation 2 4" xfId="329" xr:uid="{00000000-0005-0000-0000-0000A7010000}"/>
    <cellStyle name="Calculation 2 4 10" xfId="330" xr:uid="{00000000-0005-0000-0000-0000A8010000}"/>
    <cellStyle name="Calculation 2 4 2" xfId="331" xr:uid="{00000000-0005-0000-0000-0000A9010000}"/>
    <cellStyle name="Calculation 2 4 2 2" xfId="332" xr:uid="{00000000-0005-0000-0000-0000AA010000}"/>
    <cellStyle name="Calculation 2 4 2 3" xfId="333" xr:uid="{00000000-0005-0000-0000-0000AB010000}"/>
    <cellStyle name="Calculation 2 4 3" xfId="334" xr:uid="{00000000-0005-0000-0000-0000AC010000}"/>
    <cellStyle name="Calculation 2 4 3 2" xfId="335" xr:uid="{00000000-0005-0000-0000-0000AD010000}"/>
    <cellStyle name="Calculation 2 4 4" xfId="336" xr:uid="{00000000-0005-0000-0000-0000AE010000}"/>
    <cellStyle name="Calculation 2 4 4 2" xfId="337" xr:uid="{00000000-0005-0000-0000-0000AF010000}"/>
    <cellStyle name="Calculation 2 4 5" xfId="338" xr:uid="{00000000-0005-0000-0000-0000B0010000}"/>
    <cellStyle name="Calculation 2 4 6" xfId="339" xr:uid="{00000000-0005-0000-0000-0000B1010000}"/>
    <cellStyle name="Calculation 2 4 7" xfId="340" xr:uid="{00000000-0005-0000-0000-0000B2010000}"/>
    <cellStyle name="Calculation 2 4 8" xfId="341" xr:uid="{00000000-0005-0000-0000-0000B3010000}"/>
    <cellStyle name="Calculation 2 4 9" xfId="342" xr:uid="{00000000-0005-0000-0000-0000B4010000}"/>
    <cellStyle name="Calculation 2 5" xfId="343" xr:uid="{00000000-0005-0000-0000-0000B5010000}"/>
    <cellStyle name="Calculation 2 5 10" xfId="344" xr:uid="{00000000-0005-0000-0000-0000B6010000}"/>
    <cellStyle name="Calculation 2 5 2" xfId="345" xr:uid="{00000000-0005-0000-0000-0000B7010000}"/>
    <cellStyle name="Calculation 2 5 2 2" xfId="346" xr:uid="{00000000-0005-0000-0000-0000B8010000}"/>
    <cellStyle name="Calculation 2 5 2 3" xfId="347" xr:uid="{00000000-0005-0000-0000-0000B9010000}"/>
    <cellStyle name="Calculation 2 5 3" xfId="348" xr:uid="{00000000-0005-0000-0000-0000BA010000}"/>
    <cellStyle name="Calculation 2 5 3 2" xfId="349" xr:uid="{00000000-0005-0000-0000-0000BB010000}"/>
    <cellStyle name="Calculation 2 5 4" xfId="350" xr:uid="{00000000-0005-0000-0000-0000BC010000}"/>
    <cellStyle name="Calculation 2 5 5" xfId="351" xr:uid="{00000000-0005-0000-0000-0000BD010000}"/>
    <cellStyle name="Calculation 2 5 6" xfId="352" xr:uid="{00000000-0005-0000-0000-0000BE010000}"/>
    <cellStyle name="Calculation 2 5 7" xfId="353" xr:uid="{00000000-0005-0000-0000-0000BF010000}"/>
    <cellStyle name="Calculation 2 5 8" xfId="354" xr:uid="{00000000-0005-0000-0000-0000C0010000}"/>
    <cellStyle name="Calculation 2 5 9" xfId="355" xr:uid="{00000000-0005-0000-0000-0000C1010000}"/>
    <cellStyle name="Calculation 2 6" xfId="356" xr:uid="{00000000-0005-0000-0000-0000C2010000}"/>
    <cellStyle name="Calculation 2 6 10" xfId="357" xr:uid="{00000000-0005-0000-0000-0000C3010000}"/>
    <cellStyle name="Calculation 2 6 11" xfId="358" xr:uid="{00000000-0005-0000-0000-0000C4010000}"/>
    <cellStyle name="Calculation 2 6 2" xfId="359" xr:uid="{00000000-0005-0000-0000-0000C5010000}"/>
    <cellStyle name="Calculation 2 6 3" xfId="360" xr:uid="{00000000-0005-0000-0000-0000C6010000}"/>
    <cellStyle name="Calculation 2 6 4" xfId="361" xr:uid="{00000000-0005-0000-0000-0000C7010000}"/>
    <cellStyle name="Calculation 2 6 5" xfId="362" xr:uid="{00000000-0005-0000-0000-0000C8010000}"/>
    <cellStyle name="Calculation 2 6 6" xfId="363" xr:uid="{00000000-0005-0000-0000-0000C9010000}"/>
    <cellStyle name="Calculation 2 6 7" xfId="364" xr:uid="{00000000-0005-0000-0000-0000CA010000}"/>
    <cellStyle name="Calculation 2 6 8" xfId="365" xr:uid="{00000000-0005-0000-0000-0000CB010000}"/>
    <cellStyle name="Calculation 2 6 9" xfId="366" xr:uid="{00000000-0005-0000-0000-0000CC010000}"/>
    <cellStyle name="Calculation 2 7" xfId="367" xr:uid="{00000000-0005-0000-0000-0000CD010000}"/>
    <cellStyle name="Calculation 2 7 10" xfId="368" xr:uid="{00000000-0005-0000-0000-0000CE010000}"/>
    <cellStyle name="Calculation 2 7 11" xfId="369" xr:uid="{00000000-0005-0000-0000-0000CF010000}"/>
    <cellStyle name="Calculation 2 7 2" xfId="370" xr:uid="{00000000-0005-0000-0000-0000D0010000}"/>
    <cellStyle name="Calculation 2 7 3" xfId="371" xr:uid="{00000000-0005-0000-0000-0000D1010000}"/>
    <cellStyle name="Calculation 2 7 4" xfId="372" xr:uid="{00000000-0005-0000-0000-0000D2010000}"/>
    <cellStyle name="Calculation 2 7 5" xfId="373" xr:uid="{00000000-0005-0000-0000-0000D3010000}"/>
    <cellStyle name="Calculation 2 7 6" xfId="374" xr:uid="{00000000-0005-0000-0000-0000D4010000}"/>
    <cellStyle name="Calculation 2 7 7" xfId="375" xr:uid="{00000000-0005-0000-0000-0000D5010000}"/>
    <cellStyle name="Calculation 2 7 8" xfId="376" xr:uid="{00000000-0005-0000-0000-0000D6010000}"/>
    <cellStyle name="Calculation 2 7 9" xfId="377" xr:uid="{00000000-0005-0000-0000-0000D7010000}"/>
    <cellStyle name="Calculation 2 8" xfId="378" xr:uid="{00000000-0005-0000-0000-0000D8010000}"/>
    <cellStyle name="Calculation 2 8 10" xfId="379" xr:uid="{00000000-0005-0000-0000-0000D9010000}"/>
    <cellStyle name="Calculation 2 8 2" xfId="380" xr:uid="{00000000-0005-0000-0000-0000DA010000}"/>
    <cellStyle name="Calculation 2 8 3" xfId="381" xr:uid="{00000000-0005-0000-0000-0000DB010000}"/>
    <cellStyle name="Calculation 2 8 4" xfId="382" xr:uid="{00000000-0005-0000-0000-0000DC010000}"/>
    <cellStyle name="Calculation 2 8 5" xfId="383" xr:uid="{00000000-0005-0000-0000-0000DD010000}"/>
    <cellStyle name="Calculation 2 8 6" xfId="384" xr:uid="{00000000-0005-0000-0000-0000DE010000}"/>
    <cellStyle name="Calculation 2 8 7" xfId="385" xr:uid="{00000000-0005-0000-0000-0000DF010000}"/>
    <cellStyle name="Calculation 2 8 8" xfId="386" xr:uid="{00000000-0005-0000-0000-0000E0010000}"/>
    <cellStyle name="Calculation 2 8 9" xfId="387" xr:uid="{00000000-0005-0000-0000-0000E1010000}"/>
    <cellStyle name="Calculation 3" xfId="388" xr:uid="{00000000-0005-0000-0000-0000E2010000}"/>
    <cellStyle name="Calculation 3 2" xfId="389" xr:uid="{00000000-0005-0000-0000-0000E3010000}"/>
    <cellStyle name="Calculation 3 2 2" xfId="390" xr:uid="{00000000-0005-0000-0000-0000E4010000}"/>
    <cellStyle name="Calculation 3 3" xfId="391" xr:uid="{00000000-0005-0000-0000-0000E5010000}"/>
    <cellStyle name="Calculation 3 3 2" xfId="392" xr:uid="{00000000-0005-0000-0000-0000E6010000}"/>
    <cellStyle name="Calculation 3 4" xfId="393" xr:uid="{00000000-0005-0000-0000-0000E7010000}"/>
    <cellStyle name="Calculation 4" xfId="394" xr:uid="{00000000-0005-0000-0000-0000E8010000}"/>
    <cellStyle name="Calculation 4 2" xfId="395" xr:uid="{00000000-0005-0000-0000-0000E9010000}"/>
    <cellStyle name="Calculation 5" xfId="396" xr:uid="{00000000-0005-0000-0000-0000EA010000}"/>
    <cellStyle name="Check Cell 2" xfId="397" xr:uid="{00000000-0005-0000-0000-0000EB010000}"/>
    <cellStyle name="Check Cell 2 2" xfId="398" xr:uid="{00000000-0005-0000-0000-0000EC010000}"/>
    <cellStyle name="Check Cell 2 2 2" xfId="399" xr:uid="{00000000-0005-0000-0000-0000ED010000}"/>
    <cellStyle name="Check Cell 2 3" xfId="400" xr:uid="{00000000-0005-0000-0000-0000EE010000}"/>
    <cellStyle name="Check Cell 2 4" xfId="401" xr:uid="{00000000-0005-0000-0000-0000EF010000}"/>
    <cellStyle name="Check Cell 3" xfId="402" xr:uid="{00000000-0005-0000-0000-0000F0010000}"/>
    <cellStyle name="Check Cell 4" xfId="403" xr:uid="{00000000-0005-0000-0000-0000F1010000}"/>
    <cellStyle name="Comma" xfId="63076" builtinId="3"/>
    <cellStyle name="Comma 10" xfId="404" xr:uid="{00000000-0005-0000-0000-0000F3010000}"/>
    <cellStyle name="Comma 11" xfId="405" xr:uid="{00000000-0005-0000-0000-0000F4010000}"/>
    <cellStyle name="Comma 12" xfId="406" xr:uid="{00000000-0005-0000-0000-0000F5010000}"/>
    <cellStyle name="Comma 12 2" xfId="407" xr:uid="{00000000-0005-0000-0000-0000F6010000}"/>
    <cellStyle name="Comma 2" xfId="408" xr:uid="{00000000-0005-0000-0000-0000F7010000}"/>
    <cellStyle name="Comma 2 10" xfId="409" xr:uid="{00000000-0005-0000-0000-0000F8010000}"/>
    <cellStyle name="Comma 2 11" xfId="410" xr:uid="{00000000-0005-0000-0000-0000F9010000}"/>
    <cellStyle name="Comma 2 2" xfId="411" xr:uid="{00000000-0005-0000-0000-0000FA010000}"/>
    <cellStyle name="Comma 2 2 2" xfId="412" xr:uid="{00000000-0005-0000-0000-0000FB010000}"/>
    <cellStyle name="Comma 2 2 2 2" xfId="413" xr:uid="{00000000-0005-0000-0000-0000FC010000}"/>
    <cellStyle name="Comma 2 2 2 3" xfId="414" xr:uid="{00000000-0005-0000-0000-0000FD010000}"/>
    <cellStyle name="Comma 2 2 3" xfId="415" xr:uid="{00000000-0005-0000-0000-0000FE010000}"/>
    <cellStyle name="Comma 2 2 3 2" xfId="416" xr:uid="{00000000-0005-0000-0000-0000FF010000}"/>
    <cellStyle name="Comma 2 2 3 3" xfId="417" xr:uid="{00000000-0005-0000-0000-000000020000}"/>
    <cellStyle name="Comma 2 2 4" xfId="418" xr:uid="{00000000-0005-0000-0000-000001020000}"/>
    <cellStyle name="Comma 2 2 4 2" xfId="419" xr:uid="{00000000-0005-0000-0000-000002020000}"/>
    <cellStyle name="Comma 2 2 5" xfId="420" xr:uid="{00000000-0005-0000-0000-000003020000}"/>
    <cellStyle name="Comma 2 2 6" xfId="421" xr:uid="{00000000-0005-0000-0000-000004020000}"/>
    <cellStyle name="Comma 2 2 7" xfId="422" xr:uid="{00000000-0005-0000-0000-000005020000}"/>
    <cellStyle name="Comma 2 3" xfId="423" xr:uid="{00000000-0005-0000-0000-000006020000}"/>
    <cellStyle name="Comma 2 3 2" xfId="424" xr:uid="{00000000-0005-0000-0000-000007020000}"/>
    <cellStyle name="Comma 2 3 2 2" xfId="425" xr:uid="{00000000-0005-0000-0000-000008020000}"/>
    <cellStyle name="Comma 2 3 2 3" xfId="426" xr:uid="{00000000-0005-0000-0000-000009020000}"/>
    <cellStyle name="Comma 2 3 3" xfId="427" xr:uid="{00000000-0005-0000-0000-00000A020000}"/>
    <cellStyle name="Comma 2 3 3 2" xfId="428" xr:uid="{00000000-0005-0000-0000-00000B020000}"/>
    <cellStyle name="Comma 2 3 4" xfId="429" xr:uid="{00000000-0005-0000-0000-00000C020000}"/>
    <cellStyle name="Comma 2 3 4 2" xfId="430" xr:uid="{00000000-0005-0000-0000-00000D020000}"/>
    <cellStyle name="Comma 2 3 5" xfId="431" xr:uid="{00000000-0005-0000-0000-00000E020000}"/>
    <cellStyle name="Comma 2 3 6" xfId="432" xr:uid="{00000000-0005-0000-0000-00000F020000}"/>
    <cellStyle name="Comma 2 3 7" xfId="433" xr:uid="{00000000-0005-0000-0000-000010020000}"/>
    <cellStyle name="Comma 2 4" xfId="434" xr:uid="{00000000-0005-0000-0000-000011020000}"/>
    <cellStyle name="Comma 2 4 2" xfId="435" xr:uid="{00000000-0005-0000-0000-000012020000}"/>
    <cellStyle name="Comma 2 5" xfId="436" xr:uid="{00000000-0005-0000-0000-000013020000}"/>
    <cellStyle name="Comma 2 5 2" xfId="437" xr:uid="{00000000-0005-0000-0000-000014020000}"/>
    <cellStyle name="Comma 2 5 3" xfId="438" xr:uid="{00000000-0005-0000-0000-000015020000}"/>
    <cellStyle name="Comma 2 6" xfId="439" xr:uid="{00000000-0005-0000-0000-000016020000}"/>
    <cellStyle name="Comma 2 6 2" xfId="440" xr:uid="{00000000-0005-0000-0000-000017020000}"/>
    <cellStyle name="Comma 2 7" xfId="441" xr:uid="{00000000-0005-0000-0000-000018020000}"/>
    <cellStyle name="Comma 2 8" xfId="442" xr:uid="{00000000-0005-0000-0000-000019020000}"/>
    <cellStyle name="Comma 2 9" xfId="443" xr:uid="{00000000-0005-0000-0000-00001A020000}"/>
    <cellStyle name="Comma 3" xfId="444" xr:uid="{00000000-0005-0000-0000-00001B020000}"/>
    <cellStyle name="Comma 3 2" xfId="445" xr:uid="{00000000-0005-0000-0000-00001C020000}"/>
    <cellStyle name="Comma 3 2 2" xfId="446" xr:uid="{00000000-0005-0000-0000-00001D020000}"/>
    <cellStyle name="Comma 3 3" xfId="447" xr:uid="{00000000-0005-0000-0000-00001E020000}"/>
    <cellStyle name="Comma 4" xfId="448" xr:uid="{00000000-0005-0000-0000-00001F020000}"/>
    <cellStyle name="Comma 4 2" xfId="449" xr:uid="{00000000-0005-0000-0000-000020020000}"/>
    <cellStyle name="Comma 4 2 2" xfId="450" xr:uid="{00000000-0005-0000-0000-000021020000}"/>
    <cellStyle name="Comma 4 2 2 2" xfId="451" xr:uid="{00000000-0005-0000-0000-000022020000}"/>
    <cellStyle name="Comma 4 2 2 2 2" xfId="46121" xr:uid="{00000000-0005-0000-0000-000023020000}"/>
    <cellStyle name="Comma 4 2 2 2 3" xfId="46122" xr:uid="{00000000-0005-0000-0000-000024020000}"/>
    <cellStyle name="Comma 4 2 2 3" xfId="46123" xr:uid="{00000000-0005-0000-0000-000025020000}"/>
    <cellStyle name="Comma 4 2 2 4" xfId="46124" xr:uid="{00000000-0005-0000-0000-000026020000}"/>
    <cellStyle name="Comma 4 2 3" xfId="452" xr:uid="{00000000-0005-0000-0000-000027020000}"/>
    <cellStyle name="Comma 4 2 3 2" xfId="46125" xr:uid="{00000000-0005-0000-0000-000028020000}"/>
    <cellStyle name="Comma 4 2 3 3" xfId="46126" xr:uid="{00000000-0005-0000-0000-000029020000}"/>
    <cellStyle name="Comma 4 2 4" xfId="453" xr:uid="{00000000-0005-0000-0000-00002A020000}"/>
    <cellStyle name="Comma 4 2 4 2" xfId="46127" xr:uid="{00000000-0005-0000-0000-00002B020000}"/>
    <cellStyle name="Comma 4 2 5" xfId="454" xr:uid="{00000000-0005-0000-0000-00002C020000}"/>
    <cellStyle name="Comma 4 2 6" xfId="46128" xr:uid="{00000000-0005-0000-0000-00002D020000}"/>
    <cellStyle name="Comma 4 3" xfId="455" xr:uid="{00000000-0005-0000-0000-00002E020000}"/>
    <cellStyle name="Comma 4 3 2" xfId="456" xr:uid="{00000000-0005-0000-0000-00002F020000}"/>
    <cellStyle name="Comma 4 3 2 2" xfId="46129" xr:uid="{00000000-0005-0000-0000-000030020000}"/>
    <cellStyle name="Comma 4 3 2 3" xfId="46130" xr:uid="{00000000-0005-0000-0000-000031020000}"/>
    <cellStyle name="Comma 4 3 3" xfId="457" xr:uid="{00000000-0005-0000-0000-000032020000}"/>
    <cellStyle name="Comma 4 3 4" xfId="46131" xr:uid="{00000000-0005-0000-0000-000033020000}"/>
    <cellStyle name="Comma 4 4" xfId="458" xr:uid="{00000000-0005-0000-0000-000034020000}"/>
    <cellStyle name="Comma 4 4 2" xfId="459" xr:uid="{00000000-0005-0000-0000-000035020000}"/>
    <cellStyle name="Comma 4 4 3" xfId="46132" xr:uid="{00000000-0005-0000-0000-000036020000}"/>
    <cellStyle name="Comma 4 5" xfId="460" xr:uid="{00000000-0005-0000-0000-000037020000}"/>
    <cellStyle name="Comma 4 5 2" xfId="46133" xr:uid="{00000000-0005-0000-0000-000038020000}"/>
    <cellStyle name="Comma 4 6" xfId="46134" xr:uid="{00000000-0005-0000-0000-000039020000}"/>
    <cellStyle name="Comma 4 7" xfId="46135" xr:uid="{00000000-0005-0000-0000-00003A020000}"/>
    <cellStyle name="Comma 5" xfId="461" xr:uid="{00000000-0005-0000-0000-00003B020000}"/>
    <cellStyle name="Comma 5 2" xfId="462" xr:uid="{00000000-0005-0000-0000-00003C020000}"/>
    <cellStyle name="Comma 5 2 2" xfId="463" xr:uid="{00000000-0005-0000-0000-00003D020000}"/>
    <cellStyle name="Comma 5 2 2 2" xfId="46136" xr:uid="{00000000-0005-0000-0000-00003E020000}"/>
    <cellStyle name="Comma 5 2 3" xfId="46137" xr:uid="{00000000-0005-0000-0000-00003F020000}"/>
    <cellStyle name="Comma 5 3" xfId="464" xr:uid="{00000000-0005-0000-0000-000040020000}"/>
    <cellStyle name="Comma 5 3 2" xfId="465" xr:uid="{00000000-0005-0000-0000-000041020000}"/>
    <cellStyle name="Comma 5 4" xfId="466" xr:uid="{00000000-0005-0000-0000-000042020000}"/>
    <cellStyle name="Comma 5 4 2" xfId="467" xr:uid="{00000000-0005-0000-0000-000043020000}"/>
    <cellStyle name="Comma 5 5" xfId="468" xr:uid="{00000000-0005-0000-0000-000044020000}"/>
    <cellStyle name="Comma 6" xfId="469" xr:uid="{00000000-0005-0000-0000-000045020000}"/>
    <cellStyle name="Comma 6 2" xfId="470" xr:uid="{00000000-0005-0000-0000-000046020000}"/>
    <cellStyle name="Comma 6 3" xfId="471" xr:uid="{00000000-0005-0000-0000-000047020000}"/>
    <cellStyle name="Comma 6 4" xfId="472" xr:uid="{00000000-0005-0000-0000-000048020000}"/>
    <cellStyle name="Comma 7" xfId="473" xr:uid="{00000000-0005-0000-0000-000049020000}"/>
    <cellStyle name="Comma 8" xfId="474" xr:uid="{00000000-0005-0000-0000-00004A020000}"/>
    <cellStyle name="Comma 9" xfId="475" xr:uid="{00000000-0005-0000-0000-00004B020000}"/>
    <cellStyle name="Comma0" xfId="476" xr:uid="{00000000-0005-0000-0000-00004C020000}"/>
    <cellStyle name="Currency 10" xfId="477" xr:uid="{00000000-0005-0000-0000-00004D020000}"/>
    <cellStyle name="Currency 10 2" xfId="478" xr:uid="{00000000-0005-0000-0000-00004E020000}"/>
    <cellStyle name="Currency 11" xfId="46138" xr:uid="{00000000-0005-0000-0000-00004F020000}"/>
    <cellStyle name="Currency 11 2" xfId="46139" xr:uid="{00000000-0005-0000-0000-000050020000}"/>
    <cellStyle name="Currency 12" xfId="46140" xr:uid="{00000000-0005-0000-0000-000051020000}"/>
    <cellStyle name="Currency 2" xfId="479" xr:uid="{00000000-0005-0000-0000-000052020000}"/>
    <cellStyle name="Currency 2 2" xfId="480" xr:uid="{00000000-0005-0000-0000-000053020000}"/>
    <cellStyle name="Currency 2 2 2" xfId="481" xr:uid="{00000000-0005-0000-0000-000054020000}"/>
    <cellStyle name="Currency 2 2 2 2" xfId="482" xr:uid="{00000000-0005-0000-0000-000055020000}"/>
    <cellStyle name="Currency 2 2 2 3" xfId="483" xr:uid="{00000000-0005-0000-0000-000056020000}"/>
    <cellStyle name="Currency 2 2 3" xfId="484" xr:uid="{00000000-0005-0000-0000-000057020000}"/>
    <cellStyle name="Currency 2 3" xfId="485" xr:uid="{00000000-0005-0000-0000-000058020000}"/>
    <cellStyle name="Currency 2 3 2" xfId="486" xr:uid="{00000000-0005-0000-0000-000059020000}"/>
    <cellStyle name="Currency 2 3 3" xfId="487" xr:uid="{00000000-0005-0000-0000-00005A020000}"/>
    <cellStyle name="Currency 2 4" xfId="488" xr:uid="{00000000-0005-0000-0000-00005B020000}"/>
    <cellStyle name="Currency 2 4 2" xfId="489" xr:uid="{00000000-0005-0000-0000-00005C020000}"/>
    <cellStyle name="Currency 2 5" xfId="490" xr:uid="{00000000-0005-0000-0000-00005D020000}"/>
    <cellStyle name="Currency 2 5 2" xfId="491" xr:uid="{00000000-0005-0000-0000-00005E020000}"/>
    <cellStyle name="Currency 2 6" xfId="492" xr:uid="{00000000-0005-0000-0000-00005F020000}"/>
    <cellStyle name="Currency 2 7" xfId="493" xr:uid="{00000000-0005-0000-0000-000060020000}"/>
    <cellStyle name="Currency 3" xfId="494" xr:uid="{00000000-0005-0000-0000-000061020000}"/>
    <cellStyle name="Currency 3 10" xfId="495" xr:uid="{00000000-0005-0000-0000-000062020000}"/>
    <cellStyle name="Currency 3 10 2" xfId="496" xr:uid="{00000000-0005-0000-0000-000063020000}"/>
    <cellStyle name="Currency 3 10 2 2" xfId="497" xr:uid="{00000000-0005-0000-0000-000064020000}"/>
    <cellStyle name="Currency 3 10 2 2 2" xfId="46141" xr:uid="{00000000-0005-0000-0000-000065020000}"/>
    <cellStyle name="Currency 3 10 2 2 3" xfId="46142" xr:uid="{00000000-0005-0000-0000-000066020000}"/>
    <cellStyle name="Currency 3 10 2 3" xfId="498" xr:uid="{00000000-0005-0000-0000-000067020000}"/>
    <cellStyle name="Currency 3 10 2 3 2" xfId="46143" xr:uid="{00000000-0005-0000-0000-000068020000}"/>
    <cellStyle name="Currency 3 10 2 4" xfId="499" xr:uid="{00000000-0005-0000-0000-000069020000}"/>
    <cellStyle name="Currency 3 10 2 5" xfId="500" xr:uid="{00000000-0005-0000-0000-00006A020000}"/>
    <cellStyle name="Currency 3 10 2 6" xfId="501" xr:uid="{00000000-0005-0000-0000-00006B020000}"/>
    <cellStyle name="Currency 3 10 3" xfId="502" xr:uid="{00000000-0005-0000-0000-00006C020000}"/>
    <cellStyle name="Currency 3 10 3 2" xfId="46144" xr:uid="{00000000-0005-0000-0000-00006D020000}"/>
    <cellStyle name="Currency 3 10 3 3" xfId="46145" xr:uid="{00000000-0005-0000-0000-00006E020000}"/>
    <cellStyle name="Currency 3 10 4" xfId="503" xr:uid="{00000000-0005-0000-0000-00006F020000}"/>
    <cellStyle name="Currency 3 10 4 2" xfId="46146" xr:uid="{00000000-0005-0000-0000-000070020000}"/>
    <cellStyle name="Currency 3 10 5" xfId="504" xr:uid="{00000000-0005-0000-0000-000071020000}"/>
    <cellStyle name="Currency 3 10 6" xfId="505" xr:uid="{00000000-0005-0000-0000-000072020000}"/>
    <cellStyle name="Currency 3 10 7" xfId="506" xr:uid="{00000000-0005-0000-0000-000073020000}"/>
    <cellStyle name="Currency 3 11" xfId="507" xr:uid="{00000000-0005-0000-0000-000074020000}"/>
    <cellStyle name="Currency 3 11 2" xfId="508" xr:uid="{00000000-0005-0000-0000-000075020000}"/>
    <cellStyle name="Currency 3 11 2 2" xfId="46147" xr:uid="{00000000-0005-0000-0000-000076020000}"/>
    <cellStyle name="Currency 3 11 2 3" xfId="46148" xr:uid="{00000000-0005-0000-0000-000077020000}"/>
    <cellStyle name="Currency 3 11 3" xfId="509" xr:uid="{00000000-0005-0000-0000-000078020000}"/>
    <cellStyle name="Currency 3 11 3 2" xfId="46149" xr:uid="{00000000-0005-0000-0000-000079020000}"/>
    <cellStyle name="Currency 3 11 4" xfId="510" xr:uid="{00000000-0005-0000-0000-00007A020000}"/>
    <cellStyle name="Currency 3 11 5" xfId="511" xr:uid="{00000000-0005-0000-0000-00007B020000}"/>
    <cellStyle name="Currency 3 11 6" xfId="512" xr:uid="{00000000-0005-0000-0000-00007C020000}"/>
    <cellStyle name="Currency 3 12" xfId="513" xr:uid="{00000000-0005-0000-0000-00007D020000}"/>
    <cellStyle name="Currency 3 12 2" xfId="46150" xr:uid="{00000000-0005-0000-0000-00007E020000}"/>
    <cellStyle name="Currency 3 12 3" xfId="46151" xr:uid="{00000000-0005-0000-0000-00007F020000}"/>
    <cellStyle name="Currency 3 13" xfId="514" xr:uid="{00000000-0005-0000-0000-000080020000}"/>
    <cellStyle name="Currency 3 13 2" xfId="46152" xr:uid="{00000000-0005-0000-0000-000081020000}"/>
    <cellStyle name="Currency 3 14" xfId="515" xr:uid="{00000000-0005-0000-0000-000082020000}"/>
    <cellStyle name="Currency 3 14 2" xfId="516" xr:uid="{00000000-0005-0000-0000-000083020000}"/>
    <cellStyle name="Currency 3 15" xfId="517" xr:uid="{00000000-0005-0000-0000-000084020000}"/>
    <cellStyle name="Currency 3 15 2" xfId="46153" xr:uid="{00000000-0005-0000-0000-000085020000}"/>
    <cellStyle name="Currency 3 16" xfId="518" xr:uid="{00000000-0005-0000-0000-000086020000}"/>
    <cellStyle name="Currency 3 17" xfId="519" xr:uid="{00000000-0005-0000-0000-000087020000}"/>
    <cellStyle name="Currency 3 18" xfId="520" xr:uid="{00000000-0005-0000-0000-000088020000}"/>
    <cellStyle name="Currency 3 19" xfId="521" xr:uid="{00000000-0005-0000-0000-000089020000}"/>
    <cellStyle name="Currency 3 2" xfId="522" xr:uid="{00000000-0005-0000-0000-00008A020000}"/>
    <cellStyle name="Currency 3 2 10" xfId="523" xr:uid="{00000000-0005-0000-0000-00008B020000}"/>
    <cellStyle name="Currency 3 2 11" xfId="524" xr:uid="{00000000-0005-0000-0000-00008C020000}"/>
    <cellStyle name="Currency 3 2 12" xfId="525" xr:uid="{00000000-0005-0000-0000-00008D020000}"/>
    <cellStyle name="Currency 3 2 13" xfId="526" xr:uid="{00000000-0005-0000-0000-00008E020000}"/>
    <cellStyle name="Currency 3 2 14" xfId="527" xr:uid="{00000000-0005-0000-0000-00008F020000}"/>
    <cellStyle name="Currency 3 2 15" xfId="528" xr:uid="{00000000-0005-0000-0000-000090020000}"/>
    <cellStyle name="Currency 3 2 2" xfId="529" xr:uid="{00000000-0005-0000-0000-000091020000}"/>
    <cellStyle name="Currency 3 2 2 10" xfId="530" xr:uid="{00000000-0005-0000-0000-000092020000}"/>
    <cellStyle name="Currency 3 2 2 11" xfId="531" xr:uid="{00000000-0005-0000-0000-000093020000}"/>
    <cellStyle name="Currency 3 2 2 12" xfId="532" xr:uid="{00000000-0005-0000-0000-000094020000}"/>
    <cellStyle name="Currency 3 2 2 13" xfId="533" xr:uid="{00000000-0005-0000-0000-000095020000}"/>
    <cellStyle name="Currency 3 2 2 14" xfId="534" xr:uid="{00000000-0005-0000-0000-000096020000}"/>
    <cellStyle name="Currency 3 2 2 15" xfId="535" xr:uid="{00000000-0005-0000-0000-000097020000}"/>
    <cellStyle name="Currency 3 2 2 2" xfId="536" xr:uid="{00000000-0005-0000-0000-000098020000}"/>
    <cellStyle name="Currency 3 2 2 2 2" xfId="537" xr:uid="{00000000-0005-0000-0000-000099020000}"/>
    <cellStyle name="Currency 3 2 2 2 2 2" xfId="538" xr:uid="{00000000-0005-0000-0000-00009A020000}"/>
    <cellStyle name="Currency 3 2 2 2 2 2 2" xfId="539" xr:uid="{00000000-0005-0000-0000-00009B020000}"/>
    <cellStyle name="Currency 3 2 2 2 2 2 2 2" xfId="46154" xr:uid="{00000000-0005-0000-0000-00009C020000}"/>
    <cellStyle name="Currency 3 2 2 2 2 2 2 3" xfId="46155" xr:uid="{00000000-0005-0000-0000-00009D020000}"/>
    <cellStyle name="Currency 3 2 2 2 2 2 3" xfId="540" xr:uid="{00000000-0005-0000-0000-00009E020000}"/>
    <cellStyle name="Currency 3 2 2 2 2 2 3 2" xfId="46156" xr:uid="{00000000-0005-0000-0000-00009F020000}"/>
    <cellStyle name="Currency 3 2 2 2 2 2 4" xfId="541" xr:uid="{00000000-0005-0000-0000-0000A0020000}"/>
    <cellStyle name="Currency 3 2 2 2 2 2 5" xfId="542" xr:uid="{00000000-0005-0000-0000-0000A1020000}"/>
    <cellStyle name="Currency 3 2 2 2 2 2 6" xfId="543" xr:uid="{00000000-0005-0000-0000-0000A2020000}"/>
    <cellStyle name="Currency 3 2 2 2 2 3" xfId="544" xr:uid="{00000000-0005-0000-0000-0000A3020000}"/>
    <cellStyle name="Currency 3 2 2 2 2 3 2" xfId="46157" xr:uid="{00000000-0005-0000-0000-0000A4020000}"/>
    <cellStyle name="Currency 3 2 2 2 2 3 3" xfId="46158" xr:uid="{00000000-0005-0000-0000-0000A5020000}"/>
    <cellStyle name="Currency 3 2 2 2 2 4" xfId="545" xr:uid="{00000000-0005-0000-0000-0000A6020000}"/>
    <cellStyle name="Currency 3 2 2 2 2 4 2" xfId="46159" xr:uid="{00000000-0005-0000-0000-0000A7020000}"/>
    <cellStyle name="Currency 3 2 2 2 2 5" xfId="546" xr:uid="{00000000-0005-0000-0000-0000A8020000}"/>
    <cellStyle name="Currency 3 2 2 2 2 6" xfId="547" xr:uid="{00000000-0005-0000-0000-0000A9020000}"/>
    <cellStyle name="Currency 3 2 2 2 2 7" xfId="548" xr:uid="{00000000-0005-0000-0000-0000AA020000}"/>
    <cellStyle name="Currency 3 2 2 2 3" xfId="549" xr:uid="{00000000-0005-0000-0000-0000AB020000}"/>
    <cellStyle name="Currency 3 2 2 2 3 2" xfId="550" xr:uid="{00000000-0005-0000-0000-0000AC020000}"/>
    <cellStyle name="Currency 3 2 2 2 3 2 2" xfId="46160" xr:uid="{00000000-0005-0000-0000-0000AD020000}"/>
    <cellStyle name="Currency 3 2 2 2 3 2 3" xfId="46161" xr:uid="{00000000-0005-0000-0000-0000AE020000}"/>
    <cellStyle name="Currency 3 2 2 2 3 3" xfId="551" xr:uid="{00000000-0005-0000-0000-0000AF020000}"/>
    <cellStyle name="Currency 3 2 2 2 3 3 2" xfId="46162" xr:uid="{00000000-0005-0000-0000-0000B0020000}"/>
    <cellStyle name="Currency 3 2 2 2 3 4" xfId="552" xr:uid="{00000000-0005-0000-0000-0000B1020000}"/>
    <cellStyle name="Currency 3 2 2 2 3 5" xfId="553" xr:uid="{00000000-0005-0000-0000-0000B2020000}"/>
    <cellStyle name="Currency 3 2 2 2 3 6" xfId="554" xr:uid="{00000000-0005-0000-0000-0000B3020000}"/>
    <cellStyle name="Currency 3 2 2 2 4" xfId="555" xr:uid="{00000000-0005-0000-0000-0000B4020000}"/>
    <cellStyle name="Currency 3 2 2 2 4 2" xfId="46163" xr:uid="{00000000-0005-0000-0000-0000B5020000}"/>
    <cellStyle name="Currency 3 2 2 2 4 3" xfId="46164" xr:uid="{00000000-0005-0000-0000-0000B6020000}"/>
    <cellStyle name="Currency 3 2 2 2 5" xfId="556" xr:uid="{00000000-0005-0000-0000-0000B7020000}"/>
    <cellStyle name="Currency 3 2 2 2 5 2" xfId="46165" xr:uid="{00000000-0005-0000-0000-0000B8020000}"/>
    <cellStyle name="Currency 3 2 2 2 6" xfId="557" xr:uid="{00000000-0005-0000-0000-0000B9020000}"/>
    <cellStyle name="Currency 3 2 2 2 7" xfId="558" xr:uid="{00000000-0005-0000-0000-0000BA020000}"/>
    <cellStyle name="Currency 3 2 2 2 8" xfId="559" xr:uid="{00000000-0005-0000-0000-0000BB020000}"/>
    <cellStyle name="Currency 3 2 2 2 9" xfId="560" xr:uid="{00000000-0005-0000-0000-0000BC020000}"/>
    <cellStyle name="Currency 3 2 2 3" xfId="561" xr:uid="{00000000-0005-0000-0000-0000BD020000}"/>
    <cellStyle name="Currency 3 2 2 3 2" xfId="562" xr:uid="{00000000-0005-0000-0000-0000BE020000}"/>
    <cellStyle name="Currency 3 2 2 3 2 2" xfId="563" xr:uid="{00000000-0005-0000-0000-0000BF020000}"/>
    <cellStyle name="Currency 3 2 2 3 2 2 2" xfId="564" xr:uid="{00000000-0005-0000-0000-0000C0020000}"/>
    <cellStyle name="Currency 3 2 2 3 2 2 2 2" xfId="46166" xr:uid="{00000000-0005-0000-0000-0000C1020000}"/>
    <cellStyle name="Currency 3 2 2 3 2 2 2 3" xfId="46167" xr:uid="{00000000-0005-0000-0000-0000C2020000}"/>
    <cellStyle name="Currency 3 2 2 3 2 2 3" xfId="565" xr:uid="{00000000-0005-0000-0000-0000C3020000}"/>
    <cellStyle name="Currency 3 2 2 3 2 2 3 2" xfId="46168" xr:uid="{00000000-0005-0000-0000-0000C4020000}"/>
    <cellStyle name="Currency 3 2 2 3 2 2 4" xfId="566" xr:uid="{00000000-0005-0000-0000-0000C5020000}"/>
    <cellStyle name="Currency 3 2 2 3 2 2 5" xfId="567" xr:uid="{00000000-0005-0000-0000-0000C6020000}"/>
    <cellStyle name="Currency 3 2 2 3 2 2 6" xfId="568" xr:uid="{00000000-0005-0000-0000-0000C7020000}"/>
    <cellStyle name="Currency 3 2 2 3 2 3" xfId="569" xr:uid="{00000000-0005-0000-0000-0000C8020000}"/>
    <cellStyle name="Currency 3 2 2 3 2 3 2" xfId="46169" xr:uid="{00000000-0005-0000-0000-0000C9020000}"/>
    <cellStyle name="Currency 3 2 2 3 2 3 3" xfId="46170" xr:uid="{00000000-0005-0000-0000-0000CA020000}"/>
    <cellStyle name="Currency 3 2 2 3 2 4" xfId="570" xr:uid="{00000000-0005-0000-0000-0000CB020000}"/>
    <cellStyle name="Currency 3 2 2 3 2 4 2" xfId="46171" xr:uid="{00000000-0005-0000-0000-0000CC020000}"/>
    <cellStyle name="Currency 3 2 2 3 2 5" xfId="571" xr:uid="{00000000-0005-0000-0000-0000CD020000}"/>
    <cellStyle name="Currency 3 2 2 3 2 6" xfId="572" xr:uid="{00000000-0005-0000-0000-0000CE020000}"/>
    <cellStyle name="Currency 3 2 2 3 2 7" xfId="573" xr:uid="{00000000-0005-0000-0000-0000CF020000}"/>
    <cellStyle name="Currency 3 2 2 3 3" xfId="574" xr:uid="{00000000-0005-0000-0000-0000D0020000}"/>
    <cellStyle name="Currency 3 2 2 3 3 2" xfId="575" xr:uid="{00000000-0005-0000-0000-0000D1020000}"/>
    <cellStyle name="Currency 3 2 2 3 3 2 2" xfId="46172" xr:uid="{00000000-0005-0000-0000-0000D2020000}"/>
    <cellStyle name="Currency 3 2 2 3 3 2 3" xfId="46173" xr:uid="{00000000-0005-0000-0000-0000D3020000}"/>
    <cellStyle name="Currency 3 2 2 3 3 3" xfId="576" xr:uid="{00000000-0005-0000-0000-0000D4020000}"/>
    <cellStyle name="Currency 3 2 2 3 3 3 2" xfId="46174" xr:uid="{00000000-0005-0000-0000-0000D5020000}"/>
    <cellStyle name="Currency 3 2 2 3 3 4" xfId="577" xr:uid="{00000000-0005-0000-0000-0000D6020000}"/>
    <cellStyle name="Currency 3 2 2 3 3 5" xfId="578" xr:uid="{00000000-0005-0000-0000-0000D7020000}"/>
    <cellStyle name="Currency 3 2 2 3 3 6" xfId="579" xr:uid="{00000000-0005-0000-0000-0000D8020000}"/>
    <cellStyle name="Currency 3 2 2 3 4" xfId="580" xr:uid="{00000000-0005-0000-0000-0000D9020000}"/>
    <cellStyle name="Currency 3 2 2 3 4 2" xfId="46175" xr:uid="{00000000-0005-0000-0000-0000DA020000}"/>
    <cellStyle name="Currency 3 2 2 3 4 3" xfId="46176" xr:uid="{00000000-0005-0000-0000-0000DB020000}"/>
    <cellStyle name="Currency 3 2 2 3 5" xfId="581" xr:uid="{00000000-0005-0000-0000-0000DC020000}"/>
    <cellStyle name="Currency 3 2 2 3 5 2" xfId="46177" xr:uid="{00000000-0005-0000-0000-0000DD020000}"/>
    <cellStyle name="Currency 3 2 2 3 6" xfId="582" xr:uid="{00000000-0005-0000-0000-0000DE020000}"/>
    <cellStyle name="Currency 3 2 2 3 7" xfId="583" xr:uid="{00000000-0005-0000-0000-0000DF020000}"/>
    <cellStyle name="Currency 3 2 2 3 8" xfId="584" xr:uid="{00000000-0005-0000-0000-0000E0020000}"/>
    <cellStyle name="Currency 3 2 2 4" xfId="585" xr:uid="{00000000-0005-0000-0000-0000E1020000}"/>
    <cellStyle name="Currency 3 2 2 4 2" xfId="586" xr:uid="{00000000-0005-0000-0000-0000E2020000}"/>
    <cellStyle name="Currency 3 2 2 4 2 2" xfId="587" xr:uid="{00000000-0005-0000-0000-0000E3020000}"/>
    <cellStyle name="Currency 3 2 2 4 2 2 2" xfId="46178" xr:uid="{00000000-0005-0000-0000-0000E4020000}"/>
    <cellStyle name="Currency 3 2 2 4 2 2 3" xfId="46179" xr:uid="{00000000-0005-0000-0000-0000E5020000}"/>
    <cellStyle name="Currency 3 2 2 4 2 3" xfId="588" xr:uid="{00000000-0005-0000-0000-0000E6020000}"/>
    <cellStyle name="Currency 3 2 2 4 2 3 2" xfId="46180" xr:uid="{00000000-0005-0000-0000-0000E7020000}"/>
    <cellStyle name="Currency 3 2 2 4 2 4" xfId="589" xr:uid="{00000000-0005-0000-0000-0000E8020000}"/>
    <cellStyle name="Currency 3 2 2 4 2 5" xfId="590" xr:uid="{00000000-0005-0000-0000-0000E9020000}"/>
    <cellStyle name="Currency 3 2 2 4 2 6" xfId="591" xr:uid="{00000000-0005-0000-0000-0000EA020000}"/>
    <cellStyle name="Currency 3 2 2 4 3" xfId="592" xr:uid="{00000000-0005-0000-0000-0000EB020000}"/>
    <cellStyle name="Currency 3 2 2 4 3 2" xfId="46181" xr:uid="{00000000-0005-0000-0000-0000EC020000}"/>
    <cellStyle name="Currency 3 2 2 4 3 3" xfId="46182" xr:uid="{00000000-0005-0000-0000-0000ED020000}"/>
    <cellStyle name="Currency 3 2 2 4 4" xfId="593" xr:uid="{00000000-0005-0000-0000-0000EE020000}"/>
    <cellStyle name="Currency 3 2 2 4 4 2" xfId="46183" xr:uid="{00000000-0005-0000-0000-0000EF020000}"/>
    <cellStyle name="Currency 3 2 2 4 5" xfId="594" xr:uid="{00000000-0005-0000-0000-0000F0020000}"/>
    <cellStyle name="Currency 3 2 2 4 6" xfId="595" xr:uid="{00000000-0005-0000-0000-0000F1020000}"/>
    <cellStyle name="Currency 3 2 2 4 7" xfId="596" xr:uid="{00000000-0005-0000-0000-0000F2020000}"/>
    <cellStyle name="Currency 3 2 2 5" xfId="597" xr:uid="{00000000-0005-0000-0000-0000F3020000}"/>
    <cellStyle name="Currency 3 2 2 5 2" xfId="598" xr:uid="{00000000-0005-0000-0000-0000F4020000}"/>
    <cellStyle name="Currency 3 2 2 5 2 2" xfId="46184" xr:uid="{00000000-0005-0000-0000-0000F5020000}"/>
    <cellStyle name="Currency 3 2 2 5 2 3" xfId="46185" xr:uid="{00000000-0005-0000-0000-0000F6020000}"/>
    <cellStyle name="Currency 3 2 2 5 3" xfId="599" xr:uid="{00000000-0005-0000-0000-0000F7020000}"/>
    <cellStyle name="Currency 3 2 2 5 3 2" xfId="46186" xr:uid="{00000000-0005-0000-0000-0000F8020000}"/>
    <cellStyle name="Currency 3 2 2 5 4" xfId="600" xr:uid="{00000000-0005-0000-0000-0000F9020000}"/>
    <cellStyle name="Currency 3 2 2 5 5" xfId="601" xr:uid="{00000000-0005-0000-0000-0000FA020000}"/>
    <cellStyle name="Currency 3 2 2 5 6" xfId="602" xr:uid="{00000000-0005-0000-0000-0000FB020000}"/>
    <cellStyle name="Currency 3 2 2 6" xfId="603" xr:uid="{00000000-0005-0000-0000-0000FC020000}"/>
    <cellStyle name="Currency 3 2 2 6 2" xfId="46187" xr:uid="{00000000-0005-0000-0000-0000FD020000}"/>
    <cellStyle name="Currency 3 2 2 6 3" xfId="46188" xr:uid="{00000000-0005-0000-0000-0000FE020000}"/>
    <cellStyle name="Currency 3 2 2 7" xfId="604" xr:uid="{00000000-0005-0000-0000-0000FF020000}"/>
    <cellStyle name="Currency 3 2 2 7 2" xfId="46189" xr:uid="{00000000-0005-0000-0000-000000030000}"/>
    <cellStyle name="Currency 3 2 2 8" xfId="605" xr:uid="{00000000-0005-0000-0000-000001030000}"/>
    <cellStyle name="Currency 3 2 2 8 2" xfId="46190" xr:uid="{00000000-0005-0000-0000-000002030000}"/>
    <cellStyle name="Currency 3 2 2 9" xfId="606" xr:uid="{00000000-0005-0000-0000-000003030000}"/>
    <cellStyle name="Currency 3 2 3" xfId="607" xr:uid="{00000000-0005-0000-0000-000004030000}"/>
    <cellStyle name="Currency 3 2 3 2" xfId="608" xr:uid="{00000000-0005-0000-0000-000005030000}"/>
    <cellStyle name="Currency 3 2 3 2 2" xfId="609" xr:uid="{00000000-0005-0000-0000-000006030000}"/>
    <cellStyle name="Currency 3 2 3 2 2 2" xfId="610" xr:uid="{00000000-0005-0000-0000-000007030000}"/>
    <cellStyle name="Currency 3 2 3 2 2 2 2" xfId="46191" xr:uid="{00000000-0005-0000-0000-000008030000}"/>
    <cellStyle name="Currency 3 2 3 2 2 2 3" xfId="46192" xr:uid="{00000000-0005-0000-0000-000009030000}"/>
    <cellStyle name="Currency 3 2 3 2 2 3" xfId="611" xr:uid="{00000000-0005-0000-0000-00000A030000}"/>
    <cellStyle name="Currency 3 2 3 2 2 3 2" xfId="46193" xr:uid="{00000000-0005-0000-0000-00000B030000}"/>
    <cellStyle name="Currency 3 2 3 2 2 4" xfId="612" xr:uid="{00000000-0005-0000-0000-00000C030000}"/>
    <cellStyle name="Currency 3 2 3 2 2 5" xfId="613" xr:uid="{00000000-0005-0000-0000-00000D030000}"/>
    <cellStyle name="Currency 3 2 3 2 2 6" xfId="614" xr:uid="{00000000-0005-0000-0000-00000E030000}"/>
    <cellStyle name="Currency 3 2 3 2 3" xfId="615" xr:uid="{00000000-0005-0000-0000-00000F030000}"/>
    <cellStyle name="Currency 3 2 3 2 3 2" xfId="46194" xr:uid="{00000000-0005-0000-0000-000010030000}"/>
    <cellStyle name="Currency 3 2 3 2 3 3" xfId="46195" xr:uid="{00000000-0005-0000-0000-000011030000}"/>
    <cellStyle name="Currency 3 2 3 2 4" xfId="616" xr:uid="{00000000-0005-0000-0000-000012030000}"/>
    <cellStyle name="Currency 3 2 3 2 4 2" xfId="46196" xr:uid="{00000000-0005-0000-0000-000013030000}"/>
    <cellStyle name="Currency 3 2 3 2 5" xfId="617" xr:uid="{00000000-0005-0000-0000-000014030000}"/>
    <cellStyle name="Currency 3 2 3 2 6" xfId="618" xr:uid="{00000000-0005-0000-0000-000015030000}"/>
    <cellStyle name="Currency 3 2 3 2 7" xfId="619" xr:uid="{00000000-0005-0000-0000-000016030000}"/>
    <cellStyle name="Currency 3 2 3 3" xfId="620" xr:uid="{00000000-0005-0000-0000-000017030000}"/>
    <cellStyle name="Currency 3 2 3 3 2" xfId="621" xr:uid="{00000000-0005-0000-0000-000018030000}"/>
    <cellStyle name="Currency 3 2 3 3 2 2" xfId="46197" xr:uid="{00000000-0005-0000-0000-000019030000}"/>
    <cellStyle name="Currency 3 2 3 3 2 3" xfId="46198" xr:uid="{00000000-0005-0000-0000-00001A030000}"/>
    <cellStyle name="Currency 3 2 3 3 3" xfId="622" xr:uid="{00000000-0005-0000-0000-00001B030000}"/>
    <cellStyle name="Currency 3 2 3 3 3 2" xfId="46199" xr:uid="{00000000-0005-0000-0000-00001C030000}"/>
    <cellStyle name="Currency 3 2 3 3 4" xfId="623" xr:uid="{00000000-0005-0000-0000-00001D030000}"/>
    <cellStyle name="Currency 3 2 3 3 5" xfId="624" xr:uid="{00000000-0005-0000-0000-00001E030000}"/>
    <cellStyle name="Currency 3 2 3 3 6" xfId="625" xr:uid="{00000000-0005-0000-0000-00001F030000}"/>
    <cellStyle name="Currency 3 2 3 4" xfId="626" xr:uid="{00000000-0005-0000-0000-000020030000}"/>
    <cellStyle name="Currency 3 2 3 4 2" xfId="46200" xr:uid="{00000000-0005-0000-0000-000021030000}"/>
    <cellStyle name="Currency 3 2 3 4 3" xfId="46201" xr:uid="{00000000-0005-0000-0000-000022030000}"/>
    <cellStyle name="Currency 3 2 3 5" xfId="627" xr:uid="{00000000-0005-0000-0000-000023030000}"/>
    <cellStyle name="Currency 3 2 3 5 2" xfId="46202" xr:uid="{00000000-0005-0000-0000-000024030000}"/>
    <cellStyle name="Currency 3 2 3 6" xfId="628" xr:uid="{00000000-0005-0000-0000-000025030000}"/>
    <cellStyle name="Currency 3 2 3 7" xfId="629" xr:uid="{00000000-0005-0000-0000-000026030000}"/>
    <cellStyle name="Currency 3 2 3 8" xfId="630" xr:uid="{00000000-0005-0000-0000-000027030000}"/>
    <cellStyle name="Currency 3 2 3 9" xfId="631" xr:uid="{00000000-0005-0000-0000-000028030000}"/>
    <cellStyle name="Currency 3 2 4" xfId="632" xr:uid="{00000000-0005-0000-0000-000029030000}"/>
    <cellStyle name="Currency 3 2 4 2" xfId="633" xr:uid="{00000000-0005-0000-0000-00002A030000}"/>
    <cellStyle name="Currency 3 2 4 2 2" xfId="634" xr:uid="{00000000-0005-0000-0000-00002B030000}"/>
    <cellStyle name="Currency 3 2 4 2 2 2" xfId="635" xr:uid="{00000000-0005-0000-0000-00002C030000}"/>
    <cellStyle name="Currency 3 2 4 2 2 2 2" xfId="46203" xr:uid="{00000000-0005-0000-0000-00002D030000}"/>
    <cellStyle name="Currency 3 2 4 2 2 2 3" xfId="46204" xr:uid="{00000000-0005-0000-0000-00002E030000}"/>
    <cellStyle name="Currency 3 2 4 2 2 3" xfId="636" xr:uid="{00000000-0005-0000-0000-00002F030000}"/>
    <cellStyle name="Currency 3 2 4 2 2 3 2" xfId="46205" xr:uid="{00000000-0005-0000-0000-000030030000}"/>
    <cellStyle name="Currency 3 2 4 2 2 4" xfId="637" xr:uid="{00000000-0005-0000-0000-000031030000}"/>
    <cellStyle name="Currency 3 2 4 2 2 5" xfId="638" xr:uid="{00000000-0005-0000-0000-000032030000}"/>
    <cellStyle name="Currency 3 2 4 2 2 6" xfId="639" xr:uid="{00000000-0005-0000-0000-000033030000}"/>
    <cellStyle name="Currency 3 2 4 2 3" xfId="640" xr:uid="{00000000-0005-0000-0000-000034030000}"/>
    <cellStyle name="Currency 3 2 4 2 3 2" xfId="46206" xr:uid="{00000000-0005-0000-0000-000035030000}"/>
    <cellStyle name="Currency 3 2 4 2 3 3" xfId="46207" xr:uid="{00000000-0005-0000-0000-000036030000}"/>
    <cellStyle name="Currency 3 2 4 2 4" xfId="641" xr:uid="{00000000-0005-0000-0000-000037030000}"/>
    <cellStyle name="Currency 3 2 4 2 4 2" xfId="46208" xr:uid="{00000000-0005-0000-0000-000038030000}"/>
    <cellStyle name="Currency 3 2 4 2 5" xfId="642" xr:uid="{00000000-0005-0000-0000-000039030000}"/>
    <cellStyle name="Currency 3 2 4 2 6" xfId="643" xr:uid="{00000000-0005-0000-0000-00003A030000}"/>
    <cellStyle name="Currency 3 2 4 2 7" xfId="644" xr:uid="{00000000-0005-0000-0000-00003B030000}"/>
    <cellStyle name="Currency 3 2 4 3" xfId="645" xr:uid="{00000000-0005-0000-0000-00003C030000}"/>
    <cellStyle name="Currency 3 2 4 3 2" xfId="646" xr:uid="{00000000-0005-0000-0000-00003D030000}"/>
    <cellStyle name="Currency 3 2 4 3 2 2" xfId="46209" xr:uid="{00000000-0005-0000-0000-00003E030000}"/>
    <cellStyle name="Currency 3 2 4 3 2 3" xfId="46210" xr:uid="{00000000-0005-0000-0000-00003F030000}"/>
    <cellStyle name="Currency 3 2 4 3 3" xfId="647" xr:uid="{00000000-0005-0000-0000-000040030000}"/>
    <cellStyle name="Currency 3 2 4 3 3 2" xfId="46211" xr:uid="{00000000-0005-0000-0000-000041030000}"/>
    <cellStyle name="Currency 3 2 4 3 4" xfId="648" xr:uid="{00000000-0005-0000-0000-000042030000}"/>
    <cellStyle name="Currency 3 2 4 3 5" xfId="649" xr:uid="{00000000-0005-0000-0000-000043030000}"/>
    <cellStyle name="Currency 3 2 4 3 6" xfId="650" xr:uid="{00000000-0005-0000-0000-000044030000}"/>
    <cellStyle name="Currency 3 2 4 4" xfId="651" xr:uid="{00000000-0005-0000-0000-000045030000}"/>
    <cellStyle name="Currency 3 2 4 4 2" xfId="46212" xr:uid="{00000000-0005-0000-0000-000046030000}"/>
    <cellStyle name="Currency 3 2 4 4 3" xfId="46213" xr:uid="{00000000-0005-0000-0000-000047030000}"/>
    <cellStyle name="Currency 3 2 4 5" xfId="652" xr:uid="{00000000-0005-0000-0000-000048030000}"/>
    <cellStyle name="Currency 3 2 4 5 2" xfId="46214" xr:uid="{00000000-0005-0000-0000-000049030000}"/>
    <cellStyle name="Currency 3 2 4 6" xfId="653" xr:uid="{00000000-0005-0000-0000-00004A030000}"/>
    <cellStyle name="Currency 3 2 4 7" xfId="654" xr:uid="{00000000-0005-0000-0000-00004B030000}"/>
    <cellStyle name="Currency 3 2 4 8" xfId="655" xr:uid="{00000000-0005-0000-0000-00004C030000}"/>
    <cellStyle name="Currency 3 2 5" xfId="656" xr:uid="{00000000-0005-0000-0000-00004D030000}"/>
    <cellStyle name="Currency 3 2 5 2" xfId="657" xr:uid="{00000000-0005-0000-0000-00004E030000}"/>
    <cellStyle name="Currency 3 2 5 2 2" xfId="658" xr:uid="{00000000-0005-0000-0000-00004F030000}"/>
    <cellStyle name="Currency 3 2 5 2 2 2" xfId="46215" xr:uid="{00000000-0005-0000-0000-000050030000}"/>
    <cellStyle name="Currency 3 2 5 2 2 3" xfId="46216" xr:uid="{00000000-0005-0000-0000-000051030000}"/>
    <cellStyle name="Currency 3 2 5 2 3" xfId="659" xr:uid="{00000000-0005-0000-0000-000052030000}"/>
    <cellStyle name="Currency 3 2 5 2 3 2" xfId="46217" xr:uid="{00000000-0005-0000-0000-000053030000}"/>
    <cellStyle name="Currency 3 2 5 2 4" xfId="660" xr:uid="{00000000-0005-0000-0000-000054030000}"/>
    <cellStyle name="Currency 3 2 5 2 5" xfId="661" xr:uid="{00000000-0005-0000-0000-000055030000}"/>
    <cellStyle name="Currency 3 2 5 2 6" xfId="662" xr:uid="{00000000-0005-0000-0000-000056030000}"/>
    <cellStyle name="Currency 3 2 5 3" xfId="663" xr:uid="{00000000-0005-0000-0000-000057030000}"/>
    <cellStyle name="Currency 3 2 5 3 2" xfId="46218" xr:uid="{00000000-0005-0000-0000-000058030000}"/>
    <cellStyle name="Currency 3 2 5 3 3" xfId="46219" xr:uid="{00000000-0005-0000-0000-000059030000}"/>
    <cellStyle name="Currency 3 2 5 4" xfId="664" xr:uid="{00000000-0005-0000-0000-00005A030000}"/>
    <cellStyle name="Currency 3 2 5 4 2" xfId="46220" xr:uid="{00000000-0005-0000-0000-00005B030000}"/>
    <cellStyle name="Currency 3 2 5 5" xfId="665" xr:uid="{00000000-0005-0000-0000-00005C030000}"/>
    <cellStyle name="Currency 3 2 5 6" xfId="666" xr:uid="{00000000-0005-0000-0000-00005D030000}"/>
    <cellStyle name="Currency 3 2 5 7" xfId="667" xr:uid="{00000000-0005-0000-0000-00005E030000}"/>
    <cellStyle name="Currency 3 2 6" xfId="668" xr:uid="{00000000-0005-0000-0000-00005F030000}"/>
    <cellStyle name="Currency 3 2 6 2" xfId="669" xr:uid="{00000000-0005-0000-0000-000060030000}"/>
    <cellStyle name="Currency 3 2 6 2 2" xfId="46221" xr:uid="{00000000-0005-0000-0000-000061030000}"/>
    <cellStyle name="Currency 3 2 6 2 3" xfId="46222" xr:uid="{00000000-0005-0000-0000-000062030000}"/>
    <cellStyle name="Currency 3 2 6 3" xfId="670" xr:uid="{00000000-0005-0000-0000-000063030000}"/>
    <cellStyle name="Currency 3 2 6 3 2" xfId="46223" xr:uid="{00000000-0005-0000-0000-000064030000}"/>
    <cellStyle name="Currency 3 2 6 4" xfId="671" xr:uid="{00000000-0005-0000-0000-000065030000}"/>
    <cellStyle name="Currency 3 2 6 5" xfId="672" xr:uid="{00000000-0005-0000-0000-000066030000}"/>
    <cellStyle name="Currency 3 2 6 6" xfId="673" xr:uid="{00000000-0005-0000-0000-000067030000}"/>
    <cellStyle name="Currency 3 2 7" xfId="674" xr:uid="{00000000-0005-0000-0000-000068030000}"/>
    <cellStyle name="Currency 3 2 7 2" xfId="46224" xr:uid="{00000000-0005-0000-0000-000069030000}"/>
    <cellStyle name="Currency 3 2 7 3" xfId="46225" xr:uid="{00000000-0005-0000-0000-00006A030000}"/>
    <cellStyle name="Currency 3 2 8" xfId="675" xr:uid="{00000000-0005-0000-0000-00006B030000}"/>
    <cellStyle name="Currency 3 2 8 2" xfId="46226" xr:uid="{00000000-0005-0000-0000-00006C030000}"/>
    <cellStyle name="Currency 3 2 9" xfId="676" xr:uid="{00000000-0005-0000-0000-00006D030000}"/>
    <cellStyle name="Currency 3 2 9 2" xfId="46227" xr:uid="{00000000-0005-0000-0000-00006E030000}"/>
    <cellStyle name="Currency 3 20" xfId="677" xr:uid="{00000000-0005-0000-0000-00006F030000}"/>
    <cellStyle name="Currency 3 3" xfId="678" xr:uid="{00000000-0005-0000-0000-000070030000}"/>
    <cellStyle name="Currency 3 3 10" xfId="679" xr:uid="{00000000-0005-0000-0000-000071030000}"/>
    <cellStyle name="Currency 3 3 11" xfId="680" xr:uid="{00000000-0005-0000-0000-000072030000}"/>
    <cellStyle name="Currency 3 3 12" xfId="681" xr:uid="{00000000-0005-0000-0000-000073030000}"/>
    <cellStyle name="Currency 3 3 13" xfId="682" xr:uid="{00000000-0005-0000-0000-000074030000}"/>
    <cellStyle name="Currency 3 3 14" xfId="683" xr:uid="{00000000-0005-0000-0000-000075030000}"/>
    <cellStyle name="Currency 3 3 15" xfId="684" xr:uid="{00000000-0005-0000-0000-000076030000}"/>
    <cellStyle name="Currency 3 3 16" xfId="685" xr:uid="{00000000-0005-0000-0000-000077030000}"/>
    <cellStyle name="Currency 3 3 17" xfId="686" xr:uid="{00000000-0005-0000-0000-000078030000}"/>
    <cellStyle name="Currency 3 3 2" xfId="687" xr:uid="{00000000-0005-0000-0000-000079030000}"/>
    <cellStyle name="Currency 3 3 2 10" xfId="688" xr:uid="{00000000-0005-0000-0000-00007A030000}"/>
    <cellStyle name="Currency 3 3 2 11" xfId="689" xr:uid="{00000000-0005-0000-0000-00007B030000}"/>
    <cellStyle name="Currency 3 3 2 12" xfId="690" xr:uid="{00000000-0005-0000-0000-00007C030000}"/>
    <cellStyle name="Currency 3 3 2 13" xfId="691" xr:uid="{00000000-0005-0000-0000-00007D030000}"/>
    <cellStyle name="Currency 3 3 2 14" xfId="692" xr:uid="{00000000-0005-0000-0000-00007E030000}"/>
    <cellStyle name="Currency 3 3 2 2" xfId="693" xr:uid="{00000000-0005-0000-0000-00007F030000}"/>
    <cellStyle name="Currency 3 3 2 2 2" xfId="694" xr:uid="{00000000-0005-0000-0000-000080030000}"/>
    <cellStyle name="Currency 3 3 2 2 2 2" xfId="695" xr:uid="{00000000-0005-0000-0000-000081030000}"/>
    <cellStyle name="Currency 3 3 2 2 2 2 2" xfId="696" xr:uid="{00000000-0005-0000-0000-000082030000}"/>
    <cellStyle name="Currency 3 3 2 2 2 2 2 2" xfId="46228" xr:uid="{00000000-0005-0000-0000-000083030000}"/>
    <cellStyle name="Currency 3 3 2 2 2 2 2 3" xfId="46229" xr:uid="{00000000-0005-0000-0000-000084030000}"/>
    <cellStyle name="Currency 3 3 2 2 2 2 3" xfId="697" xr:uid="{00000000-0005-0000-0000-000085030000}"/>
    <cellStyle name="Currency 3 3 2 2 2 2 3 2" xfId="46230" xr:uid="{00000000-0005-0000-0000-000086030000}"/>
    <cellStyle name="Currency 3 3 2 2 2 2 4" xfId="698" xr:uid="{00000000-0005-0000-0000-000087030000}"/>
    <cellStyle name="Currency 3 3 2 2 2 2 5" xfId="699" xr:uid="{00000000-0005-0000-0000-000088030000}"/>
    <cellStyle name="Currency 3 3 2 2 2 2 6" xfId="700" xr:uid="{00000000-0005-0000-0000-000089030000}"/>
    <cellStyle name="Currency 3 3 2 2 2 3" xfId="701" xr:uid="{00000000-0005-0000-0000-00008A030000}"/>
    <cellStyle name="Currency 3 3 2 2 2 3 2" xfId="46231" xr:uid="{00000000-0005-0000-0000-00008B030000}"/>
    <cellStyle name="Currency 3 3 2 2 2 3 3" xfId="46232" xr:uid="{00000000-0005-0000-0000-00008C030000}"/>
    <cellStyle name="Currency 3 3 2 2 2 4" xfId="702" xr:uid="{00000000-0005-0000-0000-00008D030000}"/>
    <cellStyle name="Currency 3 3 2 2 2 4 2" xfId="46233" xr:uid="{00000000-0005-0000-0000-00008E030000}"/>
    <cellStyle name="Currency 3 3 2 2 2 5" xfId="703" xr:uid="{00000000-0005-0000-0000-00008F030000}"/>
    <cellStyle name="Currency 3 3 2 2 2 6" xfId="704" xr:uid="{00000000-0005-0000-0000-000090030000}"/>
    <cellStyle name="Currency 3 3 2 2 2 7" xfId="705" xr:uid="{00000000-0005-0000-0000-000091030000}"/>
    <cellStyle name="Currency 3 3 2 2 3" xfId="706" xr:uid="{00000000-0005-0000-0000-000092030000}"/>
    <cellStyle name="Currency 3 3 2 2 3 2" xfId="707" xr:uid="{00000000-0005-0000-0000-000093030000}"/>
    <cellStyle name="Currency 3 3 2 2 3 2 2" xfId="46234" xr:uid="{00000000-0005-0000-0000-000094030000}"/>
    <cellStyle name="Currency 3 3 2 2 3 2 3" xfId="46235" xr:uid="{00000000-0005-0000-0000-000095030000}"/>
    <cellStyle name="Currency 3 3 2 2 3 3" xfId="708" xr:uid="{00000000-0005-0000-0000-000096030000}"/>
    <cellStyle name="Currency 3 3 2 2 3 3 2" xfId="46236" xr:uid="{00000000-0005-0000-0000-000097030000}"/>
    <cellStyle name="Currency 3 3 2 2 3 4" xfId="709" xr:uid="{00000000-0005-0000-0000-000098030000}"/>
    <cellStyle name="Currency 3 3 2 2 3 5" xfId="710" xr:uid="{00000000-0005-0000-0000-000099030000}"/>
    <cellStyle name="Currency 3 3 2 2 3 6" xfId="711" xr:uid="{00000000-0005-0000-0000-00009A030000}"/>
    <cellStyle name="Currency 3 3 2 2 4" xfId="712" xr:uid="{00000000-0005-0000-0000-00009B030000}"/>
    <cellStyle name="Currency 3 3 2 2 4 2" xfId="46237" xr:uid="{00000000-0005-0000-0000-00009C030000}"/>
    <cellStyle name="Currency 3 3 2 2 4 3" xfId="46238" xr:uid="{00000000-0005-0000-0000-00009D030000}"/>
    <cellStyle name="Currency 3 3 2 2 5" xfId="713" xr:uid="{00000000-0005-0000-0000-00009E030000}"/>
    <cellStyle name="Currency 3 3 2 2 5 2" xfId="46239" xr:uid="{00000000-0005-0000-0000-00009F030000}"/>
    <cellStyle name="Currency 3 3 2 2 6" xfId="714" xr:uid="{00000000-0005-0000-0000-0000A0030000}"/>
    <cellStyle name="Currency 3 3 2 2 7" xfId="715" xr:uid="{00000000-0005-0000-0000-0000A1030000}"/>
    <cellStyle name="Currency 3 3 2 2 8" xfId="716" xr:uid="{00000000-0005-0000-0000-0000A2030000}"/>
    <cellStyle name="Currency 3 3 2 2 9" xfId="717" xr:uid="{00000000-0005-0000-0000-0000A3030000}"/>
    <cellStyle name="Currency 3 3 2 3" xfId="718" xr:uid="{00000000-0005-0000-0000-0000A4030000}"/>
    <cellStyle name="Currency 3 3 2 3 2" xfId="719" xr:uid="{00000000-0005-0000-0000-0000A5030000}"/>
    <cellStyle name="Currency 3 3 2 3 2 2" xfId="720" xr:uid="{00000000-0005-0000-0000-0000A6030000}"/>
    <cellStyle name="Currency 3 3 2 3 2 2 2" xfId="721" xr:uid="{00000000-0005-0000-0000-0000A7030000}"/>
    <cellStyle name="Currency 3 3 2 3 2 2 2 2" xfId="46240" xr:uid="{00000000-0005-0000-0000-0000A8030000}"/>
    <cellStyle name="Currency 3 3 2 3 2 2 2 3" xfId="46241" xr:uid="{00000000-0005-0000-0000-0000A9030000}"/>
    <cellStyle name="Currency 3 3 2 3 2 2 3" xfId="722" xr:uid="{00000000-0005-0000-0000-0000AA030000}"/>
    <cellStyle name="Currency 3 3 2 3 2 2 3 2" xfId="46242" xr:uid="{00000000-0005-0000-0000-0000AB030000}"/>
    <cellStyle name="Currency 3 3 2 3 2 2 4" xfId="723" xr:uid="{00000000-0005-0000-0000-0000AC030000}"/>
    <cellStyle name="Currency 3 3 2 3 2 2 5" xfId="724" xr:uid="{00000000-0005-0000-0000-0000AD030000}"/>
    <cellStyle name="Currency 3 3 2 3 2 2 6" xfId="725" xr:uid="{00000000-0005-0000-0000-0000AE030000}"/>
    <cellStyle name="Currency 3 3 2 3 2 3" xfId="726" xr:uid="{00000000-0005-0000-0000-0000AF030000}"/>
    <cellStyle name="Currency 3 3 2 3 2 3 2" xfId="46243" xr:uid="{00000000-0005-0000-0000-0000B0030000}"/>
    <cellStyle name="Currency 3 3 2 3 2 3 3" xfId="46244" xr:uid="{00000000-0005-0000-0000-0000B1030000}"/>
    <cellStyle name="Currency 3 3 2 3 2 4" xfId="727" xr:uid="{00000000-0005-0000-0000-0000B2030000}"/>
    <cellStyle name="Currency 3 3 2 3 2 4 2" xfId="46245" xr:uid="{00000000-0005-0000-0000-0000B3030000}"/>
    <cellStyle name="Currency 3 3 2 3 2 5" xfId="728" xr:uid="{00000000-0005-0000-0000-0000B4030000}"/>
    <cellStyle name="Currency 3 3 2 3 2 6" xfId="729" xr:uid="{00000000-0005-0000-0000-0000B5030000}"/>
    <cellStyle name="Currency 3 3 2 3 2 7" xfId="730" xr:uid="{00000000-0005-0000-0000-0000B6030000}"/>
    <cellStyle name="Currency 3 3 2 3 3" xfId="731" xr:uid="{00000000-0005-0000-0000-0000B7030000}"/>
    <cellStyle name="Currency 3 3 2 3 3 2" xfId="732" xr:uid="{00000000-0005-0000-0000-0000B8030000}"/>
    <cellStyle name="Currency 3 3 2 3 3 2 2" xfId="46246" xr:uid="{00000000-0005-0000-0000-0000B9030000}"/>
    <cellStyle name="Currency 3 3 2 3 3 2 3" xfId="46247" xr:uid="{00000000-0005-0000-0000-0000BA030000}"/>
    <cellStyle name="Currency 3 3 2 3 3 3" xfId="733" xr:uid="{00000000-0005-0000-0000-0000BB030000}"/>
    <cellStyle name="Currency 3 3 2 3 3 3 2" xfId="46248" xr:uid="{00000000-0005-0000-0000-0000BC030000}"/>
    <cellStyle name="Currency 3 3 2 3 3 4" xfId="734" xr:uid="{00000000-0005-0000-0000-0000BD030000}"/>
    <cellStyle name="Currency 3 3 2 3 3 5" xfId="735" xr:uid="{00000000-0005-0000-0000-0000BE030000}"/>
    <cellStyle name="Currency 3 3 2 3 3 6" xfId="736" xr:uid="{00000000-0005-0000-0000-0000BF030000}"/>
    <cellStyle name="Currency 3 3 2 3 4" xfId="737" xr:uid="{00000000-0005-0000-0000-0000C0030000}"/>
    <cellStyle name="Currency 3 3 2 3 4 2" xfId="46249" xr:uid="{00000000-0005-0000-0000-0000C1030000}"/>
    <cellStyle name="Currency 3 3 2 3 4 3" xfId="46250" xr:uid="{00000000-0005-0000-0000-0000C2030000}"/>
    <cellStyle name="Currency 3 3 2 3 5" xfId="738" xr:uid="{00000000-0005-0000-0000-0000C3030000}"/>
    <cellStyle name="Currency 3 3 2 3 5 2" xfId="46251" xr:uid="{00000000-0005-0000-0000-0000C4030000}"/>
    <cellStyle name="Currency 3 3 2 3 6" xfId="739" xr:uid="{00000000-0005-0000-0000-0000C5030000}"/>
    <cellStyle name="Currency 3 3 2 3 7" xfId="740" xr:uid="{00000000-0005-0000-0000-0000C6030000}"/>
    <cellStyle name="Currency 3 3 2 3 8" xfId="741" xr:uid="{00000000-0005-0000-0000-0000C7030000}"/>
    <cellStyle name="Currency 3 3 2 4" xfId="742" xr:uid="{00000000-0005-0000-0000-0000C8030000}"/>
    <cellStyle name="Currency 3 3 2 4 2" xfId="743" xr:uid="{00000000-0005-0000-0000-0000C9030000}"/>
    <cellStyle name="Currency 3 3 2 4 2 2" xfId="744" xr:uid="{00000000-0005-0000-0000-0000CA030000}"/>
    <cellStyle name="Currency 3 3 2 4 2 2 2" xfId="46252" xr:uid="{00000000-0005-0000-0000-0000CB030000}"/>
    <cellStyle name="Currency 3 3 2 4 2 2 3" xfId="46253" xr:uid="{00000000-0005-0000-0000-0000CC030000}"/>
    <cellStyle name="Currency 3 3 2 4 2 3" xfId="745" xr:uid="{00000000-0005-0000-0000-0000CD030000}"/>
    <cellStyle name="Currency 3 3 2 4 2 3 2" xfId="46254" xr:uid="{00000000-0005-0000-0000-0000CE030000}"/>
    <cellStyle name="Currency 3 3 2 4 2 4" xfId="746" xr:uid="{00000000-0005-0000-0000-0000CF030000}"/>
    <cellStyle name="Currency 3 3 2 4 2 5" xfId="747" xr:uid="{00000000-0005-0000-0000-0000D0030000}"/>
    <cellStyle name="Currency 3 3 2 4 2 6" xfId="748" xr:uid="{00000000-0005-0000-0000-0000D1030000}"/>
    <cellStyle name="Currency 3 3 2 4 3" xfId="749" xr:uid="{00000000-0005-0000-0000-0000D2030000}"/>
    <cellStyle name="Currency 3 3 2 4 3 2" xfId="46255" xr:uid="{00000000-0005-0000-0000-0000D3030000}"/>
    <cellStyle name="Currency 3 3 2 4 3 3" xfId="46256" xr:uid="{00000000-0005-0000-0000-0000D4030000}"/>
    <cellStyle name="Currency 3 3 2 4 4" xfId="750" xr:uid="{00000000-0005-0000-0000-0000D5030000}"/>
    <cellStyle name="Currency 3 3 2 4 4 2" xfId="46257" xr:uid="{00000000-0005-0000-0000-0000D6030000}"/>
    <cellStyle name="Currency 3 3 2 4 5" xfId="751" xr:uid="{00000000-0005-0000-0000-0000D7030000}"/>
    <cellStyle name="Currency 3 3 2 4 6" xfId="752" xr:uid="{00000000-0005-0000-0000-0000D8030000}"/>
    <cellStyle name="Currency 3 3 2 4 7" xfId="753" xr:uid="{00000000-0005-0000-0000-0000D9030000}"/>
    <cellStyle name="Currency 3 3 2 5" xfId="754" xr:uid="{00000000-0005-0000-0000-0000DA030000}"/>
    <cellStyle name="Currency 3 3 2 5 2" xfId="755" xr:uid="{00000000-0005-0000-0000-0000DB030000}"/>
    <cellStyle name="Currency 3 3 2 5 2 2" xfId="46258" xr:uid="{00000000-0005-0000-0000-0000DC030000}"/>
    <cellStyle name="Currency 3 3 2 5 2 3" xfId="46259" xr:uid="{00000000-0005-0000-0000-0000DD030000}"/>
    <cellStyle name="Currency 3 3 2 5 3" xfId="756" xr:uid="{00000000-0005-0000-0000-0000DE030000}"/>
    <cellStyle name="Currency 3 3 2 5 3 2" xfId="46260" xr:uid="{00000000-0005-0000-0000-0000DF030000}"/>
    <cellStyle name="Currency 3 3 2 5 4" xfId="757" xr:uid="{00000000-0005-0000-0000-0000E0030000}"/>
    <cellStyle name="Currency 3 3 2 5 5" xfId="758" xr:uid="{00000000-0005-0000-0000-0000E1030000}"/>
    <cellStyle name="Currency 3 3 2 5 6" xfId="759" xr:uid="{00000000-0005-0000-0000-0000E2030000}"/>
    <cellStyle name="Currency 3 3 2 6" xfId="760" xr:uid="{00000000-0005-0000-0000-0000E3030000}"/>
    <cellStyle name="Currency 3 3 2 6 2" xfId="46261" xr:uid="{00000000-0005-0000-0000-0000E4030000}"/>
    <cellStyle name="Currency 3 3 2 6 3" xfId="46262" xr:uid="{00000000-0005-0000-0000-0000E5030000}"/>
    <cellStyle name="Currency 3 3 2 7" xfId="761" xr:uid="{00000000-0005-0000-0000-0000E6030000}"/>
    <cellStyle name="Currency 3 3 2 7 2" xfId="46263" xr:uid="{00000000-0005-0000-0000-0000E7030000}"/>
    <cellStyle name="Currency 3 3 2 8" xfId="762" xr:uid="{00000000-0005-0000-0000-0000E8030000}"/>
    <cellStyle name="Currency 3 3 2 9" xfId="763" xr:uid="{00000000-0005-0000-0000-0000E9030000}"/>
    <cellStyle name="Currency 3 3 3" xfId="764" xr:uid="{00000000-0005-0000-0000-0000EA030000}"/>
    <cellStyle name="Currency 3 3 3 2" xfId="765" xr:uid="{00000000-0005-0000-0000-0000EB030000}"/>
    <cellStyle name="Currency 3 3 3 2 2" xfId="766" xr:uid="{00000000-0005-0000-0000-0000EC030000}"/>
    <cellStyle name="Currency 3 3 3 2 2 2" xfId="767" xr:uid="{00000000-0005-0000-0000-0000ED030000}"/>
    <cellStyle name="Currency 3 3 3 2 2 2 2" xfId="46264" xr:uid="{00000000-0005-0000-0000-0000EE030000}"/>
    <cellStyle name="Currency 3 3 3 2 2 2 3" xfId="46265" xr:uid="{00000000-0005-0000-0000-0000EF030000}"/>
    <cellStyle name="Currency 3 3 3 2 2 3" xfId="768" xr:uid="{00000000-0005-0000-0000-0000F0030000}"/>
    <cellStyle name="Currency 3 3 3 2 2 3 2" xfId="46266" xr:uid="{00000000-0005-0000-0000-0000F1030000}"/>
    <cellStyle name="Currency 3 3 3 2 2 4" xfId="769" xr:uid="{00000000-0005-0000-0000-0000F2030000}"/>
    <cellStyle name="Currency 3 3 3 2 2 5" xfId="770" xr:uid="{00000000-0005-0000-0000-0000F3030000}"/>
    <cellStyle name="Currency 3 3 3 2 2 6" xfId="771" xr:uid="{00000000-0005-0000-0000-0000F4030000}"/>
    <cellStyle name="Currency 3 3 3 2 3" xfId="772" xr:uid="{00000000-0005-0000-0000-0000F5030000}"/>
    <cellStyle name="Currency 3 3 3 2 3 2" xfId="46267" xr:uid="{00000000-0005-0000-0000-0000F6030000}"/>
    <cellStyle name="Currency 3 3 3 2 3 3" xfId="46268" xr:uid="{00000000-0005-0000-0000-0000F7030000}"/>
    <cellStyle name="Currency 3 3 3 2 4" xfId="773" xr:uid="{00000000-0005-0000-0000-0000F8030000}"/>
    <cellStyle name="Currency 3 3 3 2 4 2" xfId="46269" xr:uid="{00000000-0005-0000-0000-0000F9030000}"/>
    <cellStyle name="Currency 3 3 3 2 5" xfId="774" xr:uid="{00000000-0005-0000-0000-0000FA030000}"/>
    <cellStyle name="Currency 3 3 3 2 6" xfId="775" xr:uid="{00000000-0005-0000-0000-0000FB030000}"/>
    <cellStyle name="Currency 3 3 3 2 7" xfId="776" xr:uid="{00000000-0005-0000-0000-0000FC030000}"/>
    <cellStyle name="Currency 3 3 3 3" xfId="777" xr:uid="{00000000-0005-0000-0000-0000FD030000}"/>
    <cellStyle name="Currency 3 3 3 3 2" xfId="778" xr:uid="{00000000-0005-0000-0000-0000FE030000}"/>
    <cellStyle name="Currency 3 3 3 3 2 2" xfId="46270" xr:uid="{00000000-0005-0000-0000-0000FF030000}"/>
    <cellStyle name="Currency 3 3 3 3 2 3" xfId="46271" xr:uid="{00000000-0005-0000-0000-000000040000}"/>
    <cellStyle name="Currency 3 3 3 3 3" xfId="779" xr:uid="{00000000-0005-0000-0000-000001040000}"/>
    <cellStyle name="Currency 3 3 3 3 3 2" xfId="46272" xr:uid="{00000000-0005-0000-0000-000002040000}"/>
    <cellStyle name="Currency 3 3 3 3 4" xfId="780" xr:uid="{00000000-0005-0000-0000-000003040000}"/>
    <cellStyle name="Currency 3 3 3 3 5" xfId="781" xr:uid="{00000000-0005-0000-0000-000004040000}"/>
    <cellStyle name="Currency 3 3 3 3 6" xfId="782" xr:uid="{00000000-0005-0000-0000-000005040000}"/>
    <cellStyle name="Currency 3 3 3 4" xfId="783" xr:uid="{00000000-0005-0000-0000-000006040000}"/>
    <cellStyle name="Currency 3 3 3 4 2" xfId="46273" xr:uid="{00000000-0005-0000-0000-000007040000}"/>
    <cellStyle name="Currency 3 3 3 4 3" xfId="46274" xr:uid="{00000000-0005-0000-0000-000008040000}"/>
    <cellStyle name="Currency 3 3 3 5" xfId="784" xr:uid="{00000000-0005-0000-0000-000009040000}"/>
    <cellStyle name="Currency 3 3 3 5 2" xfId="46275" xr:uid="{00000000-0005-0000-0000-00000A040000}"/>
    <cellStyle name="Currency 3 3 3 6" xfId="785" xr:uid="{00000000-0005-0000-0000-00000B040000}"/>
    <cellStyle name="Currency 3 3 3 7" xfId="786" xr:uid="{00000000-0005-0000-0000-00000C040000}"/>
    <cellStyle name="Currency 3 3 3 8" xfId="787" xr:uid="{00000000-0005-0000-0000-00000D040000}"/>
    <cellStyle name="Currency 3 3 3 9" xfId="788" xr:uid="{00000000-0005-0000-0000-00000E040000}"/>
    <cellStyle name="Currency 3 3 4" xfId="789" xr:uid="{00000000-0005-0000-0000-00000F040000}"/>
    <cellStyle name="Currency 3 3 4 2" xfId="790" xr:uid="{00000000-0005-0000-0000-000010040000}"/>
    <cellStyle name="Currency 3 3 4 2 2" xfId="791" xr:uid="{00000000-0005-0000-0000-000011040000}"/>
    <cellStyle name="Currency 3 3 4 2 2 2" xfId="792" xr:uid="{00000000-0005-0000-0000-000012040000}"/>
    <cellStyle name="Currency 3 3 4 2 2 2 2" xfId="46276" xr:uid="{00000000-0005-0000-0000-000013040000}"/>
    <cellStyle name="Currency 3 3 4 2 2 2 3" xfId="46277" xr:uid="{00000000-0005-0000-0000-000014040000}"/>
    <cellStyle name="Currency 3 3 4 2 2 3" xfId="793" xr:uid="{00000000-0005-0000-0000-000015040000}"/>
    <cellStyle name="Currency 3 3 4 2 2 3 2" xfId="46278" xr:uid="{00000000-0005-0000-0000-000016040000}"/>
    <cellStyle name="Currency 3 3 4 2 2 4" xfId="794" xr:uid="{00000000-0005-0000-0000-000017040000}"/>
    <cellStyle name="Currency 3 3 4 2 2 5" xfId="795" xr:uid="{00000000-0005-0000-0000-000018040000}"/>
    <cellStyle name="Currency 3 3 4 2 2 6" xfId="796" xr:uid="{00000000-0005-0000-0000-000019040000}"/>
    <cellStyle name="Currency 3 3 4 2 3" xfId="797" xr:uid="{00000000-0005-0000-0000-00001A040000}"/>
    <cellStyle name="Currency 3 3 4 2 3 2" xfId="46279" xr:uid="{00000000-0005-0000-0000-00001B040000}"/>
    <cellStyle name="Currency 3 3 4 2 3 3" xfId="46280" xr:uid="{00000000-0005-0000-0000-00001C040000}"/>
    <cellStyle name="Currency 3 3 4 2 4" xfId="798" xr:uid="{00000000-0005-0000-0000-00001D040000}"/>
    <cellStyle name="Currency 3 3 4 2 4 2" xfId="46281" xr:uid="{00000000-0005-0000-0000-00001E040000}"/>
    <cellStyle name="Currency 3 3 4 2 5" xfId="799" xr:uid="{00000000-0005-0000-0000-00001F040000}"/>
    <cellStyle name="Currency 3 3 4 2 6" xfId="800" xr:uid="{00000000-0005-0000-0000-000020040000}"/>
    <cellStyle name="Currency 3 3 4 2 7" xfId="801" xr:uid="{00000000-0005-0000-0000-000021040000}"/>
    <cellStyle name="Currency 3 3 4 3" xfId="802" xr:uid="{00000000-0005-0000-0000-000022040000}"/>
    <cellStyle name="Currency 3 3 4 3 2" xfId="803" xr:uid="{00000000-0005-0000-0000-000023040000}"/>
    <cellStyle name="Currency 3 3 4 3 2 2" xfId="46282" xr:uid="{00000000-0005-0000-0000-000024040000}"/>
    <cellStyle name="Currency 3 3 4 3 2 3" xfId="46283" xr:uid="{00000000-0005-0000-0000-000025040000}"/>
    <cellStyle name="Currency 3 3 4 3 3" xfId="804" xr:uid="{00000000-0005-0000-0000-000026040000}"/>
    <cellStyle name="Currency 3 3 4 3 3 2" xfId="46284" xr:uid="{00000000-0005-0000-0000-000027040000}"/>
    <cellStyle name="Currency 3 3 4 3 4" xfId="805" xr:uid="{00000000-0005-0000-0000-000028040000}"/>
    <cellStyle name="Currency 3 3 4 3 5" xfId="806" xr:uid="{00000000-0005-0000-0000-000029040000}"/>
    <cellStyle name="Currency 3 3 4 3 6" xfId="807" xr:uid="{00000000-0005-0000-0000-00002A040000}"/>
    <cellStyle name="Currency 3 3 4 4" xfId="808" xr:uid="{00000000-0005-0000-0000-00002B040000}"/>
    <cellStyle name="Currency 3 3 4 4 2" xfId="46285" xr:uid="{00000000-0005-0000-0000-00002C040000}"/>
    <cellStyle name="Currency 3 3 4 4 3" xfId="46286" xr:uid="{00000000-0005-0000-0000-00002D040000}"/>
    <cellStyle name="Currency 3 3 4 5" xfId="809" xr:uid="{00000000-0005-0000-0000-00002E040000}"/>
    <cellStyle name="Currency 3 3 4 5 2" xfId="46287" xr:uid="{00000000-0005-0000-0000-00002F040000}"/>
    <cellStyle name="Currency 3 3 4 6" xfId="810" xr:uid="{00000000-0005-0000-0000-000030040000}"/>
    <cellStyle name="Currency 3 3 4 7" xfId="811" xr:uid="{00000000-0005-0000-0000-000031040000}"/>
    <cellStyle name="Currency 3 3 4 8" xfId="812" xr:uid="{00000000-0005-0000-0000-000032040000}"/>
    <cellStyle name="Currency 3 3 5" xfId="813" xr:uid="{00000000-0005-0000-0000-000033040000}"/>
    <cellStyle name="Currency 3 3 5 2" xfId="814" xr:uid="{00000000-0005-0000-0000-000034040000}"/>
    <cellStyle name="Currency 3 3 5 2 2" xfId="815" xr:uid="{00000000-0005-0000-0000-000035040000}"/>
    <cellStyle name="Currency 3 3 5 2 2 2" xfId="46288" xr:uid="{00000000-0005-0000-0000-000036040000}"/>
    <cellStyle name="Currency 3 3 5 2 2 3" xfId="46289" xr:uid="{00000000-0005-0000-0000-000037040000}"/>
    <cellStyle name="Currency 3 3 5 2 3" xfId="816" xr:uid="{00000000-0005-0000-0000-000038040000}"/>
    <cellStyle name="Currency 3 3 5 2 3 2" xfId="46290" xr:uid="{00000000-0005-0000-0000-000039040000}"/>
    <cellStyle name="Currency 3 3 5 2 4" xfId="817" xr:uid="{00000000-0005-0000-0000-00003A040000}"/>
    <cellStyle name="Currency 3 3 5 2 5" xfId="818" xr:uid="{00000000-0005-0000-0000-00003B040000}"/>
    <cellStyle name="Currency 3 3 5 2 6" xfId="819" xr:uid="{00000000-0005-0000-0000-00003C040000}"/>
    <cellStyle name="Currency 3 3 5 3" xfId="820" xr:uid="{00000000-0005-0000-0000-00003D040000}"/>
    <cellStyle name="Currency 3 3 5 3 2" xfId="46291" xr:uid="{00000000-0005-0000-0000-00003E040000}"/>
    <cellStyle name="Currency 3 3 5 3 3" xfId="46292" xr:uid="{00000000-0005-0000-0000-00003F040000}"/>
    <cellStyle name="Currency 3 3 5 4" xfId="821" xr:uid="{00000000-0005-0000-0000-000040040000}"/>
    <cellStyle name="Currency 3 3 5 4 2" xfId="46293" xr:uid="{00000000-0005-0000-0000-000041040000}"/>
    <cellStyle name="Currency 3 3 5 5" xfId="822" xr:uid="{00000000-0005-0000-0000-000042040000}"/>
    <cellStyle name="Currency 3 3 5 6" xfId="823" xr:uid="{00000000-0005-0000-0000-000043040000}"/>
    <cellStyle name="Currency 3 3 5 7" xfId="824" xr:uid="{00000000-0005-0000-0000-000044040000}"/>
    <cellStyle name="Currency 3 3 6" xfId="825" xr:uid="{00000000-0005-0000-0000-000045040000}"/>
    <cellStyle name="Currency 3 3 6 2" xfId="826" xr:uid="{00000000-0005-0000-0000-000046040000}"/>
    <cellStyle name="Currency 3 3 6 2 2" xfId="46294" xr:uid="{00000000-0005-0000-0000-000047040000}"/>
    <cellStyle name="Currency 3 3 6 2 3" xfId="46295" xr:uid="{00000000-0005-0000-0000-000048040000}"/>
    <cellStyle name="Currency 3 3 6 3" xfId="827" xr:uid="{00000000-0005-0000-0000-000049040000}"/>
    <cellStyle name="Currency 3 3 6 3 2" xfId="46296" xr:uid="{00000000-0005-0000-0000-00004A040000}"/>
    <cellStyle name="Currency 3 3 6 4" xfId="828" xr:uid="{00000000-0005-0000-0000-00004B040000}"/>
    <cellStyle name="Currency 3 3 6 5" xfId="829" xr:uid="{00000000-0005-0000-0000-00004C040000}"/>
    <cellStyle name="Currency 3 3 6 6" xfId="830" xr:uid="{00000000-0005-0000-0000-00004D040000}"/>
    <cellStyle name="Currency 3 3 7" xfId="831" xr:uid="{00000000-0005-0000-0000-00004E040000}"/>
    <cellStyle name="Currency 3 3 7 2" xfId="46297" xr:uid="{00000000-0005-0000-0000-00004F040000}"/>
    <cellStyle name="Currency 3 3 8" xfId="832" xr:uid="{00000000-0005-0000-0000-000050040000}"/>
    <cellStyle name="Currency 3 3 9" xfId="833" xr:uid="{00000000-0005-0000-0000-000051040000}"/>
    <cellStyle name="Currency 3 4" xfId="834" xr:uid="{00000000-0005-0000-0000-000052040000}"/>
    <cellStyle name="Currency 3 4 10" xfId="835" xr:uid="{00000000-0005-0000-0000-000053040000}"/>
    <cellStyle name="Currency 3 4 11" xfId="836" xr:uid="{00000000-0005-0000-0000-000054040000}"/>
    <cellStyle name="Currency 3 4 12" xfId="837" xr:uid="{00000000-0005-0000-0000-000055040000}"/>
    <cellStyle name="Currency 3 4 13" xfId="838" xr:uid="{00000000-0005-0000-0000-000056040000}"/>
    <cellStyle name="Currency 3 4 14" xfId="839" xr:uid="{00000000-0005-0000-0000-000057040000}"/>
    <cellStyle name="Currency 3 4 2" xfId="840" xr:uid="{00000000-0005-0000-0000-000058040000}"/>
    <cellStyle name="Currency 3 4 2 2" xfId="841" xr:uid="{00000000-0005-0000-0000-000059040000}"/>
    <cellStyle name="Currency 3 4 2 2 2" xfId="842" xr:uid="{00000000-0005-0000-0000-00005A040000}"/>
    <cellStyle name="Currency 3 4 2 2 2 2" xfId="843" xr:uid="{00000000-0005-0000-0000-00005B040000}"/>
    <cellStyle name="Currency 3 4 2 2 2 2 2" xfId="46298" xr:uid="{00000000-0005-0000-0000-00005C040000}"/>
    <cellStyle name="Currency 3 4 2 2 2 2 3" xfId="46299" xr:uid="{00000000-0005-0000-0000-00005D040000}"/>
    <cellStyle name="Currency 3 4 2 2 2 3" xfId="844" xr:uid="{00000000-0005-0000-0000-00005E040000}"/>
    <cellStyle name="Currency 3 4 2 2 2 3 2" xfId="46300" xr:uid="{00000000-0005-0000-0000-00005F040000}"/>
    <cellStyle name="Currency 3 4 2 2 2 4" xfId="845" xr:uid="{00000000-0005-0000-0000-000060040000}"/>
    <cellStyle name="Currency 3 4 2 2 2 5" xfId="846" xr:uid="{00000000-0005-0000-0000-000061040000}"/>
    <cellStyle name="Currency 3 4 2 2 2 6" xfId="847" xr:uid="{00000000-0005-0000-0000-000062040000}"/>
    <cellStyle name="Currency 3 4 2 2 3" xfId="848" xr:uid="{00000000-0005-0000-0000-000063040000}"/>
    <cellStyle name="Currency 3 4 2 2 3 2" xfId="46301" xr:uid="{00000000-0005-0000-0000-000064040000}"/>
    <cellStyle name="Currency 3 4 2 2 3 3" xfId="46302" xr:uid="{00000000-0005-0000-0000-000065040000}"/>
    <cellStyle name="Currency 3 4 2 2 4" xfId="849" xr:uid="{00000000-0005-0000-0000-000066040000}"/>
    <cellStyle name="Currency 3 4 2 2 4 2" xfId="46303" xr:uid="{00000000-0005-0000-0000-000067040000}"/>
    <cellStyle name="Currency 3 4 2 2 5" xfId="850" xr:uid="{00000000-0005-0000-0000-000068040000}"/>
    <cellStyle name="Currency 3 4 2 2 6" xfId="851" xr:uid="{00000000-0005-0000-0000-000069040000}"/>
    <cellStyle name="Currency 3 4 2 2 7" xfId="852" xr:uid="{00000000-0005-0000-0000-00006A040000}"/>
    <cellStyle name="Currency 3 4 2 3" xfId="853" xr:uid="{00000000-0005-0000-0000-00006B040000}"/>
    <cellStyle name="Currency 3 4 2 3 2" xfId="854" xr:uid="{00000000-0005-0000-0000-00006C040000}"/>
    <cellStyle name="Currency 3 4 2 3 2 2" xfId="46304" xr:uid="{00000000-0005-0000-0000-00006D040000}"/>
    <cellStyle name="Currency 3 4 2 3 2 3" xfId="46305" xr:uid="{00000000-0005-0000-0000-00006E040000}"/>
    <cellStyle name="Currency 3 4 2 3 3" xfId="855" xr:uid="{00000000-0005-0000-0000-00006F040000}"/>
    <cellStyle name="Currency 3 4 2 3 3 2" xfId="46306" xr:uid="{00000000-0005-0000-0000-000070040000}"/>
    <cellStyle name="Currency 3 4 2 3 4" xfId="856" xr:uid="{00000000-0005-0000-0000-000071040000}"/>
    <cellStyle name="Currency 3 4 2 3 5" xfId="857" xr:uid="{00000000-0005-0000-0000-000072040000}"/>
    <cellStyle name="Currency 3 4 2 3 6" xfId="858" xr:uid="{00000000-0005-0000-0000-000073040000}"/>
    <cellStyle name="Currency 3 4 2 4" xfId="859" xr:uid="{00000000-0005-0000-0000-000074040000}"/>
    <cellStyle name="Currency 3 4 2 4 2" xfId="46307" xr:uid="{00000000-0005-0000-0000-000075040000}"/>
    <cellStyle name="Currency 3 4 2 4 3" xfId="46308" xr:uid="{00000000-0005-0000-0000-000076040000}"/>
    <cellStyle name="Currency 3 4 2 5" xfId="860" xr:uid="{00000000-0005-0000-0000-000077040000}"/>
    <cellStyle name="Currency 3 4 2 5 2" xfId="46309" xr:uid="{00000000-0005-0000-0000-000078040000}"/>
    <cellStyle name="Currency 3 4 2 6" xfId="861" xr:uid="{00000000-0005-0000-0000-000079040000}"/>
    <cellStyle name="Currency 3 4 2 7" xfId="862" xr:uid="{00000000-0005-0000-0000-00007A040000}"/>
    <cellStyle name="Currency 3 4 2 8" xfId="863" xr:uid="{00000000-0005-0000-0000-00007B040000}"/>
    <cellStyle name="Currency 3 4 2 9" xfId="864" xr:uid="{00000000-0005-0000-0000-00007C040000}"/>
    <cellStyle name="Currency 3 4 3" xfId="865" xr:uid="{00000000-0005-0000-0000-00007D040000}"/>
    <cellStyle name="Currency 3 4 3 2" xfId="866" xr:uid="{00000000-0005-0000-0000-00007E040000}"/>
    <cellStyle name="Currency 3 4 3 2 2" xfId="867" xr:uid="{00000000-0005-0000-0000-00007F040000}"/>
    <cellStyle name="Currency 3 4 3 2 2 2" xfId="868" xr:uid="{00000000-0005-0000-0000-000080040000}"/>
    <cellStyle name="Currency 3 4 3 2 2 2 2" xfId="46310" xr:uid="{00000000-0005-0000-0000-000081040000}"/>
    <cellStyle name="Currency 3 4 3 2 2 2 3" xfId="46311" xr:uid="{00000000-0005-0000-0000-000082040000}"/>
    <cellStyle name="Currency 3 4 3 2 2 3" xfId="869" xr:uid="{00000000-0005-0000-0000-000083040000}"/>
    <cellStyle name="Currency 3 4 3 2 2 3 2" xfId="46312" xr:uid="{00000000-0005-0000-0000-000084040000}"/>
    <cellStyle name="Currency 3 4 3 2 2 4" xfId="870" xr:uid="{00000000-0005-0000-0000-000085040000}"/>
    <cellStyle name="Currency 3 4 3 2 2 5" xfId="871" xr:uid="{00000000-0005-0000-0000-000086040000}"/>
    <cellStyle name="Currency 3 4 3 2 2 6" xfId="872" xr:uid="{00000000-0005-0000-0000-000087040000}"/>
    <cellStyle name="Currency 3 4 3 2 3" xfId="873" xr:uid="{00000000-0005-0000-0000-000088040000}"/>
    <cellStyle name="Currency 3 4 3 2 3 2" xfId="46313" xr:uid="{00000000-0005-0000-0000-000089040000}"/>
    <cellStyle name="Currency 3 4 3 2 3 3" xfId="46314" xr:uid="{00000000-0005-0000-0000-00008A040000}"/>
    <cellStyle name="Currency 3 4 3 2 4" xfId="874" xr:uid="{00000000-0005-0000-0000-00008B040000}"/>
    <cellStyle name="Currency 3 4 3 2 4 2" xfId="46315" xr:uid="{00000000-0005-0000-0000-00008C040000}"/>
    <cellStyle name="Currency 3 4 3 2 5" xfId="875" xr:uid="{00000000-0005-0000-0000-00008D040000}"/>
    <cellStyle name="Currency 3 4 3 2 6" xfId="876" xr:uid="{00000000-0005-0000-0000-00008E040000}"/>
    <cellStyle name="Currency 3 4 3 2 7" xfId="877" xr:uid="{00000000-0005-0000-0000-00008F040000}"/>
    <cellStyle name="Currency 3 4 3 3" xfId="878" xr:uid="{00000000-0005-0000-0000-000090040000}"/>
    <cellStyle name="Currency 3 4 3 3 2" xfId="879" xr:uid="{00000000-0005-0000-0000-000091040000}"/>
    <cellStyle name="Currency 3 4 3 3 2 2" xfId="46316" xr:uid="{00000000-0005-0000-0000-000092040000}"/>
    <cellStyle name="Currency 3 4 3 3 2 3" xfId="46317" xr:uid="{00000000-0005-0000-0000-000093040000}"/>
    <cellStyle name="Currency 3 4 3 3 3" xfId="880" xr:uid="{00000000-0005-0000-0000-000094040000}"/>
    <cellStyle name="Currency 3 4 3 3 3 2" xfId="46318" xr:uid="{00000000-0005-0000-0000-000095040000}"/>
    <cellStyle name="Currency 3 4 3 3 4" xfId="881" xr:uid="{00000000-0005-0000-0000-000096040000}"/>
    <cellStyle name="Currency 3 4 3 3 5" xfId="882" xr:uid="{00000000-0005-0000-0000-000097040000}"/>
    <cellStyle name="Currency 3 4 3 3 6" xfId="883" xr:uid="{00000000-0005-0000-0000-000098040000}"/>
    <cellStyle name="Currency 3 4 3 4" xfId="884" xr:uid="{00000000-0005-0000-0000-000099040000}"/>
    <cellStyle name="Currency 3 4 3 4 2" xfId="46319" xr:uid="{00000000-0005-0000-0000-00009A040000}"/>
    <cellStyle name="Currency 3 4 3 4 3" xfId="46320" xr:uid="{00000000-0005-0000-0000-00009B040000}"/>
    <cellStyle name="Currency 3 4 3 5" xfId="885" xr:uid="{00000000-0005-0000-0000-00009C040000}"/>
    <cellStyle name="Currency 3 4 3 5 2" xfId="46321" xr:uid="{00000000-0005-0000-0000-00009D040000}"/>
    <cellStyle name="Currency 3 4 3 6" xfId="886" xr:uid="{00000000-0005-0000-0000-00009E040000}"/>
    <cellStyle name="Currency 3 4 3 7" xfId="887" xr:uid="{00000000-0005-0000-0000-00009F040000}"/>
    <cellStyle name="Currency 3 4 3 8" xfId="888" xr:uid="{00000000-0005-0000-0000-0000A0040000}"/>
    <cellStyle name="Currency 3 4 4" xfId="889" xr:uid="{00000000-0005-0000-0000-0000A1040000}"/>
    <cellStyle name="Currency 3 4 4 2" xfId="890" xr:uid="{00000000-0005-0000-0000-0000A2040000}"/>
    <cellStyle name="Currency 3 4 4 2 2" xfId="891" xr:uid="{00000000-0005-0000-0000-0000A3040000}"/>
    <cellStyle name="Currency 3 4 4 2 2 2" xfId="46322" xr:uid="{00000000-0005-0000-0000-0000A4040000}"/>
    <cellStyle name="Currency 3 4 4 2 2 3" xfId="46323" xr:uid="{00000000-0005-0000-0000-0000A5040000}"/>
    <cellStyle name="Currency 3 4 4 2 3" xfId="892" xr:uid="{00000000-0005-0000-0000-0000A6040000}"/>
    <cellStyle name="Currency 3 4 4 2 3 2" xfId="46324" xr:uid="{00000000-0005-0000-0000-0000A7040000}"/>
    <cellStyle name="Currency 3 4 4 2 4" xfId="893" xr:uid="{00000000-0005-0000-0000-0000A8040000}"/>
    <cellStyle name="Currency 3 4 4 2 5" xfId="894" xr:uid="{00000000-0005-0000-0000-0000A9040000}"/>
    <cellStyle name="Currency 3 4 4 2 6" xfId="895" xr:uid="{00000000-0005-0000-0000-0000AA040000}"/>
    <cellStyle name="Currency 3 4 4 3" xfId="896" xr:uid="{00000000-0005-0000-0000-0000AB040000}"/>
    <cellStyle name="Currency 3 4 4 3 2" xfId="46325" xr:uid="{00000000-0005-0000-0000-0000AC040000}"/>
    <cellStyle name="Currency 3 4 4 3 3" xfId="46326" xr:uid="{00000000-0005-0000-0000-0000AD040000}"/>
    <cellStyle name="Currency 3 4 4 4" xfId="897" xr:uid="{00000000-0005-0000-0000-0000AE040000}"/>
    <cellStyle name="Currency 3 4 4 4 2" xfId="46327" xr:uid="{00000000-0005-0000-0000-0000AF040000}"/>
    <cellStyle name="Currency 3 4 4 5" xfId="898" xr:uid="{00000000-0005-0000-0000-0000B0040000}"/>
    <cellStyle name="Currency 3 4 4 6" xfId="899" xr:uid="{00000000-0005-0000-0000-0000B1040000}"/>
    <cellStyle name="Currency 3 4 4 7" xfId="900" xr:uid="{00000000-0005-0000-0000-0000B2040000}"/>
    <cellStyle name="Currency 3 4 5" xfId="901" xr:uid="{00000000-0005-0000-0000-0000B3040000}"/>
    <cellStyle name="Currency 3 4 5 2" xfId="902" xr:uid="{00000000-0005-0000-0000-0000B4040000}"/>
    <cellStyle name="Currency 3 4 5 2 2" xfId="46328" xr:uid="{00000000-0005-0000-0000-0000B5040000}"/>
    <cellStyle name="Currency 3 4 5 2 3" xfId="46329" xr:uid="{00000000-0005-0000-0000-0000B6040000}"/>
    <cellStyle name="Currency 3 4 5 3" xfId="903" xr:uid="{00000000-0005-0000-0000-0000B7040000}"/>
    <cellStyle name="Currency 3 4 5 3 2" xfId="46330" xr:uid="{00000000-0005-0000-0000-0000B8040000}"/>
    <cellStyle name="Currency 3 4 5 4" xfId="904" xr:uid="{00000000-0005-0000-0000-0000B9040000}"/>
    <cellStyle name="Currency 3 4 5 5" xfId="905" xr:uid="{00000000-0005-0000-0000-0000BA040000}"/>
    <cellStyle name="Currency 3 4 5 6" xfId="906" xr:uid="{00000000-0005-0000-0000-0000BB040000}"/>
    <cellStyle name="Currency 3 4 6" xfId="907" xr:uid="{00000000-0005-0000-0000-0000BC040000}"/>
    <cellStyle name="Currency 3 4 6 2" xfId="46331" xr:uid="{00000000-0005-0000-0000-0000BD040000}"/>
    <cellStyle name="Currency 3 4 6 3" xfId="46332" xr:uid="{00000000-0005-0000-0000-0000BE040000}"/>
    <cellStyle name="Currency 3 4 7" xfId="908" xr:uid="{00000000-0005-0000-0000-0000BF040000}"/>
    <cellStyle name="Currency 3 4 7 2" xfId="46333" xr:uid="{00000000-0005-0000-0000-0000C0040000}"/>
    <cellStyle name="Currency 3 4 8" xfId="909" xr:uid="{00000000-0005-0000-0000-0000C1040000}"/>
    <cellStyle name="Currency 3 4 8 2" xfId="46334" xr:uid="{00000000-0005-0000-0000-0000C2040000}"/>
    <cellStyle name="Currency 3 4 9" xfId="910" xr:uid="{00000000-0005-0000-0000-0000C3040000}"/>
    <cellStyle name="Currency 3 5" xfId="911" xr:uid="{00000000-0005-0000-0000-0000C4040000}"/>
    <cellStyle name="Currency 3 5 10" xfId="912" xr:uid="{00000000-0005-0000-0000-0000C5040000}"/>
    <cellStyle name="Currency 3 5 11" xfId="913" xr:uid="{00000000-0005-0000-0000-0000C6040000}"/>
    <cellStyle name="Currency 3 5 12" xfId="914" xr:uid="{00000000-0005-0000-0000-0000C7040000}"/>
    <cellStyle name="Currency 3 5 13" xfId="915" xr:uid="{00000000-0005-0000-0000-0000C8040000}"/>
    <cellStyle name="Currency 3 5 14" xfId="916" xr:uid="{00000000-0005-0000-0000-0000C9040000}"/>
    <cellStyle name="Currency 3 5 2" xfId="917" xr:uid="{00000000-0005-0000-0000-0000CA040000}"/>
    <cellStyle name="Currency 3 5 2 2" xfId="918" xr:uid="{00000000-0005-0000-0000-0000CB040000}"/>
    <cellStyle name="Currency 3 5 2 2 2" xfId="919" xr:uid="{00000000-0005-0000-0000-0000CC040000}"/>
    <cellStyle name="Currency 3 5 2 2 2 2" xfId="920" xr:uid="{00000000-0005-0000-0000-0000CD040000}"/>
    <cellStyle name="Currency 3 5 2 2 2 2 2" xfId="46335" xr:uid="{00000000-0005-0000-0000-0000CE040000}"/>
    <cellStyle name="Currency 3 5 2 2 2 2 3" xfId="46336" xr:uid="{00000000-0005-0000-0000-0000CF040000}"/>
    <cellStyle name="Currency 3 5 2 2 2 3" xfId="921" xr:uid="{00000000-0005-0000-0000-0000D0040000}"/>
    <cellStyle name="Currency 3 5 2 2 2 3 2" xfId="46337" xr:uid="{00000000-0005-0000-0000-0000D1040000}"/>
    <cellStyle name="Currency 3 5 2 2 2 4" xfId="922" xr:uid="{00000000-0005-0000-0000-0000D2040000}"/>
    <cellStyle name="Currency 3 5 2 2 2 5" xfId="923" xr:uid="{00000000-0005-0000-0000-0000D3040000}"/>
    <cellStyle name="Currency 3 5 2 2 2 6" xfId="924" xr:uid="{00000000-0005-0000-0000-0000D4040000}"/>
    <cellStyle name="Currency 3 5 2 2 3" xfId="925" xr:uid="{00000000-0005-0000-0000-0000D5040000}"/>
    <cellStyle name="Currency 3 5 2 2 3 2" xfId="46338" xr:uid="{00000000-0005-0000-0000-0000D6040000}"/>
    <cellStyle name="Currency 3 5 2 2 3 3" xfId="46339" xr:uid="{00000000-0005-0000-0000-0000D7040000}"/>
    <cellStyle name="Currency 3 5 2 2 4" xfId="926" xr:uid="{00000000-0005-0000-0000-0000D8040000}"/>
    <cellStyle name="Currency 3 5 2 2 4 2" xfId="46340" xr:uid="{00000000-0005-0000-0000-0000D9040000}"/>
    <cellStyle name="Currency 3 5 2 2 5" xfId="927" xr:uid="{00000000-0005-0000-0000-0000DA040000}"/>
    <cellStyle name="Currency 3 5 2 2 6" xfId="928" xr:uid="{00000000-0005-0000-0000-0000DB040000}"/>
    <cellStyle name="Currency 3 5 2 2 7" xfId="929" xr:uid="{00000000-0005-0000-0000-0000DC040000}"/>
    <cellStyle name="Currency 3 5 2 3" xfId="930" xr:uid="{00000000-0005-0000-0000-0000DD040000}"/>
    <cellStyle name="Currency 3 5 2 3 2" xfId="931" xr:uid="{00000000-0005-0000-0000-0000DE040000}"/>
    <cellStyle name="Currency 3 5 2 3 2 2" xfId="46341" xr:uid="{00000000-0005-0000-0000-0000DF040000}"/>
    <cellStyle name="Currency 3 5 2 3 2 3" xfId="46342" xr:uid="{00000000-0005-0000-0000-0000E0040000}"/>
    <cellStyle name="Currency 3 5 2 3 3" xfId="932" xr:uid="{00000000-0005-0000-0000-0000E1040000}"/>
    <cellStyle name="Currency 3 5 2 3 3 2" xfId="46343" xr:uid="{00000000-0005-0000-0000-0000E2040000}"/>
    <cellStyle name="Currency 3 5 2 3 4" xfId="933" xr:uid="{00000000-0005-0000-0000-0000E3040000}"/>
    <cellStyle name="Currency 3 5 2 3 5" xfId="934" xr:uid="{00000000-0005-0000-0000-0000E4040000}"/>
    <cellStyle name="Currency 3 5 2 3 6" xfId="935" xr:uid="{00000000-0005-0000-0000-0000E5040000}"/>
    <cellStyle name="Currency 3 5 2 4" xfId="936" xr:uid="{00000000-0005-0000-0000-0000E6040000}"/>
    <cellStyle name="Currency 3 5 2 4 2" xfId="46344" xr:uid="{00000000-0005-0000-0000-0000E7040000}"/>
    <cellStyle name="Currency 3 5 2 4 3" xfId="46345" xr:uid="{00000000-0005-0000-0000-0000E8040000}"/>
    <cellStyle name="Currency 3 5 2 5" xfId="937" xr:uid="{00000000-0005-0000-0000-0000E9040000}"/>
    <cellStyle name="Currency 3 5 2 5 2" xfId="46346" xr:uid="{00000000-0005-0000-0000-0000EA040000}"/>
    <cellStyle name="Currency 3 5 2 6" xfId="938" xr:uid="{00000000-0005-0000-0000-0000EB040000}"/>
    <cellStyle name="Currency 3 5 2 7" xfId="939" xr:uid="{00000000-0005-0000-0000-0000EC040000}"/>
    <cellStyle name="Currency 3 5 2 8" xfId="940" xr:uid="{00000000-0005-0000-0000-0000ED040000}"/>
    <cellStyle name="Currency 3 5 2 9" xfId="941" xr:uid="{00000000-0005-0000-0000-0000EE040000}"/>
    <cellStyle name="Currency 3 5 3" xfId="942" xr:uid="{00000000-0005-0000-0000-0000EF040000}"/>
    <cellStyle name="Currency 3 5 3 2" xfId="943" xr:uid="{00000000-0005-0000-0000-0000F0040000}"/>
    <cellStyle name="Currency 3 5 3 2 2" xfId="944" xr:uid="{00000000-0005-0000-0000-0000F1040000}"/>
    <cellStyle name="Currency 3 5 3 2 2 2" xfId="945" xr:uid="{00000000-0005-0000-0000-0000F2040000}"/>
    <cellStyle name="Currency 3 5 3 2 2 2 2" xfId="46347" xr:uid="{00000000-0005-0000-0000-0000F3040000}"/>
    <cellStyle name="Currency 3 5 3 2 2 2 3" xfId="46348" xr:uid="{00000000-0005-0000-0000-0000F4040000}"/>
    <cellStyle name="Currency 3 5 3 2 2 3" xfId="946" xr:uid="{00000000-0005-0000-0000-0000F5040000}"/>
    <cellStyle name="Currency 3 5 3 2 2 3 2" xfId="46349" xr:uid="{00000000-0005-0000-0000-0000F6040000}"/>
    <cellStyle name="Currency 3 5 3 2 2 4" xfId="947" xr:uid="{00000000-0005-0000-0000-0000F7040000}"/>
    <cellStyle name="Currency 3 5 3 2 2 5" xfId="948" xr:uid="{00000000-0005-0000-0000-0000F8040000}"/>
    <cellStyle name="Currency 3 5 3 2 2 6" xfId="949" xr:uid="{00000000-0005-0000-0000-0000F9040000}"/>
    <cellStyle name="Currency 3 5 3 2 3" xfId="950" xr:uid="{00000000-0005-0000-0000-0000FA040000}"/>
    <cellStyle name="Currency 3 5 3 2 3 2" xfId="46350" xr:uid="{00000000-0005-0000-0000-0000FB040000}"/>
    <cellStyle name="Currency 3 5 3 2 3 3" xfId="46351" xr:uid="{00000000-0005-0000-0000-0000FC040000}"/>
    <cellStyle name="Currency 3 5 3 2 4" xfId="951" xr:uid="{00000000-0005-0000-0000-0000FD040000}"/>
    <cellStyle name="Currency 3 5 3 2 4 2" xfId="46352" xr:uid="{00000000-0005-0000-0000-0000FE040000}"/>
    <cellStyle name="Currency 3 5 3 2 5" xfId="952" xr:uid="{00000000-0005-0000-0000-0000FF040000}"/>
    <cellStyle name="Currency 3 5 3 2 6" xfId="953" xr:uid="{00000000-0005-0000-0000-000000050000}"/>
    <cellStyle name="Currency 3 5 3 2 7" xfId="954" xr:uid="{00000000-0005-0000-0000-000001050000}"/>
    <cellStyle name="Currency 3 5 3 3" xfId="955" xr:uid="{00000000-0005-0000-0000-000002050000}"/>
    <cellStyle name="Currency 3 5 3 3 2" xfId="956" xr:uid="{00000000-0005-0000-0000-000003050000}"/>
    <cellStyle name="Currency 3 5 3 3 2 2" xfId="46353" xr:uid="{00000000-0005-0000-0000-000004050000}"/>
    <cellStyle name="Currency 3 5 3 3 2 3" xfId="46354" xr:uid="{00000000-0005-0000-0000-000005050000}"/>
    <cellStyle name="Currency 3 5 3 3 3" xfId="957" xr:uid="{00000000-0005-0000-0000-000006050000}"/>
    <cellStyle name="Currency 3 5 3 3 3 2" xfId="46355" xr:uid="{00000000-0005-0000-0000-000007050000}"/>
    <cellStyle name="Currency 3 5 3 3 4" xfId="958" xr:uid="{00000000-0005-0000-0000-000008050000}"/>
    <cellStyle name="Currency 3 5 3 3 5" xfId="959" xr:uid="{00000000-0005-0000-0000-000009050000}"/>
    <cellStyle name="Currency 3 5 3 3 6" xfId="960" xr:uid="{00000000-0005-0000-0000-00000A050000}"/>
    <cellStyle name="Currency 3 5 3 4" xfId="961" xr:uid="{00000000-0005-0000-0000-00000B050000}"/>
    <cellStyle name="Currency 3 5 3 4 2" xfId="46356" xr:uid="{00000000-0005-0000-0000-00000C050000}"/>
    <cellStyle name="Currency 3 5 3 4 3" xfId="46357" xr:uid="{00000000-0005-0000-0000-00000D050000}"/>
    <cellStyle name="Currency 3 5 3 5" xfId="962" xr:uid="{00000000-0005-0000-0000-00000E050000}"/>
    <cellStyle name="Currency 3 5 3 5 2" xfId="46358" xr:uid="{00000000-0005-0000-0000-00000F050000}"/>
    <cellStyle name="Currency 3 5 3 6" xfId="963" xr:uid="{00000000-0005-0000-0000-000010050000}"/>
    <cellStyle name="Currency 3 5 3 7" xfId="964" xr:uid="{00000000-0005-0000-0000-000011050000}"/>
    <cellStyle name="Currency 3 5 3 8" xfId="965" xr:uid="{00000000-0005-0000-0000-000012050000}"/>
    <cellStyle name="Currency 3 5 4" xfId="966" xr:uid="{00000000-0005-0000-0000-000013050000}"/>
    <cellStyle name="Currency 3 5 4 2" xfId="967" xr:uid="{00000000-0005-0000-0000-000014050000}"/>
    <cellStyle name="Currency 3 5 4 2 2" xfId="968" xr:uid="{00000000-0005-0000-0000-000015050000}"/>
    <cellStyle name="Currency 3 5 4 2 2 2" xfId="46359" xr:uid="{00000000-0005-0000-0000-000016050000}"/>
    <cellStyle name="Currency 3 5 4 2 2 3" xfId="46360" xr:uid="{00000000-0005-0000-0000-000017050000}"/>
    <cellStyle name="Currency 3 5 4 2 3" xfId="969" xr:uid="{00000000-0005-0000-0000-000018050000}"/>
    <cellStyle name="Currency 3 5 4 2 3 2" xfId="46361" xr:uid="{00000000-0005-0000-0000-000019050000}"/>
    <cellStyle name="Currency 3 5 4 2 4" xfId="970" xr:uid="{00000000-0005-0000-0000-00001A050000}"/>
    <cellStyle name="Currency 3 5 4 2 5" xfId="971" xr:uid="{00000000-0005-0000-0000-00001B050000}"/>
    <cellStyle name="Currency 3 5 4 2 6" xfId="972" xr:uid="{00000000-0005-0000-0000-00001C050000}"/>
    <cellStyle name="Currency 3 5 4 3" xfId="973" xr:uid="{00000000-0005-0000-0000-00001D050000}"/>
    <cellStyle name="Currency 3 5 4 3 2" xfId="46362" xr:uid="{00000000-0005-0000-0000-00001E050000}"/>
    <cellStyle name="Currency 3 5 4 3 3" xfId="46363" xr:uid="{00000000-0005-0000-0000-00001F050000}"/>
    <cellStyle name="Currency 3 5 4 4" xfId="974" xr:uid="{00000000-0005-0000-0000-000020050000}"/>
    <cellStyle name="Currency 3 5 4 4 2" xfId="46364" xr:uid="{00000000-0005-0000-0000-000021050000}"/>
    <cellStyle name="Currency 3 5 4 5" xfId="975" xr:uid="{00000000-0005-0000-0000-000022050000}"/>
    <cellStyle name="Currency 3 5 4 6" xfId="976" xr:uid="{00000000-0005-0000-0000-000023050000}"/>
    <cellStyle name="Currency 3 5 4 7" xfId="977" xr:uid="{00000000-0005-0000-0000-000024050000}"/>
    <cellStyle name="Currency 3 5 5" xfId="978" xr:uid="{00000000-0005-0000-0000-000025050000}"/>
    <cellStyle name="Currency 3 5 5 2" xfId="979" xr:uid="{00000000-0005-0000-0000-000026050000}"/>
    <cellStyle name="Currency 3 5 5 2 2" xfId="46365" xr:uid="{00000000-0005-0000-0000-000027050000}"/>
    <cellStyle name="Currency 3 5 5 2 3" xfId="46366" xr:uid="{00000000-0005-0000-0000-000028050000}"/>
    <cellStyle name="Currency 3 5 5 3" xfId="980" xr:uid="{00000000-0005-0000-0000-000029050000}"/>
    <cellStyle name="Currency 3 5 5 3 2" xfId="46367" xr:uid="{00000000-0005-0000-0000-00002A050000}"/>
    <cellStyle name="Currency 3 5 5 4" xfId="981" xr:uid="{00000000-0005-0000-0000-00002B050000}"/>
    <cellStyle name="Currency 3 5 5 5" xfId="982" xr:uid="{00000000-0005-0000-0000-00002C050000}"/>
    <cellStyle name="Currency 3 5 5 6" xfId="983" xr:uid="{00000000-0005-0000-0000-00002D050000}"/>
    <cellStyle name="Currency 3 5 6" xfId="984" xr:uid="{00000000-0005-0000-0000-00002E050000}"/>
    <cellStyle name="Currency 3 5 6 2" xfId="46368" xr:uid="{00000000-0005-0000-0000-00002F050000}"/>
    <cellStyle name="Currency 3 5 6 3" xfId="46369" xr:uid="{00000000-0005-0000-0000-000030050000}"/>
    <cellStyle name="Currency 3 5 7" xfId="985" xr:uid="{00000000-0005-0000-0000-000031050000}"/>
    <cellStyle name="Currency 3 5 7 2" xfId="46370" xr:uid="{00000000-0005-0000-0000-000032050000}"/>
    <cellStyle name="Currency 3 5 8" xfId="986" xr:uid="{00000000-0005-0000-0000-000033050000}"/>
    <cellStyle name="Currency 3 5 9" xfId="987" xr:uid="{00000000-0005-0000-0000-000034050000}"/>
    <cellStyle name="Currency 3 6" xfId="988" xr:uid="{00000000-0005-0000-0000-000035050000}"/>
    <cellStyle name="Currency 3 6 10" xfId="989" xr:uid="{00000000-0005-0000-0000-000036050000}"/>
    <cellStyle name="Currency 3 6 11" xfId="990" xr:uid="{00000000-0005-0000-0000-000037050000}"/>
    <cellStyle name="Currency 3 6 12" xfId="991" xr:uid="{00000000-0005-0000-0000-000038050000}"/>
    <cellStyle name="Currency 3 6 13" xfId="992" xr:uid="{00000000-0005-0000-0000-000039050000}"/>
    <cellStyle name="Currency 3 6 2" xfId="993" xr:uid="{00000000-0005-0000-0000-00003A050000}"/>
    <cellStyle name="Currency 3 6 2 2" xfId="994" xr:uid="{00000000-0005-0000-0000-00003B050000}"/>
    <cellStyle name="Currency 3 6 2 2 2" xfId="995" xr:uid="{00000000-0005-0000-0000-00003C050000}"/>
    <cellStyle name="Currency 3 6 2 2 2 2" xfId="996" xr:uid="{00000000-0005-0000-0000-00003D050000}"/>
    <cellStyle name="Currency 3 6 2 2 2 2 2" xfId="46371" xr:uid="{00000000-0005-0000-0000-00003E050000}"/>
    <cellStyle name="Currency 3 6 2 2 2 2 3" xfId="46372" xr:uid="{00000000-0005-0000-0000-00003F050000}"/>
    <cellStyle name="Currency 3 6 2 2 2 3" xfId="997" xr:uid="{00000000-0005-0000-0000-000040050000}"/>
    <cellStyle name="Currency 3 6 2 2 2 3 2" xfId="46373" xr:uid="{00000000-0005-0000-0000-000041050000}"/>
    <cellStyle name="Currency 3 6 2 2 2 4" xfId="998" xr:uid="{00000000-0005-0000-0000-000042050000}"/>
    <cellStyle name="Currency 3 6 2 2 2 5" xfId="999" xr:uid="{00000000-0005-0000-0000-000043050000}"/>
    <cellStyle name="Currency 3 6 2 2 2 6" xfId="1000" xr:uid="{00000000-0005-0000-0000-000044050000}"/>
    <cellStyle name="Currency 3 6 2 2 3" xfId="1001" xr:uid="{00000000-0005-0000-0000-000045050000}"/>
    <cellStyle name="Currency 3 6 2 2 3 2" xfId="46374" xr:uid="{00000000-0005-0000-0000-000046050000}"/>
    <cellStyle name="Currency 3 6 2 2 3 3" xfId="46375" xr:uid="{00000000-0005-0000-0000-000047050000}"/>
    <cellStyle name="Currency 3 6 2 2 4" xfId="1002" xr:uid="{00000000-0005-0000-0000-000048050000}"/>
    <cellStyle name="Currency 3 6 2 2 4 2" xfId="46376" xr:uid="{00000000-0005-0000-0000-000049050000}"/>
    <cellStyle name="Currency 3 6 2 2 5" xfId="1003" xr:uid="{00000000-0005-0000-0000-00004A050000}"/>
    <cellStyle name="Currency 3 6 2 2 6" xfId="1004" xr:uid="{00000000-0005-0000-0000-00004B050000}"/>
    <cellStyle name="Currency 3 6 2 2 7" xfId="1005" xr:uid="{00000000-0005-0000-0000-00004C050000}"/>
    <cellStyle name="Currency 3 6 2 3" xfId="1006" xr:uid="{00000000-0005-0000-0000-00004D050000}"/>
    <cellStyle name="Currency 3 6 2 3 2" xfId="1007" xr:uid="{00000000-0005-0000-0000-00004E050000}"/>
    <cellStyle name="Currency 3 6 2 3 2 2" xfId="46377" xr:uid="{00000000-0005-0000-0000-00004F050000}"/>
    <cellStyle name="Currency 3 6 2 3 2 3" xfId="46378" xr:uid="{00000000-0005-0000-0000-000050050000}"/>
    <cellStyle name="Currency 3 6 2 3 3" xfId="1008" xr:uid="{00000000-0005-0000-0000-000051050000}"/>
    <cellStyle name="Currency 3 6 2 3 3 2" xfId="46379" xr:uid="{00000000-0005-0000-0000-000052050000}"/>
    <cellStyle name="Currency 3 6 2 3 4" xfId="1009" xr:uid="{00000000-0005-0000-0000-000053050000}"/>
    <cellStyle name="Currency 3 6 2 3 5" xfId="1010" xr:uid="{00000000-0005-0000-0000-000054050000}"/>
    <cellStyle name="Currency 3 6 2 3 6" xfId="1011" xr:uid="{00000000-0005-0000-0000-000055050000}"/>
    <cellStyle name="Currency 3 6 2 4" xfId="1012" xr:uid="{00000000-0005-0000-0000-000056050000}"/>
    <cellStyle name="Currency 3 6 2 4 2" xfId="46380" xr:uid="{00000000-0005-0000-0000-000057050000}"/>
    <cellStyle name="Currency 3 6 2 4 3" xfId="46381" xr:uid="{00000000-0005-0000-0000-000058050000}"/>
    <cellStyle name="Currency 3 6 2 5" xfId="1013" xr:uid="{00000000-0005-0000-0000-000059050000}"/>
    <cellStyle name="Currency 3 6 2 5 2" xfId="46382" xr:uid="{00000000-0005-0000-0000-00005A050000}"/>
    <cellStyle name="Currency 3 6 2 6" xfId="1014" xr:uid="{00000000-0005-0000-0000-00005B050000}"/>
    <cellStyle name="Currency 3 6 2 7" xfId="1015" xr:uid="{00000000-0005-0000-0000-00005C050000}"/>
    <cellStyle name="Currency 3 6 2 8" xfId="1016" xr:uid="{00000000-0005-0000-0000-00005D050000}"/>
    <cellStyle name="Currency 3 6 2 9" xfId="1017" xr:uid="{00000000-0005-0000-0000-00005E050000}"/>
    <cellStyle name="Currency 3 6 3" xfId="1018" xr:uid="{00000000-0005-0000-0000-00005F050000}"/>
    <cellStyle name="Currency 3 6 3 2" xfId="1019" xr:uid="{00000000-0005-0000-0000-000060050000}"/>
    <cellStyle name="Currency 3 6 3 2 2" xfId="1020" xr:uid="{00000000-0005-0000-0000-000061050000}"/>
    <cellStyle name="Currency 3 6 3 2 2 2" xfId="46383" xr:uid="{00000000-0005-0000-0000-000062050000}"/>
    <cellStyle name="Currency 3 6 3 2 2 3" xfId="46384" xr:uid="{00000000-0005-0000-0000-000063050000}"/>
    <cellStyle name="Currency 3 6 3 2 3" xfId="1021" xr:uid="{00000000-0005-0000-0000-000064050000}"/>
    <cellStyle name="Currency 3 6 3 2 3 2" xfId="46385" xr:uid="{00000000-0005-0000-0000-000065050000}"/>
    <cellStyle name="Currency 3 6 3 2 4" xfId="1022" xr:uid="{00000000-0005-0000-0000-000066050000}"/>
    <cellStyle name="Currency 3 6 3 2 5" xfId="1023" xr:uid="{00000000-0005-0000-0000-000067050000}"/>
    <cellStyle name="Currency 3 6 3 2 6" xfId="1024" xr:uid="{00000000-0005-0000-0000-000068050000}"/>
    <cellStyle name="Currency 3 6 3 3" xfId="1025" xr:uid="{00000000-0005-0000-0000-000069050000}"/>
    <cellStyle name="Currency 3 6 3 3 2" xfId="46386" xr:uid="{00000000-0005-0000-0000-00006A050000}"/>
    <cellStyle name="Currency 3 6 3 3 3" xfId="46387" xr:uid="{00000000-0005-0000-0000-00006B050000}"/>
    <cellStyle name="Currency 3 6 3 4" xfId="1026" xr:uid="{00000000-0005-0000-0000-00006C050000}"/>
    <cellStyle name="Currency 3 6 3 4 2" xfId="46388" xr:uid="{00000000-0005-0000-0000-00006D050000}"/>
    <cellStyle name="Currency 3 6 3 5" xfId="1027" xr:uid="{00000000-0005-0000-0000-00006E050000}"/>
    <cellStyle name="Currency 3 6 3 6" xfId="1028" xr:uid="{00000000-0005-0000-0000-00006F050000}"/>
    <cellStyle name="Currency 3 6 3 7" xfId="1029" xr:uid="{00000000-0005-0000-0000-000070050000}"/>
    <cellStyle name="Currency 3 6 4" xfId="1030" xr:uid="{00000000-0005-0000-0000-000071050000}"/>
    <cellStyle name="Currency 3 6 4 2" xfId="1031" xr:uid="{00000000-0005-0000-0000-000072050000}"/>
    <cellStyle name="Currency 3 6 4 2 2" xfId="46389" xr:uid="{00000000-0005-0000-0000-000073050000}"/>
    <cellStyle name="Currency 3 6 4 2 3" xfId="46390" xr:uid="{00000000-0005-0000-0000-000074050000}"/>
    <cellStyle name="Currency 3 6 4 3" xfId="1032" xr:uid="{00000000-0005-0000-0000-000075050000}"/>
    <cellStyle name="Currency 3 6 4 3 2" xfId="46391" xr:uid="{00000000-0005-0000-0000-000076050000}"/>
    <cellStyle name="Currency 3 6 4 4" xfId="1033" xr:uid="{00000000-0005-0000-0000-000077050000}"/>
    <cellStyle name="Currency 3 6 4 5" xfId="1034" xr:uid="{00000000-0005-0000-0000-000078050000}"/>
    <cellStyle name="Currency 3 6 4 6" xfId="1035" xr:uid="{00000000-0005-0000-0000-000079050000}"/>
    <cellStyle name="Currency 3 6 5" xfId="1036" xr:uid="{00000000-0005-0000-0000-00007A050000}"/>
    <cellStyle name="Currency 3 6 5 2" xfId="46392" xr:uid="{00000000-0005-0000-0000-00007B050000}"/>
    <cellStyle name="Currency 3 6 5 3" xfId="46393" xr:uid="{00000000-0005-0000-0000-00007C050000}"/>
    <cellStyle name="Currency 3 6 6" xfId="1037" xr:uid="{00000000-0005-0000-0000-00007D050000}"/>
    <cellStyle name="Currency 3 6 6 2" xfId="46394" xr:uid="{00000000-0005-0000-0000-00007E050000}"/>
    <cellStyle name="Currency 3 6 7" xfId="1038" xr:uid="{00000000-0005-0000-0000-00007F050000}"/>
    <cellStyle name="Currency 3 6 8" xfId="1039" xr:uid="{00000000-0005-0000-0000-000080050000}"/>
    <cellStyle name="Currency 3 6 9" xfId="1040" xr:uid="{00000000-0005-0000-0000-000081050000}"/>
    <cellStyle name="Currency 3 7" xfId="1041" xr:uid="{00000000-0005-0000-0000-000082050000}"/>
    <cellStyle name="Currency 3 7 2" xfId="1042" xr:uid="{00000000-0005-0000-0000-000083050000}"/>
    <cellStyle name="Currency 3 7 2 2" xfId="1043" xr:uid="{00000000-0005-0000-0000-000084050000}"/>
    <cellStyle name="Currency 3 7 2 2 2" xfId="1044" xr:uid="{00000000-0005-0000-0000-000085050000}"/>
    <cellStyle name="Currency 3 7 2 2 2 2" xfId="46395" xr:uid="{00000000-0005-0000-0000-000086050000}"/>
    <cellStyle name="Currency 3 7 2 2 2 3" xfId="46396" xr:uid="{00000000-0005-0000-0000-000087050000}"/>
    <cellStyle name="Currency 3 7 2 2 3" xfId="1045" xr:uid="{00000000-0005-0000-0000-000088050000}"/>
    <cellStyle name="Currency 3 7 2 2 3 2" xfId="46397" xr:uid="{00000000-0005-0000-0000-000089050000}"/>
    <cellStyle name="Currency 3 7 2 2 4" xfId="1046" xr:uid="{00000000-0005-0000-0000-00008A050000}"/>
    <cellStyle name="Currency 3 7 2 2 5" xfId="1047" xr:uid="{00000000-0005-0000-0000-00008B050000}"/>
    <cellStyle name="Currency 3 7 2 2 6" xfId="1048" xr:uid="{00000000-0005-0000-0000-00008C050000}"/>
    <cellStyle name="Currency 3 7 2 3" xfId="1049" xr:uid="{00000000-0005-0000-0000-00008D050000}"/>
    <cellStyle name="Currency 3 7 2 3 2" xfId="46398" xr:uid="{00000000-0005-0000-0000-00008E050000}"/>
    <cellStyle name="Currency 3 7 2 3 3" xfId="46399" xr:uid="{00000000-0005-0000-0000-00008F050000}"/>
    <cellStyle name="Currency 3 7 2 4" xfId="1050" xr:uid="{00000000-0005-0000-0000-000090050000}"/>
    <cellStyle name="Currency 3 7 2 4 2" xfId="46400" xr:uid="{00000000-0005-0000-0000-000091050000}"/>
    <cellStyle name="Currency 3 7 2 5" xfId="1051" xr:uid="{00000000-0005-0000-0000-000092050000}"/>
    <cellStyle name="Currency 3 7 2 6" xfId="1052" xr:uid="{00000000-0005-0000-0000-000093050000}"/>
    <cellStyle name="Currency 3 7 2 7" xfId="1053" xr:uid="{00000000-0005-0000-0000-000094050000}"/>
    <cellStyle name="Currency 3 7 3" xfId="1054" xr:uid="{00000000-0005-0000-0000-000095050000}"/>
    <cellStyle name="Currency 3 7 3 2" xfId="1055" xr:uid="{00000000-0005-0000-0000-000096050000}"/>
    <cellStyle name="Currency 3 7 3 2 2" xfId="46401" xr:uid="{00000000-0005-0000-0000-000097050000}"/>
    <cellStyle name="Currency 3 7 3 2 3" xfId="46402" xr:uid="{00000000-0005-0000-0000-000098050000}"/>
    <cellStyle name="Currency 3 7 3 3" xfId="1056" xr:uid="{00000000-0005-0000-0000-000099050000}"/>
    <cellStyle name="Currency 3 7 3 3 2" xfId="46403" xr:uid="{00000000-0005-0000-0000-00009A050000}"/>
    <cellStyle name="Currency 3 7 3 4" xfId="1057" xr:uid="{00000000-0005-0000-0000-00009B050000}"/>
    <cellStyle name="Currency 3 7 3 5" xfId="1058" xr:uid="{00000000-0005-0000-0000-00009C050000}"/>
    <cellStyle name="Currency 3 7 3 6" xfId="1059" xr:uid="{00000000-0005-0000-0000-00009D050000}"/>
    <cellStyle name="Currency 3 7 4" xfId="1060" xr:uid="{00000000-0005-0000-0000-00009E050000}"/>
    <cellStyle name="Currency 3 7 4 2" xfId="46404" xr:uid="{00000000-0005-0000-0000-00009F050000}"/>
    <cellStyle name="Currency 3 7 4 3" xfId="46405" xr:uid="{00000000-0005-0000-0000-0000A0050000}"/>
    <cellStyle name="Currency 3 7 5" xfId="1061" xr:uid="{00000000-0005-0000-0000-0000A1050000}"/>
    <cellStyle name="Currency 3 7 5 2" xfId="46406" xr:uid="{00000000-0005-0000-0000-0000A2050000}"/>
    <cellStyle name="Currency 3 7 6" xfId="1062" xr:uid="{00000000-0005-0000-0000-0000A3050000}"/>
    <cellStyle name="Currency 3 7 7" xfId="1063" xr:uid="{00000000-0005-0000-0000-0000A4050000}"/>
    <cellStyle name="Currency 3 7 8" xfId="1064" xr:uid="{00000000-0005-0000-0000-0000A5050000}"/>
    <cellStyle name="Currency 3 7 9" xfId="1065" xr:uid="{00000000-0005-0000-0000-0000A6050000}"/>
    <cellStyle name="Currency 3 8" xfId="1066" xr:uid="{00000000-0005-0000-0000-0000A7050000}"/>
    <cellStyle name="Currency 3 8 2" xfId="1067" xr:uid="{00000000-0005-0000-0000-0000A8050000}"/>
    <cellStyle name="Currency 3 8 2 2" xfId="1068" xr:uid="{00000000-0005-0000-0000-0000A9050000}"/>
    <cellStyle name="Currency 3 8 2 2 2" xfId="1069" xr:uid="{00000000-0005-0000-0000-0000AA050000}"/>
    <cellStyle name="Currency 3 8 2 2 2 2" xfId="46407" xr:uid="{00000000-0005-0000-0000-0000AB050000}"/>
    <cellStyle name="Currency 3 8 2 2 2 3" xfId="46408" xr:uid="{00000000-0005-0000-0000-0000AC050000}"/>
    <cellStyle name="Currency 3 8 2 2 3" xfId="1070" xr:uid="{00000000-0005-0000-0000-0000AD050000}"/>
    <cellStyle name="Currency 3 8 2 2 3 2" xfId="46409" xr:uid="{00000000-0005-0000-0000-0000AE050000}"/>
    <cellStyle name="Currency 3 8 2 2 4" xfId="1071" xr:uid="{00000000-0005-0000-0000-0000AF050000}"/>
    <cellStyle name="Currency 3 8 2 2 5" xfId="1072" xr:uid="{00000000-0005-0000-0000-0000B0050000}"/>
    <cellStyle name="Currency 3 8 2 2 6" xfId="1073" xr:uid="{00000000-0005-0000-0000-0000B1050000}"/>
    <cellStyle name="Currency 3 8 2 3" xfId="1074" xr:uid="{00000000-0005-0000-0000-0000B2050000}"/>
    <cellStyle name="Currency 3 8 2 3 2" xfId="46410" xr:uid="{00000000-0005-0000-0000-0000B3050000}"/>
    <cellStyle name="Currency 3 8 2 3 3" xfId="46411" xr:uid="{00000000-0005-0000-0000-0000B4050000}"/>
    <cellStyle name="Currency 3 8 2 4" xfId="1075" xr:uid="{00000000-0005-0000-0000-0000B5050000}"/>
    <cellStyle name="Currency 3 8 2 4 2" xfId="46412" xr:uid="{00000000-0005-0000-0000-0000B6050000}"/>
    <cellStyle name="Currency 3 8 2 5" xfId="1076" xr:uid="{00000000-0005-0000-0000-0000B7050000}"/>
    <cellStyle name="Currency 3 8 2 6" xfId="1077" xr:uid="{00000000-0005-0000-0000-0000B8050000}"/>
    <cellStyle name="Currency 3 8 2 7" xfId="1078" xr:uid="{00000000-0005-0000-0000-0000B9050000}"/>
    <cellStyle name="Currency 3 8 3" xfId="1079" xr:uid="{00000000-0005-0000-0000-0000BA050000}"/>
    <cellStyle name="Currency 3 8 3 2" xfId="1080" xr:uid="{00000000-0005-0000-0000-0000BB050000}"/>
    <cellStyle name="Currency 3 8 3 2 2" xfId="46413" xr:uid="{00000000-0005-0000-0000-0000BC050000}"/>
    <cellStyle name="Currency 3 8 3 2 3" xfId="46414" xr:uid="{00000000-0005-0000-0000-0000BD050000}"/>
    <cellStyle name="Currency 3 8 3 3" xfId="1081" xr:uid="{00000000-0005-0000-0000-0000BE050000}"/>
    <cellStyle name="Currency 3 8 3 3 2" xfId="46415" xr:uid="{00000000-0005-0000-0000-0000BF050000}"/>
    <cellStyle name="Currency 3 8 3 4" xfId="1082" xr:uid="{00000000-0005-0000-0000-0000C0050000}"/>
    <cellStyle name="Currency 3 8 3 5" xfId="1083" xr:uid="{00000000-0005-0000-0000-0000C1050000}"/>
    <cellStyle name="Currency 3 8 3 6" xfId="1084" xr:uid="{00000000-0005-0000-0000-0000C2050000}"/>
    <cellStyle name="Currency 3 8 4" xfId="1085" xr:uid="{00000000-0005-0000-0000-0000C3050000}"/>
    <cellStyle name="Currency 3 8 4 2" xfId="46416" xr:uid="{00000000-0005-0000-0000-0000C4050000}"/>
    <cellStyle name="Currency 3 8 4 3" xfId="46417" xr:uid="{00000000-0005-0000-0000-0000C5050000}"/>
    <cellStyle name="Currency 3 8 5" xfId="1086" xr:uid="{00000000-0005-0000-0000-0000C6050000}"/>
    <cellStyle name="Currency 3 8 5 2" xfId="46418" xr:uid="{00000000-0005-0000-0000-0000C7050000}"/>
    <cellStyle name="Currency 3 8 6" xfId="1087" xr:uid="{00000000-0005-0000-0000-0000C8050000}"/>
    <cellStyle name="Currency 3 8 7" xfId="1088" xr:uid="{00000000-0005-0000-0000-0000C9050000}"/>
    <cellStyle name="Currency 3 8 8" xfId="1089" xr:uid="{00000000-0005-0000-0000-0000CA050000}"/>
    <cellStyle name="Currency 3 9" xfId="1090" xr:uid="{00000000-0005-0000-0000-0000CB050000}"/>
    <cellStyle name="Currency 3 9 2" xfId="1091" xr:uid="{00000000-0005-0000-0000-0000CC050000}"/>
    <cellStyle name="Currency 3 9 2 2" xfId="1092" xr:uid="{00000000-0005-0000-0000-0000CD050000}"/>
    <cellStyle name="Currency 3 9 2 2 2" xfId="1093" xr:uid="{00000000-0005-0000-0000-0000CE050000}"/>
    <cellStyle name="Currency 3 9 2 2 2 2" xfId="46419" xr:uid="{00000000-0005-0000-0000-0000CF050000}"/>
    <cellStyle name="Currency 3 9 2 2 2 3" xfId="46420" xr:uid="{00000000-0005-0000-0000-0000D0050000}"/>
    <cellStyle name="Currency 3 9 2 2 3" xfId="1094" xr:uid="{00000000-0005-0000-0000-0000D1050000}"/>
    <cellStyle name="Currency 3 9 2 2 3 2" xfId="46421" xr:uid="{00000000-0005-0000-0000-0000D2050000}"/>
    <cellStyle name="Currency 3 9 2 2 4" xfId="1095" xr:uid="{00000000-0005-0000-0000-0000D3050000}"/>
    <cellStyle name="Currency 3 9 2 2 5" xfId="1096" xr:uid="{00000000-0005-0000-0000-0000D4050000}"/>
    <cellStyle name="Currency 3 9 2 2 6" xfId="1097" xr:uid="{00000000-0005-0000-0000-0000D5050000}"/>
    <cellStyle name="Currency 3 9 2 3" xfId="1098" xr:uid="{00000000-0005-0000-0000-0000D6050000}"/>
    <cellStyle name="Currency 3 9 2 3 2" xfId="46422" xr:uid="{00000000-0005-0000-0000-0000D7050000}"/>
    <cellStyle name="Currency 3 9 2 3 3" xfId="46423" xr:uid="{00000000-0005-0000-0000-0000D8050000}"/>
    <cellStyle name="Currency 3 9 2 4" xfId="1099" xr:uid="{00000000-0005-0000-0000-0000D9050000}"/>
    <cellStyle name="Currency 3 9 2 4 2" xfId="46424" xr:uid="{00000000-0005-0000-0000-0000DA050000}"/>
    <cellStyle name="Currency 3 9 2 5" xfId="1100" xr:uid="{00000000-0005-0000-0000-0000DB050000}"/>
    <cellStyle name="Currency 3 9 2 6" xfId="1101" xr:uid="{00000000-0005-0000-0000-0000DC050000}"/>
    <cellStyle name="Currency 3 9 2 7" xfId="1102" xr:uid="{00000000-0005-0000-0000-0000DD050000}"/>
    <cellStyle name="Currency 3 9 3" xfId="1103" xr:uid="{00000000-0005-0000-0000-0000DE050000}"/>
    <cellStyle name="Currency 3 9 3 2" xfId="1104" xr:uid="{00000000-0005-0000-0000-0000DF050000}"/>
    <cellStyle name="Currency 3 9 3 2 2" xfId="46425" xr:uid="{00000000-0005-0000-0000-0000E0050000}"/>
    <cellStyle name="Currency 3 9 3 2 3" xfId="46426" xr:uid="{00000000-0005-0000-0000-0000E1050000}"/>
    <cellStyle name="Currency 3 9 3 3" xfId="1105" xr:uid="{00000000-0005-0000-0000-0000E2050000}"/>
    <cellStyle name="Currency 3 9 3 3 2" xfId="46427" xr:uid="{00000000-0005-0000-0000-0000E3050000}"/>
    <cellStyle name="Currency 3 9 3 4" xfId="1106" xr:uid="{00000000-0005-0000-0000-0000E4050000}"/>
    <cellStyle name="Currency 3 9 3 5" xfId="1107" xr:uid="{00000000-0005-0000-0000-0000E5050000}"/>
    <cellStyle name="Currency 3 9 3 6" xfId="1108" xr:uid="{00000000-0005-0000-0000-0000E6050000}"/>
    <cellStyle name="Currency 3 9 4" xfId="1109" xr:uid="{00000000-0005-0000-0000-0000E7050000}"/>
    <cellStyle name="Currency 3 9 4 2" xfId="46428" xr:uid="{00000000-0005-0000-0000-0000E8050000}"/>
    <cellStyle name="Currency 3 9 4 3" xfId="46429" xr:uid="{00000000-0005-0000-0000-0000E9050000}"/>
    <cellStyle name="Currency 3 9 5" xfId="1110" xr:uid="{00000000-0005-0000-0000-0000EA050000}"/>
    <cellStyle name="Currency 3 9 5 2" xfId="46430" xr:uid="{00000000-0005-0000-0000-0000EB050000}"/>
    <cellStyle name="Currency 3 9 6" xfId="1111" xr:uid="{00000000-0005-0000-0000-0000EC050000}"/>
    <cellStyle name="Currency 3 9 7" xfId="1112" xr:uid="{00000000-0005-0000-0000-0000ED050000}"/>
    <cellStyle name="Currency 3 9 8" xfId="1113" xr:uid="{00000000-0005-0000-0000-0000EE050000}"/>
    <cellStyle name="Currency 4" xfId="1114" xr:uid="{00000000-0005-0000-0000-0000EF050000}"/>
    <cellStyle name="Currency 4 10" xfId="1115" xr:uid="{00000000-0005-0000-0000-0000F0050000}"/>
    <cellStyle name="Currency 4 10 2" xfId="1116" xr:uid="{00000000-0005-0000-0000-0000F1050000}"/>
    <cellStyle name="Currency 4 10 2 2" xfId="1117" xr:uid="{00000000-0005-0000-0000-0000F2050000}"/>
    <cellStyle name="Currency 4 10 2 2 2" xfId="46431" xr:uid="{00000000-0005-0000-0000-0000F3050000}"/>
    <cellStyle name="Currency 4 10 2 2 3" xfId="46432" xr:uid="{00000000-0005-0000-0000-0000F4050000}"/>
    <cellStyle name="Currency 4 10 2 3" xfId="1118" xr:uid="{00000000-0005-0000-0000-0000F5050000}"/>
    <cellStyle name="Currency 4 10 2 3 2" xfId="46433" xr:uid="{00000000-0005-0000-0000-0000F6050000}"/>
    <cellStyle name="Currency 4 10 2 4" xfId="1119" xr:uid="{00000000-0005-0000-0000-0000F7050000}"/>
    <cellStyle name="Currency 4 10 2 5" xfId="1120" xr:uid="{00000000-0005-0000-0000-0000F8050000}"/>
    <cellStyle name="Currency 4 10 2 6" xfId="1121" xr:uid="{00000000-0005-0000-0000-0000F9050000}"/>
    <cellStyle name="Currency 4 10 3" xfId="1122" xr:uid="{00000000-0005-0000-0000-0000FA050000}"/>
    <cellStyle name="Currency 4 10 3 2" xfId="46434" xr:uid="{00000000-0005-0000-0000-0000FB050000}"/>
    <cellStyle name="Currency 4 10 3 3" xfId="46435" xr:uid="{00000000-0005-0000-0000-0000FC050000}"/>
    <cellStyle name="Currency 4 10 4" xfId="1123" xr:uid="{00000000-0005-0000-0000-0000FD050000}"/>
    <cellStyle name="Currency 4 10 4 2" xfId="46436" xr:uid="{00000000-0005-0000-0000-0000FE050000}"/>
    <cellStyle name="Currency 4 10 5" xfId="1124" xr:uid="{00000000-0005-0000-0000-0000FF050000}"/>
    <cellStyle name="Currency 4 10 6" xfId="1125" xr:uid="{00000000-0005-0000-0000-000000060000}"/>
    <cellStyle name="Currency 4 10 7" xfId="1126" xr:uid="{00000000-0005-0000-0000-000001060000}"/>
    <cellStyle name="Currency 4 11" xfId="1127" xr:uid="{00000000-0005-0000-0000-000002060000}"/>
    <cellStyle name="Currency 4 11 2" xfId="1128" xr:uid="{00000000-0005-0000-0000-000003060000}"/>
    <cellStyle name="Currency 4 11 2 2" xfId="46437" xr:uid="{00000000-0005-0000-0000-000004060000}"/>
    <cellStyle name="Currency 4 11 2 3" xfId="46438" xr:uid="{00000000-0005-0000-0000-000005060000}"/>
    <cellStyle name="Currency 4 11 3" xfId="1129" xr:uid="{00000000-0005-0000-0000-000006060000}"/>
    <cellStyle name="Currency 4 11 3 2" xfId="46439" xr:uid="{00000000-0005-0000-0000-000007060000}"/>
    <cellStyle name="Currency 4 11 4" xfId="1130" xr:uid="{00000000-0005-0000-0000-000008060000}"/>
    <cellStyle name="Currency 4 11 5" xfId="1131" xr:uid="{00000000-0005-0000-0000-000009060000}"/>
    <cellStyle name="Currency 4 11 6" xfId="1132" xr:uid="{00000000-0005-0000-0000-00000A060000}"/>
    <cellStyle name="Currency 4 12" xfId="1133" xr:uid="{00000000-0005-0000-0000-00000B060000}"/>
    <cellStyle name="Currency 4 12 2" xfId="46440" xr:uid="{00000000-0005-0000-0000-00000C060000}"/>
    <cellStyle name="Currency 4 12 3" xfId="46441" xr:uid="{00000000-0005-0000-0000-00000D060000}"/>
    <cellStyle name="Currency 4 13" xfId="1134" xr:uid="{00000000-0005-0000-0000-00000E060000}"/>
    <cellStyle name="Currency 4 13 2" xfId="46442" xr:uid="{00000000-0005-0000-0000-00000F060000}"/>
    <cellStyle name="Currency 4 14" xfId="1135" xr:uid="{00000000-0005-0000-0000-000010060000}"/>
    <cellStyle name="Currency 4 14 2" xfId="46443" xr:uid="{00000000-0005-0000-0000-000011060000}"/>
    <cellStyle name="Currency 4 15" xfId="1136" xr:uid="{00000000-0005-0000-0000-000012060000}"/>
    <cellStyle name="Currency 4 16" xfId="1137" xr:uid="{00000000-0005-0000-0000-000013060000}"/>
    <cellStyle name="Currency 4 17" xfId="1138" xr:uid="{00000000-0005-0000-0000-000014060000}"/>
    <cellStyle name="Currency 4 18" xfId="1139" xr:uid="{00000000-0005-0000-0000-000015060000}"/>
    <cellStyle name="Currency 4 19" xfId="1140" xr:uid="{00000000-0005-0000-0000-000016060000}"/>
    <cellStyle name="Currency 4 2" xfId="1141" xr:uid="{00000000-0005-0000-0000-000017060000}"/>
    <cellStyle name="Currency 4 2 10" xfId="1142" xr:uid="{00000000-0005-0000-0000-000018060000}"/>
    <cellStyle name="Currency 4 2 11" xfId="1143" xr:uid="{00000000-0005-0000-0000-000019060000}"/>
    <cellStyle name="Currency 4 2 12" xfId="1144" xr:uid="{00000000-0005-0000-0000-00001A060000}"/>
    <cellStyle name="Currency 4 2 13" xfId="1145" xr:uid="{00000000-0005-0000-0000-00001B060000}"/>
    <cellStyle name="Currency 4 2 14" xfId="1146" xr:uid="{00000000-0005-0000-0000-00001C060000}"/>
    <cellStyle name="Currency 4 2 15" xfId="1147" xr:uid="{00000000-0005-0000-0000-00001D060000}"/>
    <cellStyle name="Currency 4 2 16" xfId="1148" xr:uid="{00000000-0005-0000-0000-00001E060000}"/>
    <cellStyle name="Currency 4 2 2" xfId="1149" xr:uid="{00000000-0005-0000-0000-00001F060000}"/>
    <cellStyle name="Currency 4 2 2 10" xfId="1150" xr:uid="{00000000-0005-0000-0000-000020060000}"/>
    <cellStyle name="Currency 4 2 2 11" xfId="1151" xr:uid="{00000000-0005-0000-0000-000021060000}"/>
    <cellStyle name="Currency 4 2 2 12" xfId="1152" xr:uid="{00000000-0005-0000-0000-000022060000}"/>
    <cellStyle name="Currency 4 2 2 13" xfId="1153" xr:uid="{00000000-0005-0000-0000-000023060000}"/>
    <cellStyle name="Currency 4 2 2 14" xfId="1154" xr:uid="{00000000-0005-0000-0000-000024060000}"/>
    <cellStyle name="Currency 4 2 2 2" xfId="1155" xr:uid="{00000000-0005-0000-0000-000025060000}"/>
    <cellStyle name="Currency 4 2 2 2 2" xfId="1156" xr:uid="{00000000-0005-0000-0000-000026060000}"/>
    <cellStyle name="Currency 4 2 2 2 2 2" xfId="1157" xr:uid="{00000000-0005-0000-0000-000027060000}"/>
    <cellStyle name="Currency 4 2 2 2 2 2 2" xfId="1158" xr:uid="{00000000-0005-0000-0000-000028060000}"/>
    <cellStyle name="Currency 4 2 2 2 2 2 2 2" xfId="46444" xr:uid="{00000000-0005-0000-0000-000029060000}"/>
    <cellStyle name="Currency 4 2 2 2 2 2 2 3" xfId="46445" xr:uid="{00000000-0005-0000-0000-00002A060000}"/>
    <cellStyle name="Currency 4 2 2 2 2 2 3" xfId="1159" xr:uid="{00000000-0005-0000-0000-00002B060000}"/>
    <cellStyle name="Currency 4 2 2 2 2 2 3 2" xfId="46446" xr:uid="{00000000-0005-0000-0000-00002C060000}"/>
    <cellStyle name="Currency 4 2 2 2 2 2 4" xfId="1160" xr:uid="{00000000-0005-0000-0000-00002D060000}"/>
    <cellStyle name="Currency 4 2 2 2 2 2 5" xfId="1161" xr:uid="{00000000-0005-0000-0000-00002E060000}"/>
    <cellStyle name="Currency 4 2 2 2 2 2 6" xfId="1162" xr:uid="{00000000-0005-0000-0000-00002F060000}"/>
    <cellStyle name="Currency 4 2 2 2 2 3" xfId="1163" xr:uid="{00000000-0005-0000-0000-000030060000}"/>
    <cellStyle name="Currency 4 2 2 2 2 3 2" xfId="46447" xr:uid="{00000000-0005-0000-0000-000031060000}"/>
    <cellStyle name="Currency 4 2 2 2 2 3 3" xfId="46448" xr:uid="{00000000-0005-0000-0000-000032060000}"/>
    <cellStyle name="Currency 4 2 2 2 2 4" xfId="1164" xr:uid="{00000000-0005-0000-0000-000033060000}"/>
    <cellStyle name="Currency 4 2 2 2 2 4 2" xfId="46449" xr:uid="{00000000-0005-0000-0000-000034060000}"/>
    <cellStyle name="Currency 4 2 2 2 2 5" xfId="1165" xr:uid="{00000000-0005-0000-0000-000035060000}"/>
    <cellStyle name="Currency 4 2 2 2 2 6" xfId="1166" xr:uid="{00000000-0005-0000-0000-000036060000}"/>
    <cellStyle name="Currency 4 2 2 2 2 7" xfId="1167" xr:uid="{00000000-0005-0000-0000-000037060000}"/>
    <cellStyle name="Currency 4 2 2 2 3" xfId="1168" xr:uid="{00000000-0005-0000-0000-000038060000}"/>
    <cellStyle name="Currency 4 2 2 2 3 2" xfId="1169" xr:uid="{00000000-0005-0000-0000-000039060000}"/>
    <cellStyle name="Currency 4 2 2 2 3 2 2" xfId="46450" xr:uid="{00000000-0005-0000-0000-00003A060000}"/>
    <cellStyle name="Currency 4 2 2 2 3 2 3" xfId="46451" xr:uid="{00000000-0005-0000-0000-00003B060000}"/>
    <cellStyle name="Currency 4 2 2 2 3 3" xfId="1170" xr:uid="{00000000-0005-0000-0000-00003C060000}"/>
    <cellStyle name="Currency 4 2 2 2 3 3 2" xfId="46452" xr:uid="{00000000-0005-0000-0000-00003D060000}"/>
    <cellStyle name="Currency 4 2 2 2 3 4" xfId="1171" xr:uid="{00000000-0005-0000-0000-00003E060000}"/>
    <cellStyle name="Currency 4 2 2 2 3 5" xfId="1172" xr:uid="{00000000-0005-0000-0000-00003F060000}"/>
    <cellStyle name="Currency 4 2 2 2 3 6" xfId="1173" xr:uid="{00000000-0005-0000-0000-000040060000}"/>
    <cellStyle name="Currency 4 2 2 2 4" xfId="1174" xr:uid="{00000000-0005-0000-0000-000041060000}"/>
    <cellStyle name="Currency 4 2 2 2 4 2" xfId="46453" xr:uid="{00000000-0005-0000-0000-000042060000}"/>
    <cellStyle name="Currency 4 2 2 2 4 3" xfId="46454" xr:uid="{00000000-0005-0000-0000-000043060000}"/>
    <cellStyle name="Currency 4 2 2 2 5" xfId="1175" xr:uid="{00000000-0005-0000-0000-000044060000}"/>
    <cellStyle name="Currency 4 2 2 2 5 2" xfId="46455" xr:uid="{00000000-0005-0000-0000-000045060000}"/>
    <cellStyle name="Currency 4 2 2 2 6" xfId="1176" xr:uid="{00000000-0005-0000-0000-000046060000}"/>
    <cellStyle name="Currency 4 2 2 2 7" xfId="1177" xr:uid="{00000000-0005-0000-0000-000047060000}"/>
    <cellStyle name="Currency 4 2 2 2 8" xfId="1178" xr:uid="{00000000-0005-0000-0000-000048060000}"/>
    <cellStyle name="Currency 4 2 2 2 9" xfId="1179" xr:uid="{00000000-0005-0000-0000-000049060000}"/>
    <cellStyle name="Currency 4 2 2 3" xfId="1180" xr:uid="{00000000-0005-0000-0000-00004A060000}"/>
    <cellStyle name="Currency 4 2 2 3 2" xfId="1181" xr:uid="{00000000-0005-0000-0000-00004B060000}"/>
    <cellStyle name="Currency 4 2 2 3 2 2" xfId="1182" xr:uid="{00000000-0005-0000-0000-00004C060000}"/>
    <cellStyle name="Currency 4 2 2 3 2 2 2" xfId="1183" xr:uid="{00000000-0005-0000-0000-00004D060000}"/>
    <cellStyle name="Currency 4 2 2 3 2 2 2 2" xfId="46456" xr:uid="{00000000-0005-0000-0000-00004E060000}"/>
    <cellStyle name="Currency 4 2 2 3 2 2 2 3" xfId="46457" xr:uid="{00000000-0005-0000-0000-00004F060000}"/>
    <cellStyle name="Currency 4 2 2 3 2 2 3" xfId="1184" xr:uid="{00000000-0005-0000-0000-000050060000}"/>
    <cellStyle name="Currency 4 2 2 3 2 2 3 2" xfId="46458" xr:uid="{00000000-0005-0000-0000-000051060000}"/>
    <cellStyle name="Currency 4 2 2 3 2 2 4" xfId="1185" xr:uid="{00000000-0005-0000-0000-000052060000}"/>
    <cellStyle name="Currency 4 2 2 3 2 2 5" xfId="1186" xr:uid="{00000000-0005-0000-0000-000053060000}"/>
    <cellStyle name="Currency 4 2 2 3 2 2 6" xfId="1187" xr:uid="{00000000-0005-0000-0000-000054060000}"/>
    <cellStyle name="Currency 4 2 2 3 2 3" xfId="1188" xr:uid="{00000000-0005-0000-0000-000055060000}"/>
    <cellStyle name="Currency 4 2 2 3 2 3 2" xfId="46459" xr:uid="{00000000-0005-0000-0000-000056060000}"/>
    <cellStyle name="Currency 4 2 2 3 2 3 3" xfId="46460" xr:uid="{00000000-0005-0000-0000-000057060000}"/>
    <cellStyle name="Currency 4 2 2 3 2 4" xfId="1189" xr:uid="{00000000-0005-0000-0000-000058060000}"/>
    <cellStyle name="Currency 4 2 2 3 2 4 2" xfId="46461" xr:uid="{00000000-0005-0000-0000-000059060000}"/>
    <cellStyle name="Currency 4 2 2 3 2 5" xfId="1190" xr:uid="{00000000-0005-0000-0000-00005A060000}"/>
    <cellStyle name="Currency 4 2 2 3 2 6" xfId="1191" xr:uid="{00000000-0005-0000-0000-00005B060000}"/>
    <cellStyle name="Currency 4 2 2 3 2 7" xfId="1192" xr:uid="{00000000-0005-0000-0000-00005C060000}"/>
    <cellStyle name="Currency 4 2 2 3 3" xfId="1193" xr:uid="{00000000-0005-0000-0000-00005D060000}"/>
    <cellStyle name="Currency 4 2 2 3 3 2" xfId="1194" xr:uid="{00000000-0005-0000-0000-00005E060000}"/>
    <cellStyle name="Currency 4 2 2 3 3 2 2" xfId="46462" xr:uid="{00000000-0005-0000-0000-00005F060000}"/>
    <cellStyle name="Currency 4 2 2 3 3 2 3" xfId="46463" xr:uid="{00000000-0005-0000-0000-000060060000}"/>
    <cellStyle name="Currency 4 2 2 3 3 3" xfId="1195" xr:uid="{00000000-0005-0000-0000-000061060000}"/>
    <cellStyle name="Currency 4 2 2 3 3 3 2" xfId="46464" xr:uid="{00000000-0005-0000-0000-000062060000}"/>
    <cellStyle name="Currency 4 2 2 3 3 4" xfId="1196" xr:uid="{00000000-0005-0000-0000-000063060000}"/>
    <cellStyle name="Currency 4 2 2 3 3 5" xfId="1197" xr:uid="{00000000-0005-0000-0000-000064060000}"/>
    <cellStyle name="Currency 4 2 2 3 3 6" xfId="1198" xr:uid="{00000000-0005-0000-0000-000065060000}"/>
    <cellStyle name="Currency 4 2 2 3 4" xfId="1199" xr:uid="{00000000-0005-0000-0000-000066060000}"/>
    <cellStyle name="Currency 4 2 2 3 4 2" xfId="46465" xr:uid="{00000000-0005-0000-0000-000067060000}"/>
    <cellStyle name="Currency 4 2 2 3 4 3" xfId="46466" xr:uid="{00000000-0005-0000-0000-000068060000}"/>
    <cellStyle name="Currency 4 2 2 3 5" xfId="1200" xr:uid="{00000000-0005-0000-0000-000069060000}"/>
    <cellStyle name="Currency 4 2 2 3 5 2" xfId="46467" xr:uid="{00000000-0005-0000-0000-00006A060000}"/>
    <cellStyle name="Currency 4 2 2 3 6" xfId="1201" xr:uid="{00000000-0005-0000-0000-00006B060000}"/>
    <cellStyle name="Currency 4 2 2 3 7" xfId="1202" xr:uid="{00000000-0005-0000-0000-00006C060000}"/>
    <cellStyle name="Currency 4 2 2 3 8" xfId="1203" xr:uid="{00000000-0005-0000-0000-00006D060000}"/>
    <cellStyle name="Currency 4 2 2 4" xfId="1204" xr:uid="{00000000-0005-0000-0000-00006E060000}"/>
    <cellStyle name="Currency 4 2 2 4 2" xfId="1205" xr:uid="{00000000-0005-0000-0000-00006F060000}"/>
    <cellStyle name="Currency 4 2 2 4 2 2" xfId="1206" xr:uid="{00000000-0005-0000-0000-000070060000}"/>
    <cellStyle name="Currency 4 2 2 4 2 2 2" xfId="46468" xr:uid="{00000000-0005-0000-0000-000071060000}"/>
    <cellStyle name="Currency 4 2 2 4 2 2 3" xfId="46469" xr:uid="{00000000-0005-0000-0000-000072060000}"/>
    <cellStyle name="Currency 4 2 2 4 2 3" xfId="1207" xr:uid="{00000000-0005-0000-0000-000073060000}"/>
    <cellStyle name="Currency 4 2 2 4 2 3 2" xfId="46470" xr:uid="{00000000-0005-0000-0000-000074060000}"/>
    <cellStyle name="Currency 4 2 2 4 2 4" xfId="1208" xr:uid="{00000000-0005-0000-0000-000075060000}"/>
    <cellStyle name="Currency 4 2 2 4 2 5" xfId="1209" xr:uid="{00000000-0005-0000-0000-000076060000}"/>
    <cellStyle name="Currency 4 2 2 4 2 6" xfId="1210" xr:uid="{00000000-0005-0000-0000-000077060000}"/>
    <cellStyle name="Currency 4 2 2 4 3" xfId="1211" xr:uid="{00000000-0005-0000-0000-000078060000}"/>
    <cellStyle name="Currency 4 2 2 4 3 2" xfId="46471" xr:uid="{00000000-0005-0000-0000-000079060000}"/>
    <cellStyle name="Currency 4 2 2 4 3 3" xfId="46472" xr:uid="{00000000-0005-0000-0000-00007A060000}"/>
    <cellStyle name="Currency 4 2 2 4 4" xfId="1212" xr:uid="{00000000-0005-0000-0000-00007B060000}"/>
    <cellStyle name="Currency 4 2 2 4 4 2" xfId="46473" xr:uid="{00000000-0005-0000-0000-00007C060000}"/>
    <cellStyle name="Currency 4 2 2 4 5" xfId="1213" xr:uid="{00000000-0005-0000-0000-00007D060000}"/>
    <cellStyle name="Currency 4 2 2 4 6" xfId="1214" xr:uid="{00000000-0005-0000-0000-00007E060000}"/>
    <cellStyle name="Currency 4 2 2 4 7" xfId="1215" xr:uid="{00000000-0005-0000-0000-00007F060000}"/>
    <cellStyle name="Currency 4 2 2 5" xfId="1216" xr:uid="{00000000-0005-0000-0000-000080060000}"/>
    <cellStyle name="Currency 4 2 2 5 2" xfId="1217" xr:uid="{00000000-0005-0000-0000-000081060000}"/>
    <cellStyle name="Currency 4 2 2 5 2 2" xfId="46474" xr:uid="{00000000-0005-0000-0000-000082060000}"/>
    <cellStyle name="Currency 4 2 2 5 2 3" xfId="46475" xr:uid="{00000000-0005-0000-0000-000083060000}"/>
    <cellStyle name="Currency 4 2 2 5 3" xfId="1218" xr:uid="{00000000-0005-0000-0000-000084060000}"/>
    <cellStyle name="Currency 4 2 2 5 3 2" xfId="46476" xr:uid="{00000000-0005-0000-0000-000085060000}"/>
    <cellStyle name="Currency 4 2 2 5 4" xfId="1219" xr:uid="{00000000-0005-0000-0000-000086060000}"/>
    <cellStyle name="Currency 4 2 2 5 5" xfId="1220" xr:uid="{00000000-0005-0000-0000-000087060000}"/>
    <cellStyle name="Currency 4 2 2 5 6" xfId="1221" xr:uid="{00000000-0005-0000-0000-000088060000}"/>
    <cellStyle name="Currency 4 2 2 6" xfId="1222" xr:uid="{00000000-0005-0000-0000-000089060000}"/>
    <cellStyle name="Currency 4 2 2 6 2" xfId="46477" xr:uid="{00000000-0005-0000-0000-00008A060000}"/>
    <cellStyle name="Currency 4 2 2 6 3" xfId="46478" xr:uid="{00000000-0005-0000-0000-00008B060000}"/>
    <cellStyle name="Currency 4 2 2 7" xfId="1223" xr:uid="{00000000-0005-0000-0000-00008C060000}"/>
    <cellStyle name="Currency 4 2 2 7 2" xfId="46479" xr:uid="{00000000-0005-0000-0000-00008D060000}"/>
    <cellStyle name="Currency 4 2 2 8" xfId="1224" xr:uid="{00000000-0005-0000-0000-00008E060000}"/>
    <cellStyle name="Currency 4 2 2 9" xfId="1225" xr:uid="{00000000-0005-0000-0000-00008F060000}"/>
    <cellStyle name="Currency 4 2 3" xfId="1226" xr:uid="{00000000-0005-0000-0000-000090060000}"/>
    <cellStyle name="Currency 4 2 3 2" xfId="1227" xr:uid="{00000000-0005-0000-0000-000091060000}"/>
    <cellStyle name="Currency 4 2 3 2 2" xfId="1228" xr:uid="{00000000-0005-0000-0000-000092060000}"/>
    <cellStyle name="Currency 4 2 3 2 2 2" xfId="1229" xr:uid="{00000000-0005-0000-0000-000093060000}"/>
    <cellStyle name="Currency 4 2 3 2 2 2 2" xfId="46480" xr:uid="{00000000-0005-0000-0000-000094060000}"/>
    <cellStyle name="Currency 4 2 3 2 2 2 3" xfId="46481" xr:uid="{00000000-0005-0000-0000-000095060000}"/>
    <cellStyle name="Currency 4 2 3 2 2 3" xfId="1230" xr:uid="{00000000-0005-0000-0000-000096060000}"/>
    <cellStyle name="Currency 4 2 3 2 2 3 2" xfId="46482" xr:uid="{00000000-0005-0000-0000-000097060000}"/>
    <cellStyle name="Currency 4 2 3 2 2 4" xfId="1231" xr:uid="{00000000-0005-0000-0000-000098060000}"/>
    <cellStyle name="Currency 4 2 3 2 2 5" xfId="1232" xr:uid="{00000000-0005-0000-0000-000099060000}"/>
    <cellStyle name="Currency 4 2 3 2 2 6" xfId="1233" xr:uid="{00000000-0005-0000-0000-00009A060000}"/>
    <cellStyle name="Currency 4 2 3 2 3" xfId="1234" xr:uid="{00000000-0005-0000-0000-00009B060000}"/>
    <cellStyle name="Currency 4 2 3 2 3 2" xfId="46483" xr:uid="{00000000-0005-0000-0000-00009C060000}"/>
    <cellStyle name="Currency 4 2 3 2 3 3" xfId="46484" xr:uid="{00000000-0005-0000-0000-00009D060000}"/>
    <cellStyle name="Currency 4 2 3 2 4" xfId="1235" xr:uid="{00000000-0005-0000-0000-00009E060000}"/>
    <cellStyle name="Currency 4 2 3 2 4 2" xfId="46485" xr:uid="{00000000-0005-0000-0000-00009F060000}"/>
    <cellStyle name="Currency 4 2 3 2 5" xfId="1236" xr:uid="{00000000-0005-0000-0000-0000A0060000}"/>
    <cellStyle name="Currency 4 2 3 2 6" xfId="1237" xr:uid="{00000000-0005-0000-0000-0000A1060000}"/>
    <cellStyle name="Currency 4 2 3 2 7" xfId="1238" xr:uid="{00000000-0005-0000-0000-0000A2060000}"/>
    <cellStyle name="Currency 4 2 3 3" xfId="1239" xr:uid="{00000000-0005-0000-0000-0000A3060000}"/>
    <cellStyle name="Currency 4 2 3 3 2" xfId="1240" xr:uid="{00000000-0005-0000-0000-0000A4060000}"/>
    <cellStyle name="Currency 4 2 3 3 2 2" xfId="46486" xr:uid="{00000000-0005-0000-0000-0000A5060000}"/>
    <cellStyle name="Currency 4 2 3 3 2 3" xfId="46487" xr:uid="{00000000-0005-0000-0000-0000A6060000}"/>
    <cellStyle name="Currency 4 2 3 3 3" xfId="1241" xr:uid="{00000000-0005-0000-0000-0000A7060000}"/>
    <cellStyle name="Currency 4 2 3 3 3 2" xfId="46488" xr:uid="{00000000-0005-0000-0000-0000A8060000}"/>
    <cellStyle name="Currency 4 2 3 3 4" xfId="1242" xr:uid="{00000000-0005-0000-0000-0000A9060000}"/>
    <cellStyle name="Currency 4 2 3 3 5" xfId="1243" xr:uid="{00000000-0005-0000-0000-0000AA060000}"/>
    <cellStyle name="Currency 4 2 3 3 6" xfId="1244" xr:uid="{00000000-0005-0000-0000-0000AB060000}"/>
    <cellStyle name="Currency 4 2 3 4" xfId="1245" xr:uid="{00000000-0005-0000-0000-0000AC060000}"/>
    <cellStyle name="Currency 4 2 3 4 2" xfId="46489" xr:uid="{00000000-0005-0000-0000-0000AD060000}"/>
    <cellStyle name="Currency 4 2 3 4 3" xfId="46490" xr:uid="{00000000-0005-0000-0000-0000AE060000}"/>
    <cellStyle name="Currency 4 2 3 5" xfId="1246" xr:uid="{00000000-0005-0000-0000-0000AF060000}"/>
    <cellStyle name="Currency 4 2 3 5 2" xfId="46491" xr:uid="{00000000-0005-0000-0000-0000B0060000}"/>
    <cellStyle name="Currency 4 2 3 6" xfId="1247" xr:uid="{00000000-0005-0000-0000-0000B1060000}"/>
    <cellStyle name="Currency 4 2 3 7" xfId="1248" xr:uid="{00000000-0005-0000-0000-0000B2060000}"/>
    <cellStyle name="Currency 4 2 3 8" xfId="1249" xr:uid="{00000000-0005-0000-0000-0000B3060000}"/>
    <cellStyle name="Currency 4 2 3 9" xfId="1250" xr:uid="{00000000-0005-0000-0000-0000B4060000}"/>
    <cellStyle name="Currency 4 2 4" xfId="1251" xr:uid="{00000000-0005-0000-0000-0000B5060000}"/>
    <cellStyle name="Currency 4 2 4 2" xfId="1252" xr:uid="{00000000-0005-0000-0000-0000B6060000}"/>
    <cellStyle name="Currency 4 2 4 2 2" xfId="1253" xr:uid="{00000000-0005-0000-0000-0000B7060000}"/>
    <cellStyle name="Currency 4 2 4 2 2 2" xfId="1254" xr:uid="{00000000-0005-0000-0000-0000B8060000}"/>
    <cellStyle name="Currency 4 2 4 2 2 2 2" xfId="46492" xr:uid="{00000000-0005-0000-0000-0000B9060000}"/>
    <cellStyle name="Currency 4 2 4 2 2 2 3" xfId="46493" xr:uid="{00000000-0005-0000-0000-0000BA060000}"/>
    <cellStyle name="Currency 4 2 4 2 2 3" xfId="1255" xr:uid="{00000000-0005-0000-0000-0000BB060000}"/>
    <cellStyle name="Currency 4 2 4 2 2 3 2" xfId="46494" xr:uid="{00000000-0005-0000-0000-0000BC060000}"/>
    <cellStyle name="Currency 4 2 4 2 2 4" xfId="1256" xr:uid="{00000000-0005-0000-0000-0000BD060000}"/>
    <cellStyle name="Currency 4 2 4 2 2 5" xfId="1257" xr:uid="{00000000-0005-0000-0000-0000BE060000}"/>
    <cellStyle name="Currency 4 2 4 2 2 6" xfId="1258" xr:uid="{00000000-0005-0000-0000-0000BF060000}"/>
    <cellStyle name="Currency 4 2 4 2 3" xfId="1259" xr:uid="{00000000-0005-0000-0000-0000C0060000}"/>
    <cellStyle name="Currency 4 2 4 2 3 2" xfId="46495" xr:uid="{00000000-0005-0000-0000-0000C1060000}"/>
    <cellStyle name="Currency 4 2 4 2 3 3" xfId="46496" xr:uid="{00000000-0005-0000-0000-0000C2060000}"/>
    <cellStyle name="Currency 4 2 4 2 4" xfId="1260" xr:uid="{00000000-0005-0000-0000-0000C3060000}"/>
    <cellStyle name="Currency 4 2 4 2 4 2" xfId="46497" xr:uid="{00000000-0005-0000-0000-0000C4060000}"/>
    <cellStyle name="Currency 4 2 4 2 5" xfId="1261" xr:uid="{00000000-0005-0000-0000-0000C5060000}"/>
    <cellStyle name="Currency 4 2 4 2 6" xfId="1262" xr:uid="{00000000-0005-0000-0000-0000C6060000}"/>
    <cellStyle name="Currency 4 2 4 2 7" xfId="1263" xr:uid="{00000000-0005-0000-0000-0000C7060000}"/>
    <cellStyle name="Currency 4 2 4 3" xfId="1264" xr:uid="{00000000-0005-0000-0000-0000C8060000}"/>
    <cellStyle name="Currency 4 2 4 3 2" xfId="1265" xr:uid="{00000000-0005-0000-0000-0000C9060000}"/>
    <cellStyle name="Currency 4 2 4 3 2 2" xfId="46498" xr:uid="{00000000-0005-0000-0000-0000CA060000}"/>
    <cellStyle name="Currency 4 2 4 3 2 3" xfId="46499" xr:uid="{00000000-0005-0000-0000-0000CB060000}"/>
    <cellStyle name="Currency 4 2 4 3 3" xfId="1266" xr:uid="{00000000-0005-0000-0000-0000CC060000}"/>
    <cellStyle name="Currency 4 2 4 3 3 2" xfId="46500" xr:uid="{00000000-0005-0000-0000-0000CD060000}"/>
    <cellStyle name="Currency 4 2 4 3 4" xfId="1267" xr:uid="{00000000-0005-0000-0000-0000CE060000}"/>
    <cellStyle name="Currency 4 2 4 3 5" xfId="1268" xr:uid="{00000000-0005-0000-0000-0000CF060000}"/>
    <cellStyle name="Currency 4 2 4 3 6" xfId="1269" xr:uid="{00000000-0005-0000-0000-0000D0060000}"/>
    <cellStyle name="Currency 4 2 4 4" xfId="1270" xr:uid="{00000000-0005-0000-0000-0000D1060000}"/>
    <cellStyle name="Currency 4 2 4 4 2" xfId="46501" xr:uid="{00000000-0005-0000-0000-0000D2060000}"/>
    <cellStyle name="Currency 4 2 4 4 3" xfId="46502" xr:uid="{00000000-0005-0000-0000-0000D3060000}"/>
    <cellStyle name="Currency 4 2 4 5" xfId="1271" xr:uid="{00000000-0005-0000-0000-0000D4060000}"/>
    <cellStyle name="Currency 4 2 4 5 2" xfId="46503" xr:uid="{00000000-0005-0000-0000-0000D5060000}"/>
    <cellStyle name="Currency 4 2 4 6" xfId="1272" xr:uid="{00000000-0005-0000-0000-0000D6060000}"/>
    <cellStyle name="Currency 4 2 4 7" xfId="1273" xr:uid="{00000000-0005-0000-0000-0000D7060000}"/>
    <cellStyle name="Currency 4 2 4 8" xfId="1274" xr:uid="{00000000-0005-0000-0000-0000D8060000}"/>
    <cellStyle name="Currency 4 2 5" xfId="1275" xr:uid="{00000000-0005-0000-0000-0000D9060000}"/>
    <cellStyle name="Currency 4 2 5 2" xfId="1276" xr:uid="{00000000-0005-0000-0000-0000DA060000}"/>
    <cellStyle name="Currency 4 2 5 2 2" xfId="1277" xr:uid="{00000000-0005-0000-0000-0000DB060000}"/>
    <cellStyle name="Currency 4 2 5 2 2 2" xfId="46504" xr:uid="{00000000-0005-0000-0000-0000DC060000}"/>
    <cellStyle name="Currency 4 2 5 2 2 3" xfId="46505" xr:uid="{00000000-0005-0000-0000-0000DD060000}"/>
    <cellStyle name="Currency 4 2 5 2 3" xfId="1278" xr:uid="{00000000-0005-0000-0000-0000DE060000}"/>
    <cellStyle name="Currency 4 2 5 2 3 2" xfId="46506" xr:uid="{00000000-0005-0000-0000-0000DF060000}"/>
    <cellStyle name="Currency 4 2 5 2 4" xfId="1279" xr:uid="{00000000-0005-0000-0000-0000E0060000}"/>
    <cellStyle name="Currency 4 2 5 2 5" xfId="1280" xr:uid="{00000000-0005-0000-0000-0000E1060000}"/>
    <cellStyle name="Currency 4 2 5 2 6" xfId="1281" xr:uid="{00000000-0005-0000-0000-0000E2060000}"/>
    <cellStyle name="Currency 4 2 5 3" xfId="1282" xr:uid="{00000000-0005-0000-0000-0000E3060000}"/>
    <cellStyle name="Currency 4 2 5 3 2" xfId="46507" xr:uid="{00000000-0005-0000-0000-0000E4060000}"/>
    <cellStyle name="Currency 4 2 5 3 3" xfId="46508" xr:uid="{00000000-0005-0000-0000-0000E5060000}"/>
    <cellStyle name="Currency 4 2 5 4" xfId="1283" xr:uid="{00000000-0005-0000-0000-0000E6060000}"/>
    <cellStyle name="Currency 4 2 5 4 2" xfId="46509" xr:uid="{00000000-0005-0000-0000-0000E7060000}"/>
    <cellStyle name="Currency 4 2 5 5" xfId="1284" xr:uid="{00000000-0005-0000-0000-0000E8060000}"/>
    <cellStyle name="Currency 4 2 5 6" xfId="1285" xr:uid="{00000000-0005-0000-0000-0000E9060000}"/>
    <cellStyle name="Currency 4 2 5 7" xfId="1286" xr:uid="{00000000-0005-0000-0000-0000EA060000}"/>
    <cellStyle name="Currency 4 2 6" xfId="1287" xr:uid="{00000000-0005-0000-0000-0000EB060000}"/>
    <cellStyle name="Currency 4 2 6 2" xfId="1288" xr:uid="{00000000-0005-0000-0000-0000EC060000}"/>
    <cellStyle name="Currency 4 2 6 2 2" xfId="46510" xr:uid="{00000000-0005-0000-0000-0000ED060000}"/>
    <cellStyle name="Currency 4 2 6 2 3" xfId="46511" xr:uid="{00000000-0005-0000-0000-0000EE060000}"/>
    <cellStyle name="Currency 4 2 6 3" xfId="1289" xr:uid="{00000000-0005-0000-0000-0000EF060000}"/>
    <cellStyle name="Currency 4 2 6 3 2" xfId="46512" xr:uid="{00000000-0005-0000-0000-0000F0060000}"/>
    <cellStyle name="Currency 4 2 6 4" xfId="1290" xr:uid="{00000000-0005-0000-0000-0000F1060000}"/>
    <cellStyle name="Currency 4 2 6 5" xfId="1291" xr:uid="{00000000-0005-0000-0000-0000F2060000}"/>
    <cellStyle name="Currency 4 2 6 6" xfId="1292" xr:uid="{00000000-0005-0000-0000-0000F3060000}"/>
    <cellStyle name="Currency 4 2 7" xfId="1293" xr:uid="{00000000-0005-0000-0000-0000F4060000}"/>
    <cellStyle name="Currency 4 2 7 2" xfId="46513" xr:uid="{00000000-0005-0000-0000-0000F5060000}"/>
    <cellStyle name="Currency 4 2 7 3" xfId="46514" xr:uid="{00000000-0005-0000-0000-0000F6060000}"/>
    <cellStyle name="Currency 4 2 8" xfId="1294" xr:uid="{00000000-0005-0000-0000-0000F7060000}"/>
    <cellStyle name="Currency 4 2 8 2" xfId="46515" xr:uid="{00000000-0005-0000-0000-0000F8060000}"/>
    <cellStyle name="Currency 4 2 9" xfId="1295" xr:uid="{00000000-0005-0000-0000-0000F9060000}"/>
    <cellStyle name="Currency 4 2 9 2" xfId="46516" xr:uid="{00000000-0005-0000-0000-0000FA060000}"/>
    <cellStyle name="Currency 4 20" xfId="1296" xr:uid="{00000000-0005-0000-0000-0000FB060000}"/>
    <cellStyle name="Currency 4 21" xfId="1297" xr:uid="{00000000-0005-0000-0000-0000FC060000}"/>
    <cellStyle name="Currency 4 3" xfId="1298" xr:uid="{00000000-0005-0000-0000-0000FD060000}"/>
    <cellStyle name="Currency 4 3 10" xfId="1299" xr:uid="{00000000-0005-0000-0000-0000FE060000}"/>
    <cellStyle name="Currency 4 3 11" xfId="1300" xr:uid="{00000000-0005-0000-0000-0000FF060000}"/>
    <cellStyle name="Currency 4 3 12" xfId="1301" xr:uid="{00000000-0005-0000-0000-000000070000}"/>
    <cellStyle name="Currency 4 3 13" xfId="1302" xr:uid="{00000000-0005-0000-0000-000001070000}"/>
    <cellStyle name="Currency 4 3 14" xfId="1303" xr:uid="{00000000-0005-0000-0000-000002070000}"/>
    <cellStyle name="Currency 4 3 15" xfId="1304" xr:uid="{00000000-0005-0000-0000-000003070000}"/>
    <cellStyle name="Currency 4 3 16" xfId="1305" xr:uid="{00000000-0005-0000-0000-000004070000}"/>
    <cellStyle name="Currency 4 3 2" xfId="1306" xr:uid="{00000000-0005-0000-0000-000005070000}"/>
    <cellStyle name="Currency 4 3 2 10" xfId="1307" xr:uid="{00000000-0005-0000-0000-000006070000}"/>
    <cellStyle name="Currency 4 3 2 11" xfId="1308" xr:uid="{00000000-0005-0000-0000-000007070000}"/>
    <cellStyle name="Currency 4 3 2 12" xfId="1309" xr:uid="{00000000-0005-0000-0000-000008070000}"/>
    <cellStyle name="Currency 4 3 2 13" xfId="1310" xr:uid="{00000000-0005-0000-0000-000009070000}"/>
    <cellStyle name="Currency 4 3 2 14" xfId="1311" xr:uid="{00000000-0005-0000-0000-00000A070000}"/>
    <cellStyle name="Currency 4 3 2 2" xfId="1312" xr:uid="{00000000-0005-0000-0000-00000B070000}"/>
    <cellStyle name="Currency 4 3 2 2 2" xfId="1313" xr:uid="{00000000-0005-0000-0000-00000C070000}"/>
    <cellStyle name="Currency 4 3 2 2 2 2" xfId="1314" xr:uid="{00000000-0005-0000-0000-00000D070000}"/>
    <cellStyle name="Currency 4 3 2 2 2 2 2" xfId="1315" xr:uid="{00000000-0005-0000-0000-00000E070000}"/>
    <cellStyle name="Currency 4 3 2 2 2 2 2 2" xfId="46517" xr:uid="{00000000-0005-0000-0000-00000F070000}"/>
    <cellStyle name="Currency 4 3 2 2 2 2 2 3" xfId="46518" xr:uid="{00000000-0005-0000-0000-000010070000}"/>
    <cellStyle name="Currency 4 3 2 2 2 2 3" xfId="1316" xr:uid="{00000000-0005-0000-0000-000011070000}"/>
    <cellStyle name="Currency 4 3 2 2 2 2 3 2" xfId="46519" xr:uid="{00000000-0005-0000-0000-000012070000}"/>
    <cellStyle name="Currency 4 3 2 2 2 2 4" xfId="1317" xr:uid="{00000000-0005-0000-0000-000013070000}"/>
    <cellStyle name="Currency 4 3 2 2 2 2 5" xfId="1318" xr:uid="{00000000-0005-0000-0000-000014070000}"/>
    <cellStyle name="Currency 4 3 2 2 2 2 6" xfId="1319" xr:uid="{00000000-0005-0000-0000-000015070000}"/>
    <cellStyle name="Currency 4 3 2 2 2 3" xfId="1320" xr:uid="{00000000-0005-0000-0000-000016070000}"/>
    <cellStyle name="Currency 4 3 2 2 2 3 2" xfId="46520" xr:uid="{00000000-0005-0000-0000-000017070000}"/>
    <cellStyle name="Currency 4 3 2 2 2 3 3" xfId="46521" xr:uid="{00000000-0005-0000-0000-000018070000}"/>
    <cellStyle name="Currency 4 3 2 2 2 4" xfId="1321" xr:uid="{00000000-0005-0000-0000-000019070000}"/>
    <cellStyle name="Currency 4 3 2 2 2 4 2" xfId="46522" xr:uid="{00000000-0005-0000-0000-00001A070000}"/>
    <cellStyle name="Currency 4 3 2 2 2 5" xfId="1322" xr:uid="{00000000-0005-0000-0000-00001B070000}"/>
    <cellStyle name="Currency 4 3 2 2 2 6" xfId="1323" xr:uid="{00000000-0005-0000-0000-00001C070000}"/>
    <cellStyle name="Currency 4 3 2 2 2 7" xfId="1324" xr:uid="{00000000-0005-0000-0000-00001D070000}"/>
    <cellStyle name="Currency 4 3 2 2 3" xfId="1325" xr:uid="{00000000-0005-0000-0000-00001E070000}"/>
    <cellStyle name="Currency 4 3 2 2 3 2" xfId="1326" xr:uid="{00000000-0005-0000-0000-00001F070000}"/>
    <cellStyle name="Currency 4 3 2 2 3 2 2" xfId="46523" xr:uid="{00000000-0005-0000-0000-000020070000}"/>
    <cellStyle name="Currency 4 3 2 2 3 2 3" xfId="46524" xr:uid="{00000000-0005-0000-0000-000021070000}"/>
    <cellStyle name="Currency 4 3 2 2 3 3" xfId="1327" xr:uid="{00000000-0005-0000-0000-000022070000}"/>
    <cellStyle name="Currency 4 3 2 2 3 3 2" xfId="46525" xr:uid="{00000000-0005-0000-0000-000023070000}"/>
    <cellStyle name="Currency 4 3 2 2 3 4" xfId="1328" xr:uid="{00000000-0005-0000-0000-000024070000}"/>
    <cellStyle name="Currency 4 3 2 2 3 5" xfId="1329" xr:uid="{00000000-0005-0000-0000-000025070000}"/>
    <cellStyle name="Currency 4 3 2 2 3 6" xfId="1330" xr:uid="{00000000-0005-0000-0000-000026070000}"/>
    <cellStyle name="Currency 4 3 2 2 4" xfId="1331" xr:uid="{00000000-0005-0000-0000-000027070000}"/>
    <cellStyle name="Currency 4 3 2 2 4 2" xfId="46526" xr:uid="{00000000-0005-0000-0000-000028070000}"/>
    <cellStyle name="Currency 4 3 2 2 4 3" xfId="46527" xr:uid="{00000000-0005-0000-0000-000029070000}"/>
    <cellStyle name="Currency 4 3 2 2 5" xfId="1332" xr:uid="{00000000-0005-0000-0000-00002A070000}"/>
    <cellStyle name="Currency 4 3 2 2 5 2" xfId="46528" xr:uid="{00000000-0005-0000-0000-00002B070000}"/>
    <cellStyle name="Currency 4 3 2 2 6" xfId="1333" xr:uid="{00000000-0005-0000-0000-00002C070000}"/>
    <cellStyle name="Currency 4 3 2 2 7" xfId="1334" xr:uid="{00000000-0005-0000-0000-00002D070000}"/>
    <cellStyle name="Currency 4 3 2 2 8" xfId="1335" xr:uid="{00000000-0005-0000-0000-00002E070000}"/>
    <cellStyle name="Currency 4 3 2 2 9" xfId="1336" xr:uid="{00000000-0005-0000-0000-00002F070000}"/>
    <cellStyle name="Currency 4 3 2 3" xfId="1337" xr:uid="{00000000-0005-0000-0000-000030070000}"/>
    <cellStyle name="Currency 4 3 2 3 2" xfId="1338" xr:uid="{00000000-0005-0000-0000-000031070000}"/>
    <cellStyle name="Currency 4 3 2 3 2 2" xfId="1339" xr:uid="{00000000-0005-0000-0000-000032070000}"/>
    <cellStyle name="Currency 4 3 2 3 2 2 2" xfId="1340" xr:uid="{00000000-0005-0000-0000-000033070000}"/>
    <cellStyle name="Currency 4 3 2 3 2 2 2 2" xfId="46529" xr:uid="{00000000-0005-0000-0000-000034070000}"/>
    <cellStyle name="Currency 4 3 2 3 2 2 2 3" xfId="46530" xr:uid="{00000000-0005-0000-0000-000035070000}"/>
    <cellStyle name="Currency 4 3 2 3 2 2 3" xfId="1341" xr:uid="{00000000-0005-0000-0000-000036070000}"/>
    <cellStyle name="Currency 4 3 2 3 2 2 3 2" xfId="46531" xr:uid="{00000000-0005-0000-0000-000037070000}"/>
    <cellStyle name="Currency 4 3 2 3 2 2 4" xfId="1342" xr:uid="{00000000-0005-0000-0000-000038070000}"/>
    <cellStyle name="Currency 4 3 2 3 2 2 5" xfId="1343" xr:uid="{00000000-0005-0000-0000-000039070000}"/>
    <cellStyle name="Currency 4 3 2 3 2 2 6" xfId="1344" xr:uid="{00000000-0005-0000-0000-00003A070000}"/>
    <cellStyle name="Currency 4 3 2 3 2 3" xfId="1345" xr:uid="{00000000-0005-0000-0000-00003B070000}"/>
    <cellStyle name="Currency 4 3 2 3 2 3 2" xfId="46532" xr:uid="{00000000-0005-0000-0000-00003C070000}"/>
    <cellStyle name="Currency 4 3 2 3 2 3 3" xfId="46533" xr:uid="{00000000-0005-0000-0000-00003D070000}"/>
    <cellStyle name="Currency 4 3 2 3 2 4" xfId="1346" xr:uid="{00000000-0005-0000-0000-00003E070000}"/>
    <cellStyle name="Currency 4 3 2 3 2 4 2" xfId="46534" xr:uid="{00000000-0005-0000-0000-00003F070000}"/>
    <cellStyle name="Currency 4 3 2 3 2 5" xfId="1347" xr:uid="{00000000-0005-0000-0000-000040070000}"/>
    <cellStyle name="Currency 4 3 2 3 2 6" xfId="1348" xr:uid="{00000000-0005-0000-0000-000041070000}"/>
    <cellStyle name="Currency 4 3 2 3 2 7" xfId="1349" xr:uid="{00000000-0005-0000-0000-000042070000}"/>
    <cellStyle name="Currency 4 3 2 3 3" xfId="1350" xr:uid="{00000000-0005-0000-0000-000043070000}"/>
    <cellStyle name="Currency 4 3 2 3 3 2" xfId="1351" xr:uid="{00000000-0005-0000-0000-000044070000}"/>
    <cellStyle name="Currency 4 3 2 3 3 2 2" xfId="46535" xr:uid="{00000000-0005-0000-0000-000045070000}"/>
    <cellStyle name="Currency 4 3 2 3 3 2 3" xfId="46536" xr:uid="{00000000-0005-0000-0000-000046070000}"/>
    <cellStyle name="Currency 4 3 2 3 3 3" xfId="1352" xr:uid="{00000000-0005-0000-0000-000047070000}"/>
    <cellStyle name="Currency 4 3 2 3 3 3 2" xfId="46537" xr:uid="{00000000-0005-0000-0000-000048070000}"/>
    <cellStyle name="Currency 4 3 2 3 3 4" xfId="1353" xr:uid="{00000000-0005-0000-0000-000049070000}"/>
    <cellStyle name="Currency 4 3 2 3 3 5" xfId="1354" xr:uid="{00000000-0005-0000-0000-00004A070000}"/>
    <cellStyle name="Currency 4 3 2 3 3 6" xfId="1355" xr:uid="{00000000-0005-0000-0000-00004B070000}"/>
    <cellStyle name="Currency 4 3 2 3 4" xfId="1356" xr:uid="{00000000-0005-0000-0000-00004C070000}"/>
    <cellStyle name="Currency 4 3 2 3 4 2" xfId="46538" xr:uid="{00000000-0005-0000-0000-00004D070000}"/>
    <cellStyle name="Currency 4 3 2 3 4 3" xfId="46539" xr:uid="{00000000-0005-0000-0000-00004E070000}"/>
    <cellStyle name="Currency 4 3 2 3 5" xfId="1357" xr:uid="{00000000-0005-0000-0000-00004F070000}"/>
    <cellStyle name="Currency 4 3 2 3 5 2" xfId="46540" xr:uid="{00000000-0005-0000-0000-000050070000}"/>
    <cellStyle name="Currency 4 3 2 3 6" xfId="1358" xr:uid="{00000000-0005-0000-0000-000051070000}"/>
    <cellStyle name="Currency 4 3 2 3 7" xfId="1359" xr:uid="{00000000-0005-0000-0000-000052070000}"/>
    <cellStyle name="Currency 4 3 2 3 8" xfId="1360" xr:uid="{00000000-0005-0000-0000-000053070000}"/>
    <cellStyle name="Currency 4 3 2 4" xfId="1361" xr:uid="{00000000-0005-0000-0000-000054070000}"/>
    <cellStyle name="Currency 4 3 2 4 2" xfId="1362" xr:uid="{00000000-0005-0000-0000-000055070000}"/>
    <cellStyle name="Currency 4 3 2 4 2 2" xfId="1363" xr:uid="{00000000-0005-0000-0000-000056070000}"/>
    <cellStyle name="Currency 4 3 2 4 2 2 2" xfId="46541" xr:uid="{00000000-0005-0000-0000-000057070000}"/>
    <cellStyle name="Currency 4 3 2 4 2 2 3" xfId="46542" xr:uid="{00000000-0005-0000-0000-000058070000}"/>
    <cellStyle name="Currency 4 3 2 4 2 3" xfId="1364" xr:uid="{00000000-0005-0000-0000-000059070000}"/>
    <cellStyle name="Currency 4 3 2 4 2 3 2" xfId="46543" xr:uid="{00000000-0005-0000-0000-00005A070000}"/>
    <cellStyle name="Currency 4 3 2 4 2 4" xfId="1365" xr:uid="{00000000-0005-0000-0000-00005B070000}"/>
    <cellStyle name="Currency 4 3 2 4 2 5" xfId="1366" xr:uid="{00000000-0005-0000-0000-00005C070000}"/>
    <cellStyle name="Currency 4 3 2 4 2 6" xfId="1367" xr:uid="{00000000-0005-0000-0000-00005D070000}"/>
    <cellStyle name="Currency 4 3 2 4 3" xfId="1368" xr:uid="{00000000-0005-0000-0000-00005E070000}"/>
    <cellStyle name="Currency 4 3 2 4 3 2" xfId="46544" xr:uid="{00000000-0005-0000-0000-00005F070000}"/>
    <cellStyle name="Currency 4 3 2 4 3 3" xfId="46545" xr:uid="{00000000-0005-0000-0000-000060070000}"/>
    <cellStyle name="Currency 4 3 2 4 4" xfId="1369" xr:uid="{00000000-0005-0000-0000-000061070000}"/>
    <cellStyle name="Currency 4 3 2 4 4 2" xfId="46546" xr:uid="{00000000-0005-0000-0000-000062070000}"/>
    <cellStyle name="Currency 4 3 2 4 5" xfId="1370" xr:uid="{00000000-0005-0000-0000-000063070000}"/>
    <cellStyle name="Currency 4 3 2 4 6" xfId="1371" xr:uid="{00000000-0005-0000-0000-000064070000}"/>
    <cellStyle name="Currency 4 3 2 4 7" xfId="1372" xr:uid="{00000000-0005-0000-0000-000065070000}"/>
    <cellStyle name="Currency 4 3 2 5" xfId="1373" xr:uid="{00000000-0005-0000-0000-000066070000}"/>
    <cellStyle name="Currency 4 3 2 5 2" xfId="1374" xr:uid="{00000000-0005-0000-0000-000067070000}"/>
    <cellStyle name="Currency 4 3 2 5 2 2" xfId="46547" xr:uid="{00000000-0005-0000-0000-000068070000}"/>
    <cellStyle name="Currency 4 3 2 5 2 3" xfId="46548" xr:uid="{00000000-0005-0000-0000-000069070000}"/>
    <cellStyle name="Currency 4 3 2 5 3" xfId="1375" xr:uid="{00000000-0005-0000-0000-00006A070000}"/>
    <cellStyle name="Currency 4 3 2 5 3 2" xfId="46549" xr:uid="{00000000-0005-0000-0000-00006B070000}"/>
    <cellStyle name="Currency 4 3 2 5 4" xfId="1376" xr:uid="{00000000-0005-0000-0000-00006C070000}"/>
    <cellStyle name="Currency 4 3 2 5 5" xfId="1377" xr:uid="{00000000-0005-0000-0000-00006D070000}"/>
    <cellStyle name="Currency 4 3 2 5 6" xfId="1378" xr:uid="{00000000-0005-0000-0000-00006E070000}"/>
    <cellStyle name="Currency 4 3 2 6" xfId="1379" xr:uid="{00000000-0005-0000-0000-00006F070000}"/>
    <cellStyle name="Currency 4 3 2 6 2" xfId="46550" xr:uid="{00000000-0005-0000-0000-000070070000}"/>
    <cellStyle name="Currency 4 3 2 6 3" xfId="46551" xr:uid="{00000000-0005-0000-0000-000071070000}"/>
    <cellStyle name="Currency 4 3 2 7" xfId="1380" xr:uid="{00000000-0005-0000-0000-000072070000}"/>
    <cellStyle name="Currency 4 3 2 7 2" xfId="46552" xr:uid="{00000000-0005-0000-0000-000073070000}"/>
    <cellStyle name="Currency 4 3 2 8" xfId="1381" xr:uid="{00000000-0005-0000-0000-000074070000}"/>
    <cellStyle name="Currency 4 3 2 9" xfId="1382" xr:uid="{00000000-0005-0000-0000-000075070000}"/>
    <cellStyle name="Currency 4 3 3" xfId="1383" xr:uid="{00000000-0005-0000-0000-000076070000}"/>
    <cellStyle name="Currency 4 3 3 2" xfId="1384" xr:uid="{00000000-0005-0000-0000-000077070000}"/>
    <cellStyle name="Currency 4 3 3 2 2" xfId="1385" xr:uid="{00000000-0005-0000-0000-000078070000}"/>
    <cellStyle name="Currency 4 3 3 2 2 2" xfId="1386" xr:uid="{00000000-0005-0000-0000-000079070000}"/>
    <cellStyle name="Currency 4 3 3 2 2 2 2" xfId="46553" xr:uid="{00000000-0005-0000-0000-00007A070000}"/>
    <cellStyle name="Currency 4 3 3 2 2 2 3" xfId="46554" xr:uid="{00000000-0005-0000-0000-00007B070000}"/>
    <cellStyle name="Currency 4 3 3 2 2 3" xfId="1387" xr:uid="{00000000-0005-0000-0000-00007C070000}"/>
    <cellStyle name="Currency 4 3 3 2 2 3 2" xfId="46555" xr:uid="{00000000-0005-0000-0000-00007D070000}"/>
    <cellStyle name="Currency 4 3 3 2 2 4" xfId="1388" xr:uid="{00000000-0005-0000-0000-00007E070000}"/>
    <cellStyle name="Currency 4 3 3 2 2 5" xfId="1389" xr:uid="{00000000-0005-0000-0000-00007F070000}"/>
    <cellStyle name="Currency 4 3 3 2 2 6" xfId="1390" xr:uid="{00000000-0005-0000-0000-000080070000}"/>
    <cellStyle name="Currency 4 3 3 2 3" xfId="1391" xr:uid="{00000000-0005-0000-0000-000081070000}"/>
    <cellStyle name="Currency 4 3 3 2 3 2" xfId="46556" xr:uid="{00000000-0005-0000-0000-000082070000}"/>
    <cellStyle name="Currency 4 3 3 2 3 3" xfId="46557" xr:uid="{00000000-0005-0000-0000-000083070000}"/>
    <cellStyle name="Currency 4 3 3 2 4" xfId="1392" xr:uid="{00000000-0005-0000-0000-000084070000}"/>
    <cellStyle name="Currency 4 3 3 2 4 2" xfId="46558" xr:uid="{00000000-0005-0000-0000-000085070000}"/>
    <cellStyle name="Currency 4 3 3 2 5" xfId="1393" xr:uid="{00000000-0005-0000-0000-000086070000}"/>
    <cellStyle name="Currency 4 3 3 2 6" xfId="1394" xr:uid="{00000000-0005-0000-0000-000087070000}"/>
    <cellStyle name="Currency 4 3 3 2 7" xfId="1395" xr:uid="{00000000-0005-0000-0000-000088070000}"/>
    <cellStyle name="Currency 4 3 3 3" xfId="1396" xr:uid="{00000000-0005-0000-0000-000089070000}"/>
    <cellStyle name="Currency 4 3 3 3 2" xfId="1397" xr:uid="{00000000-0005-0000-0000-00008A070000}"/>
    <cellStyle name="Currency 4 3 3 3 2 2" xfId="46559" xr:uid="{00000000-0005-0000-0000-00008B070000}"/>
    <cellStyle name="Currency 4 3 3 3 2 3" xfId="46560" xr:uid="{00000000-0005-0000-0000-00008C070000}"/>
    <cellStyle name="Currency 4 3 3 3 3" xfId="1398" xr:uid="{00000000-0005-0000-0000-00008D070000}"/>
    <cellStyle name="Currency 4 3 3 3 3 2" xfId="46561" xr:uid="{00000000-0005-0000-0000-00008E070000}"/>
    <cellStyle name="Currency 4 3 3 3 4" xfId="1399" xr:uid="{00000000-0005-0000-0000-00008F070000}"/>
    <cellStyle name="Currency 4 3 3 3 5" xfId="1400" xr:uid="{00000000-0005-0000-0000-000090070000}"/>
    <cellStyle name="Currency 4 3 3 3 6" xfId="1401" xr:uid="{00000000-0005-0000-0000-000091070000}"/>
    <cellStyle name="Currency 4 3 3 4" xfId="1402" xr:uid="{00000000-0005-0000-0000-000092070000}"/>
    <cellStyle name="Currency 4 3 3 4 2" xfId="46562" xr:uid="{00000000-0005-0000-0000-000093070000}"/>
    <cellStyle name="Currency 4 3 3 4 3" xfId="46563" xr:uid="{00000000-0005-0000-0000-000094070000}"/>
    <cellStyle name="Currency 4 3 3 5" xfId="1403" xr:uid="{00000000-0005-0000-0000-000095070000}"/>
    <cellStyle name="Currency 4 3 3 5 2" xfId="46564" xr:uid="{00000000-0005-0000-0000-000096070000}"/>
    <cellStyle name="Currency 4 3 3 6" xfId="1404" xr:uid="{00000000-0005-0000-0000-000097070000}"/>
    <cellStyle name="Currency 4 3 3 7" xfId="1405" xr:uid="{00000000-0005-0000-0000-000098070000}"/>
    <cellStyle name="Currency 4 3 3 8" xfId="1406" xr:uid="{00000000-0005-0000-0000-000099070000}"/>
    <cellStyle name="Currency 4 3 3 9" xfId="1407" xr:uid="{00000000-0005-0000-0000-00009A070000}"/>
    <cellStyle name="Currency 4 3 4" xfId="1408" xr:uid="{00000000-0005-0000-0000-00009B070000}"/>
    <cellStyle name="Currency 4 3 4 2" xfId="1409" xr:uid="{00000000-0005-0000-0000-00009C070000}"/>
    <cellStyle name="Currency 4 3 4 2 2" xfId="1410" xr:uid="{00000000-0005-0000-0000-00009D070000}"/>
    <cellStyle name="Currency 4 3 4 2 2 2" xfId="1411" xr:uid="{00000000-0005-0000-0000-00009E070000}"/>
    <cellStyle name="Currency 4 3 4 2 2 2 2" xfId="46565" xr:uid="{00000000-0005-0000-0000-00009F070000}"/>
    <cellStyle name="Currency 4 3 4 2 2 2 3" xfId="46566" xr:uid="{00000000-0005-0000-0000-0000A0070000}"/>
    <cellStyle name="Currency 4 3 4 2 2 3" xfId="1412" xr:uid="{00000000-0005-0000-0000-0000A1070000}"/>
    <cellStyle name="Currency 4 3 4 2 2 3 2" xfId="46567" xr:uid="{00000000-0005-0000-0000-0000A2070000}"/>
    <cellStyle name="Currency 4 3 4 2 2 4" xfId="1413" xr:uid="{00000000-0005-0000-0000-0000A3070000}"/>
    <cellStyle name="Currency 4 3 4 2 2 5" xfId="1414" xr:uid="{00000000-0005-0000-0000-0000A4070000}"/>
    <cellStyle name="Currency 4 3 4 2 2 6" xfId="1415" xr:uid="{00000000-0005-0000-0000-0000A5070000}"/>
    <cellStyle name="Currency 4 3 4 2 3" xfId="1416" xr:uid="{00000000-0005-0000-0000-0000A6070000}"/>
    <cellStyle name="Currency 4 3 4 2 3 2" xfId="46568" xr:uid="{00000000-0005-0000-0000-0000A7070000}"/>
    <cellStyle name="Currency 4 3 4 2 3 3" xfId="46569" xr:uid="{00000000-0005-0000-0000-0000A8070000}"/>
    <cellStyle name="Currency 4 3 4 2 4" xfId="1417" xr:uid="{00000000-0005-0000-0000-0000A9070000}"/>
    <cellStyle name="Currency 4 3 4 2 4 2" xfId="46570" xr:uid="{00000000-0005-0000-0000-0000AA070000}"/>
    <cellStyle name="Currency 4 3 4 2 5" xfId="1418" xr:uid="{00000000-0005-0000-0000-0000AB070000}"/>
    <cellStyle name="Currency 4 3 4 2 6" xfId="1419" xr:uid="{00000000-0005-0000-0000-0000AC070000}"/>
    <cellStyle name="Currency 4 3 4 2 7" xfId="1420" xr:uid="{00000000-0005-0000-0000-0000AD070000}"/>
    <cellStyle name="Currency 4 3 4 3" xfId="1421" xr:uid="{00000000-0005-0000-0000-0000AE070000}"/>
    <cellStyle name="Currency 4 3 4 3 2" xfId="1422" xr:uid="{00000000-0005-0000-0000-0000AF070000}"/>
    <cellStyle name="Currency 4 3 4 3 2 2" xfId="46571" xr:uid="{00000000-0005-0000-0000-0000B0070000}"/>
    <cellStyle name="Currency 4 3 4 3 2 3" xfId="46572" xr:uid="{00000000-0005-0000-0000-0000B1070000}"/>
    <cellStyle name="Currency 4 3 4 3 3" xfId="1423" xr:uid="{00000000-0005-0000-0000-0000B2070000}"/>
    <cellStyle name="Currency 4 3 4 3 3 2" xfId="46573" xr:uid="{00000000-0005-0000-0000-0000B3070000}"/>
    <cellStyle name="Currency 4 3 4 3 4" xfId="1424" xr:uid="{00000000-0005-0000-0000-0000B4070000}"/>
    <cellStyle name="Currency 4 3 4 3 5" xfId="1425" xr:uid="{00000000-0005-0000-0000-0000B5070000}"/>
    <cellStyle name="Currency 4 3 4 3 6" xfId="1426" xr:uid="{00000000-0005-0000-0000-0000B6070000}"/>
    <cellStyle name="Currency 4 3 4 4" xfId="1427" xr:uid="{00000000-0005-0000-0000-0000B7070000}"/>
    <cellStyle name="Currency 4 3 4 4 2" xfId="46574" xr:uid="{00000000-0005-0000-0000-0000B8070000}"/>
    <cellStyle name="Currency 4 3 4 4 3" xfId="46575" xr:uid="{00000000-0005-0000-0000-0000B9070000}"/>
    <cellStyle name="Currency 4 3 4 5" xfId="1428" xr:uid="{00000000-0005-0000-0000-0000BA070000}"/>
    <cellStyle name="Currency 4 3 4 5 2" xfId="46576" xr:uid="{00000000-0005-0000-0000-0000BB070000}"/>
    <cellStyle name="Currency 4 3 4 6" xfId="1429" xr:uid="{00000000-0005-0000-0000-0000BC070000}"/>
    <cellStyle name="Currency 4 3 4 7" xfId="1430" xr:uid="{00000000-0005-0000-0000-0000BD070000}"/>
    <cellStyle name="Currency 4 3 4 8" xfId="1431" xr:uid="{00000000-0005-0000-0000-0000BE070000}"/>
    <cellStyle name="Currency 4 3 5" xfId="1432" xr:uid="{00000000-0005-0000-0000-0000BF070000}"/>
    <cellStyle name="Currency 4 3 5 2" xfId="1433" xr:uid="{00000000-0005-0000-0000-0000C0070000}"/>
    <cellStyle name="Currency 4 3 5 2 2" xfId="1434" xr:uid="{00000000-0005-0000-0000-0000C1070000}"/>
    <cellStyle name="Currency 4 3 5 2 2 2" xfId="46577" xr:uid="{00000000-0005-0000-0000-0000C2070000}"/>
    <cellStyle name="Currency 4 3 5 2 2 3" xfId="46578" xr:uid="{00000000-0005-0000-0000-0000C3070000}"/>
    <cellStyle name="Currency 4 3 5 2 3" xfId="1435" xr:uid="{00000000-0005-0000-0000-0000C4070000}"/>
    <cellStyle name="Currency 4 3 5 2 3 2" xfId="46579" xr:uid="{00000000-0005-0000-0000-0000C5070000}"/>
    <cellStyle name="Currency 4 3 5 2 4" xfId="1436" xr:uid="{00000000-0005-0000-0000-0000C6070000}"/>
    <cellStyle name="Currency 4 3 5 2 5" xfId="1437" xr:uid="{00000000-0005-0000-0000-0000C7070000}"/>
    <cellStyle name="Currency 4 3 5 2 6" xfId="1438" xr:uid="{00000000-0005-0000-0000-0000C8070000}"/>
    <cellStyle name="Currency 4 3 5 3" xfId="1439" xr:uid="{00000000-0005-0000-0000-0000C9070000}"/>
    <cellStyle name="Currency 4 3 5 3 2" xfId="46580" xr:uid="{00000000-0005-0000-0000-0000CA070000}"/>
    <cellStyle name="Currency 4 3 5 3 3" xfId="46581" xr:uid="{00000000-0005-0000-0000-0000CB070000}"/>
    <cellStyle name="Currency 4 3 5 4" xfId="1440" xr:uid="{00000000-0005-0000-0000-0000CC070000}"/>
    <cellStyle name="Currency 4 3 5 4 2" xfId="46582" xr:uid="{00000000-0005-0000-0000-0000CD070000}"/>
    <cellStyle name="Currency 4 3 5 5" xfId="1441" xr:uid="{00000000-0005-0000-0000-0000CE070000}"/>
    <cellStyle name="Currency 4 3 5 6" xfId="1442" xr:uid="{00000000-0005-0000-0000-0000CF070000}"/>
    <cellStyle name="Currency 4 3 5 7" xfId="1443" xr:uid="{00000000-0005-0000-0000-0000D0070000}"/>
    <cellStyle name="Currency 4 3 6" xfId="1444" xr:uid="{00000000-0005-0000-0000-0000D1070000}"/>
    <cellStyle name="Currency 4 3 6 2" xfId="1445" xr:uid="{00000000-0005-0000-0000-0000D2070000}"/>
    <cellStyle name="Currency 4 3 6 2 2" xfId="46583" xr:uid="{00000000-0005-0000-0000-0000D3070000}"/>
    <cellStyle name="Currency 4 3 6 2 3" xfId="46584" xr:uid="{00000000-0005-0000-0000-0000D4070000}"/>
    <cellStyle name="Currency 4 3 6 3" xfId="1446" xr:uid="{00000000-0005-0000-0000-0000D5070000}"/>
    <cellStyle name="Currency 4 3 6 3 2" xfId="46585" xr:uid="{00000000-0005-0000-0000-0000D6070000}"/>
    <cellStyle name="Currency 4 3 6 4" xfId="1447" xr:uid="{00000000-0005-0000-0000-0000D7070000}"/>
    <cellStyle name="Currency 4 3 6 5" xfId="1448" xr:uid="{00000000-0005-0000-0000-0000D8070000}"/>
    <cellStyle name="Currency 4 3 6 6" xfId="1449" xr:uid="{00000000-0005-0000-0000-0000D9070000}"/>
    <cellStyle name="Currency 4 3 7" xfId="1450" xr:uid="{00000000-0005-0000-0000-0000DA070000}"/>
    <cellStyle name="Currency 4 3 7 2" xfId="46586" xr:uid="{00000000-0005-0000-0000-0000DB070000}"/>
    <cellStyle name="Currency 4 3 7 3" xfId="46587" xr:uid="{00000000-0005-0000-0000-0000DC070000}"/>
    <cellStyle name="Currency 4 3 8" xfId="1451" xr:uid="{00000000-0005-0000-0000-0000DD070000}"/>
    <cellStyle name="Currency 4 3 8 2" xfId="46588" xr:uid="{00000000-0005-0000-0000-0000DE070000}"/>
    <cellStyle name="Currency 4 3 9" xfId="1452" xr:uid="{00000000-0005-0000-0000-0000DF070000}"/>
    <cellStyle name="Currency 4 4" xfId="1453" xr:uid="{00000000-0005-0000-0000-0000E0070000}"/>
    <cellStyle name="Currency 4 4 10" xfId="1454" xr:uid="{00000000-0005-0000-0000-0000E1070000}"/>
    <cellStyle name="Currency 4 4 11" xfId="1455" xr:uid="{00000000-0005-0000-0000-0000E2070000}"/>
    <cellStyle name="Currency 4 4 12" xfId="1456" xr:uid="{00000000-0005-0000-0000-0000E3070000}"/>
    <cellStyle name="Currency 4 4 13" xfId="1457" xr:uid="{00000000-0005-0000-0000-0000E4070000}"/>
    <cellStyle name="Currency 4 4 14" xfId="1458" xr:uid="{00000000-0005-0000-0000-0000E5070000}"/>
    <cellStyle name="Currency 4 4 2" xfId="1459" xr:uid="{00000000-0005-0000-0000-0000E6070000}"/>
    <cellStyle name="Currency 4 4 2 2" xfId="1460" xr:uid="{00000000-0005-0000-0000-0000E7070000}"/>
    <cellStyle name="Currency 4 4 2 2 2" xfId="1461" xr:uid="{00000000-0005-0000-0000-0000E8070000}"/>
    <cellStyle name="Currency 4 4 2 2 2 2" xfId="1462" xr:uid="{00000000-0005-0000-0000-0000E9070000}"/>
    <cellStyle name="Currency 4 4 2 2 2 2 2" xfId="46589" xr:uid="{00000000-0005-0000-0000-0000EA070000}"/>
    <cellStyle name="Currency 4 4 2 2 2 2 3" xfId="46590" xr:uid="{00000000-0005-0000-0000-0000EB070000}"/>
    <cellStyle name="Currency 4 4 2 2 2 3" xfId="1463" xr:uid="{00000000-0005-0000-0000-0000EC070000}"/>
    <cellStyle name="Currency 4 4 2 2 2 3 2" xfId="46591" xr:uid="{00000000-0005-0000-0000-0000ED070000}"/>
    <cellStyle name="Currency 4 4 2 2 2 4" xfId="1464" xr:uid="{00000000-0005-0000-0000-0000EE070000}"/>
    <cellStyle name="Currency 4 4 2 2 2 5" xfId="1465" xr:uid="{00000000-0005-0000-0000-0000EF070000}"/>
    <cellStyle name="Currency 4 4 2 2 2 6" xfId="1466" xr:uid="{00000000-0005-0000-0000-0000F0070000}"/>
    <cellStyle name="Currency 4 4 2 2 3" xfId="1467" xr:uid="{00000000-0005-0000-0000-0000F1070000}"/>
    <cellStyle name="Currency 4 4 2 2 3 2" xfId="46592" xr:uid="{00000000-0005-0000-0000-0000F2070000}"/>
    <cellStyle name="Currency 4 4 2 2 3 3" xfId="46593" xr:uid="{00000000-0005-0000-0000-0000F3070000}"/>
    <cellStyle name="Currency 4 4 2 2 4" xfId="1468" xr:uid="{00000000-0005-0000-0000-0000F4070000}"/>
    <cellStyle name="Currency 4 4 2 2 4 2" xfId="46594" xr:uid="{00000000-0005-0000-0000-0000F5070000}"/>
    <cellStyle name="Currency 4 4 2 2 5" xfId="1469" xr:uid="{00000000-0005-0000-0000-0000F6070000}"/>
    <cellStyle name="Currency 4 4 2 2 6" xfId="1470" xr:uid="{00000000-0005-0000-0000-0000F7070000}"/>
    <cellStyle name="Currency 4 4 2 2 7" xfId="1471" xr:uid="{00000000-0005-0000-0000-0000F8070000}"/>
    <cellStyle name="Currency 4 4 2 3" xfId="1472" xr:uid="{00000000-0005-0000-0000-0000F9070000}"/>
    <cellStyle name="Currency 4 4 2 3 2" xfId="1473" xr:uid="{00000000-0005-0000-0000-0000FA070000}"/>
    <cellStyle name="Currency 4 4 2 3 2 2" xfId="46595" xr:uid="{00000000-0005-0000-0000-0000FB070000}"/>
    <cellStyle name="Currency 4 4 2 3 2 3" xfId="46596" xr:uid="{00000000-0005-0000-0000-0000FC070000}"/>
    <cellStyle name="Currency 4 4 2 3 3" xfId="1474" xr:uid="{00000000-0005-0000-0000-0000FD070000}"/>
    <cellStyle name="Currency 4 4 2 3 3 2" xfId="46597" xr:uid="{00000000-0005-0000-0000-0000FE070000}"/>
    <cellStyle name="Currency 4 4 2 3 4" xfId="1475" xr:uid="{00000000-0005-0000-0000-0000FF070000}"/>
    <cellStyle name="Currency 4 4 2 3 5" xfId="1476" xr:uid="{00000000-0005-0000-0000-000000080000}"/>
    <cellStyle name="Currency 4 4 2 3 6" xfId="1477" xr:uid="{00000000-0005-0000-0000-000001080000}"/>
    <cellStyle name="Currency 4 4 2 4" xfId="1478" xr:uid="{00000000-0005-0000-0000-000002080000}"/>
    <cellStyle name="Currency 4 4 2 4 2" xfId="46598" xr:uid="{00000000-0005-0000-0000-000003080000}"/>
    <cellStyle name="Currency 4 4 2 4 3" xfId="46599" xr:uid="{00000000-0005-0000-0000-000004080000}"/>
    <cellStyle name="Currency 4 4 2 5" xfId="1479" xr:uid="{00000000-0005-0000-0000-000005080000}"/>
    <cellStyle name="Currency 4 4 2 5 2" xfId="46600" xr:uid="{00000000-0005-0000-0000-000006080000}"/>
    <cellStyle name="Currency 4 4 2 6" xfId="1480" xr:uid="{00000000-0005-0000-0000-000007080000}"/>
    <cellStyle name="Currency 4 4 2 7" xfId="1481" xr:uid="{00000000-0005-0000-0000-000008080000}"/>
    <cellStyle name="Currency 4 4 2 8" xfId="1482" xr:uid="{00000000-0005-0000-0000-000009080000}"/>
    <cellStyle name="Currency 4 4 2 9" xfId="1483" xr:uid="{00000000-0005-0000-0000-00000A080000}"/>
    <cellStyle name="Currency 4 4 3" xfId="1484" xr:uid="{00000000-0005-0000-0000-00000B080000}"/>
    <cellStyle name="Currency 4 4 3 2" xfId="1485" xr:uid="{00000000-0005-0000-0000-00000C080000}"/>
    <cellStyle name="Currency 4 4 3 2 2" xfId="1486" xr:uid="{00000000-0005-0000-0000-00000D080000}"/>
    <cellStyle name="Currency 4 4 3 2 2 2" xfId="1487" xr:uid="{00000000-0005-0000-0000-00000E080000}"/>
    <cellStyle name="Currency 4 4 3 2 2 2 2" xfId="46601" xr:uid="{00000000-0005-0000-0000-00000F080000}"/>
    <cellStyle name="Currency 4 4 3 2 2 2 3" xfId="46602" xr:uid="{00000000-0005-0000-0000-000010080000}"/>
    <cellStyle name="Currency 4 4 3 2 2 3" xfId="1488" xr:uid="{00000000-0005-0000-0000-000011080000}"/>
    <cellStyle name="Currency 4 4 3 2 2 3 2" xfId="46603" xr:uid="{00000000-0005-0000-0000-000012080000}"/>
    <cellStyle name="Currency 4 4 3 2 2 4" xfId="1489" xr:uid="{00000000-0005-0000-0000-000013080000}"/>
    <cellStyle name="Currency 4 4 3 2 2 5" xfId="1490" xr:uid="{00000000-0005-0000-0000-000014080000}"/>
    <cellStyle name="Currency 4 4 3 2 2 6" xfId="1491" xr:uid="{00000000-0005-0000-0000-000015080000}"/>
    <cellStyle name="Currency 4 4 3 2 3" xfId="1492" xr:uid="{00000000-0005-0000-0000-000016080000}"/>
    <cellStyle name="Currency 4 4 3 2 3 2" xfId="46604" xr:uid="{00000000-0005-0000-0000-000017080000}"/>
    <cellStyle name="Currency 4 4 3 2 3 3" xfId="46605" xr:uid="{00000000-0005-0000-0000-000018080000}"/>
    <cellStyle name="Currency 4 4 3 2 4" xfId="1493" xr:uid="{00000000-0005-0000-0000-000019080000}"/>
    <cellStyle name="Currency 4 4 3 2 4 2" xfId="46606" xr:uid="{00000000-0005-0000-0000-00001A080000}"/>
    <cellStyle name="Currency 4 4 3 2 5" xfId="1494" xr:uid="{00000000-0005-0000-0000-00001B080000}"/>
    <cellStyle name="Currency 4 4 3 2 6" xfId="1495" xr:uid="{00000000-0005-0000-0000-00001C080000}"/>
    <cellStyle name="Currency 4 4 3 2 7" xfId="1496" xr:uid="{00000000-0005-0000-0000-00001D080000}"/>
    <cellStyle name="Currency 4 4 3 3" xfId="1497" xr:uid="{00000000-0005-0000-0000-00001E080000}"/>
    <cellStyle name="Currency 4 4 3 3 2" xfId="1498" xr:uid="{00000000-0005-0000-0000-00001F080000}"/>
    <cellStyle name="Currency 4 4 3 3 2 2" xfId="46607" xr:uid="{00000000-0005-0000-0000-000020080000}"/>
    <cellStyle name="Currency 4 4 3 3 2 3" xfId="46608" xr:uid="{00000000-0005-0000-0000-000021080000}"/>
    <cellStyle name="Currency 4 4 3 3 3" xfId="1499" xr:uid="{00000000-0005-0000-0000-000022080000}"/>
    <cellStyle name="Currency 4 4 3 3 3 2" xfId="46609" xr:uid="{00000000-0005-0000-0000-000023080000}"/>
    <cellStyle name="Currency 4 4 3 3 4" xfId="1500" xr:uid="{00000000-0005-0000-0000-000024080000}"/>
    <cellStyle name="Currency 4 4 3 3 5" xfId="1501" xr:uid="{00000000-0005-0000-0000-000025080000}"/>
    <cellStyle name="Currency 4 4 3 3 6" xfId="1502" xr:uid="{00000000-0005-0000-0000-000026080000}"/>
    <cellStyle name="Currency 4 4 3 4" xfId="1503" xr:uid="{00000000-0005-0000-0000-000027080000}"/>
    <cellStyle name="Currency 4 4 3 4 2" xfId="46610" xr:uid="{00000000-0005-0000-0000-000028080000}"/>
    <cellStyle name="Currency 4 4 3 4 3" xfId="46611" xr:uid="{00000000-0005-0000-0000-000029080000}"/>
    <cellStyle name="Currency 4 4 3 5" xfId="1504" xr:uid="{00000000-0005-0000-0000-00002A080000}"/>
    <cellStyle name="Currency 4 4 3 5 2" xfId="46612" xr:uid="{00000000-0005-0000-0000-00002B080000}"/>
    <cellStyle name="Currency 4 4 3 6" xfId="1505" xr:uid="{00000000-0005-0000-0000-00002C080000}"/>
    <cellStyle name="Currency 4 4 3 7" xfId="1506" xr:uid="{00000000-0005-0000-0000-00002D080000}"/>
    <cellStyle name="Currency 4 4 3 8" xfId="1507" xr:uid="{00000000-0005-0000-0000-00002E080000}"/>
    <cellStyle name="Currency 4 4 4" xfId="1508" xr:uid="{00000000-0005-0000-0000-00002F080000}"/>
    <cellStyle name="Currency 4 4 4 2" xfId="1509" xr:uid="{00000000-0005-0000-0000-000030080000}"/>
    <cellStyle name="Currency 4 4 4 2 2" xfId="1510" xr:uid="{00000000-0005-0000-0000-000031080000}"/>
    <cellStyle name="Currency 4 4 4 2 2 2" xfId="46613" xr:uid="{00000000-0005-0000-0000-000032080000}"/>
    <cellStyle name="Currency 4 4 4 2 2 3" xfId="46614" xr:uid="{00000000-0005-0000-0000-000033080000}"/>
    <cellStyle name="Currency 4 4 4 2 3" xfId="1511" xr:uid="{00000000-0005-0000-0000-000034080000}"/>
    <cellStyle name="Currency 4 4 4 2 3 2" xfId="46615" xr:uid="{00000000-0005-0000-0000-000035080000}"/>
    <cellStyle name="Currency 4 4 4 2 4" xfId="1512" xr:uid="{00000000-0005-0000-0000-000036080000}"/>
    <cellStyle name="Currency 4 4 4 2 5" xfId="1513" xr:uid="{00000000-0005-0000-0000-000037080000}"/>
    <cellStyle name="Currency 4 4 4 2 6" xfId="1514" xr:uid="{00000000-0005-0000-0000-000038080000}"/>
    <cellStyle name="Currency 4 4 4 3" xfId="1515" xr:uid="{00000000-0005-0000-0000-000039080000}"/>
    <cellStyle name="Currency 4 4 4 3 2" xfId="46616" xr:uid="{00000000-0005-0000-0000-00003A080000}"/>
    <cellStyle name="Currency 4 4 4 3 3" xfId="46617" xr:uid="{00000000-0005-0000-0000-00003B080000}"/>
    <cellStyle name="Currency 4 4 4 4" xfId="1516" xr:uid="{00000000-0005-0000-0000-00003C080000}"/>
    <cellStyle name="Currency 4 4 4 4 2" xfId="46618" xr:uid="{00000000-0005-0000-0000-00003D080000}"/>
    <cellStyle name="Currency 4 4 4 5" xfId="1517" xr:uid="{00000000-0005-0000-0000-00003E080000}"/>
    <cellStyle name="Currency 4 4 4 6" xfId="1518" xr:uid="{00000000-0005-0000-0000-00003F080000}"/>
    <cellStyle name="Currency 4 4 4 7" xfId="1519" xr:uid="{00000000-0005-0000-0000-000040080000}"/>
    <cellStyle name="Currency 4 4 5" xfId="1520" xr:uid="{00000000-0005-0000-0000-000041080000}"/>
    <cellStyle name="Currency 4 4 5 2" xfId="1521" xr:uid="{00000000-0005-0000-0000-000042080000}"/>
    <cellStyle name="Currency 4 4 5 2 2" xfId="46619" xr:uid="{00000000-0005-0000-0000-000043080000}"/>
    <cellStyle name="Currency 4 4 5 2 3" xfId="46620" xr:uid="{00000000-0005-0000-0000-000044080000}"/>
    <cellStyle name="Currency 4 4 5 3" xfId="1522" xr:uid="{00000000-0005-0000-0000-000045080000}"/>
    <cellStyle name="Currency 4 4 5 3 2" xfId="46621" xr:uid="{00000000-0005-0000-0000-000046080000}"/>
    <cellStyle name="Currency 4 4 5 4" xfId="1523" xr:uid="{00000000-0005-0000-0000-000047080000}"/>
    <cellStyle name="Currency 4 4 5 5" xfId="1524" xr:uid="{00000000-0005-0000-0000-000048080000}"/>
    <cellStyle name="Currency 4 4 5 6" xfId="1525" xr:uid="{00000000-0005-0000-0000-000049080000}"/>
    <cellStyle name="Currency 4 4 6" xfId="1526" xr:uid="{00000000-0005-0000-0000-00004A080000}"/>
    <cellStyle name="Currency 4 4 6 2" xfId="46622" xr:uid="{00000000-0005-0000-0000-00004B080000}"/>
    <cellStyle name="Currency 4 4 6 3" xfId="46623" xr:uid="{00000000-0005-0000-0000-00004C080000}"/>
    <cellStyle name="Currency 4 4 7" xfId="1527" xr:uid="{00000000-0005-0000-0000-00004D080000}"/>
    <cellStyle name="Currency 4 4 7 2" xfId="46624" xr:uid="{00000000-0005-0000-0000-00004E080000}"/>
    <cellStyle name="Currency 4 4 8" xfId="1528" xr:uid="{00000000-0005-0000-0000-00004F080000}"/>
    <cellStyle name="Currency 4 4 9" xfId="1529" xr:uid="{00000000-0005-0000-0000-000050080000}"/>
    <cellStyle name="Currency 4 5" xfId="1530" xr:uid="{00000000-0005-0000-0000-000051080000}"/>
    <cellStyle name="Currency 4 5 10" xfId="1531" xr:uid="{00000000-0005-0000-0000-000052080000}"/>
    <cellStyle name="Currency 4 5 11" xfId="1532" xr:uid="{00000000-0005-0000-0000-000053080000}"/>
    <cellStyle name="Currency 4 5 12" xfId="1533" xr:uid="{00000000-0005-0000-0000-000054080000}"/>
    <cellStyle name="Currency 4 5 13" xfId="1534" xr:uid="{00000000-0005-0000-0000-000055080000}"/>
    <cellStyle name="Currency 4 5 14" xfId="1535" xr:uid="{00000000-0005-0000-0000-000056080000}"/>
    <cellStyle name="Currency 4 5 2" xfId="1536" xr:uid="{00000000-0005-0000-0000-000057080000}"/>
    <cellStyle name="Currency 4 5 2 2" xfId="1537" xr:uid="{00000000-0005-0000-0000-000058080000}"/>
    <cellStyle name="Currency 4 5 2 2 2" xfId="1538" xr:uid="{00000000-0005-0000-0000-000059080000}"/>
    <cellStyle name="Currency 4 5 2 2 2 2" xfId="1539" xr:uid="{00000000-0005-0000-0000-00005A080000}"/>
    <cellStyle name="Currency 4 5 2 2 2 2 2" xfId="46625" xr:uid="{00000000-0005-0000-0000-00005B080000}"/>
    <cellStyle name="Currency 4 5 2 2 2 2 3" xfId="46626" xr:uid="{00000000-0005-0000-0000-00005C080000}"/>
    <cellStyle name="Currency 4 5 2 2 2 3" xfId="1540" xr:uid="{00000000-0005-0000-0000-00005D080000}"/>
    <cellStyle name="Currency 4 5 2 2 2 3 2" xfId="46627" xr:uid="{00000000-0005-0000-0000-00005E080000}"/>
    <cellStyle name="Currency 4 5 2 2 2 4" xfId="1541" xr:uid="{00000000-0005-0000-0000-00005F080000}"/>
    <cellStyle name="Currency 4 5 2 2 2 5" xfId="1542" xr:uid="{00000000-0005-0000-0000-000060080000}"/>
    <cellStyle name="Currency 4 5 2 2 2 6" xfId="1543" xr:uid="{00000000-0005-0000-0000-000061080000}"/>
    <cellStyle name="Currency 4 5 2 2 3" xfId="1544" xr:uid="{00000000-0005-0000-0000-000062080000}"/>
    <cellStyle name="Currency 4 5 2 2 3 2" xfId="46628" xr:uid="{00000000-0005-0000-0000-000063080000}"/>
    <cellStyle name="Currency 4 5 2 2 3 3" xfId="46629" xr:uid="{00000000-0005-0000-0000-000064080000}"/>
    <cellStyle name="Currency 4 5 2 2 4" xfId="1545" xr:uid="{00000000-0005-0000-0000-000065080000}"/>
    <cellStyle name="Currency 4 5 2 2 4 2" xfId="46630" xr:uid="{00000000-0005-0000-0000-000066080000}"/>
    <cellStyle name="Currency 4 5 2 2 5" xfId="1546" xr:uid="{00000000-0005-0000-0000-000067080000}"/>
    <cellStyle name="Currency 4 5 2 2 6" xfId="1547" xr:uid="{00000000-0005-0000-0000-000068080000}"/>
    <cellStyle name="Currency 4 5 2 2 7" xfId="1548" xr:uid="{00000000-0005-0000-0000-000069080000}"/>
    <cellStyle name="Currency 4 5 2 3" xfId="1549" xr:uid="{00000000-0005-0000-0000-00006A080000}"/>
    <cellStyle name="Currency 4 5 2 3 2" xfId="1550" xr:uid="{00000000-0005-0000-0000-00006B080000}"/>
    <cellStyle name="Currency 4 5 2 3 2 2" xfId="46631" xr:uid="{00000000-0005-0000-0000-00006C080000}"/>
    <cellStyle name="Currency 4 5 2 3 2 3" xfId="46632" xr:uid="{00000000-0005-0000-0000-00006D080000}"/>
    <cellStyle name="Currency 4 5 2 3 3" xfId="1551" xr:uid="{00000000-0005-0000-0000-00006E080000}"/>
    <cellStyle name="Currency 4 5 2 3 3 2" xfId="46633" xr:uid="{00000000-0005-0000-0000-00006F080000}"/>
    <cellStyle name="Currency 4 5 2 3 4" xfId="1552" xr:uid="{00000000-0005-0000-0000-000070080000}"/>
    <cellStyle name="Currency 4 5 2 3 5" xfId="1553" xr:uid="{00000000-0005-0000-0000-000071080000}"/>
    <cellStyle name="Currency 4 5 2 3 6" xfId="1554" xr:uid="{00000000-0005-0000-0000-000072080000}"/>
    <cellStyle name="Currency 4 5 2 4" xfId="1555" xr:uid="{00000000-0005-0000-0000-000073080000}"/>
    <cellStyle name="Currency 4 5 2 4 2" xfId="46634" xr:uid="{00000000-0005-0000-0000-000074080000}"/>
    <cellStyle name="Currency 4 5 2 4 3" xfId="46635" xr:uid="{00000000-0005-0000-0000-000075080000}"/>
    <cellStyle name="Currency 4 5 2 5" xfId="1556" xr:uid="{00000000-0005-0000-0000-000076080000}"/>
    <cellStyle name="Currency 4 5 2 5 2" xfId="46636" xr:uid="{00000000-0005-0000-0000-000077080000}"/>
    <cellStyle name="Currency 4 5 2 6" xfId="1557" xr:uid="{00000000-0005-0000-0000-000078080000}"/>
    <cellStyle name="Currency 4 5 2 7" xfId="1558" xr:uid="{00000000-0005-0000-0000-000079080000}"/>
    <cellStyle name="Currency 4 5 2 8" xfId="1559" xr:uid="{00000000-0005-0000-0000-00007A080000}"/>
    <cellStyle name="Currency 4 5 2 9" xfId="1560" xr:uid="{00000000-0005-0000-0000-00007B080000}"/>
    <cellStyle name="Currency 4 5 3" xfId="1561" xr:uid="{00000000-0005-0000-0000-00007C080000}"/>
    <cellStyle name="Currency 4 5 3 2" xfId="1562" xr:uid="{00000000-0005-0000-0000-00007D080000}"/>
    <cellStyle name="Currency 4 5 3 2 2" xfId="1563" xr:uid="{00000000-0005-0000-0000-00007E080000}"/>
    <cellStyle name="Currency 4 5 3 2 2 2" xfId="1564" xr:uid="{00000000-0005-0000-0000-00007F080000}"/>
    <cellStyle name="Currency 4 5 3 2 2 2 2" xfId="46637" xr:uid="{00000000-0005-0000-0000-000080080000}"/>
    <cellStyle name="Currency 4 5 3 2 2 2 3" xfId="46638" xr:uid="{00000000-0005-0000-0000-000081080000}"/>
    <cellStyle name="Currency 4 5 3 2 2 3" xfId="1565" xr:uid="{00000000-0005-0000-0000-000082080000}"/>
    <cellStyle name="Currency 4 5 3 2 2 3 2" xfId="46639" xr:uid="{00000000-0005-0000-0000-000083080000}"/>
    <cellStyle name="Currency 4 5 3 2 2 4" xfId="1566" xr:uid="{00000000-0005-0000-0000-000084080000}"/>
    <cellStyle name="Currency 4 5 3 2 2 5" xfId="1567" xr:uid="{00000000-0005-0000-0000-000085080000}"/>
    <cellStyle name="Currency 4 5 3 2 2 6" xfId="1568" xr:uid="{00000000-0005-0000-0000-000086080000}"/>
    <cellStyle name="Currency 4 5 3 2 3" xfId="1569" xr:uid="{00000000-0005-0000-0000-000087080000}"/>
    <cellStyle name="Currency 4 5 3 2 3 2" xfId="46640" xr:uid="{00000000-0005-0000-0000-000088080000}"/>
    <cellStyle name="Currency 4 5 3 2 3 3" xfId="46641" xr:uid="{00000000-0005-0000-0000-000089080000}"/>
    <cellStyle name="Currency 4 5 3 2 4" xfId="1570" xr:uid="{00000000-0005-0000-0000-00008A080000}"/>
    <cellStyle name="Currency 4 5 3 2 4 2" xfId="46642" xr:uid="{00000000-0005-0000-0000-00008B080000}"/>
    <cellStyle name="Currency 4 5 3 2 5" xfId="1571" xr:uid="{00000000-0005-0000-0000-00008C080000}"/>
    <cellStyle name="Currency 4 5 3 2 6" xfId="1572" xr:uid="{00000000-0005-0000-0000-00008D080000}"/>
    <cellStyle name="Currency 4 5 3 2 7" xfId="1573" xr:uid="{00000000-0005-0000-0000-00008E080000}"/>
    <cellStyle name="Currency 4 5 3 3" xfId="1574" xr:uid="{00000000-0005-0000-0000-00008F080000}"/>
    <cellStyle name="Currency 4 5 3 3 2" xfId="1575" xr:uid="{00000000-0005-0000-0000-000090080000}"/>
    <cellStyle name="Currency 4 5 3 3 2 2" xfId="46643" xr:uid="{00000000-0005-0000-0000-000091080000}"/>
    <cellStyle name="Currency 4 5 3 3 2 3" xfId="46644" xr:uid="{00000000-0005-0000-0000-000092080000}"/>
    <cellStyle name="Currency 4 5 3 3 3" xfId="1576" xr:uid="{00000000-0005-0000-0000-000093080000}"/>
    <cellStyle name="Currency 4 5 3 3 3 2" xfId="46645" xr:uid="{00000000-0005-0000-0000-000094080000}"/>
    <cellStyle name="Currency 4 5 3 3 4" xfId="1577" xr:uid="{00000000-0005-0000-0000-000095080000}"/>
    <cellStyle name="Currency 4 5 3 3 5" xfId="1578" xr:uid="{00000000-0005-0000-0000-000096080000}"/>
    <cellStyle name="Currency 4 5 3 3 6" xfId="1579" xr:uid="{00000000-0005-0000-0000-000097080000}"/>
    <cellStyle name="Currency 4 5 3 4" xfId="1580" xr:uid="{00000000-0005-0000-0000-000098080000}"/>
    <cellStyle name="Currency 4 5 3 4 2" xfId="46646" xr:uid="{00000000-0005-0000-0000-000099080000}"/>
    <cellStyle name="Currency 4 5 3 4 3" xfId="46647" xr:uid="{00000000-0005-0000-0000-00009A080000}"/>
    <cellStyle name="Currency 4 5 3 5" xfId="1581" xr:uid="{00000000-0005-0000-0000-00009B080000}"/>
    <cellStyle name="Currency 4 5 3 5 2" xfId="46648" xr:uid="{00000000-0005-0000-0000-00009C080000}"/>
    <cellStyle name="Currency 4 5 3 6" xfId="1582" xr:uid="{00000000-0005-0000-0000-00009D080000}"/>
    <cellStyle name="Currency 4 5 3 7" xfId="1583" xr:uid="{00000000-0005-0000-0000-00009E080000}"/>
    <cellStyle name="Currency 4 5 3 8" xfId="1584" xr:uid="{00000000-0005-0000-0000-00009F080000}"/>
    <cellStyle name="Currency 4 5 4" xfId="1585" xr:uid="{00000000-0005-0000-0000-0000A0080000}"/>
    <cellStyle name="Currency 4 5 4 2" xfId="1586" xr:uid="{00000000-0005-0000-0000-0000A1080000}"/>
    <cellStyle name="Currency 4 5 4 2 2" xfId="1587" xr:uid="{00000000-0005-0000-0000-0000A2080000}"/>
    <cellStyle name="Currency 4 5 4 2 2 2" xfId="46649" xr:uid="{00000000-0005-0000-0000-0000A3080000}"/>
    <cellStyle name="Currency 4 5 4 2 2 3" xfId="46650" xr:uid="{00000000-0005-0000-0000-0000A4080000}"/>
    <cellStyle name="Currency 4 5 4 2 3" xfId="1588" xr:uid="{00000000-0005-0000-0000-0000A5080000}"/>
    <cellStyle name="Currency 4 5 4 2 3 2" xfId="46651" xr:uid="{00000000-0005-0000-0000-0000A6080000}"/>
    <cellStyle name="Currency 4 5 4 2 4" xfId="1589" xr:uid="{00000000-0005-0000-0000-0000A7080000}"/>
    <cellStyle name="Currency 4 5 4 2 5" xfId="1590" xr:uid="{00000000-0005-0000-0000-0000A8080000}"/>
    <cellStyle name="Currency 4 5 4 2 6" xfId="1591" xr:uid="{00000000-0005-0000-0000-0000A9080000}"/>
    <cellStyle name="Currency 4 5 4 3" xfId="1592" xr:uid="{00000000-0005-0000-0000-0000AA080000}"/>
    <cellStyle name="Currency 4 5 4 3 2" xfId="46652" xr:uid="{00000000-0005-0000-0000-0000AB080000}"/>
    <cellStyle name="Currency 4 5 4 3 3" xfId="46653" xr:uid="{00000000-0005-0000-0000-0000AC080000}"/>
    <cellStyle name="Currency 4 5 4 4" xfId="1593" xr:uid="{00000000-0005-0000-0000-0000AD080000}"/>
    <cellStyle name="Currency 4 5 4 4 2" xfId="46654" xr:uid="{00000000-0005-0000-0000-0000AE080000}"/>
    <cellStyle name="Currency 4 5 4 5" xfId="1594" xr:uid="{00000000-0005-0000-0000-0000AF080000}"/>
    <cellStyle name="Currency 4 5 4 6" xfId="1595" xr:uid="{00000000-0005-0000-0000-0000B0080000}"/>
    <cellStyle name="Currency 4 5 4 7" xfId="1596" xr:uid="{00000000-0005-0000-0000-0000B1080000}"/>
    <cellStyle name="Currency 4 5 5" xfId="1597" xr:uid="{00000000-0005-0000-0000-0000B2080000}"/>
    <cellStyle name="Currency 4 5 5 2" xfId="1598" xr:uid="{00000000-0005-0000-0000-0000B3080000}"/>
    <cellStyle name="Currency 4 5 5 2 2" xfId="46655" xr:uid="{00000000-0005-0000-0000-0000B4080000}"/>
    <cellStyle name="Currency 4 5 5 2 3" xfId="46656" xr:uid="{00000000-0005-0000-0000-0000B5080000}"/>
    <cellStyle name="Currency 4 5 5 3" xfId="1599" xr:uid="{00000000-0005-0000-0000-0000B6080000}"/>
    <cellStyle name="Currency 4 5 5 3 2" xfId="46657" xr:uid="{00000000-0005-0000-0000-0000B7080000}"/>
    <cellStyle name="Currency 4 5 5 4" xfId="1600" xr:uid="{00000000-0005-0000-0000-0000B8080000}"/>
    <cellStyle name="Currency 4 5 5 5" xfId="1601" xr:uid="{00000000-0005-0000-0000-0000B9080000}"/>
    <cellStyle name="Currency 4 5 5 6" xfId="1602" xr:uid="{00000000-0005-0000-0000-0000BA080000}"/>
    <cellStyle name="Currency 4 5 6" xfId="1603" xr:uid="{00000000-0005-0000-0000-0000BB080000}"/>
    <cellStyle name="Currency 4 5 6 2" xfId="46658" xr:uid="{00000000-0005-0000-0000-0000BC080000}"/>
    <cellStyle name="Currency 4 5 6 3" xfId="46659" xr:uid="{00000000-0005-0000-0000-0000BD080000}"/>
    <cellStyle name="Currency 4 5 7" xfId="1604" xr:uid="{00000000-0005-0000-0000-0000BE080000}"/>
    <cellStyle name="Currency 4 5 7 2" xfId="46660" xr:uid="{00000000-0005-0000-0000-0000BF080000}"/>
    <cellStyle name="Currency 4 5 8" xfId="1605" xr:uid="{00000000-0005-0000-0000-0000C0080000}"/>
    <cellStyle name="Currency 4 5 9" xfId="1606" xr:uid="{00000000-0005-0000-0000-0000C1080000}"/>
    <cellStyle name="Currency 4 6" xfId="1607" xr:uid="{00000000-0005-0000-0000-0000C2080000}"/>
    <cellStyle name="Currency 4 6 10" xfId="1608" xr:uid="{00000000-0005-0000-0000-0000C3080000}"/>
    <cellStyle name="Currency 4 6 11" xfId="1609" xr:uid="{00000000-0005-0000-0000-0000C4080000}"/>
    <cellStyle name="Currency 4 6 12" xfId="1610" xr:uid="{00000000-0005-0000-0000-0000C5080000}"/>
    <cellStyle name="Currency 4 6 13" xfId="1611" xr:uid="{00000000-0005-0000-0000-0000C6080000}"/>
    <cellStyle name="Currency 4 6 2" xfId="1612" xr:uid="{00000000-0005-0000-0000-0000C7080000}"/>
    <cellStyle name="Currency 4 6 2 2" xfId="1613" xr:uid="{00000000-0005-0000-0000-0000C8080000}"/>
    <cellStyle name="Currency 4 6 2 2 2" xfId="1614" xr:uid="{00000000-0005-0000-0000-0000C9080000}"/>
    <cellStyle name="Currency 4 6 2 2 2 2" xfId="1615" xr:uid="{00000000-0005-0000-0000-0000CA080000}"/>
    <cellStyle name="Currency 4 6 2 2 2 2 2" xfId="46661" xr:uid="{00000000-0005-0000-0000-0000CB080000}"/>
    <cellStyle name="Currency 4 6 2 2 2 2 3" xfId="46662" xr:uid="{00000000-0005-0000-0000-0000CC080000}"/>
    <cellStyle name="Currency 4 6 2 2 2 3" xfId="1616" xr:uid="{00000000-0005-0000-0000-0000CD080000}"/>
    <cellStyle name="Currency 4 6 2 2 2 3 2" xfId="46663" xr:uid="{00000000-0005-0000-0000-0000CE080000}"/>
    <cellStyle name="Currency 4 6 2 2 2 4" xfId="1617" xr:uid="{00000000-0005-0000-0000-0000CF080000}"/>
    <cellStyle name="Currency 4 6 2 2 2 5" xfId="1618" xr:uid="{00000000-0005-0000-0000-0000D0080000}"/>
    <cellStyle name="Currency 4 6 2 2 2 6" xfId="1619" xr:uid="{00000000-0005-0000-0000-0000D1080000}"/>
    <cellStyle name="Currency 4 6 2 2 3" xfId="1620" xr:uid="{00000000-0005-0000-0000-0000D2080000}"/>
    <cellStyle name="Currency 4 6 2 2 3 2" xfId="46664" xr:uid="{00000000-0005-0000-0000-0000D3080000}"/>
    <cellStyle name="Currency 4 6 2 2 3 3" xfId="46665" xr:uid="{00000000-0005-0000-0000-0000D4080000}"/>
    <cellStyle name="Currency 4 6 2 2 4" xfId="1621" xr:uid="{00000000-0005-0000-0000-0000D5080000}"/>
    <cellStyle name="Currency 4 6 2 2 4 2" xfId="46666" xr:uid="{00000000-0005-0000-0000-0000D6080000}"/>
    <cellStyle name="Currency 4 6 2 2 5" xfId="1622" xr:uid="{00000000-0005-0000-0000-0000D7080000}"/>
    <cellStyle name="Currency 4 6 2 2 6" xfId="1623" xr:uid="{00000000-0005-0000-0000-0000D8080000}"/>
    <cellStyle name="Currency 4 6 2 2 7" xfId="1624" xr:uid="{00000000-0005-0000-0000-0000D9080000}"/>
    <cellStyle name="Currency 4 6 2 3" xfId="1625" xr:uid="{00000000-0005-0000-0000-0000DA080000}"/>
    <cellStyle name="Currency 4 6 2 3 2" xfId="1626" xr:uid="{00000000-0005-0000-0000-0000DB080000}"/>
    <cellStyle name="Currency 4 6 2 3 2 2" xfId="46667" xr:uid="{00000000-0005-0000-0000-0000DC080000}"/>
    <cellStyle name="Currency 4 6 2 3 2 3" xfId="46668" xr:uid="{00000000-0005-0000-0000-0000DD080000}"/>
    <cellStyle name="Currency 4 6 2 3 3" xfId="1627" xr:uid="{00000000-0005-0000-0000-0000DE080000}"/>
    <cellStyle name="Currency 4 6 2 3 3 2" xfId="46669" xr:uid="{00000000-0005-0000-0000-0000DF080000}"/>
    <cellStyle name="Currency 4 6 2 3 4" xfId="1628" xr:uid="{00000000-0005-0000-0000-0000E0080000}"/>
    <cellStyle name="Currency 4 6 2 3 5" xfId="1629" xr:uid="{00000000-0005-0000-0000-0000E1080000}"/>
    <cellStyle name="Currency 4 6 2 3 6" xfId="1630" xr:uid="{00000000-0005-0000-0000-0000E2080000}"/>
    <cellStyle name="Currency 4 6 2 4" xfId="1631" xr:uid="{00000000-0005-0000-0000-0000E3080000}"/>
    <cellStyle name="Currency 4 6 2 4 2" xfId="46670" xr:uid="{00000000-0005-0000-0000-0000E4080000}"/>
    <cellStyle name="Currency 4 6 2 4 3" xfId="46671" xr:uid="{00000000-0005-0000-0000-0000E5080000}"/>
    <cellStyle name="Currency 4 6 2 5" xfId="1632" xr:uid="{00000000-0005-0000-0000-0000E6080000}"/>
    <cellStyle name="Currency 4 6 2 5 2" xfId="46672" xr:uid="{00000000-0005-0000-0000-0000E7080000}"/>
    <cellStyle name="Currency 4 6 2 6" xfId="1633" xr:uid="{00000000-0005-0000-0000-0000E8080000}"/>
    <cellStyle name="Currency 4 6 2 7" xfId="1634" xr:uid="{00000000-0005-0000-0000-0000E9080000}"/>
    <cellStyle name="Currency 4 6 2 8" xfId="1635" xr:uid="{00000000-0005-0000-0000-0000EA080000}"/>
    <cellStyle name="Currency 4 6 2 9" xfId="1636" xr:uid="{00000000-0005-0000-0000-0000EB080000}"/>
    <cellStyle name="Currency 4 6 3" xfId="1637" xr:uid="{00000000-0005-0000-0000-0000EC080000}"/>
    <cellStyle name="Currency 4 6 3 2" xfId="1638" xr:uid="{00000000-0005-0000-0000-0000ED080000}"/>
    <cellStyle name="Currency 4 6 3 2 2" xfId="1639" xr:uid="{00000000-0005-0000-0000-0000EE080000}"/>
    <cellStyle name="Currency 4 6 3 2 2 2" xfId="46673" xr:uid="{00000000-0005-0000-0000-0000EF080000}"/>
    <cellStyle name="Currency 4 6 3 2 2 3" xfId="46674" xr:uid="{00000000-0005-0000-0000-0000F0080000}"/>
    <cellStyle name="Currency 4 6 3 2 3" xfId="1640" xr:uid="{00000000-0005-0000-0000-0000F1080000}"/>
    <cellStyle name="Currency 4 6 3 2 3 2" xfId="46675" xr:uid="{00000000-0005-0000-0000-0000F2080000}"/>
    <cellStyle name="Currency 4 6 3 2 4" xfId="1641" xr:uid="{00000000-0005-0000-0000-0000F3080000}"/>
    <cellStyle name="Currency 4 6 3 2 5" xfId="1642" xr:uid="{00000000-0005-0000-0000-0000F4080000}"/>
    <cellStyle name="Currency 4 6 3 2 6" xfId="1643" xr:uid="{00000000-0005-0000-0000-0000F5080000}"/>
    <cellStyle name="Currency 4 6 3 3" xfId="1644" xr:uid="{00000000-0005-0000-0000-0000F6080000}"/>
    <cellStyle name="Currency 4 6 3 3 2" xfId="46676" xr:uid="{00000000-0005-0000-0000-0000F7080000}"/>
    <cellStyle name="Currency 4 6 3 3 3" xfId="46677" xr:uid="{00000000-0005-0000-0000-0000F8080000}"/>
    <cellStyle name="Currency 4 6 3 4" xfId="1645" xr:uid="{00000000-0005-0000-0000-0000F9080000}"/>
    <cellStyle name="Currency 4 6 3 4 2" xfId="46678" xr:uid="{00000000-0005-0000-0000-0000FA080000}"/>
    <cellStyle name="Currency 4 6 3 5" xfId="1646" xr:uid="{00000000-0005-0000-0000-0000FB080000}"/>
    <cellStyle name="Currency 4 6 3 6" xfId="1647" xr:uid="{00000000-0005-0000-0000-0000FC080000}"/>
    <cellStyle name="Currency 4 6 3 7" xfId="1648" xr:uid="{00000000-0005-0000-0000-0000FD080000}"/>
    <cellStyle name="Currency 4 6 4" xfId="1649" xr:uid="{00000000-0005-0000-0000-0000FE080000}"/>
    <cellStyle name="Currency 4 6 4 2" xfId="1650" xr:uid="{00000000-0005-0000-0000-0000FF080000}"/>
    <cellStyle name="Currency 4 6 4 2 2" xfId="46679" xr:uid="{00000000-0005-0000-0000-000000090000}"/>
    <cellStyle name="Currency 4 6 4 2 3" xfId="46680" xr:uid="{00000000-0005-0000-0000-000001090000}"/>
    <cellStyle name="Currency 4 6 4 3" xfId="1651" xr:uid="{00000000-0005-0000-0000-000002090000}"/>
    <cellStyle name="Currency 4 6 4 3 2" xfId="46681" xr:uid="{00000000-0005-0000-0000-000003090000}"/>
    <cellStyle name="Currency 4 6 4 4" xfId="1652" xr:uid="{00000000-0005-0000-0000-000004090000}"/>
    <cellStyle name="Currency 4 6 4 5" xfId="1653" xr:uid="{00000000-0005-0000-0000-000005090000}"/>
    <cellStyle name="Currency 4 6 4 6" xfId="1654" xr:uid="{00000000-0005-0000-0000-000006090000}"/>
    <cellStyle name="Currency 4 6 5" xfId="1655" xr:uid="{00000000-0005-0000-0000-000007090000}"/>
    <cellStyle name="Currency 4 6 5 2" xfId="46682" xr:uid="{00000000-0005-0000-0000-000008090000}"/>
    <cellStyle name="Currency 4 6 5 3" xfId="46683" xr:uid="{00000000-0005-0000-0000-000009090000}"/>
    <cellStyle name="Currency 4 6 6" xfId="1656" xr:uid="{00000000-0005-0000-0000-00000A090000}"/>
    <cellStyle name="Currency 4 6 6 2" xfId="46684" xr:uid="{00000000-0005-0000-0000-00000B090000}"/>
    <cellStyle name="Currency 4 6 7" xfId="1657" xr:uid="{00000000-0005-0000-0000-00000C090000}"/>
    <cellStyle name="Currency 4 6 8" xfId="1658" xr:uid="{00000000-0005-0000-0000-00000D090000}"/>
    <cellStyle name="Currency 4 6 9" xfId="1659" xr:uid="{00000000-0005-0000-0000-00000E090000}"/>
    <cellStyle name="Currency 4 7" xfId="1660" xr:uid="{00000000-0005-0000-0000-00000F090000}"/>
    <cellStyle name="Currency 4 7 2" xfId="1661" xr:uid="{00000000-0005-0000-0000-000010090000}"/>
    <cellStyle name="Currency 4 7 2 2" xfId="1662" xr:uid="{00000000-0005-0000-0000-000011090000}"/>
    <cellStyle name="Currency 4 7 2 2 2" xfId="1663" xr:uid="{00000000-0005-0000-0000-000012090000}"/>
    <cellStyle name="Currency 4 7 2 2 2 2" xfId="46685" xr:uid="{00000000-0005-0000-0000-000013090000}"/>
    <cellStyle name="Currency 4 7 2 2 2 3" xfId="46686" xr:uid="{00000000-0005-0000-0000-000014090000}"/>
    <cellStyle name="Currency 4 7 2 2 3" xfId="1664" xr:uid="{00000000-0005-0000-0000-000015090000}"/>
    <cellStyle name="Currency 4 7 2 2 3 2" xfId="46687" xr:uid="{00000000-0005-0000-0000-000016090000}"/>
    <cellStyle name="Currency 4 7 2 2 4" xfId="1665" xr:uid="{00000000-0005-0000-0000-000017090000}"/>
    <cellStyle name="Currency 4 7 2 2 5" xfId="1666" xr:uid="{00000000-0005-0000-0000-000018090000}"/>
    <cellStyle name="Currency 4 7 2 2 6" xfId="1667" xr:uid="{00000000-0005-0000-0000-000019090000}"/>
    <cellStyle name="Currency 4 7 2 3" xfId="1668" xr:uid="{00000000-0005-0000-0000-00001A090000}"/>
    <cellStyle name="Currency 4 7 2 3 2" xfId="46688" xr:uid="{00000000-0005-0000-0000-00001B090000}"/>
    <cellStyle name="Currency 4 7 2 3 3" xfId="46689" xr:uid="{00000000-0005-0000-0000-00001C090000}"/>
    <cellStyle name="Currency 4 7 2 4" xfId="1669" xr:uid="{00000000-0005-0000-0000-00001D090000}"/>
    <cellStyle name="Currency 4 7 2 4 2" xfId="46690" xr:uid="{00000000-0005-0000-0000-00001E090000}"/>
    <cellStyle name="Currency 4 7 2 5" xfId="1670" xr:uid="{00000000-0005-0000-0000-00001F090000}"/>
    <cellStyle name="Currency 4 7 2 6" xfId="1671" xr:uid="{00000000-0005-0000-0000-000020090000}"/>
    <cellStyle name="Currency 4 7 2 7" xfId="1672" xr:uid="{00000000-0005-0000-0000-000021090000}"/>
    <cellStyle name="Currency 4 7 3" xfId="1673" xr:uid="{00000000-0005-0000-0000-000022090000}"/>
    <cellStyle name="Currency 4 7 3 2" xfId="1674" xr:uid="{00000000-0005-0000-0000-000023090000}"/>
    <cellStyle name="Currency 4 7 3 2 2" xfId="46691" xr:uid="{00000000-0005-0000-0000-000024090000}"/>
    <cellStyle name="Currency 4 7 3 2 3" xfId="46692" xr:uid="{00000000-0005-0000-0000-000025090000}"/>
    <cellStyle name="Currency 4 7 3 3" xfId="1675" xr:uid="{00000000-0005-0000-0000-000026090000}"/>
    <cellStyle name="Currency 4 7 3 3 2" xfId="46693" xr:uid="{00000000-0005-0000-0000-000027090000}"/>
    <cellStyle name="Currency 4 7 3 4" xfId="1676" xr:uid="{00000000-0005-0000-0000-000028090000}"/>
    <cellStyle name="Currency 4 7 3 5" xfId="1677" xr:uid="{00000000-0005-0000-0000-000029090000}"/>
    <cellStyle name="Currency 4 7 3 6" xfId="1678" xr:uid="{00000000-0005-0000-0000-00002A090000}"/>
    <cellStyle name="Currency 4 7 4" xfId="1679" xr:uid="{00000000-0005-0000-0000-00002B090000}"/>
    <cellStyle name="Currency 4 7 4 2" xfId="46694" xr:uid="{00000000-0005-0000-0000-00002C090000}"/>
    <cellStyle name="Currency 4 7 4 3" xfId="46695" xr:uid="{00000000-0005-0000-0000-00002D090000}"/>
    <cellStyle name="Currency 4 7 5" xfId="1680" xr:uid="{00000000-0005-0000-0000-00002E090000}"/>
    <cellStyle name="Currency 4 7 5 2" xfId="46696" xr:uid="{00000000-0005-0000-0000-00002F090000}"/>
    <cellStyle name="Currency 4 7 6" xfId="1681" xr:uid="{00000000-0005-0000-0000-000030090000}"/>
    <cellStyle name="Currency 4 7 7" xfId="1682" xr:uid="{00000000-0005-0000-0000-000031090000}"/>
    <cellStyle name="Currency 4 7 8" xfId="1683" xr:uid="{00000000-0005-0000-0000-000032090000}"/>
    <cellStyle name="Currency 4 7 9" xfId="1684" xr:uid="{00000000-0005-0000-0000-000033090000}"/>
    <cellStyle name="Currency 4 8" xfId="1685" xr:uid="{00000000-0005-0000-0000-000034090000}"/>
    <cellStyle name="Currency 4 8 2" xfId="1686" xr:uid="{00000000-0005-0000-0000-000035090000}"/>
    <cellStyle name="Currency 4 8 2 2" xfId="1687" xr:uid="{00000000-0005-0000-0000-000036090000}"/>
    <cellStyle name="Currency 4 8 2 2 2" xfId="1688" xr:uid="{00000000-0005-0000-0000-000037090000}"/>
    <cellStyle name="Currency 4 8 2 2 2 2" xfId="46697" xr:uid="{00000000-0005-0000-0000-000038090000}"/>
    <cellStyle name="Currency 4 8 2 2 2 3" xfId="46698" xr:uid="{00000000-0005-0000-0000-000039090000}"/>
    <cellStyle name="Currency 4 8 2 2 3" xfId="1689" xr:uid="{00000000-0005-0000-0000-00003A090000}"/>
    <cellStyle name="Currency 4 8 2 2 3 2" xfId="46699" xr:uid="{00000000-0005-0000-0000-00003B090000}"/>
    <cellStyle name="Currency 4 8 2 2 4" xfId="1690" xr:uid="{00000000-0005-0000-0000-00003C090000}"/>
    <cellStyle name="Currency 4 8 2 2 5" xfId="1691" xr:uid="{00000000-0005-0000-0000-00003D090000}"/>
    <cellStyle name="Currency 4 8 2 2 6" xfId="1692" xr:uid="{00000000-0005-0000-0000-00003E090000}"/>
    <cellStyle name="Currency 4 8 2 3" xfId="1693" xr:uid="{00000000-0005-0000-0000-00003F090000}"/>
    <cellStyle name="Currency 4 8 2 3 2" xfId="46700" xr:uid="{00000000-0005-0000-0000-000040090000}"/>
    <cellStyle name="Currency 4 8 2 3 3" xfId="46701" xr:uid="{00000000-0005-0000-0000-000041090000}"/>
    <cellStyle name="Currency 4 8 2 4" xfId="1694" xr:uid="{00000000-0005-0000-0000-000042090000}"/>
    <cellStyle name="Currency 4 8 2 4 2" xfId="46702" xr:uid="{00000000-0005-0000-0000-000043090000}"/>
    <cellStyle name="Currency 4 8 2 5" xfId="1695" xr:uid="{00000000-0005-0000-0000-000044090000}"/>
    <cellStyle name="Currency 4 8 2 6" xfId="1696" xr:uid="{00000000-0005-0000-0000-000045090000}"/>
    <cellStyle name="Currency 4 8 2 7" xfId="1697" xr:uid="{00000000-0005-0000-0000-000046090000}"/>
    <cellStyle name="Currency 4 8 3" xfId="1698" xr:uid="{00000000-0005-0000-0000-000047090000}"/>
    <cellStyle name="Currency 4 8 3 2" xfId="1699" xr:uid="{00000000-0005-0000-0000-000048090000}"/>
    <cellStyle name="Currency 4 8 3 2 2" xfId="46703" xr:uid="{00000000-0005-0000-0000-000049090000}"/>
    <cellStyle name="Currency 4 8 3 2 3" xfId="46704" xr:uid="{00000000-0005-0000-0000-00004A090000}"/>
    <cellStyle name="Currency 4 8 3 3" xfId="1700" xr:uid="{00000000-0005-0000-0000-00004B090000}"/>
    <cellStyle name="Currency 4 8 3 3 2" xfId="46705" xr:uid="{00000000-0005-0000-0000-00004C090000}"/>
    <cellStyle name="Currency 4 8 3 4" xfId="1701" xr:uid="{00000000-0005-0000-0000-00004D090000}"/>
    <cellStyle name="Currency 4 8 3 5" xfId="1702" xr:uid="{00000000-0005-0000-0000-00004E090000}"/>
    <cellStyle name="Currency 4 8 3 6" xfId="1703" xr:uid="{00000000-0005-0000-0000-00004F090000}"/>
    <cellStyle name="Currency 4 8 4" xfId="1704" xr:uid="{00000000-0005-0000-0000-000050090000}"/>
    <cellStyle name="Currency 4 8 4 2" xfId="46706" xr:uid="{00000000-0005-0000-0000-000051090000}"/>
    <cellStyle name="Currency 4 8 4 3" xfId="46707" xr:uid="{00000000-0005-0000-0000-000052090000}"/>
    <cellStyle name="Currency 4 8 5" xfId="1705" xr:uid="{00000000-0005-0000-0000-000053090000}"/>
    <cellStyle name="Currency 4 8 5 2" xfId="46708" xr:uid="{00000000-0005-0000-0000-000054090000}"/>
    <cellStyle name="Currency 4 8 6" xfId="1706" xr:uid="{00000000-0005-0000-0000-000055090000}"/>
    <cellStyle name="Currency 4 8 7" xfId="1707" xr:uid="{00000000-0005-0000-0000-000056090000}"/>
    <cellStyle name="Currency 4 8 8" xfId="1708" xr:uid="{00000000-0005-0000-0000-000057090000}"/>
    <cellStyle name="Currency 4 9" xfId="1709" xr:uid="{00000000-0005-0000-0000-000058090000}"/>
    <cellStyle name="Currency 4 9 2" xfId="1710" xr:uid="{00000000-0005-0000-0000-000059090000}"/>
    <cellStyle name="Currency 4 9 2 2" xfId="1711" xr:uid="{00000000-0005-0000-0000-00005A090000}"/>
    <cellStyle name="Currency 4 9 2 2 2" xfId="1712" xr:uid="{00000000-0005-0000-0000-00005B090000}"/>
    <cellStyle name="Currency 4 9 2 2 2 2" xfId="46709" xr:uid="{00000000-0005-0000-0000-00005C090000}"/>
    <cellStyle name="Currency 4 9 2 2 2 3" xfId="46710" xr:uid="{00000000-0005-0000-0000-00005D090000}"/>
    <cellStyle name="Currency 4 9 2 2 3" xfId="1713" xr:uid="{00000000-0005-0000-0000-00005E090000}"/>
    <cellStyle name="Currency 4 9 2 2 3 2" xfId="46711" xr:uid="{00000000-0005-0000-0000-00005F090000}"/>
    <cellStyle name="Currency 4 9 2 2 4" xfId="1714" xr:uid="{00000000-0005-0000-0000-000060090000}"/>
    <cellStyle name="Currency 4 9 2 2 5" xfId="1715" xr:uid="{00000000-0005-0000-0000-000061090000}"/>
    <cellStyle name="Currency 4 9 2 2 6" xfId="1716" xr:uid="{00000000-0005-0000-0000-000062090000}"/>
    <cellStyle name="Currency 4 9 2 3" xfId="1717" xr:uid="{00000000-0005-0000-0000-000063090000}"/>
    <cellStyle name="Currency 4 9 2 3 2" xfId="46712" xr:uid="{00000000-0005-0000-0000-000064090000}"/>
    <cellStyle name="Currency 4 9 2 3 3" xfId="46713" xr:uid="{00000000-0005-0000-0000-000065090000}"/>
    <cellStyle name="Currency 4 9 2 4" xfId="1718" xr:uid="{00000000-0005-0000-0000-000066090000}"/>
    <cellStyle name="Currency 4 9 2 4 2" xfId="46714" xr:uid="{00000000-0005-0000-0000-000067090000}"/>
    <cellStyle name="Currency 4 9 2 5" xfId="1719" xr:uid="{00000000-0005-0000-0000-000068090000}"/>
    <cellStyle name="Currency 4 9 2 6" xfId="1720" xr:uid="{00000000-0005-0000-0000-000069090000}"/>
    <cellStyle name="Currency 4 9 2 7" xfId="1721" xr:uid="{00000000-0005-0000-0000-00006A090000}"/>
    <cellStyle name="Currency 4 9 3" xfId="1722" xr:uid="{00000000-0005-0000-0000-00006B090000}"/>
    <cellStyle name="Currency 4 9 3 2" xfId="1723" xr:uid="{00000000-0005-0000-0000-00006C090000}"/>
    <cellStyle name="Currency 4 9 3 2 2" xfId="46715" xr:uid="{00000000-0005-0000-0000-00006D090000}"/>
    <cellStyle name="Currency 4 9 3 2 3" xfId="46716" xr:uid="{00000000-0005-0000-0000-00006E090000}"/>
    <cellStyle name="Currency 4 9 3 3" xfId="1724" xr:uid="{00000000-0005-0000-0000-00006F090000}"/>
    <cellStyle name="Currency 4 9 3 3 2" xfId="46717" xr:uid="{00000000-0005-0000-0000-000070090000}"/>
    <cellStyle name="Currency 4 9 3 4" xfId="1725" xr:uid="{00000000-0005-0000-0000-000071090000}"/>
    <cellStyle name="Currency 4 9 3 5" xfId="1726" xr:uid="{00000000-0005-0000-0000-000072090000}"/>
    <cellStyle name="Currency 4 9 3 6" xfId="1727" xr:uid="{00000000-0005-0000-0000-000073090000}"/>
    <cellStyle name="Currency 4 9 4" xfId="1728" xr:uid="{00000000-0005-0000-0000-000074090000}"/>
    <cellStyle name="Currency 4 9 4 2" xfId="46718" xr:uid="{00000000-0005-0000-0000-000075090000}"/>
    <cellStyle name="Currency 4 9 4 3" xfId="46719" xr:uid="{00000000-0005-0000-0000-000076090000}"/>
    <cellStyle name="Currency 4 9 5" xfId="1729" xr:uid="{00000000-0005-0000-0000-000077090000}"/>
    <cellStyle name="Currency 4 9 5 2" xfId="46720" xr:uid="{00000000-0005-0000-0000-000078090000}"/>
    <cellStyle name="Currency 4 9 6" xfId="1730" xr:uid="{00000000-0005-0000-0000-000079090000}"/>
    <cellStyle name="Currency 4 9 7" xfId="1731" xr:uid="{00000000-0005-0000-0000-00007A090000}"/>
    <cellStyle name="Currency 4 9 8" xfId="1732" xr:uid="{00000000-0005-0000-0000-00007B090000}"/>
    <cellStyle name="Currency 5" xfId="1733" xr:uid="{00000000-0005-0000-0000-00007C090000}"/>
    <cellStyle name="Currency 5 10" xfId="1734" xr:uid="{00000000-0005-0000-0000-00007D090000}"/>
    <cellStyle name="Currency 5 10 2" xfId="46721" xr:uid="{00000000-0005-0000-0000-00007E090000}"/>
    <cellStyle name="Currency 5 10 3" xfId="46722" xr:uid="{00000000-0005-0000-0000-00007F090000}"/>
    <cellStyle name="Currency 5 11" xfId="1735" xr:uid="{00000000-0005-0000-0000-000080090000}"/>
    <cellStyle name="Currency 5 11 2" xfId="46723" xr:uid="{00000000-0005-0000-0000-000081090000}"/>
    <cellStyle name="Currency 5 12" xfId="1736" xr:uid="{00000000-0005-0000-0000-000082090000}"/>
    <cellStyle name="Currency 5 13" xfId="1737" xr:uid="{00000000-0005-0000-0000-000083090000}"/>
    <cellStyle name="Currency 5 14" xfId="1738" xr:uid="{00000000-0005-0000-0000-000084090000}"/>
    <cellStyle name="Currency 5 15" xfId="1739" xr:uid="{00000000-0005-0000-0000-000085090000}"/>
    <cellStyle name="Currency 5 16" xfId="1740" xr:uid="{00000000-0005-0000-0000-000086090000}"/>
    <cellStyle name="Currency 5 17" xfId="1741" xr:uid="{00000000-0005-0000-0000-000087090000}"/>
    <cellStyle name="Currency 5 18" xfId="1742" xr:uid="{00000000-0005-0000-0000-000088090000}"/>
    <cellStyle name="Currency 5 19" xfId="1743" xr:uid="{00000000-0005-0000-0000-000089090000}"/>
    <cellStyle name="Currency 5 2" xfId="1744" xr:uid="{00000000-0005-0000-0000-00008A090000}"/>
    <cellStyle name="Currency 5 2 10" xfId="1745" xr:uid="{00000000-0005-0000-0000-00008B090000}"/>
    <cellStyle name="Currency 5 2 11" xfId="1746" xr:uid="{00000000-0005-0000-0000-00008C090000}"/>
    <cellStyle name="Currency 5 2 12" xfId="1747" xr:uid="{00000000-0005-0000-0000-00008D090000}"/>
    <cellStyle name="Currency 5 2 13" xfId="1748" xr:uid="{00000000-0005-0000-0000-00008E090000}"/>
    <cellStyle name="Currency 5 2 14" xfId="1749" xr:uid="{00000000-0005-0000-0000-00008F090000}"/>
    <cellStyle name="Currency 5 2 15" xfId="1750" xr:uid="{00000000-0005-0000-0000-000090090000}"/>
    <cellStyle name="Currency 5 2 2" xfId="1751" xr:uid="{00000000-0005-0000-0000-000091090000}"/>
    <cellStyle name="Currency 5 2 2 2" xfId="1752" xr:uid="{00000000-0005-0000-0000-000092090000}"/>
    <cellStyle name="Currency 5 2 2 2 2" xfId="1753" xr:uid="{00000000-0005-0000-0000-000093090000}"/>
    <cellStyle name="Currency 5 2 2 2 2 2" xfId="1754" xr:uid="{00000000-0005-0000-0000-000094090000}"/>
    <cellStyle name="Currency 5 2 2 2 2 2 2" xfId="46724" xr:uid="{00000000-0005-0000-0000-000095090000}"/>
    <cellStyle name="Currency 5 2 2 2 2 2 3" xfId="46725" xr:uid="{00000000-0005-0000-0000-000096090000}"/>
    <cellStyle name="Currency 5 2 2 2 2 3" xfId="1755" xr:uid="{00000000-0005-0000-0000-000097090000}"/>
    <cellStyle name="Currency 5 2 2 2 2 3 2" xfId="46726" xr:uid="{00000000-0005-0000-0000-000098090000}"/>
    <cellStyle name="Currency 5 2 2 2 2 4" xfId="1756" xr:uid="{00000000-0005-0000-0000-000099090000}"/>
    <cellStyle name="Currency 5 2 2 2 2 5" xfId="1757" xr:uid="{00000000-0005-0000-0000-00009A090000}"/>
    <cellStyle name="Currency 5 2 2 2 2 6" xfId="1758" xr:uid="{00000000-0005-0000-0000-00009B090000}"/>
    <cellStyle name="Currency 5 2 2 2 3" xfId="1759" xr:uid="{00000000-0005-0000-0000-00009C090000}"/>
    <cellStyle name="Currency 5 2 2 2 3 2" xfId="46727" xr:uid="{00000000-0005-0000-0000-00009D090000}"/>
    <cellStyle name="Currency 5 2 2 2 3 3" xfId="46728" xr:uid="{00000000-0005-0000-0000-00009E090000}"/>
    <cellStyle name="Currency 5 2 2 2 4" xfId="1760" xr:uid="{00000000-0005-0000-0000-00009F090000}"/>
    <cellStyle name="Currency 5 2 2 2 4 2" xfId="46729" xr:uid="{00000000-0005-0000-0000-0000A0090000}"/>
    <cellStyle name="Currency 5 2 2 2 5" xfId="1761" xr:uid="{00000000-0005-0000-0000-0000A1090000}"/>
    <cellStyle name="Currency 5 2 2 2 6" xfId="1762" xr:uid="{00000000-0005-0000-0000-0000A2090000}"/>
    <cellStyle name="Currency 5 2 2 2 7" xfId="1763" xr:uid="{00000000-0005-0000-0000-0000A3090000}"/>
    <cellStyle name="Currency 5 2 2 3" xfId="1764" xr:uid="{00000000-0005-0000-0000-0000A4090000}"/>
    <cellStyle name="Currency 5 2 2 3 2" xfId="1765" xr:uid="{00000000-0005-0000-0000-0000A5090000}"/>
    <cellStyle name="Currency 5 2 2 3 2 2" xfId="46730" xr:uid="{00000000-0005-0000-0000-0000A6090000}"/>
    <cellStyle name="Currency 5 2 2 3 2 3" xfId="46731" xr:uid="{00000000-0005-0000-0000-0000A7090000}"/>
    <cellStyle name="Currency 5 2 2 3 3" xfId="1766" xr:uid="{00000000-0005-0000-0000-0000A8090000}"/>
    <cellStyle name="Currency 5 2 2 3 3 2" xfId="46732" xr:uid="{00000000-0005-0000-0000-0000A9090000}"/>
    <cellStyle name="Currency 5 2 2 3 4" xfId="1767" xr:uid="{00000000-0005-0000-0000-0000AA090000}"/>
    <cellStyle name="Currency 5 2 2 3 5" xfId="1768" xr:uid="{00000000-0005-0000-0000-0000AB090000}"/>
    <cellStyle name="Currency 5 2 2 3 6" xfId="1769" xr:uid="{00000000-0005-0000-0000-0000AC090000}"/>
    <cellStyle name="Currency 5 2 2 4" xfId="1770" xr:uid="{00000000-0005-0000-0000-0000AD090000}"/>
    <cellStyle name="Currency 5 2 2 4 2" xfId="46733" xr:uid="{00000000-0005-0000-0000-0000AE090000}"/>
    <cellStyle name="Currency 5 2 2 4 3" xfId="46734" xr:uid="{00000000-0005-0000-0000-0000AF090000}"/>
    <cellStyle name="Currency 5 2 2 5" xfId="1771" xr:uid="{00000000-0005-0000-0000-0000B0090000}"/>
    <cellStyle name="Currency 5 2 2 5 2" xfId="46735" xr:uid="{00000000-0005-0000-0000-0000B1090000}"/>
    <cellStyle name="Currency 5 2 2 6" xfId="1772" xr:uid="{00000000-0005-0000-0000-0000B2090000}"/>
    <cellStyle name="Currency 5 2 2 7" xfId="1773" xr:uid="{00000000-0005-0000-0000-0000B3090000}"/>
    <cellStyle name="Currency 5 2 2 8" xfId="1774" xr:uid="{00000000-0005-0000-0000-0000B4090000}"/>
    <cellStyle name="Currency 5 2 2 9" xfId="1775" xr:uid="{00000000-0005-0000-0000-0000B5090000}"/>
    <cellStyle name="Currency 5 2 3" xfId="1776" xr:uid="{00000000-0005-0000-0000-0000B6090000}"/>
    <cellStyle name="Currency 5 2 3 2" xfId="1777" xr:uid="{00000000-0005-0000-0000-0000B7090000}"/>
    <cellStyle name="Currency 5 2 3 2 2" xfId="1778" xr:uid="{00000000-0005-0000-0000-0000B8090000}"/>
    <cellStyle name="Currency 5 2 3 2 2 2" xfId="1779" xr:uid="{00000000-0005-0000-0000-0000B9090000}"/>
    <cellStyle name="Currency 5 2 3 2 2 2 2" xfId="46736" xr:uid="{00000000-0005-0000-0000-0000BA090000}"/>
    <cellStyle name="Currency 5 2 3 2 2 2 3" xfId="46737" xr:uid="{00000000-0005-0000-0000-0000BB090000}"/>
    <cellStyle name="Currency 5 2 3 2 2 3" xfId="1780" xr:uid="{00000000-0005-0000-0000-0000BC090000}"/>
    <cellStyle name="Currency 5 2 3 2 2 3 2" xfId="46738" xr:uid="{00000000-0005-0000-0000-0000BD090000}"/>
    <cellStyle name="Currency 5 2 3 2 2 4" xfId="1781" xr:uid="{00000000-0005-0000-0000-0000BE090000}"/>
    <cellStyle name="Currency 5 2 3 2 2 5" xfId="1782" xr:uid="{00000000-0005-0000-0000-0000BF090000}"/>
    <cellStyle name="Currency 5 2 3 2 2 6" xfId="1783" xr:uid="{00000000-0005-0000-0000-0000C0090000}"/>
    <cellStyle name="Currency 5 2 3 2 3" xfId="1784" xr:uid="{00000000-0005-0000-0000-0000C1090000}"/>
    <cellStyle name="Currency 5 2 3 2 3 2" xfId="46739" xr:uid="{00000000-0005-0000-0000-0000C2090000}"/>
    <cellStyle name="Currency 5 2 3 2 3 3" xfId="46740" xr:uid="{00000000-0005-0000-0000-0000C3090000}"/>
    <cellStyle name="Currency 5 2 3 2 4" xfId="1785" xr:uid="{00000000-0005-0000-0000-0000C4090000}"/>
    <cellStyle name="Currency 5 2 3 2 4 2" xfId="46741" xr:uid="{00000000-0005-0000-0000-0000C5090000}"/>
    <cellStyle name="Currency 5 2 3 2 5" xfId="1786" xr:uid="{00000000-0005-0000-0000-0000C6090000}"/>
    <cellStyle name="Currency 5 2 3 2 6" xfId="1787" xr:uid="{00000000-0005-0000-0000-0000C7090000}"/>
    <cellStyle name="Currency 5 2 3 2 7" xfId="1788" xr:uid="{00000000-0005-0000-0000-0000C8090000}"/>
    <cellStyle name="Currency 5 2 3 3" xfId="1789" xr:uid="{00000000-0005-0000-0000-0000C9090000}"/>
    <cellStyle name="Currency 5 2 3 3 2" xfId="1790" xr:uid="{00000000-0005-0000-0000-0000CA090000}"/>
    <cellStyle name="Currency 5 2 3 3 2 2" xfId="46742" xr:uid="{00000000-0005-0000-0000-0000CB090000}"/>
    <cellStyle name="Currency 5 2 3 3 2 3" xfId="46743" xr:uid="{00000000-0005-0000-0000-0000CC090000}"/>
    <cellStyle name="Currency 5 2 3 3 3" xfId="1791" xr:uid="{00000000-0005-0000-0000-0000CD090000}"/>
    <cellStyle name="Currency 5 2 3 3 3 2" xfId="46744" xr:uid="{00000000-0005-0000-0000-0000CE090000}"/>
    <cellStyle name="Currency 5 2 3 3 4" xfId="1792" xr:uid="{00000000-0005-0000-0000-0000CF090000}"/>
    <cellStyle name="Currency 5 2 3 3 5" xfId="1793" xr:uid="{00000000-0005-0000-0000-0000D0090000}"/>
    <cellStyle name="Currency 5 2 3 3 6" xfId="1794" xr:uid="{00000000-0005-0000-0000-0000D1090000}"/>
    <cellStyle name="Currency 5 2 3 4" xfId="1795" xr:uid="{00000000-0005-0000-0000-0000D2090000}"/>
    <cellStyle name="Currency 5 2 3 4 2" xfId="46745" xr:uid="{00000000-0005-0000-0000-0000D3090000}"/>
    <cellStyle name="Currency 5 2 3 4 3" xfId="46746" xr:uid="{00000000-0005-0000-0000-0000D4090000}"/>
    <cellStyle name="Currency 5 2 3 5" xfId="1796" xr:uid="{00000000-0005-0000-0000-0000D5090000}"/>
    <cellStyle name="Currency 5 2 3 5 2" xfId="46747" xr:uid="{00000000-0005-0000-0000-0000D6090000}"/>
    <cellStyle name="Currency 5 2 3 6" xfId="1797" xr:uid="{00000000-0005-0000-0000-0000D7090000}"/>
    <cellStyle name="Currency 5 2 3 7" xfId="1798" xr:uid="{00000000-0005-0000-0000-0000D8090000}"/>
    <cellStyle name="Currency 5 2 3 8" xfId="1799" xr:uid="{00000000-0005-0000-0000-0000D9090000}"/>
    <cellStyle name="Currency 5 2 4" xfId="1800" xr:uid="{00000000-0005-0000-0000-0000DA090000}"/>
    <cellStyle name="Currency 5 2 4 2" xfId="1801" xr:uid="{00000000-0005-0000-0000-0000DB090000}"/>
    <cellStyle name="Currency 5 2 4 2 2" xfId="1802" xr:uid="{00000000-0005-0000-0000-0000DC090000}"/>
    <cellStyle name="Currency 5 2 4 2 2 2" xfId="46748" xr:uid="{00000000-0005-0000-0000-0000DD090000}"/>
    <cellStyle name="Currency 5 2 4 2 2 3" xfId="46749" xr:uid="{00000000-0005-0000-0000-0000DE090000}"/>
    <cellStyle name="Currency 5 2 4 2 3" xfId="1803" xr:uid="{00000000-0005-0000-0000-0000DF090000}"/>
    <cellStyle name="Currency 5 2 4 2 3 2" xfId="46750" xr:uid="{00000000-0005-0000-0000-0000E0090000}"/>
    <cellStyle name="Currency 5 2 4 2 4" xfId="1804" xr:uid="{00000000-0005-0000-0000-0000E1090000}"/>
    <cellStyle name="Currency 5 2 4 2 5" xfId="1805" xr:uid="{00000000-0005-0000-0000-0000E2090000}"/>
    <cellStyle name="Currency 5 2 4 2 6" xfId="1806" xr:uid="{00000000-0005-0000-0000-0000E3090000}"/>
    <cellStyle name="Currency 5 2 4 3" xfId="1807" xr:uid="{00000000-0005-0000-0000-0000E4090000}"/>
    <cellStyle name="Currency 5 2 4 3 2" xfId="46751" xr:uid="{00000000-0005-0000-0000-0000E5090000}"/>
    <cellStyle name="Currency 5 2 4 3 3" xfId="46752" xr:uid="{00000000-0005-0000-0000-0000E6090000}"/>
    <cellStyle name="Currency 5 2 4 4" xfId="1808" xr:uid="{00000000-0005-0000-0000-0000E7090000}"/>
    <cellStyle name="Currency 5 2 4 4 2" xfId="46753" xr:uid="{00000000-0005-0000-0000-0000E8090000}"/>
    <cellStyle name="Currency 5 2 4 5" xfId="1809" xr:uid="{00000000-0005-0000-0000-0000E9090000}"/>
    <cellStyle name="Currency 5 2 4 6" xfId="1810" xr:uid="{00000000-0005-0000-0000-0000EA090000}"/>
    <cellStyle name="Currency 5 2 4 7" xfId="1811" xr:uid="{00000000-0005-0000-0000-0000EB090000}"/>
    <cellStyle name="Currency 5 2 5" xfId="1812" xr:uid="{00000000-0005-0000-0000-0000EC090000}"/>
    <cellStyle name="Currency 5 2 5 2" xfId="1813" xr:uid="{00000000-0005-0000-0000-0000ED090000}"/>
    <cellStyle name="Currency 5 2 5 2 2" xfId="46754" xr:uid="{00000000-0005-0000-0000-0000EE090000}"/>
    <cellStyle name="Currency 5 2 5 2 3" xfId="46755" xr:uid="{00000000-0005-0000-0000-0000EF090000}"/>
    <cellStyle name="Currency 5 2 5 3" xfId="1814" xr:uid="{00000000-0005-0000-0000-0000F0090000}"/>
    <cellStyle name="Currency 5 2 5 3 2" xfId="46756" xr:uid="{00000000-0005-0000-0000-0000F1090000}"/>
    <cellStyle name="Currency 5 2 5 4" xfId="1815" xr:uid="{00000000-0005-0000-0000-0000F2090000}"/>
    <cellStyle name="Currency 5 2 5 5" xfId="1816" xr:uid="{00000000-0005-0000-0000-0000F3090000}"/>
    <cellStyle name="Currency 5 2 5 6" xfId="1817" xr:uid="{00000000-0005-0000-0000-0000F4090000}"/>
    <cellStyle name="Currency 5 2 6" xfId="1818" xr:uid="{00000000-0005-0000-0000-0000F5090000}"/>
    <cellStyle name="Currency 5 2 6 2" xfId="46757" xr:uid="{00000000-0005-0000-0000-0000F6090000}"/>
    <cellStyle name="Currency 5 2 6 3" xfId="46758" xr:uid="{00000000-0005-0000-0000-0000F7090000}"/>
    <cellStyle name="Currency 5 2 7" xfId="1819" xr:uid="{00000000-0005-0000-0000-0000F8090000}"/>
    <cellStyle name="Currency 5 2 7 2" xfId="46759" xr:uid="{00000000-0005-0000-0000-0000F9090000}"/>
    <cellStyle name="Currency 5 2 8" xfId="1820" xr:uid="{00000000-0005-0000-0000-0000FA090000}"/>
    <cellStyle name="Currency 5 2 9" xfId="1821" xr:uid="{00000000-0005-0000-0000-0000FB090000}"/>
    <cellStyle name="Currency 5 3" xfId="1822" xr:uid="{00000000-0005-0000-0000-0000FC090000}"/>
    <cellStyle name="Currency 5 3 10" xfId="1823" xr:uid="{00000000-0005-0000-0000-0000FD090000}"/>
    <cellStyle name="Currency 5 3 11" xfId="1824" xr:uid="{00000000-0005-0000-0000-0000FE090000}"/>
    <cellStyle name="Currency 5 3 12" xfId="1825" xr:uid="{00000000-0005-0000-0000-0000FF090000}"/>
    <cellStyle name="Currency 5 3 13" xfId="1826" xr:uid="{00000000-0005-0000-0000-0000000A0000}"/>
    <cellStyle name="Currency 5 3 14" xfId="1827" xr:uid="{00000000-0005-0000-0000-0000010A0000}"/>
    <cellStyle name="Currency 5 3 2" xfId="1828" xr:uid="{00000000-0005-0000-0000-0000020A0000}"/>
    <cellStyle name="Currency 5 3 2 2" xfId="1829" xr:uid="{00000000-0005-0000-0000-0000030A0000}"/>
    <cellStyle name="Currency 5 3 2 2 2" xfId="1830" xr:uid="{00000000-0005-0000-0000-0000040A0000}"/>
    <cellStyle name="Currency 5 3 2 2 2 2" xfId="1831" xr:uid="{00000000-0005-0000-0000-0000050A0000}"/>
    <cellStyle name="Currency 5 3 2 2 2 2 2" xfId="46760" xr:uid="{00000000-0005-0000-0000-0000060A0000}"/>
    <cellStyle name="Currency 5 3 2 2 2 2 3" xfId="46761" xr:uid="{00000000-0005-0000-0000-0000070A0000}"/>
    <cellStyle name="Currency 5 3 2 2 2 3" xfId="1832" xr:uid="{00000000-0005-0000-0000-0000080A0000}"/>
    <cellStyle name="Currency 5 3 2 2 2 3 2" xfId="46762" xr:uid="{00000000-0005-0000-0000-0000090A0000}"/>
    <cellStyle name="Currency 5 3 2 2 2 4" xfId="1833" xr:uid="{00000000-0005-0000-0000-00000A0A0000}"/>
    <cellStyle name="Currency 5 3 2 2 2 5" xfId="1834" xr:uid="{00000000-0005-0000-0000-00000B0A0000}"/>
    <cellStyle name="Currency 5 3 2 2 2 6" xfId="1835" xr:uid="{00000000-0005-0000-0000-00000C0A0000}"/>
    <cellStyle name="Currency 5 3 2 2 3" xfId="1836" xr:uid="{00000000-0005-0000-0000-00000D0A0000}"/>
    <cellStyle name="Currency 5 3 2 2 3 2" xfId="46763" xr:uid="{00000000-0005-0000-0000-00000E0A0000}"/>
    <cellStyle name="Currency 5 3 2 2 3 3" xfId="46764" xr:uid="{00000000-0005-0000-0000-00000F0A0000}"/>
    <cellStyle name="Currency 5 3 2 2 4" xfId="1837" xr:uid="{00000000-0005-0000-0000-0000100A0000}"/>
    <cellStyle name="Currency 5 3 2 2 4 2" xfId="46765" xr:uid="{00000000-0005-0000-0000-0000110A0000}"/>
    <cellStyle name="Currency 5 3 2 2 5" xfId="1838" xr:uid="{00000000-0005-0000-0000-0000120A0000}"/>
    <cellStyle name="Currency 5 3 2 2 6" xfId="1839" xr:uid="{00000000-0005-0000-0000-0000130A0000}"/>
    <cellStyle name="Currency 5 3 2 2 7" xfId="1840" xr:uid="{00000000-0005-0000-0000-0000140A0000}"/>
    <cellStyle name="Currency 5 3 2 3" xfId="1841" xr:uid="{00000000-0005-0000-0000-0000150A0000}"/>
    <cellStyle name="Currency 5 3 2 3 2" xfId="1842" xr:uid="{00000000-0005-0000-0000-0000160A0000}"/>
    <cellStyle name="Currency 5 3 2 3 2 2" xfId="46766" xr:uid="{00000000-0005-0000-0000-0000170A0000}"/>
    <cellStyle name="Currency 5 3 2 3 2 3" xfId="46767" xr:uid="{00000000-0005-0000-0000-0000180A0000}"/>
    <cellStyle name="Currency 5 3 2 3 3" xfId="1843" xr:uid="{00000000-0005-0000-0000-0000190A0000}"/>
    <cellStyle name="Currency 5 3 2 3 3 2" xfId="46768" xr:uid="{00000000-0005-0000-0000-00001A0A0000}"/>
    <cellStyle name="Currency 5 3 2 3 4" xfId="1844" xr:uid="{00000000-0005-0000-0000-00001B0A0000}"/>
    <cellStyle name="Currency 5 3 2 3 5" xfId="1845" xr:uid="{00000000-0005-0000-0000-00001C0A0000}"/>
    <cellStyle name="Currency 5 3 2 3 6" xfId="1846" xr:uid="{00000000-0005-0000-0000-00001D0A0000}"/>
    <cellStyle name="Currency 5 3 2 4" xfId="1847" xr:uid="{00000000-0005-0000-0000-00001E0A0000}"/>
    <cellStyle name="Currency 5 3 2 4 2" xfId="46769" xr:uid="{00000000-0005-0000-0000-00001F0A0000}"/>
    <cellStyle name="Currency 5 3 2 4 3" xfId="46770" xr:uid="{00000000-0005-0000-0000-0000200A0000}"/>
    <cellStyle name="Currency 5 3 2 5" xfId="1848" xr:uid="{00000000-0005-0000-0000-0000210A0000}"/>
    <cellStyle name="Currency 5 3 2 5 2" xfId="46771" xr:uid="{00000000-0005-0000-0000-0000220A0000}"/>
    <cellStyle name="Currency 5 3 2 6" xfId="1849" xr:uid="{00000000-0005-0000-0000-0000230A0000}"/>
    <cellStyle name="Currency 5 3 2 7" xfId="1850" xr:uid="{00000000-0005-0000-0000-0000240A0000}"/>
    <cellStyle name="Currency 5 3 2 8" xfId="1851" xr:uid="{00000000-0005-0000-0000-0000250A0000}"/>
    <cellStyle name="Currency 5 3 2 9" xfId="1852" xr:uid="{00000000-0005-0000-0000-0000260A0000}"/>
    <cellStyle name="Currency 5 3 3" xfId="1853" xr:uid="{00000000-0005-0000-0000-0000270A0000}"/>
    <cellStyle name="Currency 5 3 3 2" xfId="1854" xr:uid="{00000000-0005-0000-0000-0000280A0000}"/>
    <cellStyle name="Currency 5 3 3 2 2" xfId="1855" xr:uid="{00000000-0005-0000-0000-0000290A0000}"/>
    <cellStyle name="Currency 5 3 3 2 2 2" xfId="1856" xr:uid="{00000000-0005-0000-0000-00002A0A0000}"/>
    <cellStyle name="Currency 5 3 3 2 2 2 2" xfId="46772" xr:uid="{00000000-0005-0000-0000-00002B0A0000}"/>
    <cellStyle name="Currency 5 3 3 2 2 2 3" xfId="46773" xr:uid="{00000000-0005-0000-0000-00002C0A0000}"/>
    <cellStyle name="Currency 5 3 3 2 2 3" xfId="1857" xr:uid="{00000000-0005-0000-0000-00002D0A0000}"/>
    <cellStyle name="Currency 5 3 3 2 2 3 2" xfId="46774" xr:uid="{00000000-0005-0000-0000-00002E0A0000}"/>
    <cellStyle name="Currency 5 3 3 2 2 4" xfId="1858" xr:uid="{00000000-0005-0000-0000-00002F0A0000}"/>
    <cellStyle name="Currency 5 3 3 2 2 5" xfId="1859" xr:uid="{00000000-0005-0000-0000-0000300A0000}"/>
    <cellStyle name="Currency 5 3 3 2 2 6" xfId="1860" xr:uid="{00000000-0005-0000-0000-0000310A0000}"/>
    <cellStyle name="Currency 5 3 3 2 3" xfId="1861" xr:uid="{00000000-0005-0000-0000-0000320A0000}"/>
    <cellStyle name="Currency 5 3 3 2 3 2" xfId="46775" xr:uid="{00000000-0005-0000-0000-0000330A0000}"/>
    <cellStyle name="Currency 5 3 3 2 3 3" xfId="46776" xr:uid="{00000000-0005-0000-0000-0000340A0000}"/>
    <cellStyle name="Currency 5 3 3 2 4" xfId="1862" xr:uid="{00000000-0005-0000-0000-0000350A0000}"/>
    <cellStyle name="Currency 5 3 3 2 4 2" xfId="46777" xr:uid="{00000000-0005-0000-0000-0000360A0000}"/>
    <cellStyle name="Currency 5 3 3 2 5" xfId="1863" xr:uid="{00000000-0005-0000-0000-0000370A0000}"/>
    <cellStyle name="Currency 5 3 3 2 6" xfId="1864" xr:uid="{00000000-0005-0000-0000-0000380A0000}"/>
    <cellStyle name="Currency 5 3 3 2 7" xfId="1865" xr:uid="{00000000-0005-0000-0000-0000390A0000}"/>
    <cellStyle name="Currency 5 3 3 3" xfId="1866" xr:uid="{00000000-0005-0000-0000-00003A0A0000}"/>
    <cellStyle name="Currency 5 3 3 3 2" xfId="1867" xr:uid="{00000000-0005-0000-0000-00003B0A0000}"/>
    <cellStyle name="Currency 5 3 3 3 2 2" xfId="46778" xr:uid="{00000000-0005-0000-0000-00003C0A0000}"/>
    <cellStyle name="Currency 5 3 3 3 2 3" xfId="46779" xr:uid="{00000000-0005-0000-0000-00003D0A0000}"/>
    <cellStyle name="Currency 5 3 3 3 3" xfId="1868" xr:uid="{00000000-0005-0000-0000-00003E0A0000}"/>
    <cellStyle name="Currency 5 3 3 3 3 2" xfId="46780" xr:uid="{00000000-0005-0000-0000-00003F0A0000}"/>
    <cellStyle name="Currency 5 3 3 3 4" xfId="1869" xr:uid="{00000000-0005-0000-0000-0000400A0000}"/>
    <cellStyle name="Currency 5 3 3 3 5" xfId="1870" xr:uid="{00000000-0005-0000-0000-0000410A0000}"/>
    <cellStyle name="Currency 5 3 3 3 6" xfId="1871" xr:uid="{00000000-0005-0000-0000-0000420A0000}"/>
    <cellStyle name="Currency 5 3 3 4" xfId="1872" xr:uid="{00000000-0005-0000-0000-0000430A0000}"/>
    <cellStyle name="Currency 5 3 3 4 2" xfId="46781" xr:uid="{00000000-0005-0000-0000-0000440A0000}"/>
    <cellStyle name="Currency 5 3 3 4 3" xfId="46782" xr:uid="{00000000-0005-0000-0000-0000450A0000}"/>
    <cellStyle name="Currency 5 3 3 5" xfId="1873" xr:uid="{00000000-0005-0000-0000-0000460A0000}"/>
    <cellStyle name="Currency 5 3 3 5 2" xfId="46783" xr:uid="{00000000-0005-0000-0000-0000470A0000}"/>
    <cellStyle name="Currency 5 3 3 6" xfId="1874" xr:uid="{00000000-0005-0000-0000-0000480A0000}"/>
    <cellStyle name="Currency 5 3 3 7" xfId="1875" xr:uid="{00000000-0005-0000-0000-0000490A0000}"/>
    <cellStyle name="Currency 5 3 3 8" xfId="1876" xr:uid="{00000000-0005-0000-0000-00004A0A0000}"/>
    <cellStyle name="Currency 5 3 4" xfId="1877" xr:uid="{00000000-0005-0000-0000-00004B0A0000}"/>
    <cellStyle name="Currency 5 3 4 2" xfId="1878" xr:uid="{00000000-0005-0000-0000-00004C0A0000}"/>
    <cellStyle name="Currency 5 3 4 2 2" xfId="1879" xr:uid="{00000000-0005-0000-0000-00004D0A0000}"/>
    <cellStyle name="Currency 5 3 4 2 2 2" xfId="46784" xr:uid="{00000000-0005-0000-0000-00004E0A0000}"/>
    <cellStyle name="Currency 5 3 4 2 2 3" xfId="46785" xr:uid="{00000000-0005-0000-0000-00004F0A0000}"/>
    <cellStyle name="Currency 5 3 4 2 3" xfId="1880" xr:uid="{00000000-0005-0000-0000-0000500A0000}"/>
    <cellStyle name="Currency 5 3 4 2 3 2" xfId="46786" xr:uid="{00000000-0005-0000-0000-0000510A0000}"/>
    <cellStyle name="Currency 5 3 4 2 4" xfId="1881" xr:uid="{00000000-0005-0000-0000-0000520A0000}"/>
    <cellStyle name="Currency 5 3 4 2 5" xfId="1882" xr:uid="{00000000-0005-0000-0000-0000530A0000}"/>
    <cellStyle name="Currency 5 3 4 2 6" xfId="1883" xr:uid="{00000000-0005-0000-0000-0000540A0000}"/>
    <cellStyle name="Currency 5 3 4 3" xfId="1884" xr:uid="{00000000-0005-0000-0000-0000550A0000}"/>
    <cellStyle name="Currency 5 3 4 3 2" xfId="46787" xr:uid="{00000000-0005-0000-0000-0000560A0000}"/>
    <cellStyle name="Currency 5 3 4 3 3" xfId="46788" xr:uid="{00000000-0005-0000-0000-0000570A0000}"/>
    <cellStyle name="Currency 5 3 4 4" xfId="1885" xr:uid="{00000000-0005-0000-0000-0000580A0000}"/>
    <cellStyle name="Currency 5 3 4 4 2" xfId="46789" xr:uid="{00000000-0005-0000-0000-0000590A0000}"/>
    <cellStyle name="Currency 5 3 4 5" xfId="1886" xr:uid="{00000000-0005-0000-0000-00005A0A0000}"/>
    <cellStyle name="Currency 5 3 4 6" xfId="1887" xr:uid="{00000000-0005-0000-0000-00005B0A0000}"/>
    <cellStyle name="Currency 5 3 4 7" xfId="1888" xr:uid="{00000000-0005-0000-0000-00005C0A0000}"/>
    <cellStyle name="Currency 5 3 5" xfId="1889" xr:uid="{00000000-0005-0000-0000-00005D0A0000}"/>
    <cellStyle name="Currency 5 3 5 2" xfId="1890" xr:uid="{00000000-0005-0000-0000-00005E0A0000}"/>
    <cellStyle name="Currency 5 3 5 2 2" xfId="46790" xr:uid="{00000000-0005-0000-0000-00005F0A0000}"/>
    <cellStyle name="Currency 5 3 5 2 3" xfId="46791" xr:uid="{00000000-0005-0000-0000-0000600A0000}"/>
    <cellStyle name="Currency 5 3 5 3" xfId="1891" xr:uid="{00000000-0005-0000-0000-0000610A0000}"/>
    <cellStyle name="Currency 5 3 5 3 2" xfId="46792" xr:uid="{00000000-0005-0000-0000-0000620A0000}"/>
    <cellStyle name="Currency 5 3 5 4" xfId="1892" xr:uid="{00000000-0005-0000-0000-0000630A0000}"/>
    <cellStyle name="Currency 5 3 5 5" xfId="1893" xr:uid="{00000000-0005-0000-0000-0000640A0000}"/>
    <cellStyle name="Currency 5 3 5 6" xfId="1894" xr:uid="{00000000-0005-0000-0000-0000650A0000}"/>
    <cellStyle name="Currency 5 3 6" xfId="1895" xr:uid="{00000000-0005-0000-0000-0000660A0000}"/>
    <cellStyle name="Currency 5 3 6 2" xfId="46793" xr:uid="{00000000-0005-0000-0000-0000670A0000}"/>
    <cellStyle name="Currency 5 3 6 3" xfId="46794" xr:uid="{00000000-0005-0000-0000-0000680A0000}"/>
    <cellStyle name="Currency 5 3 7" xfId="1896" xr:uid="{00000000-0005-0000-0000-0000690A0000}"/>
    <cellStyle name="Currency 5 3 7 2" xfId="46795" xr:uid="{00000000-0005-0000-0000-00006A0A0000}"/>
    <cellStyle name="Currency 5 3 8" xfId="1897" xr:uid="{00000000-0005-0000-0000-00006B0A0000}"/>
    <cellStyle name="Currency 5 3 9" xfId="1898" xr:uid="{00000000-0005-0000-0000-00006C0A0000}"/>
    <cellStyle name="Currency 5 4" xfId="1899" xr:uid="{00000000-0005-0000-0000-00006D0A0000}"/>
    <cellStyle name="Currency 5 4 10" xfId="1900" xr:uid="{00000000-0005-0000-0000-00006E0A0000}"/>
    <cellStyle name="Currency 5 4 11" xfId="1901" xr:uid="{00000000-0005-0000-0000-00006F0A0000}"/>
    <cellStyle name="Currency 5 4 12" xfId="1902" xr:uid="{00000000-0005-0000-0000-0000700A0000}"/>
    <cellStyle name="Currency 5 4 13" xfId="1903" xr:uid="{00000000-0005-0000-0000-0000710A0000}"/>
    <cellStyle name="Currency 5 4 2" xfId="1904" xr:uid="{00000000-0005-0000-0000-0000720A0000}"/>
    <cellStyle name="Currency 5 4 2 2" xfId="1905" xr:uid="{00000000-0005-0000-0000-0000730A0000}"/>
    <cellStyle name="Currency 5 4 2 2 2" xfId="1906" xr:uid="{00000000-0005-0000-0000-0000740A0000}"/>
    <cellStyle name="Currency 5 4 2 2 2 2" xfId="1907" xr:uid="{00000000-0005-0000-0000-0000750A0000}"/>
    <cellStyle name="Currency 5 4 2 2 2 2 2" xfId="46796" xr:uid="{00000000-0005-0000-0000-0000760A0000}"/>
    <cellStyle name="Currency 5 4 2 2 2 2 3" xfId="46797" xr:uid="{00000000-0005-0000-0000-0000770A0000}"/>
    <cellStyle name="Currency 5 4 2 2 2 3" xfId="1908" xr:uid="{00000000-0005-0000-0000-0000780A0000}"/>
    <cellStyle name="Currency 5 4 2 2 2 3 2" xfId="46798" xr:uid="{00000000-0005-0000-0000-0000790A0000}"/>
    <cellStyle name="Currency 5 4 2 2 2 4" xfId="1909" xr:uid="{00000000-0005-0000-0000-00007A0A0000}"/>
    <cellStyle name="Currency 5 4 2 2 2 5" xfId="1910" xr:uid="{00000000-0005-0000-0000-00007B0A0000}"/>
    <cellStyle name="Currency 5 4 2 2 2 6" xfId="1911" xr:uid="{00000000-0005-0000-0000-00007C0A0000}"/>
    <cellStyle name="Currency 5 4 2 2 3" xfId="1912" xr:uid="{00000000-0005-0000-0000-00007D0A0000}"/>
    <cellStyle name="Currency 5 4 2 2 3 2" xfId="46799" xr:uid="{00000000-0005-0000-0000-00007E0A0000}"/>
    <cellStyle name="Currency 5 4 2 2 3 3" xfId="46800" xr:uid="{00000000-0005-0000-0000-00007F0A0000}"/>
    <cellStyle name="Currency 5 4 2 2 4" xfId="1913" xr:uid="{00000000-0005-0000-0000-0000800A0000}"/>
    <cellStyle name="Currency 5 4 2 2 4 2" xfId="46801" xr:uid="{00000000-0005-0000-0000-0000810A0000}"/>
    <cellStyle name="Currency 5 4 2 2 5" xfId="1914" xr:uid="{00000000-0005-0000-0000-0000820A0000}"/>
    <cellStyle name="Currency 5 4 2 2 6" xfId="1915" xr:uid="{00000000-0005-0000-0000-0000830A0000}"/>
    <cellStyle name="Currency 5 4 2 2 7" xfId="1916" xr:uid="{00000000-0005-0000-0000-0000840A0000}"/>
    <cellStyle name="Currency 5 4 2 3" xfId="1917" xr:uid="{00000000-0005-0000-0000-0000850A0000}"/>
    <cellStyle name="Currency 5 4 2 3 2" xfId="1918" xr:uid="{00000000-0005-0000-0000-0000860A0000}"/>
    <cellStyle name="Currency 5 4 2 3 2 2" xfId="46802" xr:uid="{00000000-0005-0000-0000-0000870A0000}"/>
    <cellStyle name="Currency 5 4 2 3 2 3" xfId="46803" xr:uid="{00000000-0005-0000-0000-0000880A0000}"/>
    <cellStyle name="Currency 5 4 2 3 3" xfId="1919" xr:uid="{00000000-0005-0000-0000-0000890A0000}"/>
    <cellStyle name="Currency 5 4 2 3 3 2" xfId="46804" xr:uid="{00000000-0005-0000-0000-00008A0A0000}"/>
    <cellStyle name="Currency 5 4 2 3 4" xfId="1920" xr:uid="{00000000-0005-0000-0000-00008B0A0000}"/>
    <cellStyle name="Currency 5 4 2 3 5" xfId="1921" xr:uid="{00000000-0005-0000-0000-00008C0A0000}"/>
    <cellStyle name="Currency 5 4 2 3 6" xfId="1922" xr:uid="{00000000-0005-0000-0000-00008D0A0000}"/>
    <cellStyle name="Currency 5 4 2 4" xfId="1923" xr:uid="{00000000-0005-0000-0000-00008E0A0000}"/>
    <cellStyle name="Currency 5 4 2 4 2" xfId="46805" xr:uid="{00000000-0005-0000-0000-00008F0A0000}"/>
    <cellStyle name="Currency 5 4 2 4 3" xfId="46806" xr:uid="{00000000-0005-0000-0000-0000900A0000}"/>
    <cellStyle name="Currency 5 4 2 5" xfId="1924" xr:uid="{00000000-0005-0000-0000-0000910A0000}"/>
    <cellStyle name="Currency 5 4 2 5 2" xfId="46807" xr:uid="{00000000-0005-0000-0000-0000920A0000}"/>
    <cellStyle name="Currency 5 4 2 6" xfId="1925" xr:uid="{00000000-0005-0000-0000-0000930A0000}"/>
    <cellStyle name="Currency 5 4 2 7" xfId="1926" xr:uid="{00000000-0005-0000-0000-0000940A0000}"/>
    <cellStyle name="Currency 5 4 2 8" xfId="1927" xr:uid="{00000000-0005-0000-0000-0000950A0000}"/>
    <cellStyle name="Currency 5 4 2 9" xfId="1928" xr:uid="{00000000-0005-0000-0000-0000960A0000}"/>
    <cellStyle name="Currency 5 4 3" xfId="1929" xr:uid="{00000000-0005-0000-0000-0000970A0000}"/>
    <cellStyle name="Currency 5 4 3 2" xfId="1930" xr:uid="{00000000-0005-0000-0000-0000980A0000}"/>
    <cellStyle name="Currency 5 4 3 2 2" xfId="1931" xr:uid="{00000000-0005-0000-0000-0000990A0000}"/>
    <cellStyle name="Currency 5 4 3 2 2 2" xfId="46808" xr:uid="{00000000-0005-0000-0000-00009A0A0000}"/>
    <cellStyle name="Currency 5 4 3 2 2 3" xfId="46809" xr:uid="{00000000-0005-0000-0000-00009B0A0000}"/>
    <cellStyle name="Currency 5 4 3 2 3" xfId="1932" xr:uid="{00000000-0005-0000-0000-00009C0A0000}"/>
    <cellStyle name="Currency 5 4 3 2 3 2" xfId="46810" xr:uid="{00000000-0005-0000-0000-00009D0A0000}"/>
    <cellStyle name="Currency 5 4 3 2 4" xfId="1933" xr:uid="{00000000-0005-0000-0000-00009E0A0000}"/>
    <cellStyle name="Currency 5 4 3 2 5" xfId="1934" xr:uid="{00000000-0005-0000-0000-00009F0A0000}"/>
    <cellStyle name="Currency 5 4 3 2 6" xfId="1935" xr:uid="{00000000-0005-0000-0000-0000A00A0000}"/>
    <cellStyle name="Currency 5 4 3 3" xfId="1936" xr:uid="{00000000-0005-0000-0000-0000A10A0000}"/>
    <cellStyle name="Currency 5 4 3 3 2" xfId="46811" xr:uid="{00000000-0005-0000-0000-0000A20A0000}"/>
    <cellStyle name="Currency 5 4 3 3 3" xfId="46812" xr:uid="{00000000-0005-0000-0000-0000A30A0000}"/>
    <cellStyle name="Currency 5 4 3 4" xfId="1937" xr:uid="{00000000-0005-0000-0000-0000A40A0000}"/>
    <cellStyle name="Currency 5 4 3 4 2" xfId="46813" xr:uid="{00000000-0005-0000-0000-0000A50A0000}"/>
    <cellStyle name="Currency 5 4 3 5" xfId="1938" xr:uid="{00000000-0005-0000-0000-0000A60A0000}"/>
    <cellStyle name="Currency 5 4 3 6" xfId="1939" xr:uid="{00000000-0005-0000-0000-0000A70A0000}"/>
    <cellStyle name="Currency 5 4 3 7" xfId="1940" xr:uid="{00000000-0005-0000-0000-0000A80A0000}"/>
    <cellStyle name="Currency 5 4 4" xfId="1941" xr:uid="{00000000-0005-0000-0000-0000A90A0000}"/>
    <cellStyle name="Currency 5 4 4 2" xfId="1942" xr:uid="{00000000-0005-0000-0000-0000AA0A0000}"/>
    <cellStyle name="Currency 5 4 4 2 2" xfId="46814" xr:uid="{00000000-0005-0000-0000-0000AB0A0000}"/>
    <cellStyle name="Currency 5 4 4 2 3" xfId="46815" xr:uid="{00000000-0005-0000-0000-0000AC0A0000}"/>
    <cellStyle name="Currency 5 4 4 3" xfId="1943" xr:uid="{00000000-0005-0000-0000-0000AD0A0000}"/>
    <cellStyle name="Currency 5 4 4 3 2" xfId="46816" xr:uid="{00000000-0005-0000-0000-0000AE0A0000}"/>
    <cellStyle name="Currency 5 4 4 4" xfId="1944" xr:uid="{00000000-0005-0000-0000-0000AF0A0000}"/>
    <cellStyle name="Currency 5 4 4 5" xfId="1945" xr:uid="{00000000-0005-0000-0000-0000B00A0000}"/>
    <cellStyle name="Currency 5 4 4 6" xfId="1946" xr:uid="{00000000-0005-0000-0000-0000B10A0000}"/>
    <cellStyle name="Currency 5 4 5" xfId="1947" xr:uid="{00000000-0005-0000-0000-0000B20A0000}"/>
    <cellStyle name="Currency 5 4 5 2" xfId="46817" xr:uid="{00000000-0005-0000-0000-0000B30A0000}"/>
    <cellStyle name="Currency 5 4 5 3" xfId="46818" xr:uid="{00000000-0005-0000-0000-0000B40A0000}"/>
    <cellStyle name="Currency 5 4 6" xfId="1948" xr:uid="{00000000-0005-0000-0000-0000B50A0000}"/>
    <cellStyle name="Currency 5 4 6 2" xfId="46819" xr:uid="{00000000-0005-0000-0000-0000B60A0000}"/>
    <cellStyle name="Currency 5 4 7" xfId="1949" xr:uid="{00000000-0005-0000-0000-0000B70A0000}"/>
    <cellStyle name="Currency 5 4 8" xfId="1950" xr:uid="{00000000-0005-0000-0000-0000B80A0000}"/>
    <cellStyle name="Currency 5 4 9" xfId="1951" xr:uid="{00000000-0005-0000-0000-0000B90A0000}"/>
    <cellStyle name="Currency 5 5" xfId="1952" xr:uid="{00000000-0005-0000-0000-0000BA0A0000}"/>
    <cellStyle name="Currency 5 5 2" xfId="1953" xr:uid="{00000000-0005-0000-0000-0000BB0A0000}"/>
    <cellStyle name="Currency 5 5 2 2" xfId="1954" xr:uid="{00000000-0005-0000-0000-0000BC0A0000}"/>
    <cellStyle name="Currency 5 5 2 2 2" xfId="1955" xr:uid="{00000000-0005-0000-0000-0000BD0A0000}"/>
    <cellStyle name="Currency 5 5 2 2 2 2" xfId="46820" xr:uid="{00000000-0005-0000-0000-0000BE0A0000}"/>
    <cellStyle name="Currency 5 5 2 2 2 3" xfId="46821" xr:uid="{00000000-0005-0000-0000-0000BF0A0000}"/>
    <cellStyle name="Currency 5 5 2 2 3" xfId="1956" xr:uid="{00000000-0005-0000-0000-0000C00A0000}"/>
    <cellStyle name="Currency 5 5 2 2 3 2" xfId="46822" xr:uid="{00000000-0005-0000-0000-0000C10A0000}"/>
    <cellStyle name="Currency 5 5 2 2 4" xfId="1957" xr:uid="{00000000-0005-0000-0000-0000C20A0000}"/>
    <cellStyle name="Currency 5 5 2 2 5" xfId="1958" xr:uid="{00000000-0005-0000-0000-0000C30A0000}"/>
    <cellStyle name="Currency 5 5 2 2 6" xfId="1959" xr:uid="{00000000-0005-0000-0000-0000C40A0000}"/>
    <cellStyle name="Currency 5 5 2 3" xfId="1960" xr:uid="{00000000-0005-0000-0000-0000C50A0000}"/>
    <cellStyle name="Currency 5 5 2 3 2" xfId="46823" xr:uid="{00000000-0005-0000-0000-0000C60A0000}"/>
    <cellStyle name="Currency 5 5 2 3 3" xfId="46824" xr:uid="{00000000-0005-0000-0000-0000C70A0000}"/>
    <cellStyle name="Currency 5 5 2 4" xfId="1961" xr:uid="{00000000-0005-0000-0000-0000C80A0000}"/>
    <cellStyle name="Currency 5 5 2 4 2" xfId="46825" xr:uid="{00000000-0005-0000-0000-0000C90A0000}"/>
    <cellStyle name="Currency 5 5 2 5" xfId="1962" xr:uid="{00000000-0005-0000-0000-0000CA0A0000}"/>
    <cellStyle name="Currency 5 5 2 6" xfId="1963" xr:uid="{00000000-0005-0000-0000-0000CB0A0000}"/>
    <cellStyle name="Currency 5 5 2 7" xfId="1964" xr:uid="{00000000-0005-0000-0000-0000CC0A0000}"/>
    <cellStyle name="Currency 5 5 3" xfId="1965" xr:uid="{00000000-0005-0000-0000-0000CD0A0000}"/>
    <cellStyle name="Currency 5 5 3 2" xfId="1966" xr:uid="{00000000-0005-0000-0000-0000CE0A0000}"/>
    <cellStyle name="Currency 5 5 3 2 2" xfId="46826" xr:uid="{00000000-0005-0000-0000-0000CF0A0000}"/>
    <cellStyle name="Currency 5 5 3 2 3" xfId="46827" xr:uid="{00000000-0005-0000-0000-0000D00A0000}"/>
    <cellStyle name="Currency 5 5 3 3" xfId="1967" xr:uid="{00000000-0005-0000-0000-0000D10A0000}"/>
    <cellStyle name="Currency 5 5 3 3 2" xfId="46828" xr:uid="{00000000-0005-0000-0000-0000D20A0000}"/>
    <cellStyle name="Currency 5 5 3 4" xfId="1968" xr:uid="{00000000-0005-0000-0000-0000D30A0000}"/>
    <cellStyle name="Currency 5 5 3 5" xfId="1969" xr:uid="{00000000-0005-0000-0000-0000D40A0000}"/>
    <cellStyle name="Currency 5 5 3 6" xfId="1970" xr:uid="{00000000-0005-0000-0000-0000D50A0000}"/>
    <cellStyle name="Currency 5 5 4" xfId="1971" xr:uid="{00000000-0005-0000-0000-0000D60A0000}"/>
    <cellStyle name="Currency 5 5 4 2" xfId="46829" xr:uid="{00000000-0005-0000-0000-0000D70A0000}"/>
    <cellStyle name="Currency 5 5 4 3" xfId="46830" xr:uid="{00000000-0005-0000-0000-0000D80A0000}"/>
    <cellStyle name="Currency 5 5 5" xfId="1972" xr:uid="{00000000-0005-0000-0000-0000D90A0000}"/>
    <cellStyle name="Currency 5 5 5 2" xfId="46831" xr:uid="{00000000-0005-0000-0000-0000DA0A0000}"/>
    <cellStyle name="Currency 5 5 6" xfId="1973" xr:uid="{00000000-0005-0000-0000-0000DB0A0000}"/>
    <cellStyle name="Currency 5 5 7" xfId="1974" xr:uid="{00000000-0005-0000-0000-0000DC0A0000}"/>
    <cellStyle name="Currency 5 5 8" xfId="1975" xr:uid="{00000000-0005-0000-0000-0000DD0A0000}"/>
    <cellStyle name="Currency 5 5 9" xfId="1976" xr:uid="{00000000-0005-0000-0000-0000DE0A0000}"/>
    <cellStyle name="Currency 5 6" xfId="1977" xr:uid="{00000000-0005-0000-0000-0000DF0A0000}"/>
    <cellStyle name="Currency 5 6 2" xfId="1978" xr:uid="{00000000-0005-0000-0000-0000E00A0000}"/>
    <cellStyle name="Currency 5 6 2 2" xfId="1979" xr:uid="{00000000-0005-0000-0000-0000E10A0000}"/>
    <cellStyle name="Currency 5 6 2 2 2" xfId="1980" xr:uid="{00000000-0005-0000-0000-0000E20A0000}"/>
    <cellStyle name="Currency 5 6 2 2 2 2" xfId="46832" xr:uid="{00000000-0005-0000-0000-0000E30A0000}"/>
    <cellStyle name="Currency 5 6 2 2 2 3" xfId="46833" xr:uid="{00000000-0005-0000-0000-0000E40A0000}"/>
    <cellStyle name="Currency 5 6 2 2 3" xfId="1981" xr:uid="{00000000-0005-0000-0000-0000E50A0000}"/>
    <cellStyle name="Currency 5 6 2 2 3 2" xfId="46834" xr:uid="{00000000-0005-0000-0000-0000E60A0000}"/>
    <cellStyle name="Currency 5 6 2 2 4" xfId="1982" xr:uid="{00000000-0005-0000-0000-0000E70A0000}"/>
    <cellStyle name="Currency 5 6 2 2 5" xfId="1983" xr:uid="{00000000-0005-0000-0000-0000E80A0000}"/>
    <cellStyle name="Currency 5 6 2 2 6" xfId="1984" xr:uid="{00000000-0005-0000-0000-0000E90A0000}"/>
    <cellStyle name="Currency 5 6 2 3" xfId="1985" xr:uid="{00000000-0005-0000-0000-0000EA0A0000}"/>
    <cellStyle name="Currency 5 6 2 3 2" xfId="46835" xr:uid="{00000000-0005-0000-0000-0000EB0A0000}"/>
    <cellStyle name="Currency 5 6 2 3 3" xfId="46836" xr:uid="{00000000-0005-0000-0000-0000EC0A0000}"/>
    <cellStyle name="Currency 5 6 2 4" xfId="1986" xr:uid="{00000000-0005-0000-0000-0000ED0A0000}"/>
    <cellStyle name="Currency 5 6 2 4 2" xfId="46837" xr:uid="{00000000-0005-0000-0000-0000EE0A0000}"/>
    <cellStyle name="Currency 5 6 2 5" xfId="1987" xr:uid="{00000000-0005-0000-0000-0000EF0A0000}"/>
    <cellStyle name="Currency 5 6 2 6" xfId="1988" xr:uid="{00000000-0005-0000-0000-0000F00A0000}"/>
    <cellStyle name="Currency 5 6 2 7" xfId="1989" xr:uid="{00000000-0005-0000-0000-0000F10A0000}"/>
    <cellStyle name="Currency 5 6 3" xfId="1990" xr:uid="{00000000-0005-0000-0000-0000F20A0000}"/>
    <cellStyle name="Currency 5 6 3 2" xfId="1991" xr:uid="{00000000-0005-0000-0000-0000F30A0000}"/>
    <cellStyle name="Currency 5 6 3 2 2" xfId="46838" xr:uid="{00000000-0005-0000-0000-0000F40A0000}"/>
    <cellStyle name="Currency 5 6 3 2 3" xfId="46839" xr:uid="{00000000-0005-0000-0000-0000F50A0000}"/>
    <cellStyle name="Currency 5 6 3 3" xfId="1992" xr:uid="{00000000-0005-0000-0000-0000F60A0000}"/>
    <cellStyle name="Currency 5 6 3 3 2" xfId="46840" xr:uid="{00000000-0005-0000-0000-0000F70A0000}"/>
    <cellStyle name="Currency 5 6 3 4" xfId="1993" xr:uid="{00000000-0005-0000-0000-0000F80A0000}"/>
    <cellStyle name="Currency 5 6 3 5" xfId="1994" xr:uid="{00000000-0005-0000-0000-0000F90A0000}"/>
    <cellStyle name="Currency 5 6 3 6" xfId="1995" xr:uid="{00000000-0005-0000-0000-0000FA0A0000}"/>
    <cellStyle name="Currency 5 6 4" xfId="1996" xr:uid="{00000000-0005-0000-0000-0000FB0A0000}"/>
    <cellStyle name="Currency 5 6 4 2" xfId="46841" xr:uid="{00000000-0005-0000-0000-0000FC0A0000}"/>
    <cellStyle name="Currency 5 6 4 3" xfId="46842" xr:uid="{00000000-0005-0000-0000-0000FD0A0000}"/>
    <cellStyle name="Currency 5 6 5" xfId="1997" xr:uid="{00000000-0005-0000-0000-0000FE0A0000}"/>
    <cellStyle name="Currency 5 6 5 2" xfId="46843" xr:uid="{00000000-0005-0000-0000-0000FF0A0000}"/>
    <cellStyle name="Currency 5 6 6" xfId="1998" xr:uid="{00000000-0005-0000-0000-0000000B0000}"/>
    <cellStyle name="Currency 5 6 7" xfId="1999" xr:uid="{00000000-0005-0000-0000-0000010B0000}"/>
    <cellStyle name="Currency 5 6 8" xfId="2000" xr:uid="{00000000-0005-0000-0000-0000020B0000}"/>
    <cellStyle name="Currency 5 7" xfId="2001" xr:uid="{00000000-0005-0000-0000-0000030B0000}"/>
    <cellStyle name="Currency 5 7 2" xfId="2002" xr:uid="{00000000-0005-0000-0000-0000040B0000}"/>
    <cellStyle name="Currency 5 7 2 2" xfId="2003" xr:uid="{00000000-0005-0000-0000-0000050B0000}"/>
    <cellStyle name="Currency 5 7 2 2 2" xfId="2004" xr:uid="{00000000-0005-0000-0000-0000060B0000}"/>
    <cellStyle name="Currency 5 7 2 2 2 2" xfId="46844" xr:uid="{00000000-0005-0000-0000-0000070B0000}"/>
    <cellStyle name="Currency 5 7 2 2 2 3" xfId="46845" xr:uid="{00000000-0005-0000-0000-0000080B0000}"/>
    <cellStyle name="Currency 5 7 2 2 3" xfId="2005" xr:uid="{00000000-0005-0000-0000-0000090B0000}"/>
    <cellStyle name="Currency 5 7 2 2 3 2" xfId="46846" xr:uid="{00000000-0005-0000-0000-00000A0B0000}"/>
    <cellStyle name="Currency 5 7 2 2 4" xfId="2006" xr:uid="{00000000-0005-0000-0000-00000B0B0000}"/>
    <cellStyle name="Currency 5 7 2 2 5" xfId="2007" xr:uid="{00000000-0005-0000-0000-00000C0B0000}"/>
    <cellStyle name="Currency 5 7 2 2 6" xfId="2008" xr:uid="{00000000-0005-0000-0000-00000D0B0000}"/>
    <cellStyle name="Currency 5 7 2 3" xfId="2009" xr:uid="{00000000-0005-0000-0000-00000E0B0000}"/>
    <cellStyle name="Currency 5 7 2 3 2" xfId="46847" xr:uid="{00000000-0005-0000-0000-00000F0B0000}"/>
    <cellStyle name="Currency 5 7 2 3 3" xfId="46848" xr:uid="{00000000-0005-0000-0000-0000100B0000}"/>
    <cellStyle name="Currency 5 7 2 4" xfId="2010" xr:uid="{00000000-0005-0000-0000-0000110B0000}"/>
    <cellStyle name="Currency 5 7 2 4 2" xfId="46849" xr:uid="{00000000-0005-0000-0000-0000120B0000}"/>
    <cellStyle name="Currency 5 7 2 5" xfId="2011" xr:uid="{00000000-0005-0000-0000-0000130B0000}"/>
    <cellStyle name="Currency 5 7 2 6" xfId="2012" xr:uid="{00000000-0005-0000-0000-0000140B0000}"/>
    <cellStyle name="Currency 5 7 2 7" xfId="2013" xr:uid="{00000000-0005-0000-0000-0000150B0000}"/>
    <cellStyle name="Currency 5 7 3" xfId="2014" xr:uid="{00000000-0005-0000-0000-0000160B0000}"/>
    <cellStyle name="Currency 5 7 3 2" xfId="2015" xr:uid="{00000000-0005-0000-0000-0000170B0000}"/>
    <cellStyle name="Currency 5 7 3 2 2" xfId="46850" xr:uid="{00000000-0005-0000-0000-0000180B0000}"/>
    <cellStyle name="Currency 5 7 3 2 3" xfId="46851" xr:uid="{00000000-0005-0000-0000-0000190B0000}"/>
    <cellStyle name="Currency 5 7 3 3" xfId="2016" xr:uid="{00000000-0005-0000-0000-00001A0B0000}"/>
    <cellStyle name="Currency 5 7 3 3 2" xfId="46852" xr:uid="{00000000-0005-0000-0000-00001B0B0000}"/>
    <cellStyle name="Currency 5 7 3 4" xfId="2017" xr:uid="{00000000-0005-0000-0000-00001C0B0000}"/>
    <cellStyle name="Currency 5 7 3 5" xfId="2018" xr:uid="{00000000-0005-0000-0000-00001D0B0000}"/>
    <cellStyle name="Currency 5 7 3 6" xfId="2019" xr:uid="{00000000-0005-0000-0000-00001E0B0000}"/>
    <cellStyle name="Currency 5 7 4" xfId="2020" xr:uid="{00000000-0005-0000-0000-00001F0B0000}"/>
    <cellStyle name="Currency 5 7 4 2" xfId="46853" xr:uid="{00000000-0005-0000-0000-0000200B0000}"/>
    <cellStyle name="Currency 5 7 4 3" xfId="46854" xr:uid="{00000000-0005-0000-0000-0000210B0000}"/>
    <cellStyle name="Currency 5 7 5" xfId="2021" xr:uid="{00000000-0005-0000-0000-0000220B0000}"/>
    <cellStyle name="Currency 5 7 5 2" xfId="46855" xr:uid="{00000000-0005-0000-0000-0000230B0000}"/>
    <cellStyle name="Currency 5 7 6" xfId="2022" xr:uid="{00000000-0005-0000-0000-0000240B0000}"/>
    <cellStyle name="Currency 5 7 7" xfId="2023" xr:uid="{00000000-0005-0000-0000-0000250B0000}"/>
    <cellStyle name="Currency 5 7 8" xfId="2024" xr:uid="{00000000-0005-0000-0000-0000260B0000}"/>
    <cellStyle name="Currency 5 8" xfId="2025" xr:uid="{00000000-0005-0000-0000-0000270B0000}"/>
    <cellStyle name="Currency 5 8 2" xfId="2026" xr:uid="{00000000-0005-0000-0000-0000280B0000}"/>
    <cellStyle name="Currency 5 8 2 2" xfId="2027" xr:uid="{00000000-0005-0000-0000-0000290B0000}"/>
    <cellStyle name="Currency 5 8 2 2 2" xfId="46856" xr:uid="{00000000-0005-0000-0000-00002A0B0000}"/>
    <cellStyle name="Currency 5 8 2 2 3" xfId="46857" xr:uid="{00000000-0005-0000-0000-00002B0B0000}"/>
    <cellStyle name="Currency 5 8 2 3" xfId="2028" xr:uid="{00000000-0005-0000-0000-00002C0B0000}"/>
    <cellStyle name="Currency 5 8 2 3 2" xfId="46858" xr:uid="{00000000-0005-0000-0000-00002D0B0000}"/>
    <cellStyle name="Currency 5 8 2 4" xfId="2029" xr:uid="{00000000-0005-0000-0000-00002E0B0000}"/>
    <cellStyle name="Currency 5 8 2 5" xfId="2030" xr:uid="{00000000-0005-0000-0000-00002F0B0000}"/>
    <cellStyle name="Currency 5 8 2 6" xfId="2031" xr:uid="{00000000-0005-0000-0000-0000300B0000}"/>
    <cellStyle name="Currency 5 8 3" xfId="2032" xr:uid="{00000000-0005-0000-0000-0000310B0000}"/>
    <cellStyle name="Currency 5 8 3 2" xfId="46859" xr:uid="{00000000-0005-0000-0000-0000320B0000}"/>
    <cellStyle name="Currency 5 8 3 3" xfId="46860" xr:uid="{00000000-0005-0000-0000-0000330B0000}"/>
    <cellStyle name="Currency 5 8 4" xfId="2033" xr:uid="{00000000-0005-0000-0000-0000340B0000}"/>
    <cellStyle name="Currency 5 8 4 2" xfId="46861" xr:uid="{00000000-0005-0000-0000-0000350B0000}"/>
    <cellStyle name="Currency 5 8 5" xfId="2034" xr:uid="{00000000-0005-0000-0000-0000360B0000}"/>
    <cellStyle name="Currency 5 8 6" xfId="2035" xr:uid="{00000000-0005-0000-0000-0000370B0000}"/>
    <cellStyle name="Currency 5 8 7" xfId="2036" xr:uid="{00000000-0005-0000-0000-0000380B0000}"/>
    <cellStyle name="Currency 5 9" xfId="2037" xr:uid="{00000000-0005-0000-0000-0000390B0000}"/>
    <cellStyle name="Currency 5 9 2" xfId="2038" xr:uid="{00000000-0005-0000-0000-00003A0B0000}"/>
    <cellStyle name="Currency 5 9 2 2" xfId="46862" xr:uid="{00000000-0005-0000-0000-00003B0B0000}"/>
    <cellStyle name="Currency 5 9 2 3" xfId="46863" xr:uid="{00000000-0005-0000-0000-00003C0B0000}"/>
    <cellStyle name="Currency 5 9 3" xfId="2039" xr:uid="{00000000-0005-0000-0000-00003D0B0000}"/>
    <cellStyle name="Currency 5 9 3 2" xfId="46864" xr:uid="{00000000-0005-0000-0000-00003E0B0000}"/>
    <cellStyle name="Currency 5 9 4" xfId="2040" xr:uid="{00000000-0005-0000-0000-00003F0B0000}"/>
    <cellStyle name="Currency 5 9 5" xfId="2041" xr:uid="{00000000-0005-0000-0000-0000400B0000}"/>
    <cellStyle name="Currency 5 9 6" xfId="2042" xr:uid="{00000000-0005-0000-0000-0000410B0000}"/>
    <cellStyle name="Currency 6" xfId="2043" xr:uid="{00000000-0005-0000-0000-0000420B0000}"/>
    <cellStyle name="Currency 6 10" xfId="2044" xr:uid="{00000000-0005-0000-0000-0000430B0000}"/>
    <cellStyle name="Currency 6 11" xfId="2045" xr:uid="{00000000-0005-0000-0000-0000440B0000}"/>
    <cellStyle name="Currency 6 12" xfId="2046" xr:uid="{00000000-0005-0000-0000-0000450B0000}"/>
    <cellStyle name="Currency 6 13" xfId="2047" xr:uid="{00000000-0005-0000-0000-0000460B0000}"/>
    <cellStyle name="Currency 6 14" xfId="2048" xr:uid="{00000000-0005-0000-0000-0000470B0000}"/>
    <cellStyle name="Currency 6 2" xfId="2049" xr:uid="{00000000-0005-0000-0000-0000480B0000}"/>
    <cellStyle name="Currency 6 2 2" xfId="2050" xr:uid="{00000000-0005-0000-0000-0000490B0000}"/>
    <cellStyle name="Currency 6 2 2 2" xfId="2051" xr:uid="{00000000-0005-0000-0000-00004A0B0000}"/>
    <cellStyle name="Currency 6 2 2 2 2" xfId="2052" xr:uid="{00000000-0005-0000-0000-00004B0B0000}"/>
    <cellStyle name="Currency 6 2 2 2 2 2" xfId="46865" xr:uid="{00000000-0005-0000-0000-00004C0B0000}"/>
    <cellStyle name="Currency 6 2 2 2 2 3" xfId="46866" xr:uid="{00000000-0005-0000-0000-00004D0B0000}"/>
    <cellStyle name="Currency 6 2 2 2 3" xfId="2053" xr:uid="{00000000-0005-0000-0000-00004E0B0000}"/>
    <cellStyle name="Currency 6 2 2 2 3 2" xfId="46867" xr:uid="{00000000-0005-0000-0000-00004F0B0000}"/>
    <cellStyle name="Currency 6 2 2 2 4" xfId="2054" xr:uid="{00000000-0005-0000-0000-0000500B0000}"/>
    <cellStyle name="Currency 6 2 2 2 5" xfId="2055" xr:uid="{00000000-0005-0000-0000-0000510B0000}"/>
    <cellStyle name="Currency 6 2 2 2 6" xfId="2056" xr:uid="{00000000-0005-0000-0000-0000520B0000}"/>
    <cellStyle name="Currency 6 2 2 3" xfId="2057" xr:uid="{00000000-0005-0000-0000-0000530B0000}"/>
    <cellStyle name="Currency 6 2 2 3 2" xfId="46868" xr:uid="{00000000-0005-0000-0000-0000540B0000}"/>
    <cellStyle name="Currency 6 2 2 3 3" xfId="46869" xr:uid="{00000000-0005-0000-0000-0000550B0000}"/>
    <cellStyle name="Currency 6 2 2 4" xfId="2058" xr:uid="{00000000-0005-0000-0000-0000560B0000}"/>
    <cellStyle name="Currency 6 2 2 4 2" xfId="46870" xr:uid="{00000000-0005-0000-0000-0000570B0000}"/>
    <cellStyle name="Currency 6 2 2 5" xfId="2059" xr:uid="{00000000-0005-0000-0000-0000580B0000}"/>
    <cellStyle name="Currency 6 2 2 6" xfId="2060" xr:uid="{00000000-0005-0000-0000-0000590B0000}"/>
    <cellStyle name="Currency 6 2 2 7" xfId="2061" xr:uid="{00000000-0005-0000-0000-00005A0B0000}"/>
    <cellStyle name="Currency 6 2 3" xfId="2062" xr:uid="{00000000-0005-0000-0000-00005B0B0000}"/>
    <cellStyle name="Currency 6 2 3 2" xfId="2063" xr:uid="{00000000-0005-0000-0000-00005C0B0000}"/>
    <cellStyle name="Currency 6 2 3 2 2" xfId="46871" xr:uid="{00000000-0005-0000-0000-00005D0B0000}"/>
    <cellStyle name="Currency 6 2 3 2 3" xfId="46872" xr:uid="{00000000-0005-0000-0000-00005E0B0000}"/>
    <cellStyle name="Currency 6 2 3 3" xfId="2064" xr:uid="{00000000-0005-0000-0000-00005F0B0000}"/>
    <cellStyle name="Currency 6 2 3 3 2" xfId="46873" xr:uid="{00000000-0005-0000-0000-0000600B0000}"/>
    <cellStyle name="Currency 6 2 3 4" xfId="2065" xr:uid="{00000000-0005-0000-0000-0000610B0000}"/>
    <cellStyle name="Currency 6 2 3 5" xfId="2066" xr:uid="{00000000-0005-0000-0000-0000620B0000}"/>
    <cellStyle name="Currency 6 2 3 6" xfId="2067" xr:uid="{00000000-0005-0000-0000-0000630B0000}"/>
    <cellStyle name="Currency 6 2 4" xfId="2068" xr:uid="{00000000-0005-0000-0000-0000640B0000}"/>
    <cellStyle name="Currency 6 2 4 2" xfId="46874" xr:uid="{00000000-0005-0000-0000-0000650B0000}"/>
    <cellStyle name="Currency 6 2 4 3" xfId="46875" xr:uid="{00000000-0005-0000-0000-0000660B0000}"/>
    <cellStyle name="Currency 6 2 5" xfId="2069" xr:uid="{00000000-0005-0000-0000-0000670B0000}"/>
    <cellStyle name="Currency 6 2 5 2" xfId="46876" xr:uid="{00000000-0005-0000-0000-0000680B0000}"/>
    <cellStyle name="Currency 6 2 6" xfId="2070" xr:uid="{00000000-0005-0000-0000-0000690B0000}"/>
    <cellStyle name="Currency 6 2 7" xfId="2071" xr:uid="{00000000-0005-0000-0000-00006A0B0000}"/>
    <cellStyle name="Currency 6 2 8" xfId="2072" xr:uid="{00000000-0005-0000-0000-00006B0B0000}"/>
    <cellStyle name="Currency 6 2 9" xfId="2073" xr:uid="{00000000-0005-0000-0000-00006C0B0000}"/>
    <cellStyle name="Currency 6 3" xfId="2074" xr:uid="{00000000-0005-0000-0000-00006D0B0000}"/>
    <cellStyle name="Currency 6 3 2" xfId="2075" xr:uid="{00000000-0005-0000-0000-00006E0B0000}"/>
    <cellStyle name="Currency 6 3 2 2" xfId="2076" xr:uid="{00000000-0005-0000-0000-00006F0B0000}"/>
    <cellStyle name="Currency 6 3 2 2 2" xfId="2077" xr:uid="{00000000-0005-0000-0000-0000700B0000}"/>
    <cellStyle name="Currency 6 3 2 2 2 2" xfId="46877" xr:uid="{00000000-0005-0000-0000-0000710B0000}"/>
    <cellStyle name="Currency 6 3 2 2 2 3" xfId="46878" xr:uid="{00000000-0005-0000-0000-0000720B0000}"/>
    <cellStyle name="Currency 6 3 2 2 3" xfId="2078" xr:uid="{00000000-0005-0000-0000-0000730B0000}"/>
    <cellStyle name="Currency 6 3 2 2 3 2" xfId="46879" xr:uid="{00000000-0005-0000-0000-0000740B0000}"/>
    <cellStyle name="Currency 6 3 2 2 4" xfId="2079" xr:uid="{00000000-0005-0000-0000-0000750B0000}"/>
    <cellStyle name="Currency 6 3 2 2 5" xfId="2080" xr:uid="{00000000-0005-0000-0000-0000760B0000}"/>
    <cellStyle name="Currency 6 3 2 2 6" xfId="2081" xr:uid="{00000000-0005-0000-0000-0000770B0000}"/>
    <cellStyle name="Currency 6 3 2 3" xfId="2082" xr:uid="{00000000-0005-0000-0000-0000780B0000}"/>
    <cellStyle name="Currency 6 3 2 3 2" xfId="46880" xr:uid="{00000000-0005-0000-0000-0000790B0000}"/>
    <cellStyle name="Currency 6 3 2 3 3" xfId="46881" xr:uid="{00000000-0005-0000-0000-00007A0B0000}"/>
    <cellStyle name="Currency 6 3 2 4" xfId="2083" xr:uid="{00000000-0005-0000-0000-00007B0B0000}"/>
    <cellStyle name="Currency 6 3 2 4 2" xfId="46882" xr:uid="{00000000-0005-0000-0000-00007C0B0000}"/>
    <cellStyle name="Currency 6 3 2 5" xfId="2084" xr:uid="{00000000-0005-0000-0000-00007D0B0000}"/>
    <cellStyle name="Currency 6 3 2 6" xfId="2085" xr:uid="{00000000-0005-0000-0000-00007E0B0000}"/>
    <cellStyle name="Currency 6 3 2 7" xfId="2086" xr:uid="{00000000-0005-0000-0000-00007F0B0000}"/>
    <cellStyle name="Currency 6 3 3" xfId="2087" xr:uid="{00000000-0005-0000-0000-0000800B0000}"/>
    <cellStyle name="Currency 6 3 3 2" xfId="2088" xr:uid="{00000000-0005-0000-0000-0000810B0000}"/>
    <cellStyle name="Currency 6 3 3 2 2" xfId="46883" xr:uid="{00000000-0005-0000-0000-0000820B0000}"/>
    <cellStyle name="Currency 6 3 3 2 3" xfId="46884" xr:uid="{00000000-0005-0000-0000-0000830B0000}"/>
    <cellStyle name="Currency 6 3 3 3" xfId="2089" xr:uid="{00000000-0005-0000-0000-0000840B0000}"/>
    <cellStyle name="Currency 6 3 3 3 2" xfId="46885" xr:uid="{00000000-0005-0000-0000-0000850B0000}"/>
    <cellStyle name="Currency 6 3 3 4" xfId="2090" xr:uid="{00000000-0005-0000-0000-0000860B0000}"/>
    <cellStyle name="Currency 6 3 3 5" xfId="2091" xr:uid="{00000000-0005-0000-0000-0000870B0000}"/>
    <cellStyle name="Currency 6 3 3 6" xfId="2092" xr:uid="{00000000-0005-0000-0000-0000880B0000}"/>
    <cellStyle name="Currency 6 3 4" xfId="2093" xr:uid="{00000000-0005-0000-0000-0000890B0000}"/>
    <cellStyle name="Currency 6 3 4 2" xfId="46886" xr:uid="{00000000-0005-0000-0000-00008A0B0000}"/>
    <cellStyle name="Currency 6 3 4 3" xfId="46887" xr:uid="{00000000-0005-0000-0000-00008B0B0000}"/>
    <cellStyle name="Currency 6 3 5" xfId="2094" xr:uid="{00000000-0005-0000-0000-00008C0B0000}"/>
    <cellStyle name="Currency 6 3 5 2" xfId="46888" xr:uid="{00000000-0005-0000-0000-00008D0B0000}"/>
    <cellStyle name="Currency 6 3 6" xfId="2095" xr:uid="{00000000-0005-0000-0000-00008E0B0000}"/>
    <cellStyle name="Currency 6 3 7" xfId="2096" xr:uid="{00000000-0005-0000-0000-00008F0B0000}"/>
    <cellStyle name="Currency 6 3 8" xfId="2097" xr:uid="{00000000-0005-0000-0000-0000900B0000}"/>
    <cellStyle name="Currency 6 4" xfId="2098" xr:uid="{00000000-0005-0000-0000-0000910B0000}"/>
    <cellStyle name="Currency 6 4 2" xfId="2099" xr:uid="{00000000-0005-0000-0000-0000920B0000}"/>
    <cellStyle name="Currency 6 4 2 2" xfId="2100" xr:uid="{00000000-0005-0000-0000-0000930B0000}"/>
    <cellStyle name="Currency 6 4 2 2 2" xfId="46889" xr:uid="{00000000-0005-0000-0000-0000940B0000}"/>
    <cellStyle name="Currency 6 4 2 2 3" xfId="46890" xr:uid="{00000000-0005-0000-0000-0000950B0000}"/>
    <cellStyle name="Currency 6 4 2 3" xfId="2101" xr:uid="{00000000-0005-0000-0000-0000960B0000}"/>
    <cellStyle name="Currency 6 4 2 3 2" xfId="46891" xr:uid="{00000000-0005-0000-0000-0000970B0000}"/>
    <cellStyle name="Currency 6 4 2 4" xfId="2102" xr:uid="{00000000-0005-0000-0000-0000980B0000}"/>
    <cellStyle name="Currency 6 4 2 5" xfId="2103" xr:uid="{00000000-0005-0000-0000-0000990B0000}"/>
    <cellStyle name="Currency 6 4 2 6" xfId="2104" xr:uid="{00000000-0005-0000-0000-00009A0B0000}"/>
    <cellStyle name="Currency 6 4 3" xfId="2105" xr:uid="{00000000-0005-0000-0000-00009B0B0000}"/>
    <cellStyle name="Currency 6 4 3 2" xfId="46892" xr:uid="{00000000-0005-0000-0000-00009C0B0000}"/>
    <cellStyle name="Currency 6 4 3 3" xfId="46893" xr:uid="{00000000-0005-0000-0000-00009D0B0000}"/>
    <cellStyle name="Currency 6 4 4" xfId="2106" xr:uid="{00000000-0005-0000-0000-00009E0B0000}"/>
    <cellStyle name="Currency 6 4 4 2" xfId="46894" xr:uid="{00000000-0005-0000-0000-00009F0B0000}"/>
    <cellStyle name="Currency 6 4 5" xfId="2107" xr:uid="{00000000-0005-0000-0000-0000A00B0000}"/>
    <cellStyle name="Currency 6 4 6" xfId="2108" xr:uid="{00000000-0005-0000-0000-0000A10B0000}"/>
    <cellStyle name="Currency 6 4 7" xfId="2109" xr:uid="{00000000-0005-0000-0000-0000A20B0000}"/>
    <cellStyle name="Currency 6 5" xfId="2110" xr:uid="{00000000-0005-0000-0000-0000A30B0000}"/>
    <cellStyle name="Currency 6 5 2" xfId="2111" xr:uid="{00000000-0005-0000-0000-0000A40B0000}"/>
    <cellStyle name="Currency 6 5 2 2" xfId="46895" xr:uid="{00000000-0005-0000-0000-0000A50B0000}"/>
    <cellStyle name="Currency 6 5 2 3" xfId="46896" xr:uid="{00000000-0005-0000-0000-0000A60B0000}"/>
    <cellStyle name="Currency 6 5 3" xfId="2112" xr:uid="{00000000-0005-0000-0000-0000A70B0000}"/>
    <cellStyle name="Currency 6 5 3 2" xfId="46897" xr:uid="{00000000-0005-0000-0000-0000A80B0000}"/>
    <cellStyle name="Currency 6 5 4" xfId="2113" xr:uid="{00000000-0005-0000-0000-0000A90B0000}"/>
    <cellStyle name="Currency 6 5 5" xfId="2114" xr:uid="{00000000-0005-0000-0000-0000AA0B0000}"/>
    <cellStyle name="Currency 6 5 6" xfId="2115" xr:uid="{00000000-0005-0000-0000-0000AB0B0000}"/>
    <cellStyle name="Currency 6 6" xfId="2116" xr:uid="{00000000-0005-0000-0000-0000AC0B0000}"/>
    <cellStyle name="Currency 6 6 2" xfId="46898" xr:uid="{00000000-0005-0000-0000-0000AD0B0000}"/>
    <cellStyle name="Currency 6 6 3" xfId="46899" xr:uid="{00000000-0005-0000-0000-0000AE0B0000}"/>
    <cellStyle name="Currency 6 7" xfId="2117" xr:uid="{00000000-0005-0000-0000-0000AF0B0000}"/>
    <cellStyle name="Currency 6 7 2" xfId="46900" xr:uid="{00000000-0005-0000-0000-0000B00B0000}"/>
    <cellStyle name="Currency 6 8" xfId="2118" xr:uid="{00000000-0005-0000-0000-0000B10B0000}"/>
    <cellStyle name="Currency 6 9" xfId="2119" xr:uid="{00000000-0005-0000-0000-0000B20B0000}"/>
    <cellStyle name="Currency 7" xfId="2120" xr:uid="{00000000-0005-0000-0000-0000B30B0000}"/>
    <cellStyle name="Currency 7 10" xfId="2121" xr:uid="{00000000-0005-0000-0000-0000B40B0000}"/>
    <cellStyle name="Currency 7 11" xfId="2122" xr:uid="{00000000-0005-0000-0000-0000B50B0000}"/>
    <cellStyle name="Currency 7 12" xfId="2123" xr:uid="{00000000-0005-0000-0000-0000B60B0000}"/>
    <cellStyle name="Currency 7 13" xfId="2124" xr:uid="{00000000-0005-0000-0000-0000B70B0000}"/>
    <cellStyle name="Currency 7 2" xfId="2125" xr:uid="{00000000-0005-0000-0000-0000B80B0000}"/>
    <cellStyle name="Currency 7 2 2" xfId="2126" xr:uid="{00000000-0005-0000-0000-0000B90B0000}"/>
    <cellStyle name="Currency 7 2 2 2" xfId="2127" xr:uid="{00000000-0005-0000-0000-0000BA0B0000}"/>
    <cellStyle name="Currency 7 2 2 2 2" xfId="2128" xr:uid="{00000000-0005-0000-0000-0000BB0B0000}"/>
    <cellStyle name="Currency 7 2 2 2 2 2" xfId="46901" xr:uid="{00000000-0005-0000-0000-0000BC0B0000}"/>
    <cellStyle name="Currency 7 2 2 2 2 3" xfId="46902" xr:uid="{00000000-0005-0000-0000-0000BD0B0000}"/>
    <cellStyle name="Currency 7 2 2 2 3" xfId="2129" xr:uid="{00000000-0005-0000-0000-0000BE0B0000}"/>
    <cellStyle name="Currency 7 2 2 2 3 2" xfId="46903" xr:uid="{00000000-0005-0000-0000-0000BF0B0000}"/>
    <cellStyle name="Currency 7 2 2 2 4" xfId="2130" xr:uid="{00000000-0005-0000-0000-0000C00B0000}"/>
    <cellStyle name="Currency 7 2 2 2 5" xfId="2131" xr:uid="{00000000-0005-0000-0000-0000C10B0000}"/>
    <cellStyle name="Currency 7 2 2 2 6" xfId="2132" xr:uid="{00000000-0005-0000-0000-0000C20B0000}"/>
    <cellStyle name="Currency 7 2 2 3" xfId="2133" xr:uid="{00000000-0005-0000-0000-0000C30B0000}"/>
    <cellStyle name="Currency 7 2 2 3 2" xfId="46904" xr:uid="{00000000-0005-0000-0000-0000C40B0000}"/>
    <cellStyle name="Currency 7 2 2 3 3" xfId="46905" xr:uid="{00000000-0005-0000-0000-0000C50B0000}"/>
    <cellStyle name="Currency 7 2 2 4" xfId="2134" xr:uid="{00000000-0005-0000-0000-0000C60B0000}"/>
    <cellStyle name="Currency 7 2 2 4 2" xfId="46906" xr:uid="{00000000-0005-0000-0000-0000C70B0000}"/>
    <cellStyle name="Currency 7 2 2 5" xfId="2135" xr:uid="{00000000-0005-0000-0000-0000C80B0000}"/>
    <cellStyle name="Currency 7 2 2 6" xfId="2136" xr:uid="{00000000-0005-0000-0000-0000C90B0000}"/>
    <cellStyle name="Currency 7 2 2 7" xfId="2137" xr:uid="{00000000-0005-0000-0000-0000CA0B0000}"/>
    <cellStyle name="Currency 7 2 3" xfId="2138" xr:uid="{00000000-0005-0000-0000-0000CB0B0000}"/>
    <cellStyle name="Currency 7 2 3 2" xfId="2139" xr:uid="{00000000-0005-0000-0000-0000CC0B0000}"/>
    <cellStyle name="Currency 7 2 3 2 2" xfId="46907" xr:uid="{00000000-0005-0000-0000-0000CD0B0000}"/>
    <cellStyle name="Currency 7 2 3 2 3" xfId="46908" xr:uid="{00000000-0005-0000-0000-0000CE0B0000}"/>
    <cellStyle name="Currency 7 2 3 3" xfId="2140" xr:uid="{00000000-0005-0000-0000-0000CF0B0000}"/>
    <cellStyle name="Currency 7 2 3 3 2" xfId="46909" xr:uid="{00000000-0005-0000-0000-0000D00B0000}"/>
    <cellStyle name="Currency 7 2 3 4" xfId="2141" xr:uid="{00000000-0005-0000-0000-0000D10B0000}"/>
    <cellStyle name="Currency 7 2 3 5" xfId="2142" xr:uid="{00000000-0005-0000-0000-0000D20B0000}"/>
    <cellStyle name="Currency 7 2 3 6" xfId="2143" xr:uid="{00000000-0005-0000-0000-0000D30B0000}"/>
    <cellStyle name="Currency 7 2 4" xfId="2144" xr:uid="{00000000-0005-0000-0000-0000D40B0000}"/>
    <cellStyle name="Currency 7 2 4 2" xfId="46910" xr:uid="{00000000-0005-0000-0000-0000D50B0000}"/>
    <cellStyle name="Currency 7 2 4 3" xfId="46911" xr:uid="{00000000-0005-0000-0000-0000D60B0000}"/>
    <cellStyle name="Currency 7 2 5" xfId="2145" xr:uid="{00000000-0005-0000-0000-0000D70B0000}"/>
    <cellStyle name="Currency 7 2 5 2" xfId="46912" xr:uid="{00000000-0005-0000-0000-0000D80B0000}"/>
    <cellStyle name="Currency 7 2 6" xfId="2146" xr:uid="{00000000-0005-0000-0000-0000D90B0000}"/>
    <cellStyle name="Currency 7 2 7" xfId="2147" xr:uid="{00000000-0005-0000-0000-0000DA0B0000}"/>
    <cellStyle name="Currency 7 2 8" xfId="2148" xr:uid="{00000000-0005-0000-0000-0000DB0B0000}"/>
    <cellStyle name="Currency 7 2 9" xfId="2149" xr:uid="{00000000-0005-0000-0000-0000DC0B0000}"/>
    <cellStyle name="Currency 7 3" xfId="2150" xr:uid="{00000000-0005-0000-0000-0000DD0B0000}"/>
    <cellStyle name="Currency 7 3 2" xfId="2151" xr:uid="{00000000-0005-0000-0000-0000DE0B0000}"/>
    <cellStyle name="Currency 7 3 2 2" xfId="2152" xr:uid="{00000000-0005-0000-0000-0000DF0B0000}"/>
    <cellStyle name="Currency 7 3 2 2 2" xfId="46913" xr:uid="{00000000-0005-0000-0000-0000E00B0000}"/>
    <cellStyle name="Currency 7 3 2 2 3" xfId="46914" xr:uid="{00000000-0005-0000-0000-0000E10B0000}"/>
    <cellStyle name="Currency 7 3 2 3" xfId="2153" xr:uid="{00000000-0005-0000-0000-0000E20B0000}"/>
    <cellStyle name="Currency 7 3 2 3 2" xfId="46915" xr:uid="{00000000-0005-0000-0000-0000E30B0000}"/>
    <cellStyle name="Currency 7 3 2 4" xfId="2154" xr:uid="{00000000-0005-0000-0000-0000E40B0000}"/>
    <cellStyle name="Currency 7 3 2 5" xfId="2155" xr:uid="{00000000-0005-0000-0000-0000E50B0000}"/>
    <cellStyle name="Currency 7 3 2 6" xfId="2156" xr:uid="{00000000-0005-0000-0000-0000E60B0000}"/>
    <cellStyle name="Currency 7 3 3" xfId="2157" xr:uid="{00000000-0005-0000-0000-0000E70B0000}"/>
    <cellStyle name="Currency 7 3 3 2" xfId="46916" xr:uid="{00000000-0005-0000-0000-0000E80B0000}"/>
    <cellStyle name="Currency 7 3 3 3" xfId="46917" xr:uid="{00000000-0005-0000-0000-0000E90B0000}"/>
    <cellStyle name="Currency 7 3 4" xfId="2158" xr:uid="{00000000-0005-0000-0000-0000EA0B0000}"/>
    <cellStyle name="Currency 7 3 4 2" xfId="46918" xr:uid="{00000000-0005-0000-0000-0000EB0B0000}"/>
    <cellStyle name="Currency 7 3 5" xfId="2159" xr:uid="{00000000-0005-0000-0000-0000EC0B0000}"/>
    <cellStyle name="Currency 7 3 6" xfId="2160" xr:uid="{00000000-0005-0000-0000-0000ED0B0000}"/>
    <cellStyle name="Currency 7 3 7" xfId="2161" xr:uid="{00000000-0005-0000-0000-0000EE0B0000}"/>
    <cellStyle name="Currency 7 4" xfId="2162" xr:uid="{00000000-0005-0000-0000-0000EF0B0000}"/>
    <cellStyle name="Currency 7 4 2" xfId="2163" xr:uid="{00000000-0005-0000-0000-0000F00B0000}"/>
    <cellStyle name="Currency 7 4 2 2" xfId="46919" xr:uid="{00000000-0005-0000-0000-0000F10B0000}"/>
    <cellStyle name="Currency 7 4 2 3" xfId="46920" xr:uid="{00000000-0005-0000-0000-0000F20B0000}"/>
    <cellStyle name="Currency 7 4 3" xfId="2164" xr:uid="{00000000-0005-0000-0000-0000F30B0000}"/>
    <cellStyle name="Currency 7 4 3 2" xfId="46921" xr:uid="{00000000-0005-0000-0000-0000F40B0000}"/>
    <cellStyle name="Currency 7 4 4" xfId="2165" xr:uid="{00000000-0005-0000-0000-0000F50B0000}"/>
    <cellStyle name="Currency 7 4 5" xfId="2166" xr:uid="{00000000-0005-0000-0000-0000F60B0000}"/>
    <cellStyle name="Currency 7 4 6" xfId="2167" xr:uid="{00000000-0005-0000-0000-0000F70B0000}"/>
    <cellStyle name="Currency 7 5" xfId="2168" xr:uid="{00000000-0005-0000-0000-0000F80B0000}"/>
    <cellStyle name="Currency 7 5 2" xfId="46922" xr:uid="{00000000-0005-0000-0000-0000F90B0000}"/>
    <cellStyle name="Currency 7 5 3" xfId="46923" xr:uid="{00000000-0005-0000-0000-0000FA0B0000}"/>
    <cellStyle name="Currency 7 6" xfId="2169" xr:uid="{00000000-0005-0000-0000-0000FB0B0000}"/>
    <cellStyle name="Currency 7 6 2" xfId="46924" xr:uid="{00000000-0005-0000-0000-0000FC0B0000}"/>
    <cellStyle name="Currency 7 7" xfId="2170" xr:uid="{00000000-0005-0000-0000-0000FD0B0000}"/>
    <cellStyle name="Currency 7 8" xfId="2171" xr:uid="{00000000-0005-0000-0000-0000FE0B0000}"/>
    <cellStyle name="Currency 7 9" xfId="2172" xr:uid="{00000000-0005-0000-0000-0000FF0B0000}"/>
    <cellStyle name="Currency 8" xfId="2173" xr:uid="{00000000-0005-0000-0000-0000000C0000}"/>
    <cellStyle name="Currency 8 2" xfId="2174" xr:uid="{00000000-0005-0000-0000-0000010C0000}"/>
    <cellStyle name="Currency 8 2 2" xfId="2175" xr:uid="{00000000-0005-0000-0000-0000020C0000}"/>
    <cellStyle name="Currency 8 2 2 2" xfId="2176" xr:uid="{00000000-0005-0000-0000-0000030C0000}"/>
    <cellStyle name="Currency 8 2 2 2 2" xfId="46925" xr:uid="{00000000-0005-0000-0000-0000040C0000}"/>
    <cellStyle name="Currency 8 2 2 2 3" xfId="46926" xr:uid="{00000000-0005-0000-0000-0000050C0000}"/>
    <cellStyle name="Currency 8 2 2 3" xfId="2177" xr:uid="{00000000-0005-0000-0000-0000060C0000}"/>
    <cellStyle name="Currency 8 2 2 3 2" xfId="46927" xr:uid="{00000000-0005-0000-0000-0000070C0000}"/>
    <cellStyle name="Currency 8 2 2 4" xfId="2178" xr:uid="{00000000-0005-0000-0000-0000080C0000}"/>
    <cellStyle name="Currency 8 2 2 5" xfId="2179" xr:uid="{00000000-0005-0000-0000-0000090C0000}"/>
    <cellStyle name="Currency 8 2 2 6" xfId="2180" xr:uid="{00000000-0005-0000-0000-00000A0C0000}"/>
    <cellStyle name="Currency 8 2 3" xfId="2181" xr:uid="{00000000-0005-0000-0000-00000B0C0000}"/>
    <cellStyle name="Currency 8 2 3 2" xfId="46928" xr:uid="{00000000-0005-0000-0000-00000C0C0000}"/>
    <cellStyle name="Currency 8 2 3 3" xfId="46929" xr:uid="{00000000-0005-0000-0000-00000D0C0000}"/>
    <cellStyle name="Currency 8 2 4" xfId="2182" xr:uid="{00000000-0005-0000-0000-00000E0C0000}"/>
    <cellStyle name="Currency 8 2 4 2" xfId="46930" xr:uid="{00000000-0005-0000-0000-00000F0C0000}"/>
    <cellStyle name="Currency 8 2 5" xfId="2183" xr:uid="{00000000-0005-0000-0000-0000100C0000}"/>
    <cellStyle name="Currency 8 2 6" xfId="2184" xr:uid="{00000000-0005-0000-0000-0000110C0000}"/>
    <cellStyle name="Currency 8 2 7" xfId="2185" xr:uid="{00000000-0005-0000-0000-0000120C0000}"/>
    <cellStyle name="Currency 8 3" xfId="2186" xr:uid="{00000000-0005-0000-0000-0000130C0000}"/>
    <cellStyle name="Currency 8 3 2" xfId="2187" xr:uid="{00000000-0005-0000-0000-0000140C0000}"/>
    <cellStyle name="Currency 8 3 2 2" xfId="46931" xr:uid="{00000000-0005-0000-0000-0000150C0000}"/>
    <cellStyle name="Currency 8 3 2 3" xfId="46932" xr:uid="{00000000-0005-0000-0000-0000160C0000}"/>
    <cellStyle name="Currency 8 3 3" xfId="2188" xr:uid="{00000000-0005-0000-0000-0000170C0000}"/>
    <cellStyle name="Currency 8 3 3 2" xfId="46933" xr:uid="{00000000-0005-0000-0000-0000180C0000}"/>
    <cellStyle name="Currency 8 3 4" xfId="2189" xr:uid="{00000000-0005-0000-0000-0000190C0000}"/>
    <cellStyle name="Currency 8 3 5" xfId="2190" xr:uid="{00000000-0005-0000-0000-00001A0C0000}"/>
    <cellStyle name="Currency 8 3 6" xfId="2191" xr:uid="{00000000-0005-0000-0000-00001B0C0000}"/>
    <cellStyle name="Currency 8 4" xfId="2192" xr:uid="{00000000-0005-0000-0000-00001C0C0000}"/>
    <cellStyle name="Currency 8 4 2" xfId="46934" xr:uid="{00000000-0005-0000-0000-00001D0C0000}"/>
    <cellStyle name="Currency 8 4 3" xfId="46935" xr:uid="{00000000-0005-0000-0000-00001E0C0000}"/>
    <cellStyle name="Currency 8 5" xfId="2193" xr:uid="{00000000-0005-0000-0000-00001F0C0000}"/>
    <cellStyle name="Currency 8 5 2" xfId="46936" xr:uid="{00000000-0005-0000-0000-0000200C0000}"/>
    <cellStyle name="Currency 8 6" xfId="2194" xr:uid="{00000000-0005-0000-0000-0000210C0000}"/>
    <cellStyle name="Currency 8 7" xfId="2195" xr:uid="{00000000-0005-0000-0000-0000220C0000}"/>
    <cellStyle name="Currency 8 8" xfId="2196" xr:uid="{00000000-0005-0000-0000-0000230C0000}"/>
    <cellStyle name="Currency 9" xfId="2197" xr:uid="{00000000-0005-0000-0000-0000240C0000}"/>
    <cellStyle name="Currency 9 2" xfId="2198" xr:uid="{00000000-0005-0000-0000-0000250C0000}"/>
    <cellStyle name="Currency 9 2 2" xfId="46937" xr:uid="{00000000-0005-0000-0000-0000260C0000}"/>
    <cellStyle name="Currency 9 2 3" xfId="46938" xr:uid="{00000000-0005-0000-0000-0000270C0000}"/>
    <cellStyle name="Currency 9 3" xfId="2199" xr:uid="{00000000-0005-0000-0000-0000280C0000}"/>
    <cellStyle name="Currency 9 3 2" xfId="46939" xr:uid="{00000000-0005-0000-0000-0000290C0000}"/>
    <cellStyle name="Currency 9 4" xfId="2200" xr:uid="{00000000-0005-0000-0000-00002A0C0000}"/>
    <cellStyle name="Currency 9 5" xfId="2201" xr:uid="{00000000-0005-0000-0000-00002B0C0000}"/>
    <cellStyle name="Currency 9 6" xfId="2202" xr:uid="{00000000-0005-0000-0000-00002C0C0000}"/>
    <cellStyle name="Currency0" xfId="2203" xr:uid="{00000000-0005-0000-0000-00002D0C0000}"/>
    <cellStyle name="Date" xfId="2204" xr:uid="{00000000-0005-0000-0000-00002E0C0000}"/>
    <cellStyle name="Exhibit Headings" xfId="2205" xr:uid="{00000000-0005-0000-0000-00002F0C0000}"/>
    <cellStyle name="Explanatory Text 2" xfId="2206" xr:uid="{00000000-0005-0000-0000-0000300C0000}"/>
    <cellStyle name="Explanatory Text 2 2" xfId="2207" xr:uid="{00000000-0005-0000-0000-0000310C0000}"/>
    <cellStyle name="Explanatory Text 2 2 2" xfId="2208" xr:uid="{00000000-0005-0000-0000-0000320C0000}"/>
    <cellStyle name="Explanatory Text 2 3" xfId="2209" xr:uid="{00000000-0005-0000-0000-0000330C0000}"/>
    <cellStyle name="Explanatory Text 2 4" xfId="2210" xr:uid="{00000000-0005-0000-0000-0000340C0000}"/>
    <cellStyle name="Explanatory Text 3" xfId="2211" xr:uid="{00000000-0005-0000-0000-0000350C0000}"/>
    <cellStyle name="Explanatory Text 4" xfId="2212" xr:uid="{00000000-0005-0000-0000-0000360C0000}"/>
    <cellStyle name="Fixed" xfId="2213" xr:uid="{00000000-0005-0000-0000-0000370C0000}"/>
    <cellStyle name="Good 2" xfId="2214" xr:uid="{00000000-0005-0000-0000-0000380C0000}"/>
    <cellStyle name="Good 2 2" xfId="2215" xr:uid="{00000000-0005-0000-0000-0000390C0000}"/>
    <cellStyle name="Good 2 2 2" xfId="2216" xr:uid="{00000000-0005-0000-0000-00003A0C0000}"/>
    <cellStyle name="Good 2 3" xfId="2217" xr:uid="{00000000-0005-0000-0000-00003B0C0000}"/>
    <cellStyle name="Good 2 4" xfId="2218" xr:uid="{00000000-0005-0000-0000-00003C0C0000}"/>
    <cellStyle name="Good 3" xfId="2219" xr:uid="{00000000-0005-0000-0000-00003D0C0000}"/>
    <cellStyle name="Good 4" xfId="2220" xr:uid="{00000000-0005-0000-0000-00003E0C0000}"/>
    <cellStyle name="GrayBar" xfId="2221" xr:uid="{00000000-0005-0000-0000-00003F0C0000}"/>
    <cellStyle name="Heading 1 2" xfId="2222" xr:uid="{00000000-0005-0000-0000-0000400C0000}"/>
    <cellStyle name="Heading 1 2 2" xfId="2223" xr:uid="{00000000-0005-0000-0000-0000410C0000}"/>
    <cellStyle name="Heading 1 2 3" xfId="2224" xr:uid="{00000000-0005-0000-0000-0000420C0000}"/>
    <cellStyle name="Heading 1 2 3 2" xfId="2225" xr:uid="{00000000-0005-0000-0000-0000430C0000}"/>
    <cellStyle name="Heading 1 2 4" xfId="2226" xr:uid="{00000000-0005-0000-0000-0000440C0000}"/>
    <cellStyle name="Heading 1 3" xfId="2227" xr:uid="{00000000-0005-0000-0000-0000450C0000}"/>
    <cellStyle name="Heading 1 3 2" xfId="2228" xr:uid="{00000000-0005-0000-0000-0000460C0000}"/>
    <cellStyle name="Heading 1 3 3" xfId="2229" xr:uid="{00000000-0005-0000-0000-0000470C0000}"/>
    <cellStyle name="Heading 1 4" xfId="2230" xr:uid="{00000000-0005-0000-0000-0000480C0000}"/>
    <cellStyle name="Heading 2 2" xfId="2231" xr:uid="{00000000-0005-0000-0000-0000490C0000}"/>
    <cellStyle name="Heading 2 2 2" xfId="2232" xr:uid="{00000000-0005-0000-0000-00004A0C0000}"/>
    <cellStyle name="Heading 2 2 3" xfId="2233" xr:uid="{00000000-0005-0000-0000-00004B0C0000}"/>
    <cellStyle name="Heading 2 2 4" xfId="2234" xr:uid="{00000000-0005-0000-0000-00004C0C0000}"/>
    <cellStyle name="Heading 2 3" xfId="2235" xr:uid="{00000000-0005-0000-0000-00004D0C0000}"/>
    <cellStyle name="Heading 2 4" xfId="2236" xr:uid="{00000000-0005-0000-0000-00004E0C0000}"/>
    <cellStyle name="Heading 3 2" xfId="2237" xr:uid="{00000000-0005-0000-0000-00004F0C0000}"/>
    <cellStyle name="Heading 3 2 2" xfId="2238" xr:uid="{00000000-0005-0000-0000-0000500C0000}"/>
    <cellStyle name="Heading 3 2 2 2" xfId="2239" xr:uid="{00000000-0005-0000-0000-0000510C0000}"/>
    <cellStyle name="Heading 3 2 2 2 2" xfId="2240" xr:uid="{00000000-0005-0000-0000-0000520C0000}"/>
    <cellStyle name="Heading 3 2 2 2 2 2" xfId="2241" xr:uid="{00000000-0005-0000-0000-0000530C0000}"/>
    <cellStyle name="Heading 3 2 2 2 3" xfId="2242" xr:uid="{00000000-0005-0000-0000-0000540C0000}"/>
    <cellStyle name="Heading 3 2 2 3" xfId="2243" xr:uid="{00000000-0005-0000-0000-0000550C0000}"/>
    <cellStyle name="Heading 3 2 2 3 2" xfId="2244" xr:uid="{00000000-0005-0000-0000-0000560C0000}"/>
    <cellStyle name="Heading 3 2 2 4" xfId="2245" xr:uid="{00000000-0005-0000-0000-0000570C0000}"/>
    <cellStyle name="Heading 3 2 3" xfId="2246" xr:uid="{00000000-0005-0000-0000-0000580C0000}"/>
    <cellStyle name="Heading 3 2 3 2" xfId="2247" xr:uid="{00000000-0005-0000-0000-0000590C0000}"/>
    <cellStyle name="Heading 3 2 3 3" xfId="2248" xr:uid="{00000000-0005-0000-0000-00005A0C0000}"/>
    <cellStyle name="Heading 3 2 4" xfId="2249" xr:uid="{00000000-0005-0000-0000-00005B0C0000}"/>
    <cellStyle name="Heading 3 2 4 2" xfId="2250" xr:uid="{00000000-0005-0000-0000-00005C0C0000}"/>
    <cellStyle name="Heading 3 3" xfId="2251" xr:uid="{00000000-0005-0000-0000-00005D0C0000}"/>
    <cellStyle name="Heading 3 4" xfId="2252" xr:uid="{00000000-0005-0000-0000-00005E0C0000}"/>
    <cellStyle name="Heading 4 2" xfId="2253" xr:uid="{00000000-0005-0000-0000-00005F0C0000}"/>
    <cellStyle name="Heading 4 2 2" xfId="2254" xr:uid="{00000000-0005-0000-0000-0000600C0000}"/>
    <cellStyle name="Heading 4 2 2 2" xfId="2255" xr:uid="{00000000-0005-0000-0000-0000610C0000}"/>
    <cellStyle name="Heading 4 2 3" xfId="2256" xr:uid="{00000000-0005-0000-0000-0000620C0000}"/>
    <cellStyle name="Heading 4 2 3 2" xfId="2257" xr:uid="{00000000-0005-0000-0000-0000630C0000}"/>
    <cellStyle name="Heading 4 2 4" xfId="2258" xr:uid="{00000000-0005-0000-0000-0000640C0000}"/>
    <cellStyle name="Heading 4 3" xfId="2259" xr:uid="{00000000-0005-0000-0000-0000650C0000}"/>
    <cellStyle name="Heading 4 3 2" xfId="2260" xr:uid="{00000000-0005-0000-0000-0000660C0000}"/>
    <cellStyle name="Heading 4 3 3" xfId="2261" xr:uid="{00000000-0005-0000-0000-0000670C0000}"/>
    <cellStyle name="Heading 4 4" xfId="2262" xr:uid="{00000000-0005-0000-0000-0000680C0000}"/>
    <cellStyle name="Hyperlink 10" xfId="2263" xr:uid="{00000000-0005-0000-0000-0000690C0000}"/>
    <cellStyle name="Hyperlink 11" xfId="2264" xr:uid="{00000000-0005-0000-0000-00006A0C0000}"/>
    <cellStyle name="Hyperlink 2" xfId="2265" xr:uid="{00000000-0005-0000-0000-00006B0C0000}"/>
    <cellStyle name="Hyperlink 2 2" xfId="2266" xr:uid="{00000000-0005-0000-0000-00006C0C0000}"/>
    <cellStyle name="Hyperlink 2 2 2" xfId="2267" xr:uid="{00000000-0005-0000-0000-00006D0C0000}"/>
    <cellStyle name="Hyperlink 2 3" xfId="2268" xr:uid="{00000000-0005-0000-0000-00006E0C0000}"/>
    <cellStyle name="Hyperlink 2 3 2" xfId="2269" xr:uid="{00000000-0005-0000-0000-00006F0C0000}"/>
    <cellStyle name="Hyperlink 2 3 2 2" xfId="2270" xr:uid="{00000000-0005-0000-0000-0000700C0000}"/>
    <cellStyle name="Hyperlink 2 3 3" xfId="2271" xr:uid="{00000000-0005-0000-0000-0000710C0000}"/>
    <cellStyle name="Hyperlink 2 3 4" xfId="2272" xr:uid="{00000000-0005-0000-0000-0000720C0000}"/>
    <cellStyle name="Hyperlink 2 4" xfId="2273" xr:uid="{00000000-0005-0000-0000-0000730C0000}"/>
    <cellStyle name="Hyperlink 2 4 2" xfId="2274" xr:uid="{00000000-0005-0000-0000-0000740C0000}"/>
    <cellStyle name="Hyperlink 2 5" xfId="2275" xr:uid="{00000000-0005-0000-0000-0000750C0000}"/>
    <cellStyle name="Hyperlink 2 6" xfId="2276" xr:uid="{00000000-0005-0000-0000-0000760C0000}"/>
    <cellStyle name="Hyperlink 2 7" xfId="2277" xr:uid="{00000000-0005-0000-0000-0000770C0000}"/>
    <cellStyle name="Hyperlink 2 8" xfId="2278" xr:uid="{00000000-0005-0000-0000-0000780C0000}"/>
    <cellStyle name="Hyperlink 3" xfId="2279" xr:uid="{00000000-0005-0000-0000-0000790C0000}"/>
    <cellStyle name="Hyperlink 3 2" xfId="2280" xr:uid="{00000000-0005-0000-0000-00007A0C0000}"/>
    <cellStyle name="Hyperlink 3 2 2" xfId="2281" xr:uid="{00000000-0005-0000-0000-00007B0C0000}"/>
    <cellStyle name="Hyperlink 3 2 3" xfId="2282" xr:uid="{00000000-0005-0000-0000-00007C0C0000}"/>
    <cellStyle name="Hyperlink 3 2 4" xfId="2283" xr:uid="{00000000-0005-0000-0000-00007D0C0000}"/>
    <cellStyle name="Hyperlink 3 3" xfId="2284" xr:uid="{00000000-0005-0000-0000-00007E0C0000}"/>
    <cellStyle name="Hyperlink 3 3 2" xfId="2285" xr:uid="{00000000-0005-0000-0000-00007F0C0000}"/>
    <cellStyle name="Hyperlink 3 4" xfId="2286" xr:uid="{00000000-0005-0000-0000-0000800C0000}"/>
    <cellStyle name="Hyperlink 4" xfId="2287" xr:uid="{00000000-0005-0000-0000-0000810C0000}"/>
    <cellStyle name="Hyperlink 4 2" xfId="2288" xr:uid="{00000000-0005-0000-0000-0000820C0000}"/>
    <cellStyle name="Hyperlink 4 2 2" xfId="2289" xr:uid="{00000000-0005-0000-0000-0000830C0000}"/>
    <cellStyle name="Hyperlink 4 3" xfId="2290" xr:uid="{00000000-0005-0000-0000-0000840C0000}"/>
    <cellStyle name="Hyperlink 5" xfId="2291" xr:uid="{00000000-0005-0000-0000-0000850C0000}"/>
    <cellStyle name="Hyperlink 5 2" xfId="2292" xr:uid="{00000000-0005-0000-0000-0000860C0000}"/>
    <cellStyle name="Hyperlink 5 2 2" xfId="2293" xr:uid="{00000000-0005-0000-0000-0000870C0000}"/>
    <cellStyle name="Hyperlink 6" xfId="2294" xr:uid="{00000000-0005-0000-0000-0000880C0000}"/>
    <cellStyle name="Hyperlink 6 2" xfId="2295" xr:uid="{00000000-0005-0000-0000-0000890C0000}"/>
    <cellStyle name="Hyperlink 7" xfId="2296" xr:uid="{00000000-0005-0000-0000-00008A0C0000}"/>
    <cellStyle name="Hyperlink 8" xfId="2297" xr:uid="{00000000-0005-0000-0000-00008B0C0000}"/>
    <cellStyle name="Hyperlink 9" xfId="2298" xr:uid="{00000000-0005-0000-0000-00008C0C0000}"/>
    <cellStyle name="Input 2" xfId="2299" xr:uid="{00000000-0005-0000-0000-00008D0C0000}"/>
    <cellStyle name="Input 2 2" xfId="2300" xr:uid="{00000000-0005-0000-0000-00008E0C0000}"/>
    <cellStyle name="Input 2 2 10" xfId="2301" xr:uid="{00000000-0005-0000-0000-00008F0C0000}"/>
    <cellStyle name="Input 2 2 2" xfId="2302" xr:uid="{00000000-0005-0000-0000-0000900C0000}"/>
    <cellStyle name="Input 2 2 2 10" xfId="2303" xr:uid="{00000000-0005-0000-0000-0000910C0000}"/>
    <cellStyle name="Input 2 2 2 11" xfId="2304" xr:uid="{00000000-0005-0000-0000-0000920C0000}"/>
    <cellStyle name="Input 2 2 2 2" xfId="2305" xr:uid="{00000000-0005-0000-0000-0000930C0000}"/>
    <cellStyle name="Input 2 2 2 2 2" xfId="2306" xr:uid="{00000000-0005-0000-0000-0000940C0000}"/>
    <cellStyle name="Input 2 2 2 2 3" xfId="2307" xr:uid="{00000000-0005-0000-0000-0000950C0000}"/>
    <cellStyle name="Input 2 2 2 3" xfId="2308" xr:uid="{00000000-0005-0000-0000-0000960C0000}"/>
    <cellStyle name="Input 2 2 2 3 2" xfId="2309" xr:uid="{00000000-0005-0000-0000-0000970C0000}"/>
    <cellStyle name="Input 2 2 2 4" xfId="2310" xr:uid="{00000000-0005-0000-0000-0000980C0000}"/>
    <cellStyle name="Input 2 2 2 4 2" xfId="2311" xr:uid="{00000000-0005-0000-0000-0000990C0000}"/>
    <cellStyle name="Input 2 2 2 5" xfId="2312" xr:uid="{00000000-0005-0000-0000-00009A0C0000}"/>
    <cellStyle name="Input 2 2 2 6" xfId="2313" xr:uid="{00000000-0005-0000-0000-00009B0C0000}"/>
    <cellStyle name="Input 2 2 2 7" xfId="2314" xr:uid="{00000000-0005-0000-0000-00009C0C0000}"/>
    <cellStyle name="Input 2 2 2 8" xfId="2315" xr:uid="{00000000-0005-0000-0000-00009D0C0000}"/>
    <cellStyle name="Input 2 2 2 9" xfId="2316" xr:uid="{00000000-0005-0000-0000-00009E0C0000}"/>
    <cellStyle name="Input 2 2 3" xfId="2317" xr:uid="{00000000-0005-0000-0000-00009F0C0000}"/>
    <cellStyle name="Input 2 2 3 10" xfId="2318" xr:uid="{00000000-0005-0000-0000-0000A00C0000}"/>
    <cellStyle name="Input 2 2 3 2" xfId="2319" xr:uid="{00000000-0005-0000-0000-0000A10C0000}"/>
    <cellStyle name="Input 2 2 3 2 2" xfId="2320" xr:uid="{00000000-0005-0000-0000-0000A20C0000}"/>
    <cellStyle name="Input 2 2 3 2 3" xfId="2321" xr:uid="{00000000-0005-0000-0000-0000A30C0000}"/>
    <cellStyle name="Input 2 2 3 3" xfId="2322" xr:uid="{00000000-0005-0000-0000-0000A40C0000}"/>
    <cellStyle name="Input 2 2 3 3 2" xfId="2323" xr:uid="{00000000-0005-0000-0000-0000A50C0000}"/>
    <cellStyle name="Input 2 2 3 4" xfId="2324" xr:uid="{00000000-0005-0000-0000-0000A60C0000}"/>
    <cellStyle name="Input 2 2 3 4 2" xfId="2325" xr:uid="{00000000-0005-0000-0000-0000A70C0000}"/>
    <cellStyle name="Input 2 2 3 5" xfId="2326" xr:uid="{00000000-0005-0000-0000-0000A80C0000}"/>
    <cellStyle name="Input 2 2 3 6" xfId="2327" xr:uid="{00000000-0005-0000-0000-0000A90C0000}"/>
    <cellStyle name="Input 2 2 3 7" xfId="2328" xr:uid="{00000000-0005-0000-0000-0000AA0C0000}"/>
    <cellStyle name="Input 2 2 3 8" xfId="2329" xr:uid="{00000000-0005-0000-0000-0000AB0C0000}"/>
    <cellStyle name="Input 2 2 3 9" xfId="2330" xr:uid="{00000000-0005-0000-0000-0000AC0C0000}"/>
    <cellStyle name="Input 2 2 4" xfId="2331" xr:uid="{00000000-0005-0000-0000-0000AD0C0000}"/>
    <cellStyle name="Input 2 2 4 10" xfId="2332" xr:uid="{00000000-0005-0000-0000-0000AE0C0000}"/>
    <cellStyle name="Input 2 2 4 2" xfId="2333" xr:uid="{00000000-0005-0000-0000-0000AF0C0000}"/>
    <cellStyle name="Input 2 2 4 3" xfId="2334" xr:uid="{00000000-0005-0000-0000-0000B00C0000}"/>
    <cellStyle name="Input 2 2 4 4" xfId="2335" xr:uid="{00000000-0005-0000-0000-0000B10C0000}"/>
    <cellStyle name="Input 2 2 4 5" xfId="2336" xr:uid="{00000000-0005-0000-0000-0000B20C0000}"/>
    <cellStyle name="Input 2 2 4 6" xfId="2337" xr:uid="{00000000-0005-0000-0000-0000B30C0000}"/>
    <cellStyle name="Input 2 2 4 7" xfId="2338" xr:uid="{00000000-0005-0000-0000-0000B40C0000}"/>
    <cellStyle name="Input 2 2 4 8" xfId="2339" xr:uid="{00000000-0005-0000-0000-0000B50C0000}"/>
    <cellStyle name="Input 2 2 4 9" xfId="2340" xr:uid="{00000000-0005-0000-0000-0000B60C0000}"/>
    <cellStyle name="Input 2 2 5" xfId="2341" xr:uid="{00000000-0005-0000-0000-0000B70C0000}"/>
    <cellStyle name="Input 2 2 5 10" xfId="2342" xr:uid="{00000000-0005-0000-0000-0000B80C0000}"/>
    <cellStyle name="Input 2 2 5 2" xfId="2343" xr:uid="{00000000-0005-0000-0000-0000B90C0000}"/>
    <cellStyle name="Input 2 2 5 3" xfId="2344" xr:uid="{00000000-0005-0000-0000-0000BA0C0000}"/>
    <cellStyle name="Input 2 2 5 4" xfId="2345" xr:uid="{00000000-0005-0000-0000-0000BB0C0000}"/>
    <cellStyle name="Input 2 2 5 5" xfId="2346" xr:uid="{00000000-0005-0000-0000-0000BC0C0000}"/>
    <cellStyle name="Input 2 2 5 6" xfId="2347" xr:uid="{00000000-0005-0000-0000-0000BD0C0000}"/>
    <cellStyle name="Input 2 2 5 7" xfId="2348" xr:uid="{00000000-0005-0000-0000-0000BE0C0000}"/>
    <cellStyle name="Input 2 2 5 8" xfId="2349" xr:uid="{00000000-0005-0000-0000-0000BF0C0000}"/>
    <cellStyle name="Input 2 2 5 9" xfId="2350" xr:uid="{00000000-0005-0000-0000-0000C00C0000}"/>
    <cellStyle name="Input 2 2 6" xfId="2351" xr:uid="{00000000-0005-0000-0000-0000C10C0000}"/>
    <cellStyle name="Input 2 2 6 10" xfId="2352" xr:uid="{00000000-0005-0000-0000-0000C20C0000}"/>
    <cellStyle name="Input 2 2 6 2" xfId="2353" xr:uid="{00000000-0005-0000-0000-0000C30C0000}"/>
    <cellStyle name="Input 2 2 6 3" xfId="2354" xr:uid="{00000000-0005-0000-0000-0000C40C0000}"/>
    <cellStyle name="Input 2 2 6 4" xfId="2355" xr:uid="{00000000-0005-0000-0000-0000C50C0000}"/>
    <cellStyle name="Input 2 2 6 5" xfId="2356" xr:uid="{00000000-0005-0000-0000-0000C60C0000}"/>
    <cellStyle name="Input 2 2 6 6" xfId="2357" xr:uid="{00000000-0005-0000-0000-0000C70C0000}"/>
    <cellStyle name="Input 2 2 6 7" xfId="2358" xr:uid="{00000000-0005-0000-0000-0000C80C0000}"/>
    <cellStyle name="Input 2 2 6 8" xfId="2359" xr:uid="{00000000-0005-0000-0000-0000C90C0000}"/>
    <cellStyle name="Input 2 2 6 9" xfId="2360" xr:uid="{00000000-0005-0000-0000-0000CA0C0000}"/>
    <cellStyle name="Input 2 2 7" xfId="2361" xr:uid="{00000000-0005-0000-0000-0000CB0C0000}"/>
    <cellStyle name="Input 2 2 7 10" xfId="2362" xr:uid="{00000000-0005-0000-0000-0000CC0C0000}"/>
    <cellStyle name="Input 2 2 7 2" xfId="2363" xr:uid="{00000000-0005-0000-0000-0000CD0C0000}"/>
    <cellStyle name="Input 2 2 7 3" xfId="2364" xr:uid="{00000000-0005-0000-0000-0000CE0C0000}"/>
    <cellStyle name="Input 2 2 7 4" xfId="2365" xr:uid="{00000000-0005-0000-0000-0000CF0C0000}"/>
    <cellStyle name="Input 2 2 7 5" xfId="2366" xr:uid="{00000000-0005-0000-0000-0000D00C0000}"/>
    <cellStyle name="Input 2 2 7 6" xfId="2367" xr:uid="{00000000-0005-0000-0000-0000D10C0000}"/>
    <cellStyle name="Input 2 2 7 7" xfId="2368" xr:uid="{00000000-0005-0000-0000-0000D20C0000}"/>
    <cellStyle name="Input 2 2 7 8" xfId="2369" xr:uid="{00000000-0005-0000-0000-0000D30C0000}"/>
    <cellStyle name="Input 2 2 7 9" xfId="2370" xr:uid="{00000000-0005-0000-0000-0000D40C0000}"/>
    <cellStyle name="Input 2 2 8" xfId="2371" xr:uid="{00000000-0005-0000-0000-0000D50C0000}"/>
    <cellStyle name="Input 2 2 9" xfId="2372" xr:uid="{00000000-0005-0000-0000-0000D60C0000}"/>
    <cellStyle name="Input 2 3" xfId="2373" xr:uid="{00000000-0005-0000-0000-0000D70C0000}"/>
    <cellStyle name="Input 2 3 10" xfId="2374" xr:uid="{00000000-0005-0000-0000-0000D80C0000}"/>
    <cellStyle name="Input 2 3 11" xfId="2375" xr:uid="{00000000-0005-0000-0000-0000D90C0000}"/>
    <cellStyle name="Input 2 3 2" xfId="2376" xr:uid="{00000000-0005-0000-0000-0000DA0C0000}"/>
    <cellStyle name="Input 2 3 2 2" xfId="2377" xr:uid="{00000000-0005-0000-0000-0000DB0C0000}"/>
    <cellStyle name="Input 2 3 2 3" xfId="2378" xr:uid="{00000000-0005-0000-0000-0000DC0C0000}"/>
    <cellStyle name="Input 2 3 2 4" xfId="2379" xr:uid="{00000000-0005-0000-0000-0000DD0C0000}"/>
    <cellStyle name="Input 2 3 3" xfId="2380" xr:uid="{00000000-0005-0000-0000-0000DE0C0000}"/>
    <cellStyle name="Input 2 3 3 2" xfId="2381" xr:uid="{00000000-0005-0000-0000-0000DF0C0000}"/>
    <cellStyle name="Input 2 3 4" xfId="2382" xr:uid="{00000000-0005-0000-0000-0000E00C0000}"/>
    <cellStyle name="Input 2 3 4 2" xfId="2383" xr:uid="{00000000-0005-0000-0000-0000E10C0000}"/>
    <cellStyle name="Input 2 3 5" xfId="2384" xr:uid="{00000000-0005-0000-0000-0000E20C0000}"/>
    <cellStyle name="Input 2 3 6" xfId="2385" xr:uid="{00000000-0005-0000-0000-0000E30C0000}"/>
    <cellStyle name="Input 2 3 7" xfId="2386" xr:uid="{00000000-0005-0000-0000-0000E40C0000}"/>
    <cellStyle name="Input 2 3 8" xfId="2387" xr:uid="{00000000-0005-0000-0000-0000E50C0000}"/>
    <cellStyle name="Input 2 3 9" xfId="2388" xr:uid="{00000000-0005-0000-0000-0000E60C0000}"/>
    <cellStyle name="Input 2 4" xfId="2389" xr:uid="{00000000-0005-0000-0000-0000E70C0000}"/>
    <cellStyle name="Input 2 4 10" xfId="2390" xr:uid="{00000000-0005-0000-0000-0000E80C0000}"/>
    <cellStyle name="Input 2 4 11" xfId="2391" xr:uid="{00000000-0005-0000-0000-0000E90C0000}"/>
    <cellStyle name="Input 2 4 2" xfId="2392" xr:uid="{00000000-0005-0000-0000-0000EA0C0000}"/>
    <cellStyle name="Input 2 4 2 2" xfId="2393" xr:uid="{00000000-0005-0000-0000-0000EB0C0000}"/>
    <cellStyle name="Input 2 4 2 3" xfId="2394" xr:uid="{00000000-0005-0000-0000-0000EC0C0000}"/>
    <cellStyle name="Input 2 4 3" xfId="2395" xr:uid="{00000000-0005-0000-0000-0000ED0C0000}"/>
    <cellStyle name="Input 2 4 3 2" xfId="2396" xr:uid="{00000000-0005-0000-0000-0000EE0C0000}"/>
    <cellStyle name="Input 2 4 4" xfId="2397" xr:uid="{00000000-0005-0000-0000-0000EF0C0000}"/>
    <cellStyle name="Input 2 4 4 2" xfId="2398" xr:uid="{00000000-0005-0000-0000-0000F00C0000}"/>
    <cellStyle name="Input 2 4 5" xfId="2399" xr:uid="{00000000-0005-0000-0000-0000F10C0000}"/>
    <cellStyle name="Input 2 4 6" xfId="2400" xr:uid="{00000000-0005-0000-0000-0000F20C0000}"/>
    <cellStyle name="Input 2 4 7" xfId="2401" xr:uid="{00000000-0005-0000-0000-0000F30C0000}"/>
    <cellStyle name="Input 2 4 8" xfId="2402" xr:uid="{00000000-0005-0000-0000-0000F40C0000}"/>
    <cellStyle name="Input 2 4 9" xfId="2403" xr:uid="{00000000-0005-0000-0000-0000F50C0000}"/>
    <cellStyle name="Input 2 5" xfId="2404" xr:uid="{00000000-0005-0000-0000-0000F60C0000}"/>
    <cellStyle name="Input 2 5 10" xfId="2405" xr:uid="{00000000-0005-0000-0000-0000F70C0000}"/>
    <cellStyle name="Input 2 5 11" xfId="2406" xr:uid="{00000000-0005-0000-0000-0000F80C0000}"/>
    <cellStyle name="Input 2 5 2" xfId="2407" xr:uid="{00000000-0005-0000-0000-0000F90C0000}"/>
    <cellStyle name="Input 2 5 2 2" xfId="2408" xr:uid="{00000000-0005-0000-0000-0000FA0C0000}"/>
    <cellStyle name="Input 2 5 2 3" xfId="2409" xr:uid="{00000000-0005-0000-0000-0000FB0C0000}"/>
    <cellStyle name="Input 2 5 3" xfId="2410" xr:uid="{00000000-0005-0000-0000-0000FC0C0000}"/>
    <cellStyle name="Input 2 5 3 2" xfId="2411" xr:uid="{00000000-0005-0000-0000-0000FD0C0000}"/>
    <cellStyle name="Input 2 5 4" xfId="2412" xr:uid="{00000000-0005-0000-0000-0000FE0C0000}"/>
    <cellStyle name="Input 2 5 5" xfId="2413" xr:uid="{00000000-0005-0000-0000-0000FF0C0000}"/>
    <cellStyle name="Input 2 5 6" xfId="2414" xr:uid="{00000000-0005-0000-0000-0000000D0000}"/>
    <cellStyle name="Input 2 5 7" xfId="2415" xr:uid="{00000000-0005-0000-0000-0000010D0000}"/>
    <cellStyle name="Input 2 5 8" xfId="2416" xr:uid="{00000000-0005-0000-0000-0000020D0000}"/>
    <cellStyle name="Input 2 5 9" xfId="2417" xr:uid="{00000000-0005-0000-0000-0000030D0000}"/>
    <cellStyle name="Input 2 6" xfId="2418" xr:uid="{00000000-0005-0000-0000-0000040D0000}"/>
    <cellStyle name="Input 2 6 10" xfId="2419" xr:uid="{00000000-0005-0000-0000-0000050D0000}"/>
    <cellStyle name="Input 2 6 11" xfId="2420" xr:uid="{00000000-0005-0000-0000-0000060D0000}"/>
    <cellStyle name="Input 2 6 2" xfId="2421" xr:uid="{00000000-0005-0000-0000-0000070D0000}"/>
    <cellStyle name="Input 2 6 3" xfId="2422" xr:uid="{00000000-0005-0000-0000-0000080D0000}"/>
    <cellStyle name="Input 2 6 4" xfId="2423" xr:uid="{00000000-0005-0000-0000-0000090D0000}"/>
    <cellStyle name="Input 2 6 5" xfId="2424" xr:uid="{00000000-0005-0000-0000-00000A0D0000}"/>
    <cellStyle name="Input 2 6 6" xfId="2425" xr:uid="{00000000-0005-0000-0000-00000B0D0000}"/>
    <cellStyle name="Input 2 6 7" xfId="2426" xr:uid="{00000000-0005-0000-0000-00000C0D0000}"/>
    <cellStyle name="Input 2 6 8" xfId="2427" xr:uid="{00000000-0005-0000-0000-00000D0D0000}"/>
    <cellStyle name="Input 2 6 9" xfId="2428" xr:uid="{00000000-0005-0000-0000-00000E0D0000}"/>
    <cellStyle name="Input 2 7" xfId="2429" xr:uid="{00000000-0005-0000-0000-00000F0D0000}"/>
    <cellStyle name="Input 2 7 10" xfId="2430" xr:uid="{00000000-0005-0000-0000-0000100D0000}"/>
    <cellStyle name="Input 2 7 11" xfId="2431" xr:uid="{00000000-0005-0000-0000-0000110D0000}"/>
    <cellStyle name="Input 2 7 2" xfId="2432" xr:uid="{00000000-0005-0000-0000-0000120D0000}"/>
    <cellStyle name="Input 2 7 3" xfId="2433" xr:uid="{00000000-0005-0000-0000-0000130D0000}"/>
    <cellStyle name="Input 2 7 4" xfId="2434" xr:uid="{00000000-0005-0000-0000-0000140D0000}"/>
    <cellStyle name="Input 2 7 5" xfId="2435" xr:uid="{00000000-0005-0000-0000-0000150D0000}"/>
    <cellStyle name="Input 2 7 6" xfId="2436" xr:uid="{00000000-0005-0000-0000-0000160D0000}"/>
    <cellStyle name="Input 2 7 7" xfId="2437" xr:uid="{00000000-0005-0000-0000-0000170D0000}"/>
    <cellStyle name="Input 2 7 8" xfId="2438" xr:uid="{00000000-0005-0000-0000-0000180D0000}"/>
    <cellStyle name="Input 2 7 9" xfId="2439" xr:uid="{00000000-0005-0000-0000-0000190D0000}"/>
    <cellStyle name="Input 2 8" xfId="2440" xr:uid="{00000000-0005-0000-0000-00001A0D0000}"/>
    <cellStyle name="Input 2 8 10" xfId="2441" xr:uid="{00000000-0005-0000-0000-00001B0D0000}"/>
    <cellStyle name="Input 2 8 2" xfId="2442" xr:uid="{00000000-0005-0000-0000-00001C0D0000}"/>
    <cellStyle name="Input 2 8 3" xfId="2443" xr:uid="{00000000-0005-0000-0000-00001D0D0000}"/>
    <cellStyle name="Input 2 8 4" xfId="2444" xr:uid="{00000000-0005-0000-0000-00001E0D0000}"/>
    <cellStyle name="Input 2 8 5" xfId="2445" xr:uid="{00000000-0005-0000-0000-00001F0D0000}"/>
    <cellStyle name="Input 2 8 6" xfId="2446" xr:uid="{00000000-0005-0000-0000-0000200D0000}"/>
    <cellStyle name="Input 2 8 7" xfId="2447" xr:uid="{00000000-0005-0000-0000-0000210D0000}"/>
    <cellStyle name="Input 2 8 8" xfId="2448" xr:uid="{00000000-0005-0000-0000-0000220D0000}"/>
    <cellStyle name="Input 2 8 9" xfId="2449" xr:uid="{00000000-0005-0000-0000-0000230D0000}"/>
    <cellStyle name="Input 2 9" xfId="2450" xr:uid="{00000000-0005-0000-0000-0000240D0000}"/>
    <cellStyle name="Input 3" xfId="2451" xr:uid="{00000000-0005-0000-0000-0000250D0000}"/>
    <cellStyle name="Input 3 2" xfId="2452" xr:uid="{00000000-0005-0000-0000-0000260D0000}"/>
    <cellStyle name="Input 3 2 2" xfId="2453" xr:uid="{00000000-0005-0000-0000-0000270D0000}"/>
    <cellStyle name="Input 3 3" xfId="2454" xr:uid="{00000000-0005-0000-0000-0000280D0000}"/>
    <cellStyle name="Input 3 3 2" xfId="2455" xr:uid="{00000000-0005-0000-0000-0000290D0000}"/>
    <cellStyle name="Input 3 4" xfId="2456" xr:uid="{00000000-0005-0000-0000-00002A0D0000}"/>
    <cellStyle name="Input 4" xfId="2457" xr:uid="{00000000-0005-0000-0000-00002B0D0000}"/>
    <cellStyle name="Input 4 2" xfId="2458" xr:uid="{00000000-0005-0000-0000-00002C0D0000}"/>
    <cellStyle name="Input 5" xfId="2459" xr:uid="{00000000-0005-0000-0000-00002D0D0000}"/>
    <cellStyle name="KPMG Heading 1" xfId="2460" xr:uid="{00000000-0005-0000-0000-00002E0D0000}"/>
    <cellStyle name="KPMG Heading 2" xfId="2461" xr:uid="{00000000-0005-0000-0000-00002F0D0000}"/>
    <cellStyle name="KPMG Heading 3" xfId="2462" xr:uid="{00000000-0005-0000-0000-0000300D0000}"/>
    <cellStyle name="KPMG Heading 4" xfId="2463" xr:uid="{00000000-0005-0000-0000-0000310D0000}"/>
    <cellStyle name="KPMG Normal" xfId="2464" xr:uid="{00000000-0005-0000-0000-0000320D0000}"/>
    <cellStyle name="KPMG Normal Text" xfId="2465" xr:uid="{00000000-0005-0000-0000-0000330D0000}"/>
    <cellStyle name="Linked Cell 2" xfId="2466" xr:uid="{00000000-0005-0000-0000-0000340D0000}"/>
    <cellStyle name="Linked Cell 2 2" xfId="2467" xr:uid="{00000000-0005-0000-0000-0000350D0000}"/>
    <cellStyle name="Linked Cell 2 2 2" xfId="2468" xr:uid="{00000000-0005-0000-0000-0000360D0000}"/>
    <cellStyle name="Linked Cell 2 3" xfId="2469" xr:uid="{00000000-0005-0000-0000-0000370D0000}"/>
    <cellStyle name="Linked Cell 2 4" xfId="2470" xr:uid="{00000000-0005-0000-0000-0000380D0000}"/>
    <cellStyle name="Linked Cell 3" xfId="2471" xr:uid="{00000000-0005-0000-0000-0000390D0000}"/>
    <cellStyle name="Linked Cell 4" xfId="2472" xr:uid="{00000000-0005-0000-0000-00003A0D0000}"/>
    <cellStyle name="Neutral 2" xfId="2473" xr:uid="{00000000-0005-0000-0000-00003B0D0000}"/>
    <cellStyle name="Neutral 2 2" xfId="2474" xr:uid="{00000000-0005-0000-0000-00003C0D0000}"/>
    <cellStyle name="Neutral 2 2 2" xfId="2475" xr:uid="{00000000-0005-0000-0000-00003D0D0000}"/>
    <cellStyle name="Neutral 2 3" xfId="2476" xr:uid="{00000000-0005-0000-0000-00003E0D0000}"/>
    <cellStyle name="Neutral 2 4" xfId="2477" xr:uid="{00000000-0005-0000-0000-00003F0D0000}"/>
    <cellStyle name="Neutral 3" xfId="2478" xr:uid="{00000000-0005-0000-0000-0000400D0000}"/>
    <cellStyle name="Neutral 4" xfId="2479" xr:uid="{00000000-0005-0000-0000-0000410D0000}"/>
    <cellStyle name="Normal" xfId="0" builtinId="0"/>
    <cellStyle name="Normal 10" xfId="2480" xr:uid="{00000000-0005-0000-0000-0000430D0000}"/>
    <cellStyle name="Normal 10 10" xfId="2481" xr:uid="{00000000-0005-0000-0000-0000440D0000}"/>
    <cellStyle name="Normal 10 10 2" xfId="2482" xr:uid="{00000000-0005-0000-0000-0000450D0000}"/>
    <cellStyle name="Normal 10 10 2 2" xfId="2483" xr:uid="{00000000-0005-0000-0000-0000460D0000}"/>
    <cellStyle name="Normal 10 10 2 2 2" xfId="2484" xr:uid="{00000000-0005-0000-0000-0000470D0000}"/>
    <cellStyle name="Normal 10 10 2 2 2 2" xfId="46940" xr:uid="{00000000-0005-0000-0000-0000480D0000}"/>
    <cellStyle name="Normal 10 10 2 2 2 3" xfId="46941" xr:uid="{00000000-0005-0000-0000-0000490D0000}"/>
    <cellStyle name="Normal 10 10 2 2 3" xfId="2485" xr:uid="{00000000-0005-0000-0000-00004A0D0000}"/>
    <cellStyle name="Normal 10 10 2 2 3 2" xfId="46942" xr:uid="{00000000-0005-0000-0000-00004B0D0000}"/>
    <cellStyle name="Normal 10 10 2 2 4" xfId="2486" xr:uid="{00000000-0005-0000-0000-00004C0D0000}"/>
    <cellStyle name="Normal 10 10 2 2 5" xfId="2487" xr:uid="{00000000-0005-0000-0000-00004D0D0000}"/>
    <cellStyle name="Normal 10 10 2 2 6" xfId="2488" xr:uid="{00000000-0005-0000-0000-00004E0D0000}"/>
    <cellStyle name="Normal 10 10 2 3" xfId="2489" xr:uid="{00000000-0005-0000-0000-00004F0D0000}"/>
    <cellStyle name="Normal 10 10 2 3 2" xfId="46943" xr:uid="{00000000-0005-0000-0000-0000500D0000}"/>
    <cellStyle name="Normal 10 10 2 3 3" xfId="46944" xr:uid="{00000000-0005-0000-0000-0000510D0000}"/>
    <cellStyle name="Normal 10 10 2 4" xfId="2490" xr:uid="{00000000-0005-0000-0000-0000520D0000}"/>
    <cellStyle name="Normal 10 10 2 4 2" xfId="46945" xr:uid="{00000000-0005-0000-0000-0000530D0000}"/>
    <cellStyle name="Normal 10 10 2 5" xfId="2491" xr:uid="{00000000-0005-0000-0000-0000540D0000}"/>
    <cellStyle name="Normal 10 10 2 6" xfId="2492" xr:uid="{00000000-0005-0000-0000-0000550D0000}"/>
    <cellStyle name="Normal 10 10 2 7" xfId="2493" xr:uid="{00000000-0005-0000-0000-0000560D0000}"/>
    <cellStyle name="Normal 10 10 3" xfId="2494" xr:uid="{00000000-0005-0000-0000-0000570D0000}"/>
    <cellStyle name="Normal 10 10 3 2" xfId="2495" xr:uid="{00000000-0005-0000-0000-0000580D0000}"/>
    <cellStyle name="Normal 10 10 3 2 2" xfId="46946" xr:uid="{00000000-0005-0000-0000-0000590D0000}"/>
    <cellStyle name="Normal 10 10 3 2 3" xfId="46947" xr:uid="{00000000-0005-0000-0000-00005A0D0000}"/>
    <cellStyle name="Normal 10 10 3 3" xfId="2496" xr:uid="{00000000-0005-0000-0000-00005B0D0000}"/>
    <cellStyle name="Normal 10 10 3 3 2" xfId="46948" xr:uid="{00000000-0005-0000-0000-00005C0D0000}"/>
    <cellStyle name="Normal 10 10 3 4" xfId="2497" xr:uid="{00000000-0005-0000-0000-00005D0D0000}"/>
    <cellStyle name="Normal 10 10 3 5" xfId="2498" xr:uid="{00000000-0005-0000-0000-00005E0D0000}"/>
    <cellStyle name="Normal 10 10 3 6" xfId="2499" xr:uid="{00000000-0005-0000-0000-00005F0D0000}"/>
    <cellStyle name="Normal 10 10 4" xfId="2500" xr:uid="{00000000-0005-0000-0000-0000600D0000}"/>
    <cellStyle name="Normal 10 10 4 2" xfId="46949" xr:uid="{00000000-0005-0000-0000-0000610D0000}"/>
    <cellStyle name="Normal 10 10 4 3" xfId="46950" xr:uid="{00000000-0005-0000-0000-0000620D0000}"/>
    <cellStyle name="Normal 10 10 5" xfId="2501" xr:uid="{00000000-0005-0000-0000-0000630D0000}"/>
    <cellStyle name="Normal 10 10 5 2" xfId="46951" xr:uid="{00000000-0005-0000-0000-0000640D0000}"/>
    <cellStyle name="Normal 10 10 6" xfId="2502" xr:uid="{00000000-0005-0000-0000-0000650D0000}"/>
    <cellStyle name="Normal 10 10 7" xfId="2503" xr:uid="{00000000-0005-0000-0000-0000660D0000}"/>
    <cellStyle name="Normal 10 10 8" xfId="2504" xr:uid="{00000000-0005-0000-0000-0000670D0000}"/>
    <cellStyle name="Normal 10 11" xfId="2505" xr:uid="{00000000-0005-0000-0000-0000680D0000}"/>
    <cellStyle name="Normal 10 11 2" xfId="2506" xr:uid="{00000000-0005-0000-0000-0000690D0000}"/>
    <cellStyle name="Normal 10 11 2 2" xfId="2507" xr:uid="{00000000-0005-0000-0000-00006A0D0000}"/>
    <cellStyle name="Normal 10 11 2 2 2" xfId="2508" xr:uid="{00000000-0005-0000-0000-00006B0D0000}"/>
    <cellStyle name="Normal 10 11 2 2 2 2" xfId="46952" xr:uid="{00000000-0005-0000-0000-00006C0D0000}"/>
    <cellStyle name="Normal 10 11 2 2 2 3" xfId="46953" xr:uid="{00000000-0005-0000-0000-00006D0D0000}"/>
    <cellStyle name="Normal 10 11 2 2 3" xfId="2509" xr:uid="{00000000-0005-0000-0000-00006E0D0000}"/>
    <cellStyle name="Normal 10 11 2 2 3 2" xfId="46954" xr:uid="{00000000-0005-0000-0000-00006F0D0000}"/>
    <cellStyle name="Normal 10 11 2 2 4" xfId="2510" xr:uid="{00000000-0005-0000-0000-0000700D0000}"/>
    <cellStyle name="Normal 10 11 2 2 5" xfId="2511" xr:uid="{00000000-0005-0000-0000-0000710D0000}"/>
    <cellStyle name="Normal 10 11 2 2 6" xfId="2512" xr:uid="{00000000-0005-0000-0000-0000720D0000}"/>
    <cellStyle name="Normal 10 11 2 3" xfId="2513" xr:uid="{00000000-0005-0000-0000-0000730D0000}"/>
    <cellStyle name="Normal 10 11 2 3 2" xfId="46955" xr:uid="{00000000-0005-0000-0000-0000740D0000}"/>
    <cellStyle name="Normal 10 11 2 3 3" xfId="46956" xr:uid="{00000000-0005-0000-0000-0000750D0000}"/>
    <cellStyle name="Normal 10 11 2 4" xfId="2514" xr:uid="{00000000-0005-0000-0000-0000760D0000}"/>
    <cellStyle name="Normal 10 11 2 4 2" xfId="46957" xr:uid="{00000000-0005-0000-0000-0000770D0000}"/>
    <cellStyle name="Normal 10 11 2 5" xfId="2515" xr:uid="{00000000-0005-0000-0000-0000780D0000}"/>
    <cellStyle name="Normal 10 11 2 6" xfId="2516" xr:uid="{00000000-0005-0000-0000-0000790D0000}"/>
    <cellStyle name="Normal 10 11 2 7" xfId="2517" xr:uid="{00000000-0005-0000-0000-00007A0D0000}"/>
    <cellStyle name="Normal 10 11 3" xfId="2518" xr:uid="{00000000-0005-0000-0000-00007B0D0000}"/>
    <cellStyle name="Normal 10 11 3 2" xfId="2519" xr:uid="{00000000-0005-0000-0000-00007C0D0000}"/>
    <cellStyle name="Normal 10 11 3 2 2" xfId="46958" xr:uid="{00000000-0005-0000-0000-00007D0D0000}"/>
    <cellStyle name="Normal 10 11 3 2 3" xfId="46959" xr:uid="{00000000-0005-0000-0000-00007E0D0000}"/>
    <cellStyle name="Normal 10 11 3 3" xfId="2520" xr:uid="{00000000-0005-0000-0000-00007F0D0000}"/>
    <cellStyle name="Normal 10 11 3 3 2" xfId="46960" xr:uid="{00000000-0005-0000-0000-0000800D0000}"/>
    <cellStyle name="Normal 10 11 3 4" xfId="2521" xr:uid="{00000000-0005-0000-0000-0000810D0000}"/>
    <cellStyle name="Normal 10 11 3 5" xfId="2522" xr:uid="{00000000-0005-0000-0000-0000820D0000}"/>
    <cellStyle name="Normal 10 11 3 6" xfId="2523" xr:uid="{00000000-0005-0000-0000-0000830D0000}"/>
    <cellStyle name="Normal 10 11 4" xfId="2524" xr:uid="{00000000-0005-0000-0000-0000840D0000}"/>
    <cellStyle name="Normal 10 11 4 2" xfId="46961" xr:uid="{00000000-0005-0000-0000-0000850D0000}"/>
    <cellStyle name="Normal 10 11 4 3" xfId="46962" xr:uid="{00000000-0005-0000-0000-0000860D0000}"/>
    <cellStyle name="Normal 10 11 5" xfId="2525" xr:uid="{00000000-0005-0000-0000-0000870D0000}"/>
    <cellStyle name="Normal 10 11 5 2" xfId="46963" xr:uid="{00000000-0005-0000-0000-0000880D0000}"/>
    <cellStyle name="Normal 10 11 6" xfId="2526" xr:uid="{00000000-0005-0000-0000-0000890D0000}"/>
    <cellStyle name="Normal 10 11 7" xfId="2527" xr:uid="{00000000-0005-0000-0000-00008A0D0000}"/>
    <cellStyle name="Normal 10 11 8" xfId="2528" xr:uid="{00000000-0005-0000-0000-00008B0D0000}"/>
    <cellStyle name="Normal 10 12" xfId="2529" xr:uid="{00000000-0005-0000-0000-00008C0D0000}"/>
    <cellStyle name="Normal 10 12 2" xfId="2530" xr:uid="{00000000-0005-0000-0000-00008D0D0000}"/>
    <cellStyle name="Normal 10 12 2 2" xfId="2531" xr:uid="{00000000-0005-0000-0000-00008E0D0000}"/>
    <cellStyle name="Normal 10 12 2 2 2" xfId="46964" xr:uid="{00000000-0005-0000-0000-00008F0D0000}"/>
    <cellStyle name="Normal 10 12 2 2 3" xfId="46965" xr:uid="{00000000-0005-0000-0000-0000900D0000}"/>
    <cellStyle name="Normal 10 12 2 3" xfId="2532" xr:uid="{00000000-0005-0000-0000-0000910D0000}"/>
    <cellStyle name="Normal 10 12 2 3 2" xfId="46966" xr:uid="{00000000-0005-0000-0000-0000920D0000}"/>
    <cellStyle name="Normal 10 12 2 4" xfId="2533" xr:uid="{00000000-0005-0000-0000-0000930D0000}"/>
    <cellStyle name="Normal 10 12 2 5" xfId="2534" xr:uid="{00000000-0005-0000-0000-0000940D0000}"/>
    <cellStyle name="Normal 10 12 2 6" xfId="2535" xr:uid="{00000000-0005-0000-0000-0000950D0000}"/>
    <cellStyle name="Normal 10 12 3" xfId="2536" xr:uid="{00000000-0005-0000-0000-0000960D0000}"/>
    <cellStyle name="Normal 10 12 3 2" xfId="46967" xr:uid="{00000000-0005-0000-0000-0000970D0000}"/>
    <cellStyle name="Normal 10 12 3 3" xfId="46968" xr:uid="{00000000-0005-0000-0000-0000980D0000}"/>
    <cellStyle name="Normal 10 12 4" xfId="2537" xr:uid="{00000000-0005-0000-0000-0000990D0000}"/>
    <cellStyle name="Normal 10 12 4 2" xfId="46969" xr:uid="{00000000-0005-0000-0000-00009A0D0000}"/>
    <cellStyle name="Normal 10 12 5" xfId="2538" xr:uid="{00000000-0005-0000-0000-00009B0D0000}"/>
    <cellStyle name="Normal 10 12 6" xfId="2539" xr:uid="{00000000-0005-0000-0000-00009C0D0000}"/>
    <cellStyle name="Normal 10 12 7" xfId="2540" xr:uid="{00000000-0005-0000-0000-00009D0D0000}"/>
    <cellStyle name="Normal 10 13" xfId="2541" xr:uid="{00000000-0005-0000-0000-00009E0D0000}"/>
    <cellStyle name="Normal 10 13 2" xfId="2542" xr:uid="{00000000-0005-0000-0000-00009F0D0000}"/>
    <cellStyle name="Normal 10 13 2 2" xfId="46970" xr:uid="{00000000-0005-0000-0000-0000A00D0000}"/>
    <cellStyle name="Normal 10 13 2 3" xfId="46971" xr:uid="{00000000-0005-0000-0000-0000A10D0000}"/>
    <cellStyle name="Normal 10 13 3" xfId="2543" xr:uid="{00000000-0005-0000-0000-0000A20D0000}"/>
    <cellStyle name="Normal 10 13 3 2" xfId="46972" xr:uid="{00000000-0005-0000-0000-0000A30D0000}"/>
    <cellStyle name="Normal 10 13 4" xfId="2544" xr:uid="{00000000-0005-0000-0000-0000A40D0000}"/>
    <cellStyle name="Normal 10 13 5" xfId="2545" xr:uid="{00000000-0005-0000-0000-0000A50D0000}"/>
    <cellStyle name="Normal 10 13 6" xfId="2546" xr:uid="{00000000-0005-0000-0000-0000A60D0000}"/>
    <cellStyle name="Normal 10 14" xfId="2547" xr:uid="{00000000-0005-0000-0000-0000A70D0000}"/>
    <cellStyle name="Normal 10 14 2" xfId="46973" xr:uid="{00000000-0005-0000-0000-0000A80D0000}"/>
    <cellStyle name="Normal 10 14 3" xfId="46974" xr:uid="{00000000-0005-0000-0000-0000A90D0000}"/>
    <cellStyle name="Normal 10 15" xfId="2548" xr:uid="{00000000-0005-0000-0000-0000AA0D0000}"/>
    <cellStyle name="Normal 10 15 2" xfId="46975" xr:uid="{00000000-0005-0000-0000-0000AB0D0000}"/>
    <cellStyle name="Normal 10 16" xfId="2549" xr:uid="{00000000-0005-0000-0000-0000AC0D0000}"/>
    <cellStyle name="Normal 10 16 2" xfId="46976" xr:uid="{00000000-0005-0000-0000-0000AD0D0000}"/>
    <cellStyle name="Normal 10 17" xfId="2550" xr:uid="{00000000-0005-0000-0000-0000AE0D0000}"/>
    <cellStyle name="Normal 10 18" xfId="2551" xr:uid="{00000000-0005-0000-0000-0000AF0D0000}"/>
    <cellStyle name="Normal 10 19" xfId="2552" xr:uid="{00000000-0005-0000-0000-0000B00D0000}"/>
    <cellStyle name="Normal 10 2" xfId="2553" xr:uid="{00000000-0005-0000-0000-0000B10D0000}"/>
    <cellStyle name="Normal 10 2 2" xfId="2554" xr:uid="{00000000-0005-0000-0000-0000B20D0000}"/>
    <cellStyle name="Normal 10 2 2 2" xfId="2555" xr:uid="{00000000-0005-0000-0000-0000B30D0000}"/>
    <cellStyle name="Normal 10 2 2 2 2" xfId="2556" xr:uid="{00000000-0005-0000-0000-0000B40D0000}"/>
    <cellStyle name="Normal 10 2 2 2 2 2" xfId="46977" xr:uid="{00000000-0005-0000-0000-0000B50D0000}"/>
    <cellStyle name="Normal 10 2 2 2 3" xfId="46978" xr:uid="{00000000-0005-0000-0000-0000B60D0000}"/>
    <cellStyle name="Normal 10 2 2 3" xfId="2557" xr:uid="{00000000-0005-0000-0000-0000B70D0000}"/>
    <cellStyle name="Normal 10 2 2 3 2" xfId="2558" xr:uid="{00000000-0005-0000-0000-0000B80D0000}"/>
    <cellStyle name="Normal 10 2 2 3 2 2" xfId="46979" xr:uid="{00000000-0005-0000-0000-0000B90D0000}"/>
    <cellStyle name="Normal 10 2 2 3 3" xfId="46980" xr:uid="{00000000-0005-0000-0000-0000BA0D0000}"/>
    <cellStyle name="Normal 10 2 2 4" xfId="2559" xr:uid="{00000000-0005-0000-0000-0000BB0D0000}"/>
    <cellStyle name="Normal 10 2 2 4 2" xfId="46981" xr:uid="{00000000-0005-0000-0000-0000BC0D0000}"/>
    <cellStyle name="Normal 10 2 2 5" xfId="2560" xr:uid="{00000000-0005-0000-0000-0000BD0D0000}"/>
    <cellStyle name="Normal 10 2 2 5 2" xfId="46982" xr:uid="{00000000-0005-0000-0000-0000BE0D0000}"/>
    <cellStyle name="Normal 10 2 2 6" xfId="2561" xr:uid="{00000000-0005-0000-0000-0000BF0D0000}"/>
    <cellStyle name="Normal 10 2 3" xfId="2562" xr:uid="{00000000-0005-0000-0000-0000C00D0000}"/>
    <cellStyle name="Normal 10 2 3 2" xfId="2563" xr:uid="{00000000-0005-0000-0000-0000C10D0000}"/>
    <cellStyle name="Normal 10 2 3 2 2" xfId="2564" xr:uid="{00000000-0005-0000-0000-0000C20D0000}"/>
    <cellStyle name="Normal 10 2 3 2 2 2" xfId="46983" xr:uid="{00000000-0005-0000-0000-0000C30D0000}"/>
    <cellStyle name="Normal 10 2 3 2 2 3" xfId="46984" xr:uid="{00000000-0005-0000-0000-0000C40D0000}"/>
    <cellStyle name="Normal 10 2 3 2 3" xfId="46985" xr:uid="{00000000-0005-0000-0000-0000C50D0000}"/>
    <cellStyle name="Normal 10 2 3 2 4" xfId="46986" xr:uid="{00000000-0005-0000-0000-0000C60D0000}"/>
    <cellStyle name="Normal 10 2 3 3" xfId="2565" xr:uid="{00000000-0005-0000-0000-0000C70D0000}"/>
    <cellStyle name="Normal 10 2 3 3 2" xfId="46987" xr:uid="{00000000-0005-0000-0000-0000C80D0000}"/>
    <cellStyle name="Normal 10 2 3 3 3" xfId="46988" xr:uid="{00000000-0005-0000-0000-0000C90D0000}"/>
    <cellStyle name="Normal 10 2 3 4" xfId="2566" xr:uid="{00000000-0005-0000-0000-0000CA0D0000}"/>
    <cellStyle name="Normal 10 2 3 4 2" xfId="46989" xr:uid="{00000000-0005-0000-0000-0000CB0D0000}"/>
    <cellStyle name="Normal 10 2 3 5" xfId="46990" xr:uid="{00000000-0005-0000-0000-0000CC0D0000}"/>
    <cellStyle name="Normal 10 2 3 6" xfId="46991" xr:uid="{00000000-0005-0000-0000-0000CD0D0000}"/>
    <cellStyle name="Normal 10 2 4" xfId="2567" xr:uid="{00000000-0005-0000-0000-0000CE0D0000}"/>
    <cellStyle name="Normal 10 2 4 2" xfId="2568" xr:uid="{00000000-0005-0000-0000-0000CF0D0000}"/>
    <cellStyle name="Normal 10 2 4 2 2" xfId="2569" xr:uid="{00000000-0005-0000-0000-0000D00D0000}"/>
    <cellStyle name="Normal 10 2 4 2 2 2" xfId="46992" xr:uid="{00000000-0005-0000-0000-0000D10D0000}"/>
    <cellStyle name="Normal 10 2 4 2 2 3" xfId="46993" xr:uid="{00000000-0005-0000-0000-0000D20D0000}"/>
    <cellStyle name="Normal 10 2 4 2 3" xfId="46994" xr:uid="{00000000-0005-0000-0000-0000D30D0000}"/>
    <cellStyle name="Normal 10 2 4 2 4" xfId="46995" xr:uid="{00000000-0005-0000-0000-0000D40D0000}"/>
    <cellStyle name="Normal 10 2 4 3" xfId="2570" xr:uid="{00000000-0005-0000-0000-0000D50D0000}"/>
    <cellStyle name="Normal 10 2 4 3 2" xfId="46996" xr:uid="{00000000-0005-0000-0000-0000D60D0000}"/>
    <cellStyle name="Normal 10 2 4 3 3" xfId="46997" xr:uid="{00000000-0005-0000-0000-0000D70D0000}"/>
    <cellStyle name="Normal 10 2 4 4" xfId="46998" xr:uid="{00000000-0005-0000-0000-0000D80D0000}"/>
    <cellStyle name="Normal 10 2 4 5" xfId="46999" xr:uid="{00000000-0005-0000-0000-0000D90D0000}"/>
    <cellStyle name="Normal 10 2 5" xfId="2571" xr:uid="{00000000-0005-0000-0000-0000DA0D0000}"/>
    <cellStyle name="Normal 10 2 5 2" xfId="2572" xr:uid="{00000000-0005-0000-0000-0000DB0D0000}"/>
    <cellStyle name="Normal 10 2 5 2 2" xfId="47000" xr:uid="{00000000-0005-0000-0000-0000DC0D0000}"/>
    <cellStyle name="Normal 10 2 5 2 3" xfId="47001" xr:uid="{00000000-0005-0000-0000-0000DD0D0000}"/>
    <cellStyle name="Normal 10 2 5 3" xfId="47002" xr:uid="{00000000-0005-0000-0000-0000DE0D0000}"/>
    <cellStyle name="Normal 10 2 5 4" xfId="47003" xr:uid="{00000000-0005-0000-0000-0000DF0D0000}"/>
    <cellStyle name="Normal 10 2 6" xfId="2573" xr:uid="{00000000-0005-0000-0000-0000E00D0000}"/>
    <cellStyle name="Normal 10 2 6 2" xfId="47004" xr:uid="{00000000-0005-0000-0000-0000E10D0000}"/>
    <cellStyle name="Normal 10 2 6 3" xfId="47005" xr:uid="{00000000-0005-0000-0000-0000E20D0000}"/>
    <cellStyle name="Normal 10 2 7" xfId="2574" xr:uid="{00000000-0005-0000-0000-0000E30D0000}"/>
    <cellStyle name="Normal 10 2 7 2" xfId="47006" xr:uid="{00000000-0005-0000-0000-0000E40D0000}"/>
    <cellStyle name="Normal 10 2 8" xfId="2575" xr:uid="{00000000-0005-0000-0000-0000E50D0000}"/>
    <cellStyle name="Normal 10 2 9" xfId="47007" xr:uid="{00000000-0005-0000-0000-0000E60D0000}"/>
    <cellStyle name="Normal 10 20" xfId="2576" xr:uid="{00000000-0005-0000-0000-0000E70D0000}"/>
    <cellStyle name="Normal 10 21" xfId="2577" xr:uid="{00000000-0005-0000-0000-0000E80D0000}"/>
    <cellStyle name="Normal 10 22" xfId="2578" xr:uid="{00000000-0005-0000-0000-0000E90D0000}"/>
    <cellStyle name="Normal 10 3" xfId="2579" xr:uid="{00000000-0005-0000-0000-0000EA0D0000}"/>
    <cellStyle name="Normal 10 3 10" xfId="2580" xr:uid="{00000000-0005-0000-0000-0000EB0D0000}"/>
    <cellStyle name="Normal 10 3 10 2" xfId="2581" xr:uid="{00000000-0005-0000-0000-0000EC0D0000}"/>
    <cellStyle name="Normal 10 3 10 2 2" xfId="2582" xr:uid="{00000000-0005-0000-0000-0000ED0D0000}"/>
    <cellStyle name="Normal 10 3 10 2 2 2" xfId="47008" xr:uid="{00000000-0005-0000-0000-0000EE0D0000}"/>
    <cellStyle name="Normal 10 3 10 2 2 3" xfId="47009" xr:uid="{00000000-0005-0000-0000-0000EF0D0000}"/>
    <cellStyle name="Normal 10 3 10 2 3" xfId="2583" xr:uid="{00000000-0005-0000-0000-0000F00D0000}"/>
    <cellStyle name="Normal 10 3 10 2 3 2" xfId="47010" xr:uid="{00000000-0005-0000-0000-0000F10D0000}"/>
    <cellStyle name="Normal 10 3 10 2 4" xfId="2584" xr:uid="{00000000-0005-0000-0000-0000F20D0000}"/>
    <cellStyle name="Normal 10 3 10 2 5" xfId="2585" xr:uid="{00000000-0005-0000-0000-0000F30D0000}"/>
    <cellStyle name="Normal 10 3 10 2 6" xfId="2586" xr:uid="{00000000-0005-0000-0000-0000F40D0000}"/>
    <cellStyle name="Normal 10 3 10 3" xfId="2587" xr:uid="{00000000-0005-0000-0000-0000F50D0000}"/>
    <cellStyle name="Normal 10 3 10 3 2" xfId="47011" xr:uid="{00000000-0005-0000-0000-0000F60D0000}"/>
    <cellStyle name="Normal 10 3 10 3 3" xfId="47012" xr:uid="{00000000-0005-0000-0000-0000F70D0000}"/>
    <cellStyle name="Normal 10 3 10 4" xfId="2588" xr:uid="{00000000-0005-0000-0000-0000F80D0000}"/>
    <cellStyle name="Normal 10 3 10 4 2" xfId="47013" xr:uid="{00000000-0005-0000-0000-0000F90D0000}"/>
    <cellStyle name="Normal 10 3 10 5" xfId="2589" xr:uid="{00000000-0005-0000-0000-0000FA0D0000}"/>
    <cellStyle name="Normal 10 3 10 6" xfId="2590" xr:uid="{00000000-0005-0000-0000-0000FB0D0000}"/>
    <cellStyle name="Normal 10 3 10 7" xfId="2591" xr:uid="{00000000-0005-0000-0000-0000FC0D0000}"/>
    <cellStyle name="Normal 10 3 11" xfId="2592" xr:uid="{00000000-0005-0000-0000-0000FD0D0000}"/>
    <cellStyle name="Normal 10 3 11 2" xfId="2593" xr:uid="{00000000-0005-0000-0000-0000FE0D0000}"/>
    <cellStyle name="Normal 10 3 11 2 2" xfId="47014" xr:uid="{00000000-0005-0000-0000-0000FF0D0000}"/>
    <cellStyle name="Normal 10 3 11 2 3" xfId="47015" xr:uid="{00000000-0005-0000-0000-0000000E0000}"/>
    <cellStyle name="Normal 10 3 11 3" xfId="2594" xr:uid="{00000000-0005-0000-0000-0000010E0000}"/>
    <cellStyle name="Normal 10 3 11 3 2" xfId="47016" xr:uid="{00000000-0005-0000-0000-0000020E0000}"/>
    <cellStyle name="Normal 10 3 11 4" xfId="2595" xr:uid="{00000000-0005-0000-0000-0000030E0000}"/>
    <cellStyle name="Normal 10 3 11 5" xfId="2596" xr:uid="{00000000-0005-0000-0000-0000040E0000}"/>
    <cellStyle name="Normal 10 3 11 6" xfId="2597" xr:uid="{00000000-0005-0000-0000-0000050E0000}"/>
    <cellStyle name="Normal 10 3 12" xfId="2598" xr:uid="{00000000-0005-0000-0000-0000060E0000}"/>
    <cellStyle name="Normal 10 3 12 2" xfId="47017" xr:uid="{00000000-0005-0000-0000-0000070E0000}"/>
    <cellStyle name="Normal 10 3 12 3" xfId="47018" xr:uid="{00000000-0005-0000-0000-0000080E0000}"/>
    <cellStyle name="Normal 10 3 13" xfId="2599" xr:uid="{00000000-0005-0000-0000-0000090E0000}"/>
    <cellStyle name="Normal 10 3 13 2" xfId="47019" xr:uid="{00000000-0005-0000-0000-00000A0E0000}"/>
    <cellStyle name="Normal 10 3 14" xfId="2600" xr:uid="{00000000-0005-0000-0000-00000B0E0000}"/>
    <cellStyle name="Normal 10 3 14 2" xfId="47020" xr:uid="{00000000-0005-0000-0000-00000C0E0000}"/>
    <cellStyle name="Normal 10 3 15" xfId="2601" xr:uid="{00000000-0005-0000-0000-00000D0E0000}"/>
    <cellStyle name="Normal 10 3 16" xfId="2602" xr:uid="{00000000-0005-0000-0000-00000E0E0000}"/>
    <cellStyle name="Normal 10 3 17" xfId="2603" xr:uid="{00000000-0005-0000-0000-00000F0E0000}"/>
    <cellStyle name="Normal 10 3 18" xfId="2604" xr:uid="{00000000-0005-0000-0000-0000100E0000}"/>
    <cellStyle name="Normal 10 3 19" xfId="2605" xr:uid="{00000000-0005-0000-0000-0000110E0000}"/>
    <cellStyle name="Normal 10 3 2" xfId="2606" xr:uid="{00000000-0005-0000-0000-0000120E0000}"/>
    <cellStyle name="Normal 10 3 2 10" xfId="2607" xr:uid="{00000000-0005-0000-0000-0000130E0000}"/>
    <cellStyle name="Normal 10 3 2 11" xfId="2608" xr:uid="{00000000-0005-0000-0000-0000140E0000}"/>
    <cellStyle name="Normal 10 3 2 12" xfId="2609" xr:uid="{00000000-0005-0000-0000-0000150E0000}"/>
    <cellStyle name="Normal 10 3 2 13" xfId="2610" xr:uid="{00000000-0005-0000-0000-0000160E0000}"/>
    <cellStyle name="Normal 10 3 2 14" xfId="2611" xr:uid="{00000000-0005-0000-0000-0000170E0000}"/>
    <cellStyle name="Normal 10 3 2 15" xfId="2612" xr:uid="{00000000-0005-0000-0000-0000180E0000}"/>
    <cellStyle name="Normal 10 3 2 2" xfId="2613" xr:uid="{00000000-0005-0000-0000-0000190E0000}"/>
    <cellStyle name="Normal 10 3 2 2 10" xfId="2614" xr:uid="{00000000-0005-0000-0000-00001A0E0000}"/>
    <cellStyle name="Normal 10 3 2 2 11" xfId="2615" xr:uid="{00000000-0005-0000-0000-00001B0E0000}"/>
    <cellStyle name="Normal 10 3 2 2 12" xfId="2616" xr:uid="{00000000-0005-0000-0000-00001C0E0000}"/>
    <cellStyle name="Normal 10 3 2 2 13" xfId="2617" xr:uid="{00000000-0005-0000-0000-00001D0E0000}"/>
    <cellStyle name="Normal 10 3 2 2 14" xfId="2618" xr:uid="{00000000-0005-0000-0000-00001E0E0000}"/>
    <cellStyle name="Normal 10 3 2 2 2" xfId="2619" xr:uid="{00000000-0005-0000-0000-00001F0E0000}"/>
    <cellStyle name="Normal 10 3 2 2 2 2" xfId="2620" xr:uid="{00000000-0005-0000-0000-0000200E0000}"/>
    <cellStyle name="Normal 10 3 2 2 2 2 2" xfId="2621" xr:uid="{00000000-0005-0000-0000-0000210E0000}"/>
    <cellStyle name="Normal 10 3 2 2 2 2 2 2" xfId="2622" xr:uid="{00000000-0005-0000-0000-0000220E0000}"/>
    <cellStyle name="Normal 10 3 2 2 2 2 2 2 2" xfId="47021" xr:uid="{00000000-0005-0000-0000-0000230E0000}"/>
    <cellStyle name="Normal 10 3 2 2 2 2 2 2 3" xfId="47022" xr:uid="{00000000-0005-0000-0000-0000240E0000}"/>
    <cellStyle name="Normal 10 3 2 2 2 2 2 3" xfId="2623" xr:uid="{00000000-0005-0000-0000-0000250E0000}"/>
    <cellStyle name="Normal 10 3 2 2 2 2 2 3 2" xfId="47023" xr:uid="{00000000-0005-0000-0000-0000260E0000}"/>
    <cellStyle name="Normal 10 3 2 2 2 2 2 4" xfId="2624" xr:uid="{00000000-0005-0000-0000-0000270E0000}"/>
    <cellStyle name="Normal 10 3 2 2 2 2 2 5" xfId="2625" xr:uid="{00000000-0005-0000-0000-0000280E0000}"/>
    <cellStyle name="Normal 10 3 2 2 2 2 2 6" xfId="2626" xr:uid="{00000000-0005-0000-0000-0000290E0000}"/>
    <cellStyle name="Normal 10 3 2 2 2 2 3" xfId="2627" xr:uid="{00000000-0005-0000-0000-00002A0E0000}"/>
    <cellStyle name="Normal 10 3 2 2 2 2 3 2" xfId="47024" xr:uid="{00000000-0005-0000-0000-00002B0E0000}"/>
    <cellStyle name="Normal 10 3 2 2 2 2 3 3" xfId="47025" xr:uid="{00000000-0005-0000-0000-00002C0E0000}"/>
    <cellStyle name="Normal 10 3 2 2 2 2 4" xfId="2628" xr:uid="{00000000-0005-0000-0000-00002D0E0000}"/>
    <cellStyle name="Normal 10 3 2 2 2 2 4 2" xfId="47026" xr:uid="{00000000-0005-0000-0000-00002E0E0000}"/>
    <cellStyle name="Normal 10 3 2 2 2 2 5" xfId="2629" xr:uid="{00000000-0005-0000-0000-00002F0E0000}"/>
    <cellStyle name="Normal 10 3 2 2 2 2 6" xfId="2630" xr:uid="{00000000-0005-0000-0000-0000300E0000}"/>
    <cellStyle name="Normal 10 3 2 2 2 2 7" xfId="2631" xr:uid="{00000000-0005-0000-0000-0000310E0000}"/>
    <cellStyle name="Normal 10 3 2 2 2 3" xfId="2632" xr:uid="{00000000-0005-0000-0000-0000320E0000}"/>
    <cellStyle name="Normal 10 3 2 2 2 3 2" xfId="2633" xr:uid="{00000000-0005-0000-0000-0000330E0000}"/>
    <cellStyle name="Normal 10 3 2 2 2 3 2 2" xfId="47027" xr:uid="{00000000-0005-0000-0000-0000340E0000}"/>
    <cellStyle name="Normal 10 3 2 2 2 3 2 3" xfId="47028" xr:uid="{00000000-0005-0000-0000-0000350E0000}"/>
    <cellStyle name="Normal 10 3 2 2 2 3 3" xfId="2634" xr:uid="{00000000-0005-0000-0000-0000360E0000}"/>
    <cellStyle name="Normal 10 3 2 2 2 3 3 2" xfId="47029" xr:uid="{00000000-0005-0000-0000-0000370E0000}"/>
    <cellStyle name="Normal 10 3 2 2 2 3 4" xfId="2635" xr:uid="{00000000-0005-0000-0000-0000380E0000}"/>
    <cellStyle name="Normal 10 3 2 2 2 3 5" xfId="2636" xr:uid="{00000000-0005-0000-0000-0000390E0000}"/>
    <cellStyle name="Normal 10 3 2 2 2 3 6" xfId="2637" xr:uid="{00000000-0005-0000-0000-00003A0E0000}"/>
    <cellStyle name="Normal 10 3 2 2 2 4" xfId="2638" xr:uid="{00000000-0005-0000-0000-00003B0E0000}"/>
    <cellStyle name="Normal 10 3 2 2 2 4 2" xfId="47030" xr:uid="{00000000-0005-0000-0000-00003C0E0000}"/>
    <cellStyle name="Normal 10 3 2 2 2 4 3" xfId="47031" xr:uid="{00000000-0005-0000-0000-00003D0E0000}"/>
    <cellStyle name="Normal 10 3 2 2 2 5" xfId="2639" xr:uid="{00000000-0005-0000-0000-00003E0E0000}"/>
    <cellStyle name="Normal 10 3 2 2 2 5 2" xfId="47032" xr:uid="{00000000-0005-0000-0000-00003F0E0000}"/>
    <cellStyle name="Normal 10 3 2 2 2 6" xfId="2640" xr:uid="{00000000-0005-0000-0000-0000400E0000}"/>
    <cellStyle name="Normal 10 3 2 2 2 7" xfId="2641" xr:uid="{00000000-0005-0000-0000-0000410E0000}"/>
    <cellStyle name="Normal 10 3 2 2 2 8" xfId="2642" xr:uid="{00000000-0005-0000-0000-0000420E0000}"/>
    <cellStyle name="Normal 10 3 2 2 2 9" xfId="2643" xr:uid="{00000000-0005-0000-0000-0000430E0000}"/>
    <cellStyle name="Normal 10 3 2 2 3" xfId="2644" xr:uid="{00000000-0005-0000-0000-0000440E0000}"/>
    <cellStyle name="Normal 10 3 2 2 3 2" xfId="2645" xr:uid="{00000000-0005-0000-0000-0000450E0000}"/>
    <cellStyle name="Normal 10 3 2 2 3 2 2" xfId="2646" xr:uid="{00000000-0005-0000-0000-0000460E0000}"/>
    <cellStyle name="Normal 10 3 2 2 3 2 2 2" xfId="2647" xr:uid="{00000000-0005-0000-0000-0000470E0000}"/>
    <cellStyle name="Normal 10 3 2 2 3 2 2 2 2" xfId="47033" xr:uid="{00000000-0005-0000-0000-0000480E0000}"/>
    <cellStyle name="Normal 10 3 2 2 3 2 2 2 3" xfId="47034" xr:uid="{00000000-0005-0000-0000-0000490E0000}"/>
    <cellStyle name="Normal 10 3 2 2 3 2 2 3" xfId="2648" xr:uid="{00000000-0005-0000-0000-00004A0E0000}"/>
    <cellStyle name="Normal 10 3 2 2 3 2 2 3 2" xfId="47035" xr:uid="{00000000-0005-0000-0000-00004B0E0000}"/>
    <cellStyle name="Normal 10 3 2 2 3 2 2 4" xfId="2649" xr:uid="{00000000-0005-0000-0000-00004C0E0000}"/>
    <cellStyle name="Normal 10 3 2 2 3 2 2 5" xfId="2650" xr:uid="{00000000-0005-0000-0000-00004D0E0000}"/>
    <cellStyle name="Normal 10 3 2 2 3 2 2 6" xfId="2651" xr:uid="{00000000-0005-0000-0000-00004E0E0000}"/>
    <cellStyle name="Normal 10 3 2 2 3 2 3" xfId="2652" xr:uid="{00000000-0005-0000-0000-00004F0E0000}"/>
    <cellStyle name="Normal 10 3 2 2 3 2 3 2" xfId="47036" xr:uid="{00000000-0005-0000-0000-0000500E0000}"/>
    <cellStyle name="Normal 10 3 2 2 3 2 3 3" xfId="47037" xr:uid="{00000000-0005-0000-0000-0000510E0000}"/>
    <cellStyle name="Normal 10 3 2 2 3 2 4" xfId="2653" xr:uid="{00000000-0005-0000-0000-0000520E0000}"/>
    <cellStyle name="Normal 10 3 2 2 3 2 4 2" xfId="47038" xr:uid="{00000000-0005-0000-0000-0000530E0000}"/>
    <cellStyle name="Normal 10 3 2 2 3 2 5" xfId="2654" xr:uid="{00000000-0005-0000-0000-0000540E0000}"/>
    <cellStyle name="Normal 10 3 2 2 3 2 6" xfId="2655" xr:uid="{00000000-0005-0000-0000-0000550E0000}"/>
    <cellStyle name="Normal 10 3 2 2 3 2 7" xfId="2656" xr:uid="{00000000-0005-0000-0000-0000560E0000}"/>
    <cellStyle name="Normal 10 3 2 2 3 3" xfId="2657" xr:uid="{00000000-0005-0000-0000-0000570E0000}"/>
    <cellStyle name="Normal 10 3 2 2 3 3 2" xfId="2658" xr:uid="{00000000-0005-0000-0000-0000580E0000}"/>
    <cellStyle name="Normal 10 3 2 2 3 3 2 2" xfId="47039" xr:uid="{00000000-0005-0000-0000-0000590E0000}"/>
    <cellStyle name="Normal 10 3 2 2 3 3 2 3" xfId="47040" xr:uid="{00000000-0005-0000-0000-00005A0E0000}"/>
    <cellStyle name="Normal 10 3 2 2 3 3 3" xfId="2659" xr:uid="{00000000-0005-0000-0000-00005B0E0000}"/>
    <cellStyle name="Normal 10 3 2 2 3 3 3 2" xfId="47041" xr:uid="{00000000-0005-0000-0000-00005C0E0000}"/>
    <cellStyle name="Normal 10 3 2 2 3 3 4" xfId="2660" xr:uid="{00000000-0005-0000-0000-00005D0E0000}"/>
    <cellStyle name="Normal 10 3 2 2 3 3 5" xfId="2661" xr:uid="{00000000-0005-0000-0000-00005E0E0000}"/>
    <cellStyle name="Normal 10 3 2 2 3 3 6" xfId="2662" xr:uid="{00000000-0005-0000-0000-00005F0E0000}"/>
    <cellStyle name="Normal 10 3 2 2 3 4" xfId="2663" xr:uid="{00000000-0005-0000-0000-0000600E0000}"/>
    <cellStyle name="Normal 10 3 2 2 3 4 2" xfId="47042" xr:uid="{00000000-0005-0000-0000-0000610E0000}"/>
    <cellStyle name="Normal 10 3 2 2 3 4 3" xfId="47043" xr:uid="{00000000-0005-0000-0000-0000620E0000}"/>
    <cellStyle name="Normal 10 3 2 2 3 5" xfId="2664" xr:uid="{00000000-0005-0000-0000-0000630E0000}"/>
    <cellStyle name="Normal 10 3 2 2 3 5 2" xfId="47044" xr:uid="{00000000-0005-0000-0000-0000640E0000}"/>
    <cellStyle name="Normal 10 3 2 2 3 6" xfId="2665" xr:uid="{00000000-0005-0000-0000-0000650E0000}"/>
    <cellStyle name="Normal 10 3 2 2 3 7" xfId="2666" xr:uid="{00000000-0005-0000-0000-0000660E0000}"/>
    <cellStyle name="Normal 10 3 2 2 3 8" xfId="2667" xr:uid="{00000000-0005-0000-0000-0000670E0000}"/>
    <cellStyle name="Normal 10 3 2 2 4" xfId="2668" xr:uid="{00000000-0005-0000-0000-0000680E0000}"/>
    <cellStyle name="Normal 10 3 2 2 4 2" xfId="2669" xr:uid="{00000000-0005-0000-0000-0000690E0000}"/>
    <cellStyle name="Normal 10 3 2 2 4 2 2" xfId="2670" xr:uid="{00000000-0005-0000-0000-00006A0E0000}"/>
    <cellStyle name="Normal 10 3 2 2 4 2 2 2" xfId="47045" xr:uid="{00000000-0005-0000-0000-00006B0E0000}"/>
    <cellStyle name="Normal 10 3 2 2 4 2 2 3" xfId="47046" xr:uid="{00000000-0005-0000-0000-00006C0E0000}"/>
    <cellStyle name="Normal 10 3 2 2 4 2 3" xfId="2671" xr:uid="{00000000-0005-0000-0000-00006D0E0000}"/>
    <cellStyle name="Normal 10 3 2 2 4 2 3 2" xfId="47047" xr:uid="{00000000-0005-0000-0000-00006E0E0000}"/>
    <cellStyle name="Normal 10 3 2 2 4 2 4" xfId="2672" xr:uid="{00000000-0005-0000-0000-00006F0E0000}"/>
    <cellStyle name="Normal 10 3 2 2 4 2 5" xfId="2673" xr:uid="{00000000-0005-0000-0000-0000700E0000}"/>
    <cellStyle name="Normal 10 3 2 2 4 2 6" xfId="2674" xr:uid="{00000000-0005-0000-0000-0000710E0000}"/>
    <cellStyle name="Normal 10 3 2 2 4 3" xfId="2675" xr:uid="{00000000-0005-0000-0000-0000720E0000}"/>
    <cellStyle name="Normal 10 3 2 2 4 3 2" xfId="47048" xr:uid="{00000000-0005-0000-0000-0000730E0000}"/>
    <cellStyle name="Normal 10 3 2 2 4 3 3" xfId="47049" xr:uid="{00000000-0005-0000-0000-0000740E0000}"/>
    <cellStyle name="Normal 10 3 2 2 4 4" xfId="2676" xr:uid="{00000000-0005-0000-0000-0000750E0000}"/>
    <cellStyle name="Normal 10 3 2 2 4 4 2" xfId="47050" xr:uid="{00000000-0005-0000-0000-0000760E0000}"/>
    <cellStyle name="Normal 10 3 2 2 4 5" xfId="2677" xr:uid="{00000000-0005-0000-0000-0000770E0000}"/>
    <cellStyle name="Normal 10 3 2 2 4 6" xfId="2678" xr:uid="{00000000-0005-0000-0000-0000780E0000}"/>
    <cellStyle name="Normal 10 3 2 2 4 7" xfId="2679" xr:uid="{00000000-0005-0000-0000-0000790E0000}"/>
    <cellStyle name="Normal 10 3 2 2 5" xfId="2680" xr:uid="{00000000-0005-0000-0000-00007A0E0000}"/>
    <cellStyle name="Normal 10 3 2 2 5 2" xfId="2681" xr:uid="{00000000-0005-0000-0000-00007B0E0000}"/>
    <cellStyle name="Normal 10 3 2 2 5 2 2" xfId="47051" xr:uid="{00000000-0005-0000-0000-00007C0E0000}"/>
    <cellStyle name="Normal 10 3 2 2 5 2 3" xfId="47052" xr:uid="{00000000-0005-0000-0000-00007D0E0000}"/>
    <cellStyle name="Normal 10 3 2 2 5 3" xfId="2682" xr:uid="{00000000-0005-0000-0000-00007E0E0000}"/>
    <cellStyle name="Normal 10 3 2 2 5 3 2" xfId="47053" xr:uid="{00000000-0005-0000-0000-00007F0E0000}"/>
    <cellStyle name="Normal 10 3 2 2 5 4" xfId="2683" xr:uid="{00000000-0005-0000-0000-0000800E0000}"/>
    <cellStyle name="Normal 10 3 2 2 5 5" xfId="2684" xr:uid="{00000000-0005-0000-0000-0000810E0000}"/>
    <cellStyle name="Normal 10 3 2 2 5 6" xfId="2685" xr:uid="{00000000-0005-0000-0000-0000820E0000}"/>
    <cellStyle name="Normal 10 3 2 2 6" xfId="2686" xr:uid="{00000000-0005-0000-0000-0000830E0000}"/>
    <cellStyle name="Normal 10 3 2 2 6 2" xfId="47054" xr:uid="{00000000-0005-0000-0000-0000840E0000}"/>
    <cellStyle name="Normal 10 3 2 2 6 3" xfId="47055" xr:uid="{00000000-0005-0000-0000-0000850E0000}"/>
    <cellStyle name="Normal 10 3 2 2 7" xfId="2687" xr:uid="{00000000-0005-0000-0000-0000860E0000}"/>
    <cellStyle name="Normal 10 3 2 2 7 2" xfId="47056" xr:uid="{00000000-0005-0000-0000-0000870E0000}"/>
    <cellStyle name="Normal 10 3 2 2 8" xfId="2688" xr:uid="{00000000-0005-0000-0000-0000880E0000}"/>
    <cellStyle name="Normal 10 3 2 2 9" xfId="2689" xr:uid="{00000000-0005-0000-0000-0000890E0000}"/>
    <cellStyle name="Normal 10 3 2 3" xfId="2690" xr:uid="{00000000-0005-0000-0000-00008A0E0000}"/>
    <cellStyle name="Normal 10 3 2 3 2" xfId="2691" xr:uid="{00000000-0005-0000-0000-00008B0E0000}"/>
    <cellStyle name="Normal 10 3 2 3 2 2" xfId="2692" xr:uid="{00000000-0005-0000-0000-00008C0E0000}"/>
    <cellStyle name="Normal 10 3 2 3 2 2 2" xfId="2693" xr:uid="{00000000-0005-0000-0000-00008D0E0000}"/>
    <cellStyle name="Normal 10 3 2 3 2 2 2 2" xfId="47057" xr:uid="{00000000-0005-0000-0000-00008E0E0000}"/>
    <cellStyle name="Normal 10 3 2 3 2 2 2 3" xfId="47058" xr:uid="{00000000-0005-0000-0000-00008F0E0000}"/>
    <cellStyle name="Normal 10 3 2 3 2 2 3" xfId="2694" xr:uid="{00000000-0005-0000-0000-0000900E0000}"/>
    <cellStyle name="Normal 10 3 2 3 2 2 3 2" xfId="47059" xr:uid="{00000000-0005-0000-0000-0000910E0000}"/>
    <cellStyle name="Normal 10 3 2 3 2 2 4" xfId="2695" xr:uid="{00000000-0005-0000-0000-0000920E0000}"/>
    <cellStyle name="Normal 10 3 2 3 2 2 5" xfId="2696" xr:uid="{00000000-0005-0000-0000-0000930E0000}"/>
    <cellStyle name="Normal 10 3 2 3 2 2 6" xfId="2697" xr:uid="{00000000-0005-0000-0000-0000940E0000}"/>
    <cellStyle name="Normal 10 3 2 3 2 3" xfId="2698" xr:uid="{00000000-0005-0000-0000-0000950E0000}"/>
    <cellStyle name="Normal 10 3 2 3 2 3 2" xfId="47060" xr:uid="{00000000-0005-0000-0000-0000960E0000}"/>
    <cellStyle name="Normal 10 3 2 3 2 3 3" xfId="47061" xr:uid="{00000000-0005-0000-0000-0000970E0000}"/>
    <cellStyle name="Normal 10 3 2 3 2 4" xfId="2699" xr:uid="{00000000-0005-0000-0000-0000980E0000}"/>
    <cellStyle name="Normal 10 3 2 3 2 4 2" xfId="47062" xr:uid="{00000000-0005-0000-0000-0000990E0000}"/>
    <cellStyle name="Normal 10 3 2 3 2 5" xfId="2700" xr:uid="{00000000-0005-0000-0000-00009A0E0000}"/>
    <cellStyle name="Normal 10 3 2 3 2 6" xfId="2701" xr:uid="{00000000-0005-0000-0000-00009B0E0000}"/>
    <cellStyle name="Normal 10 3 2 3 2 7" xfId="2702" xr:uid="{00000000-0005-0000-0000-00009C0E0000}"/>
    <cellStyle name="Normal 10 3 2 3 3" xfId="2703" xr:uid="{00000000-0005-0000-0000-00009D0E0000}"/>
    <cellStyle name="Normal 10 3 2 3 3 2" xfId="2704" xr:uid="{00000000-0005-0000-0000-00009E0E0000}"/>
    <cellStyle name="Normal 10 3 2 3 3 2 2" xfId="47063" xr:uid="{00000000-0005-0000-0000-00009F0E0000}"/>
    <cellStyle name="Normal 10 3 2 3 3 2 3" xfId="47064" xr:uid="{00000000-0005-0000-0000-0000A00E0000}"/>
    <cellStyle name="Normal 10 3 2 3 3 3" xfId="2705" xr:uid="{00000000-0005-0000-0000-0000A10E0000}"/>
    <cellStyle name="Normal 10 3 2 3 3 3 2" xfId="47065" xr:uid="{00000000-0005-0000-0000-0000A20E0000}"/>
    <cellStyle name="Normal 10 3 2 3 3 4" xfId="2706" xr:uid="{00000000-0005-0000-0000-0000A30E0000}"/>
    <cellStyle name="Normal 10 3 2 3 3 5" xfId="2707" xr:uid="{00000000-0005-0000-0000-0000A40E0000}"/>
    <cellStyle name="Normal 10 3 2 3 3 6" xfId="2708" xr:uid="{00000000-0005-0000-0000-0000A50E0000}"/>
    <cellStyle name="Normal 10 3 2 3 4" xfId="2709" xr:uid="{00000000-0005-0000-0000-0000A60E0000}"/>
    <cellStyle name="Normal 10 3 2 3 4 2" xfId="47066" xr:uid="{00000000-0005-0000-0000-0000A70E0000}"/>
    <cellStyle name="Normal 10 3 2 3 4 3" xfId="47067" xr:uid="{00000000-0005-0000-0000-0000A80E0000}"/>
    <cellStyle name="Normal 10 3 2 3 5" xfId="2710" xr:uid="{00000000-0005-0000-0000-0000A90E0000}"/>
    <cellStyle name="Normal 10 3 2 3 5 2" xfId="47068" xr:uid="{00000000-0005-0000-0000-0000AA0E0000}"/>
    <cellStyle name="Normal 10 3 2 3 6" xfId="2711" xr:uid="{00000000-0005-0000-0000-0000AB0E0000}"/>
    <cellStyle name="Normal 10 3 2 3 7" xfId="2712" xr:uid="{00000000-0005-0000-0000-0000AC0E0000}"/>
    <cellStyle name="Normal 10 3 2 3 8" xfId="2713" xr:uid="{00000000-0005-0000-0000-0000AD0E0000}"/>
    <cellStyle name="Normal 10 3 2 3 9" xfId="2714" xr:uid="{00000000-0005-0000-0000-0000AE0E0000}"/>
    <cellStyle name="Normal 10 3 2 4" xfId="2715" xr:uid="{00000000-0005-0000-0000-0000AF0E0000}"/>
    <cellStyle name="Normal 10 3 2 4 2" xfId="2716" xr:uid="{00000000-0005-0000-0000-0000B00E0000}"/>
    <cellStyle name="Normal 10 3 2 4 2 2" xfId="2717" xr:uid="{00000000-0005-0000-0000-0000B10E0000}"/>
    <cellStyle name="Normal 10 3 2 4 2 2 2" xfId="2718" xr:uid="{00000000-0005-0000-0000-0000B20E0000}"/>
    <cellStyle name="Normal 10 3 2 4 2 2 2 2" xfId="47069" xr:uid="{00000000-0005-0000-0000-0000B30E0000}"/>
    <cellStyle name="Normal 10 3 2 4 2 2 2 3" xfId="47070" xr:uid="{00000000-0005-0000-0000-0000B40E0000}"/>
    <cellStyle name="Normal 10 3 2 4 2 2 3" xfId="2719" xr:uid="{00000000-0005-0000-0000-0000B50E0000}"/>
    <cellStyle name="Normal 10 3 2 4 2 2 3 2" xfId="47071" xr:uid="{00000000-0005-0000-0000-0000B60E0000}"/>
    <cellStyle name="Normal 10 3 2 4 2 2 4" xfId="2720" xr:uid="{00000000-0005-0000-0000-0000B70E0000}"/>
    <cellStyle name="Normal 10 3 2 4 2 2 5" xfId="2721" xr:uid="{00000000-0005-0000-0000-0000B80E0000}"/>
    <cellStyle name="Normal 10 3 2 4 2 2 6" xfId="2722" xr:uid="{00000000-0005-0000-0000-0000B90E0000}"/>
    <cellStyle name="Normal 10 3 2 4 2 3" xfId="2723" xr:uid="{00000000-0005-0000-0000-0000BA0E0000}"/>
    <cellStyle name="Normal 10 3 2 4 2 3 2" xfId="47072" xr:uid="{00000000-0005-0000-0000-0000BB0E0000}"/>
    <cellStyle name="Normal 10 3 2 4 2 3 3" xfId="47073" xr:uid="{00000000-0005-0000-0000-0000BC0E0000}"/>
    <cellStyle name="Normal 10 3 2 4 2 4" xfId="2724" xr:uid="{00000000-0005-0000-0000-0000BD0E0000}"/>
    <cellStyle name="Normal 10 3 2 4 2 4 2" xfId="47074" xr:uid="{00000000-0005-0000-0000-0000BE0E0000}"/>
    <cellStyle name="Normal 10 3 2 4 2 5" xfId="2725" xr:uid="{00000000-0005-0000-0000-0000BF0E0000}"/>
    <cellStyle name="Normal 10 3 2 4 2 6" xfId="2726" xr:uid="{00000000-0005-0000-0000-0000C00E0000}"/>
    <cellStyle name="Normal 10 3 2 4 2 7" xfId="2727" xr:uid="{00000000-0005-0000-0000-0000C10E0000}"/>
    <cellStyle name="Normal 10 3 2 4 3" xfId="2728" xr:uid="{00000000-0005-0000-0000-0000C20E0000}"/>
    <cellStyle name="Normal 10 3 2 4 3 2" xfId="2729" xr:uid="{00000000-0005-0000-0000-0000C30E0000}"/>
    <cellStyle name="Normal 10 3 2 4 3 2 2" xfId="47075" xr:uid="{00000000-0005-0000-0000-0000C40E0000}"/>
    <cellStyle name="Normal 10 3 2 4 3 2 3" xfId="47076" xr:uid="{00000000-0005-0000-0000-0000C50E0000}"/>
    <cellStyle name="Normal 10 3 2 4 3 3" xfId="2730" xr:uid="{00000000-0005-0000-0000-0000C60E0000}"/>
    <cellStyle name="Normal 10 3 2 4 3 3 2" xfId="47077" xr:uid="{00000000-0005-0000-0000-0000C70E0000}"/>
    <cellStyle name="Normal 10 3 2 4 3 4" xfId="2731" xr:uid="{00000000-0005-0000-0000-0000C80E0000}"/>
    <cellStyle name="Normal 10 3 2 4 3 5" xfId="2732" xr:uid="{00000000-0005-0000-0000-0000C90E0000}"/>
    <cellStyle name="Normal 10 3 2 4 3 6" xfId="2733" xr:uid="{00000000-0005-0000-0000-0000CA0E0000}"/>
    <cellStyle name="Normal 10 3 2 4 4" xfId="2734" xr:uid="{00000000-0005-0000-0000-0000CB0E0000}"/>
    <cellStyle name="Normal 10 3 2 4 4 2" xfId="47078" xr:uid="{00000000-0005-0000-0000-0000CC0E0000}"/>
    <cellStyle name="Normal 10 3 2 4 4 3" xfId="47079" xr:uid="{00000000-0005-0000-0000-0000CD0E0000}"/>
    <cellStyle name="Normal 10 3 2 4 5" xfId="2735" xr:uid="{00000000-0005-0000-0000-0000CE0E0000}"/>
    <cellStyle name="Normal 10 3 2 4 5 2" xfId="47080" xr:uid="{00000000-0005-0000-0000-0000CF0E0000}"/>
    <cellStyle name="Normal 10 3 2 4 6" xfId="2736" xr:uid="{00000000-0005-0000-0000-0000D00E0000}"/>
    <cellStyle name="Normal 10 3 2 4 7" xfId="2737" xr:uid="{00000000-0005-0000-0000-0000D10E0000}"/>
    <cellStyle name="Normal 10 3 2 4 8" xfId="2738" xr:uid="{00000000-0005-0000-0000-0000D20E0000}"/>
    <cellStyle name="Normal 10 3 2 5" xfId="2739" xr:uid="{00000000-0005-0000-0000-0000D30E0000}"/>
    <cellStyle name="Normal 10 3 2 5 2" xfId="2740" xr:uid="{00000000-0005-0000-0000-0000D40E0000}"/>
    <cellStyle name="Normal 10 3 2 5 2 2" xfId="2741" xr:uid="{00000000-0005-0000-0000-0000D50E0000}"/>
    <cellStyle name="Normal 10 3 2 5 2 2 2" xfId="47081" xr:uid="{00000000-0005-0000-0000-0000D60E0000}"/>
    <cellStyle name="Normal 10 3 2 5 2 2 3" xfId="47082" xr:uid="{00000000-0005-0000-0000-0000D70E0000}"/>
    <cellStyle name="Normal 10 3 2 5 2 3" xfId="2742" xr:uid="{00000000-0005-0000-0000-0000D80E0000}"/>
    <cellStyle name="Normal 10 3 2 5 2 3 2" xfId="47083" xr:uid="{00000000-0005-0000-0000-0000D90E0000}"/>
    <cellStyle name="Normal 10 3 2 5 2 4" xfId="2743" xr:uid="{00000000-0005-0000-0000-0000DA0E0000}"/>
    <cellStyle name="Normal 10 3 2 5 2 5" xfId="2744" xr:uid="{00000000-0005-0000-0000-0000DB0E0000}"/>
    <cellStyle name="Normal 10 3 2 5 2 6" xfId="2745" xr:uid="{00000000-0005-0000-0000-0000DC0E0000}"/>
    <cellStyle name="Normal 10 3 2 5 3" xfId="2746" xr:uid="{00000000-0005-0000-0000-0000DD0E0000}"/>
    <cellStyle name="Normal 10 3 2 5 3 2" xfId="47084" xr:uid="{00000000-0005-0000-0000-0000DE0E0000}"/>
    <cellStyle name="Normal 10 3 2 5 3 3" xfId="47085" xr:uid="{00000000-0005-0000-0000-0000DF0E0000}"/>
    <cellStyle name="Normal 10 3 2 5 4" xfId="2747" xr:uid="{00000000-0005-0000-0000-0000E00E0000}"/>
    <cellStyle name="Normal 10 3 2 5 4 2" xfId="47086" xr:uid="{00000000-0005-0000-0000-0000E10E0000}"/>
    <cellStyle name="Normal 10 3 2 5 5" xfId="2748" xr:uid="{00000000-0005-0000-0000-0000E20E0000}"/>
    <cellStyle name="Normal 10 3 2 5 6" xfId="2749" xr:uid="{00000000-0005-0000-0000-0000E30E0000}"/>
    <cellStyle name="Normal 10 3 2 5 7" xfId="2750" xr:uid="{00000000-0005-0000-0000-0000E40E0000}"/>
    <cellStyle name="Normal 10 3 2 6" xfId="2751" xr:uid="{00000000-0005-0000-0000-0000E50E0000}"/>
    <cellStyle name="Normal 10 3 2 6 2" xfId="2752" xr:uid="{00000000-0005-0000-0000-0000E60E0000}"/>
    <cellStyle name="Normal 10 3 2 6 2 2" xfId="47087" xr:uid="{00000000-0005-0000-0000-0000E70E0000}"/>
    <cellStyle name="Normal 10 3 2 6 2 3" xfId="47088" xr:uid="{00000000-0005-0000-0000-0000E80E0000}"/>
    <cellStyle name="Normal 10 3 2 6 3" xfId="2753" xr:uid="{00000000-0005-0000-0000-0000E90E0000}"/>
    <cellStyle name="Normal 10 3 2 6 3 2" xfId="47089" xr:uid="{00000000-0005-0000-0000-0000EA0E0000}"/>
    <cellStyle name="Normal 10 3 2 6 4" xfId="2754" xr:uid="{00000000-0005-0000-0000-0000EB0E0000}"/>
    <cellStyle name="Normal 10 3 2 6 5" xfId="2755" xr:uid="{00000000-0005-0000-0000-0000EC0E0000}"/>
    <cellStyle name="Normal 10 3 2 6 6" xfId="2756" xr:uid="{00000000-0005-0000-0000-0000ED0E0000}"/>
    <cellStyle name="Normal 10 3 2 7" xfId="2757" xr:uid="{00000000-0005-0000-0000-0000EE0E0000}"/>
    <cellStyle name="Normal 10 3 2 7 2" xfId="47090" xr:uid="{00000000-0005-0000-0000-0000EF0E0000}"/>
    <cellStyle name="Normal 10 3 2 7 3" xfId="47091" xr:uid="{00000000-0005-0000-0000-0000F00E0000}"/>
    <cellStyle name="Normal 10 3 2 8" xfId="2758" xr:uid="{00000000-0005-0000-0000-0000F10E0000}"/>
    <cellStyle name="Normal 10 3 2 8 2" xfId="47092" xr:uid="{00000000-0005-0000-0000-0000F20E0000}"/>
    <cellStyle name="Normal 10 3 2 9" xfId="2759" xr:uid="{00000000-0005-0000-0000-0000F30E0000}"/>
    <cellStyle name="Normal 10 3 2 9 2" xfId="47093" xr:uid="{00000000-0005-0000-0000-0000F40E0000}"/>
    <cellStyle name="Normal 10 3 20" xfId="2760" xr:uid="{00000000-0005-0000-0000-0000F50E0000}"/>
    <cellStyle name="Normal 10 3 21" xfId="2761" xr:uid="{00000000-0005-0000-0000-0000F60E0000}"/>
    <cellStyle name="Normal 10 3 3" xfId="2762" xr:uid="{00000000-0005-0000-0000-0000F70E0000}"/>
    <cellStyle name="Normal 10 3 3 10" xfId="2763" xr:uid="{00000000-0005-0000-0000-0000F80E0000}"/>
    <cellStyle name="Normal 10 3 3 11" xfId="2764" xr:uid="{00000000-0005-0000-0000-0000F90E0000}"/>
    <cellStyle name="Normal 10 3 3 12" xfId="2765" xr:uid="{00000000-0005-0000-0000-0000FA0E0000}"/>
    <cellStyle name="Normal 10 3 3 13" xfId="2766" xr:uid="{00000000-0005-0000-0000-0000FB0E0000}"/>
    <cellStyle name="Normal 10 3 3 14" xfId="2767" xr:uid="{00000000-0005-0000-0000-0000FC0E0000}"/>
    <cellStyle name="Normal 10 3 3 15" xfId="2768" xr:uid="{00000000-0005-0000-0000-0000FD0E0000}"/>
    <cellStyle name="Normal 10 3 3 2" xfId="2769" xr:uid="{00000000-0005-0000-0000-0000FE0E0000}"/>
    <cellStyle name="Normal 10 3 3 2 10" xfId="2770" xr:uid="{00000000-0005-0000-0000-0000FF0E0000}"/>
    <cellStyle name="Normal 10 3 3 2 11" xfId="2771" xr:uid="{00000000-0005-0000-0000-0000000F0000}"/>
    <cellStyle name="Normal 10 3 3 2 12" xfId="2772" xr:uid="{00000000-0005-0000-0000-0000010F0000}"/>
    <cellStyle name="Normal 10 3 3 2 13" xfId="2773" xr:uid="{00000000-0005-0000-0000-0000020F0000}"/>
    <cellStyle name="Normal 10 3 3 2 14" xfId="2774" xr:uid="{00000000-0005-0000-0000-0000030F0000}"/>
    <cellStyle name="Normal 10 3 3 2 2" xfId="2775" xr:uid="{00000000-0005-0000-0000-0000040F0000}"/>
    <cellStyle name="Normal 10 3 3 2 2 2" xfId="2776" xr:uid="{00000000-0005-0000-0000-0000050F0000}"/>
    <cellStyle name="Normal 10 3 3 2 2 2 2" xfId="2777" xr:uid="{00000000-0005-0000-0000-0000060F0000}"/>
    <cellStyle name="Normal 10 3 3 2 2 2 2 2" xfId="2778" xr:uid="{00000000-0005-0000-0000-0000070F0000}"/>
    <cellStyle name="Normal 10 3 3 2 2 2 2 2 2" xfId="47094" xr:uid="{00000000-0005-0000-0000-0000080F0000}"/>
    <cellStyle name="Normal 10 3 3 2 2 2 2 2 3" xfId="47095" xr:uid="{00000000-0005-0000-0000-0000090F0000}"/>
    <cellStyle name="Normal 10 3 3 2 2 2 2 3" xfId="2779" xr:uid="{00000000-0005-0000-0000-00000A0F0000}"/>
    <cellStyle name="Normal 10 3 3 2 2 2 2 3 2" xfId="47096" xr:uid="{00000000-0005-0000-0000-00000B0F0000}"/>
    <cellStyle name="Normal 10 3 3 2 2 2 2 4" xfId="2780" xr:uid="{00000000-0005-0000-0000-00000C0F0000}"/>
    <cellStyle name="Normal 10 3 3 2 2 2 2 5" xfId="2781" xr:uid="{00000000-0005-0000-0000-00000D0F0000}"/>
    <cellStyle name="Normal 10 3 3 2 2 2 2 6" xfId="2782" xr:uid="{00000000-0005-0000-0000-00000E0F0000}"/>
    <cellStyle name="Normal 10 3 3 2 2 2 3" xfId="2783" xr:uid="{00000000-0005-0000-0000-00000F0F0000}"/>
    <cellStyle name="Normal 10 3 3 2 2 2 3 2" xfId="47097" xr:uid="{00000000-0005-0000-0000-0000100F0000}"/>
    <cellStyle name="Normal 10 3 3 2 2 2 3 3" xfId="47098" xr:uid="{00000000-0005-0000-0000-0000110F0000}"/>
    <cellStyle name="Normal 10 3 3 2 2 2 4" xfId="2784" xr:uid="{00000000-0005-0000-0000-0000120F0000}"/>
    <cellStyle name="Normal 10 3 3 2 2 2 4 2" xfId="47099" xr:uid="{00000000-0005-0000-0000-0000130F0000}"/>
    <cellStyle name="Normal 10 3 3 2 2 2 5" xfId="2785" xr:uid="{00000000-0005-0000-0000-0000140F0000}"/>
    <cellStyle name="Normal 10 3 3 2 2 2 6" xfId="2786" xr:uid="{00000000-0005-0000-0000-0000150F0000}"/>
    <cellStyle name="Normal 10 3 3 2 2 2 7" xfId="2787" xr:uid="{00000000-0005-0000-0000-0000160F0000}"/>
    <cellStyle name="Normal 10 3 3 2 2 3" xfId="2788" xr:uid="{00000000-0005-0000-0000-0000170F0000}"/>
    <cellStyle name="Normal 10 3 3 2 2 3 2" xfId="2789" xr:uid="{00000000-0005-0000-0000-0000180F0000}"/>
    <cellStyle name="Normal 10 3 3 2 2 3 2 2" xfId="47100" xr:uid="{00000000-0005-0000-0000-0000190F0000}"/>
    <cellStyle name="Normal 10 3 3 2 2 3 2 3" xfId="47101" xr:uid="{00000000-0005-0000-0000-00001A0F0000}"/>
    <cellStyle name="Normal 10 3 3 2 2 3 3" xfId="2790" xr:uid="{00000000-0005-0000-0000-00001B0F0000}"/>
    <cellStyle name="Normal 10 3 3 2 2 3 3 2" xfId="47102" xr:uid="{00000000-0005-0000-0000-00001C0F0000}"/>
    <cellStyle name="Normal 10 3 3 2 2 3 4" xfId="2791" xr:uid="{00000000-0005-0000-0000-00001D0F0000}"/>
    <cellStyle name="Normal 10 3 3 2 2 3 5" xfId="2792" xr:uid="{00000000-0005-0000-0000-00001E0F0000}"/>
    <cellStyle name="Normal 10 3 3 2 2 3 6" xfId="2793" xr:uid="{00000000-0005-0000-0000-00001F0F0000}"/>
    <cellStyle name="Normal 10 3 3 2 2 4" xfId="2794" xr:uid="{00000000-0005-0000-0000-0000200F0000}"/>
    <cellStyle name="Normal 10 3 3 2 2 4 2" xfId="47103" xr:uid="{00000000-0005-0000-0000-0000210F0000}"/>
    <cellStyle name="Normal 10 3 3 2 2 4 3" xfId="47104" xr:uid="{00000000-0005-0000-0000-0000220F0000}"/>
    <cellStyle name="Normal 10 3 3 2 2 5" xfId="2795" xr:uid="{00000000-0005-0000-0000-0000230F0000}"/>
    <cellStyle name="Normal 10 3 3 2 2 5 2" xfId="47105" xr:uid="{00000000-0005-0000-0000-0000240F0000}"/>
    <cellStyle name="Normal 10 3 3 2 2 6" xfId="2796" xr:uid="{00000000-0005-0000-0000-0000250F0000}"/>
    <cellStyle name="Normal 10 3 3 2 2 7" xfId="2797" xr:uid="{00000000-0005-0000-0000-0000260F0000}"/>
    <cellStyle name="Normal 10 3 3 2 2 8" xfId="2798" xr:uid="{00000000-0005-0000-0000-0000270F0000}"/>
    <cellStyle name="Normal 10 3 3 2 2 9" xfId="2799" xr:uid="{00000000-0005-0000-0000-0000280F0000}"/>
    <cellStyle name="Normal 10 3 3 2 3" xfId="2800" xr:uid="{00000000-0005-0000-0000-0000290F0000}"/>
    <cellStyle name="Normal 10 3 3 2 3 2" xfId="2801" xr:uid="{00000000-0005-0000-0000-00002A0F0000}"/>
    <cellStyle name="Normal 10 3 3 2 3 2 2" xfId="2802" xr:uid="{00000000-0005-0000-0000-00002B0F0000}"/>
    <cellStyle name="Normal 10 3 3 2 3 2 2 2" xfId="2803" xr:uid="{00000000-0005-0000-0000-00002C0F0000}"/>
    <cellStyle name="Normal 10 3 3 2 3 2 2 2 2" xfId="47106" xr:uid="{00000000-0005-0000-0000-00002D0F0000}"/>
    <cellStyle name="Normal 10 3 3 2 3 2 2 2 3" xfId="47107" xr:uid="{00000000-0005-0000-0000-00002E0F0000}"/>
    <cellStyle name="Normal 10 3 3 2 3 2 2 3" xfId="2804" xr:uid="{00000000-0005-0000-0000-00002F0F0000}"/>
    <cellStyle name="Normal 10 3 3 2 3 2 2 3 2" xfId="47108" xr:uid="{00000000-0005-0000-0000-0000300F0000}"/>
    <cellStyle name="Normal 10 3 3 2 3 2 2 4" xfId="2805" xr:uid="{00000000-0005-0000-0000-0000310F0000}"/>
    <cellStyle name="Normal 10 3 3 2 3 2 2 5" xfId="2806" xr:uid="{00000000-0005-0000-0000-0000320F0000}"/>
    <cellStyle name="Normal 10 3 3 2 3 2 2 6" xfId="2807" xr:uid="{00000000-0005-0000-0000-0000330F0000}"/>
    <cellStyle name="Normal 10 3 3 2 3 2 3" xfId="2808" xr:uid="{00000000-0005-0000-0000-0000340F0000}"/>
    <cellStyle name="Normal 10 3 3 2 3 2 3 2" xfId="47109" xr:uid="{00000000-0005-0000-0000-0000350F0000}"/>
    <cellStyle name="Normal 10 3 3 2 3 2 3 3" xfId="47110" xr:uid="{00000000-0005-0000-0000-0000360F0000}"/>
    <cellStyle name="Normal 10 3 3 2 3 2 4" xfId="2809" xr:uid="{00000000-0005-0000-0000-0000370F0000}"/>
    <cellStyle name="Normal 10 3 3 2 3 2 4 2" xfId="47111" xr:uid="{00000000-0005-0000-0000-0000380F0000}"/>
    <cellStyle name="Normal 10 3 3 2 3 2 5" xfId="2810" xr:uid="{00000000-0005-0000-0000-0000390F0000}"/>
    <cellStyle name="Normal 10 3 3 2 3 2 6" xfId="2811" xr:uid="{00000000-0005-0000-0000-00003A0F0000}"/>
    <cellStyle name="Normal 10 3 3 2 3 2 7" xfId="2812" xr:uid="{00000000-0005-0000-0000-00003B0F0000}"/>
    <cellStyle name="Normal 10 3 3 2 3 3" xfId="2813" xr:uid="{00000000-0005-0000-0000-00003C0F0000}"/>
    <cellStyle name="Normal 10 3 3 2 3 3 2" xfId="2814" xr:uid="{00000000-0005-0000-0000-00003D0F0000}"/>
    <cellStyle name="Normal 10 3 3 2 3 3 2 2" xfId="47112" xr:uid="{00000000-0005-0000-0000-00003E0F0000}"/>
    <cellStyle name="Normal 10 3 3 2 3 3 2 3" xfId="47113" xr:uid="{00000000-0005-0000-0000-00003F0F0000}"/>
    <cellStyle name="Normal 10 3 3 2 3 3 3" xfId="2815" xr:uid="{00000000-0005-0000-0000-0000400F0000}"/>
    <cellStyle name="Normal 10 3 3 2 3 3 3 2" xfId="47114" xr:uid="{00000000-0005-0000-0000-0000410F0000}"/>
    <cellStyle name="Normal 10 3 3 2 3 3 4" xfId="2816" xr:uid="{00000000-0005-0000-0000-0000420F0000}"/>
    <cellStyle name="Normal 10 3 3 2 3 3 5" xfId="2817" xr:uid="{00000000-0005-0000-0000-0000430F0000}"/>
    <cellStyle name="Normal 10 3 3 2 3 3 6" xfId="2818" xr:uid="{00000000-0005-0000-0000-0000440F0000}"/>
    <cellStyle name="Normal 10 3 3 2 3 4" xfId="2819" xr:uid="{00000000-0005-0000-0000-0000450F0000}"/>
    <cellStyle name="Normal 10 3 3 2 3 4 2" xfId="47115" xr:uid="{00000000-0005-0000-0000-0000460F0000}"/>
    <cellStyle name="Normal 10 3 3 2 3 4 3" xfId="47116" xr:uid="{00000000-0005-0000-0000-0000470F0000}"/>
    <cellStyle name="Normal 10 3 3 2 3 5" xfId="2820" xr:uid="{00000000-0005-0000-0000-0000480F0000}"/>
    <cellStyle name="Normal 10 3 3 2 3 5 2" xfId="47117" xr:uid="{00000000-0005-0000-0000-0000490F0000}"/>
    <cellStyle name="Normal 10 3 3 2 3 6" xfId="2821" xr:uid="{00000000-0005-0000-0000-00004A0F0000}"/>
    <cellStyle name="Normal 10 3 3 2 3 7" xfId="2822" xr:uid="{00000000-0005-0000-0000-00004B0F0000}"/>
    <cellStyle name="Normal 10 3 3 2 3 8" xfId="2823" xr:uid="{00000000-0005-0000-0000-00004C0F0000}"/>
    <cellStyle name="Normal 10 3 3 2 4" xfId="2824" xr:uid="{00000000-0005-0000-0000-00004D0F0000}"/>
    <cellStyle name="Normal 10 3 3 2 4 2" xfId="2825" xr:uid="{00000000-0005-0000-0000-00004E0F0000}"/>
    <cellStyle name="Normal 10 3 3 2 4 2 2" xfId="2826" xr:uid="{00000000-0005-0000-0000-00004F0F0000}"/>
    <cellStyle name="Normal 10 3 3 2 4 2 2 2" xfId="47118" xr:uid="{00000000-0005-0000-0000-0000500F0000}"/>
    <cellStyle name="Normal 10 3 3 2 4 2 2 3" xfId="47119" xr:uid="{00000000-0005-0000-0000-0000510F0000}"/>
    <cellStyle name="Normal 10 3 3 2 4 2 3" xfId="2827" xr:uid="{00000000-0005-0000-0000-0000520F0000}"/>
    <cellStyle name="Normal 10 3 3 2 4 2 3 2" xfId="47120" xr:uid="{00000000-0005-0000-0000-0000530F0000}"/>
    <cellStyle name="Normal 10 3 3 2 4 2 4" xfId="2828" xr:uid="{00000000-0005-0000-0000-0000540F0000}"/>
    <cellStyle name="Normal 10 3 3 2 4 2 5" xfId="2829" xr:uid="{00000000-0005-0000-0000-0000550F0000}"/>
    <cellStyle name="Normal 10 3 3 2 4 2 6" xfId="2830" xr:uid="{00000000-0005-0000-0000-0000560F0000}"/>
    <cellStyle name="Normal 10 3 3 2 4 3" xfId="2831" xr:uid="{00000000-0005-0000-0000-0000570F0000}"/>
    <cellStyle name="Normal 10 3 3 2 4 3 2" xfId="47121" xr:uid="{00000000-0005-0000-0000-0000580F0000}"/>
    <cellStyle name="Normal 10 3 3 2 4 3 3" xfId="47122" xr:uid="{00000000-0005-0000-0000-0000590F0000}"/>
    <cellStyle name="Normal 10 3 3 2 4 4" xfId="2832" xr:uid="{00000000-0005-0000-0000-00005A0F0000}"/>
    <cellStyle name="Normal 10 3 3 2 4 4 2" xfId="47123" xr:uid="{00000000-0005-0000-0000-00005B0F0000}"/>
    <cellStyle name="Normal 10 3 3 2 4 5" xfId="2833" xr:uid="{00000000-0005-0000-0000-00005C0F0000}"/>
    <cellStyle name="Normal 10 3 3 2 4 6" xfId="2834" xr:uid="{00000000-0005-0000-0000-00005D0F0000}"/>
    <cellStyle name="Normal 10 3 3 2 4 7" xfId="2835" xr:uid="{00000000-0005-0000-0000-00005E0F0000}"/>
    <cellStyle name="Normal 10 3 3 2 5" xfId="2836" xr:uid="{00000000-0005-0000-0000-00005F0F0000}"/>
    <cellStyle name="Normal 10 3 3 2 5 2" xfId="2837" xr:uid="{00000000-0005-0000-0000-0000600F0000}"/>
    <cellStyle name="Normal 10 3 3 2 5 2 2" xfId="47124" xr:uid="{00000000-0005-0000-0000-0000610F0000}"/>
    <cellStyle name="Normal 10 3 3 2 5 2 3" xfId="47125" xr:uid="{00000000-0005-0000-0000-0000620F0000}"/>
    <cellStyle name="Normal 10 3 3 2 5 3" xfId="2838" xr:uid="{00000000-0005-0000-0000-0000630F0000}"/>
    <cellStyle name="Normal 10 3 3 2 5 3 2" xfId="47126" xr:uid="{00000000-0005-0000-0000-0000640F0000}"/>
    <cellStyle name="Normal 10 3 3 2 5 4" xfId="2839" xr:uid="{00000000-0005-0000-0000-0000650F0000}"/>
    <cellStyle name="Normal 10 3 3 2 5 5" xfId="2840" xr:uid="{00000000-0005-0000-0000-0000660F0000}"/>
    <cellStyle name="Normal 10 3 3 2 5 6" xfId="2841" xr:uid="{00000000-0005-0000-0000-0000670F0000}"/>
    <cellStyle name="Normal 10 3 3 2 6" xfId="2842" xr:uid="{00000000-0005-0000-0000-0000680F0000}"/>
    <cellStyle name="Normal 10 3 3 2 6 2" xfId="47127" xr:uid="{00000000-0005-0000-0000-0000690F0000}"/>
    <cellStyle name="Normal 10 3 3 2 6 3" xfId="47128" xr:uid="{00000000-0005-0000-0000-00006A0F0000}"/>
    <cellStyle name="Normal 10 3 3 2 7" xfId="2843" xr:uid="{00000000-0005-0000-0000-00006B0F0000}"/>
    <cellStyle name="Normal 10 3 3 2 7 2" xfId="47129" xr:uid="{00000000-0005-0000-0000-00006C0F0000}"/>
    <cellStyle name="Normal 10 3 3 2 8" xfId="2844" xr:uid="{00000000-0005-0000-0000-00006D0F0000}"/>
    <cellStyle name="Normal 10 3 3 2 9" xfId="2845" xr:uid="{00000000-0005-0000-0000-00006E0F0000}"/>
    <cellStyle name="Normal 10 3 3 3" xfId="2846" xr:uid="{00000000-0005-0000-0000-00006F0F0000}"/>
    <cellStyle name="Normal 10 3 3 3 2" xfId="2847" xr:uid="{00000000-0005-0000-0000-0000700F0000}"/>
    <cellStyle name="Normal 10 3 3 3 2 2" xfId="2848" xr:uid="{00000000-0005-0000-0000-0000710F0000}"/>
    <cellStyle name="Normal 10 3 3 3 2 2 2" xfId="2849" xr:uid="{00000000-0005-0000-0000-0000720F0000}"/>
    <cellStyle name="Normal 10 3 3 3 2 2 2 2" xfId="47130" xr:uid="{00000000-0005-0000-0000-0000730F0000}"/>
    <cellStyle name="Normal 10 3 3 3 2 2 2 3" xfId="47131" xr:uid="{00000000-0005-0000-0000-0000740F0000}"/>
    <cellStyle name="Normal 10 3 3 3 2 2 3" xfId="2850" xr:uid="{00000000-0005-0000-0000-0000750F0000}"/>
    <cellStyle name="Normal 10 3 3 3 2 2 3 2" xfId="47132" xr:uid="{00000000-0005-0000-0000-0000760F0000}"/>
    <cellStyle name="Normal 10 3 3 3 2 2 4" xfId="2851" xr:uid="{00000000-0005-0000-0000-0000770F0000}"/>
    <cellStyle name="Normal 10 3 3 3 2 2 5" xfId="2852" xr:uid="{00000000-0005-0000-0000-0000780F0000}"/>
    <cellStyle name="Normal 10 3 3 3 2 2 6" xfId="2853" xr:uid="{00000000-0005-0000-0000-0000790F0000}"/>
    <cellStyle name="Normal 10 3 3 3 2 3" xfId="2854" xr:uid="{00000000-0005-0000-0000-00007A0F0000}"/>
    <cellStyle name="Normal 10 3 3 3 2 3 2" xfId="47133" xr:uid="{00000000-0005-0000-0000-00007B0F0000}"/>
    <cellStyle name="Normal 10 3 3 3 2 3 3" xfId="47134" xr:uid="{00000000-0005-0000-0000-00007C0F0000}"/>
    <cellStyle name="Normal 10 3 3 3 2 4" xfId="2855" xr:uid="{00000000-0005-0000-0000-00007D0F0000}"/>
    <cellStyle name="Normal 10 3 3 3 2 4 2" xfId="47135" xr:uid="{00000000-0005-0000-0000-00007E0F0000}"/>
    <cellStyle name="Normal 10 3 3 3 2 5" xfId="2856" xr:uid="{00000000-0005-0000-0000-00007F0F0000}"/>
    <cellStyle name="Normal 10 3 3 3 2 6" xfId="2857" xr:uid="{00000000-0005-0000-0000-0000800F0000}"/>
    <cellStyle name="Normal 10 3 3 3 2 7" xfId="2858" xr:uid="{00000000-0005-0000-0000-0000810F0000}"/>
    <cellStyle name="Normal 10 3 3 3 3" xfId="2859" xr:uid="{00000000-0005-0000-0000-0000820F0000}"/>
    <cellStyle name="Normal 10 3 3 3 3 2" xfId="2860" xr:uid="{00000000-0005-0000-0000-0000830F0000}"/>
    <cellStyle name="Normal 10 3 3 3 3 2 2" xfId="47136" xr:uid="{00000000-0005-0000-0000-0000840F0000}"/>
    <cellStyle name="Normal 10 3 3 3 3 2 3" xfId="47137" xr:uid="{00000000-0005-0000-0000-0000850F0000}"/>
    <cellStyle name="Normal 10 3 3 3 3 3" xfId="2861" xr:uid="{00000000-0005-0000-0000-0000860F0000}"/>
    <cellStyle name="Normal 10 3 3 3 3 3 2" xfId="47138" xr:uid="{00000000-0005-0000-0000-0000870F0000}"/>
    <cellStyle name="Normal 10 3 3 3 3 4" xfId="2862" xr:uid="{00000000-0005-0000-0000-0000880F0000}"/>
    <cellStyle name="Normal 10 3 3 3 3 5" xfId="2863" xr:uid="{00000000-0005-0000-0000-0000890F0000}"/>
    <cellStyle name="Normal 10 3 3 3 3 6" xfId="2864" xr:uid="{00000000-0005-0000-0000-00008A0F0000}"/>
    <cellStyle name="Normal 10 3 3 3 4" xfId="2865" xr:uid="{00000000-0005-0000-0000-00008B0F0000}"/>
    <cellStyle name="Normal 10 3 3 3 4 2" xfId="47139" xr:uid="{00000000-0005-0000-0000-00008C0F0000}"/>
    <cellStyle name="Normal 10 3 3 3 4 3" xfId="47140" xr:uid="{00000000-0005-0000-0000-00008D0F0000}"/>
    <cellStyle name="Normal 10 3 3 3 5" xfId="2866" xr:uid="{00000000-0005-0000-0000-00008E0F0000}"/>
    <cellStyle name="Normal 10 3 3 3 5 2" xfId="47141" xr:uid="{00000000-0005-0000-0000-00008F0F0000}"/>
    <cellStyle name="Normal 10 3 3 3 6" xfId="2867" xr:uid="{00000000-0005-0000-0000-0000900F0000}"/>
    <cellStyle name="Normal 10 3 3 3 7" xfId="2868" xr:uid="{00000000-0005-0000-0000-0000910F0000}"/>
    <cellStyle name="Normal 10 3 3 3 8" xfId="2869" xr:uid="{00000000-0005-0000-0000-0000920F0000}"/>
    <cellStyle name="Normal 10 3 3 3 9" xfId="2870" xr:uid="{00000000-0005-0000-0000-0000930F0000}"/>
    <cellStyle name="Normal 10 3 3 4" xfId="2871" xr:uid="{00000000-0005-0000-0000-0000940F0000}"/>
    <cellStyle name="Normal 10 3 3 4 2" xfId="2872" xr:uid="{00000000-0005-0000-0000-0000950F0000}"/>
    <cellStyle name="Normal 10 3 3 4 2 2" xfId="2873" xr:uid="{00000000-0005-0000-0000-0000960F0000}"/>
    <cellStyle name="Normal 10 3 3 4 2 2 2" xfId="2874" xr:uid="{00000000-0005-0000-0000-0000970F0000}"/>
    <cellStyle name="Normal 10 3 3 4 2 2 2 2" xfId="47142" xr:uid="{00000000-0005-0000-0000-0000980F0000}"/>
    <cellStyle name="Normal 10 3 3 4 2 2 2 3" xfId="47143" xr:uid="{00000000-0005-0000-0000-0000990F0000}"/>
    <cellStyle name="Normal 10 3 3 4 2 2 3" xfId="2875" xr:uid="{00000000-0005-0000-0000-00009A0F0000}"/>
    <cellStyle name="Normal 10 3 3 4 2 2 3 2" xfId="47144" xr:uid="{00000000-0005-0000-0000-00009B0F0000}"/>
    <cellStyle name="Normal 10 3 3 4 2 2 4" xfId="2876" xr:uid="{00000000-0005-0000-0000-00009C0F0000}"/>
    <cellStyle name="Normal 10 3 3 4 2 2 5" xfId="2877" xr:uid="{00000000-0005-0000-0000-00009D0F0000}"/>
    <cellStyle name="Normal 10 3 3 4 2 2 6" xfId="2878" xr:uid="{00000000-0005-0000-0000-00009E0F0000}"/>
    <cellStyle name="Normal 10 3 3 4 2 3" xfId="2879" xr:uid="{00000000-0005-0000-0000-00009F0F0000}"/>
    <cellStyle name="Normal 10 3 3 4 2 3 2" xfId="47145" xr:uid="{00000000-0005-0000-0000-0000A00F0000}"/>
    <cellStyle name="Normal 10 3 3 4 2 3 3" xfId="47146" xr:uid="{00000000-0005-0000-0000-0000A10F0000}"/>
    <cellStyle name="Normal 10 3 3 4 2 4" xfId="2880" xr:uid="{00000000-0005-0000-0000-0000A20F0000}"/>
    <cellStyle name="Normal 10 3 3 4 2 4 2" xfId="47147" xr:uid="{00000000-0005-0000-0000-0000A30F0000}"/>
    <cellStyle name="Normal 10 3 3 4 2 5" xfId="2881" xr:uid="{00000000-0005-0000-0000-0000A40F0000}"/>
    <cellStyle name="Normal 10 3 3 4 2 6" xfId="2882" xr:uid="{00000000-0005-0000-0000-0000A50F0000}"/>
    <cellStyle name="Normal 10 3 3 4 2 7" xfId="2883" xr:uid="{00000000-0005-0000-0000-0000A60F0000}"/>
    <cellStyle name="Normal 10 3 3 4 3" xfId="2884" xr:uid="{00000000-0005-0000-0000-0000A70F0000}"/>
    <cellStyle name="Normal 10 3 3 4 3 2" xfId="2885" xr:uid="{00000000-0005-0000-0000-0000A80F0000}"/>
    <cellStyle name="Normal 10 3 3 4 3 2 2" xfId="47148" xr:uid="{00000000-0005-0000-0000-0000A90F0000}"/>
    <cellStyle name="Normal 10 3 3 4 3 2 3" xfId="47149" xr:uid="{00000000-0005-0000-0000-0000AA0F0000}"/>
    <cellStyle name="Normal 10 3 3 4 3 3" xfId="2886" xr:uid="{00000000-0005-0000-0000-0000AB0F0000}"/>
    <cellStyle name="Normal 10 3 3 4 3 3 2" xfId="47150" xr:uid="{00000000-0005-0000-0000-0000AC0F0000}"/>
    <cellStyle name="Normal 10 3 3 4 3 4" xfId="2887" xr:uid="{00000000-0005-0000-0000-0000AD0F0000}"/>
    <cellStyle name="Normal 10 3 3 4 3 5" xfId="2888" xr:uid="{00000000-0005-0000-0000-0000AE0F0000}"/>
    <cellStyle name="Normal 10 3 3 4 3 6" xfId="2889" xr:uid="{00000000-0005-0000-0000-0000AF0F0000}"/>
    <cellStyle name="Normal 10 3 3 4 4" xfId="2890" xr:uid="{00000000-0005-0000-0000-0000B00F0000}"/>
    <cellStyle name="Normal 10 3 3 4 4 2" xfId="47151" xr:uid="{00000000-0005-0000-0000-0000B10F0000}"/>
    <cellStyle name="Normal 10 3 3 4 4 3" xfId="47152" xr:uid="{00000000-0005-0000-0000-0000B20F0000}"/>
    <cellStyle name="Normal 10 3 3 4 5" xfId="2891" xr:uid="{00000000-0005-0000-0000-0000B30F0000}"/>
    <cellStyle name="Normal 10 3 3 4 5 2" xfId="47153" xr:uid="{00000000-0005-0000-0000-0000B40F0000}"/>
    <cellStyle name="Normal 10 3 3 4 6" xfId="2892" xr:uid="{00000000-0005-0000-0000-0000B50F0000}"/>
    <cellStyle name="Normal 10 3 3 4 7" xfId="2893" xr:uid="{00000000-0005-0000-0000-0000B60F0000}"/>
    <cellStyle name="Normal 10 3 3 4 8" xfId="2894" xr:uid="{00000000-0005-0000-0000-0000B70F0000}"/>
    <cellStyle name="Normal 10 3 3 5" xfId="2895" xr:uid="{00000000-0005-0000-0000-0000B80F0000}"/>
    <cellStyle name="Normal 10 3 3 5 2" xfId="2896" xr:uid="{00000000-0005-0000-0000-0000B90F0000}"/>
    <cellStyle name="Normal 10 3 3 5 2 2" xfId="2897" xr:uid="{00000000-0005-0000-0000-0000BA0F0000}"/>
    <cellStyle name="Normal 10 3 3 5 2 2 2" xfId="47154" xr:uid="{00000000-0005-0000-0000-0000BB0F0000}"/>
    <cellStyle name="Normal 10 3 3 5 2 2 3" xfId="47155" xr:uid="{00000000-0005-0000-0000-0000BC0F0000}"/>
    <cellStyle name="Normal 10 3 3 5 2 3" xfId="2898" xr:uid="{00000000-0005-0000-0000-0000BD0F0000}"/>
    <cellStyle name="Normal 10 3 3 5 2 3 2" xfId="47156" xr:uid="{00000000-0005-0000-0000-0000BE0F0000}"/>
    <cellStyle name="Normal 10 3 3 5 2 4" xfId="2899" xr:uid="{00000000-0005-0000-0000-0000BF0F0000}"/>
    <cellStyle name="Normal 10 3 3 5 2 5" xfId="2900" xr:uid="{00000000-0005-0000-0000-0000C00F0000}"/>
    <cellStyle name="Normal 10 3 3 5 2 6" xfId="2901" xr:uid="{00000000-0005-0000-0000-0000C10F0000}"/>
    <cellStyle name="Normal 10 3 3 5 3" xfId="2902" xr:uid="{00000000-0005-0000-0000-0000C20F0000}"/>
    <cellStyle name="Normal 10 3 3 5 3 2" xfId="47157" xr:uid="{00000000-0005-0000-0000-0000C30F0000}"/>
    <cellStyle name="Normal 10 3 3 5 3 3" xfId="47158" xr:uid="{00000000-0005-0000-0000-0000C40F0000}"/>
    <cellStyle name="Normal 10 3 3 5 4" xfId="2903" xr:uid="{00000000-0005-0000-0000-0000C50F0000}"/>
    <cellStyle name="Normal 10 3 3 5 4 2" xfId="47159" xr:uid="{00000000-0005-0000-0000-0000C60F0000}"/>
    <cellStyle name="Normal 10 3 3 5 5" xfId="2904" xr:uid="{00000000-0005-0000-0000-0000C70F0000}"/>
    <cellStyle name="Normal 10 3 3 5 6" xfId="2905" xr:uid="{00000000-0005-0000-0000-0000C80F0000}"/>
    <cellStyle name="Normal 10 3 3 5 7" xfId="2906" xr:uid="{00000000-0005-0000-0000-0000C90F0000}"/>
    <cellStyle name="Normal 10 3 3 6" xfId="2907" xr:uid="{00000000-0005-0000-0000-0000CA0F0000}"/>
    <cellStyle name="Normal 10 3 3 6 2" xfId="2908" xr:uid="{00000000-0005-0000-0000-0000CB0F0000}"/>
    <cellStyle name="Normal 10 3 3 6 2 2" xfId="47160" xr:uid="{00000000-0005-0000-0000-0000CC0F0000}"/>
    <cellStyle name="Normal 10 3 3 6 2 3" xfId="47161" xr:uid="{00000000-0005-0000-0000-0000CD0F0000}"/>
    <cellStyle name="Normal 10 3 3 6 3" xfId="2909" xr:uid="{00000000-0005-0000-0000-0000CE0F0000}"/>
    <cellStyle name="Normal 10 3 3 6 3 2" xfId="47162" xr:uid="{00000000-0005-0000-0000-0000CF0F0000}"/>
    <cellStyle name="Normal 10 3 3 6 4" xfId="2910" xr:uid="{00000000-0005-0000-0000-0000D00F0000}"/>
    <cellStyle name="Normal 10 3 3 6 5" xfId="2911" xr:uid="{00000000-0005-0000-0000-0000D10F0000}"/>
    <cellStyle name="Normal 10 3 3 6 6" xfId="2912" xr:uid="{00000000-0005-0000-0000-0000D20F0000}"/>
    <cellStyle name="Normal 10 3 3 7" xfId="2913" xr:uid="{00000000-0005-0000-0000-0000D30F0000}"/>
    <cellStyle name="Normal 10 3 3 7 2" xfId="47163" xr:uid="{00000000-0005-0000-0000-0000D40F0000}"/>
    <cellStyle name="Normal 10 3 3 7 3" xfId="47164" xr:uid="{00000000-0005-0000-0000-0000D50F0000}"/>
    <cellStyle name="Normal 10 3 3 8" xfId="2914" xr:uid="{00000000-0005-0000-0000-0000D60F0000}"/>
    <cellStyle name="Normal 10 3 3 8 2" xfId="47165" xr:uid="{00000000-0005-0000-0000-0000D70F0000}"/>
    <cellStyle name="Normal 10 3 3 9" xfId="2915" xr:uid="{00000000-0005-0000-0000-0000D80F0000}"/>
    <cellStyle name="Normal 10 3 4" xfId="2916" xr:uid="{00000000-0005-0000-0000-0000D90F0000}"/>
    <cellStyle name="Normal 10 3 4 10" xfId="2917" xr:uid="{00000000-0005-0000-0000-0000DA0F0000}"/>
    <cellStyle name="Normal 10 3 4 11" xfId="2918" xr:uid="{00000000-0005-0000-0000-0000DB0F0000}"/>
    <cellStyle name="Normal 10 3 4 12" xfId="2919" xr:uid="{00000000-0005-0000-0000-0000DC0F0000}"/>
    <cellStyle name="Normal 10 3 4 13" xfId="2920" xr:uid="{00000000-0005-0000-0000-0000DD0F0000}"/>
    <cellStyle name="Normal 10 3 4 14" xfId="2921" xr:uid="{00000000-0005-0000-0000-0000DE0F0000}"/>
    <cellStyle name="Normal 10 3 4 2" xfId="2922" xr:uid="{00000000-0005-0000-0000-0000DF0F0000}"/>
    <cellStyle name="Normal 10 3 4 2 2" xfId="2923" xr:uid="{00000000-0005-0000-0000-0000E00F0000}"/>
    <cellStyle name="Normal 10 3 4 2 2 2" xfId="2924" xr:uid="{00000000-0005-0000-0000-0000E10F0000}"/>
    <cellStyle name="Normal 10 3 4 2 2 2 2" xfId="2925" xr:uid="{00000000-0005-0000-0000-0000E20F0000}"/>
    <cellStyle name="Normal 10 3 4 2 2 2 2 2" xfId="47166" xr:uid="{00000000-0005-0000-0000-0000E30F0000}"/>
    <cellStyle name="Normal 10 3 4 2 2 2 2 3" xfId="47167" xr:uid="{00000000-0005-0000-0000-0000E40F0000}"/>
    <cellStyle name="Normal 10 3 4 2 2 2 3" xfId="2926" xr:uid="{00000000-0005-0000-0000-0000E50F0000}"/>
    <cellStyle name="Normal 10 3 4 2 2 2 3 2" xfId="47168" xr:uid="{00000000-0005-0000-0000-0000E60F0000}"/>
    <cellStyle name="Normal 10 3 4 2 2 2 4" xfId="2927" xr:uid="{00000000-0005-0000-0000-0000E70F0000}"/>
    <cellStyle name="Normal 10 3 4 2 2 2 5" xfId="2928" xr:uid="{00000000-0005-0000-0000-0000E80F0000}"/>
    <cellStyle name="Normal 10 3 4 2 2 2 6" xfId="2929" xr:uid="{00000000-0005-0000-0000-0000E90F0000}"/>
    <cellStyle name="Normal 10 3 4 2 2 3" xfId="2930" xr:uid="{00000000-0005-0000-0000-0000EA0F0000}"/>
    <cellStyle name="Normal 10 3 4 2 2 3 2" xfId="47169" xr:uid="{00000000-0005-0000-0000-0000EB0F0000}"/>
    <cellStyle name="Normal 10 3 4 2 2 3 3" xfId="47170" xr:uid="{00000000-0005-0000-0000-0000EC0F0000}"/>
    <cellStyle name="Normal 10 3 4 2 2 4" xfId="2931" xr:uid="{00000000-0005-0000-0000-0000ED0F0000}"/>
    <cellStyle name="Normal 10 3 4 2 2 4 2" xfId="47171" xr:uid="{00000000-0005-0000-0000-0000EE0F0000}"/>
    <cellStyle name="Normal 10 3 4 2 2 5" xfId="2932" xr:uid="{00000000-0005-0000-0000-0000EF0F0000}"/>
    <cellStyle name="Normal 10 3 4 2 2 6" xfId="2933" xr:uid="{00000000-0005-0000-0000-0000F00F0000}"/>
    <cellStyle name="Normal 10 3 4 2 2 7" xfId="2934" xr:uid="{00000000-0005-0000-0000-0000F10F0000}"/>
    <cellStyle name="Normal 10 3 4 2 3" xfId="2935" xr:uid="{00000000-0005-0000-0000-0000F20F0000}"/>
    <cellStyle name="Normal 10 3 4 2 3 2" xfId="2936" xr:uid="{00000000-0005-0000-0000-0000F30F0000}"/>
    <cellStyle name="Normal 10 3 4 2 3 2 2" xfId="47172" xr:uid="{00000000-0005-0000-0000-0000F40F0000}"/>
    <cellStyle name="Normal 10 3 4 2 3 2 3" xfId="47173" xr:uid="{00000000-0005-0000-0000-0000F50F0000}"/>
    <cellStyle name="Normal 10 3 4 2 3 3" xfId="2937" xr:uid="{00000000-0005-0000-0000-0000F60F0000}"/>
    <cellStyle name="Normal 10 3 4 2 3 3 2" xfId="47174" xr:uid="{00000000-0005-0000-0000-0000F70F0000}"/>
    <cellStyle name="Normal 10 3 4 2 3 4" xfId="2938" xr:uid="{00000000-0005-0000-0000-0000F80F0000}"/>
    <cellStyle name="Normal 10 3 4 2 3 5" xfId="2939" xr:uid="{00000000-0005-0000-0000-0000F90F0000}"/>
    <cellStyle name="Normal 10 3 4 2 3 6" xfId="2940" xr:uid="{00000000-0005-0000-0000-0000FA0F0000}"/>
    <cellStyle name="Normal 10 3 4 2 4" xfId="2941" xr:uid="{00000000-0005-0000-0000-0000FB0F0000}"/>
    <cellStyle name="Normal 10 3 4 2 4 2" xfId="47175" xr:uid="{00000000-0005-0000-0000-0000FC0F0000}"/>
    <cellStyle name="Normal 10 3 4 2 4 3" xfId="47176" xr:uid="{00000000-0005-0000-0000-0000FD0F0000}"/>
    <cellStyle name="Normal 10 3 4 2 5" xfId="2942" xr:uid="{00000000-0005-0000-0000-0000FE0F0000}"/>
    <cellStyle name="Normal 10 3 4 2 5 2" xfId="47177" xr:uid="{00000000-0005-0000-0000-0000FF0F0000}"/>
    <cellStyle name="Normal 10 3 4 2 6" xfId="2943" xr:uid="{00000000-0005-0000-0000-000000100000}"/>
    <cellStyle name="Normal 10 3 4 2 7" xfId="2944" xr:uid="{00000000-0005-0000-0000-000001100000}"/>
    <cellStyle name="Normal 10 3 4 2 8" xfId="2945" xr:uid="{00000000-0005-0000-0000-000002100000}"/>
    <cellStyle name="Normal 10 3 4 2 9" xfId="2946" xr:uid="{00000000-0005-0000-0000-000003100000}"/>
    <cellStyle name="Normal 10 3 4 3" xfId="2947" xr:uid="{00000000-0005-0000-0000-000004100000}"/>
    <cellStyle name="Normal 10 3 4 3 2" xfId="2948" xr:uid="{00000000-0005-0000-0000-000005100000}"/>
    <cellStyle name="Normal 10 3 4 3 2 2" xfId="2949" xr:uid="{00000000-0005-0000-0000-000006100000}"/>
    <cellStyle name="Normal 10 3 4 3 2 2 2" xfId="2950" xr:uid="{00000000-0005-0000-0000-000007100000}"/>
    <cellStyle name="Normal 10 3 4 3 2 2 2 2" xfId="47178" xr:uid="{00000000-0005-0000-0000-000008100000}"/>
    <cellStyle name="Normal 10 3 4 3 2 2 2 3" xfId="47179" xr:uid="{00000000-0005-0000-0000-000009100000}"/>
    <cellStyle name="Normal 10 3 4 3 2 2 3" xfId="2951" xr:uid="{00000000-0005-0000-0000-00000A100000}"/>
    <cellStyle name="Normal 10 3 4 3 2 2 3 2" xfId="47180" xr:uid="{00000000-0005-0000-0000-00000B100000}"/>
    <cellStyle name="Normal 10 3 4 3 2 2 4" xfId="2952" xr:uid="{00000000-0005-0000-0000-00000C100000}"/>
    <cellStyle name="Normal 10 3 4 3 2 2 5" xfId="2953" xr:uid="{00000000-0005-0000-0000-00000D100000}"/>
    <cellStyle name="Normal 10 3 4 3 2 2 6" xfId="2954" xr:uid="{00000000-0005-0000-0000-00000E100000}"/>
    <cellStyle name="Normal 10 3 4 3 2 3" xfId="2955" xr:uid="{00000000-0005-0000-0000-00000F100000}"/>
    <cellStyle name="Normal 10 3 4 3 2 3 2" xfId="47181" xr:uid="{00000000-0005-0000-0000-000010100000}"/>
    <cellStyle name="Normal 10 3 4 3 2 3 3" xfId="47182" xr:uid="{00000000-0005-0000-0000-000011100000}"/>
    <cellStyle name="Normal 10 3 4 3 2 4" xfId="2956" xr:uid="{00000000-0005-0000-0000-000012100000}"/>
    <cellStyle name="Normal 10 3 4 3 2 4 2" xfId="47183" xr:uid="{00000000-0005-0000-0000-000013100000}"/>
    <cellStyle name="Normal 10 3 4 3 2 5" xfId="2957" xr:uid="{00000000-0005-0000-0000-000014100000}"/>
    <cellStyle name="Normal 10 3 4 3 2 6" xfId="2958" xr:uid="{00000000-0005-0000-0000-000015100000}"/>
    <cellStyle name="Normal 10 3 4 3 2 7" xfId="2959" xr:uid="{00000000-0005-0000-0000-000016100000}"/>
    <cellStyle name="Normal 10 3 4 3 3" xfId="2960" xr:uid="{00000000-0005-0000-0000-000017100000}"/>
    <cellStyle name="Normal 10 3 4 3 3 2" xfId="2961" xr:uid="{00000000-0005-0000-0000-000018100000}"/>
    <cellStyle name="Normal 10 3 4 3 3 2 2" xfId="47184" xr:uid="{00000000-0005-0000-0000-000019100000}"/>
    <cellStyle name="Normal 10 3 4 3 3 2 3" xfId="47185" xr:uid="{00000000-0005-0000-0000-00001A100000}"/>
    <cellStyle name="Normal 10 3 4 3 3 3" xfId="2962" xr:uid="{00000000-0005-0000-0000-00001B100000}"/>
    <cellStyle name="Normal 10 3 4 3 3 3 2" xfId="47186" xr:uid="{00000000-0005-0000-0000-00001C100000}"/>
    <cellStyle name="Normal 10 3 4 3 3 4" xfId="2963" xr:uid="{00000000-0005-0000-0000-00001D100000}"/>
    <cellStyle name="Normal 10 3 4 3 3 5" xfId="2964" xr:uid="{00000000-0005-0000-0000-00001E100000}"/>
    <cellStyle name="Normal 10 3 4 3 3 6" xfId="2965" xr:uid="{00000000-0005-0000-0000-00001F100000}"/>
    <cellStyle name="Normal 10 3 4 3 4" xfId="2966" xr:uid="{00000000-0005-0000-0000-000020100000}"/>
    <cellStyle name="Normal 10 3 4 3 4 2" xfId="47187" xr:uid="{00000000-0005-0000-0000-000021100000}"/>
    <cellStyle name="Normal 10 3 4 3 4 3" xfId="47188" xr:uid="{00000000-0005-0000-0000-000022100000}"/>
    <cellStyle name="Normal 10 3 4 3 5" xfId="2967" xr:uid="{00000000-0005-0000-0000-000023100000}"/>
    <cellStyle name="Normal 10 3 4 3 5 2" xfId="47189" xr:uid="{00000000-0005-0000-0000-000024100000}"/>
    <cellStyle name="Normal 10 3 4 3 6" xfId="2968" xr:uid="{00000000-0005-0000-0000-000025100000}"/>
    <cellStyle name="Normal 10 3 4 3 7" xfId="2969" xr:uid="{00000000-0005-0000-0000-000026100000}"/>
    <cellStyle name="Normal 10 3 4 3 8" xfId="2970" xr:uid="{00000000-0005-0000-0000-000027100000}"/>
    <cellStyle name="Normal 10 3 4 4" xfId="2971" xr:uid="{00000000-0005-0000-0000-000028100000}"/>
    <cellStyle name="Normal 10 3 4 4 2" xfId="2972" xr:uid="{00000000-0005-0000-0000-000029100000}"/>
    <cellStyle name="Normal 10 3 4 4 2 2" xfId="2973" xr:uid="{00000000-0005-0000-0000-00002A100000}"/>
    <cellStyle name="Normal 10 3 4 4 2 2 2" xfId="47190" xr:uid="{00000000-0005-0000-0000-00002B100000}"/>
    <cellStyle name="Normal 10 3 4 4 2 2 3" xfId="47191" xr:uid="{00000000-0005-0000-0000-00002C100000}"/>
    <cellStyle name="Normal 10 3 4 4 2 3" xfId="2974" xr:uid="{00000000-0005-0000-0000-00002D100000}"/>
    <cellStyle name="Normal 10 3 4 4 2 3 2" xfId="47192" xr:uid="{00000000-0005-0000-0000-00002E100000}"/>
    <cellStyle name="Normal 10 3 4 4 2 4" xfId="2975" xr:uid="{00000000-0005-0000-0000-00002F100000}"/>
    <cellStyle name="Normal 10 3 4 4 2 5" xfId="2976" xr:uid="{00000000-0005-0000-0000-000030100000}"/>
    <cellStyle name="Normal 10 3 4 4 2 6" xfId="2977" xr:uid="{00000000-0005-0000-0000-000031100000}"/>
    <cellStyle name="Normal 10 3 4 4 3" xfId="2978" xr:uid="{00000000-0005-0000-0000-000032100000}"/>
    <cellStyle name="Normal 10 3 4 4 3 2" xfId="47193" xr:uid="{00000000-0005-0000-0000-000033100000}"/>
    <cellStyle name="Normal 10 3 4 4 3 3" xfId="47194" xr:uid="{00000000-0005-0000-0000-000034100000}"/>
    <cellStyle name="Normal 10 3 4 4 4" xfId="2979" xr:uid="{00000000-0005-0000-0000-000035100000}"/>
    <cellStyle name="Normal 10 3 4 4 4 2" xfId="47195" xr:uid="{00000000-0005-0000-0000-000036100000}"/>
    <cellStyle name="Normal 10 3 4 4 5" xfId="2980" xr:uid="{00000000-0005-0000-0000-000037100000}"/>
    <cellStyle name="Normal 10 3 4 4 6" xfId="2981" xr:uid="{00000000-0005-0000-0000-000038100000}"/>
    <cellStyle name="Normal 10 3 4 4 7" xfId="2982" xr:uid="{00000000-0005-0000-0000-000039100000}"/>
    <cellStyle name="Normal 10 3 4 5" xfId="2983" xr:uid="{00000000-0005-0000-0000-00003A100000}"/>
    <cellStyle name="Normal 10 3 4 5 2" xfId="2984" xr:uid="{00000000-0005-0000-0000-00003B100000}"/>
    <cellStyle name="Normal 10 3 4 5 2 2" xfId="47196" xr:uid="{00000000-0005-0000-0000-00003C100000}"/>
    <cellStyle name="Normal 10 3 4 5 2 3" xfId="47197" xr:uid="{00000000-0005-0000-0000-00003D100000}"/>
    <cellStyle name="Normal 10 3 4 5 3" xfId="2985" xr:uid="{00000000-0005-0000-0000-00003E100000}"/>
    <cellStyle name="Normal 10 3 4 5 3 2" xfId="47198" xr:uid="{00000000-0005-0000-0000-00003F100000}"/>
    <cellStyle name="Normal 10 3 4 5 4" xfId="2986" xr:uid="{00000000-0005-0000-0000-000040100000}"/>
    <cellStyle name="Normal 10 3 4 5 5" xfId="2987" xr:uid="{00000000-0005-0000-0000-000041100000}"/>
    <cellStyle name="Normal 10 3 4 5 6" xfId="2988" xr:uid="{00000000-0005-0000-0000-000042100000}"/>
    <cellStyle name="Normal 10 3 4 6" xfId="2989" xr:uid="{00000000-0005-0000-0000-000043100000}"/>
    <cellStyle name="Normal 10 3 4 6 2" xfId="47199" xr:uid="{00000000-0005-0000-0000-000044100000}"/>
    <cellStyle name="Normal 10 3 4 6 3" xfId="47200" xr:uid="{00000000-0005-0000-0000-000045100000}"/>
    <cellStyle name="Normal 10 3 4 7" xfId="2990" xr:uid="{00000000-0005-0000-0000-000046100000}"/>
    <cellStyle name="Normal 10 3 4 7 2" xfId="47201" xr:uid="{00000000-0005-0000-0000-000047100000}"/>
    <cellStyle name="Normal 10 3 4 8" xfId="2991" xr:uid="{00000000-0005-0000-0000-000048100000}"/>
    <cellStyle name="Normal 10 3 4 9" xfId="2992" xr:uid="{00000000-0005-0000-0000-000049100000}"/>
    <cellStyle name="Normal 10 3 5" xfId="2993" xr:uid="{00000000-0005-0000-0000-00004A100000}"/>
    <cellStyle name="Normal 10 3 5 10" xfId="2994" xr:uid="{00000000-0005-0000-0000-00004B100000}"/>
    <cellStyle name="Normal 10 3 5 11" xfId="2995" xr:uid="{00000000-0005-0000-0000-00004C100000}"/>
    <cellStyle name="Normal 10 3 5 12" xfId="2996" xr:uid="{00000000-0005-0000-0000-00004D100000}"/>
    <cellStyle name="Normal 10 3 5 13" xfId="2997" xr:uid="{00000000-0005-0000-0000-00004E100000}"/>
    <cellStyle name="Normal 10 3 5 14" xfId="2998" xr:uid="{00000000-0005-0000-0000-00004F100000}"/>
    <cellStyle name="Normal 10 3 5 2" xfId="2999" xr:uid="{00000000-0005-0000-0000-000050100000}"/>
    <cellStyle name="Normal 10 3 5 2 2" xfId="3000" xr:uid="{00000000-0005-0000-0000-000051100000}"/>
    <cellStyle name="Normal 10 3 5 2 2 2" xfId="3001" xr:uid="{00000000-0005-0000-0000-000052100000}"/>
    <cellStyle name="Normal 10 3 5 2 2 2 2" xfId="3002" xr:uid="{00000000-0005-0000-0000-000053100000}"/>
    <cellStyle name="Normal 10 3 5 2 2 2 2 2" xfId="47202" xr:uid="{00000000-0005-0000-0000-000054100000}"/>
    <cellStyle name="Normal 10 3 5 2 2 2 2 3" xfId="47203" xr:uid="{00000000-0005-0000-0000-000055100000}"/>
    <cellStyle name="Normal 10 3 5 2 2 2 3" xfId="3003" xr:uid="{00000000-0005-0000-0000-000056100000}"/>
    <cellStyle name="Normal 10 3 5 2 2 2 3 2" xfId="47204" xr:uid="{00000000-0005-0000-0000-000057100000}"/>
    <cellStyle name="Normal 10 3 5 2 2 2 4" xfId="3004" xr:uid="{00000000-0005-0000-0000-000058100000}"/>
    <cellStyle name="Normal 10 3 5 2 2 2 5" xfId="3005" xr:uid="{00000000-0005-0000-0000-000059100000}"/>
    <cellStyle name="Normal 10 3 5 2 2 2 6" xfId="3006" xr:uid="{00000000-0005-0000-0000-00005A100000}"/>
    <cellStyle name="Normal 10 3 5 2 2 3" xfId="3007" xr:uid="{00000000-0005-0000-0000-00005B100000}"/>
    <cellStyle name="Normal 10 3 5 2 2 3 2" xfId="47205" xr:uid="{00000000-0005-0000-0000-00005C100000}"/>
    <cellStyle name="Normal 10 3 5 2 2 3 3" xfId="47206" xr:uid="{00000000-0005-0000-0000-00005D100000}"/>
    <cellStyle name="Normal 10 3 5 2 2 4" xfId="3008" xr:uid="{00000000-0005-0000-0000-00005E100000}"/>
    <cellStyle name="Normal 10 3 5 2 2 4 2" xfId="47207" xr:uid="{00000000-0005-0000-0000-00005F100000}"/>
    <cellStyle name="Normal 10 3 5 2 2 5" xfId="3009" xr:uid="{00000000-0005-0000-0000-000060100000}"/>
    <cellStyle name="Normal 10 3 5 2 2 6" xfId="3010" xr:uid="{00000000-0005-0000-0000-000061100000}"/>
    <cellStyle name="Normal 10 3 5 2 2 7" xfId="3011" xr:uid="{00000000-0005-0000-0000-000062100000}"/>
    <cellStyle name="Normal 10 3 5 2 3" xfId="3012" xr:uid="{00000000-0005-0000-0000-000063100000}"/>
    <cellStyle name="Normal 10 3 5 2 3 2" xfId="3013" xr:uid="{00000000-0005-0000-0000-000064100000}"/>
    <cellStyle name="Normal 10 3 5 2 3 2 2" xfId="47208" xr:uid="{00000000-0005-0000-0000-000065100000}"/>
    <cellStyle name="Normal 10 3 5 2 3 2 3" xfId="47209" xr:uid="{00000000-0005-0000-0000-000066100000}"/>
    <cellStyle name="Normal 10 3 5 2 3 3" xfId="3014" xr:uid="{00000000-0005-0000-0000-000067100000}"/>
    <cellStyle name="Normal 10 3 5 2 3 3 2" xfId="47210" xr:uid="{00000000-0005-0000-0000-000068100000}"/>
    <cellStyle name="Normal 10 3 5 2 3 4" xfId="3015" xr:uid="{00000000-0005-0000-0000-000069100000}"/>
    <cellStyle name="Normal 10 3 5 2 3 5" xfId="3016" xr:uid="{00000000-0005-0000-0000-00006A100000}"/>
    <cellStyle name="Normal 10 3 5 2 3 6" xfId="3017" xr:uid="{00000000-0005-0000-0000-00006B100000}"/>
    <cellStyle name="Normal 10 3 5 2 4" xfId="3018" xr:uid="{00000000-0005-0000-0000-00006C100000}"/>
    <cellStyle name="Normal 10 3 5 2 4 2" xfId="47211" xr:uid="{00000000-0005-0000-0000-00006D100000}"/>
    <cellStyle name="Normal 10 3 5 2 4 3" xfId="47212" xr:uid="{00000000-0005-0000-0000-00006E100000}"/>
    <cellStyle name="Normal 10 3 5 2 5" xfId="3019" xr:uid="{00000000-0005-0000-0000-00006F100000}"/>
    <cellStyle name="Normal 10 3 5 2 5 2" xfId="47213" xr:uid="{00000000-0005-0000-0000-000070100000}"/>
    <cellStyle name="Normal 10 3 5 2 6" xfId="3020" xr:uid="{00000000-0005-0000-0000-000071100000}"/>
    <cellStyle name="Normal 10 3 5 2 7" xfId="3021" xr:uid="{00000000-0005-0000-0000-000072100000}"/>
    <cellStyle name="Normal 10 3 5 2 8" xfId="3022" xr:uid="{00000000-0005-0000-0000-000073100000}"/>
    <cellStyle name="Normal 10 3 5 2 9" xfId="3023" xr:uid="{00000000-0005-0000-0000-000074100000}"/>
    <cellStyle name="Normal 10 3 5 3" xfId="3024" xr:uid="{00000000-0005-0000-0000-000075100000}"/>
    <cellStyle name="Normal 10 3 5 3 2" xfId="3025" xr:uid="{00000000-0005-0000-0000-000076100000}"/>
    <cellStyle name="Normal 10 3 5 3 2 2" xfId="3026" xr:uid="{00000000-0005-0000-0000-000077100000}"/>
    <cellStyle name="Normal 10 3 5 3 2 2 2" xfId="3027" xr:uid="{00000000-0005-0000-0000-000078100000}"/>
    <cellStyle name="Normal 10 3 5 3 2 2 2 2" xfId="47214" xr:uid="{00000000-0005-0000-0000-000079100000}"/>
    <cellStyle name="Normal 10 3 5 3 2 2 2 3" xfId="47215" xr:uid="{00000000-0005-0000-0000-00007A100000}"/>
    <cellStyle name="Normal 10 3 5 3 2 2 3" xfId="3028" xr:uid="{00000000-0005-0000-0000-00007B100000}"/>
    <cellStyle name="Normal 10 3 5 3 2 2 3 2" xfId="47216" xr:uid="{00000000-0005-0000-0000-00007C100000}"/>
    <cellStyle name="Normal 10 3 5 3 2 2 4" xfId="3029" xr:uid="{00000000-0005-0000-0000-00007D100000}"/>
    <cellStyle name="Normal 10 3 5 3 2 2 5" xfId="3030" xr:uid="{00000000-0005-0000-0000-00007E100000}"/>
    <cellStyle name="Normal 10 3 5 3 2 2 6" xfId="3031" xr:uid="{00000000-0005-0000-0000-00007F100000}"/>
    <cellStyle name="Normal 10 3 5 3 2 3" xfId="3032" xr:uid="{00000000-0005-0000-0000-000080100000}"/>
    <cellStyle name="Normal 10 3 5 3 2 3 2" xfId="47217" xr:uid="{00000000-0005-0000-0000-000081100000}"/>
    <cellStyle name="Normal 10 3 5 3 2 3 3" xfId="47218" xr:uid="{00000000-0005-0000-0000-000082100000}"/>
    <cellStyle name="Normal 10 3 5 3 2 4" xfId="3033" xr:uid="{00000000-0005-0000-0000-000083100000}"/>
    <cellStyle name="Normal 10 3 5 3 2 4 2" xfId="47219" xr:uid="{00000000-0005-0000-0000-000084100000}"/>
    <cellStyle name="Normal 10 3 5 3 2 5" xfId="3034" xr:uid="{00000000-0005-0000-0000-000085100000}"/>
    <cellStyle name="Normal 10 3 5 3 2 6" xfId="3035" xr:uid="{00000000-0005-0000-0000-000086100000}"/>
    <cellStyle name="Normal 10 3 5 3 2 7" xfId="3036" xr:uid="{00000000-0005-0000-0000-000087100000}"/>
    <cellStyle name="Normal 10 3 5 3 3" xfId="3037" xr:uid="{00000000-0005-0000-0000-000088100000}"/>
    <cellStyle name="Normal 10 3 5 3 3 2" xfId="3038" xr:uid="{00000000-0005-0000-0000-000089100000}"/>
    <cellStyle name="Normal 10 3 5 3 3 2 2" xfId="47220" xr:uid="{00000000-0005-0000-0000-00008A100000}"/>
    <cellStyle name="Normal 10 3 5 3 3 2 3" xfId="47221" xr:uid="{00000000-0005-0000-0000-00008B100000}"/>
    <cellStyle name="Normal 10 3 5 3 3 3" xfId="3039" xr:uid="{00000000-0005-0000-0000-00008C100000}"/>
    <cellStyle name="Normal 10 3 5 3 3 3 2" xfId="47222" xr:uid="{00000000-0005-0000-0000-00008D100000}"/>
    <cellStyle name="Normal 10 3 5 3 3 4" xfId="3040" xr:uid="{00000000-0005-0000-0000-00008E100000}"/>
    <cellStyle name="Normal 10 3 5 3 3 5" xfId="3041" xr:uid="{00000000-0005-0000-0000-00008F100000}"/>
    <cellStyle name="Normal 10 3 5 3 3 6" xfId="3042" xr:uid="{00000000-0005-0000-0000-000090100000}"/>
    <cellStyle name="Normal 10 3 5 3 4" xfId="3043" xr:uid="{00000000-0005-0000-0000-000091100000}"/>
    <cellStyle name="Normal 10 3 5 3 4 2" xfId="47223" xr:uid="{00000000-0005-0000-0000-000092100000}"/>
    <cellStyle name="Normal 10 3 5 3 4 3" xfId="47224" xr:uid="{00000000-0005-0000-0000-000093100000}"/>
    <cellStyle name="Normal 10 3 5 3 5" xfId="3044" xr:uid="{00000000-0005-0000-0000-000094100000}"/>
    <cellStyle name="Normal 10 3 5 3 5 2" xfId="47225" xr:uid="{00000000-0005-0000-0000-000095100000}"/>
    <cellStyle name="Normal 10 3 5 3 6" xfId="3045" xr:uid="{00000000-0005-0000-0000-000096100000}"/>
    <cellStyle name="Normal 10 3 5 3 7" xfId="3046" xr:uid="{00000000-0005-0000-0000-000097100000}"/>
    <cellStyle name="Normal 10 3 5 3 8" xfId="3047" xr:uid="{00000000-0005-0000-0000-000098100000}"/>
    <cellStyle name="Normal 10 3 5 4" xfId="3048" xr:uid="{00000000-0005-0000-0000-000099100000}"/>
    <cellStyle name="Normal 10 3 5 4 2" xfId="3049" xr:uid="{00000000-0005-0000-0000-00009A100000}"/>
    <cellStyle name="Normal 10 3 5 4 2 2" xfId="3050" xr:uid="{00000000-0005-0000-0000-00009B100000}"/>
    <cellStyle name="Normal 10 3 5 4 2 2 2" xfId="47226" xr:uid="{00000000-0005-0000-0000-00009C100000}"/>
    <cellStyle name="Normal 10 3 5 4 2 2 3" xfId="47227" xr:uid="{00000000-0005-0000-0000-00009D100000}"/>
    <cellStyle name="Normal 10 3 5 4 2 3" xfId="3051" xr:uid="{00000000-0005-0000-0000-00009E100000}"/>
    <cellStyle name="Normal 10 3 5 4 2 3 2" xfId="47228" xr:uid="{00000000-0005-0000-0000-00009F100000}"/>
    <cellStyle name="Normal 10 3 5 4 2 4" xfId="3052" xr:uid="{00000000-0005-0000-0000-0000A0100000}"/>
    <cellStyle name="Normal 10 3 5 4 2 5" xfId="3053" xr:uid="{00000000-0005-0000-0000-0000A1100000}"/>
    <cellStyle name="Normal 10 3 5 4 2 6" xfId="3054" xr:uid="{00000000-0005-0000-0000-0000A2100000}"/>
    <cellStyle name="Normal 10 3 5 4 3" xfId="3055" xr:uid="{00000000-0005-0000-0000-0000A3100000}"/>
    <cellStyle name="Normal 10 3 5 4 3 2" xfId="47229" xr:uid="{00000000-0005-0000-0000-0000A4100000}"/>
    <cellStyle name="Normal 10 3 5 4 3 3" xfId="47230" xr:uid="{00000000-0005-0000-0000-0000A5100000}"/>
    <cellStyle name="Normal 10 3 5 4 4" xfId="3056" xr:uid="{00000000-0005-0000-0000-0000A6100000}"/>
    <cellStyle name="Normal 10 3 5 4 4 2" xfId="47231" xr:uid="{00000000-0005-0000-0000-0000A7100000}"/>
    <cellStyle name="Normal 10 3 5 4 5" xfId="3057" xr:uid="{00000000-0005-0000-0000-0000A8100000}"/>
    <cellStyle name="Normal 10 3 5 4 6" xfId="3058" xr:uid="{00000000-0005-0000-0000-0000A9100000}"/>
    <cellStyle name="Normal 10 3 5 4 7" xfId="3059" xr:uid="{00000000-0005-0000-0000-0000AA100000}"/>
    <cellStyle name="Normal 10 3 5 5" xfId="3060" xr:uid="{00000000-0005-0000-0000-0000AB100000}"/>
    <cellStyle name="Normal 10 3 5 5 2" xfId="3061" xr:uid="{00000000-0005-0000-0000-0000AC100000}"/>
    <cellStyle name="Normal 10 3 5 5 2 2" xfId="47232" xr:uid="{00000000-0005-0000-0000-0000AD100000}"/>
    <cellStyle name="Normal 10 3 5 5 2 3" xfId="47233" xr:uid="{00000000-0005-0000-0000-0000AE100000}"/>
    <cellStyle name="Normal 10 3 5 5 3" xfId="3062" xr:uid="{00000000-0005-0000-0000-0000AF100000}"/>
    <cellStyle name="Normal 10 3 5 5 3 2" xfId="47234" xr:uid="{00000000-0005-0000-0000-0000B0100000}"/>
    <cellStyle name="Normal 10 3 5 5 4" xfId="3063" xr:uid="{00000000-0005-0000-0000-0000B1100000}"/>
    <cellStyle name="Normal 10 3 5 5 5" xfId="3064" xr:uid="{00000000-0005-0000-0000-0000B2100000}"/>
    <cellStyle name="Normal 10 3 5 5 6" xfId="3065" xr:uid="{00000000-0005-0000-0000-0000B3100000}"/>
    <cellStyle name="Normal 10 3 5 6" xfId="3066" xr:uid="{00000000-0005-0000-0000-0000B4100000}"/>
    <cellStyle name="Normal 10 3 5 6 2" xfId="47235" xr:uid="{00000000-0005-0000-0000-0000B5100000}"/>
    <cellStyle name="Normal 10 3 5 6 3" xfId="47236" xr:uid="{00000000-0005-0000-0000-0000B6100000}"/>
    <cellStyle name="Normal 10 3 5 7" xfId="3067" xr:uid="{00000000-0005-0000-0000-0000B7100000}"/>
    <cellStyle name="Normal 10 3 5 7 2" xfId="47237" xr:uid="{00000000-0005-0000-0000-0000B8100000}"/>
    <cellStyle name="Normal 10 3 5 8" xfId="3068" xr:uid="{00000000-0005-0000-0000-0000B9100000}"/>
    <cellStyle name="Normal 10 3 5 9" xfId="3069" xr:uid="{00000000-0005-0000-0000-0000BA100000}"/>
    <cellStyle name="Normal 10 3 6" xfId="3070" xr:uid="{00000000-0005-0000-0000-0000BB100000}"/>
    <cellStyle name="Normal 10 3 6 10" xfId="3071" xr:uid="{00000000-0005-0000-0000-0000BC100000}"/>
    <cellStyle name="Normal 10 3 6 11" xfId="3072" xr:uid="{00000000-0005-0000-0000-0000BD100000}"/>
    <cellStyle name="Normal 10 3 6 12" xfId="3073" xr:uid="{00000000-0005-0000-0000-0000BE100000}"/>
    <cellStyle name="Normal 10 3 6 13" xfId="3074" xr:uid="{00000000-0005-0000-0000-0000BF100000}"/>
    <cellStyle name="Normal 10 3 6 2" xfId="3075" xr:uid="{00000000-0005-0000-0000-0000C0100000}"/>
    <cellStyle name="Normal 10 3 6 2 2" xfId="3076" xr:uid="{00000000-0005-0000-0000-0000C1100000}"/>
    <cellStyle name="Normal 10 3 6 2 2 2" xfId="3077" xr:uid="{00000000-0005-0000-0000-0000C2100000}"/>
    <cellStyle name="Normal 10 3 6 2 2 2 2" xfId="3078" xr:uid="{00000000-0005-0000-0000-0000C3100000}"/>
    <cellStyle name="Normal 10 3 6 2 2 2 2 2" xfId="47238" xr:uid="{00000000-0005-0000-0000-0000C4100000}"/>
    <cellStyle name="Normal 10 3 6 2 2 2 2 3" xfId="47239" xr:uid="{00000000-0005-0000-0000-0000C5100000}"/>
    <cellStyle name="Normal 10 3 6 2 2 2 3" xfId="3079" xr:uid="{00000000-0005-0000-0000-0000C6100000}"/>
    <cellStyle name="Normal 10 3 6 2 2 2 3 2" xfId="47240" xr:uid="{00000000-0005-0000-0000-0000C7100000}"/>
    <cellStyle name="Normal 10 3 6 2 2 2 4" xfId="3080" xr:uid="{00000000-0005-0000-0000-0000C8100000}"/>
    <cellStyle name="Normal 10 3 6 2 2 2 5" xfId="3081" xr:uid="{00000000-0005-0000-0000-0000C9100000}"/>
    <cellStyle name="Normal 10 3 6 2 2 2 6" xfId="3082" xr:uid="{00000000-0005-0000-0000-0000CA100000}"/>
    <cellStyle name="Normal 10 3 6 2 2 3" xfId="3083" xr:uid="{00000000-0005-0000-0000-0000CB100000}"/>
    <cellStyle name="Normal 10 3 6 2 2 3 2" xfId="47241" xr:uid="{00000000-0005-0000-0000-0000CC100000}"/>
    <cellStyle name="Normal 10 3 6 2 2 3 3" xfId="47242" xr:uid="{00000000-0005-0000-0000-0000CD100000}"/>
    <cellStyle name="Normal 10 3 6 2 2 4" xfId="3084" xr:uid="{00000000-0005-0000-0000-0000CE100000}"/>
    <cellStyle name="Normal 10 3 6 2 2 4 2" xfId="47243" xr:uid="{00000000-0005-0000-0000-0000CF100000}"/>
    <cellStyle name="Normal 10 3 6 2 2 5" xfId="3085" xr:uid="{00000000-0005-0000-0000-0000D0100000}"/>
    <cellStyle name="Normal 10 3 6 2 2 6" xfId="3086" xr:uid="{00000000-0005-0000-0000-0000D1100000}"/>
    <cellStyle name="Normal 10 3 6 2 2 7" xfId="3087" xr:uid="{00000000-0005-0000-0000-0000D2100000}"/>
    <cellStyle name="Normal 10 3 6 2 3" xfId="3088" xr:uid="{00000000-0005-0000-0000-0000D3100000}"/>
    <cellStyle name="Normal 10 3 6 2 3 2" xfId="3089" xr:uid="{00000000-0005-0000-0000-0000D4100000}"/>
    <cellStyle name="Normal 10 3 6 2 3 2 2" xfId="47244" xr:uid="{00000000-0005-0000-0000-0000D5100000}"/>
    <cellStyle name="Normal 10 3 6 2 3 2 3" xfId="47245" xr:uid="{00000000-0005-0000-0000-0000D6100000}"/>
    <cellStyle name="Normal 10 3 6 2 3 3" xfId="3090" xr:uid="{00000000-0005-0000-0000-0000D7100000}"/>
    <cellStyle name="Normal 10 3 6 2 3 3 2" xfId="47246" xr:uid="{00000000-0005-0000-0000-0000D8100000}"/>
    <cellStyle name="Normal 10 3 6 2 3 4" xfId="3091" xr:uid="{00000000-0005-0000-0000-0000D9100000}"/>
    <cellStyle name="Normal 10 3 6 2 3 5" xfId="3092" xr:uid="{00000000-0005-0000-0000-0000DA100000}"/>
    <cellStyle name="Normal 10 3 6 2 3 6" xfId="3093" xr:uid="{00000000-0005-0000-0000-0000DB100000}"/>
    <cellStyle name="Normal 10 3 6 2 4" xfId="3094" xr:uid="{00000000-0005-0000-0000-0000DC100000}"/>
    <cellStyle name="Normal 10 3 6 2 4 2" xfId="47247" xr:uid="{00000000-0005-0000-0000-0000DD100000}"/>
    <cellStyle name="Normal 10 3 6 2 4 3" xfId="47248" xr:uid="{00000000-0005-0000-0000-0000DE100000}"/>
    <cellStyle name="Normal 10 3 6 2 5" xfId="3095" xr:uid="{00000000-0005-0000-0000-0000DF100000}"/>
    <cellStyle name="Normal 10 3 6 2 5 2" xfId="47249" xr:uid="{00000000-0005-0000-0000-0000E0100000}"/>
    <cellStyle name="Normal 10 3 6 2 6" xfId="3096" xr:uid="{00000000-0005-0000-0000-0000E1100000}"/>
    <cellStyle name="Normal 10 3 6 2 7" xfId="3097" xr:uid="{00000000-0005-0000-0000-0000E2100000}"/>
    <cellStyle name="Normal 10 3 6 2 8" xfId="3098" xr:uid="{00000000-0005-0000-0000-0000E3100000}"/>
    <cellStyle name="Normal 10 3 6 2 9" xfId="3099" xr:uid="{00000000-0005-0000-0000-0000E4100000}"/>
    <cellStyle name="Normal 10 3 6 3" xfId="3100" xr:uid="{00000000-0005-0000-0000-0000E5100000}"/>
    <cellStyle name="Normal 10 3 6 3 2" xfId="3101" xr:uid="{00000000-0005-0000-0000-0000E6100000}"/>
    <cellStyle name="Normal 10 3 6 3 2 2" xfId="3102" xr:uid="{00000000-0005-0000-0000-0000E7100000}"/>
    <cellStyle name="Normal 10 3 6 3 2 2 2" xfId="47250" xr:uid="{00000000-0005-0000-0000-0000E8100000}"/>
    <cellStyle name="Normal 10 3 6 3 2 2 3" xfId="47251" xr:uid="{00000000-0005-0000-0000-0000E9100000}"/>
    <cellStyle name="Normal 10 3 6 3 2 3" xfId="3103" xr:uid="{00000000-0005-0000-0000-0000EA100000}"/>
    <cellStyle name="Normal 10 3 6 3 2 3 2" xfId="47252" xr:uid="{00000000-0005-0000-0000-0000EB100000}"/>
    <cellStyle name="Normal 10 3 6 3 2 4" xfId="3104" xr:uid="{00000000-0005-0000-0000-0000EC100000}"/>
    <cellStyle name="Normal 10 3 6 3 2 5" xfId="3105" xr:uid="{00000000-0005-0000-0000-0000ED100000}"/>
    <cellStyle name="Normal 10 3 6 3 2 6" xfId="3106" xr:uid="{00000000-0005-0000-0000-0000EE100000}"/>
    <cellStyle name="Normal 10 3 6 3 3" xfId="3107" xr:uid="{00000000-0005-0000-0000-0000EF100000}"/>
    <cellStyle name="Normal 10 3 6 3 3 2" xfId="47253" xr:uid="{00000000-0005-0000-0000-0000F0100000}"/>
    <cellStyle name="Normal 10 3 6 3 3 3" xfId="47254" xr:uid="{00000000-0005-0000-0000-0000F1100000}"/>
    <cellStyle name="Normal 10 3 6 3 4" xfId="3108" xr:uid="{00000000-0005-0000-0000-0000F2100000}"/>
    <cellStyle name="Normal 10 3 6 3 4 2" xfId="47255" xr:uid="{00000000-0005-0000-0000-0000F3100000}"/>
    <cellStyle name="Normal 10 3 6 3 5" xfId="3109" xr:uid="{00000000-0005-0000-0000-0000F4100000}"/>
    <cellStyle name="Normal 10 3 6 3 6" xfId="3110" xr:uid="{00000000-0005-0000-0000-0000F5100000}"/>
    <cellStyle name="Normal 10 3 6 3 7" xfId="3111" xr:uid="{00000000-0005-0000-0000-0000F6100000}"/>
    <cellStyle name="Normal 10 3 6 4" xfId="3112" xr:uid="{00000000-0005-0000-0000-0000F7100000}"/>
    <cellStyle name="Normal 10 3 6 4 2" xfId="3113" xr:uid="{00000000-0005-0000-0000-0000F8100000}"/>
    <cellStyle name="Normal 10 3 6 4 2 2" xfId="47256" xr:uid="{00000000-0005-0000-0000-0000F9100000}"/>
    <cellStyle name="Normal 10 3 6 4 2 3" xfId="47257" xr:uid="{00000000-0005-0000-0000-0000FA100000}"/>
    <cellStyle name="Normal 10 3 6 4 3" xfId="3114" xr:uid="{00000000-0005-0000-0000-0000FB100000}"/>
    <cellStyle name="Normal 10 3 6 4 3 2" xfId="47258" xr:uid="{00000000-0005-0000-0000-0000FC100000}"/>
    <cellStyle name="Normal 10 3 6 4 4" xfId="3115" xr:uid="{00000000-0005-0000-0000-0000FD100000}"/>
    <cellStyle name="Normal 10 3 6 4 5" xfId="3116" xr:uid="{00000000-0005-0000-0000-0000FE100000}"/>
    <cellStyle name="Normal 10 3 6 4 6" xfId="3117" xr:uid="{00000000-0005-0000-0000-0000FF100000}"/>
    <cellStyle name="Normal 10 3 6 5" xfId="3118" xr:uid="{00000000-0005-0000-0000-000000110000}"/>
    <cellStyle name="Normal 10 3 6 5 2" xfId="47259" xr:uid="{00000000-0005-0000-0000-000001110000}"/>
    <cellStyle name="Normal 10 3 6 5 3" xfId="47260" xr:uid="{00000000-0005-0000-0000-000002110000}"/>
    <cellStyle name="Normal 10 3 6 6" xfId="3119" xr:uid="{00000000-0005-0000-0000-000003110000}"/>
    <cellStyle name="Normal 10 3 6 6 2" xfId="47261" xr:uid="{00000000-0005-0000-0000-000004110000}"/>
    <cellStyle name="Normal 10 3 6 7" xfId="3120" xr:uid="{00000000-0005-0000-0000-000005110000}"/>
    <cellStyle name="Normal 10 3 6 8" xfId="3121" xr:uid="{00000000-0005-0000-0000-000006110000}"/>
    <cellStyle name="Normal 10 3 6 9" xfId="3122" xr:uid="{00000000-0005-0000-0000-000007110000}"/>
    <cellStyle name="Normal 10 3 7" xfId="3123" xr:uid="{00000000-0005-0000-0000-000008110000}"/>
    <cellStyle name="Normal 10 3 7 2" xfId="3124" xr:uid="{00000000-0005-0000-0000-000009110000}"/>
    <cellStyle name="Normal 10 3 7 2 2" xfId="3125" xr:uid="{00000000-0005-0000-0000-00000A110000}"/>
    <cellStyle name="Normal 10 3 7 2 2 2" xfId="3126" xr:uid="{00000000-0005-0000-0000-00000B110000}"/>
    <cellStyle name="Normal 10 3 7 2 2 2 2" xfId="47262" xr:uid="{00000000-0005-0000-0000-00000C110000}"/>
    <cellStyle name="Normal 10 3 7 2 2 2 3" xfId="47263" xr:uid="{00000000-0005-0000-0000-00000D110000}"/>
    <cellStyle name="Normal 10 3 7 2 2 3" xfId="3127" xr:uid="{00000000-0005-0000-0000-00000E110000}"/>
    <cellStyle name="Normal 10 3 7 2 2 3 2" xfId="47264" xr:uid="{00000000-0005-0000-0000-00000F110000}"/>
    <cellStyle name="Normal 10 3 7 2 2 4" xfId="3128" xr:uid="{00000000-0005-0000-0000-000010110000}"/>
    <cellStyle name="Normal 10 3 7 2 2 5" xfId="3129" xr:uid="{00000000-0005-0000-0000-000011110000}"/>
    <cellStyle name="Normal 10 3 7 2 2 6" xfId="3130" xr:uid="{00000000-0005-0000-0000-000012110000}"/>
    <cellStyle name="Normal 10 3 7 2 3" xfId="3131" xr:uid="{00000000-0005-0000-0000-000013110000}"/>
    <cellStyle name="Normal 10 3 7 2 3 2" xfId="47265" xr:uid="{00000000-0005-0000-0000-000014110000}"/>
    <cellStyle name="Normal 10 3 7 2 3 3" xfId="47266" xr:uid="{00000000-0005-0000-0000-000015110000}"/>
    <cellStyle name="Normal 10 3 7 2 4" xfId="3132" xr:uid="{00000000-0005-0000-0000-000016110000}"/>
    <cellStyle name="Normal 10 3 7 2 4 2" xfId="47267" xr:uid="{00000000-0005-0000-0000-000017110000}"/>
    <cellStyle name="Normal 10 3 7 2 5" xfId="3133" xr:uid="{00000000-0005-0000-0000-000018110000}"/>
    <cellStyle name="Normal 10 3 7 2 6" xfId="3134" xr:uid="{00000000-0005-0000-0000-000019110000}"/>
    <cellStyle name="Normal 10 3 7 2 7" xfId="3135" xr:uid="{00000000-0005-0000-0000-00001A110000}"/>
    <cellStyle name="Normal 10 3 7 3" xfId="3136" xr:uid="{00000000-0005-0000-0000-00001B110000}"/>
    <cellStyle name="Normal 10 3 7 3 2" xfId="3137" xr:uid="{00000000-0005-0000-0000-00001C110000}"/>
    <cellStyle name="Normal 10 3 7 3 2 2" xfId="47268" xr:uid="{00000000-0005-0000-0000-00001D110000}"/>
    <cellStyle name="Normal 10 3 7 3 2 3" xfId="47269" xr:uid="{00000000-0005-0000-0000-00001E110000}"/>
    <cellStyle name="Normal 10 3 7 3 3" xfId="3138" xr:uid="{00000000-0005-0000-0000-00001F110000}"/>
    <cellStyle name="Normal 10 3 7 3 3 2" xfId="47270" xr:uid="{00000000-0005-0000-0000-000020110000}"/>
    <cellStyle name="Normal 10 3 7 3 4" xfId="3139" xr:uid="{00000000-0005-0000-0000-000021110000}"/>
    <cellStyle name="Normal 10 3 7 3 5" xfId="3140" xr:uid="{00000000-0005-0000-0000-000022110000}"/>
    <cellStyle name="Normal 10 3 7 3 6" xfId="3141" xr:uid="{00000000-0005-0000-0000-000023110000}"/>
    <cellStyle name="Normal 10 3 7 4" xfId="3142" xr:uid="{00000000-0005-0000-0000-000024110000}"/>
    <cellStyle name="Normal 10 3 7 4 2" xfId="47271" xr:uid="{00000000-0005-0000-0000-000025110000}"/>
    <cellStyle name="Normal 10 3 7 4 3" xfId="47272" xr:uid="{00000000-0005-0000-0000-000026110000}"/>
    <cellStyle name="Normal 10 3 7 5" xfId="3143" xr:uid="{00000000-0005-0000-0000-000027110000}"/>
    <cellStyle name="Normal 10 3 7 5 2" xfId="47273" xr:uid="{00000000-0005-0000-0000-000028110000}"/>
    <cellStyle name="Normal 10 3 7 6" xfId="3144" xr:uid="{00000000-0005-0000-0000-000029110000}"/>
    <cellStyle name="Normal 10 3 7 7" xfId="3145" xr:uid="{00000000-0005-0000-0000-00002A110000}"/>
    <cellStyle name="Normal 10 3 7 8" xfId="3146" xr:uid="{00000000-0005-0000-0000-00002B110000}"/>
    <cellStyle name="Normal 10 3 7 9" xfId="3147" xr:uid="{00000000-0005-0000-0000-00002C110000}"/>
    <cellStyle name="Normal 10 3 8" xfId="3148" xr:uid="{00000000-0005-0000-0000-00002D110000}"/>
    <cellStyle name="Normal 10 3 8 2" xfId="3149" xr:uid="{00000000-0005-0000-0000-00002E110000}"/>
    <cellStyle name="Normal 10 3 8 2 2" xfId="3150" xr:uid="{00000000-0005-0000-0000-00002F110000}"/>
    <cellStyle name="Normal 10 3 8 2 2 2" xfId="3151" xr:uid="{00000000-0005-0000-0000-000030110000}"/>
    <cellStyle name="Normal 10 3 8 2 2 2 2" xfId="47274" xr:uid="{00000000-0005-0000-0000-000031110000}"/>
    <cellStyle name="Normal 10 3 8 2 2 2 3" xfId="47275" xr:uid="{00000000-0005-0000-0000-000032110000}"/>
    <cellStyle name="Normal 10 3 8 2 2 3" xfId="3152" xr:uid="{00000000-0005-0000-0000-000033110000}"/>
    <cellStyle name="Normal 10 3 8 2 2 3 2" xfId="47276" xr:uid="{00000000-0005-0000-0000-000034110000}"/>
    <cellStyle name="Normal 10 3 8 2 2 4" xfId="3153" xr:uid="{00000000-0005-0000-0000-000035110000}"/>
    <cellStyle name="Normal 10 3 8 2 2 5" xfId="3154" xr:uid="{00000000-0005-0000-0000-000036110000}"/>
    <cellStyle name="Normal 10 3 8 2 2 6" xfId="3155" xr:uid="{00000000-0005-0000-0000-000037110000}"/>
    <cellStyle name="Normal 10 3 8 2 3" xfId="3156" xr:uid="{00000000-0005-0000-0000-000038110000}"/>
    <cellStyle name="Normal 10 3 8 2 3 2" xfId="47277" xr:uid="{00000000-0005-0000-0000-000039110000}"/>
    <cellStyle name="Normal 10 3 8 2 3 3" xfId="47278" xr:uid="{00000000-0005-0000-0000-00003A110000}"/>
    <cellStyle name="Normal 10 3 8 2 4" xfId="3157" xr:uid="{00000000-0005-0000-0000-00003B110000}"/>
    <cellStyle name="Normal 10 3 8 2 4 2" xfId="47279" xr:uid="{00000000-0005-0000-0000-00003C110000}"/>
    <cellStyle name="Normal 10 3 8 2 5" xfId="3158" xr:uid="{00000000-0005-0000-0000-00003D110000}"/>
    <cellStyle name="Normal 10 3 8 2 6" xfId="3159" xr:uid="{00000000-0005-0000-0000-00003E110000}"/>
    <cellStyle name="Normal 10 3 8 2 7" xfId="3160" xr:uid="{00000000-0005-0000-0000-00003F110000}"/>
    <cellStyle name="Normal 10 3 8 3" xfId="3161" xr:uid="{00000000-0005-0000-0000-000040110000}"/>
    <cellStyle name="Normal 10 3 8 3 2" xfId="3162" xr:uid="{00000000-0005-0000-0000-000041110000}"/>
    <cellStyle name="Normal 10 3 8 3 2 2" xfId="47280" xr:uid="{00000000-0005-0000-0000-000042110000}"/>
    <cellStyle name="Normal 10 3 8 3 2 3" xfId="47281" xr:uid="{00000000-0005-0000-0000-000043110000}"/>
    <cellStyle name="Normal 10 3 8 3 3" xfId="3163" xr:uid="{00000000-0005-0000-0000-000044110000}"/>
    <cellStyle name="Normal 10 3 8 3 3 2" xfId="47282" xr:uid="{00000000-0005-0000-0000-000045110000}"/>
    <cellStyle name="Normal 10 3 8 3 4" xfId="3164" xr:uid="{00000000-0005-0000-0000-000046110000}"/>
    <cellStyle name="Normal 10 3 8 3 5" xfId="3165" xr:uid="{00000000-0005-0000-0000-000047110000}"/>
    <cellStyle name="Normal 10 3 8 3 6" xfId="3166" xr:uid="{00000000-0005-0000-0000-000048110000}"/>
    <cellStyle name="Normal 10 3 8 4" xfId="3167" xr:uid="{00000000-0005-0000-0000-000049110000}"/>
    <cellStyle name="Normal 10 3 8 4 2" xfId="47283" xr:uid="{00000000-0005-0000-0000-00004A110000}"/>
    <cellStyle name="Normal 10 3 8 4 3" xfId="47284" xr:uid="{00000000-0005-0000-0000-00004B110000}"/>
    <cellStyle name="Normal 10 3 8 5" xfId="3168" xr:uid="{00000000-0005-0000-0000-00004C110000}"/>
    <cellStyle name="Normal 10 3 8 5 2" xfId="47285" xr:uid="{00000000-0005-0000-0000-00004D110000}"/>
    <cellStyle name="Normal 10 3 8 6" xfId="3169" xr:uid="{00000000-0005-0000-0000-00004E110000}"/>
    <cellStyle name="Normal 10 3 8 7" xfId="3170" xr:uid="{00000000-0005-0000-0000-00004F110000}"/>
    <cellStyle name="Normal 10 3 8 8" xfId="3171" xr:uid="{00000000-0005-0000-0000-000050110000}"/>
    <cellStyle name="Normal 10 3 9" xfId="3172" xr:uid="{00000000-0005-0000-0000-000051110000}"/>
    <cellStyle name="Normal 10 3 9 2" xfId="3173" xr:uid="{00000000-0005-0000-0000-000052110000}"/>
    <cellStyle name="Normal 10 3 9 2 2" xfId="3174" xr:uid="{00000000-0005-0000-0000-000053110000}"/>
    <cellStyle name="Normal 10 3 9 2 2 2" xfId="3175" xr:uid="{00000000-0005-0000-0000-000054110000}"/>
    <cellStyle name="Normal 10 3 9 2 2 2 2" xfId="47286" xr:uid="{00000000-0005-0000-0000-000055110000}"/>
    <cellStyle name="Normal 10 3 9 2 2 2 3" xfId="47287" xr:uid="{00000000-0005-0000-0000-000056110000}"/>
    <cellStyle name="Normal 10 3 9 2 2 3" xfId="3176" xr:uid="{00000000-0005-0000-0000-000057110000}"/>
    <cellStyle name="Normal 10 3 9 2 2 3 2" xfId="47288" xr:uid="{00000000-0005-0000-0000-000058110000}"/>
    <cellStyle name="Normal 10 3 9 2 2 4" xfId="3177" xr:uid="{00000000-0005-0000-0000-000059110000}"/>
    <cellStyle name="Normal 10 3 9 2 2 5" xfId="3178" xr:uid="{00000000-0005-0000-0000-00005A110000}"/>
    <cellStyle name="Normal 10 3 9 2 2 6" xfId="3179" xr:uid="{00000000-0005-0000-0000-00005B110000}"/>
    <cellStyle name="Normal 10 3 9 2 3" xfId="3180" xr:uid="{00000000-0005-0000-0000-00005C110000}"/>
    <cellStyle name="Normal 10 3 9 2 3 2" xfId="47289" xr:uid="{00000000-0005-0000-0000-00005D110000}"/>
    <cellStyle name="Normal 10 3 9 2 3 3" xfId="47290" xr:uid="{00000000-0005-0000-0000-00005E110000}"/>
    <cellStyle name="Normal 10 3 9 2 4" xfId="3181" xr:uid="{00000000-0005-0000-0000-00005F110000}"/>
    <cellStyle name="Normal 10 3 9 2 4 2" xfId="47291" xr:uid="{00000000-0005-0000-0000-000060110000}"/>
    <cellStyle name="Normal 10 3 9 2 5" xfId="3182" xr:uid="{00000000-0005-0000-0000-000061110000}"/>
    <cellStyle name="Normal 10 3 9 2 6" xfId="3183" xr:uid="{00000000-0005-0000-0000-000062110000}"/>
    <cellStyle name="Normal 10 3 9 2 7" xfId="3184" xr:uid="{00000000-0005-0000-0000-000063110000}"/>
    <cellStyle name="Normal 10 3 9 3" xfId="3185" xr:uid="{00000000-0005-0000-0000-000064110000}"/>
    <cellStyle name="Normal 10 3 9 3 2" xfId="3186" xr:uid="{00000000-0005-0000-0000-000065110000}"/>
    <cellStyle name="Normal 10 3 9 3 2 2" xfId="47292" xr:uid="{00000000-0005-0000-0000-000066110000}"/>
    <cellStyle name="Normal 10 3 9 3 2 3" xfId="47293" xr:uid="{00000000-0005-0000-0000-000067110000}"/>
    <cellStyle name="Normal 10 3 9 3 3" xfId="3187" xr:uid="{00000000-0005-0000-0000-000068110000}"/>
    <cellStyle name="Normal 10 3 9 3 3 2" xfId="47294" xr:uid="{00000000-0005-0000-0000-000069110000}"/>
    <cellStyle name="Normal 10 3 9 3 4" xfId="3188" xr:uid="{00000000-0005-0000-0000-00006A110000}"/>
    <cellStyle name="Normal 10 3 9 3 5" xfId="3189" xr:uid="{00000000-0005-0000-0000-00006B110000}"/>
    <cellStyle name="Normal 10 3 9 3 6" xfId="3190" xr:uid="{00000000-0005-0000-0000-00006C110000}"/>
    <cellStyle name="Normal 10 3 9 4" xfId="3191" xr:uid="{00000000-0005-0000-0000-00006D110000}"/>
    <cellStyle name="Normal 10 3 9 4 2" xfId="47295" xr:uid="{00000000-0005-0000-0000-00006E110000}"/>
    <cellStyle name="Normal 10 3 9 4 3" xfId="47296" xr:uid="{00000000-0005-0000-0000-00006F110000}"/>
    <cellStyle name="Normal 10 3 9 5" xfId="3192" xr:uid="{00000000-0005-0000-0000-000070110000}"/>
    <cellStyle name="Normal 10 3 9 5 2" xfId="47297" xr:uid="{00000000-0005-0000-0000-000071110000}"/>
    <cellStyle name="Normal 10 3 9 6" xfId="3193" xr:uid="{00000000-0005-0000-0000-000072110000}"/>
    <cellStyle name="Normal 10 3 9 7" xfId="3194" xr:uid="{00000000-0005-0000-0000-000073110000}"/>
    <cellStyle name="Normal 10 3 9 8" xfId="3195" xr:uid="{00000000-0005-0000-0000-000074110000}"/>
    <cellStyle name="Normal 10 4" xfId="3196" xr:uid="{00000000-0005-0000-0000-000075110000}"/>
    <cellStyle name="Normal 10 4 10" xfId="3197" xr:uid="{00000000-0005-0000-0000-000076110000}"/>
    <cellStyle name="Normal 10 4 11" xfId="3198" xr:uid="{00000000-0005-0000-0000-000077110000}"/>
    <cellStyle name="Normal 10 4 12" xfId="3199" xr:uid="{00000000-0005-0000-0000-000078110000}"/>
    <cellStyle name="Normal 10 4 13" xfId="3200" xr:uid="{00000000-0005-0000-0000-000079110000}"/>
    <cellStyle name="Normal 10 4 14" xfId="3201" xr:uid="{00000000-0005-0000-0000-00007A110000}"/>
    <cellStyle name="Normal 10 4 15" xfId="3202" xr:uid="{00000000-0005-0000-0000-00007B110000}"/>
    <cellStyle name="Normal 10 4 16" xfId="3203" xr:uid="{00000000-0005-0000-0000-00007C110000}"/>
    <cellStyle name="Normal 10 4 2" xfId="3204" xr:uid="{00000000-0005-0000-0000-00007D110000}"/>
    <cellStyle name="Normal 10 4 2 10" xfId="3205" xr:uid="{00000000-0005-0000-0000-00007E110000}"/>
    <cellStyle name="Normal 10 4 2 11" xfId="3206" xr:uid="{00000000-0005-0000-0000-00007F110000}"/>
    <cellStyle name="Normal 10 4 2 12" xfId="3207" xr:uid="{00000000-0005-0000-0000-000080110000}"/>
    <cellStyle name="Normal 10 4 2 13" xfId="3208" xr:uid="{00000000-0005-0000-0000-000081110000}"/>
    <cellStyle name="Normal 10 4 2 14" xfId="3209" xr:uid="{00000000-0005-0000-0000-000082110000}"/>
    <cellStyle name="Normal 10 4 2 2" xfId="3210" xr:uid="{00000000-0005-0000-0000-000083110000}"/>
    <cellStyle name="Normal 10 4 2 2 2" xfId="3211" xr:uid="{00000000-0005-0000-0000-000084110000}"/>
    <cellStyle name="Normal 10 4 2 2 2 2" xfId="3212" xr:uid="{00000000-0005-0000-0000-000085110000}"/>
    <cellStyle name="Normal 10 4 2 2 2 2 2" xfId="3213" xr:uid="{00000000-0005-0000-0000-000086110000}"/>
    <cellStyle name="Normal 10 4 2 2 2 2 2 2" xfId="47298" xr:uid="{00000000-0005-0000-0000-000087110000}"/>
    <cellStyle name="Normal 10 4 2 2 2 2 2 3" xfId="47299" xr:uid="{00000000-0005-0000-0000-000088110000}"/>
    <cellStyle name="Normal 10 4 2 2 2 2 3" xfId="3214" xr:uid="{00000000-0005-0000-0000-000089110000}"/>
    <cellStyle name="Normal 10 4 2 2 2 2 3 2" xfId="47300" xr:uid="{00000000-0005-0000-0000-00008A110000}"/>
    <cellStyle name="Normal 10 4 2 2 2 2 4" xfId="3215" xr:uid="{00000000-0005-0000-0000-00008B110000}"/>
    <cellStyle name="Normal 10 4 2 2 2 2 5" xfId="3216" xr:uid="{00000000-0005-0000-0000-00008C110000}"/>
    <cellStyle name="Normal 10 4 2 2 2 2 6" xfId="3217" xr:uid="{00000000-0005-0000-0000-00008D110000}"/>
    <cellStyle name="Normal 10 4 2 2 2 3" xfId="3218" xr:uid="{00000000-0005-0000-0000-00008E110000}"/>
    <cellStyle name="Normal 10 4 2 2 2 3 2" xfId="47301" xr:uid="{00000000-0005-0000-0000-00008F110000}"/>
    <cellStyle name="Normal 10 4 2 2 2 3 3" xfId="47302" xr:uid="{00000000-0005-0000-0000-000090110000}"/>
    <cellStyle name="Normal 10 4 2 2 2 4" xfId="3219" xr:uid="{00000000-0005-0000-0000-000091110000}"/>
    <cellStyle name="Normal 10 4 2 2 2 4 2" xfId="47303" xr:uid="{00000000-0005-0000-0000-000092110000}"/>
    <cellStyle name="Normal 10 4 2 2 2 5" xfId="3220" xr:uid="{00000000-0005-0000-0000-000093110000}"/>
    <cellStyle name="Normal 10 4 2 2 2 6" xfId="3221" xr:uid="{00000000-0005-0000-0000-000094110000}"/>
    <cellStyle name="Normal 10 4 2 2 2 7" xfId="3222" xr:uid="{00000000-0005-0000-0000-000095110000}"/>
    <cellStyle name="Normal 10 4 2 2 3" xfId="3223" xr:uid="{00000000-0005-0000-0000-000096110000}"/>
    <cellStyle name="Normal 10 4 2 2 3 2" xfId="3224" xr:uid="{00000000-0005-0000-0000-000097110000}"/>
    <cellStyle name="Normal 10 4 2 2 3 2 2" xfId="47304" xr:uid="{00000000-0005-0000-0000-000098110000}"/>
    <cellStyle name="Normal 10 4 2 2 3 2 3" xfId="47305" xr:uid="{00000000-0005-0000-0000-000099110000}"/>
    <cellStyle name="Normal 10 4 2 2 3 3" xfId="3225" xr:uid="{00000000-0005-0000-0000-00009A110000}"/>
    <cellStyle name="Normal 10 4 2 2 3 3 2" xfId="47306" xr:uid="{00000000-0005-0000-0000-00009B110000}"/>
    <cellStyle name="Normal 10 4 2 2 3 4" xfId="3226" xr:uid="{00000000-0005-0000-0000-00009C110000}"/>
    <cellStyle name="Normal 10 4 2 2 3 5" xfId="3227" xr:uid="{00000000-0005-0000-0000-00009D110000}"/>
    <cellStyle name="Normal 10 4 2 2 3 6" xfId="3228" xr:uid="{00000000-0005-0000-0000-00009E110000}"/>
    <cellStyle name="Normal 10 4 2 2 4" xfId="3229" xr:uid="{00000000-0005-0000-0000-00009F110000}"/>
    <cellStyle name="Normal 10 4 2 2 4 2" xfId="47307" xr:uid="{00000000-0005-0000-0000-0000A0110000}"/>
    <cellStyle name="Normal 10 4 2 2 4 3" xfId="47308" xr:uid="{00000000-0005-0000-0000-0000A1110000}"/>
    <cellStyle name="Normal 10 4 2 2 5" xfId="3230" xr:uid="{00000000-0005-0000-0000-0000A2110000}"/>
    <cellStyle name="Normal 10 4 2 2 5 2" xfId="47309" xr:uid="{00000000-0005-0000-0000-0000A3110000}"/>
    <cellStyle name="Normal 10 4 2 2 6" xfId="3231" xr:uid="{00000000-0005-0000-0000-0000A4110000}"/>
    <cellStyle name="Normal 10 4 2 2 7" xfId="3232" xr:uid="{00000000-0005-0000-0000-0000A5110000}"/>
    <cellStyle name="Normal 10 4 2 2 8" xfId="3233" xr:uid="{00000000-0005-0000-0000-0000A6110000}"/>
    <cellStyle name="Normal 10 4 2 2 9" xfId="3234" xr:uid="{00000000-0005-0000-0000-0000A7110000}"/>
    <cellStyle name="Normal 10 4 2 3" xfId="3235" xr:uid="{00000000-0005-0000-0000-0000A8110000}"/>
    <cellStyle name="Normal 10 4 2 3 2" xfId="3236" xr:uid="{00000000-0005-0000-0000-0000A9110000}"/>
    <cellStyle name="Normal 10 4 2 3 2 2" xfId="3237" xr:uid="{00000000-0005-0000-0000-0000AA110000}"/>
    <cellStyle name="Normal 10 4 2 3 2 2 2" xfId="3238" xr:uid="{00000000-0005-0000-0000-0000AB110000}"/>
    <cellStyle name="Normal 10 4 2 3 2 2 2 2" xfId="47310" xr:uid="{00000000-0005-0000-0000-0000AC110000}"/>
    <cellStyle name="Normal 10 4 2 3 2 2 2 3" xfId="47311" xr:uid="{00000000-0005-0000-0000-0000AD110000}"/>
    <cellStyle name="Normal 10 4 2 3 2 2 3" xfId="3239" xr:uid="{00000000-0005-0000-0000-0000AE110000}"/>
    <cellStyle name="Normal 10 4 2 3 2 2 3 2" xfId="47312" xr:uid="{00000000-0005-0000-0000-0000AF110000}"/>
    <cellStyle name="Normal 10 4 2 3 2 2 4" xfId="3240" xr:uid="{00000000-0005-0000-0000-0000B0110000}"/>
    <cellStyle name="Normal 10 4 2 3 2 2 5" xfId="3241" xr:uid="{00000000-0005-0000-0000-0000B1110000}"/>
    <cellStyle name="Normal 10 4 2 3 2 2 6" xfId="3242" xr:uid="{00000000-0005-0000-0000-0000B2110000}"/>
    <cellStyle name="Normal 10 4 2 3 2 3" xfId="3243" xr:uid="{00000000-0005-0000-0000-0000B3110000}"/>
    <cellStyle name="Normal 10 4 2 3 2 3 2" xfId="47313" xr:uid="{00000000-0005-0000-0000-0000B4110000}"/>
    <cellStyle name="Normal 10 4 2 3 2 3 3" xfId="47314" xr:uid="{00000000-0005-0000-0000-0000B5110000}"/>
    <cellStyle name="Normal 10 4 2 3 2 4" xfId="3244" xr:uid="{00000000-0005-0000-0000-0000B6110000}"/>
    <cellStyle name="Normal 10 4 2 3 2 4 2" xfId="47315" xr:uid="{00000000-0005-0000-0000-0000B7110000}"/>
    <cellStyle name="Normal 10 4 2 3 2 5" xfId="3245" xr:uid="{00000000-0005-0000-0000-0000B8110000}"/>
    <cellStyle name="Normal 10 4 2 3 2 6" xfId="3246" xr:uid="{00000000-0005-0000-0000-0000B9110000}"/>
    <cellStyle name="Normal 10 4 2 3 2 7" xfId="3247" xr:uid="{00000000-0005-0000-0000-0000BA110000}"/>
    <cellStyle name="Normal 10 4 2 3 3" xfId="3248" xr:uid="{00000000-0005-0000-0000-0000BB110000}"/>
    <cellStyle name="Normal 10 4 2 3 3 2" xfId="3249" xr:uid="{00000000-0005-0000-0000-0000BC110000}"/>
    <cellStyle name="Normal 10 4 2 3 3 2 2" xfId="47316" xr:uid="{00000000-0005-0000-0000-0000BD110000}"/>
    <cellStyle name="Normal 10 4 2 3 3 2 3" xfId="47317" xr:uid="{00000000-0005-0000-0000-0000BE110000}"/>
    <cellStyle name="Normal 10 4 2 3 3 3" xfId="3250" xr:uid="{00000000-0005-0000-0000-0000BF110000}"/>
    <cellStyle name="Normal 10 4 2 3 3 3 2" xfId="47318" xr:uid="{00000000-0005-0000-0000-0000C0110000}"/>
    <cellStyle name="Normal 10 4 2 3 3 4" xfId="3251" xr:uid="{00000000-0005-0000-0000-0000C1110000}"/>
    <cellStyle name="Normal 10 4 2 3 3 5" xfId="3252" xr:uid="{00000000-0005-0000-0000-0000C2110000}"/>
    <cellStyle name="Normal 10 4 2 3 3 6" xfId="3253" xr:uid="{00000000-0005-0000-0000-0000C3110000}"/>
    <cellStyle name="Normal 10 4 2 3 4" xfId="3254" xr:uid="{00000000-0005-0000-0000-0000C4110000}"/>
    <cellStyle name="Normal 10 4 2 3 4 2" xfId="47319" xr:uid="{00000000-0005-0000-0000-0000C5110000}"/>
    <cellStyle name="Normal 10 4 2 3 4 3" xfId="47320" xr:uid="{00000000-0005-0000-0000-0000C6110000}"/>
    <cellStyle name="Normal 10 4 2 3 5" xfId="3255" xr:uid="{00000000-0005-0000-0000-0000C7110000}"/>
    <cellStyle name="Normal 10 4 2 3 5 2" xfId="47321" xr:uid="{00000000-0005-0000-0000-0000C8110000}"/>
    <cellStyle name="Normal 10 4 2 3 6" xfId="3256" xr:uid="{00000000-0005-0000-0000-0000C9110000}"/>
    <cellStyle name="Normal 10 4 2 3 7" xfId="3257" xr:uid="{00000000-0005-0000-0000-0000CA110000}"/>
    <cellStyle name="Normal 10 4 2 3 8" xfId="3258" xr:uid="{00000000-0005-0000-0000-0000CB110000}"/>
    <cellStyle name="Normal 10 4 2 4" xfId="3259" xr:uid="{00000000-0005-0000-0000-0000CC110000}"/>
    <cellStyle name="Normal 10 4 2 4 2" xfId="3260" xr:uid="{00000000-0005-0000-0000-0000CD110000}"/>
    <cellStyle name="Normal 10 4 2 4 2 2" xfId="3261" xr:uid="{00000000-0005-0000-0000-0000CE110000}"/>
    <cellStyle name="Normal 10 4 2 4 2 2 2" xfId="47322" xr:uid="{00000000-0005-0000-0000-0000CF110000}"/>
    <cellStyle name="Normal 10 4 2 4 2 2 3" xfId="47323" xr:uid="{00000000-0005-0000-0000-0000D0110000}"/>
    <cellStyle name="Normal 10 4 2 4 2 3" xfId="3262" xr:uid="{00000000-0005-0000-0000-0000D1110000}"/>
    <cellStyle name="Normal 10 4 2 4 2 3 2" xfId="47324" xr:uid="{00000000-0005-0000-0000-0000D2110000}"/>
    <cellStyle name="Normal 10 4 2 4 2 4" xfId="3263" xr:uid="{00000000-0005-0000-0000-0000D3110000}"/>
    <cellStyle name="Normal 10 4 2 4 2 5" xfId="3264" xr:uid="{00000000-0005-0000-0000-0000D4110000}"/>
    <cellStyle name="Normal 10 4 2 4 2 6" xfId="3265" xr:uid="{00000000-0005-0000-0000-0000D5110000}"/>
    <cellStyle name="Normal 10 4 2 4 3" xfId="3266" xr:uid="{00000000-0005-0000-0000-0000D6110000}"/>
    <cellStyle name="Normal 10 4 2 4 3 2" xfId="47325" xr:uid="{00000000-0005-0000-0000-0000D7110000}"/>
    <cellStyle name="Normal 10 4 2 4 3 3" xfId="47326" xr:uid="{00000000-0005-0000-0000-0000D8110000}"/>
    <cellStyle name="Normal 10 4 2 4 4" xfId="3267" xr:uid="{00000000-0005-0000-0000-0000D9110000}"/>
    <cellStyle name="Normal 10 4 2 4 4 2" xfId="47327" xr:uid="{00000000-0005-0000-0000-0000DA110000}"/>
    <cellStyle name="Normal 10 4 2 4 5" xfId="3268" xr:uid="{00000000-0005-0000-0000-0000DB110000}"/>
    <cellStyle name="Normal 10 4 2 4 6" xfId="3269" xr:uid="{00000000-0005-0000-0000-0000DC110000}"/>
    <cellStyle name="Normal 10 4 2 4 7" xfId="3270" xr:uid="{00000000-0005-0000-0000-0000DD110000}"/>
    <cellStyle name="Normal 10 4 2 5" xfId="3271" xr:uid="{00000000-0005-0000-0000-0000DE110000}"/>
    <cellStyle name="Normal 10 4 2 5 2" xfId="3272" xr:uid="{00000000-0005-0000-0000-0000DF110000}"/>
    <cellStyle name="Normal 10 4 2 5 2 2" xfId="47328" xr:uid="{00000000-0005-0000-0000-0000E0110000}"/>
    <cellStyle name="Normal 10 4 2 5 2 3" xfId="47329" xr:uid="{00000000-0005-0000-0000-0000E1110000}"/>
    <cellStyle name="Normal 10 4 2 5 3" xfId="3273" xr:uid="{00000000-0005-0000-0000-0000E2110000}"/>
    <cellStyle name="Normal 10 4 2 5 3 2" xfId="47330" xr:uid="{00000000-0005-0000-0000-0000E3110000}"/>
    <cellStyle name="Normal 10 4 2 5 4" xfId="3274" xr:uid="{00000000-0005-0000-0000-0000E4110000}"/>
    <cellStyle name="Normal 10 4 2 5 5" xfId="3275" xr:uid="{00000000-0005-0000-0000-0000E5110000}"/>
    <cellStyle name="Normal 10 4 2 5 6" xfId="3276" xr:uid="{00000000-0005-0000-0000-0000E6110000}"/>
    <cellStyle name="Normal 10 4 2 6" xfId="3277" xr:uid="{00000000-0005-0000-0000-0000E7110000}"/>
    <cellStyle name="Normal 10 4 2 6 2" xfId="47331" xr:uid="{00000000-0005-0000-0000-0000E8110000}"/>
    <cellStyle name="Normal 10 4 2 6 3" xfId="47332" xr:uid="{00000000-0005-0000-0000-0000E9110000}"/>
    <cellStyle name="Normal 10 4 2 7" xfId="3278" xr:uid="{00000000-0005-0000-0000-0000EA110000}"/>
    <cellStyle name="Normal 10 4 2 7 2" xfId="47333" xr:uid="{00000000-0005-0000-0000-0000EB110000}"/>
    <cellStyle name="Normal 10 4 2 8" xfId="3279" xr:uid="{00000000-0005-0000-0000-0000EC110000}"/>
    <cellStyle name="Normal 10 4 2 8 2" xfId="47334" xr:uid="{00000000-0005-0000-0000-0000ED110000}"/>
    <cellStyle name="Normal 10 4 2 9" xfId="3280" xr:uid="{00000000-0005-0000-0000-0000EE110000}"/>
    <cellStyle name="Normal 10 4 3" xfId="3281" xr:uid="{00000000-0005-0000-0000-0000EF110000}"/>
    <cellStyle name="Normal 10 4 3 2" xfId="3282" xr:uid="{00000000-0005-0000-0000-0000F0110000}"/>
    <cellStyle name="Normal 10 4 3 2 2" xfId="3283" xr:uid="{00000000-0005-0000-0000-0000F1110000}"/>
    <cellStyle name="Normal 10 4 3 2 2 2" xfId="3284" xr:uid="{00000000-0005-0000-0000-0000F2110000}"/>
    <cellStyle name="Normal 10 4 3 2 2 2 2" xfId="47335" xr:uid="{00000000-0005-0000-0000-0000F3110000}"/>
    <cellStyle name="Normal 10 4 3 2 2 2 3" xfId="47336" xr:uid="{00000000-0005-0000-0000-0000F4110000}"/>
    <cellStyle name="Normal 10 4 3 2 2 3" xfId="3285" xr:uid="{00000000-0005-0000-0000-0000F5110000}"/>
    <cellStyle name="Normal 10 4 3 2 2 3 2" xfId="47337" xr:uid="{00000000-0005-0000-0000-0000F6110000}"/>
    <cellStyle name="Normal 10 4 3 2 2 4" xfId="3286" xr:uid="{00000000-0005-0000-0000-0000F7110000}"/>
    <cellStyle name="Normal 10 4 3 2 2 5" xfId="3287" xr:uid="{00000000-0005-0000-0000-0000F8110000}"/>
    <cellStyle name="Normal 10 4 3 2 2 6" xfId="3288" xr:uid="{00000000-0005-0000-0000-0000F9110000}"/>
    <cellStyle name="Normal 10 4 3 2 3" xfId="3289" xr:uid="{00000000-0005-0000-0000-0000FA110000}"/>
    <cellStyle name="Normal 10 4 3 2 3 2" xfId="47338" xr:uid="{00000000-0005-0000-0000-0000FB110000}"/>
    <cellStyle name="Normal 10 4 3 2 3 3" xfId="47339" xr:uid="{00000000-0005-0000-0000-0000FC110000}"/>
    <cellStyle name="Normal 10 4 3 2 4" xfId="3290" xr:uid="{00000000-0005-0000-0000-0000FD110000}"/>
    <cellStyle name="Normal 10 4 3 2 4 2" xfId="47340" xr:uid="{00000000-0005-0000-0000-0000FE110000}"/>
    <cellStyle name="Normal 10 4 3 2 5" xfId="3291" xr:uid="{00000000-0005-0000-0000-0000FF110000}"/>
    <cellStyle name="Normal 10 4 3 2 6" xfId="3292" xr:uid="{00000000-0005-0000-0000-000000120000}"/>
    <cellStyle name="Normal 10 4 3 2 7" xfId="3293" xr:uid="{00000000-0005-0000-0000-000001120000}"/>
    <cellStyle name="Normal 10 4 3 3" xfId="3294" xr:uid="{00000000-0005-0000-0000-000002120000}"/>
    <cellStyle name="Normal 10 4 3 3 2" xfId="3295" xr:uid="{00000000-0005-0000-0000-000003120000}"/>
    <cellStyle name="Normal 10 4 3 3 2 2" xfId="47341" xr:uid="{00000000-0005-0000-0000-000004120000}"/>
    <cellStyle name="Normal 10 4 3 3 2 3" xfId="47342" xr:uid="{00000000-0005-0000-0000-000005120000}"/>
    <cellStyle name="Normal 10 4 3 3 3" xfId="3296" xr:uid="{00000000-0005-0000-0000-000006120000}"/>
    <cellStyle name="Normal 10 4 3 3 3 2" xfId="47343" xr:uid="{00000000-0005-0000-0000-000007120000}"/>
    <cellStyle name="Normal 10 4 3 3 4" xfId="3297" xr:uid="{00000000-0005-0000-0000-000008120000}"/>
    <cellStyle name="Normal 10 4 3 3 5" xfId="3298" xr:uid="{00000000-0005-0000-0000-000009120000}"/>
    <cellStyle name="Normal 10 4 3 3 6" xfId="3299" xr:uid="{00000000-0005-0000-0000-00000A120000}"/>
    <cellStyle name="Normal 10 4 3 4" xfId="3300" xr:uid="{00000000-0005-0000-0000-00000B120000}"/>
    <cellStyle name="Normal 10 4 3 4 2" xfId="47344" xr:uid="{00000000-0005-0000-0000-00000C120000}"/>
    <cellStyle name="Normal 10 4 3 4 3" xfId="47345" xr:uid="{00000000-0005-0000-0000-00000D120000}"/>
    <cellStyle name="Normal 10 4 3 5" xfId="3301" xr:uid="{00000000-0005-0000-0000-00000E120000}"/>
    <cellStyle name="Normal 10 4 3 5 2" xfId="47346" xr:uid="{00000000-0005-0000-0000-00000F120000}"/>
    <cellStyle name="Normal 10 4 3 6" xfId="3302" xr:uid="{00000000-0005-0000-0000-000010120000}"/>
    <cellStyle name="Normal 10 4 3 7" xfId="3303" xr:uid="{00000000-0005-0000-0000-000011120000}"/>
    <cellStyle name="Normal 10 4 3 8" xfId="3304" xr:uid="{00000000-0005-0000-0000-000012120000}"/>
    <cellStyle name="Normal 10 4 3 9" xfId="3305" xr:uid="{00000000-0005-0000-0000-000013120000}"/>
    <cellStyle name="Normal 10 4 4" xfId="3306" xr:uid="{00000000-0005-0000-0000-000014120000}"/>
    <cellStyle name="Normal 10 4 4 2" xfId="3307" xr:uid="{00000000-0005-0000-0000-000015120000}"/>
    <cellStyle name="Normal 10 4 4 2 2" xfId="3308" xr:uid="{00000000-0005-0000-0000-000016120000}"/>
    <cellStyle name="Normal 10 4 4 2 2 2" xfId="3309" xr:uid="{00000000-0005-0000-0000-000017120000}"/>
    <cellStyle name="Normal 10 4 4 2 2 2 2" xfId="47347" xr:uid="{00000000-0005-0000-0000-000018120000}"/>
    <cellStyle name="Normal 10 4 4 2 2 2 3" xfId="47348" xr:uid="{00000000-0005-0000-0000-000019120000}"/>
    <cellStyle name="Normal 10 4 4 2 2 3" xfId="3310" xr:uid="{00000000-0005-0000-0000-00001A120000}"/>
    <cellStyle name="Normal 10 4 4 2 2 3 2" xfId="47349" xr:uid="{00000000-0005-0000-0000-00001B120000}"/>
    <cellStyle name="Normal 10 4 4 2 2 4" xfId="3311" xr:uid="{00000000-0005-0000-0000-00001C120000}"/>
    <cellStyle name="Normal 10 4 4 2 2 5" xfId="3312" xr:uid="{00000000-0005-0000-0000-00001D120000}"/>
    <cellStyle name="Normal 10 4 4 2 2 6" xfId="3313" xr:uid="{00000000-0005-0000-0000-00001E120000}"/>
    <cellStyle name="Normal 10 4 4 2 3" xfId="3314" xr:uid="{00000000-0005-0000-0000-00001F120000}"/>
    <cellStyle name="Normal 10 4 4 2 3 2" xfId="47350" xr:uid="{00000000-0005-0000-0000-000020120000}"/>
    <cellStyle name="Normal 10 4 4 2 3 3" xfId="47351" xr:uid="{00000000-0005-0000-0000-000021120000}"/>
    <cellStyle name="Normal 10 4 4 2 4" xfId="3315" xr:uid="{00000000-0005-0000-0000-000022120000}"/>
    <cellStyle name="Normal 10 4 4 2 4 2" xfId="47352" xr:uid="{00000000-0005-0000-0000-000023120000}"/>
    <cellStyle name="Normal 10 4 4 2 5" xfId="3316" xr:uid="{00000000-0005-0000-0000-000024120000}"/>
    <cellStyle name="Normal 10 4 4 2 6" xfId="3317" xr:uid="{00000000-0005-0000-0000-000025120000}"/>
    <cellStyle name="Normal 10 4 4 2 7" xfId="3318" xr:uid="{00000000-0005-0000-0000-000026120000}"/>
    <cellStyle name="Normal 10 4 4 3" xfId="3319" xr:uid="{00000000-0005-0000-0000-000027120000}"/>
    <cellStyle name="Normal 10 4 4 3 2" xfId="3320" xr:uid="{00000000-0005-0000-0000-000028120000}"/>
    <cellStyle name="Normal 10 4 4 3 2 2" xfId="47353" xr:uid="{00000000-0005-0000-0000-000029120000}"/>
    <cellStyle name="Normal 10 4 4 3 2 3" xfId="47354" xr:uid="{00000000-0005-0000-0000-00002A120000}"/>
    <cellStyle name="Normal 10 4 4 3 3" xfId="3321" xr:uid="{00000000-0005-0000-0000-00002B120000}"/>
    <cellStyle name="Normal 10 4 4 3 3 2" xfId="47355" xr:uid="{00000000-0005-0000-0000-00002C120000}"/>
    <cellStyle name="Normal 10 4 4 3 4" xfId="3322" xr:uid="{00000000-0005-0000-0000-00002D120000}"/>
    <cellStyle name="Normal 10 4 4 3 5" xfId="3323" xr:uid="{00000000-0005-0000-0000-00002E120000}"/>
    <cellStyle name="Normal 10 4 4 3 6" xfId="3324" xr:uid="{00000000-0005-0000-0000-00002F120000}"/>
    <cellStyle name="Normal 10 4 4 4" xfId="3325" xr:uid="{00000000-0005-0000-0000-000030120000}"/>
    <cellStyle name="Normal 10 4 4 4 2" xfId="47356" xr:uid="{00000000-0005-0000-0000-000031120000}"/>
    <cellStyle name="Normal 10 4 4 4 3" xfId="47357" xr:uid="{00000000-0005-0000-0000-000032120000}"/>
    <cellStyle name="Normal 10 4 4 5" xfId="3326" xr:uid="{00000000-0005-0000-0000-000033120000}"/>
    <cellStyle name="Normal 10 4 4 5 2" xfId="47358" xr:uid="{00000000-0005-0000-0000-000034120000}"/>
    <cellStyle name="Normal 10 4 4 6" xfId="3327" xr:uid="{00000000-0005-0000-0000-000035120000}"/>
    <cellStyle name="Normal 10 4 4 7" xfId="3328" xr:uid="{00000000-0005-0000-0000-000036120000}"/>
    <cellStyle name="Normal 10 4 4 8" xfId="3329" xr:uid="{00000000-0005-0000-0000-000037120000}"/>
    <cellStyle name="Normal 10 4 5" xfId="3330" xr:uid="{00000000-0005-0000-0000-000038120000}"/>
    <cellStyle name="Normal 10 4 5 2" xfId="3331" xr:uid="{00000000-0005-0000-0000-000039120000}"/>
    <cellStyle name="Normal 10 4 5 2 2" xfId="3332" xr:uid="{00000000-0005-0000-0000-00003A120000}"/>
    <cellStyle name="Normal 10 4 5 2 2 2" xfId="47359" xr:uid="{00000000-0005-0000-0000-00003B120000}"/>
    <cellStyle name="Normal 10 4 5 2 2 3" xfId="47360" xr:uid="{00000000-0005-0000-0000-00003C120000}"/>
    <cellStyle name="Normal 10 4 5 2 3" xfId="3333" xr:uid="{00000000-0005-0000-0000-00003D120000}"/>
    <cellStyle name="Normal 10 4 5 2 3 2" xfId="47361" xr:uid="{00000000-0005-0000-0000-00003E120000}"/>
    <cellStyle name="Normal 10 4 5 2 4" xfId="3334" xr:uid="{00000000-0005-0000-0000-00003F120000}"/>
    <cellStyle name="Normal 10 4 5 2 5" xfId="3335" xr:uid="{00000000-0005-0000-0000-000040120000}"/>
    <cellStyle name="Normal 10 4 5 2 6" xfId="3336" xr:uid="{00000000-0005-0000-0000-000041120000}"/>
    <cellStyle name="Normal 10 4 5 3" xfId="3337" xr:uid="{00000000-0005-0000-0000-000042120000}"/>
    <cellStyle name="Normal 10 4 5 3 2" xfId="47362" xr:uid="{00000000-0005-0000-0000-000043120000}"/>
    <cellStyle name="Normal 10 4 5 3 3" xfId="47363" xr:uid="{00000000-0005-0000-0000-000044120000}"/>
    <cellStyle name="Normal 10 4 5 4" xfId="3338" xr:uid="{00000000-0005-0000-0000-000045120000}"/>
    <cellStyle name="Normal 10 4 5 4 2" xfId="47364" xr:uid="{00000000-0005-0000-0000-000046120000}"/>
    <cellStyle name="Normal 10 4 5 5" xfId="3339" xr:uid="{00000000-0005-0000-0000-000047120000}"/>
    <cellStyle name="Normal 10 4 5 6" xfId="3340" xr:uid="{00000000-0005-0000-0000-000048120000}"/>
    <cellStyle name="Normal 10 4 5 7" xfId="3341" xr:uid="{00000000-0005-0000-0000-000049120000}"/>
    <cellStyle name="Normal 10 4 6" xfId="3342" xr:uid="{00000000-0005-0000-0000-00004A120000}"/>
    <cellStyle name="Normal 10 4 6 2" xfId="3343" xr:uid="{00000000-0005-0000-0000-00004B120000}"/>
    <cellStyle name="Normal 10 4 6 2 2" xfId="47365" xr:uid="{00000000-0005-0000-0000-00004C120000}"/>
    <cellStyle name="Normal 10 4 6 2 3" xfId="47366" xr:uid="{00000000-0005-0000-0000-00004D120000}"/>
    <cellStyle name="Normal 10 4 6 3" xfId="3344" xr:uid="{00000000-0005-0000-0000-00004E120000}"/>
    <cellStyle name="Normal 10 4 6 3 2" xfId="47367" xr:uid="{00000000-0005-0000-0000-00004F120000}"/>
    <cellStyle name="Normal 10 4 6 4" xfId="3345" xr:uid="{00000000-0005-0000-0000-000050120000}"/>
    <cellStyle name="Normal 10 4 6 5" xfId="3346" xr:uid="{00000000-0005-0000-0000-000051120000}"/>
    <cellStyle name="Normal 10 4 6 6" xfId="3347" xr:uid="{00000000-0005-0000-0000-000052120000}"/>
    <cellStyle name="Normal 10 4 7" xfId="3348" xr:uid="{00000000-0005-0000-0000-000053120000}"/>
    <cellStyle name="Normal 10 4 7 2" xfId="47368" xr:uid="{00000000-0005-0000-0000-000054120000}"/>
    <cellStyle name="Normal 10 4 7 3" xfId="47369" xr:uid="{00000000-0005-0000-0000-000055120000}"/>
    <cellStyle name="Normal 10 4 8" xfId="3349" xr:uid="{00000000-0005-0000-0000-000056120000}"/>
    <cellStyle name="Normal 10 4 8 2" xfId="47370" xr:uid="{00000000-0005-0000-0000-000057120000}"/>
    <cellStyle name="Normal 10 4 9" xfId="3350" xr:uid="{00000000-0005-0000-0000-000058120000}"/>
    <cellStyle name="Normal 10 4 9 2" xfId="47371" xr:uid="{00000000-0005-0000-0000-000059120000}"/>
    <cellStyle name="Normal 10 5" xfId="3351" xr:uid="{00000000-0005-0000-0000-00005A120000}"/>
    <cellStyle name="Normal 10 5 10" xfId="3352" xr:uid="{00000000-0005-0000-0000-00005B120000}"/>
    <cellStyle name="Normal 10 5 11" xfId="3353" xr:uid="{00000000-0005-0000-0000-00005C120000}"/>
    <cellStyle name="Normal 10 5 12" xfId="3354" xr:uid="{00000000-0005-0000-0000-00005D120000}"/>
    <cellStyle name="Normal 10 5 13" xfId="3355" xr:uid="{00000000-0005-0000-0000-00005E120000}"/>
    <cellStyle name="Normal 10 5 14" xfId="3356" xr:uid="{00000000-0005-0000-0000-00005F120000}"/>
    <cellStyle name="Normal 10 5 15" xfId="3357" xr:uid="{00000000-0005-0000-0000-000060120000}"/>
    <cellStyle name="Normal 10 5 2" xfId="3358" xr:uid="{00000000-0005-0000-0000-000061120000}"/>
    <cellStyle name="Normal 10 5 2 10" xfId="3359" xr:uid="{00000000-0005-0000-0000-000062120000}"/>
    <cellStyle name="Normal 10 5 2 11" xfId="3360" xr:uid="{00000000-0005-0000-0000-000063120000}"/>
    <cellStyle name="Normal 10 5 2 12" xfId="3361" xr:uid="{00000000-0005-0000-0000-000064120000}"/>
    <cellStyle name="Normal 10 5 2 13" xfId="3362" xr:uid="{00000000-0005-0000-0000-000065120000}"/>
    <cellStyle name="Normal 10 5 2 14" xfId="3363" xr:uid="{00000000-0005-0000-0000-000066120000}"/>
    <cellStyle name="Normal 10 5 2 2" xfId="3364" xr:uid="{00000000-0005-0000-0000-000067120000}"/>
    <cellStyle name="Normal 10 5 2 2 2" xfId="3365" xr:uid="{00000000-0005-0000-0000-000068120000}"/>
    <cellStyle name="Normal 10 5 2 2 2 2" xfId="3366" xr:uid="{00000000-0005-0000-0000-000069120000}"/>
    <cellStyle name="Normal 10 5 2 2 2 2 2" xfId="3367" xr:uid="{00000000-0005-0000-0000-00006A120000}"/>
    <cellStyle name="Normal 10 5 2 2 2 2 2 2" xfId="47372" xr:uid="{00000000-0005-0000-0000-00006B120000}"/>
    <cellStyle name="Normal 10 5 2 2 2 2 2 3" xfId="47373" xr:uid="{00000000-0005-0000-0000-00006C120000}"/>
    <cellStyle name="Normal 10 5 2 2 2 2 3" xfId="3368" xr:uid="{00000000-0005-0000-0000-00006D120000}"/>
    <cellStyle name="Normal 10 5 2 2 2 2 3 2" xfId="47374" xr:uid="{00000000-0005-0000-0000-00006E120000}"/>
    <cellStyle name="Normal 10 5 2 2 2 2 4" xfId="3369" xr:uid="{00000000-0005-0000-0000-00006F120000}"/>
    <cellStyle name="Normal 10 5 2 2 2 2 5" xfId="3370" xr:uid="{00000000-0005-0000-0000-000070120000}"/>
    <cellStyle name="Normal 10 5 2 2 2 2 6" xfId="3371" xr:uid="{00000000-0005-0000-0000-000071120000}"/>
    <cellStyle name="Normal 10 5 2 2 2 3" xfId="3372" xr:uid="{00000000-0005-0000-0000-000072120000}"/>
    <cellStyle name="Normal 10 5 2 2 2 3 2" xfId="47375" xr:uid="{00000000-0005-0000-0000-000073120000}"/>
    <cellStyle name="Normal 10 5 2 2 2 3 3" xfId="47376" xr:uid="{00000000-0005-0000-0000-000074120000}"/>
    <cellStyle name="Normal 10 5 2 2 2 4" xfId="3373" xr:uid="{00000000-0005-0000-0000-000075120000}"/>
    <cellStyle name="Normal 10 5 2 2 2 4 2" xfId="47377" xr:uid="{00000000-0005-0000-0000-000076120000}"/>
    <cellStyle name="Normal 10 5 2 2 2 5" xfId="3374" xr:uid="{00000000-0005-0000-0000-000077120000}"/>
    <cellStyle name="Normal 10 5 2 2 2 6" xfId="3375" xr:uid="{00000000-0005-0000-0000-000078120000}"/>
    <cellStyle name="Normal 10 5 2 2 2 7" xfId="3376" xr:uid="{00000000-0005-0000-0000-000079120000}"/>
    <cellStyle name="Normal 10 5 2 2 3" xfId="3377" xr:uid="{00000000-0005-0000-0000-00007A120000}"/>
    <cellStyle name="Normal 10 5 2 2 3 2" xfId="3378" xr:uid="{00000000-0005-0000-0000-00007B120000}"/>
    <cellStyle name="Normal 10 5 2 2 3 2 2" xfId="47378" xr:uid="{00000000-0005-0000-0000-00007C120000}"/>
    <cellStyle name="Normal 10 5 2 2 3 2 3" xfId="47379" xr:uid="{00000000-0005-0000-0000-00007D120000}"/>
    <cellStyle name="Normal 10 5 2 2 3 3" xfId="3379" xr:uid="{00000000-0005-0000-0000-00007E120000}"/>
    <cellStyle name="Normal 10 5 2 2 3 3 2" xfId="47380" xr:uid="{00000000-0005-0000-0000-00007F120000}"/>
    <cellStyle name="Normal 10 5 2 2 3 4" xfId="3380" xr:uid="{00000000-0005-0000-0000-000080120000}"/>
    <cellStyle name="Normal 10 5 2 2 3 5" xfId="3381" xr:uid="{00000000-0005-0000-0000-000081120000}"/>
    <cellStyle name="Normal 10 5 2 2 3 6" xfId="3382" xr:uid="{00000000-0005-0000-0000-000082120000}"/>
    <cellStyle name="Normal 10 5 2 2 4" xfId="3383" xr:uid="{00000000-0005-0000-0000-000083120000}"/>
    <cellStyle name="Normal 10 5 2 2 4 2" xfId="47381" xr:uid="{00000000-0005-0000-0000-000084120000}"/>
    <cellStyle name="Normal 10 5 2 2 4 3" xfId="47382" xr:uid="{00000000-0005-0000-0000-000085120000}"/>
    <cellStyle name="Normal 10 5 2 2 5" xfId="3384" xr:uid="{00000000-0005-0000-0000-000086120000}"/>
    <cellStyle name="Normal 10 5 2 2 5 2" xfId="47383" xr:uid="{00000000-0005-0000-0000-000087120000}"/>
    <cellStyle name="Normal 10 5 2 2 6" xfId="3385" xr:uid="{00000000-0005-0000-0000-000088120000}"/>
    <cellStyle name="Normal 10 5 2 2 7" xfId="3386" xr:uid="{00000000-0005-0000-0000-000089120000}"/>
    <cellStyle name="Normal 10 5 2 2 8" xfId="3387" xr:uid="{00000000-0005-0000-0000-00008A120000}"/>
    <cellStyle name="Normal 10 5 2 2 9" xfId="3388" xr:uid="{00000000-0005-0000-0000-00008B120000}"/>
    <cellStyle name="Normal 10 5 2 3" xfId="3389" xr:uid="{00000000-0005-0000-0000-00008C120000}"/>
    <cellStyle name="Normal 10 5 2 3 2" xfId="3390" xr:uid="{00000000-0005-0000-0000-00008D120000}"/>
    <cellStyle name="Normal 10 5 2 3 2 2" xfId="3391" xr:uid="{00000000-0005-0000-0000-00008E120000}"/>
    <cellStyle name="Normal 10 5 2 3 2 2 2" xfId="3392" xr:uid="{00000000-0005-0000-0000-00008F120000}"/>
    <cellStyle name="Normal 10 5 2 3 2 2 2 2" xfId="47384" xr:uid="{00000000-0005-0000-0000-000090120000}"/>
    <cellStyle name="Normal 10 5 2 3 2 2 2 3" xfId="47385" xr:uid="{00000000-0005-0000-0000-000091120000}"/>
    <cellStyle name="Normal 10 5 2 3 2 2 3" xfId="3393" xr:uid="{00000000-0005-0000-0000-000092120000}"/>
    <cellStyle name="Normal 10 5 2 3 2 2 3 2" xfId="47386" xr:uid="{00000000-0005-0000-0000-000093120000}"/>
    <cellStyle name="Normal 10 5 2 3 2 2 4" xfId="3394" xr:uid="{00000000-0005-0000-0000-000094120000}"/>
    <cellStyle name="Normal 10 5 2 3 2 2 5" xfId="3395" xr:uid="{00000000-0005-0000-0000-000095120000}"/>
    <cellStyle name="Normal 10 5 2 3 2 2 6" xfId="3396" xr:uid="{00000000-0005-0000-0000-000096120000}"/>
    <cellStyle name="Normal 10 5 2 3 2 3" xfId="3397" xr:uid="{00000000-0005-0000-0000-000097120000}"/>
    <cellStyle name="Normal 10 5 2 3 2 3 2" xfId="47387" xr:uid="{00000000-0005-0000-0000-000098120000}"/>
    <cellStyle name="Normal 10 5 2 3 2 3 3" xfId="47388" xr:uid="{00000000-0005-0000-0000-000099120000}"/>
    <cellStyle name="Normal 10 5 2 3 2 4" xfId="3398" xr:uid="{00000000-0005-0000-0000-00009A120000}"/>
    <cellStyle name="Normal 10 5 2 3 2 4 2" xfId="47389" xr:uid="{00000000-0005-0000-0000-00009B120000}"/>
    <cellStyle name="Normal 10 5 2 3 2 5" xfId="3399" xr:uid="{00000000-0005-0000-0000-00009C120000}"/>
    <cellStyle name="Normal 10 5 2 3 2 6" xfId="3400" xr:uid="{00000000-0005-0000-0000-00009D120000}"/>
    <cellStyle name="Normal 10 5 2 3 2 7" xfId="3401" xr:uid="{00000000-0005-0000-0000-00009E120000}"/>
    <cellStyle name="Normal 10 5 2 3 3" xfId="3402" xr:uid="{00000000-0005-0000-0000-00009F120000}"/>
    <cellStyle name="Normal 10 5 2 3 3 2" xfId="3403" xr:uid="{00000000-0005-0000-0000-0000A0120000}"/>
    <cellStyle name="Normal 10 5 2 3 3 2 2" xfId="47390" xr:uid="{00000000-0005-0000-0000-0000A1120000}"/>
    <cellStyle name="Normal 10 5 2 3 3 2 3" xfId="47391" xr:uid="{00000000-0005-0000-0000-0000A2120000}"/>
    <cellStyle name="Normal 10 5 2 3 3 3" xfId="3404" xr:uid="{00000000-0005-0000-0000-0000A3120000}"/>
    <cellStyle name="Normal 10 5 2 3 3 3 2" xfId="47392" xr:uid="{00000000-0005-0000-0000-0000A4120000}"/>
    <cellStyle name="Normal 10 5 2 3 3 4" xfId="3405" xr:uid="{00000000-0005-0000-0000-0000A5120000}"/>
    <cellStyle name="Normal 10 5 2 3 3 5" xfId="3406" xr:uid="{00000000-0005-0000-0000-0000A6120000}"/>
    <cellStyle name="Normal 10 5 2 3 3 6" xfId="3407" xr:uid="{00000000-0005-0000-0000-0000A7120000}"/>
    <cellStyle name="Normal 10 5 2 3 4" xfId="3408" xr:uid="{00000000-0005-0000-0000-0000A8120000}"/>
    <cellStyle name="Normal 10 5 2 3 4 2" xfId="47393" xr:uid="{00000000-0005-0000-0000-0000A9120000}"/>
    <cellStyle name="Normal 10 5 2 3 4 3" xfId="47394" xr:uid="{00000000-0005-0000-0000-0000AA120000}"/>
    <cellStyle name="Normal 10 5 2 3 5" xfId="3409" xr:uid="{00000000-0005-0000-0000-0000AB120000}"/>
    <cellStyle name="Normal 10 5 2 3 5 2" xfId="47395" xr:uid="{00000000-0005-0000-0000-0000AC120000}"/>
    <cellStyle name="Normal 10 5 2 3 6" xfId="3410" xr:uid="{00000000-0005-0000-0000-0000AD120000}"/>
    <cellStyle name="Normal 10 5 2 3 7" xfId="3411" xr:uid="{00000000-0005-0000-0000-0000AE120000}"/>
    <cellStyle name="Normal 10 5 2 3 8" xfId="3412" xr:uid="{00000000-0005-0000-0000-0000AF120000}"/>
    <cellStyle name="Normal 10 5 2 4" xfId="3413" xr:uid="{00000000-0005-0000-0000-0000B0120000}"/>
    <cellStyle name="Normal 10 5 2 4 2" xfId="3414" xr:uid="{00000000-0005-0000-0000-0000B1120000}"/>
    <cellStyle name="Normal 10 5 2 4 2 2" xfId="3415" xr:uid="{00000000-0005-0000-0000-0000B2120000}"/>
    <cellStyle name="Normal 10 5 2 4 2 2 2" xfId="47396" xr:uid="{00000000-0005-0000-0000-0000B3120000}"/>
    <cellStyle name="Normal 10 5 2 4 2 2 3" xfId="47397" xr:uid="{00000000-0005-0000-0000-0000B4120000}"/>
    <cellStyle name="Normal 10 5 2 4 2 3" xfId="3416" xr:uid="{00000000-0005-0000-0000-0000B5120000}"/>
    <cellStyle name="Normal 10 5 2 4 2 3 2" xfId="47398" xr:uid="{00000000-0005-0000-0000-0000B6120000}"/>
    <cellStyle name="Normal 10 5 2 4 2 4" xfId="3417" xr:uid="{00000000-0005-0000-0000-0000B7120000}"/>
    <cellStyle name="Normal 10 5 2 4 2 5" xfId="3418" xr:uid="{00000000-0005-0000-0000-0000B8120000}"/>
    <cellStyle name="Normal 10 5 2 4 2 6" xfId="3419" xr:uid="{00000000-0005-0000-0000-0000B9120000}"/>
    <cellStyle name="Normal 10 5 2 4 3" xfId="3420" xr:uid="{00000000-0005-0000-0000-0000BA120000}"/>
    <cellStyle name="Normal 10 5 2 4 3 2" xfId="47399" xr:uid="{00000000-0005-0000-0000-0000BB120000}"/>
    <cellStyle name="Normal 10 5 2 4 3 3" xfId="47400" xr:uid="{00000000-0005-0000-0000-0000BC120000}"/>
    <cellStyle name="Normal 10 5 2 4 4" xfId="3421" xr:uid="{00000000-0005-0000-0000-0000BD120000}"/>
    <cellStyle name="Normal 10 5 2 4 4 2" xfId="47401" xr:uid="{00000000-0005-0000-0000-0000BE120000}"/>
    <cellStyle name="Normal 10 5 2 4 5" xfId="3422" xr:uid="{00000000-0005-0000-0000-0000BF120000}"/>
    <cellStyle name="Normal 10 5 2 4 6" xfId="3423" xr:uid="{00000000-0005-0000-0000-0000C0120000}"/>
    <cellStyle name="Normal 10 5 2 4 7" xfId="3424" xr:uid="{00000000-0005-0000-0000-0000C1120000}"/>
    <cellStyle name="Normal 10 5 2 5" xfId="3425" xr:uid="{00000000-0005-0000-0000-0000C2120000}"/>
    <cellStyle name="Normal 10 5 2 5 2" xfId="3426" xr:uid="{00000000-0005-0000-0000-0000C3120000}"/>
    <cellStyle name="Normal 10 5 2 5 2 2" xfId="47402" xr:uid="{00000000-0005-0000-0000-0000C4120000}"/>
    <cellStyle name="Normal 10 5 2 5 2 3" xfId="47403" xr:uid="{00000000-0005-0000-0000-0000C5120000}"/>
    <cellStyle name="Normal 10 5 2 5 3" xfId="3427" xr:uid="{00000000-0005-0000-0000-0000C6120000}"/>
    <cellStyle name="Normal 10 5 2 5 3 2" xfId="47404" xr:uid="{00000000-0005-0000-0000-0000C7120000}"/>
    <cellStyle name="Normal 10 5 2 5 4" xfId="3428" xr:uid="{00000000-0005-0000-0000-0000C8120000}"/>
    <cellStyle name="Normal 10 5 2 5 5" xfId="3429" xr:uid="{00000000-0005-0000-0000-0000C9120000}"/>
    <cellStyle name="Normal 10 5 2 5 6" xfId="3430" xr:uid="{00000000-0005-0000-0000-0000CA120000}"/>
    <cellStyle name="Normal 10 5 2 6" xfId="3431" xr:uid="{00000000-0005-0000-0000-0000CB120000}"/>
    <cellStyle name="Normal 10 5 2 6 2" xfId="47405" xr:uid="{00000000-0005-0000-0000-0000CC120000}"/>
    <cellStyle name="Normal 10 5 2 6 3" xfId="47406" xr:uid="{00000000-0005-0000-0000-0000CD120000}"/>
    <cellStyle name="Normal 10 5 2 7" xfId="3432" xr:uid="{00000000-0005-0000-0000-0000CE120000}"/>
    <cellStyle name="Normal 10 5 2 7 2" xfId="47407" xr:uid="{00000000-0005-0000-0000-0000CF120000}"/>
    <cellStyle name="Normal 10 5 2 8" xfId="3433" xr:uid="{00000000-0005-0000-0000-0000D0120000}"/>
    <cellStyle name="Normal 10 5 2 9" xfId="3434" xr:uid="{00000000-0005-0000-0000-0000D1120000}"/>
    <cellStyle name="Normal 10 5 3" xfId="3435" xr:uid="{00000000-0005-0000-0000-0000D2120000}"/>
    <cellStyle name="Normal 10 5 3 2" xfId="3436" xr:uid="{00000000-0005-0000-0000-0000D3120000}"/>
    <cellStyle name="Normal 10 5 3 2 2" xfId="3437" xr:uid="{00000000-0005-0000-0000-0000D4120000}"/>
    <cellStyle name="Normal 10 5 3 2 2 2" xfId="3438" xr:uid="{00000000-0005-0000-0000-0000D5120000}"/>
    <cellStyle name="Normal 10 5 3 2 2 2 2" xfId="47408" xr:uid="{00000000-0005-0000-0000-0000D6120000}"/>
    <cellStyle name="Normal 10 5 3 2 2 2 3" xfId="47409" xr:uid="{00000000-0005-0000-0000-0000D7120000}"/>
    <cellStyle name="Normal 10 5 3 2 2 3" xfId="3439" xr:uid="{00000000-0005-0000-0000-0000D8120000}"/>
    <cellStyle name="Normal 10 5 3 2 2 3 2" xfId="47410" xr:uid="{00000000-0005-0000-0000-0000D9120000}"/>
    <cellStyle name="Normal 10 5 3 2 2 4" xfId="3440" xr:uid="{00000000-0005-0000-0000-0000DA120000}"/>
    <cellStyle name="Normal 10 5 3 2 2 5" xfId="3441" xr:uid="{00000000-0005-0000-0000-0000DB120000}"/>
    <cellStyle name="Normal 10 5 3 2 2 6" xfId="3442" xr:uid="{00000000-0005-0000-0000-0000DC120000}"/>
    <cellStyle name="Normal 10 5 3 2 3" xfId="3443" xr:uid="{00000000-0005-0000-0000-0000DD120000}"/>
    <cellStyle name="Normal 10 5 3 2 3 2" xfId="47411" xr:uid="{00000000-0005-0000-0000-0000DE120000}"/>
    <cellStyle name="Normal 10 5 3 2 3 3" xfId="47412" xr:uid="{00000000-0005-0000-0000-0000DF120000}"/>
    <cellStyle name="Normal 10 5 3 2 4" xfId="3444" xr:uid="{00000000-0005-0000-0000-0000E0120000}"/>
    <cellStyle name="Normal 10 5 3 2 4 2" xfId="47413" xr:uid="{00000000-0005-0000-0000-0000E1120000}"/>
    <cellStyle name="Normal 10 5 3 2 5" xfId="3445" xr:uid="{00000000-0005-0000-0000-0000E2120000}"/>
    <cellStyle name="Normal 10 5 3 2 6" xfId="3446" xr:uid="{00000000-0005-0000-0000-0000E3120000}"/>
    <cellStyle name="Normal 10 5 3 2 7" xfId="3447" xr:uid="{00000000-0005-0000-0000-0000E4120000}"/>
    <cellStyle name="Normal 10 5 3 3" xfId="3448" xr:uid="{00000000-0005-0000-0000-0000E5120000}"/>
    <cellStyle name="Normal 10 5 3 3 2" xfId="3449" xr:uid="{00000000-0005-0000-0000-0000E6120000}"/>
    <cellStyle name="Normal 10 5 3 3 2 2" xfId="47414" xr:uid="{00000000-0005-0000-0000-0000E7120000}"/>
    <cellStyle name="Normal 10 5 3 3 2 3" xfId="47415" xr:uid="{00000000-0005-0000-0000-0000E8120000}"/>
    <cellStyle name="Normal 10 5 3 3 3" xfId="3450" xr:uid="{00000000-0005-0000-0000-0000E9120000}"/>
    <cellStyle name="Normal 10 5 3 3 3 2" xfId="47416" xr:uid="{00000000-0005-0000-0000-0000EA120000}"/>
    <cellStyle name="Normal 10 5 3 3 4" xfId="3451" xr:uid="{00000000-0005-0000-0000-0000EB120000}"/>
    <cellStyle name="Normal 10 5 3 3 5" xfId="3452" xr:uid="{00000000-0005-0000-0000-0000EC120000}"/>
    <cellStyle name="Normal 10 5 3 3 6" xfId="3453" xr:uid="{00000000-0005-0000-0000-0000ED120000}"/>
    <cellStyle name="Normal 10 5 3 4" xfId="3454" xr:uid="{00000000-0005-0000-0000-0000EE120000}"/>
    <cellStyle name="Normal 10 5 3 4 2" xfId="47417" xr:uid="{00000000-0005-0000-0000-0000EF120000}"/>
    <cellStyle name="Normal 10 5 3 4 3" xfId="47418" xr:uid="{00000000-0005-0000-0000-0000F0120000}"/>
    <cellStyle name="Normal 10 5 3 5" xfId="3455" xr:uid="{00000000-0005-0000-0000-0000F1120000}"/>
    <cellStyle name="Normal 10 5 3 5 2" xfId="47419" xr:uid="{00000000-0005-0000-0000-0000F2120000}"/>
    <cellStyle name="Normal 10 5 3 6" xfId="3456" xr:uid="{00000000-0005-0000-0000-0000F3120000}"/>
    <cellStyle name="Normal 10 5 3 7" xfId="3457" xr:uid="{00000000-0005-0000-0000-0000F4120000}"/>
    <cellStyle name="Normal 10 5 3 8" xfId="3458" xr:uid="{00000000-0005-0000-0000-0000F5120000}"/>
    <cellStyle name="Normal 10 5 3 9" xfId="3459" xr:uid="{00000000-0005-0000-0000-0000F6120000}"/>
    <cellStyle name="Normal 10 5 4" xfId="3460" xr:uid="{00000000-0005-0000-0000-0000F7120000}"/>
    <cellStyle name="Normal 10 5 4 2" xfId="3461" xr:uid="{00000000-0005-0000-0000-0000F8120000}"/>
    <cellStyle name="Normal 10 5 4 2 2" xfId="3462" xr:uid="{00000000-0005-0000-0000-0000F9120000}"/>
    <cellStyle name="Normal 10 5 4 2 2 2" xfId="3463" xr:uid="{00000000-0005-0000-0000-0000FA120000}"/>
    <cellStyle name="Normal 10 5 4 2 2 2 2" xfId="47420" xr:uid="{00000000-0005-0000-0000-0000FB120000}"/>
    <cellStyle name="Normal 10 5 4 2 2 2 3" xfId="47421" xr:uid="{00000000-0005-0000-0000-0000FC120000}"/>
    <cellStyle name="Normal 10 5 4 2 2 3" xfId="3464" xr:uid="{00000000-0005-0000-0000-0000FD120000}"/>
    <cellStyle name="Normal 10 5 4 2 2 3 2" xfId="47422" xr:uid="{00000000-0005-0000-0000-0000FE120000}"/>
    <cellStyle name="Normal 10 5 4 2 2 4" xfId="3465" xr:uid="{00000000-0005-0000-0000-0000FF120000}"/>
    <cellStyle name="Normal 10 5 4 2 2 5" xfId="3466" xr:uid="{00000000-0005-0000-0000-000000130000}"/>
    <cellStyle name="Normal 10 5 4 2 2 6" xfId="3467" xr:uid="{00000000-0005-0000-0000-000001130000}"/>
    <cellStyle name="Normal 10 5 4 2 3" xfId="3468" xr:uid="{00000000-0005-0000-0000-000002130000}"/>
    <cellStyle name="Normal 10 5 4 2 3 2" xfId="47423" xr:uid="{00000000-0005-0000-0000-000003130000}"/>
    <cellStyle name="Normal 10 5 4 2 3 3" xfId="47424" xr:uid="{00000000-0005-0000-0000-000004130000}"/>
    <cellStyle name="Normal 10 5 4 2 4" xfId="3469" xr:uid="{00000000-0005-0000-0000-000005130000}"/>
    <cellStyle name="Normal 10 5 4 2 4 2" xfId="47425" xr:uid="{00000000-0005-0000-0000-000006130000}"/>
    <cellStyle name="Normal 10 5 4 2 5" xfId="3470" xr:uid="{00000000-0005-0000-0000-000007130000}"/>
    <cellStyle name="Normal 10 5 4 2 6" xfId="3471" xr:uid="{00000000-0005-0000-0000-000008130000}"/>
    <cellStyle name="Normal 10 5 4 2 7" xfId="3472" xr:uid="{00000000-0005-0000-0000-000009130000}"/>
    <cellStyle name="Normal 10 5 4 3" xfId="3473" xr:uid="{00000000-0005-0000-0000-00000A130000}"/>
    <cellStyle name="Normal 10 5 4 3 2" xfId="3474" xr:uid="{00000000-0005-0000-0000-00000B130000}"/>
    <cellStyle name="Normal 10 5 4 3 2 2" xfId="47426" xr:uid="{00000000-0005-0000-0000-00000C130000}"/>
    <cellStyle name="Normal 10 5 4 3 2 3" xfId="47427" xr:uid="{00000000-0005-0000-0000-00000D130000}"/>
    <cellStyle name="Normal 10 5 4 3 3" xfId="3475" xr:uid="{00000000-0005-0000-0000-00000E130000}"/>
    <cellStyle name="Normal 10 5 4 3 3 2" xfId="47428" xr:uid="{00000000-0005-0000-0000-00000F130000}"/>
    <cellStyle name="Normal 10 5 4 3 4" xfId="3476" xr:uid="{00000000-0005-0000-0000-000010130000}"/>
    <cellStyle name="Normal 10 5 4 3 5" xfId="3477" xr:uid="{00000000-0005-0000-0000-000011130000}"/>
    <cellStyle name="Normal 10 5 4 3 6" xfId="3478" xr:uid="{00000000-0005-0000-0000-000012130000}"/>
    <cellStyle name="Normal 10 5 4 4" xfId="3479" xr:uid="{00000000-0005-0000-0000-000013130000}"/>
    <cellStyle name="Normal 10 5 4 4 2" xfId="47429" xr:uid="{00000000-0005-0000-0000-000014130000}"/>
    <cellStyle name="Normal 10 5 4 4 3" xfId="47430" xr:uid="{00000000-0005-0000-0000-000015130000}"/>
    <cellStyle name="Normal 10 5 4 5" xfId="3480" xr:uid="{00000000-0005-0000-0000-000016130000}"/>
    <cellStyle name="Normal 10 5 4 5 2" xfId="47431" xr:uid="{00000000-0005-0000-0000-000017130000}"/>
    <cellStyle name="Normal 10 5 4 6" xfId="3481" xr:uid="{00000000-0005-0000-0000-000018130000}"/>
    <cellStyle name="Normal 10 5 4 7" xfId="3482" xr:uid="{00000000-0005-0000-0000-000019130000}"/>
    <cellStyle name="Normal 10 5 4 8" xfId="3483" xr:uid="{00000000-0005-0000-0000-00001A130000}"/>
    <cellStyle name="Normal 10 5 5" xfId="3484" xr:uid="{00000000-0005-0000-0000-00001B130000}"/>
    <cellStyle name="Normal 10 5 5 2" xfId="3485" xr:uid="{00000000-0005-0000-0000-00001C130000}"/>
    <cellStyle name="Normal 10 5 5 2 2" xfId="3486" xr:uid="{00000000-0005-0000-0000-00001D130000}"/>
    <cellStyle name="Normal 10 5 5 2 2 2" xfId="47432" xr:uid="{00000000-0005-0000-0000-00001E130000}"/>
    <cellStyle name="Normal 10 5 5 2 2 3" xfId="47433" xr:uid="{00000000-0005-0000-0000-00001F130000}"/>
    <cellStyle name="Normal 10 5 5 2 3" xfId="3487" xr:uid="{00000000-0005-0000-0000-000020130000}"/>
    <cellStyle name="Normal 10 5 5 2 3 2" xfId="47434" xr:uid="{00000000-0005-0000-0000-000021130000}"/>
    <cellStyle name="Normal 10 5 5 2 4" xfId="3488" xr:uid="{00000000-0005-0000-0000-000022130000}"/>
    <cellStyle name="Normal 10 5 5 2 5" xfId="3489" xr:uid="{00000000-0005-0000-0000-000023130000}"/>
    <cellStyle name="Normal 10 5 5 2 6" xfId="3490" xr:uid="{00000000-0005-0000-0000-000024130000}"/>
    <cellStyle name="Normal 10 5 5 3" xfId="3491" xr:uid="{00000000-0005-0000-0000-000025130000}"/>
    <cellStyle name="Normal 10 5 5 3 2" xfId="47435" xr:uid="{00000000-0005-0000-0000-000026130000}"/>
    <cellStyle name="Normal 10 5 5 3 3" xfId="47436" xr:uid="{00000000-0005-0000-0000-000027130000}"/>
    <cellStyle name="Normal 10 5 5 4" xfId="3492" xr:uid="{00000000-0005-0000-0000-000028130000}"/>
    <cellStyle name="Normal 10 5 5 4 2" xfId="47437" xr:uid="{00000000-0005-0000-0000-000029130000}"/>
    <cellStyle name="Normal 10 5 5 5" xfId="3493" xr:uid="{00000000-0005-0000-0000-00002A130000}"/>
    <cellStyle name="Normal 10 5 5 6" xfId="3494" xr:uid="{00000000-0005-0000-0000-00002B130000}"/>
    <cellStyle name="Normal 10 5 5 7" xfId="3495" xr:uid="{00000000-0005-0000-0000-00002C130000}"/>
    <cellStyle name="Normal 10 5 6" xfId="3496" xr:uid="{00000000-0005-0000-0000-00002D130000}"/>
    <cellStyle name="Normal 10 5 6 2" xfId="3497" xr:uid="{00000000-0005-0000-0000-00002E130000}"/>
    <cellStyle name="Normal 10 5 6 2 2" xfId="47438" xr:uid="{00000000-0005-0000-0000-00002F130000}"/>
    <cellStyle name="Normal 10 5 6 2 3" xfId="47439" xr:uid="{00000000-0005-0000-0000-000030130000}"/>
    <cellStyle name="Normal 10 5 6 3" xfId="3498" xr:uid="{00000000-0005-0000-0000-000031130000}"/>
    <cellStyle name="Normal 10 5 6 3 2" xfId="47440" xr:uid="{00000000-0005-0000-0000-000032130000}"/>
    <cellStyle name="Normal 10 5 6 4" xfId="3499" xr:uid="{00000000-0005-0000-0000-000033130000}"/>
    <cellStyle name="Normal 10 5 6 5" xfId="3500" xr:uid="{00000000-0005-0000-0000-000034130000}"/>
    <cellStyle name="Normal 10 5 6 6" xfId="3501" xr:uid="{00000000-0005-0000-0000-000035130000}"/>
    <cellStyle name="Normal 10 5 7" xfId="3502" xr:uid="{00000000-0005-0000-0000-000036130000}"/>
    <cellStyle name="Normal 10 5 7 2" xfId="47441" xr:uid="{00000000-0005-0000-0000-000037130000}"/>
    <cellStyle name="Normal 10 5 7 3" xfId="47442" xr:uid="{00000000-0005-0000-0000-000038130000}"/>
    <cellStyle name="Normal 10 5 8" xfId="3503" xr:uid="{00000000-0005-0000-0000-000039130000}"/>
    <cellStyle name="Normal 10 5 8 2" xfId="47443" xr:uid="{00000000-0005-0000-0000-00003A130000}"/>
    <cellStyle name="Normal 10 5 9" xfId="3504" xr:uid="{00000000-0005-0000-0000-00003B130000}"/>
    <cellStyle name="Normal 10 5 9 2" xfId="47444" xr:uid="{00000000-0005-0000-0000-00003C130000}"/>
    <cellStyle name="Normal 10 6" xfId="3505" xr:uid="{00000000-0005-0000-0000-00003D130000}"/>
    <cellStyle name="Normal 10 6 10" xfId="3506" xr:uid="{00000000-0005-0000-0000-00003E130000}"/>
    <cellStyle name="Normal 10 6 11" xfId="3507" xr:uid="{00000000-0005-0000-0000-00003F130000}"/>
    <cellStyle name="Normal 10 6 12" xfId="3508" xr:uid="{00000000-0005-0000-0000-000040130000}"/>
    <cellStyle name="Normal 10 6 13" xfId="3509" xr:uid="{00000000-0005-0000-0000-000041130000}"/>
    <cellStyle name="Normal 10 6 14" xfId="3510" xr:uid="{00000000-0005-0000-0000-000042130000}"/>
    <cellStyle name="Normal 10 6 15" xfId="3511" xr:uid="{00000000-0005-0000-0000-000043130000}"/>
    <cellStyle name="Normal 10 6 2" xfId="3512" xr:uid="{00000000-0005-0000-0000-000044130000}"/>
    <cellStyle name="Normal 10 6 2 2" xfId="3513" xr:uid="{00000000-0005-0000-0000-000045130000}"/>
    <cellStyle name="Normal 10 6 2 2 2" xfId="3514" xr:uid="{00000000-0005-0000-0000-000046130000}"/>
    <cellStyle name="Normal 10 6 2 2 2 2" xfId="3515" xr:uid="{00000000-0005-0000-0000-000047130000}"/>
    <cellStyle name="Normal 10 6 2 2 2 2 2" xfId="47445" xr:uid="{00000000-0005-0000-0000-000048130000}"/>
    <cellStyle name="Normal 10 6 2 2 2 2 3" xfId="47446" xr:uid="{00000000-0005-0000-0000-000049130000}"/>
    <cellStyle name="Normal 10 6 2 2 2 3" xfId="3516" xr:uid="{00000000-0005-0000-0000-00004A130000}"/>
    <cellStyle name="Normal 10 6 2 2 2 3 2" xfId="47447" xr:uid="{00000000-0005-0000-0000-00004B130000}"/>
    <cellStyle name="Normal 10 6 2 2 2 4" xfId="3517" xr:uid="{00000000-0005-0000-0000-00004C130000}"/>
    <cellStyle name="Normal 10 6 2 2 2 5" xfId="3518" xr:uid="{00000000-0005-0000-0000-00004D130000}"/>
    <cellStyle name="Normal 10 6 2 2 2 6" xfId="3519" xr:uid="{00000000-0005-0000-0000-00004E130000}"/>
    <cellStyle name="Normal 10 6 2 2 3" xfId="3520" xr:uid="{00000000-0005-0000-0000-00004F130000}"/>
    <cellStyle name="Normal 10 6 2 2 3 2" xfId="47448" xr:uid="{00000000-0005-0000-0000-000050130000}"/>
    <cellStyle name="Normal 10 6 2 2 3 3" xfId="47449" xr:uid="{00000000-0005-0000-0000-000051130000}"/>
    <cellStyle name="Normal 10 6 2 2 4" xfId="3521" xr:uid="{00000000-0005-0000-0000-000052130000}"/>
    <cellStyle name="Normal 10 6 2 2 4 2" xfId="47450" xr:uid="{00000000-0005-0000-0000-000053130000}"/>
    <cellStyle name="Normal 10 6 2 2 5" xfId="3522" xr:uid="{00000000-0005-0000-0000-000054130000}"/>
    <cellStyle name="Normal 10 6 2 2 6" xfId="3523" xr:uid="{00000000-0005-0000-0000-000055130000}"/>
    <cellStyle name="Normal 10 6 2 2 7" xfId="3524" xr:uid="{00000000-0005-0000-0000-000056130000}"/>
    <cellStyle name="Normal 10 6 2 3" xfId="3525" xr:uid="{00000000-0005-0000-0000-000057130000}"/>
    <cellStyle name="Normal 10 6 2 3 2" xfId="3526" xr:uid="{00000000-0005-0000-0000-000058130000}"/>
    <cellStyle name="Normal 10 6 2 3 2 2" xfId="47451" xr:uid="{00000000-0005-0000-0000-000059130000}"/>
    <cellStyle name="Normal 10 6 2 3 2 3" xfId="47452" xr:uid="{00000000-0005-0000-0000-00005A130000}"/>
    <cellStyle name="Normal 10 6 2 3 3" xfId="3527" xr:uid="{00000000-0005-0000-0000-00005B130000}"/>
    <cellStyle name="Normal 10 6 2 3 3 2" xfId="47453" xr:uid="{00000000-0005-0000-0000-00005C130000}"/>
    <cellStyle name="Normal 10 6 2 3 4" xfId="3528" xr:uid="{00000000-0005-0000-0000-00005D130000}"/>
    <cellStyle name="Normal 10 6 2 3 5" xfId="3529" xr:uid="{00000000-0005-0000-0000-00005E130000}"/>
    <cellStyle name="Normal 10 6 2 3 6" xfId="3530" xr:uid="{00000000-0005-0000-0000-00005F130000}"/>
    <cellStyle name="Normal 10 6 2 4" xfId="3531" xr:uid="{00000000-0005-0000-0000-000060130000}"/>
    <cellStyle name="Normal 10 6 2 4 2" xfId="47454" xr:uid="{00000000-0005-0000-0000-000061130000}"/>
    <cellStyle name="Normal 10 6 2 4 3" xfId="47455" xr:uid="{00000000-0005-0000-0000-000062130000}"/>
    <cellStyle name="Normal 10 6 2 5" xfId="3532" xr:uid="{00000000-0005-0000-0000-000063130000}"/>
    <cellStyle name="Normal 10 6 2 5 2" xfId="47456" xr:uid="{00000000-0005-0000-0000-000064130000}"/>
    <cellStyle name="Normal 10 6 2 6" xfId="3533" xr:uid="{00000000-0005-0000-0000-000065130000}"/>
    <cellStyle name="Normal 10 6 2 7" xfId="3534" xr:uid="{00000000-0005-0000-0000-000066130000}"/>
    <cellStyle name="Normal 10 6 2 8" xfId="3535" xr:uid="{00000000-0005-0000-0000-000067130000}"/>
    <cellStyle name="Normal 10 6 2 9" xfId="3536" xr:uid="{00000000-0005-0000-0000-000068130000}"/>
    <cellStyle name="Normal 10 6 3" xfId="3537" xr:uid="{00000000-0005-0000-0000-000069130000}"/>
    <cellStyle name="Normal 10 6 3 2" xfId="3538" xr:uid="{00000000-0005-0000-0000-00006A130000}"/>
    <cellStyle name="Normal 10 6 3 2 2" xfId="3539" xr:uid="{00000000-0005-0000-0000-00006B130000}"/>
    <cellStyle name="Normal 10 6 3 2 2 2" xfId="3540" xr:uid="{00000000-0005-0000-0000-00006C130000}"/>
    <cellStyle name="Normal 10 6 3 2 2 2 2" xfId="47457" xr:uid="{00000000-0005-0000-0000-00006D130000}"/>
    <cellStyle name="Normal 10 6 3 2 2 2 3" xfId="47458" xr:uid="{00000000-0005-0000-0000-00006E130000}"/>
    <cellStyle name="Normal 10 6 3 2 2 3" xfId="3541" xr:uid="{00000000-0005-0000-0000-00006F130000}"/>
    <cellStyle name="Normal 10 6 3 2 2 3 2" xfId="47459" xr:uid="{00000000-0005-0000-0000-000070130000}"/>
    <cellStyle name="Normal 10 6 3 2 2 4" xfId="3542" xr:uid="{00000000-0005-0000-0000-000071130000}"/>
    <cellStyle name="Normal 10 6 3 2 2 5" xfId="3543" xr:uid="{00000000-0005-0000-0000-000072130000}"/>
    <cellStyle name="Normal 10 6 3 2 2 6" xfId="3544" xr:uid="{00000000-0005-0000-0000-000073130000}"/>
    <cellStyle name="Normal 10 6 3 2 3" xfId="3545" xr:uid="{00000000-0005-0000-0000-000074130000}"/>
    <cellStyle name="Normal 10 6 3 2 3 2" xfId="47460" xr:uid="{00000000-0005-0000-0000-000075130000}"/>
    <cellStyle name="Normal 10 6 3 2 3 3" xfId="47461" xr:uid="{00000000-0005-0000-0000-000076130000}"/>
    <cellStyle name="Normal 10 6 3 2 4" xfId="3546" xr:uid="{00000000-0005-0000-0000-000077130000}"/>
    <cellStyle name="Normal 10 6 3 2 4 2" xfId="47462" xr:uid="{00000000-0005-0000-0000-000078130000}"/>
    <cellStyle name="Normal 10 6 3 2 5" xfId="3547" xr:uid="{00000000-0005-0000-0000-000079130000}"/>
    <cellStyle name="Normal 10 6 3 2 6" xfId="3548" xr:uid="{00000000-0005-0000-0000-00007A130000}"/>
    <cellStyle name="Normal 10 6 3 2 7" xfId="3549" xr:uid="{00000000-0005-0000-0000-00007B130000}"/>
    <cellStyle name="Normal 10 6 3 3" xfId="3550" xr:uid="{00000000-0005-0000-0000-00007C130000}"/>
    <cellStyle name="Normal 10 6 3 3 2" xfId="3551" xr:uid="{00000000-0005-0000-0000-00007D130000}"/>
    <cellStyle name="Normal 10 6 3 3 2 2" xfId="47463" xr:uid="{00000000-0005-0000-0000-00007E130000}"/>
    <cellStyle name="Normal 10 6 3 3 2 3" xfId="47464" xr:uid="{00000000-0005-0000-0000-00007F130000}"/>
    <cellStyle name="Normal 10 6 3 3 3" xfId="3552" xr:uid="{00000000-0005-0000-0000-000080130000}"/>
    <cellStyle name="Normal 10 6 3 3 3 2" xfId="47465" xr:uid="{00000000-0005-0000-0000-000081130000}"/>
    <cellStyle name="Normal 10 6 3 3 4" xfId="3553" xr:uid="{00000000-0005-0000-0000-000082130000}"/>
    <cellStyle name="Normal 10 6 3 3 5" xfId="3554" xr:uid="{00000000-0005-0000-0000-000083130000}"/>
    <cellStyle name="Normal 10 6 3 3 6" xfId="3555" xr:uid="{00000000-0005-0000-0000-000084130000}"/>
    <cellStyle name="Normal 10 6 3 4" xfId="3556" xr:uid="{00000000-0005-0000-0000-000085130000}"/>
    <cellStyle name="Normal 10 6 3 4 2" xfId="47466" xr:uid="{00000000-0005-0000-0000-000086130000}"/>
    <cellStyle name="Normal 10 6 3 4 3" xfId="47467" xr:uid="{00000000-0005-0000-0000-000087130000}"/>
    <cellStyle name="Normal 10 6 3 5" xfId="3557" xr:uid="{00000000-0005-0000-0000-000088130000}"/>
    <cellStyle name="Normal 10 6 3 5 2" xfId="47468" xr:uid="{00000000-0005-0000-0000-000089130000}"/>
    <cellStyle name="Normal 10 6 3 6" xfId="3558" xr:uid="{00000000-0005-0000-0000-00008A130000}"/>
    <cellStyle name="Normal 10 6 3 7" xfId="3559" xr:uid="{00000000-0005-0000-0000-00008B130000}"/>
    <cellStyle name="Normal 10 6 3 8" xfId="3560" xr:uid="{00000000-0005-0000-0000-00008C130000}"/>
    <cellStyle name="Normal 10 6 4" xfId="3561" xr:uid="{00000000-0005-0000-0000-00008D130000}"/>
    <cellStyle name="Normal 10 6 4 2" xfId="3562" xr:uid="{00000000-0005-0000-0000-00008E130000}"/>
    <cellStyle name="Normal 10 6 4 2 2" xfId="3563" xr:uid="{00000000-0005-0000-0000-00008F130000}"/>
    <cellStyle name="Normal 10 6 4 2 2 2" xfId="47469" xr:uid="{00000000-0005-0000-0000-000090130000}"/>
    <cellStyle name="Normal 10 6 4 2 2 3" xfId="47470" xr:uid="{00000000-0005-0000-0000-000091130000}"/>
    <cellStyle name="Normal 10 6 4 2 3" xfId="3564" xr:uid="{00000000-0005-0000-0000-000092130000}"/>
    <cellStyle name="Normal 10 6 4 2 3 2" xfId="47471" xr:uid="{00000000-0005-0000-0000-000093130000}"/>
    <cellStyle name="Normal 10 6 4 2 4" xfId="3565" xr:uid="{00000000-0005-0000-0000-000094130000}"/>
    <cellStyle name="Normal 10 6 4 2 5" xfId="3566" xr:uid="{00000000-0005-0000-0000-000095130000}"/>
    <cellStyle name="Normal 10 6 4 2 6" xfId="3567" xr:uid="{00000000-0005-0000-0000-000096130000}"/>
    <cellStyle name="Normal 10 6 4 3" xfId="3568" xr:uid="{00000000-0005-0000-0000-000097130000}"/>
    <cellStyle name="Normal 10 6 4 3 2" xfId="47472" xr:uid="{00000000-0005-0000-0000-000098130000}"/>
    <cellStyle name="Normal 10 6 4 3 3" xfId="47473" xr:uid="{00000000-0005-0000-0000-000099130000}"/>
    <cellStyle name="Normal 10 6 4 4" xfId="3569" xr:uid="{00000000-0005-0000-0000-00009A130000}"/>
    <cellStyle name="Normal 10 6 4 4 2" xfId="47474" xr:uid="{00000000-0005-0000-0000-00009B130000}"/>
    <cellStyle name="Normal 10 6 4 5" xfId="3570" xr:uid="{00000000-0005-0000-0000-00009C130000}"/>
    <cellStyle name="Normal 10 6 4 6" xfId="3571" xr:uid="{00000000-0005-0000-0000-00009D130000}"/>
    <cellStyle name="Normal 10 6 4 7" xfId="3572" xr:uid="{00000000-0005-0000-0000-00009E130000}"/>
    <cellStyle name="Normal 10 6 5" xfId="3573" xr:uid="{00000000-0005-0000-0000-00009F130000}"/>
    <cellStyle name="Normal 10 6 5 2" xfId="3574" xr:uid="{00000000-0005-0000-0000-0000A0130000}"/>
    <cellStyle name="Normal 10 6 5 2 2" xfId="47475" xr:uid="{00000000-0005-0000-0000-0000A1130000}"/>
    <cellStyle name="Normal 10 6 5 2 3" xfId="47476" xr:uid="{00000000-0005-0000-0000-0000A2130000}"/>
    <cellStyle name="Normal 10 6 5 3" xfId="3575" xr:uid="{00000000-0005-0000-0000-0000A3130000}"/>
    <cellStyle name="Normal 10 6 5 3 2" xfId="47477" xr:uid="{00000000-0005-0000-0000-0000A4130000}"/>
    <cellStyle name="Normal 10 6 5 4" xfId="3576" xr:uid="{00000000-0005-0000-0000-0000A5130000}"/>
    <cellStyle name="Normal 10 6 5 5" xfId="3577" xr:uid="{00000000-0005-0000-0000-0000A6130000}"/>
    <cellStyle name="Normal 10 6 5 6" xfId="3578" xr:uid="{00000000-0005-0000-0000-0000A7130000}"/>
    <cellStyle name="Normal 10 6 6" xfId="3579" xr:uid="{00000000-0005-0000-0000-0000A8130000}"/>
    <cellStyle name="Normal 10 6 6 2" xfId="47478" xr:uid="{00000000-0005-0000-0000-0000A9130000}"/>
    <cellStyle name="Normal 10 6 7" xfId="3580" xr:uid="{00000000-0005-0000-0000-0000AA130000}"/>
    <cellStyle name="Normal 10 6 8" xfId="3581" xr:uid="{00000000-0005-0000-0000-0000AB130000}"/>
    <cellStyle name="Normal 10 6 9" xfId="3582" xr:uid="{00000000-0005-0000-0000-0000AC130000}"/>
    <cellStyle name="Normal 10 7" xfId="3583" xr:uid="{00000000-0005-0000-0000-0000AD130000}"/>
    <cellStyle name="Normal 10 7 10" xfId="3584" xr:uid="{00000000-0005-0000-0000-0000AE130000}"/>
    <cellStyle name="Normal 10 7 11" xfId="3585" xr:uid="{00000000-0005-0000-0000-0000AF130000}"/>
    <cellStyle name="Normal 10 7 12" xfId="3586" xr:uid="{00000000-0005-0000-0000-0000B0130000}"/>
    <cellStyle name="Normal 10 7 13" xfId="3587" xr:uid="{00000000-0005-0000-0000-0000B1130000}"/>
    <cellStyle name="Normal 10 7 14" xfId="3588" xr:uid="{00000000-0005-0000-0000-0000B2130000}"/>
    <cellStyle name="Normal 10 7 2" xfId="3589" xr:uid="{00000000-0005-0000-0000-0000B3130000}"/>
    <cellStyle name="Normal 10 7 2 2" xfId="3590" xr:uid="{00000000-0005-0000-0000-0000B4130000}"/>
    <cellStyle name="Normal 10 7 2 2 2" xfId="3591" xr:uid="{00000000-0005-0000-0000-0000B5130000}"/>
    <cellStyle name="Normal 10 7 2 2 2 2" xfId="3592" xr:uid="{00000000-0005-0000-0000-0000B6130000}"/>
    <cellStyle name="Normal 10 7 2 2 2 2 2" xfId="47479" xr:uid="{00000000-0005-0000-0000-0000B7130000}"/>
    <cellStyle name="Normal 10 7 2 2 2 2 3" xfId="47480" xr:uid="{00000000-0005-0000-0000-0000B8130000}"/>
    <cellStyle name="Normal 10 7 2 2 2 3" xfId="3593" xr:uid="{00000000-0005-0000-0000-0000B9130000}"/>
    <cellStyle name="Normal 10 7 2 2 2 3 2" xfId="47481" xr:uid="{00000000-0005-0000-0000-0000BA130000}"/>
    <cellStyle name="Normal 10 7 2 2 2 4" xfId="3594" xr:uid="{00000000-0005-0000-0000-0000BB130000}"/>
    <cellStyle name="Normal 10 7 2 2 2 5" xfId="3595" xr:uid="{00000000-0005-0000-0000-0000BC130000}"/>
    <cellStyle name="Normal 10 7 2 2 2 6" xfId="3596" xr:uid="{00000000-0005-0000-0000-0000BD130000}"/>
    <cellStyle name="Normal 10 7 2 2 3" xfId="3597" xr:uid="{00000000-0005-0000-0000-0000BE130000}"/>
    <cellStyle name="Normal 10 7 2 2 3 2" xfId="47482" xr:uid="{00000000-0005-0000-0000-0000BF130000}"/>
    <cellStyle name="Normal 10 7 2 2 3 3" xfId="47483" xr:uid="{00000000-0005-0000-0000-0000C0130000}"/>
    <cellStyle name="Normal 10 7 2 2 4" xfId="3598" xr:uid="{00000000-0005-0000-0000-0000C1130000}"/>
    <cellStyle name="Normal 10 7 2 2 4 2" xfId="47484" xr:uid="{00000000-0005-0000-0000-0000C2130000}"/>
    <cellStyle name="Normal 10 7 2 2 5" xfId="3599" xr:uid="{00000000-0005-0000-0000-0000C3130000}"/>
    <cellStyle name="Normal 10 7 2 2 6" xfId="3600" xr:uid="{00000000-0005-0000-0000-0000C4130000}"/>
    <cellStyle name="Normal 10 7 2 2 7" xfId="3601" xr:uid="{00000000-0005-0000-0000-0000C5130000}"/>
    <cellStyle name="Normal 10 7 2 3" xfId="3602" xr:uid="{00000000-0005-0000-0000-0000C6130000}"/>
    <cellStyle name="Normal 10 7 2 3 2" xfId="3603" xr:uid="{00000000-0005-0000-0000-0000C7130000}"/>
    <cellStyle name="Normal 10 7 2 3 2 2" xfId="47485" xr:uid="{00000000-0005-0000-0000-0000C8130000}"/>
    <cellStyle name="Normal 10 7 2 3 2 3" xfId="47486" xr:uid="{00000000-0005-0000-0000-0000C9130000}"/>
    <cellStyle name="Normal 10 7 2 3 3" xfId="3604" xr:uid="{00000000-0005-0000-0000-0000CA130000}"/>
    <cellStyle name="Normal 10 7 2 3 3 2" xfId="47487" xr:uid="{00000000-0005-0000-0000-0000CB130000}"/>
    <cellStyle name="Normal 10 7 2 3 4" xfId="3605" xr:uid="{00000000-0005-0000-0000-0000CC130000}"/>
    <cellStyle name="Normal 10 7 2 3 5" xfId="3606" xr:uid="{00000000-0005-0000-0000-0000CD130000}"/>
    <cellStyle name="Normal 10 7 2 3 6" xfId="3607" xr:uid="{00000000-0005-0000-0000-0000CE130000}"/>
    <cellStyle name="Normal 10 7 2 4" xfId="3608" xr:uid="{00000000-0005-0000-0000-0000CF130000}"/>
    <cellStyle name="Normal 10 7 2 4 2" xfId="47488" xr:uid="{00000000-0005-0000-0000-0000D0130000}"/>
    <cellStyle name="Normal 10 7 2 4 3" xfId="47489" xr:uid="{00000000-0005-0000-0000-0000D1130000}"/>
    <cellStyle name="Normal 10 7 2 5" xfId="3609" xr:uid="{00000000-0005-0000-0000-0000D2130000}"/>
    <cellStyle name="Normal 10 7 2 5 2" xfId="47490" xr:uid="{00000000-0005-0000-0000-0000D3130000}"/>
    <cellStyle name="Normal 10 7 2 6" xfId="3610" xr:uid="{00000000-0005-0000-0000-0000D4130000}"/>
    <cellStyle name="Normal 10 7 2 7" xfId="3611" xr:uid="{00000000-0005-0000-0000-0000D5130000}"/>
    <cellStyle name="Normal 10 7 2 8" xfId="3612" xr:uid="{00000000-0005-0000-0000-0000D6130000}"/>
    <cellStyle name="Normal 10 7 2 9" xfId="3613" xr:uid="{00000000-0005-0000-0000-0000D7130000}"/>
    <cellStyle name="Normal 10 7 3" xfId="3614" xr:uid="{00000000-0005-0000-0000-0000D8130000}"/>
    <cellStyle name="Normal 10 7 3 2" xfId="3615" xr:uid="{00000000-0005-0000-0000-0000D9130000}"/>
    <cellStyle name="Normal 10 7 3 2 2" xfId="3616" xr:uid="{00000000-0005-0000-0000-0000DA130000}"/>
    <cellStyle name="Normal 10 7 3 2 2 2" xfId="3617" xr:uid="{00000000-0005-0000-0000-0000DB130000}"/>
    <cellStyle name="Normal 10 7 3 2 2 2 2" xfId="47491" xr:uid="{00000000-0005-0000-0000-0000DC130000}"/>
    <cellStyle name="Normal 10 7 3 2 2 2 3" xfId="47492" xr:uid="{00000000-0005-0000-0000-0000DD130000}"/>
    <cellStyle name="Normal 10 7 3 2 2 3" xfId="3618" xr:uid="{00000000-0005-0000-0000-0000DE130000}"/>
    <cellStyle name="Normal 10 7 3 2 2 3 2" xfId="47493" xr:uid="{00000000-0005-0000-0000-0000DF130000}"/>
    <cellStyle name="Normal 10 7 3 2 2 4" xfId="3619" xr:uid="{00000000-0005-0000-0000-0000E0130000}"/>
    <cellStyle name="Normal 10 7 3 2 2 5" xfId="3620" xr:uid="{00000000-0005-0000-0000-0000E1130000}"/>
    <cellStyle name="Normal 10 7 3 2 2 6" xfId="3621" xr:uid="{00000000-0005-0000-0000-0000E2130000}"/>
    <cellStyle name="Normal 10 7 3 2 3" xfId="3622" xr:uid="{00000000-0005-0000-0000-0000E3130000}"/>
    <cellStyle name="Normal 10 7 3 2 3 2" xfId="47494" xr:uid="{00000000-0005-0000-0000-0000E4130000}"/>
    <cellStyle name="Normal 10 7 3 2 3 3" xfId="47495" xr:uid="{00000000-0005-0000-0000-0000E5130000}"/>
    <cellStyle name="Normal 10 7 3 2 4" xfId="3623" xr:uid="{00000000-0005-0000-0000-0000E6130000}"/>
    <cellStyle name="Normal 10 7 3 2 4 2" xfId="47496" xr:uid="{00000000-0005-0000-0000-0000E7130000}"/>
    <cellStyle name="Normal 10 7 3 2 5" xfId="3624" xr:uid="{00000000-0005-0000-0000-0000E8130000}"/>
    <cellStyle name="Normal 10 7 3 2 6" xfId="3625" xr:uid="{00000000-0005-0000-0000-0000E9130000}"/>
    <cellStyle name="Normal 10 7 3 2 7" xfId="3626" xr:uid="{00000000-0005-0000-0000-0000EA130000}"/>
    <cellStyle name="Normal 10 7 3 3" xfId="3627" xr:uid="{00000000-0005-0000-0000-0000EB130000}"/>
    <cellStyle name="Normal 10 7 3 3 2" xfId="3628" xr:uid="{00000000-0005-0000-0000-0000EC130000}"/>
    <cellStyle name="Normal 10 7 3 3 2 2" xfId="47497" xr:uid="{00000000-0005-0000-0000-0000ED130000}"/>
    <cellStyle name="Normal 10 7 3 3 2 3" xfId="47498" xr:uid="{00000000-0005-0000-0000-0000EE130000}"/>
    <cellStyle name="Normal 10 7 3 3 3" xfId="3629" xr:uid="{00000000-0005-0000-0000-0000EF130000}"/>
    <cellStyle name="Normal 10 7 3 3 3 2" xfId="47499" xr:uid="{00000000-0005-0000-0000-0000F0130000}"/>
    <cellStyle name="Normal 10 7 3 3 4" xfId="3630" xr:uid="{00000000-0005-0000-0000-0000F1130000}"/>
    <cellStyle name="Normal 10 7 3 3 5" xfId="3631" xr:uid="{00000000-0005-0000-0000-0000F2130000}"/>
    <cellStyle name="Normal 10 7 3 3 6" xfId="3632" xr:uid="{00000000-0005-0000-0000-0000F3130000}"/>
    <cellStyle name="Normal 10 7 3 4" xfId="3633" xr:uid="{00000000-0005-0000-0000-0000F4130000}"/>
    <cellStyle name="Normal 10 7 3 4 2" xfId="47500" xr:uid="{00000000-0005-0000-0000-0000F5130000}"/>
    <cellStyle name="Normal 10 7 3 4 3" xfId="47501" xr:uid="{00000000-0005-0000-0000-0000F6130000}"/>
    <cellStyle name="Normal 10 7 3 5" xfId="3634" xr:uid="{00000000-0005-0000-0000-0000F7130000}"/>
    <cellStyle name="Normal 10 7 3 5 2" xfId="47502" xr:uid="{00000000-0005-0000-0000-0000F8130000}"/>
    <cellStyle name="Normal 10 7 3 6" xfId="3635" xr:uid="{00000000-0005-0000-0000-0000F9130000}"/>
    <cellStyle name="Normal 10 7 3 7" xfId="3636" xr:uid="{00000000-0005-0000-0000-0000FA130000}"/>
    <cellStyle name="Normal 10 7 3 8" xfId="3637" xr:uid="{00000000-0005-0000-0000-0000FB130000}"/>
    <cellStyle name="Normal 10 7 4" xfId="3638" xr:uid="{00000000-0005-0000-0000-0000FC130000}"/>
    <cellStyle name="Normal 10 7 4 2" xfId="3639" xr:uid="{00000000-0005-0000-0000-0000FD130000}"/>
    <cellStyle name="Normal 10 7 4 2 2" xfId="3640" xr:uid="{00000000-0005-0000-0000-0000FE130000}"/>
    <cellStyle name="Normal 10 7 4 2 2 2" xfId="47503" xr:uid="{00000000-0005-0000-0000-0000FF130000}"/>
    <cellStyle name="Normal 10 7 4 2 2 3" xfId="47504" xr:uid="{00000000-0005-0000-0000-000000140000}"/>
    <cellStyle name="Normal 10 7 4 2 3" xfId="3641" xr:uid="{00000000-0005-0000-0000-000001140000}"/>
    <cellStyle name="Normal 10 7 4 2 3 2" xfId="47505" xr:uid="{00000000-0005-0000-0000-000002140000}"/>
    <cellStyle name="Normal 10 7 4 2 4" xfId="3642" xr:uid="{00000000-0005-0000-0000-000003140000}"/>
    <cellStyle name="Normal 10 7 4 2 5" xfId="3643" xr:uid="{00000000-0005-0000-0000-000004140000}"/>
    <cellStyle name="Normal 10 7 4 2 6" xfId="3644" xr:uid="{00000000-0005-0000-0000-000005140000}"/>
    <cellStyle name="Normal 10 7 4 3" xfId="3645" xr:uid="{00000000-0005-0000-0000-000006140000}"/>
    <cellStyle name="Normal 10 7 4 3 2" xfId="47506" xr:uid="{00000000-0005-0000-0000-000007140000}"/>
    <cellStyle name="Normal 10 7 4 3 3" xfId="47507" xr:uid="{00000000-0005-0000-0000-000008140000}"/>
    <cellStyle name="Normal 10 7 4 4" xfId="3646" xr:uid="{00000000-0005-0000-0000-000009140000}"/>
    <cellStyle name="Normal 10 7 4 4 2" xfId="47508" xr:uid="{00000000-0005-0000-0000-00000A140000}"/>
    <cellStyle name="Normal 10 7 4 5" xfId="3647" xr:uid="{00000000-0005-0000-0000-00000B140000}"/>
    <cellStyle name="Normal 10 7 4 6" xfId="3648" xr:uid="{00000000-0005-0000-0000-00000C140000}"/>
    <cellStyle name="Normal 10 7 4 7" xfId="3649" xr:uid="{00000000-0005-0000-0000-00000D140000}"/>
    <cellStyle name="Normal 10 7 5" xfId="3650" xr:uid="{00000000-0005-0000-0000-00000E140000}"/>
    <cellStyle name="Normal 10 7 5 2" xfId="3651" xr:uid="{00000000-0005-0000-0000-00000F140000}"/>
    <cellStyle name="Normal 10 7 5 2 2" xfId="47509" xr:uid="{00000000-0005-0000-0000-000010140000}"/>
    <cellStyle name="Normal 10 7 5 2 3" xfId="47510" xr:uid="{00000000-0005-0000-0000-000011140000}"/>
    <cellStyle name="Normal 10 7 5 3" xfId="3652" xr:uid="{00000000-0005-0000-0000-000012140000}"/>
    <cellStyle name="Normal 10 7 5 3 2" xfId="47511" xr:uid="{00000000-0005-0000-0000-000013140000}"/>
    <cellStyle name="Normal 10 7 5 4" xfId="3653" xr:uid="{00000000-0005-0000-0000-000014140000}"/>
    <cellStyle name="Normal 10 7 5 5" xfId="3654" xr:uid="{00000000-0005-0000-0000-000015140000}"/>
    <cellStyle name="Normal 10 7 5 6" xfId="3655" xr:uid="{00000000-0005-0000-0000-000016140000}"/>
    <cellStyle name="Normal 10 7 6" xfId="3656" xr:uid="{00000000-0005-0000-0000-000017140000}"/>
    <cellStyle name="Normal 10 7 6 2" xfId="47512" xr:uid="{00000000-0005-0000-0000-000018140000}"/>
    <cellStyle name="Normal 10 7 6 3" xfId="47513" xr:uid="{00000000-0005-0000-0000-000019140000}"/>
    <cellStyle name="Normal 10 7 7" xfId="3657" xr:uid="{00000000-0005-0000-0000-00001A140000}"/>
    <cellStyle name="Normal 10 7 7 2" xfId="47514" xr:uid="{00000000-0005-0000-0000-00001B140000}"/>
    <cellStyle name="Normal 10 7 8" xfId="3658" xr:uid="{00000000-0005-0000-0000-00001C140000}"/>
    <cellStyle name="Normal 10 7 9" xfId="3659" xr:uid="{00000000-0005-0000-0000-00001D140000}"/>
    <cellStyle name="Normal 10 8" xfId="3660" xr:uid="{00000000-0005-0000-0000-00001E140000}"/>
    <cellStyle name="Normal 10 8 10" xfId="3661" xr:uid="{00000000-0005-0000-0000-00001F140000}"/>
    <cellStyle name="Normal 10 8 11" xfId="3662" xr:uid="{00000000-0005-0000-0000-000020140000}"/>
    <cellStyle name="Normal 10 8 12" xfId="3663" xr:uid="{00000000-0005-0000-0000-000021140000}"/>
    <cellStyle name="Normal 10 8 13" xfId="3664" xr:uid="{00000000-0005-0000-0000-000022140000}"/>
    <cellStyle name="Normal 10 8 2" xfId="3665" xr:uid="{00000000-0005-0000-0000-000023140000}"/>
    <cellStyle name="Normal 10 8 2 2" xfId="3666" xr:uid="{00000000-0005-0000-0000-000024140000}"/>
    <cellStyle name="Normal 10 8 2 2 2" xfId="3667" xr:uid="{00000000-0005-0000-0000-000025140000}"/>
    <cellStyle name="Normal 10 8 2 2 2 2" xfId="3668" xr:uid="{00000000-0005-0000-0000-000026140000}"/>
    <cellStyle name="Normal 10 8 2 2 2 2 2" xfId="47515" xr:uid="{00000000-0005-0000-0000-000027140000}"/>
    <cellStyle name="Normal 10 8 2 2 2 2 3" xfId="47516" xr:uid="{00000000-0005-0000-0000-000028140000}"/>
    <cellStyle name="Normal 10 8 2 2 2 3" xfId="3669" xr:uid="{00000000-0005-0000-0000-000029140000}"/>
    <cellStyle name="Normal 10 8 2 2 2 3 2" xfId="47517" xr:uid="{00000000-0005-0000-0000-00002A140000}"/>
    <cellStyle name="Normal 10 8 2 2 2 4" xfId="3670" xr:uid="{00000000-0005-0000-0000-00002B140000}"/>
    <cellStyle name="Normal 10 8 2 2 2 5" xfId="3671" xr:uid="{00000000-0005-0000-0000-00002C140000}"/>
    <cellStyle name="Normal 10 8 2 2 2 6" xfId="3672" xr:uid="{00000000-0005-0000-0000-00002D140000}"/>
    <cellStyle name="Normal 10 8 2 2 3" xfId="3673" xr:uid="{00000000-0005-0000-0000-00002E140000}"/>
    <cellStyle name="Normal 10 8 2 2 3 2" xfId="47518" xr:uid="{00000000-0005-0000-0000-00002F140000}"/>
    <cellStyle name="Normal 10 8 2 2 3 3" xfId="47519" xr:uid="{00000000-0005-0000-0000-000030140000}"/>
    <cellStyle name="Normal 10 8 2 2 4" xfId="3674" xr:uid="{00000000-0005-0000-0000-000031140000}"/>
    <cellStyle name="Normal 10 8 2 2 4 2" xfId="47520" xr:uid="{00000000-0005-0000-0000-000032140000}"/>
    <cellStyle name="Normal 10 8 2 2 5" xfId="3675" xr:uid="{00000000-0005-0000-0000-000033140000}"/>
    <cellStyle name="Normal 10 8 2 2 6" xfId="3676" xr:uid="{00000000-0005-0000-0000-000034140000}"/>
    <cellStyle name="Normal 10 8 2 2 7" xfId="3677" xr:uid="{00000000-0005-0000-0000-000035140000}"/>
    <cellStyle name="Normal 10 8 2 3" xfId="3678" xr:uid="{00000000-0005-0000-0000-000036140000}"/>
    <cellStyle name="Normal 10 8 2 3 2" xfId="3679" xr:uid="{00000000-0005-0000-0000-000037140000}"/>
    <cellStyle name="Normal 10 8 2 3 2 2" xfId="47521" xr:uid="{00000000-0005-0000-0000-000038140000}"/>
    <cellStyle name="Normal 10 8 2 3 2 3" xfId="47522" xr:uid="{00000000-0005-0000-0000-000039140000}"/>
    <cellStyle name="Normal 10 8 2 3 3" xfId="3680" xr:uid="{00000000-0005-0000-0000-00003A140000}"/>
    <cellStyle name="Normal 10 8 2 3 3 2" xfId="47523" xr:uid="{00000000-0005-0000-0000-00003B140000}"/>
    <cellStyle name="Normal 10 8 2 3 4" xfId="3681" xr:uid="{00000000-0005-0000-0000-00003C140000}"/>
    <cellStyle name="Normal 10 8 2 3 5" xfId="3682" xr:uid="{00000000-0005-0000-0000-00003D140000}"/>
    <cellStyle name="Normal 10 8 2 3 6" xfId="3683" xr:uid="{00000000-0005-0000-0000-00003E140000}"/>
    <cellStyle name="Normal 10 8 2 4" xfId="3684" xr:uid="{00000000-0005-0000-0000-00003F140000}"/>
    <cellStyle name="Normal 10 8 2 4 2" xfId="47524" xr:uid="{00000000-0005-0000-0000-000040140000}"/>
    <cellStyle name="Normal 10 8 2 4 3" xfId="47525" xr:uid="{00000000-0005-0000-0000-000041140000}"/>
    <cellStyle name="Normal 10 8 2 5" xfId="3685" xr:uid="{00000000-0005-0000-0000-000042140000}"/>
    <cellStyle name="Normal 10 8 2 5 2" xfId="47526" xr:uid="{00000000-0005-0000-0000-000043140000}"/>
    <cellStyle name="Normal 10 8 2 6" xfId="3686" xr:uid="{00000000-0005-0000-0000-000044140000}"/>
    <cellStyle name="Normal 10 8 2 7" xfId="3687" xr:uid="{00000000-0005-0000-0000-000045140000}"/>
    <cellStyle name="Normal 10 8 2 8" xfId="3688" xr:uid="{00000000-0005-0000-0000-000046140000}"/>
    <cellStyle name="Normal 10 8 2 9" xfId="3689" xr:uid="{00000000-0005-0000-0000-000047140000}"/>
    <cellStyle name="Normal 10 8 3" xfId="3690" xr:uid="{00000000-0005-0000-0000-000048140000}"/>
    <cellStyle name="Normal 10 8 3 2" xfId="3691" xr:uid="{00000000-0005-0000-0000-000049140000}"/>
    <cellStyle name="Normal 10 8 3 2 2" xfId="3692" xr:uid="{00000000-0005-0000-0000-00004A140000}"/>
    <cellStyle name="Normal 10 8 3 2 2 2" xfId="47527" xr:uid="{00000000-0005-0000-0000-00004B140000}"/>
    <cellStyle name="Normal 10 8 3 2 2 3" xfId="47528" xr:uid="{00000000-0005-0000-0000-00004C140000}"/>
    <cellStyle name="Normal 10 8 3 2 3" xfId="3693" xr:uid="{00000000-0005-0000-0000-00004D140000}"/>
    <cellStyle name="Normal 10 8 3 2 3 2" xfId="47529" xr:uid="{00000000-0005-0000-0000-00004E140000}"/>
    <cellStyle name="Normal 10 8 3 2 4" xfId="3694" xr:uid="{00000000-0005-0000-0000-00004F140000}"/>
    <cellStyle name="Normal 10 8 3 2 5" xfId="3695" xr:uid="{00000000-0005-0000-0000-000050140000}"/>
    <cellStyle name="Normal 10 8 3 2 6" xfId="3696" xr:uid="{00000000-0005-0000-0000-000051140000}"/>
    <cellStyle name="Normal 10 8 3 3" xfId="3697" xr:uid="{00000000-0005-0000-0000-000052140000}"/>
    <cellStyle name="Normal 10 8 3 3 2" xfId="47530" xr:uid="{00000000-0005-0000-0000-000053140000}"/>
    <cellStyle name="Normal 10 8 3 3 3" xfId="47531" xr:uid="{00000000-0005-0000-0000-000054140000}"/>
    <cellStyle name="Normal 10 8 3 4" xfId="3698" xr:uid="{00000000-0005-0000-0000-000055140000}"/>
    <cellStyle name="Normal 10 8 3 4 2" xfId="47532" xr:uid="{00000000-0005-0000-0000-000056140000}"/>
    <cellStyle name="Normal 10 8 3 5" xfId="3699" xr:uid="{00000000-0005-0000-0000-000057140000}"/>
    <cellStyle name="Normal 10 8 3 6" xfId="3700" xr:uid="{00000000-0005-0000-0000-000058140000}"/>
    <cellStyle name="Normal 10 8 3 7" xfId="3701" xr:uid="{00000000-0005-0000-0000-000059140000}"/>
    <cellStyle name="Normal 10 8 4" xfId="3702" xr:uid="{00000000-0005-0000-0000-00005A140000}"/>
    <cellStyle name="Normal 10 8 4 2" xfId="3703" xr:uid="{00000000-0005-0000-0000-00005B140000}"/>
    <cellStyle name="Normal 10 8 4 2 2" xfId="47533" xr:uid="{00000000-0005-0000-0000-00005C140000}"/>
    <cellStyle name="Normal 10 8 4 2 3" xfId="47534" xr:uid="{00000000-0005-0000-0000-00005D140000}"/>
    <cellStyle name="Normal 10 8 4 3" xfId="3704" xr:uid="{00000000-0005-0000-0000-00005E140000}"/>
    <cellStyle name="Normal 10 8 4 3 2" xfId="47535" xr:uid="{00000000-0005-0000-0000-00005F140000}"/>
    <cellStyle name="Normal 10 8 4 4" xfId="3705" xr:uid="{00000000-0005-0000-0000-000060140000}"/>
    <cellStyle name="Normal 10 8 4 5" xfId="3706" xr:uid="{00000000-0005-0000-0000-000061140000}"/>
    <cellStyle name="Normal 10 8 4 6" xfId="3707" xr:uid="{00000000-0005-0000-0000-000062140000}"/>
    <cellStyle name="Normal 10 8 5" xfId="3708" xr:uid="{00000000-0005-0000-0000-000063140000}"/>
    <cellStyle name="Normal 10 8 5 2" xfId="47536" xr:uid="{00000000-0005-0000-0000-000064140000}"/>
    <cellStyle name="Normal 10 8 5 3" xfId="47537" xr:uid="{00000000-0005-0000-0000-000065140000}"/>
    <cellStyle name="Normal 10 8 6" xfId="3709" xr:uid="{00000000-0005-0000-0000-000066140000}"/>
    <cellStyle name="Normal 10 8 6 2" xfId="47538" xr:uid="{00000000-0005-0000-0000-000067140000}"/>
    <cellStyle name="Normal 10 8 7" xfId="3710" xr:uid="{00000000-0005-0000-0000-000068140000}"/>
    <cellStyle name="Normal 10 8 8" xfId="3711" xr:uid="{00000000-0005-0000-0000-000069140000}"/>
    <cellStyle name="Normal 10 8 9" xfId="3712" xr:uid="{00000000-0005-0000-0000-00006A140000}"/>
    <cellStyle name="Normal 10 9" xfId="3713" xr:uid="{00000000-0005-0000-0000-00006B140000}"/>
    <cellStyle name="Normal 10 9 2" xfId="3714" xr:uid="{00000000-0005-0000-0000-00006C140000}"/>
    <cellStyle name="Normal 10 9 2 2" xfId="3715" xr:uid="{00000000-0005-0000-0000-00006D140000}"/>
    <cellStyle name="Normal 10 9 2 2 2" xfId="3716" xr:uid="{00000000-0005-0000-0000-00006E140000}"/>
    <cellStyle name="Normal 10 9 2 2 2 2" xfId="47539" xr:uid="{00000000-0005-0000-0000-00006F140000}"/>
    <cellStyle name="Normal 10 9 2 2 2 3" xfId="47540" xr:uid="{00000000-0005-0000-0000-000070140000}"/>
    <cellStyle name="Normal 10 9 2 2 3" xfId="3717" xr:uid="{00000000-0005-0000-0000-000071140000}"/>
    <cellStyle name="Normal 10 9 2 2 3 2" xfId="47541" xr:uid="{00000000-0005-0000-0000-000072140000}"/>
    <cellStyle name="Normal 10 9 2 2 4" xfId="3718" xr:uid="{00000000-0005-0000-0000-000073140000}"/>
    <cellStyle name="Normal 10 9 2 2 5" xfId="3719" xr:uid="{00000000-0005-0000-0000-000074140000}"/>
    <cellStyle name="Normal 10 9 2 2 6" xfId="3720" xr:uid="{00000000-0005-0000-0000-000075140000}"/>
    <cellStyle name="Normal 10 9 2 3" xfId="3721" xr:uid="{00000000-0005-0000-0000-000076140000}"/>
    <cellStyle name="Normal 10 9 2 3 2" xfId="47542" xr:uid="{00000000-0005-0000-0000-000077140000}"/>
    <cellStyle name="Normal 10 9 2 3 3" xfId="47543" xr:uid="{00000000-0005-0000-0000-000078140000}"/>
    <cellStyle name="Normal 10 9 2 4" xfId="3722" xr:uid="{00000000-0005-0000-0000-000079140000}"/>
    <cellStyle name="Normal 10 9 2 4 2" xfId="47544" xr:uid="{00000000-0005-0000-0000-00007A140000}"/>
    <cellStyle name="Normal 10 9 2 5" xfId="3723" xr:uid="{00000000-0005-0000-0000-00007B140000}"/>
    <cellStyle name="Normal 10 9 2 6" xfId="3724" xr:uid="{00000000-0005-0000-0000-00007C140000}"/>
    <cellStyle name="Normal 10 9 2 7" xfId="3725" xr:uid="{00000000-0005-0000-0000-00007D140000}"/>
    <cellStyle name="Normal 10 9 3" xfId="3726" xr:uid="{00000000-0005-0000-0000-00007E140000}"/>
    <cellStyle name="Normal 10 9 3 2" xfId="3727" xr:uid="{00000000-0005-0000-0000-00007F140000}"/>
    <cellStyle name="Normal 10 9 3 2 2" xfId="47545" xr:uid="{00000000-0005-0000-0000-000080140000}"/>
    <cellStyle name="Normal 10 9 3 2 3" xfId="47546" xr:uid="{00000000-0005-0000-0000-000081140000}"/>
    <cellStyle name="Normal 10 9 3 3" xfId="3728" xr:uid="{00000000-0005-0000-0000-000082140000}"/>
    <cellStyle name="Normal 10 9 3 3 2" xfId="47547" xr:uid="{00000000-0005-0000-0000-000083140000}"/>
    <cellStyle name="Normal 10 9 3 4" xfId="3729" xr:uid="{00000000-0005-0000-0000-000084140000}"/>
    <cellStyle name="Normal 10 9 3 5" xfId="3730" xr:uid="{00000000-0005-0000-0000-000085140000}"/>
    <cellStyle name="Normal 10 9 3 6" xfId="3731" xr:uid="{00000000-0005-0000-0000-000086140000}"/>
    <cellStyle name="Normal 10 9 4" xfId="3732" xr:uid="{00000000-0005-0000-0000-000087140000}"/>
    <cellStyle name="Normal 10 9 4 2" xfId="47548" xr:uid="{00000000-0005-0000-0000-000088140000}"/>
    <cellStyle name="Normal 10 9 4 3" xfId="47549" xr:uid="{00000000-0005-0000-0000-000089140000}"/>
    <cellStyle name="Normal 10 9 5" xfId="3733" xr:uid="{00000000-0005-0000-0000-00008A140000}"/>
    <cellStyle name="Normal 10 9 5 2" xfId="47550" xr:uid="{00000000-0005-0000-0000-00008B140000}"/>
    <cellStyle name="Normal 10 9 6" xfId="3734" xr:uid="{00000000-0005-0000-0000-00008C140000}"/>
    <cellStyle name="Normal 10 9 7" xfId="3735" xr:uid="{00000000-0005-0000-0000-00008D140000}"/>
    <cellStyle name="Normal 10 9 8" xfId="3736" xr:uid="{00000000-0005-0000-0000-00008E140000}"/>
    <cellStyle name="Normal 10 9 9" xfId="3737" xr:uid="{00000000-0005-0000-0000-00008F140000}"/>
    <cellStyle name="Normal 100" xfId="3738" xr:uid="{00000000-0005-0000-0000-000090140000}"/>
    <cellStyle name="Normal 100 10" xfId="3739" xr:uid="{00000000-0005-0000-0000-000091140000}"/>
    <cellStyle name="Normal 100 10 2" xfId="3740" xr:uid="{00000000-0005-0000-0000-000092140000}"/>
    <cellStyle name="Normal 100 11" xfId="3741" xr:uid="{00000000-0005-0000-0000-000093140000}"/>
    <cellStyle name="Normal 100 11 2" xfId="3742" xr:uid="{00000000-0005-0000-0000-000094140000}"/>
    <cellStyle name="Normal 100 12" xfId="3743" xr:uid="{00000000-0005-0000-0000-000095140000}"/>
    <cellStyle name="Normal 100 2" xfId="3744" xr:uid="{00000000-0005-0000-0000-000096140000}"/>
    <cellStyle name="Normal 100 2 10" xfId="3745" xr:uid="{00000000-0005-0000-0000-000097140000}"/>
    <cellStyle name="Normal 100 2 10 2" xfId="3746" xr:uid="{00000000-0005-0000-0000-000098140000}"/>
    <cellStyle name="Normal 100 2 11" xfId="3747" xr:uid="{00000000-0005-0000-0000-000099140000}"/>
    <cellStyle name="Normal 100 2 2" xfId="3748" xr:uid="{00000000-0005-0000-0000-00009A140000}"/>
    <cellStyle name="Normal 100 2 2 2" xfId="3749" xr:uid="{00000000-0005-0000-0000-00009B140000}"/>
    <cellStyle name="Normal 100 2 2 2 2" xfId="3750" xr:uid="{00000000-0005-0000-0000-00009C140000}"/>
    <cellStyle name="Normal 100 2 2 2 2 2" xfId="3751" xr:uid="{00000000-0005-0000-0000-00009D140000}"/>
    <cellStyle name="Normal 100 2 2 2 3" xfId="3752" xr:uid="{00000000-0005-0000-0000-00009E140000}"/>
    <cellStyle name="Normal 100 2 2 2 3 2" xfId="3753" xr:uid="{00000000-0005-0000-0000-00009F140000}"/>
    <cellStyle name="Normal 100 2 2 2 4" xfId="3754" xr:uid="{00000000-0005-0000-0000-0000A0140000}"/>
    <cellStyle name="Normal 100 2 2 3" xfId="3755" xr:uid="{00000000-0005-0000-0000-0000A1140000}"/>
    <cellStyle name="Normal 100 2 2 3 2" xfId="3756" xr:uid="{00000000-0005-0000-0000-0000A2140000}"/>
    <cellStyle name="Normal 100 2 2 3 2 2" xfId="3757" xr:uid="{00000000-0005-0000-0000-0000A3140000}"/>
    <cellStyle name="Normal 100 2 2 3 3" xfId="3758" xr:uid="{00000000-0005-0000-0000-0000A4140000}"/>
    <cellStyle name="Normal 100 2 2 3 3 2" xfId="3759" xr:uid="{00000000-0005-0000-0000-0000A5140000}"/>
    <cellStyle name="Normal 100 2 2 3 4" xfId="3760" xr:uid="{00000000-0005-0000-0000-0000A6140000}"/>
    <cellStyle name="Normal 100 2 2 4" xfId="3761" xr:uid="{00000000-0005-0000-0000-0000A7140000}"/>
    <cellStyle name="Normal 100 2 2 4 2" xfId="3762" xr:uid="{00000000-0005-0000-0000-0000A8140000}"/>
    <cellStyle name="Normal 100 2 2 5" xfId="3763" xr:uid="{00000000-0005-0000-0000-0000A9140000}"/>
    <cellStyle name="Normal 100 2 2 5 2" xfId="3764" xr:uid="{00000000-0005-0000-0000-0000AA140000}"/>
    <cellStyle name="Normal 100 2 2 6" xfId="3765" xr:uid="{00000000-0005-0000-0000-0000AB140000}"/>
    <cellStyle name="Normal 100 2 3" xfId="3766" xr:uid="{00000000-0005-0000-0000-0000AC140000}"/>
    <cellStyle name="Normal 100 2 3 2" xfId="3767" xr:uid="{00000000-0005-0000-0000-0000AD140000}"/>
    <cellStyle name="Normal 100 2 3 2 2" xfId="3768" xr:uid="{00000000-0005-0000-0000-0000AE140000}"/>
    <cellStyle name="Normal 100 2 3 3" xfId="3769" xr:uid="{00000000-0005-0000-0000-0000AF140000}"/>
    <cellStyle name="Normal 100 2 3 3 2" xfId="3770" xr:uid="{00000000-0005-0000-0000-0000B0140000}"/>
    <cellStyle name="Normal 100 2 3 4" xfId="3771" xr:uid="{00000000-0005-0000-0000-0000B1140000}"/>
    <cellStyle name="Normal 100 2 4" xfId="3772" xr:uid="{00000000-0005-0000-0000-0000B2140000}"/>
    <cellStyle name="Normal 100 2 4 2" xfId="3773" xr:uid="{00000000-0005-0000-0000-0000B3140000}"/>
    <cellStyle name="Normal 100 2 4 2 2" xfId="3774" xr:uid="{00000000-0005-0000-0000-0000B4140000}"/>
    <cellStyle name="Normal 100 2 4 3" xfId="3775" xr:uid="{00000000-0005-0000-0000-0000B5140000}"/>
    <cellStyle name="Normal 100 2 4 3 2" xfId="3776" xr:uid="{00000000-0005-0000-0000-0000B6140000}"/>
    <cellStyle name="Normal 100 2 4 4" xfId="3777" xr:uid="{00000000-0005-0000-0000-0000B7140000}"/>
    <cellStyle name="Normal 100 2 5" xfId="3778" xr:uid="{00000000-0005-0000-0000-0000B8140000}"/>
    <cellStyle name="Normal 100 2 5 2" xfId="3779" xr:uid="{00000000-0005-0000-0000-0000B9140000}"/>
    <cellStyle name="Normal 100 2 5 2 2" xfId="3780" xr:uid="{00000000-0005-0000-0000-0000BA140000}"/>
    <cellStyle name="Normal 100 2 5 3" xfId="3781" xr:uid="{00000000-0005-0000-0000-0000BB140000}"/>
    <cellStyle name="Normal 100 2 5 3 2" xfId="3782" xr:uid="{00000000-0005-0000-0000-0000BC140000}"/>
    <cellStyle name="Normal 100 2 5 4" xfId="3783" xr:uid="{00000000-0005-0000-0000-0000BD140000}"/>
    <cellStyle name="Normal 100 2 6" xfId="3784" xr:uid="{00000000-0005-0000-0000-0000BE140000}"/>
    <cellStyle name="Normal 100 2 6 2" xfId="3785" xr:uid="{00000000-0005-0000-0000-0000BF140000}"/>
    <cellStyle name="Normal 100 2 6 2 2" xfId="3786" xr:uid="{00000000-0005-0000-0000-0000C0140000}"/>
    <cellStyle name="Normal 100 2 6 3" xfId="3787" xr:uid="{00000000-0005-0000-0000-0000C1140000}"/>
    <cellStyle name="Normal 100 2 6 3 2" xfId="3788" xr:uid="{00000000-0005-0000-0000-0000C2140000}"/>
    <cellStyle name="Normal 100 2 6 4" xfId="3789" xr:uid="{00000000-0005-0000-0000-0000C3140000}"/>
    <cellStyle name="Normal 100 2 7" xfId="3790" xr:uid="{00000000-0005-0000-0000-0000C4140000}"/>
    <cellStyle name="Normal 100 2 7 2" xfId="3791" xr:uid="{00000000-0005-0000-0000-0000C5140000}"/>
    <cellStyle name="Normal 100 2 7 2 2" xfId="3792" xr:uid="{00000000-0005-0000-0000-0000C6140000}"/>
    <cellStyle name="Normal 100 2 7 3" xfId="3793" xr:uid="{00000000-0005-0000-0000-0000C7140000}"/>
    <cellStyle name="Normal 100 2 7 3 2" xfId="3794" xr:uid="{00000000-0005-0000-0000-0000C8140000}"/>
    <cellStyle name="Normal 100 2 7 4" xfId="3795" xr:uid="{00000000-0005-0000-0000-0000C9140000}"/>
    <cellStyle name="Normal 100 2 8" xfId="3796" xr:uid="{00000000-0005-0000-0000-0000CA140000}"/>
    <cellStyle name="Normal 100 2 8 2" xfId="3797" xr:uid="{00000000-0005-0000-0000-0000CB140000}"/>
    <cellStyle name="Normal 100 2 8 2 2" xfId="3798" xr:uid="{00000000-0005-0000-0000-0000CC140000}"/>
    <cellStyle name="Normal 100 2 8 3" xfId="3799" xr:uid="{00000000-0005-0000-0000-0000CD140000}"/>
    <cellStyle name="Normal 100 2 9" xfId="3800" xr:uid="{00000000-0005-0000-0000-0000CE140000}"/>
    <cellStyle name="Normal 100 2 9 2" xfId="3801" xr:uid="{00000000-0005-0000-0000-0000CF140000}"/>
    <cellStyle name="Normal 100 3" xfId="3802" xr:uid="{00000000-0005-0000-0000-0000D0140000}"/>
    <cellStyle name="Normal 100 3 2" xfId="3803" xr:uid="{00000000-0005-0000-0000-0000D1140000}"/>
    <cellStyle name="Normal 100 3 2 2" xfId="3804" xr:uid="{00000000-0005-0000-0000-0000D2140000}"/>
    <cellStyle name="Normal 100 3 2 2 2" xfId="3805" xr:uid="{00000000-0005-0000-0000-0000D3140000}"/>
    <cellStyle name="Normal 100 3 2 3" xfId="3806" xr:uid="{00000000-0005-0000-0000-0000D4140000}"/>
    <cellStyle name="Normal 100 3 2 3 2" xfId="3807" xr:uid="{00000000-0005-0000-0000-0000D5140000}"/>
    <cellStyle name="Normal 100 3 2 4" xfId="3808" xr:uid="{00000000-0005-0000-0000-0000D6140000}"/>
    <cellStyle name="Normal 100 3 3" xfId="3809" xr:uid="{00000000-0005-0000-0000-0000D7140000}"/>
    <cellStyle name="Normal 100 3 3 2" xfId="3810" xr:uid="{00000000-0005-0000-0000-0000D8140000}"/>
    <cellStyle name="Normal 100 3 3 2 2" xfId="3811" xr:uid="{00000000-0005-0000-0000-0000D9140000}"/>
    <cellStyle name="Normal 100 3 3 3" xfId="3812" xr:uid="{00000000-0005-0000-0000-0000DA140000}"/>
    <cellStyle name="Normal 100 3 3 3 2" xfId="3813" xr:uid="{00000000-0005-0000-0000-0000DB140000}"/>
    <cellStyle name="Normal 100 3 3 4" xfId="3814" xr:uid="{00000000-0005-0000-0000-0000DC140000}"/>
    <cellStyle name="Normal 100 3 4" xfId="3815" xr:uid="{00000000-0005-0000-0000-0000DD140000}"/>
    <cellStyle name="Normal 100 3 4 2" xfId="3816" xr:uid="{00000000-0005-0000-0000-0000DE140000}"/>
    <cellStyle name="Normal 100 3 5" xfId="3817" xr:uid="{00000000-0005-0000-0000-0000DF140000}"/>
    <cellStyle name="Normal 100 3 5 2" xfId="3818" xr:uid="{00000000-0005-0000-0000-0000E0140000}"/>
    <cellStyle name="Normal 100 3 6" xfId="3819" xr:uid="{00000000-0005-0000-0000-0000E1140000}"/>
    <cellStyle name="Normal 100 4" xfId="3820" xr:uid="{00000000-0005-0000-0000-0000E2140000}"/>
    <cellStyle name="Normal 100 4 2" xfId="3821" xr:uid="{00000000-0005-0000-0000-0000E3140000}"/>
    <cellStyle name="Normal 100 4 2 2" xfId="3822" xr:uid="{00000000-0005-0000-0000-0000E4140000}"/>
    <cellStyle name="Normal 100 4 3" xfId="3823" xr:uid="{00000000-0005-0000-0000-0000E5140000}"/>
    <cellStyle name="Normal 100 4 3 2" xfId="3824" xr:uid="{00000000-0005-0000-0000-0000E6140000}"/>
    <cellStyle name="Normal 100 4 4" xfId="3825" xr:uid="{00000000-0005-0000-0000-0000E7140000}"/>
    <cellStyle name="Normal 100 5" xfId="3826" xr:uid="{00000000-0005-0000-0000-0000E8140000}"/>
    <cellStyle name="Normal 100 5 2" xfId="3827" xr:uid="{00000000-0005-0000-0000-0000E9140000}"/>
    <cellStyle name="Normal 100 5 2 2" xfId="3828" xr:uid="{00000000-0005-0000-0000-0000EA140000}"/>
    <cellStyle name="Normal 100 5 3" xfId="3829" xr:uid="{00000000-0005-0000-0000-0000EB140000}"/>
    <cellStyle name="Normal 100 5 3 2" xfId="3830" xr:uid="{00000000-0005-0000-0000-0000EC140000}"/>
    <cellStyle name="Normal 100 5 4" xfId="3831" xr:uid="{00000000-0005-0000-0000-0000ED140000}"/>
    <cellStyle name="Normal 100 6" xfId="3832" xr:uid="{00000000-0005-0000-0000-0000EE140000}"/>
    <cellStyle name="Normal 100 6 2" xfId="3833" xr:uid="{00000000-0005-0000-0000-0000EF140000}"/>
    <cellStyle name="Normal 100 6 2 2" xfId="3834" xr:uid="{00000000-0005-0000-0000-0000F0140000}"/>
    <cellStyle name="Normal 100 6 3" xfId="3835" xr:uid="{00000000-0005-0000-0000-0000F1140000}"/>
    <cellStyle name="Normal 100 6 3 2" xfId="3836" xr:uid="{00000000-0005-0000-0000-0000F2140000}"/>
    <cellStyle name="Normal 100 6 4" xfId="3837" xr:uid="{00000000-0005-0000-0000-0000F3140000}"/>
    <cellStyle name="Normal 100 7" xfId="3838" xr:uid="{00000000-0005-0000-0000-0000F4140000}"/>
    <cellStyle name="Normal 100 7 2" xfId="3839" xr:uid="{00000000-0005-0000-0000-0000F5140000}"/>
    <cellStyle name="Normal 100 7 2 2" xfId="3840" xr:uid="{00000000-0005-0000-0000-0000F6140000}"/>
    <cellStyle name="Normal 100 7 3" xfId="3841" xr:uid="{00000000-0005-0000-0000-0000F7140000}"/>
    <cellStyle name="Normal 100 7 3 2" xfId="3842" xr:uid="{00000000-0005-0000-0000-0000F8140000}"/>
    <cellStyle name="Normal 100 7 4" xfId="3843" xr:uid="{00000000-0005-0000-0000-0000F9140000}"/>
    <cellStyle name="Normal 100 8" xfId="3844" xr:uid="{00000000-0005-0000-0000-0000FA140000}"/>
    <cellStyle name="Normal 100 8 2" xfId="3845" xr:uid="{00000000-0005-0000-0000-0000FB140000}"/>
    <cellStyle name="Normal 100 8 2 2" xfId="3846" xr:uid="{00000000-0005-0000-0000-0000FC140000}"/>
    <cellStyle name="Normal 100 8 3" xfId="3847" xr:uid="{00000000-0005-0000-0000-0000FD140000}"/>
    <cellStyle name="Normal 100 8 3 2" xfId="3848" xr:uid="{00000000-0005-0000-0000-0000FE140000}"/>
    <cellStyle name="Normal 100 8 4" xfId="3849" xr:uid="{00000000-0005-0000-0000-0000FF140000}"/>
    <cellStyle name="Normal 100 9" xfId="3850" xr:uid="{00000000-0005-0000-0000-000000150000}"/>
    <cellStyle name="Normal 100 9 2" xfId="3851" xr:uid="{00000000-0005-0000-0000-000001150000}"/>
    <cellStyle name="Normal 100 9 2 2" xfId="3852" xr:uid="{00000000-0005-0000-0000-000002150000}"/>
    <cellStyle name="Normal 100 9 3" xfId="3853" xr:uid="{00000000-0005-0000-0000-000003150000}"/>
    <cellStyle name="Normal 101" xfId="3854" xr:uid="{00000000-0005-0000-0000-000004150000}"/>
    <cellStyle name="Normal 101 10" xfId="3855" xr:uid="{00000000-0005-0000-0000-000005150000}"/>
    <cellStyle name="Normal 101 10 2" xfId="3856" xr:uid="{00000000-0005-0000-0000-000006150000}"/>
    <cellStyle name="Normal 101 11" xfId="3857" xr:uid="{00000000-0005-0000-0000-000007150000}"/>
    <cellStyle name="Normal 101 11 2" xfId="3858" xr:uid="{00000000-0005-0000-0000-000008150000}"/>
    <cellStyle name="Normal 101 12" xfId="3859" xr:uid="{00000000-0005-0000-0000-000009150000}"/>
    <cellStyle name="Normal 101 2" xfId="3860" xr:uid="{00000000-0005-0000-0000-00000A150000}"/>
    <cellStyle name="Normal 101 2 10" xfId="3861" xr:uid="{00000000-0005-0000-0000-00000B150000}"/>
    <cellStyle name="Normal 101 2 10 2" xfId="3862" xr:uid="{00000000-0005-0000-0000-00000C150000}"/>
    <cellStyle name="Normal 101 2 11" xfId="3863" xr:uid="{00000000-0005-0000-0000-00000D150000}"/>
    <cellStyle name="Normal 101 2 2" xfId="3864" xr:uid="{00000000-0005-0000-0000-00000E150000}"/>
    <cellStyle name="Normal 101 2 2 2" xfId="3865" xr:uid="{00000000-0005-0000-0000-00000F150000}"/>
    <cellStyle name="Normal 101 2 2 2 2" xfId="3866" xr:uid="{00000000-0005-0000-0000-000010150000}"/>
    <cellStyle name="Normal 101 2 2 2 2 2" xfId="3867" xr:uid="{00000000-0005-0000-0000-000011150000}"/>
    <cellStyle name="Normal 101 2 2 2 3" xfId="3868" xr:uid="{00000000-0005-0000-0000-000012150000}"/>
    <cellStyle name="Normal 101 2 2 2 3 2" xfId="3869" xr:uid="{00000000-0005-0000-0000-000013150000}"/>
    <cellStyle name="Normal 101 2 2 2 4" xfId="3870" xr:uid="{00000000-0005-0000-0000-000014150000}"/>
    <cellStyle name="Normal 101 2 2 3" xfId="3871" xr:uid="{00000000-0005-0000-0000-000015150000}"/>
    <cellStyle name="Normal 101 2 2 3 2" xfId="3872" xr:uid="{00000000-0005-0000-0000-000016150000}"/>
    <cellStyle name="Normal 101 2 2 3 2 2" xfId="3873" xr:uid="{00000000-0005-0000-0000-000017150000}"/>
    <cellStyle name="Normal 101 2 2 3 3" xfId="3874" xr:uid="{00000000-0005-0000-0000-000018150000}"/>
    <cellStyle name="Normal 101 2 2 3 3 2" xfId="3875" xr:uid="{00000000-0005-0000-0000-000019150000}"/>
    <cellStyle name="Normal 101 2 2 3 4" xfId="3876" xr:uid="{00000000-0005-0000-0000-00001A150000}"/>
    <cellStyle name="Normal 101 2 2 4" xfId="3877" xr:uid="{00000000-0005-0000-0000-00001B150000}"/>
    <cellStyle name="Normal 101 2 2 4 2" xfId="3878" xr:uid="{00000000-0005-0000-0000-00001C150000}"/>
    <cellStyle name="Normal 101 2 2 5" xfId="3879" xr:uid="{00000000-0005-0000-0000-00001D150000}"/>
    <cellStyle name="Normal 101 2 2 5 2" xfId="3880" xr:uid="{00000000-0005-0000-0000-00001E150000}"/>
    <cellStyle name="Normal 101 2 2 6" xfId="3881" xr:uid="{00000000-0005-0000-0000-00001F150000}"/>
    <cellStyle name="Normal 101 2 3" xfId="3882" xr:uid="{00000000-0005-0000-0000-000020150000}"/>
    <cellStyle name="Normal 101 2 3 2" xfId="3883" xr:uid="{00000000-0005-0000-0000-000021150000}"/>
    <cellStyle name="Normal 101 2 3 2 2" xfId="3884" xr:uid="{00000000-0005-0000-0000-000022150000}"/>
    <cellStyle name="Normal 101 2 3 3" xfId="3885" xr:uid="{00000000-0005-0000-0000-000023150000}"/>
    <cellStyle name="Normal 101 2 3 3 2" xfId="3886" xr:uid="{00000000-0005-0000-0000-000024150000}"/>
    <cellStyle name="Normal 101 2 3 4" xfId="3887" xr:uid="{00000000-0005-0000-0000-000025150000}"/>
    <cellStyle name="Normal 101 2 4" xfId="3888" xr:uid="{00000000-0005-0000-0000-000026150000}"/>
    <cellStyle name="Normal 101 2 4 2" xfId="3889" xr:uid="{00000000-0005-0000-0000-000027150000}"/>
    <cellStyle name="Normal 101 2 4 2 2" xfId="3890" xr:uid="{00000000-0005-0000-0000-000028150000}"/>
    <cellStyle name="Normal 101 2 4 3" xfId="3891" xr:uid="{00000000-0005-0000-0000-000029150000}"/>
    <cellStyle name="Normal 101 2 4 3 2" xfId="3892" xr:uid="{00000000-0005-0000-0000-00002A150000}"/>
    <cellStyle name="Normal 101 2 4 4" xfId="3893" xr:uid="{00000000-0005-0000-0000-00002B150000}"/>
    <cellStyle name="Normal 101 2 5" xfId="3894" xr:uid="{00000000-0005-0000-0000-00002C150000}"/>
    <cellStyle name="Normal 101 2 5 2" xfId="3895" xr:uid="{00000000-0005-0000-0000-00002D150000}"/>
    <cellStyle name="Normal 101 2 5 2 2" xfId="3896" xr:uid="{00000000-0005-0000-0000-00002E150000}"/>
    <cellStyle name="Normal 101 2 5 3" xfId="3897" xr:uid="{00000000-0005-0000-0000-00002F150000}"/>
    <cellStyle name="Normal 101 2 5 3 2" xfId="3898" xr:uid="{00000000-0005-0000-0000-000030150000}"/>
    <cellStyle name="Normal 101 2 5 4" xfId="3899" xr:uid="{00000000-0005-0000-0000-000031150000}"/>
    <cellStyle name="Normal 101 2 6" xfId="3900" xr:uid="{00000000-0005-0000-0000-000032150000}"/>
    <cellStyle name="Normal 101 2 6 2" xfId="3901" xr:uid="{00000000-0005-0000-0000-000033150000}"/>
    <cellStyle name="Normal 101 2 6 2 2" xfId="3902" xr:uid="{00000000-0005-0000-0000-000034150000}"/>
    <cellStyle name="Normal 101 2 6 3" xfId="3903" xr:uid="{00000000-0005-0000-0000-000035150000}"/>
    <cellStyle name="Normal 101 2 6 3 2" xfId="3904" xr:uid="{00000000-0005-0000-0000-000036150000}"/>
    <cellStyle name="Normal 101 2 6 4" xfId="3905" xr:uid="{00000000-0005-0000-0000-000037150000}"/>
    <cellStyle name="Normal 101 2 7" xfId="3906" xr:uid="{00000000-0005-0000-0000-000038150000}"/>
    <cellStyle name="Normal 101 2 7 2" xfId="3907" xr:uid="{00000000-0005-0000-0000-000039150000}"/>
    <cellStyle name="Normal 101 2 7 2 2" xfId="3908" xr:uid="{00000000-0005-0000-0000-00003A150000}"/>
    <cellStyle name="Normal 101 2 7 3" xfId="3909" xr:uid="{00000000-0005-0000-0000-00003B150000}"/>
    <cellStyle name="Normal 101 2 7 3 2" xfId="3910" xr:uid="{00000000-0005-0000-0000-00003C150000}"/>
    <cellStyle name="Normal 101 2 7 4" xfId="3911" xr:uid="{00000000-0005-0000-0000-00003D150000}"/>
    <cellStyle name="Normal 101 2 8" xfId="3912" xr:uid="{00000000-0005-0000-0000-00003E150000}"/>
    <cellStyle name="Normal 101 2 8 2" xfId="3913" xr:uid="{00000000-0005-0000-0000-00003F150000}"/>
    <cellStyle name="Normal 101 2 8 2 2" xfId="3914" xr:uid="{00000000-0005-0000-0000-000040150000}"/>
    <cellStyle name="Normal 101 2 8 3" xfId="3915" xr:uid="{00000000-0005-0000-0000-000041150000}"/>
    <cellStyle name="Normal 101 2 9" xfId="3916" xr:uid="{00000000-0005-0000-0000-000042150000}"/>
    <cellStyle name="Normal 101 2 9 2" xfId="3917" xr:uid="{00000000-0005-0000-0000-000043150000}"/>
    <cellStyle name="Normal 101 3" xfId="3918" xr:uid="{00000000-0005-0000-0000-000044150000}"/>
    <cellStyle name="Normal 101 3 2" xfId="3919" xr:uid="{00000000-0005-0000-0000-000045150000}"/>
    <cellStyle name="Normal 101 3 2 2" xfId="3920" xr:uid="{00000000-0005-0000-0000-000046150000}"/>
    <cellStyle name="Normal 101 3 2 2 2" xfId="3921" xr:uid="{00000000-0005-0000-0000-000047150000}"/>
    <cellStyle name="Normal 101 3 2 3" xfId="3922" xr:uid="{00000000-0005-0000-0000-000048150000}"/>
    <cellStyle name="Normal 101 3 2 3 2" xfId="3923" xr:uid="{00000000-0005-0000-0000-000049150000}"/>
    <cellStyle name="Normal 101 3 2 4" xfId="3924" xr:uid="{00000000-0005-0000-0000-00004A150000}"/>
    <cellStyle name="Normal 101 3 3" xfId="3925" xr:uid="{00000000-0005-0000-0000-00004B150000}"/>
    <cellStyle name="Normal 101 3 3 2" xfId="3926" xr:uid="{00000000-0005-0000-0000-00004C150000}"/>
    <cellStyle name="Normal 101 3 3 2 2" xfId="3927" xr:uid="{00000000-0005-0000-0000-00004D150000}"/>
    <cellStyle name="Normal 101 3 3 3" xfId="3928" xr:uid="{00000000-0005-0000-0000-00004E150000}"/>
    <cellStyle name="Normal 101 3 3 3 2" xfId="3929" xr:uid="{00000000-0005-0000-0000-00004F150000}"/>
    <cellStyle name="Normal 101 3 3 4" xfId="3930" xr:uid="{00000000-0005-0000-0000-000050150000}"/>
    <cellStyle name="Normal 101 3 4" xfId="3931" xr:uid="{00000000-0005-0000-0000-000051150000}"/>
    <cellStyle name="Normal 101 3 4 2" xfId="3932" xr:uid="{00000000-0005-0000-0000-000052150000}"/>
    <cellStyle name="Normal 101 3 5" xfId="3933" xr:uid="{00000000-0005-0000-0000-000053150000}"/>
    <cellStyle name="Normal 101 3 5 2" xfId="3934" xr:uid="{00000000-0005-0000-0000-000054150000}"/>
    <cellStyle name="Normal 101 3 6" xfId="3935" xr:uid="{00000000-0005-0000-0000-000055150000}"/>
    <cellStyle name="Normal 101 4" xfId="3936" xr:uid="{00000000-0005-0000-0000-000056150000}"/>
    <cellStyle name="Normal 101 4 2" xfId="3937" xr:uid="{00000000-0005-0000-0000-000057150000}"/>
    <cellStyle name="Normal 101 4 2 2" xfId="3938" xr:uid="{00000000-0005-0000-0000-000058150000}"/>
    <cellStyle name="Normal 101 4 3" xfId="3939" xr:uid="{00000000-0005-0000-0000-000059150000}"/>
    <cellStyle name="Normal 101 4 3 2" xfId="3940" xr:uid="{00000000-0005-0000-0000-00005A150000}"/>
    <cellStyle name="Normal 101 4 4" xfId="3941" xr:uid="{00000000-0005-0000-0000-00005B150000}"/>
    <cellStyle name="Normal 101 5" xfId="3942" xr:uid="{00000000-0005-0000-0000-00005C150000}"/>
    <cellStyle name="Normal 101 5 2" xfId="3943" xr:uid="{00000000-0005-0000-0000-00005D150000}"/>
    <cellStyle name="Normal 101 5 2 2" xfId="3944" xr:uid="{00000000-0005-0000-0000-00005E150000}"/>
    <cellStyle name="Normal 101 5 3" xfId="3945" xr:uid="{00000000-0005-0000-0000-00005F150000}"/>
    <cellStyle name="Normal 101 5 3 2" xfId="3946" xr:uid="{00000000-0005-0000-0000-000060150000}"/>
    <cellStyle name="Normal 101 5 4" xfId="3947" xr:uid="{00000000-0005-0000-0000-000061150000}"/>
    <cellStyle name="Normal 101 6" xfId="3948" xr:uid="{00000000-0005-0000-0000-000062150000}"/>
    <cellStyle name="Normal 101 6 2" xfId="3949" xr:uid="{00000000-0005-0000-0000-000063150000}"/>
    <cellStyle name="Normal 101 6 2 2" xfId="3950" xr:uid="{00000000-0005-0000-0000-000064150000}"/>
    <cellStyle name="Normal 101 6 3" xfId="3951" xr:uid="{00000000-0005-0000-0000-000065150000}"/>
    <cellStyle name="Normal 101 6 3 2" xfId="3952" xr:uid="{00000000-0005-0000-0000-000066150000}"/>
    <cellStyle name="Normal 101 6 4" xfId="3953" xr:uid="{00000000-0005-0000-0000-000067150000}"/>
    <cellStyle name="Normal 101 7" xfId="3954" xr:uid="{00000000-0005-0000-0000-000068150000}"/>
    <cellStyle name="Normal 101 7 2" xfId="3955" xr:uid="{00000000-0005-0000-0000-000069150000}"/>
    <cellStyle name="Normal 101 7 2 2" xfId="3956" xr:uid="{00000000-0005-0000-0000-00006A150000}"/>
    <cellStyle name="Normal 101 7 3" xfId="3957" xr:uid="{00000000-0005-0000-0000-00006B150000}"/>
    <cellStyle name="Normal 101 7 3 2" xfId="3958" xr:uid="{00000000-0005-0000-0000-00006C150000}"/>
    <cellStyle name="Normal 101 7 4" xfId="3959" xr:uid="{00000000-0005-0000-0000-00006D150000}"/>
    <cellStyle name="Normal 101 8" xfId="3960" xr:uid="{00000000-0005-0000-0000-00006E150000}"/>
    <cellStyle name="Normal 101 8 2" xfId="3961" xr:uid="{00000000-0005-0000-0000-00006F150000}"/>
    <cellStyle name="Normal 101 8 2 2" xfId="3962" xr:uid="{00000000-0005-0000-0000-000070150000}"/>
    <cellStyle name="Normal 101 8 3" xfId="3963" xr:uid="{00000000-0005-0000-0000-000071150000}"/>
    <cellStyle name="Normal 101 8 3 2" xfId="3964" xr:uid="{00000000-0005-0000-0000-000072150000}"/>
    <cellStyle name="Normal 101 8 4" xfId="3965" xr:uid="{00000000-0005-0000-0000-000073150000}"/>
    <cellStyle name="Normal 101 9" xfId="3966" xr:uid="{00000000-0005-0000-0000-000074150000}"/>
    <cellStyle name="Normal 101 9 2" xfId="3967" xr:uid="{00000000-0005-0000-0000-000075150000}"/>
    <cellStyle name="Normal 101 9 2 2" xfId="3968" xr:uid="{00000000-0005-0000-0000-000076150000}"/>
    <cellStyle name="Normal 101 9 3" xfId="3969" xr:uid="{00000000-0005-0000-0000-000077150000}"/>
    <cellStyle name="Normal 102" xfId="3970" xr:uid="{00000000-0005-0000-0000-000078150000}"/>
    <cellStyle name="Normal 102 2" xfId="3971" xr:uid="{00000000-0005-0000-0000-000079150000}"/>
    <cellStyle name="Normal 102 2 2" xfId="3972" xr:uid="{00000000-0005-0000-0000-00007A150000}"/>
    <cellStyle name="Normal 102 2 2 2" xfId="47551" xr:uid="{00000000-0005-0000-0000-00007B150000}"/>
    <cellStyle name="Normal 102 2 2 3" xfId="47552" xr:uid="{00000000-0005-0000-0000-00007C150000}"/>
    <cellStyle name="Normal 102 2 3" xfId="47553" xr:uid="{00000000-0005-0000-0000-00007D150000}"/>
    <cellStyle name="Normal 102 2 4" xfId="47554" xr:uid="{00000000-0005-0000-0000-00007E150000}"/>
    <cellStyle name="Normal 102 3" xfId="3973" xr:uid="{00000000-0005-0000-0000-00007F150000}"/>
    <cellStyle name="Normal 102 3 2" xfId="47555" xr:uid="{00000000-0005-0000-0000-000080150000}"/>
    <cellStyle name="Normal 102 3 3" xfId="47556" xr:uid="{00000000-0005-0000-0000-000081150000}"/>
    <cellStyle name="Normal 102 4" xfId="47557" xr:uid="{00000000-0005-0000-0000-000082150000}"/>
    <cellStyle name="Normal 102 5" xfId="47558" xr:uid="{00000000-0005-0000-0000-000083150000}"/>
    <cellStyle name="Normal 103" xfId="3974" xr:uid="{00000000-0005-0000-0000-000084150000}"/>
    <cellStyle name="Normal 103 2" xfId="3975" xr:uid="{00000000-0005-0000-0000-000085150000}"/>
    <cellStyle name="Normal 103 2 2" xfId="3976" xr:uid="{00000000-0005-0000-0000-000086150000}"/>
    <cellStyle name="Normal 103 2 2 2" xfId="47559" xr:uid="{00000000-0005-0000-0000-000087150000}"/>
    <cellStyle name="Normal 103 2 2 3" xfId="47560" xr:uid="{00000000-0005-0000-0000-000088150000}"/>
    <cellStyle name="Normal 103 2 3" xfId="47561" xr:uid="{00000000-0005-0000-0000-000089150000}"/>
    <cellStyle name="Normal 103 2 4" xfId="47562" xr:uid="{00000000-0005-0000-0000-00008A150000}"/>
    <cellStyle name="Normal 103 3" xfId="3977" xr:uid="{00000000-0005-0000-0000-00008B150000}"/>
    <cellStyle name="Normal 103 3 2" xfId="47563" xr:uid="{00000000-0005-0000-0000-00008C150000}"/>
    <cellStyle name="Normal 103 3 3" xfId="47564" xr:uid="{00000000-0005-0000-0000-00008D150000}"/>
    <cellStyle name="Normal 103 4" xfId="47565" xr:uid="{00000000-0005-0000-0000-00008E150000}"/>
    <cellStyle name="Normal 103 5" xfId="47566" xr:uid="{00000000-0005-0000-0000-00008F150000}"/>
    <cellStyle name="Normal 104" xfId="3978" xr:uid="{00000000-0005-0000-0000-000090150000}"/>
    <cellStyle name="Normal 104 2" xfId="3979" xr:uid="{00000000-0005-0000-0000-000091150000}"/>
    <cellStyle name="Normal 104 2 2" xfId="3980" xr:uid="{00000000-0005-0000-0000-000092150000}"/>
    <cellStyle name="Normal 104 2 2 2" xfId="3981" xr:uid="{00000000-0005-0000-0000-000093150000}"/>
    <cellStyle name="Normal 104 2 2 2 2" xfId="3982" xr:uid="{00000000-0005-0000-0000-000094150000}"/>
    <cellStyle name="Normal 104 2 2 3" xfId="3983" xr:uid="{00000000-0005-0000-0000-000095150000}"/>
    <cellStyle name="Normal 104 2 2 3 2" xfId="3984" xr:uid="{00000000-0005-0000-0000-000096150000}"/>
    <cellStyle name="Normal 104 2 2 4" xfId="3985" xr:uid="{00000000-0005-0000-0000-000097150000}"/>
    <cellStyle name="Normal 104 2 3" xfId="3986" xr:uid="{00000000-0005-0000-0000-000098150000}"/>
    <cellStyle name="Normal 104 2 3 2" xfId="3987" xr:uid="{00000000-0005-0000-0000-000099150000}"/>
    <cellStyle name="Normal 104 2 3 2 2" xfId="3988" xr:uid="{00000000-0005-0000-0000-00009A150000}"/>
    <cellStyle name="Normal 104 2 3 3" xfId="3989" xr:uid="{00000000-0005-0000-0000-00009B150000}"/>
    <cellStyle name="Normal 104 2 3 3 2" xfId="3990" xr:uid="{00000000-0005-0000-0000-00009C150000}"/>
    <cellStyle name="Normal 104 2 3 4" xfId="3991" xr:uid="{00000000-0005-0000-0000-00009D150000}"/>
    <cellStyle name="Normal 104 2 4" xfId="3992" xr:uid="{00000000-0005-0000-0000-00009E150000}"/>
    <cellStyle name="Normal 104 2 4 2" xfId="3993" xr:uid="{00000000-0005-0000-0000-00009F150000}"/>
    <cellStyle name="Normal 104 2 4 2 2" xfId="3994" xr:uid="{00000000-0005-0000-0000-0000A0150000}"/>
    <cellStyle name="Normal 104 2 4 3" xfId="3995" xr:uid="{00000000-0005-0000-0000-0000A1150000}"/>
    <cellStyle name="Normal 104 2 4 3 2" xfId="3996" xr:uid="{00000000-0005-0000-0000-0000A2150000}"/>
    <cellStyle name="Normal 104 2 4 4" xfId="3997" xr:uid="{00000000-0005-0000-0000-0000A3150000}"/>
    <cellStyle name="Normal 104 2 5" xfId="3998" xr:uid="{00000000-0005-0000-0000-0000A4150000}"/>
    <cellStyle name="Normal 104 2 5 2" xfId="3999" xr:uid="{00000000-0005-0000-0000-0000A5150000}"/>
    <cellStyle name="Normal 104 2 5 2 2" xfId="4000" xr:uid="{00000000-0005-0000-0000-0000A6150000}"/>
    <cellStyle name="Normal 104 2 5 3" xfId="4001" xr:uid="{00000000-0005-0000-0000-0000A7150000}"/>
    <cellStyle name="Normal 104 2 6" xfId="4002" xr:uid="{00000000-0005-0000-0000-0000A8150000}"/>
    <cellStyle name="Normal 104 2 6 2" xfId="4003" xr:uid="{00000000-0005-0000-0000-0000A9150000}"/>
    <cellStyle name="Normal 104 2 7" xfId="4004" xr:uid="{00000000-0005-0000-0000-0000AA150000}"/>
    <cellStyle name="Normal 104 2 7 2" xfId="4005" xr:uid="{00000000-0005-0000-0000-0000AB150000}"/>
    <cellStyle name="Normal 104 2 8" xfId="4006" xr:uid="{00000000-0005-0000-0000-0000AC150000}"/>
    <cellStyle name="Normal 104 3" xfId="4007" xr:uid="{00000000-0005-0000-0000-0000AD150000}"/>
    <cellStyle name="Normal 104 3 2" xfId="4008" xr:uid="{00000000-0005-0000-0000-0000AE150000}"/>
    <cellStyle name="Normal 104 3 2 2" xfId="4009" xr:uid="{00000000-0005-0000-0000-0000AF150000}"/>
    <cellStyle name="Normal 104 3 2 2 2" xfId="4010" xr:uid="{00000000-0005-0000-0000-0000B0150000}"/>
    <cellStyle name="Normal 104 3 2 3" xfId="4011" xr:uid="{00000000-0005-0000-0000-0000B1150000}"/>
    <cellStyle name="Normal 104 3 2 3 2" xfId="4012" xr:uid="{00000000-0005-0000-0000-0000B2150000}"/>
    <cellStyle name="Normal 104 3 2 4" xfId="4013" xr:uid="{00000000-0005-0000-0000-0000B3150000}"/>
    <cellStyle name="Normal 104 3 3" xfId="4014" xr:uid="{00000000-0005-0000-0000-0000B4150000}"/>
    <cellStyle name="Normal 104 3 3 2" xfId="4015" xr:uid="{00000000-0005-0000-0000-0000B5150000}"/>
    <cellStyle name="Normal 104 3 4" xfId="4016" xr:uid="{00000000-0005-0000-0000-0000B6150000}"/>
    <cellStyle name="Normal 104 3 4 2" xfId="4017" xr:uid="{00000000-0005-0000-0000-0000B7150000}"/>
    <cellStyle name="Normal 104 3 5" xfId="4018" xr:uid="{00000000-0005-0000-0000-0000B8150000}"/>
    <cellStyle name="Normal 104 4" xfId="4019" xr:uid="{00000000-0005-0000-0000-0000B9150000}"/>
    <cellStyle name="Normal 104 4 2" xfId="4020" xr:uid="{00000000-0005-0000-0000-0000BA150000}"/>
    <cellStyle name="Normal 104 4 2 2" xfId="4021" xr:uid="{00000000-0005-0000-0000-0000BB150000}"/>
    <cellStyle name="Normal 104 4 3" xfId="4022" xr:uid="{00000000-0005-0000-0000-0000BC150000}"/>
    <cellStyle name="Normal 104 4 3 2" xfId="4023" xr:uid="{00000000-0005-0000-0000-0000BD150000}"/>
    <cellStyle name="Normal 104 4 4" xfId="4024" xr:uid="{00000000-0005-0000-0000-0000BE150000}"/>
    <cellStyle name="Normal 104 5" xfId="4025" xr:uid="{00000000-0005-0000-0000-0000BF150000}"/>
    <cellStyle name="Normal 104 6" xfId="4026" xr:uid="{00000000-0005-0000-0000-0000C0150000}"/>
    <cellStyle name="Normal 104 6 2" xfId="4027" xr:uid="{00000000-0005-0000-0000-0000C1150000}"/>
    <cellStyle name="Normal 104 6 2 2" xfId="4028" xr:uid="{00000000-0005-0000-0000-0000C2150000}"/>
    <cellStyle name="Normal 104 6 3" xfId="4029" xr:uid="{00000000-0005-0000-0000-0000C3150000}"/>
    <cellStyle name="Normal 104 7" xfId="4030" xr:uid="{00000000-0005-0000-0000-0000C4150000}"/>
    <cellStyle name="Normal 104 7 2" xfId="4031" xr:uid="{00000000-0005-0000-0000-0000C5150000}"/>
    <cellStyle name="Normal 104 8" xfId="4032" xr:uid="{00000000-0005-0000-0000-0000C6150000}"/>
    <cellStyle name="Normal 104 9" xfId="46025" xr:uid="{00000000-0005-0000-0000-0000C7150000}"/>
    <cellStyle name="Normal 105" xfId="4033" xr:uid="{00000000-0005-0000-0000-0000C8150000}"/>
    <cellStyle name="Normal 105 2" xfId="4034" xr:uid="{00000000-0005-0000-0000-0000C9150000}"/>
    <cellStyle name="Normal 105 2 2" xfId="4035" xr:uid="{00000000-0005-0000-0000-0000CA150000}"/>
    <cellStyle name="Normal 105 2 2 2" xfId="4036" xr:uid="{00000000-0005-0000-0000-0000CB150000}"/>
    <cellStyle name="Normal 105 2 3" xfId="4037" xr:uid="{00000000-0005-0000-0000-0000CC150000}"/>
    <cellStyle name="Normal 105 2 3 2" xfId="4038" xr:uid="{00000000-0005-0000-0000-0000CD150000}"/>
    <cellStyle name="Normal 105 2 4" xfId="4039" xr:uid="{00000000-0005-0000-0000-0000CE150000}"/>
    <cellStyle name="Normal 105 3" xfId="4040" xr:uid="{00000000-0005-0000-0000-0000CF150000}"/>
    <cellStyle name="Normal 105 3 2" xfId="4041" xr:uid="{00000000-0005-0000-0000-0000D0150000}"/>
    <cellStyle name="Normal 105 3 2 2" xfId="4042" xr:uid="{00000000-0005-0000-0000-0000D1150000}"/>
    <cellStyle name="Normal 105 3 3" xfId="4043" xr:uid="{00000000-0005-0000-0000-0000D2150000}"/>
    <cellStyle name="Normal 105 3 3 2" xfId="4044" xr:uid="{00000000-0005-0000-0000-0000D3150000}"/>
    <cellStyle name="Normal 105 3 4" xfId="4045" xr:uid="{00000000-0005-0000-0000-0000D4150000}"/>
    <cellStyle name="Normal 105 4" xfId="4046" xr:uid="{00000000-0005-0000-0000-0000D5150000}"/>
    <cellStyle name="Normal 105 4 2" xfId="4047" xr:uid="{00000000-0005-0000-0000-0000D6150000}"/>
    <cellStyle name="Normal 105 5" xfId="4048" xr:uid="{00000000-0005-0000-0000-0000D7150000}"/>
    <cellStyle name="Normal 105 5 2" xfId="4049" xr:uid="{00000000-0005-0000-0000-0000D8150000}"/>
    <cellStyle name="Normal 105 6" xfId="4050" xr:uid="{00000000-0005-0000-0000-0000D9150000}"/>
    <cellStyle name="Normal 106" xfId="4051" xr:uid="{00000000-0005-0000-0000-0000DA150000}"/>
    <cellStyle name="Normal 106 2" xfId="4052" xr:uid="{00000000-0005-0000-0000-0000DB150000}"/>
    <cellStyle name="Normal 107" xfId="4053" xr:uid="{00000000-0005-0000-0000-0000DC150000}"/>
    <cellStyle name="Normal 108" xfId="4054" xr:uid="{00000000-0005-0000-0000-0000DD150000}"/>
    <cellStyle name="Normal 109" xfId="4055" xr:uid="{00000000-0005-0000-0000-0000DE150000}"/>
    <cellStyle name="Normal 109 2" xfId="47567" xr:uid="{00000000-0005-0000-0000-0000DF150000}"/>
    <cellStyle name="Normal 11" xfId="4056" xr:uid="{00000000-0005-0000-0000-0000E0150000}"/>
    <cellStyle name="Normal 11 2" xfId="4057" xr:uid="{00000000-0005-0000-0000-0000E1150000}"/>
    <cellStyle name="Normal 11 2 2" xfId="4058" xr:uid="{00000000-0005-0000-0000-0000E2150000}"/>
    <cellStyle name="Normal 11 2 2 2" xfId="4059" xr:uid="{00000000-0005-0000-0000-0000E3150000}"/>
    <cellStyle name="Normal 11 2 3" xfId="4060" xr:uid="{00000000-0005-0000-0000-0000E4150000}"/>
    <cellStyle name="Normal 11 3" xfId="4061" xr:uid="{00000000-0005-0000-0000-0000E5150000}"/>
    <cellStyle name="Normal 11 3 2" xfId="4062" xr:uid="{00000000-0005-0000-0000-0000E6150000}"/>
    <cellStyle name="Normal 11 4" xfId="4063" xr:uid="{00000000-0005-0000-0000-0000E7150000}"/>
    <cellStyle name="Normal 11 4 2" xfId="4064" xr:uid="{00000000-0005-0000-0000-0000E8150000}"/>
    <cellStyle name="Normal 11 5" xfId="4065" xr:uid="{00000000-0005-0000-0000-0000E9150000}"/>
    <cellStyle name="Normal 11 6" xfId="4066" xr:uid="{00000000-0005-0000-0000-0000EA150000}"/>
    <cellStyle name="Normal 110" xfId="4067" xr:uid="{00000000-0005-0000-0000-0000EB150000}"/>
    <cellStyle name="Normal 111" xfId="4068" xr:uid="{00000000-0005-0000-0000-0000EC150000}"/>
    <cellStyle name="Normal 112" xfId="47568" xr:uid="{00000000-0005-0000-0000-0000ED150000}"/>
    <cellStyle name="Normal 113" xfId="47569" xr:uid="{00000000-0005-0000-0000-0000EE150000}"/>
    <cellStyle name="Normal 114" xfId="47570" xr:uid="{00000000-0005-0000-0000-0000EF150000}"/>
    <cellStyle name="Normal 115" xfId="47571" xr:uid="{00000000-0005-0000-0000-0000F0150000}"/>
    <cellStyle name="Normal 116" xfId="47572" xr:uid="{00000000-0005-0000-0000-0000F1150000}"/>
    <cellStyle name="Normal 117" xfId="47573" xr:uid="{00000000-0005-0000-0000-0000F2150000}"/>
    <cellStyle name="Normal 118" xfId="47574" xr:uid="{00000000-0005-0000-0000-0000F3150000}"/>
    <cellStyle name="Normal 119" xfId="47575" xr:uid="{00000000-0005-0000-0000-0000F4150000}"/>
    <cellStyle name="Normal 12" xfId="4069" xr:uid="{00000000-0005-0000-0000-0000F5150000}"/>
    <cellStyle name="Normal 12 10" xfId="4070" xr:uid="{00000000-0005-0000-0000-0000F6150000}"/>
    <cellStyle name="Normal 12 10 2" xfId="4071" xr:uid="{00000000-0005-0000-0000-0000F7150000}"/>
    <cellStyle name="Normal 12 10 2 2" xfId="4072" xr:uid="{00000000-0005-0000-0000-0000F8150000}"/>
    <cellStyle name="Normal 12 10 2 2 2" xfId="4073" xr:uid="{00000000-0005-0000-0000-0000F9150000}"/>
    <cellStyle name="Normal 12 10 2 2 2 2" xfId="47576" xr:uid="{00000000-0005-0000-0000-0000FA150000}"/>
    <cellStyle name="Normal 12 10 2 2 2 3" xfId="47577" xr:uid="{00000000-0005-0000-0000-0000FB150000}"/>
    <cellStyle name="Normal 12 10 2 2 3" xfId="4074" xr:uid="{00000000-0005-0000-0000-0000FC150000}"/>
    <cellStyle name="Normal 12 10 2 2 3 2" xfId="47578" xr:uid="{00000000-0005-0000-0000-0000FD150000}"/>
    <cellStyle name="Normal 12 10 2 2 4" xfId="4075" xr:uid="{00000000-0005-0000-0000-0000FE150000}"/>
    <cellStyle name="Normal 12 10 2 2 5" xfId="4076" xr:uid="{00000000-0005-0000-0000-0000FF150000}"/>
    <cellStyle name="Normal 12 10 2 2 6" xfId="4077" xr:uid="{00000000-0005-0000-0000-000000160000}"/>
    <cellStyle name="Normal 12 10 2 3" xfId="4078" xr:uid="{00000000-0005-0000-0000-000001160000}"/>
    <cellStyle name="Normal 12 10 2 3 2" xfId="47579" xr:uid="{00000000-0005-0000-0000-000002160000}"/>
    <cellStyle name="Normal 12 10 2 3 3" xfId="47580" xr:uid="{00000000-0005-0000-0000-000003160000}"/>
    <cellStyle name="Normal 12 10 2 4" xfId="4079" xr:uid="{00000000-0005-0000-0000-000004160000}"/>
    <cellStyle name="Normal 12 10 2 4 2" xfId="47581" xr:uid="{00000000-0005-0000-0000-000005160000}"/>
    <cellStyle name="Normal 12 10 2 5" xfId="4080" xr:uid="{00000000-0005-0000-0000-000006160000}"/>
    <cellStyle name="Normal 12 10 2 6" xfId="4081" xr:uid="{00000000-0005-0000-0000-000007160000}"/>
    <cellStyle name="Normal 12 10 2 7" xfId="4082" xr:uid="{00000000-0005-0000-0000-000008160000}"/>
    <cellStyle name="Normal 12 10 3" xfId="4083" xr:uid="{00000000-0005-0000-0000-000009160000}"/>
    <cellStyle name="Normal 12 10 3 2" xfId="4084" xr:uid="{00000000-0005-0000-0000-00000A160000}"/>
    <cellStyle name="Normal 12 10 3 2 2" xfId="47582" xr:uid="{00000000-0005-0000-0000-00000B160000}"/>
    <cellStyle name="Normal 12 10 3 2 3" xfId="47583" xr:uid="{00000000-0005-0000-0000-00000C160000}"/>
    <cellStyle name="Normal 12 10 3 3" xfId="4085" xr:uid="{00000000-0005-0000-0000-00000D160000}"/>
    <cellStyle name="Normal 12 10 3 3 2" xfId="47584" xr:uid="{00000000-0005-0000-0000-00000E160000}"/>
    <cellStyle name="Normal 12 10 3 4" xfId="4086" xr:uid="{00000000-0005-0000-0000-00000F160000}"/>
    <cellStyle name="Normal 12 10 3 5" xfId="4087" xr:uid="{00000000-0005-0000-0000-000010160000}"/>
    <cellStyle name="Normal 12 10 3 6" xfId="4088" xr:uid="{00000000-0005-0000-0000-000011160000}"/>
    <cellStyle name="Normal 12 10 4" xfId="4089" xr:uid="{00000000-0005-0000-0000-000012160000}"/>
    <cellStyle name="Normal 12 10 4 2" xfId="47585" xr:uid="{00000000-0005-0000-0000-000013160000}"/>
    <cellStyle name="Normal 12 10 4 3" xfId="47586" xr:uid="{00000000-0005-0000-0000-000014160000}"/>
    <cellStyle name="Normal 12 10 5" xfId="4090" xr:uid="{00000000-0005-0000-0000-000015160000}"/>
    <cellStyle name="Normal 12 10 5 2" xfId="47587" xr:uid="{00000000-0005-0000-0000-000016160000}"/>
    <cellStyle name="Normal 12 10 6" xfId="4091" xr:uid="{00000000-0005-0000-0000-000017160000}"/>
    <cellStyle name="Normal 12 10 7" xfId="4092" xr:uid="{00000000-0005-0000-0000-000018160000}"/>
    <cellStyle name="Normal 12 10 8" xfId="4093" xr:uid="{00000000-0005-0000-0000-000019160000}"/>
    <cellStyle name="Normal 12 11" xfId="4094" xr:uid="{00000000-0005-0000-0000-00001A160000}"/>
    <cellStyle name="Normal 12 11 2" xfId="4095" xr:uid="{00000000-0005-0000-0000-00001B160000}"/>
    <cellStyle name="Normal 12 11 2 2" xfId="4096" xr:uid="{00000000-0005-0000-0000-00001C160000}"/>
    <cellStyle name="Normal 12 11 2 2 2" xfId="4097" xr:uid="{00000000-0005-0000-0000-00001D160000}"/>
    <cellStyle name="Normal 12 11 2 2 2 2" xfId="47588" xr:uid="{00000000-0005-0000-0000-00001E160000}"/>
    <cellStyle name="Normal 12 11 2 2 2 3" xfId="47589" xr:uid="{00000000-0005-0000-0000-00001F160000}"/>
    <cellStyle name="Normal 12 11 2 2 3" xfId="4098" xr:uid="{00000000-0005-0000-0000-000020160000}"/>
    <cellStyle name="Normal 12 11 2 2 3 2" xfId="47590" xr:uid="{00000000-0005-0000-0000-000021160000}"/>
    <cellStyle name="Normal 12 11 2 2 4" xfId="4099" xr:uid="{00000000-0005-0000-0000-000022160000}"/>
    <cellStyle name="Normal 12 11 2 2 5" xfId="4100" xr:uid="{00000000-0005-0000-0000-000023160000}"/>
    <cellStyle name="Normal 12 11 2 2 6" xfId="4101" xr:uid="{00000000-0005-0000-0000-000024160000}"/>
    <cellStyle name="Normal 12 11 2 3" xfId="4102" xr:uid="{00000000-0005-0000-0000-000025160000}"/>
    <cellStyle name="Normal 12 11 2 3 2" xfId="47591" xr:uid="{00000000-0005-0000-0000-000026160000}"/>
    <cellStyle name="Normal 12 11 2 3 3" xfId="47592" xr:uid="{00000000-0005-0000-0000-000027160000}"/>
    <cellStyle name="Normal 12 11 2 4" xfId="4103" xr:uid="{00000000-0005-0000-0000-000028160000}"/>
    <cellStyle name="Normal 12 11 2 4 2" xfId="47593" xr:uid="{00000000-0005-0000-0000-000029160000}"/>
    <cellStyle name="Normal 12 11 2 5" xfId="4104" xr:uid="{00000000-0005-0000-0000-00002A160000}"/>
    <cellStyle name="Normal 12 11 2 6" xfId="4105" xr:uid="{00000000-0005-0000-0000-00002B160000}"/>
    <cellStyle name="Normal 12 11 2 7" xfId="4106" xr:uid="{00000000-0005-0000-0000-00002C160000}"/>
    <cellStyle name="Normal 12 11 3" xfId="4107" xr:uid="{00000000-0005-0000-0000-00002D160000}"/>
    <cellStyle name="Normal 12 11 3 2" xfId="4108" xr:uid="{00000000-0005-0000-0000-00002E160000}"/>
    <cellStyle name="Normal 12 11 3 2 2" xfId="47594" xr:uid="{00000000-0005-0000-0000-00002F160000}"/>
    <cellStyle name="Normal 12 11 3 2 3" xfId="47595" xr:uid="{00000000-0005-0000-0000-000030160000}"/>
    <cellStyle name="Normal 12 11 3 3" xfId="4109" xr:uid="{00000000-0005-0000-0000-000031160000}"/>
    <cellStyle name="Normal 12 11 3 3 2" xfId="47596" xr:uid="{00000000-0005-0000-0000-000032160000}"/>
    <cellStyle name="Normal 12 11 3 4" xfId="4110" xr:uid="{00000000-0005-0000-0000-000033160000}"/>
    <cellStyle name="Normal 12 11 3 5" xfId="4111" xr:uid="{00000000-0005-0000-0000-000034160000}"/>
    <cellStyle name="Normal 12 11 3 6" xfId="4112" xr:uid="{00000000-0005-0000-0000-000035160000}"/>
    <cellStyle name="Normal 12 11 4" xfId="4113" xr:uid="{00000000-0005-0000-0000-000036160000}"/>
    <cellStyle name="Normal 12 11 4 2" xfId="47597" xr:uid="{00000000-0005-0000-0000-000037160000}"/>
    <cellStyle name="Normal 12 11 4 3" xfId="47598" xr:uid="{00000000-0005-0000-0000-000038160000}"/>
    <cellStyle name="Normal 12 11 5" xfId="4114" xr:uid="{00000000-0005-0000-0000-000039160000}"/>
    <cellStyle name="Normal 12 11 5 2" xfId="47599" xr:uid="{00000000-0005-0000-0000-00003A160000}"/>
    <cellStyle name="Normal 12 11 6" xfId="4115" xr:uid="{00000000-0005-0000-0000-00003B160000}"/>
    <cellStyle name="Normal 12 11 7" xfId="4116" xr:uid="{00000000-0005-0000-0000-00003C160000}"/>
    <cellStyle name="Normal 12 11 8" xfId="4117" xr:uid="{00000000-0005-0000-0000-00003D160000}"/>
    <cellStyle name="Normal 12 12" xfId="4118" xr:uid="{00000000-0005-0000-0000-00003E160000}"/>
    <cellStyle name="Normal 12 12 2" xfId="4119" xr:uid="{00000000-0005-0000-0000-00003F160000}"/>
    <cellStyle name="Normal 12 12 2 2" xfId="4120" xr:uid="{00000000-0005-0000-0000-000040160000}"/>
    <cellStyle name="Normal 12 12 2 2 2" xfId="47600" xr:uid="{00000000-0005-0000-0000-000041160000}"/>
    <cellStyle name="Normal 12 12 2 2 3" xfId="47601" xr:uid="{00000000-0005-0000-0000-000042160000}"/>
    <cellStyle name="Normal 12 12 2 3" xfId="4121" xr:uid="{00000000-0005-0000-0000-000043160000}"/>
    <cellStyle name="Normal 12 12 2 3 2" xfId="47602" xr:uid="{00000000-0005-0000-0000-000044160000}"/>
    <cellStyle name="Normal 12 12 2 4" xfId="4122" xr:uid="{00000000-0005-0000-0000-000045160000}"/>
    <cellStyle name="Normal 12 12 2 5" xfId="4123" xr:uid="{00000000-0005-0000-0000-000046160000}"/>
    <cellStyle name="Normal 12 12 2 6" xfId="4124" xr:uid="{00000000-0005-0000-0000-000047160000}"/>
    <cellStyle name="Normal 12 12 3" xfId="4125" xr:uid="{00000000-0005-0000-0000-000048160000}"/>
    <cellStyle name="Normal 12 12 3 2" xfId="47603" xr:uid="{00000000-0005-0000-0000-000049160000}"/>
    <cellStyle name="Normal 12 12 3 3" xfId="47604" xr:uid="{00000000-0005-0000-0000-00004A160000}"/>
    <cellStyle name="Normal 12 12 4" xfId="4126" xr:uid="{00000000-0005-0000-0000-00004B160000}"/>
    <cellStyle name="Normal 12 12 4 2" xfId="47605" xr:uid="{00000000-0005-0000-0000-00004C160000}"/>
    <cellStyle name="Normal 12 12 5" xfId="4127" xr:uid="{00000000-0005-0000-0000-00004D160000}"/>
    <cellStyle name="Normal 12 12 6" xfId="4128" xr:uid="{00000000-0005-0000-0000-00004E160000}"/>
    <cellStyle name="Normal 12 12 7" xfId="4129" xr:uid="{00000000-0005-0000-0000-00004F160000}"/>
    <cellStyle name="Normal 12 13" xfId="4130" xr:uid="{00000000-0005-0000-0000-000050160000}"/>
    <cellStyle name="Normal 12 13 2" xfId="4131" xr:uid="{00000000-0005-0000-0000-000051160000}"/>
    <cellStyle name="Normal 12 13 2 2" xfId="47606" xr:uid="{00000000-0005-0000-0000-000052160000}"/>
    <cellStyle name="Normal 12 13 2 3" xfId="47607" xr:uid="{00000000-0005-0000-0000-000053160000}"/>
    <cellStyle name="Normal 12 13 3" xfId="4132" xr:uid="{00000000-0005-0000-0000-000054160000}"/>
    <cellStyle name="Normal 12 13 3 2" xfId="47608" xr:uid="{00000000-0005-0000-0000-000055160000}"/>
    <cellStyle name="Normal 12 13 4" xfId="4133" xr:uid="{00000000-0005-0000-0000-000056160000}"/>
    <cellStyle name="Normal 12 13 5" xfId="4134" xr:uid="{00000000-0005-0000-0000-000057160000}"/>
    <cellStyle name="Normal 12 13 6" xfId="4135" xr:uid="{00000000-0005-0000-0000-000058160000}"/>
    <cellStyle name="Normal 12 14" xfId="4136" xr:uid="{00000000-0005-0000-0000-000059160000}"/>
    <cellStyle name="Normal 12 14 2" xfId="47609" xr:uid="{00000000-0005-0000-0000-00005A160000}"/>
    <cellStyle name="Normal 12 14 3" xfId="47610" xr:uid="{00000000-0005-0000-0000-00005B160000}"/>
    <cellStyle name="Normal 12 15" xfId="4137" xr:uid="{00000000-0005-0000-0000-00005C160000}"/>
    <cellStyle name="Normal 12 15 2" xfId="47611" xr:uid="{00000000-0005-0000-0000-00005D160000}"/>
    <cellStyle name="Normal 12 16" xfId="4138" xr:uid="{00000000-0005-0000-0000-00005E160000}"/>
    <cellStyle name="Normal 12 16 2" xfId="47612" xr:uid="{00000000-0005-0000-0000-00005F160000}"/>
    <cellStyle name="Normal 12 17" xfId="4139" xr:uid="{00000000-0005-0000-0000-000060160000}"/>
    <cellStyle name="Normal 12 18" xfId="4140" xr:uid="{00000000-0005-0000-0000-000061160000}"/>
    <cellStyle name="Normal 12 19" xfId="4141" xr:uid="{00000000-0005-0000-0000-000062160000}"/>
    <cellStyle name="Normal 12 2" xfId="4142" xr:uid="{00000000-0005-0000-0000-000063160000}"/>
    <cellStyle name="Normal 12 2 10" xfId="4143" xr:uid="{00000000-0005-0000-0000-000064160000}"/>
    <cellStyle name="Normal 12 2 10 2" xfId="4144" xr:uid="{00000000-0005-0000-0000-000065160000}"/>
    <cellStyle name="Normal 12 2 10 2 2" xfId="4145" xr:uid="{00000000-0005-0000-0000-000066160000}"/>
    <cellStyle name="Normal 12 2 10 2 2 2" xfId="47613" xr:uid="{00000000-0005-0000-0000-000067160000}"/>
    <cellStyle name="Normal 12 2 10 2 2 3" xfId="47614" xr:uid="{00000000-0005-0000-0000-000068160000}"/>
    <cellStyle name="Normal 12 2 10 2 3" xfId="4146" xr:uid="{00000000-0005-0000-0000-000069160000}"/>
    <cellStyle name="Normal 12 2 10 2 3 2" xfId="47615" xr:uid="{00000000-0005-0000-0000-00006A160000}"/>
    <cellStyle name="Normal 12 2 10 2 4" xfId="4147" xr:uid="{00000000-0005-0000-0000-00006B160000}"/>
    <cellStyle name="Normal 12 2 10 2 5" xfId="4148" xr:uid="{00000000-0005-0000-0000-00006C160000}"/>
    <cellStyle name="Normal 12 2 10 2 6" xfId="4149" xr:uid="{00000000-0005-0000-0000-00006D160000}"/>
    <cellStyle name="Normal 12 2 10 3" xfId="4150" xr:uid="{00000000-0005-0000-0000-00006E160000}"/>
    <cellStyle name="Normal 12 2 10 3 2" xfId="47616" xr:uid="{00000000-0005-0000-0000-00006F160000}"/>
    <cellStyle name="Normal 12 2 10 3 3" xfId="47617" xr:uid="{00000000-0005-0000-0000-000070160000}"/>
    <cellStyle name="Normal 12 2 10 4" xfId="4151" xr:uid="{00000000-0005-0000-0000-000071160000}"/>
    <cellStyle name="Normal 12 2 10 4 2" xfId="47618" xr:uid="{00000000-0005-0000-0000-000072160000}"/>
    <cellStyle name="Normal 12 2 10 5" xfId="4152" xr:uid="{00000000-0005-0000-0000-000073160000}"/>
    <cellStyle name="Normal 12 2 10 6" xfId="4153" xr:uid="{00000000-0005-0000-0000-000074160000}"/>
    <cellStyle name="Normal 12 2 10 7" xfId="4154" xr:uid="{00000000-0005-0000-0000-000075160000}"/>
    <cellStyle name="Normal 12 2 11" xfId="4155" xr:uid="{00000000-0005-0000-0000-000076160000}"/>
    <cellStyle name="Normal 12 2 11 2" xfId="4156" xr:uid="{00000000-0005-0000-0000-000077160000}"/>
    <cellStyle name="Normal 12 2 11 2 2" xfId="47619" xr:uid="{00000000-0005-0000-0000-000078160000}"/>
    <cellStyle name="Normal 12 2 11 2 3" xfId="47620" xr:uid="{00000000-0005-0000-0000-000079160000}"/>
    <cellStyle name="Normal 12 2 11 3" xfId="4157" xr:uid="{00000000-0005-0000-0000-00007A160000}"/>
    <cellStyle name="Normal 12 2 11 3 2" xfId="47621" xr:uid="{00000000-0005-0000-0000-00007B160000}"/>
    <cellStyle name="Normal 12 2 11 4" xfId="4158" xr:uid="{00000000-0005-0000-0000-00007C160000}"/>
    <cellStyle name="Normal 12 2 11 5" xfId="4159" xr:uid="{00000000-0005-0000-0000-00007D160000}"/>
    <cellStyle name="Normal 12 2 11 6" xfId="4160" xr:uid="{00000000-0005-0000-0000-00007E160000}"/>
    <cellStyle name="Normal 12 2 12" xfId="4161" xr:uid="{00000000-0005-0000-0000-00007F160000}"/>
    <cellStyle name="Normal 12 2 12 2" xfId="47622" xr:uid="{00000000-0005-0000-0000-000080160000}"/>
    <cellStyle name="Normal 12 2 12 3" xfId="47623" xr:uid="{00000000-0005-0000-0000-000081160000}"/>
    <cellStyle name="Normal 12 2 13" xfId="4162" xr:uid="{00000000-0005-0000-0000-000082160000}"/>
    <cellStyle name="Normal 12 2 13 2" xfId="47624" xr:uid="{00000000-0005-0000-0000-000083160000}"/>
    <cellStyle name="Normal 12 2 14" xfId="4163" xr:uid="{00000000-0005-0000-0000-000084160000}"/>
    <cellStyle name="Normal 12 2 14 2" xfId="47625" xr:uid="{00000000-0005-0000-0000-000085160000}"/>
    <cellStyle name="Normal 12 2 15" xfId="4164" xr:uid="{00000000-0005-0000-0000-000086160000}"/>
    <cellStyle name="Normal 12 2 16" xfId="4165" xr:uid="{00000000-0005-0000-0000-000087160000}"/>
    <cellStyle name="Normal 12 2 17" xfId="4166" xr:uid="{00000000-0005-0000-0000-000088160000}"/>
    <cellStyle name="Normal 12 2 18" xfId="4167" xr:uid="{00000000-0005-0000-0000-000089160000}"/>
    <cellStyle name="Normal 12 2 19" xfId="4168" xr:uid="{00000000-0005-0000-0000-00008A160000}"/>
    <cellStyle name="Normal 12 2 2" xfId="4169" xr:uid="{00000000-0005-0000-0000-00008B160000}"/>
    <cellStyle name="Normal 12 2 2 10" xfId="4170" xr:uid="{00000000-0005-0000-0000-00008C160000}"/>
    <cellStyle name="Normal 12 2 2 11" xfId="4171" xr:uid="{00000000-0005-0000-0000-00008D160000}"/>
    <cellStyle name="Normal 12 2 2 12" xfId="4172" xr:uid="{00000000-0005-0000-0000-00008E160000}"/>
    <cellStyle name="Normal 12 2 2 13" xfId="4173" xr:uid="{00000000-0005-0000-0000-00008F160000}"/>
    <cellStyle name="Normal 12 2 2 14" xfId="4174" xr:uid="{00000000-0005-0000-0000-000090160000}"/>
    <cellStyle name="Normal 12 2 2 15" xfId="4175" xr:uid="{00000000-0005-0000-0000-000091160000}"/>
    <cellStyle name="Normal 12 2 2 16" xfId="4176" xr:uid="{00000000-0005-0000-0000-000092160000}"/>
    <cellStyle name="Normal 12 2 2 2" xfId="4177" xr:uid="{00000000-0005-0000-0000-000093160000}"/>
    <cellStyle name="Normal 12 2 2 2 10" xfId="4178" xr:uid="{00000000-0005-0000-0000-000094160000}"/>
    <cellStyle name="Normal 12 2 2 2 11" xfId="4179" xr:uid="{00000000-0005-0000-0000-000095160000}"/>
    <cellStyle name="Normal 12 2 2 2 12" xfId="4180" xr:uid="{00000000-0005-0000-0000-000096160000}"/>
    <cellStyle name="Normal 12 2 2 2 13" xfId="4181" xr:uid="{00000000-0005-0000-0000-000097160000}"/>
    <cellStyle name="Normal 12 2 2 2 14" xfId="4182" xr:uid="{00000000-0005-0000-0000-000098160000}"/>
    <cellStyle name="Normal 12 2 2 2 2" xfId="4183" xr:uid="{00000000-0005-0000-0000-000099160000}"/>
    <cellStyle name="Normal 12 2 2 2 2 2" xfId="4184" xr:uid="{00000000-0005-0000-0000-00009A160000}"/>
    <cellStyle name="Normal 12 2 2 2 2 2 2" xfId="4185" xr:uid="{00000000-0005-0000-0000-00009B160000}"/>
    <cellStyle name="Normal 12 2 2 2 2 2 2 2" xfId="4186" xr:uid="{00000000-0005-0000-0000-00009C160000}"/>
    <cellStyle name="Normal 12 2 2 2 2 2 2 2 2" xfId="47626" xr:uid="{00000000-0005-0000-0000-00009D160000}"/>
    <cellStyle name="Normal 12 2 2 2 2 2 2 2 3" xfId="47627" xr:uid="{00000000-0005-0000-0000-00009E160000}"/>
    <cellStyle name="Normal 12 2 2 2 2 2 2 3" xfId="4187" xr:uid="{00000000-0005-0000-0000-00009F160000}"/>
    <cellStyle name="Normal 12 2 2 2 2 2 2 3 2" xfId="47628" xr:uid="{00000000-0005-0000-0000-0000A0160000}"/>
    <cellStyle name="Normal 12 2 2 2 2 2 2 4" xfId="4188" xr:uid="{00000000-0005-0000-0000-0000A1160000}"/>
    <cellStyle name="Normal 12 2 2 2 2 2 2 5" xfId="4189" xr:uid="{00000000-0005-0000-0000-0000A2160000}"/>
    <cellStyle name="Normal 12 2 2 2 2 2 2 6" xfId="4190" xr:uid="{00000000-0005-0000-0000-0000A3160000}"/>
    <cellStyle name="Normal 12 2 2 2 2 2 3" xfId="4191" xr:uid="{00000000-0005-0000-0000-0000A4160000}"/>
    <cellStyle name="Normal 12 2 2 2 2 2 3 2" xfId="47629" xr:uid="{00000000-0005-0000-0000-0000A5160000}"/>
    <cellStyle name="Normal 12 2 2 2 2 2 3 3" xfId="47630" xr:uid="{00000000-0005-0000-0000-0000A6160000}"/>
    <cellStyle name="Normal 12 2 2 2 2 2 4" xfId="4192" xr:uid="{00000000-0005-0000-0000-0000A7160000}"/>
    <cellStyle name="Normal 12 2 2 2 2 2 4 2" xfId="47631" xr:uid="{00000000-0005-0000-0000-0000A8160000}"/>
    <cellStyle name="Normal 12 2 2 2 2 2 5" xfId="4193" xr:uid="{00000000-0005-0000-0000-0000A9160000}"/>
    <cellStyle name="Normal 12 2 2 2 2 2 6" xfId="4194" xr:uid="{00000000-0005-0000-0000-0000AA160000}"/>
    <cellStyle name="Normal 12 2 2 2 2 2 7" xfId="4195" xr:uid="{00000000-0005-0000-0000-0000AB160000}"/>
    <cellStyle name="Normal 12 2 2 2 2 3" xfId="4196" xr:uid="{00000000-0005-0000-0000-0000AC160000}"/>
    <cellStyle name="Normal 12 2 2 2 2 3 2" xfId="4197" xr:uid="{00000000-0005-0000-0000-0000AD160000}"/>
    <cellStyle name="Normal 12 2 2 2 2 3 2 2" xfId="47632" xr:uid="{00000000-0005-0000-0000-0000AE160000}"/>
    <cellStyle name="Normal 12 2 2 2 2 3 2 3" xfId="47633" xr:uid="{00000000-0005-0000-0000-0000AF160000}"/>
    <cellStyle name="Normal 12 2 2 2 2 3 3" xfId="4198" xr:uid="{00000000-0005-0000-0000-0000B0160000}"/>
    <cellStyle name="Normal 12 2 2 2 2 3 3 2" xfId="47634" xr:uid="{00000000-0005-0000-0000-0000B1160000}"/>
    <cellStyle name="Normal 12 2 2 2 2 3 4" xfId="4199" xr:uid="{00000000-0005-0000-0000-0000B2160000}"/>
    <cellStyle name="Normal 12 2 2 2 2 3 5" xfId="4200" xr:uid="{00000000-0005-0000-0000-0000B3160000}"/>
    <cellStyle name="Normal 12 2 2 2 2 3 6" xfId="4201" xr:uid="{00000000-0005-0000-0000-0000B4160000}"/>
    <cellStyle name="Normal 12 2 2 2 2 4" xfId="4202" xr:uid="{00000000-0005-0000-0000-0000B5160000}"/>
    <cellStyle name="Normal 12 2 2 2 2 4 2" xfId="47635" xr:uid="{00000000-0005-0000-0000-0000B6160000}"/>
    <cellStyle name="Normal 12 2 2 2 2 4 3" xfId="47636" xr:uid="{00000000-0005-0000-0000-0000B7160000}"/>
    <cellStyle name="Normal 12 2 2 2 2 5" xfId="4203" xr:uid="{00000000-0005-0000-0000-0000B8160000}"/>
    <cellStyle name="Normal 12 2 2 2 2 5 2" xfId="47637" xr:uid="{00000000-0005-0000-0000-0000B9160000}"/>
    <cellStyle name="Normal 12 2 2 2 2 6" xfId="4204" xr:uid="{00000000-0005-0000-0000-0000BA160000}"/>
    <cellStyle name="Normal 12 2 2 2 2 7" xfId="4205" xr:uid="{00000000-0005-0000-0000-0000BB160000}"/>
    <cellStyle name="Normal 12 2 2 2 2 8" xfId="4206" xr:uid="{00000000-0005-0000-0000-0000BC160000}"/>
    <cellStyle name="Normal 12 2 2 2 2 9" xfId="4207" xr:uid="{00000000-0005-0000-0000-0000BD160000}"/>
    <cellStyle name="Normal 12 2 2 2 3" xfId="4208" xr:uid="{00000000-0005-0000-0000-0000BE160000}"/>
    <cellStyle name="Normal 12 2 2 2 3 2" xfId="4209" xr:uid="{00000000-0005-0000-0000-0000BF160000}"/>
    <cellStyle name="Normal 12 2 2 2 3 2 2" xfId="4210" xr:uid="{00000000-0005-0000-0000-0000C0160000}"/>
    <cellStyle name="Normal 12 2 2 2 3 2 2 2" xfId="4211" xr:uid="{00000000-0005-0000-0000-0000C1160000}"/>
    <cellStyle name="Normal 12 2 2 2 3 2 2 2 2" xfId="47638" xr:uid="{00000000-0005-0000-0000-0000C2160000}"/>
    <cellStyle name="Normal 12 2 2 2 3 2 2 2 3" xfId="47639" xr:uid="{00000000-0005-0000-0000-0000C3160000}"/>
    <cellStyle name="Normal 12 2 2 2 3 2 2 3" xfId="4212" xr:uid="{00000000-0005-0000-0000-0000C4160000}"/>
    <cellStyle name="Normal 12 2 2 2 3 2 2 3 2" xfId="47640" xr:uid="{00000000-0005-0000-0000-0000C5160000}"/>
    <cellStyle name="Normal 12 2 2 2 3 2 2 4" xfId="4213" xr:uid="{00000000-0005-0000-0000-0000C6160000}"/>
    <cellStyle name="Normal 12 2 2 2 3 2 2 5" xfId="4214" xr:uid="{00000000-0005-0000-0000-0000C7160000}"/>
    <cellStyle name="Normal 12 2 2 2 3 2 2 6" xfId="4215" xr:uid="{00000000-0005-0000-0000-0000C8160000}"/>
    <cellStyle name="Normal 12 2 2 2 3 2 3" xfId="4216" xr:uid="{00000000-0005-0000-0000-0000C9160000}"/>
    <cellStyle name="Normal 12 2 2 2 3 2 3 2" xfId="47641" xr:uid="{00000000-0005-0000-0000-0000CA160000}"/>
    <cellStyle name="Normal 12 2 2 2 3 2 3 3" xfId="47642" xr:uid="{00000000-0005-0000-0000-0000CB160000}"/>
    <cellStyle name="Normal 12 2 2 2 3 2 4" xfId="4217" xr:uid="{00000000-0005-0000-0000-0000CC160000}"/>
    <cellStyle name="Normal 12 2 2 2 3 2 4 2" xfId="47643" xr:uid="{00000000-0005-0000-0000-0000CD160000}"/>
    <cellStyle name="Normal 12 2 2 2 3 2 5" xfId="4218" xr:uid="{00000000-0005-0000-0000-0000CE160000}"/>
    <cellStyle name="Normal 12 2 2 2 3 2 6" xfId="4219" xr:uid="{00000000-0005-0000-0000-0000CF160000}"/>
    <cellStyle name="Normal 12 2 2 2 3 2 7" xfId="4220" xr:uid="{00000000-0005-0000-0000-0000D0160000}"/>
    <cellStyle name="Normal 12 2 2 2 3 3" xfId="4221" xr:uid="{00000000-0005-0000-0000-0000D1160000}"/>
    <cellStyle name="Normal 12 2 2 2 3 3 2" xfId="4222" xr:uid="{00000000-0005-0000-0000-0000D2160000}"/>
    <cellStyle name="Normal 12 2 2 2 3 3 2 2" xfId="47644" xr:uid="{00000000-0005-0000-0000-0000D3160000}"/>
    <cellStyle name="Normal 12 2 2 2 3 3 2 3" xfId="47645" xr:uid="{00000000-0005-0000-0000-0000D4160000}"/>
    <cellStyle name="Normal 12 2 2 2 3 3 3" xfId="4223" xr:uid="{00000000-0005-0000-0000-0000D5160000}"/>
    <cellStyle name="Normal 12 2 2 2 3 3 3 2" xfId="47646" xr:uid="{00000000-0005-0000-0000-0000D6160000}"/>
    <cellStyle name="Normal 12 2 2 2 3 3 4" xfId="4224" xr:uid="{00000000-0005-0000-0000-0000D7160000}"/>
    <cellStyle name="Normal 12 2 2 2 3 3 5" xfId="4225" xr:uid="{00000000-0005-0000-0000-0000D8160000}"/>
    <cellStyle name="Normal 12 2 2 2 3 3 6" xfId="4226" xr:uid="{00000000-0005-0000-0000-0000D9160000}"/>
    <cellStyle name="Normal 12 2 2 2 3 4" xfId="4227" xr:uid="{00000000-0005-0000-0000-0000DA160000}"/>
    <cellStyle name="Normal 12 2 2 2 3 4 2" xfId="47647" xr:uid="{00000000-0005-0000-0000-0000DB160000}"/>
    <cellStyle name="Normal 12 2 2 2 3 4 3" xfId="47648" xr:uid="{00000000-0005-0000-0000-0000DC160000}"/>
    <cellStyle name="Normal 12 2 2 2 3 5" xfId="4228" xr:uid="{00000000-0005-0000-0000-0000DD160000}"/>
    <cellStyle name="Normal 12 2 2 2 3 5 2" xfId="47649" xr:uid="{00000000-0005-0000-0000-0000DE160000}"/>
    <cellStyle name="Normal 12 2 2 2 3 6" xfId="4229" xr:uid="{00000000-0005-0000-0000-0000DF160000}"/>
    <cellStyle name="Normal 12 2 2 2 3 7" xfId="4230" xr:uid="{00000000-0005-0000-0000-0000E0160000}"/>
    <cellStyle name="Normal 12 2 2 2 3 8" xfId="4231" xr:uid="{00000000-0005-0000-0000-0000E1160000}"/>
    <cellStyle name="Normal 12 2 2 2 4" xfId="4232" xr:uid="{00000000-0005-0000-0000-0000E2160000}"/>
    <cellStyle name="Normal 12 2 2 2 4 2" xfId="4233" xr:uid="{00000000-0005-0000-0000-0000E3160000}"/>
    <cellStyle name="Normal 12 2 2 2 4 2 2" xfId="4234" xr:uid="{00000000-0005-0000-0000-0000E4160000}"/>
    <cellStyle name="Normal 12 2 2 2 4 2 2 2" xfId="47650" xr:uid="{00000000-0005-0000-0000-0000E5160000}"/>
    <cellStyle name="Normal 12 2 2 2 4 2 2 3" xfId="47651" xr:uid="{00000000-0005-0000-0000-0000E6160000}"/>
    <cellStyle name="Normal 12 2 2 2 4 2 3" xfId="4235" xr:uid="{00000000-0005-0000-0000-0000E7160000}"/>
    <cellStyle name="Normal 12 2 2 2 4 2 3 2" xfId="47652" xr:uid="{00000000-0005-0000-0000-0000E8160000}"/>
    <cellStyle name="Normal 12 2 2 2 4 2 4" xfId="4236" xr:uid="{00000000-0005-0000-0000-0000E9160000}"/>
    <cellStyle name="Normal 12 2 2 2 4 2 5" xfId="4237" xr:uid="{00000000-0005-0000-0000-0000EA160000}"/>
    <cellStyle name="Normal 12 2 2 2 4 2 6" xfId="4238" xr:uid="{00000000-0005-0000-0000-0000EB160000}"/>
    <cellStyle name="Normal 12 2 2 2 4 3" xfId="4239" xr:uid="{00000000-0005-0000-0000-0000EC160000}"/>
    <cellStyle name="Normal 12 2 2 2 4 3 2" xfId="47653" xr:uid="{00000000-0005-0000-0000-0000ED160000}"/>
    <cellStyle name="Normal 12 2 2 2 4 3 3" xfId="47654" xr:uid="{00000000-0005-0000-0000-0000EE160000}"/>
    <cellStyle name="Normal 12 2 2 2 4 4" xfId="4240" xr:uid="{00000000-0005-0000-0000-0000EF160000}"/>
    <cellStyle name="Normal 12 2 2 2 4 4 2" xfId="47655" xr:uid="{00000000-0005-0000-0000-0000F0160000}"/>
    <cellStyle name="Normal 12 2 2 2 4 5" xfId="4241" xr:uid="{00000000-0005-0000-0000-0000F1160000}"/>
    <cellStyle name="Normal 12 2 2 2 4 6" xfId="4242" xr:uid="{00000000-0005-0000-0000-0000F2160000}"/>
    <cellStyle name="Normal 12 2 2 2 4 7" xfId="4243" xr:uid="{00000000-0005-0000-0000-0000F3160000}"/>
    <cellStyle name="Normal 12 2 2 2 5" xfId="4244" xr:uid="{00000000-0005-0000-0000-0000F4160000}"/>
    <cellStyle name="Normal 12 2 2 2 5 2" xfId="4245" xr:uid="{00000000-0005-0000-0000-0000F5160000}"/>
    <cellStyle name="Normal 12 2 2 2 5 2 2" xfId="47656" xr:uid="{00000000-0005-0000-0000-0000F6160000}"/>
    <cellStyle name="Normal 12 2 2 2 5 2 3" xfId="47657" xr:uid="{00000000-0005-0000-0000-0000F7160000}"/>
    <cellStyle name="Normal 12 2 2 2 5 3" xfId="4246" xr:uid="{00000000-0005-0000-0000-0000F8160000}"/>
    <cellStyle name="Normal 12 2 2 2 5 3 2" xfId="47658" xr:uid="{00000000-0005-0000-0000-0000F9160000}"/>
    <cellStyle name="Normal 12 2 2 2 5 4" xfId="4247" xr:uid="{00000000-0005-0000-0000-0000FA160000}"/>
    <cellStyle name="Normal 12 2 2 2 5 5" xfId="4248" xr:uid="{00000000-0005-0000-0000-0000FB160000}"/>
    <cellStyle name="Normal 12 2 2 2 5 6" xfId="4249" xr:uid="{00000000-0005-0000-0000-0000FC160000}"/>
    <cellStyle name="Normal 12 2 2 2 6" xfId="4250" xr:uid="{00000000-0005-0000-0000-0000FD160000}"/>
    <cellStyle name="Normal 12 2 2 2 6 2" xfId="47659" xr:uid="{00000000-0005-0000-0000-0000FE160000}"/>
    <cellStyle name="Normal 12 2 2 2 6 3" xfId="47660" xr:uid="{00000000-0005-0000-0000-0000FF160000}"/>
    <cellStyle name="Normal 12 2 2 2 7" xfId="4251" xr:uid="{00000000-0005-0000-0000-000000170000}"/>
    <cellStyle name="Normal 12 2 2 2 7 2" xfId="47661" xr:uid="{00000000-0005-0000-0000-000001170000}"/>
    <cellStyle name="Normal 12 2 2 2 8" xfId="4252" xr:uid="{00000000-0005-0000-0000-000002170000}"/>
    <cellStyle name="Normal 12 2 2 2 9" xfId="4253" xr:uid="{00000000-0005-0000-0000-000003170000}"/>
    <cellStyle name="Normal 12 2 2 3" xfId="4254" xr:uid="{00000000-0005-0000-0000-000004170000}"/>
    <cellStyle name="Normal 12 2 2 3 2" xfId="4255" xr:uid="{00000000-0005-0000-0000-000005170000}"/>
    <cellStyle name="Normal 12 2 2 3 2 2" xfId="4256" xr:uid="{00000000-0005-0000-0000-000006170000}"/>
    <cellStyle name="Normal 12 2 2 3 2 2 2" xfId="4257" xr:uid="{00000000-0005-0000-0000-000007170000}"/>
    <cellStyle name="Normal 12 2 2 3 2 2 2 2" xfId="47662" xr:uid="{00000000-0005-0000-0000-000008170000}"/>
    <cellStyle name="Normal 12 2 2 3 2 2 2 3" xfId="47663" xr:uid="{00000000-0005-0000-0000-000009170000}"/>
    <cellStyle name="Normal 12 2 2 3 2 2 3" xfId="4258" xr:uid="{00000000-0005-0000-0000-00000A170000}"/>
    <cellStyle name="Normal 12 2 2 3 2 2 3 2" xfId="47664" xr:uid="{00000000-0005-0000-0000-00000B170000}"/>
    <cellStyle name="Normal 12 2 2 3 2 2 4" xfId="4259" xr:uid="{00000000-0005-0000-0000-00000C170000}"/>
    <cellStyle name="Normal 12 2 2 3 2 2 5" xfId="4260" xr:uid="{00000000-0005-0000-0000-00000D170000}"/>
    <cellStyle name="Normal 12 2 2 3 2 2 6" xfId="4261" xr:uid="{00000000-0005-0000-0000-00000E170000}"/>
    <cellStyle name="Normal 12 2 2 3 2 3" xfId="4262" xr:uid="{00000000-0005-0000-0000-00000F170000}"/>
    <cellStyle name="Normal 12 2 2 3 2 3 2" xfId="47665" xr:uid="{00000000-0005-0000-0000-000010170000}"/>
    <cellStyle name="Normal 12 2 2 3 2 3 3" xfId="47666" xr:uid="{00000000-0005-0000-0000-000011170000}"/>
    <cellStyle name="Normal 12 2 2 3 2 4" xfId="4263" xr:uid="{00000000-0005-0000-0000-000012170000}"/>
    <cellStyle name="Normal 12 2 2 3 2 4 2" xfId="47667" xr:uid="{00000000-0005-0000-0000-000013170000}"/>
    <cellStyle name="Normal 12 2 2 3 2 5" xfId="4264" xr:uid="{00000000-0005-0000-0000-000014170000}"/>
    <cellStyle name="Normal 12 2 2 3 2 6" xfId="4265" xr:uid="{00000000-0005-0000-0000-000015170000}"/>
    <cellStyle name="Normal 12 2 2 3 2 7" xfId="4266" xr:uid="{00000000-0005-0000-0000-000016170000}"/>
    <cellStyle name="Normal 12 2 2 3 3" xfId="4267" xr:uid="{00000000-0005-0000-0000-000017170000}"/>
    <cellStyle name="Normal 12 2 2 3 3 2" xfId="4268" xr:uid="{00000000-0005-0000-0000-000018170000}"/>
    <cellStyle name="Normal 12 2 2 3 3 2 2" xfId="47668" xr:uid="{00000000-0005-0000-0000-000019170000}"/>
    <cellStyle name="Normal 12 2 2 3 3 2 3" xfId="47669" xr:uid="{00000000-0005-0000-0000-00001A170000}"/>
    <cellStyle name="Normal 12 2 2 3 3 3" xfId="4269" xr:uid="{00000000-0005-0000-0000-00001B170000}"/>
    <cellStyle name="Normal 12 2 2 3 3 3 2" xfId="47670" xr:uid="{00000000-0005-0000-0000-00001C170000}"/>
    <cellStyle name="Normal 12 2 2 3 3 4" xfId="4270" xr:uid="{00000000-0005-0000-0000-00001D170000}"/>
    <cellStyle name="Normal 12 2 2 3 3 5" xfId="4271" xr:uid="{00000000-0005-0000-0000-00001E170000}"/>
    <cellStyle name="Normal 12 2 2 3 3 6" xfId="4272" xr:uid="{00000000-0005-0000-0000-00001F170000}"/>
    <cellStyle name="Normal 12 2 2 3 4" xfId="4273" xr:uid="{00000000-0005-0000-0000-000020170000}"/>
    <cellStyle name="Normal 12 2 2 3 4 2" xfId="47671" xr:uid="{00000000-0005-0000-0000-000021170000}"/>
    <cellStyle name="Normal 12 2 2 3 4 3" xfId="47672" xr:uid="{00000000-0005-0000-0000-000022170000}"/>
    <cellStyle name="Normal 12 2 2 3 5" xfId="4274" xr:uid="{00000000-0005-0000-0000-000023170000}"/>
    <cellStyle name="Normal 12 2 2 3 5 2" xfId="47673" xr:uid="{00000000-0005-0000-0000-000024170000}"/>
    <cellStyle name="Normal 12 2 2 3 6" xfId="4275" xr:uid="{00000000-0005-0000-0000-000025170000}"/>
    <cellStyle name="Normal 12 2 2 3 7" xfId="4276" xr:uid="{00000000-0005-0000-0000-000026170000}"/>
    <cellStyle name="Normal 12 2 2 3 8" xfId="4277" xr:uid="{00000000-0005-0000-0000-000027170000}"/>
    <cellStyle name="Normal 12 2 2 3 9" xfId="4278" xr:uid="{00000000-0005-0000-0000-000028170000}"/>
    <cellStyle name="Normal 12 2 2 4" xfId="4279" xr:uid="{00000000-0005-0000-0000-000029170000}"/>
    <cellStyle name="Normal 12 2 2 4 2" xfId="4280" xr:uid="{00000000-0005-0000-0000-00002A170000}"/>
    <cellStyle name="Normal 12 2 2 4 2 2" xfId="4281" xr:uid="{00000000-0005-0000-0000-00002B170000}"/>
    <cellStyle name="Normal 12 2 2 4 2 2 2" xfId="4282" xr:uid="{00000000-0005-0000-0000-00002C170000}"/>
    <cellStyle name="Normal 12 2 2 4 2 2 2 2" xfId="47674" xr:uid="{00000000-0005-0000-0000-00002D170000}"/>
    <cellStyle name="Normal 12 2 2 4 2 2 2 3" xfId="47675" xr:uid="{00000000-0005-0000-0000-00002E170000}"/>
    <cellStyle name="Normal 12 2 2 4 2 2 3" xfId="4283" xr:uid="{00000000-0005-0000-0000-00002F170000}"/>
    <cellStyle name="Normal 12 2 2 4 2 2 3 2" xfId="47676" xr:uid="{00000000-0005-0000-0000-000030170000}"/>
    <cellStyle name="Normal 12 2 2 4 2 2 4" xfId="4284" xr:uid="{00000000-0005-0000-0000-000031170000}"/>
    <cellStyle name="Normal 12 2 2 4 2 2 5" xfId="4285" xr:uid="{00000000-0005-0000-0000-000032170000}"/>
    <cellStyle name="Normal 12 2 2 4 2 2 6" xfId="4286" xr:uid="{00000000-0005-0000-0000-000033170000}"/>
    <cellStyle name="Normal 12 2 2 4 2 3" xfId="4287" xr:uid="{00000000-0005-0000-0000-000034170000}"/>
    <cellStyle name="Normal 12 2 2 4 2 3 2" xfId="47677" xr:uid="{00000000-0005-0000-0000-000035170000}"/>
    <cellStyle name="Normal 12 2 2 4 2 3 3" xfId="47678" xr:uid="{00000000-0005-0000-0000-000036170000}"/>
    <cellStyle name="Normal 12 2 2 4 2 4" xfId="4288" xr:uid="{00000000-0005-0000-0000-000037170000}"/>
    <cellStyle name="Normal 12 2 2 4 2 4 2" xfId="47679" xr:uid="{00000000-0005-0000-0000-000038170000}"/>
    <cellStyle name="Normal 12 2 2 4 2 5" xfId="4289" xr:uid="{00000000-0005-0000-0000-000039170000}"/>
    <cellStyle name="Normal 12 2 2 4 2 6" xfId="4290" xr:uid="{00000000-0005-0000-0000-00003A170000}"/>
    <cellStyle name="Normal 12 2 2 4 2 7" xfId="4291" xr:uid="{00000000-0005-0000-0000-00003B170000}"/>
    <cellStyle name="Normal 12 2 2 4 3" xfId="4292" xr:uid="{00000000-0005-0000-0000-00003C170000}"/>
    <cellStyle name="Normal 12 2 2 4 3 2" xfId="4293" xr:uid="{00000000-0005-0000-0000-00003D170000}"/>
    <cellStyle name="Normal 12 2 2 4 3 2 2" xfId="47680" xr:uid="{00000000-0005-0000-0000-00003E170000}"/>
    <cellStyle name="Normal 12 2 2 4 3 2 3" xfId="47681" xr:uid="{00000000-0005-0000-0000-00003F170000}"/>
    <cellStyle name="Normal 12 2 2 4 3 3" xfId="4294" xr:uid="{00000000-0005-0000-0000-000040170000}"/>
    <cellStyle name="Normal 12 2 2 4 3 3 2" xfId="47682" xr:uid="{00000000-0005-0000-0000-000041170000}"/>
    <cellStyle name="Normal 12 2 2 4 3 4" xfId="4295" xr:uid="{00000000-0005-0000-0000-000042170000}"/>
    <cellStyle name="Normal 12 2 2 4 3 5" xfId="4296" xr:uid="{00000000-0005-0000-0000-000043170000}"/>
    <cellStyle name="Normal 12 2 2 4 3 6" xfId="4297" xr:uid="{00000000-0005-0000-0000-000044170000}"/>
    <cellStyle name="Normal 12 2 2 4 4" xfId="4298" xr:uid="{00000000-0005-0000-0000-000045170000}"/>
    <cellStyle name="Normal 12 2 2 4 4 2" xfId="47683" xr:uid="{00000000-0005-0000-0000-000046170000}"/>
    <cellStyle name="Normal 12 2 2 4 4 3" xfId="47684" xr:uid="{00000000-0005-0000-0000-000047170000}"/>
    <cellStyle name="Normal 12 2 2 4 5" xfId="4299" xr:uid="{00000000-0005-0000-0000-000048170000}"/>
    <cellStyle name="Normal 12 2 2 4 5 2" xfId="47685" xr:uid="{00000000-0005-0000-0000-000049170000}"/>
    <cellStyle name="Normal 12 2 2 4 6" xfId="4300" xr:uid="{00000000-0005-0000-0000-00004A170000}"/>
    <cellStyle name="Normal 12 2 2 4 7" xfId="4301" xr:uid="{00000000-0005-0000-0000-00004B170000}"/>
    <cellStyle name="Normal 12 2 2 4 8" xfId="4302" xr:uid="{00000000-0005-0000-0000-00004C170000}"/>
    <cellStyle name="Normal 12 2 2 5" xfId="4303" xr:uid="{00000000-0005-0000-0000-00004D170000}"/>
    <cellStyle name="Normal 12 2 2 5 2" xfId="4304" xr:uid="{00000000-0005-0000-0000-00004E170000}"/>
    <cellStyle name="Normal 12 2 2 5 2 2" xfId="4305" xr:uid="{00000000-0005-0000-0000-00004F170000}"/>
    <cellStyle name="Normal 12 2 2 5 2 2 2" xfId="47686" xr:uid="{00000000-0005-0000-0000-000050170000}"/>
    <cellStyle name="Normal 12 2 2 5 2 2 3" xfId="47687" xr:uid="{00000000-0005-0000-0000-000051170000}"/>
    <cellStyle name="Normal 12 2 2 5 2 3" xfId="4306" xr:uid="{00000000-0005-0000-0000-000052170000}"/>
    <cellStyle name="Normal 12 2 2 5 2 3 2" xfId="47688" xr:uid="{00000000-0005-0000-0000-000053170000}"/>
    <cellStyle name="Normal 12 2 2 5 2 4" xfId="4307" xr:uid="{00000000-0005-0000-0000-000054170000}"/>
    <cellStyle name="Normal 12 2 2 5 2 5" xfId="4308" xr:uid="{00000000-0005-0000-0000-000055170000}"/>
    <cellStyle name="Normal 12 2 2 5 2 6" xfId="4309" xr:uid="{00000000-0005-0000-0000-000056170000}"/>
    <cellStyle name="Normal 12 2 2 5 3" xfId="4310" xr:uid="{00000000-0005-0000-0000-000057170000}"/>
    <cellStyle name="Normal 12 2 2 5 3 2" xfId="47689" xr:uid="{00000000-0005-0000-0000-000058170000}"/>
    <cellStyle name="Normal 12 2 2 5 3 3" xfId="47690" xr:uid="{00000000-0005-0000-0000-000059170000}"/>
    <cellStyle name="Normal 12 2 2 5 4" xfId="4311" xr:uid="{00000000-0005-0000-0000-00005A170000}"/>
    <cellStyle name="Normal 12 2 2 5 4 2" xfId="47691" xr:uid="{00000000-0005-0000-0000-00005B170000}"/>
    <cellStyle name="Normal 12 2 2 5 5" xfId="4312" xr:uid="{00000000-0005-0000-0000-00005C170000}"/>
    <cellStyle name="Normal 12 2 2 5 6" xfId="4313" xr:uid="{00000000-0005-0000-0000-00005D170000}"/>
    <cellStyle name="Normal 12 2 2 5 7" xfId="4314" xr:uid="{00000000-0005-0000-0000-00005E170000}"/>
    <cellStyle name="Normal 12 2 2 6" xfId="4315" xr:uid="{00000000-0005-0000-0000-00005F170000}"/>
    <cellStyle name="Normal 12 2 2 6 2" xfId="4316" xr:uid="{00000000-0005-0000-0000-000060170000}"/>
    <cellStyle name="Normal 12 2 2 6 2 2" xfId="47692" xr:uid="{00000000-0005-0000-0000-000061170000}"/>
    <cellStyle name="Normal 12 2 2 6 2 3" xfId="47693" xr:uid="{00000000-0005-0000-0000-000062170000}"/>
    <cellStyle name="Normal 12 2 2 6 3" xfId="4317" xr:uid="{00000000-0005-0000-0000-000063170000}"/>
    <cellStyle name="Normal 12 2 2 6 3 2" xfId="47694" xr:uid="{00000000-0005-0000-0000-000064170000}"/>
    <cellStyle name="Normal 12 2 2 6 4" xfId="4318" xr:uid="{00000000-0005-0000-0000-000065170000}"/>
    <cellStyle name="Normal 12 2 2 6 5" xfId="4319" xr:uid="{00000000-0005-0000-0000-000066170000}"/>
    <cellStyle name="Normal 12 2 2 6 6" xfId="4320" xr:uid="{00000000-0005-0000-0000-000067170000}"/>
    <cellStyle name="Normal 12 2 2 7" xfId="4321" xr:uid="{00000000-0005-0000-0000-000068170000}"/>
    <cellStyle name="Normal 12 2 2 7 2" xfId="47695" xr:uid="{00000000-0005-0000-0000-000069170000}"/>
    <cellStyle name="Normal 12 2 2 7 3" xfId="47696" xr:uid="{00000000-0005-0000-0000-00006A170000}"/>
    <cellStyle name="Normal 12 2 2 8" xfId="4322" xr:uid="{00000000-0005-0000-0000-00006B170000}"/>
    <cellStyle name="Normal 12 2 2 8 2" xfId="47697" xr:uid="{00000000-0005-0000-0000-00006C170000}"/>
    <cellStyle name="Normal 12 2 2 9" xfId="4323" xr:uid="{00000000-0005-0000-0000-00006D170000}"/>
    <cellStyle name="Normal 12 2 2 9 2" xfId="47698" xr:uid="{00000000-0005-0000-0000-00006E170000}"/>
    <cellStyle name="Normal 12 2 20" xfId="4324" xr:uid="{00000000-0005-0000-0000-00006F170000}"/>
    <cellStyle name="Normal 12 2 3" xfId="4325" xr:uid="{00000000-0005-0000-0000-000070170000}"/>
    <cellStyle name="Normal 12 2 3 10" xfId="4326" xr:uid="{00000000-0005-0000-0000-000071170000}"/>
    <cellStyle name="Normal 12 2 3 11" xfId="4327" xr:uid="{00000000-0005-0000-0000-000072170000}"/>
    <cellStyle name="Normal 12 2 3 12" xfId="4328" xr:uid="{00000000-0005-0000-0000-000073170000}"/>
    <cellStyle name="Normal 12 2 3 13" xfId="4329" xr:uid="{00000000-0005-0000-0000-000074170000}"/>
    <cellStyle name="Normal 12 2 3 14" xfId="4330" xr:uid="{00000000-0005-0000-0000-000075170000}"/>
    <cellStyle name="Normal 12 2 3 15" xfId="4331" xr:uid="{00000000-0005-0000-0000-000076170000}"/>
    <cellStyle name="Normal 12 2 3 2" xfId="4332" xr:uid="{00000000-0005-0000-0000-000077170000}"/>
    <cellStyle name="Normal 12 2 3 2 10" xfId="4333" xr:uid="{00000000-0005-0000-0000-000078170000}"/>
    <cellStyle name="Normal 12 2 3 2 11" xfId="4334" xr:uid="{00000000-0005-0000-0000-000079170000}"/>
    <cellStyle name="Normal 12 2 3 2 12" xfId="4335" xr:uid="{00000000-0005-0000-0000-00007A170000}"/>
    <cellStyle name="Normal 12 2 3 2 13" xfId="4336" xr:uid="{00000000-0005-0000-0000-00007B170000}"/>
    <cellStyle name="Normal 12 2 3 2 14" xfId="4337" xr:uid="{00000000-0005-0000-0000-00007C170000}"/>
    <cellStyle name="Normal 12 2 3 2 2" xfId="4338" xr:uid="{00000000-0005-0000-0000-00007D170000}"/>
    <cellStyle name="Normal 12 2 3 2 2 2" xfId="4339" xr:uid="{00000000-0005-0000-0000-00007E170000}"/>
    <cellStyle name="Normal 12 2 3 2 2 2 2" xfId="4340" xr:uid="{00000000-0005-0000-0000-00007F170000}"/>
    <cellStyle name="Normal 12 2 3 2 2 2 2 2" xfId="4341" xr:uid="{00000000-0005-0000-0000-000080170000}"/>
    <cellStyle name="Normal 12 2 3 2 2 2 2 2 2" xfId="47699" xr:uid="{00000000-0005-0000-0000-000081170000}"/>
    <cellStyle name="Normal 12 2 3 2 2 2 2 2 3" xfId="47700" xr:uid="{00000000-0005-0000-0000-000082170000}"/>
    <cellStyle name="Normal 12 2 3 2 2 2 2 3" xfId="4342" xr:uid="{00000000-0005-0000-0000-000083170000}"/>
    <cellStyle name="Normal 12 2 3 2 2 2 2 3 2" xfId="47701" xr:uid="{00000000-0005-0000-0000-000084170000}"/>
    <cellStyle name="Normal 12 2 3 2 2 2 2 4" xfId="4343" xr:uid="{00000000-0005-0000-0000-000085170000}"/>
    <cellStyle name="Normal 12 2 3 2 2 2 2 5" xfId="4344" xr:uid="{00000000-0005-0000-0000-000086170000}"/>
    <cellStyle name="Normal 12 2 3 2 2 2 2 6" xfId="4345" xr:uid="{00000000-0005-0000-0000-000087170000}"/>
    <cellStyle name="Normal 12 2 3 2 2 2 3" xfId="4346" xr:uid="{00000000-0005-0000-0000-000088170000}"/>
    <cellStyle name="Normal 12 2 3 2 2 2 3 2" xfId="47702" xr:uid="{00000000-0005-0000-0000-000089170000}"/>
    <cellStyle name="Normal 12 2 3 2 2 2 3 3" xfId="47703" xr:uid="{00000000-0005-0000-0000-00008A170000}"/>
    <cellStyle name="Normal 12 2 3 2 2 2 4" xfId="4347" xr:uid="{00000000-0005-0000-0000-00008B170000}"/>
    <cellStyle name="Normal 12 2 3 2 2 2 4 2" xfId="47704" xr:uid="{00000000-0005-0000-0000-00008C170000}"/>
    <cellStyle name="Normal 12 2 3 2 2 2 5" xfId="4348" xr:uid="{00000000-0005-0000-0000-00008D170000}"/>
    <cellStyle name="Normal 12 2 3 2 2 2 6" xfId="4349" xr:uid="{00000000-0005-0000-0000-00008E170000}"/>
    <cellStyle name="Normal 12 2 3 2 2 2 7" xfId="4350" xr:uid="{00000000-0005-0000-0000-00008F170000}"/>
    <cellStyle name="Normal 12 2 3 2 2 3" xfId="4351" xr:uid="{00000000-0005-0000-0000-000090170000}"/>
    <cellStyle name="Normal 12 2 3 2 2 3 2" xfId="4352" xr:uid="{00000000-0005-0000-0000-000091170000}"/>
    <cellStyle name="Normal 12 2 3 2 2 3 2 2" xfId="47705" xr:uid="{00000000-0005-0000-0000-000092170000}"/>
    <cellStyle name="Normal 12 2 3 2 2 3 2 3" xfId="47706" xr:uid="{00000000-0005-0000-0000-000093170000}"/>
    <cellStyle name="Normal 12 2 3 2 2 3 3" xfId="4353" xr:uid="{00000000-0005-0000-0000-000094170000}"/>
    <cellStyle name="Normal 12 2 3 2 2 3 3 2" xfId="47707" xr:uid="{00000000-0005-0000-0000-000095170000}"/>
    <cellStyle name="Normal 12 2 3 2 2 3 4" xfId="4354" xr:uid="{00000000-0005-0000-0000-000096170000}"/>
    <cellStyle name="Normal 12 2 3 2 2 3 5" xfId="4355" xr:uid="{00000000-0005-0000-0000-000097170000}"/>
    <cellStyle name="Normal 12 2 3 2 2 3 6" xfId="4356" xr:uid="{00000000-0005-0000-0000-000098170000}"/>
    <cellStyle name="Normal 12 2 3 2 2 4" xfId="4357" xr:uid="{00000000-0005-0000-0000-000099170000}"/>
    <cellStyle name="Normal 12 2 3 2 2 4 2" xfId="47708" xr:uid="{00000000-0005-0000-0000-00009A170000}"/>
    <cellStyle name="Normal 12 2 3 2 2 4 3" xfId="47709" xr:uid="{00000000-0005-0000-0000-00009B170000}"/>
    <cellStyle name="Normal 12 2 3 2 2 5" xfId="4358" xr:uid="{00000000-0005-0000-0000-00009C170000}"/>
    <cellStyle name="Normal 12 2 3 2 2 5 2" xfId="47710" xr:uid="{00000000-0005-0000-0000-00009D170000}"/>
    <cellStyle name="Normal 12 2 3 2 2 6" xfId="4359" xr:uid="{00000000-0005-0000-0000-00009E170000}"/>
    <cellStyle name="Normal 12 2 3 2 2 7" xfId="4360" xr:uid="{00000000-0005-0000-0000-00009F170000}"/>
    <cellStyle name="Normal 12 2 3 2 2 8" xfId="4361" xr:uid="{00000000-0005-0000-0000-0000A0170000}"/>
    <cellStyle name="Normal 12 2 3 2 2 9" xfId="4362" xr:uid="{00000000-0005-0000-0000-0000A1170000}"/>
    <cellStyle name="Normal 12 2 3 2 3" xfId="4363" xr:uid="{00000000-0005-0000-0000-0000A2170000}"/>
    <cellStyle name="Normal 12 2 3 2 3 2" xfId="4364" xr:uid="{00000000-0005-0000-0000-0000A3170000}"/>
    <cellStyle name="Normal 12 2 3 2 3 2 2" xfId="4365" xr:uid="{00000000-0005-0000-0000-0000A4170000}"/>
    <cellStyle name="Normal 12 2 3 2 3 2 2 2" xfId="4366" xr:uid="{00000000-0005-0000-0000-0000A5170000}"/>
    <cellStyle name="Normal 12 2 3 2 3 2 2 2 2" xfId="47711" xr:uid="{00000000-0005-0000-0000-0000A6170000}"/>
    <cellStyle name="Normal 12 2 3 2 3 2 2 2 3" xfId="47712" xr:uid="{00000000-0005-0000-0000-0000A7170000}"/>
    <cellStyle name="Normal 12 2 3 2 3 2 2 3" xfId="4367" xr:uid="{00000000-0005-0000-0000-0000A8170000}"/>
    <cellStyle name="Normal 12 2 3 2 3 2 2 3 2" xfId="47713" xr:uid="{00000000-0005-0000-0000-0000A9170000}"/>
    <cellStyle name="Normal 12 2 3 2 3 2 2 4" xfId="4368" xr:uid="{00000000-0005-0000-0000-0000AA170000}"/>
    <cellStyle name="Normal 12 2 3 2 3 2 2 5" xfId="4369" xr:uid="{00000000-0005-0000-0000-0000AB170000}"/>
    <cellStyle name="Normal 12 2 3 2 3 2 2 6" xfId="4370" xr:uid="{00000000-0005-0000-0000-0000AC170000}"/>
    <cellStyle name="Normal 12 2 3 2 3 2 3" xfId="4371" xr:uid="{00000000-0005-0000-0000-0000AD170000}"/>
    <cellStyle name="Normal 12 2 3 2 3 2 3 2" xfId="47714" xr:uid="{00000000-0005-0000-0000-0000AE170000}"/>
    <cellStyle name="Normal 12 2 3 2 3 2 3 3" xfId="47715" xr:uid="{00000000-0005-0000-0000-0000AF170000}"/>
    <cellStyle name="Normal 12 2 3 2 3 2 4" xfId="4372" xr:uid="{00000000-0005-0000-0000-0000B0170000}"/>
    <cellStyle name="Normal 12 2 3 2 3 2 4 2" xfId="47716" xr:uid="{00000000-0005-0000-0000-0000B1170000}"/>
    <cellStyle name="Normal 12 2 3 2 3 2 5" xfId="4373" xr:uid="{00000000-0005-0000-0000-0000B2170000}"/>
    <cellStyle name="Normal 12 2 3 2 3 2 6" xfId="4374" xr:uid="{00000000-0005-0000-0000-0000B3170000}"/>
    <cellStyle name="Normal 12 2 3 2 3 2 7" xfId="4375" xr:uid="{00000000-0005-0000-0000-0000B4170000}"/>
    <cellStyle name="Normal 12 2 3 2 3 3" xfId="4376" xr:uid="{00000000-0005-0000-0000-0000B5170000}"/>
    <cellStyle name="Normal 12 2 3 2 3 3 2" xfId="4377" xr:uid="{00000000-0005-0000-0000-0000B6170000}"/>
    <cellStyle name="Normal 12 2 3 2 3 3 2 2" xfId="47717" xr:uid="{00000000-0005-0000-0000-0000B7170000}"/>
    <cellStyle name="Normal 12 2 3 2 3 3 2 3" xfId="47718" xr:uid="{00000000-0005-0000-0000-0000B8170000}"/>
    <cellStyle name="Normal 12 2 3 2 3 3 3" xfId="4378" xr:uid="{00000000-0005-0000-0000-0000B9170000}"/>
    <cellStyle name="Normal 12 2 3 2 3 3 3 2" xfId="47719" xr:uid="{00000000-0005-0000-0000-0000BA170000}"/>
    <cellStyle name="Normal 12 2 3 2 3 3 4" xfId="4379" xr:uid="{00000000-0005-0000-0000-0000BB170000}"/>
    <cellStyle name="Normal 12 2 3 2 3 3 5" xfId="4380" xr:uid="{00000000-0005-0000-0000-0000BC170000}"/>
    <cellStyle name="Normal 12 2 3 2 3 3 6" xfId="4381" xr:uid="{00000000-0005-0000-0000-0000BD170000}"/>
    <cellStyle name="Normal 12 2 3 2 3 4" xfId="4382" xr:uid="{00000000-0005-0000-0000-0000BE170000}"/>
    <cellStyle name="Normal 12 2 3 2 3 4 2" xfId="47720" xr:uid="{00000000-0005-0000-0000-0000BF170000}"/>
    <cellStyle name="Normal 12 2 3 2 3 4 3" xfId="47721" xr:uid="{00000000-0005-0000-0000-0000C0170000}"/>
    <cellStyle name="Normal 12 2 3 2 3 5" xfId="4383" xr:uid="{00000000-0005-0000-0000-0000C1170000}"/>
    <cellStyle name="Normal 12 2 3 2 3 5 2" xfId="47722" xr:uid="{00000000-0005-0000-0000-0000C2170000}"/>
    <cellStyle name="Normal 12 2 3 2 3 6" xfId="4384" xr:uid="{00000000-0005-0000-0000-0000C3170000}"/>
    <cellStyle name="Normal 12 2 3 2 3 7" xfId="4385" xr:uid="{00000000-0005-0000-0000-0000C4170000}"/>
    <cellStyle name="Normal 12 2 3 2 3 8" xfId="4386" xr:uid="{00000000-0005-0000-0000-0000C5170000}"/>
    <cellStyle name="Normal 12 2 3 2 4" xfId="4387" xr:uid="{00000000-0005-0000-0000-0000C6170000}"/>
    <cellStyle name="Normal 12 2 3 2 4 2" xfId="4388" xr:uid="{00000000-0005-0000-0000-0000C7170000}"/>
    <cellStyle name="Normal 12 2 3 2 4 2 2" xfId="4389" xr:uid="{00000000-0005-0000-0000-0000C8170000}"/>
    <cellStyle name="Normal 12 2 3 2 4 2 2 2" xfId="47723" xr:uid="{00000000-0005-0000-0000-0000C9170000}"/>
    <cellStyle name="Normal 12 2 3 2 4 2 2 3" xfId="47724" xr:uid="{00000000-0005-0000-0000-0000CA170000}"/>
    <cellStyle name="Normal 12 2 3 2 4 2 3" xfId="4390" xr:uid="{00000000-0005-0000-0000-0000CB170000}"/>
    <cellStyle name="Normal 12 2 3 2 4 2 3 2" xfId="47725" xr:uid="{00000000-0005-0000-0000-0000CC170000}"/>
    <cellStyle name="Normal 12 2 3 2 4 2 4" xfId="4391" xr:uid="{00000000-0005-0000-0000-0000CD170000}"/>
    <cellStyle name="Normal 12 2 3 2 4 2 5" xfId="4392" xr:uid="{00000000-0005-0000-0000-0000CE170000}"/>
    <cellStyle name="Normal 12 2 3 2 4 2 6" xfId="4393" xr:uid="{00000000-0005-0000-0000-0000CF170000}"/>
    <cellStyle name="Normal 12 2 3 2 4 3" xfId="4394" xr:uid="{00000000-0005-0000-0000-0000D0170000}"/>
    <cellStyle name="Normal 12 2 3 2 4 3 2" xfId="47726" xr:uid="{00000000-0005-0000-0000-0000D1170000}"/>
    <cellStyle name="Normal 12 2 3 2 4 3 3" xfId="47727" xr:uid="{00000000-0005-0000-0000-0000D2170000}"/>
    <cellStyle name="Normal 12 2 3 2 4 4" xfId="4395" xr:uid="{00000000-0005-0000-0000-0000D3170000}"/>
    <cellStyle name="Normal 12 2 3 2 4 4 2" xfId="47728" xr:uid="{00000000-0005-0000-0000-0000D4170000}"/>
    <cellStyle name="Normal 12 2 3 2 4 5" xfId="4396" xr:uid="{00000000-0005-0000-0000-0000D5170000}"/>
    <cellStyle name="Normal 12 2 3 2 4 6" xfId="4397" xr:uid="{00000000-0005-0000-0000-0000D6170000}"/>
    <cellStyle name="Normal 12 2 3 2 4 7" xfId="4398" xr:uid="{00000000-0005-0000-0000-0000D7170000}"/>
    <cellStyle name="Normal 12 2 3 2 5" xfId="4399" xr:uid="{00000000-0005-0000-0000-0000D8170000}"/>
    <cellStyle name="Normal 12 2 3 2 5 2" xfId="4400" xr:uid="{00000000-0005-0000-0000-0000D9170000}"/>
    <cellStyle name="Normal 12 2 3 2 5 2 2" xfId="47729" xr:uid="{00000000-0005-0000-0000-0000DA170000}"/>
    <cellStyle name="Normal 12 2 3 2 5 2 3" xfId="47730" xr:uid="{00000000-0005-0000-0000-0000DB170000}"/>
    <cellStyle name="Normal 12 2 3 2 5 3" xfId="4401" xr:uid="{00000000-0005-0000-0000-0000DC170000}"/>
    <cellStyle name="Normal 12 2 3 2 5 3 2" xfId="47731" xr:uid="{00000000-0005-0000-0000-0000DD170000}"/>
    <cellStyle name="Normal 12 2 3 2 5 4" xfId="4402" xr:uid="{00000000-0005-0000-0000-0000DE170000}"/>
    <cellStyle name="Normal 12 2 3 2 5 5" xfId="4403" xr:uid="{00000000-0005-0000-0000-0000DF170000}"/>
    <cellStyle name="Normal 12 2 3 2 5 6" xfId="4404" xr:uid="{00000000-0005-0000-0000-0000E0170000}"/>
    <cellStyle name="Normal 12 2 3 2 6" xfId="4405" xr:uid="{00000000-0005-0000-0000-0000E1170000}"/>
    <cellStyle name="Normal 12 2 3 2 6 2" xfId="47732" xr:uid="{00000000-0005-0000-0000-0000E2170000}"/>
    <cellStyle name="Normal 12 2 3 2 6 3" xfId="47733" xr:uid="{00000000-0005-0000-0000-0000E3170000}"/>
    <cellStyle name="Normal 12 2 3 2 7" xfId="4406" xr:uid="{00000000-0005-0000-0000-0000E4170000}"/>
    <cellStyle name="Normal 12 2 3 2 7 2" xfId="47734" xr:uid="{00000000-0005-0000-0000-0000E5170000}"/>
    <cellStyle name="Normal 12 2 3 2 8" xfId="4407" xr:uid="{00000000-0005-0000-0000-0000E6170000}"/>
    <cellStyle name="Normal 12 2 3 2 9" xfId="4408" xr:uid="{00000000-0005-0000-0000-0000E7170000}"/>
    <cellStyle name="Normal 12 2 3 3" xfId="4409" xr:uid="{00000000-0005-0000-0000-0000E8170000}"/>
    <cellStyle name="Normal 12 2 3 3 2" xfId="4410" xr:uid="{00000000-0005-0000-0000-0000E9170000}"/>
    <cellStyle name="Normal 12 2 3 3 2 2" xfId="4411" xr:uid="{00000000-0005-0000-0000-0000EA170000}"/>
    <cellStyle name="Normal 12 2 3 3 2 2 2" xfId="4412" xr:uid="{00000000-0005-0000-0000-0000EB170000}"/>
    <cellStyle name="Normal 12 2 3 3 2 2 2 2" xfId="47735" xr:uid="{00000000-0005-0000-0000-0000EC170000}"/>
    <cellStyle name="Normal 12 2 3 3 2 2 2 3" xfId="47736" xr:uid="{00000000-0005-0000-0000-0000ED170000}"/>
    <cellStyle name="Normal 12 2 3 3 2 2 3" xfId="4413" xr:uid="{00000000-0005-0000-0000-0000EE170000}"/>
    <cellStyle name="Normal 12 2 3 3 2 2 3 2" xfId="47737" xr:uid="{00000000-0005-0000-0000-0000EF170000}"/>
    <cellStyle name="Normal 12 2 3 3 2 2 4" xfId="4414" xr:uid="{00000000-0005-0000-0000-0000F0170000}"/>
    <cellStyle name="Normal 12 2 3 3 2 2 5" xfId="4415" xr:uid="{00000000-0005-0000-0000-0000F1170000}"/>
    <cellStyle name="Normal 12 2 3 3 2 2 6" xfId="4416" xr:uid="{00000000-0005-0000-0000-0000F2170000}"/>
    <cellStyle name="Normal 12 2 3 3 2 3" xfId="4417" xr:uid="{00000000-0005-0000-0000-0000F3170000}"/>
    <cellStyle name="Normal 12 2 3 3 2 3 2" xfId="47738" xr:uid="{00000000-0005-0000-0000-0000F4170000}"/>
    <cellStyle name="Normal 12 2 3 3 2 3 3" xfId="47739" xr:uid="{00000000-0005-0000-0000-0000F5170000}"/>
    <cellStyle name="Normal 12 2 3 3 2 4" xfId="4418" xr:uid="{00000000-0005-0000-0000-0000F6170000}"/>
    <cellStyle name="Normal 12 2 3 3 2 4 2" xfId="47740" xr:uid="{00000000-0005-0000-0000-0000F7170000}"/>
    <cellStyle name="Normal 12 2 3 3 2 5" xfId="4419" xr:uid="{00000000-0005-0000-0000-0000F8170000}"/>
    <cellStyle name="Normal 12 2 3 3 2 6" xfId="4420" xr:uid="{00000000-0005-0000-0000-0000F9170000}"/>
    <cellStyle name="Normal 12 2 3 3 2 7" xfId="4421" xr:uid="{00000000-0005-0000-0000-0000FA170000}"/>
    <cellStyle name="Normal 12 2 3 3 3" xfId="4422" xr:uid="{00000000-0005-0000-0000-0000FB170000}"/>
    <cellStyle name="Normal 12 2 3 3 3 2" xfId="4423" xr:uid="{00000000-0005-0000-0000-0000FC170000}"/>
    <cellStyle name="Normal 12 2 3 3 3 2 2" xfId="47741" xr:uid="{00000000-0005-0000-0000-0000FD170000}"/>
    <cellStyle name="Normal 12 2 3 3 3 2 3" xfId="47742" xr:uid="{00000000-0005-0000-0000-0000FE170000}"/>
    <cellStyle name="Normal 12 2 3 3 3 3" xfId="4424" xr:uid="{00000000-0005-0000-0000-0000FF170000}"/>
    <cellStyle name="Normal 12 2 3 3 3 3 2" xfId="47743" xr:uid="{00000000-0005-0000-0000-000000180000}"/>
    <cellStyle name="Normal 12 2 3 3 3 4" xfId="4425" xr:uid="{00000000-0005-0000-0000-000001180000}"/>
    <cellStyle name="Normal 12 2 3 3 3 5" xfId="4426" xr:uid="{00000000-0005-0000-0000-000002180000}"/>
    <cellStyle name="Normal 12 2 3 3 3 6" xfId="4427" xr:uid="{00000000-0005-0000-0000-000003180000}"/>
    <cellStyle name="Normal 12 2 3 3 4" xfId="4428" xr:uid="{00000000-0005-0000-0000-000004180000}"/>
    <cellStyle name="Normal 12 2 3 3 4 2" xfId="47744" xr:uid="{00000000-0005-0000-0000-000005180000}"/>
    <cellStyle name="Normal 12 2 3 3 4 3" xfId="47745" xr:uid="{00000000-0005-0000-0000-000006180000}"/>
    <cellStyle name="Normal 12 2 3 3 5" xfId="4429" xr:uid="{00000000-0005-0000-0000-000007180000}"/>
    <cellStyle name="Normal 12 2 3 3 5 2" xfId="47746" xr:uid="{00000000-0005-0000-0000-000008180000}"/>
    <cellStyle name="Normal 12 2 3 3 6" xfId="4430" xr:uid="{00000000-0005-0000-0000-000009180000}"/>
    <cellStyle name="Normal 12 2 3 3 7" xfId="4431" xr:uid="{00000000-0005-0000-0000-00000A180000}"/>
    <cellStyle name="Normal 12 2 3 3 8" xfId="4432" xr:uid="{00000000-0005-0000-0000-00000B180000}"/>
    <cellStyle name="Normal 12 2 3 3 9" xfId="4433" xr:uid="{00000000-0005-0000-0000-00000C180000}"/>
    <cellStyle name="Normal 12 2 3 4" xfId="4434" xr:uid="{00000000-0005-0000-0000-00000D180000}"/>
    <cellStyle name="Normal 12 2 3 4 2" xfId="4435" xr:uid="{00000000-0005-0000-0000-00000E180000}"/>
    <cellStyle name="Normal 12 2 3 4 2 2" xfId="4436" xr:uid="{00000000-0005-0000-0000-00000F180000}"/>
    <cellStyle name="Normal 12 2 3 4 2 2 2" xfId="4437" xr:uid="{00000000-0005-0000-0000-000010180000}"/>
    <cellStyle name="Normal 12 2 3 4 2 2 2 2" xfId="47747" xr:uid="{00000000-0005-0000-0000-000011180000}"/>
    <cellStyle name="Normal 12 2 3 4 2 2 2 3" xfId="47748" xr:uid="{00000000-0005-0000-0000-000012180000}"/>
    <cellStyle name="Normal 12 2 3 4 2 2 3" xfId="4438" xr:uid="{00000000-0005-0000-0000-000013180000}"/>
    <cellStyle name="Normal 12 2 3 4 2 2 3 2" xfId="47749" xr:uid="{00000000-0005-0000-0000-000014180000}"/>
    <cellStyle name="Normal 12 2 3 4 2 2 4" xfId="4439" xr:uid="{00000000-0005-0000-0000-000015180000}"/>
    <cellStyle name="Normal 12 2 3 4 2 2 5" xfId="4440" xr:uid="{00000000-0005-0000-0000-000016180000}"/>
    <cellStyle name="Normal 12 2 3 4 2 2 6" xfId="4441" xr:uid="{00000000-0005-0000-0000-000017180000}"/>
    <cellStyle name="Normal 12 2 3 4 2 3" xfId="4442" xr:uid="{00000000-0005-0000-0000-000018180000}"/>
    <cellStyle name="Normal 12 2 3 4 2 3 2" xfId="47750" xr:uid="{00000000-0005-0000-0000-000019180000}"/>
    <cellStyle name="Normal 12 2 3 4 2 3 3" xfId="47751" xr:uid="{00000000-0005-0000-0000-00001A180000}"/>
    <cellStyle name="Normal 12 2 3 4 2 4" xfId="4443" xr:uid="{00000000-0005-0000-0000-00001B180000}"/>
    <cellStyle name="Normal 12 2 3 4 2 4 2" xfId="47752" xr:uid="{00000000-0005-0000-0000-00001C180000}"/>
    <cellStyle name="Normal 12 2 3 4 2 5" xfId="4444" xr:uid="{00000000-0005-0000-0000-00001D180000}"/>
    <cellStyle name="Normal 12 2 3 4 2 6" xfId="4445" xr:uid="{00000000-0005-0000-0000-00001E180000}"/>
    <cellStyle name="Normal 12 2 3 4 2 7" xfId="4446" xr:uid="{00000000-0005-0000-0000-00001F180000}"/>
    <cellStyle name="Normal 12 2 3 4 3" xfId="4447" xr:uid="{00000000-0005-0000-0000-000020180000}"/>
    <cellStyle name="Normal 12 2 3 4 3 2" xfId="4448" xr:uid="{00000000-0005-0000-0000-000021180000}"/>
    <cellStyle name="Normal 12 2 3 4 3 2 2" xfId="47753" xr:uid="{00000000-0005-0000-0000-000022180000}"/>
    <cellStyle name="Normal 12 2 3 4 3 2 3" xfId="47754" xr:uid="{00000000-0005-0000-0000-000023180000}"/>
    <cellStyle name="Normal 12 2 3 4 3 3" xfId="4449" xr:uid="{00000000-0005-0000-0000-000024180000}"/>
    <cellStyle name="Normal 12 2 3 4 3 3 2" xfId="47755" xr:uid="{00000000-0005-0000-0000-000025180000}"/>
    <cellStyle name="Normal 12 2 3 4 3 4" xfId="4450" xr:uid="{00000000-0005-0000-0000-000026180000}"/>
    <cellStyle name="Normal 12 2 3 4 3 5" xfId="4451" xr:uid="{00000000-0005-0000-0000-000027180000}"/>
    <cellStyle name="Normal 12 2 3 4 3 6" xfId="4452" xr:uid="{00000000-0005-0000-0000-000028180000}"/>
    <cellStyle name="Normal 12 2 3 4 4" xfId="4453" xr:uid="{00000000-0005-0000-0000-000029180000}"/>
    <cellStyle name="Normal 12 2 3 4 4 2" xfId="47756" xr:uid="{00000000-0005-0000-0000-00002A180000}"/>
    <cellStyle name="Normal 12 2 3 4 4 3" xfId="47757" xr:uid="{00000000-0005-0000-0000-00002B180000}"/>
    <cellStyle name="Normal 12 2 3 4 5" xfId="4454" xr:uid="{00000000-0005-0000-0000-00002C180000}"/>
    <cellStyle name="Normal 12 2 3 4 5 2" xfId="47758" xr:uid="{00000000-0005-0000-0000-00002D180000}"/>
    <cellStyle name="Normal 12 2 3 4 6" xfId="4455" xr:uid="{00000000-0005-0000-0000-00002E180000}"/>
    <cellStyle name="Normal 12 2 3 4 7" xfId="4456" xr:uid="{00000000-0005-0000-0000-00002F180000}"/>
    <cellStyle name="Normal 12 2 3 4 8" xfId="4457" xr:uid="{00000000-0005-0000-0000-000030180000}"/>
    <cellStyle name="Normal 12 2 3 5" xfId="4458" xr:uid="{00000000-0005-0000-0000-000031180000}"/>
    <cellStyle name="Normal 12 2 3 5 2" xfId="4459" xr:uid="{00000000-0005-0000-0000-000032180000}"/>
    <cellStyle name="Normal 12 2 3 5 2 2" xfId="4460" xr:uid="{00000000-0005-0000-0000-000033180000}"/>
    <cellStyle name="Normal 12 2 3 5 2 2 2" xfId="47759" xr:uid="{00000000-0005-0000-0000-000034180000}"/>
    <cellStyle name="Normal 12 2 3 5 2 2 3" xfId="47760" xr:uid="{00000000-0005-0000-0000-000035180000}"/>
    <cellStyle name="Normal 12 2 3 5 2 3" xfId="4461" xr:uid="{00000000-0005-0000-0000-000036180000}"/>
    <cellStyle name="Normal 12 2 3 5 2 3 2" xfId="47761" xr:uid="{00000000-0005-0000-0000-000037180000}"/>
    <cellStyle name="Normal 12 2 3 5 2 4" xfId="4462" xr:uid="{00000000-0005-0000-0000-000038180000}"/>
    <cellStyle name="Normal 12 2 3 5 2 5" xfId="4463" xr:uid="{00000000-0005-0000-0000-000039180000}"/>
    <cellStyle name="Normal 12 2 3 5 2 6" xfId="4464" xr:uid="{00000000-0005-0000-0000-00003A180000}"/>
    <cellStyle name="Normal 12 2 3 5 3" xfId="4465" xr:uid="{00000000-0005-0000-0000-00003B180000}"/>
    <cellStyle name="Normal 12 2 3 5 3 2" xfId="47762" xr:uid="{00000000-0005-0000-0000-00003C180000}"/>
    <cellStyle name="Normal 12 2 3 5 3 3" xfId="47763" xr:uid="{00000000-0005-0000-0000-00003D180000}"/>
    <cellStyle name="Normal 12 2 3 5 4" xfId="4466" xr:uid="{00000000-0005-0000-0000-00003E180000}"/>
    <cellStyle name="Normal 12 2 3 5 4 2" xfId="47764" xr:uid="{00000000-0005-0000-0000-00003F180000}"/>
    <cellStyle name="Normal 12 2 3 5 5" xfId="4467" xr:uid="{00000000-0005-0000-0000-000040180000}"/>
    <cellStyle name="Normal 12 2 3 5 6" xfId="4468" xr:uid="{00000000-0005-0000-0000-000041180000}"/>
    <cellStyle name="Normal 12 2 3 5 7" xfId="4469" xr:uid="{00000000-0005-0000-0000-000042180000}"/>
    <cellStyle name="Normal 12 2 3 6" xfId="4470" xr:uid="{00000000-0005-0000-0000-000043180000}"/>
    <cellStyle name="Normal 12 2 3 6 2" xfId="4471" xr:uid="{00000000-0005-0000-0000-000044180000}"/>
    <cellStyle name="Normal 12 2 3 6 2 2" xfId="47765" xr:uid="{00000000-0005-0000-0000-000045180000}"/>
    <cellStyle name="Normal 12 2 3 6 2 3" xfId="47766" xr:uid="{00000000-0005-0000-0000-000046180000}"/>
    <cellStyle name="Normal 12 2 3 6 3" xfId="4472" xr:uid="{00000000-0005-0000-0000-000047180000}"/>
    <cellStyle name="Normal 12 2 3 6 3 2" xfId="47767" xr:uid="{00000000-0005-0000-0000-000048180000}"/>
    <cellStyle name="Normal 12 2 3 6 4" xfId="4473" xr:uid="{00000000-0005-0000-0000-000049180000}"/>
    <cellStyle name="Normal 12 2 3 6 5" xfId="4474" xr:uid="{00000000-0005-0000-0000-00004A180000}"/>
    <cellStyle name="Normal 12 2 3 6 6" xfId="4475" xr:uid="{00000000-0005-0000-0000-00004B180000}"/>
    <cellStyle name="Normal 12 2 3 7" xfId="4476" xr:uid="{00000000-0005-0000-0000-00004C180000}"/>
    <cellStyle name="Normal 12 2 3 7 2" xfId="47768" xr:uid="{00000000-0005-0000-0000-00004D180000}"/>
    <cellStyle name="Normal 12 2 3 7 3" xfId="47769" xr:uid="{00000000-0005-0000-0000-00004E180000}"/>
    <cellStyle name="Normal 12 2 3 8" xfId="4477" xr:uid="{00000000-0005-0000-0000-00004F180000}"/>
    <cellStyle name="Normal 12 2 3 8 2" xfId="47770" xr:uid="{00000000-0005-0000-0000-000050180000}"/>
    <cellStyle name="Normal 12 2 3 9" xfId="4478" xr:uid="{00000000-0005-0000-0000-000051180000}"/>
    <cellStyle name="Normal 12 2 4" xfId="4479" xr:uid="{00000000-0005-0000-0000-000052180000}"/>
    <cellStyle name="Normal 12 2 4 10" xfId="4480" xr:uid="{00000000-0005-0000-0000-000053180000}"/>
    <cellStyle name="Normal 12 2 4 11" xfId="4481" xr:uid="{00000000-0005-0000-0000-000054180000}"/>
    <cellStyle name="Normal 12 2 4 12" xfId="4482" xr:uid="{00000000-0005-0000-0000-000055180000}"/>
    <cellStyle name="Normal 12 2 4 13" xfId="4483" xr:uid="{00000000-0005-0000-0000-000056180000}"/>
    <cellStyle name="Normal 12 2 4 14" xfId="4484" xr:uid="{00000000-0005-0000-0000-000057180000}"/>
    <cellStyle name="Normal 12 2 4 2" xfId="4485" xr:uid="{00000000-0005-0000-0000-000058180000}"/>
    <cellStyle name="Normal 12 2 4 2 2" xfId="4486" xr:uid="{00000000-0005-0000-0000-000059180000}"/>
    <cellStyle name="Normal 12 2 4 2 2 2" xfId="4487" xr:uid="{00000000-0005-0000-0000-00005A180000}"/>
    <cellStyle name="Normal 12 2 4 2 2 2 2" xfId="4488" xr:uid="{00000000-0005-0000-0000-00005B180000}"/>
    <cellStyle name="Normal 12 2 4 2 2 2 2 2" xfId="47771" xr:uid="{00000000-0005-0000-0000-00005C180000}"/>
    <cellStyle name="Normal 12 2 4 2 2 2 2 3" xfId="47772" xr:uid="{00000000-0005-0000-0000-00005D180000}"/>
    <cellStyle name="Normal 12 2 4 2 2 2 3" xfId="4489" xr:uid="{00000000-0005-0000-0000-00005E180000}"/>
    <cellStyle name="Normal 12 2 4 2 2 2 3 2" xfId="47773" xr:uid="{00000000-0005-0000-0000-00005F180000}"/>
    <cellStyle name="Normal 12 2 4 2 2 2 4" xfId="4490" xr:uid="{00000000-0005-0000-0000-000060180000}"/>
    <cellStyle name="Normal 12 2 4 2 2 2 5" xfId="4491" xr:uid="{00000000-0005-0000-0000-000061180000}"/>
    <cellStyle name="Normal 12 2 4 2 2 2 6" xfId="4492" xr:uid="{00000000-0005-0000-0000-000062180000}"/>
    <cellStyle name="Normal 12 2 4 2 2 3" xfId="4493" xr:uid="{00000000-0005-0000-0000-000063180000}"/>
    <cellStyle name="Normal 12 2 4 2 2 3 2" xfId="47774" xr:uid="{00000000-0005-0000-0000-000064180000}"/>
    <cellStyle name="Normal 12 2 4 2 2 3 3" xfId="47775" xr:uid="{00000000-0005-0000-0000-000065180000}"/>
    <cellStyle name="Normal 12 2 4 2 2 4" xfId="4494" xr:uid="{00000000-0005-0000-0000-000066180000}"/>
    <cellStyle name="Normal 12 2 4 2 2 4 2" xfId="47776" xr:uid="{00000000-0005-0000-0000-000067180000}"/>
    <cellStyle name="Normal 12 2 4 2 2 5" xfId="4495" xr:uid="{00000000-0005-0000-0000-000068180000}"/>
    <cellStyle name="Normal 12 2 4 2 2 6" xfId="4496" xr:uid="{00000000-0005-0000-0000-000069180000}"/>
    <cellStyle name="Normal 12 2 4 2 2 7" xfId="4497" xr:uid="{00000000-0005-0000-0000-00006A180000}"/>
    <cellStyle name="Normal 12 2 4 2 3" xfId="4498" xr:uid="{00000000-0005-0000-0000-00006B180000}"/>
    <cellStyle name="Normal 12 2 4 2 3 2" xfId="4499" xr:uid="{00000000-0005-0000-0000-00006C180000}"/>
    <cellStyle name="Normal 12 2 4 2 3 2 2" xfId="47777" xr:uid="{00000000-0005-0000-0000-00006D180000}"/>
    <cellStyle name="Normal 12 2 4 2 3 2 3" xfId="47778" xr:uid="{00000000-0005-0000-0000-00006E180000}"/>
    <cellStyle name="Normal 12 2 4 2 3 3" xfId="4500" xr:uid="{00000000-0005-0000-0000-00006F180000}"/>
    <cellStyle name="Normal 12 2 4 2 3 3 2" xfId="47779" xr:uid="{00000000-0005-0000-0000-000070180000}"/>
    <cellStyle name="Normal 12 2 4 2 3 4" xfId="4501" xr:uid="{00000000-0005-0000-0000-000071180000}"/>
    <cellStyle name="Normal 12 2 4 2 3 5" xfId="4502" xr:uid="{00000000-0005-0000-0000-000072180000}"/>
    <cellStyle name="Normal 12 2 4 2 3 6" xfId="4503" xr:uid="{00000000-0005-0000-0000-000073180000}"/>
    <cellStyle name="Normal 12 2 4 2 4" xfId="4504" xr:uid="{00000000-0005-0000-0000-000074180000}"/>
    <cellStyle name="Normal 12 2 4 2 4 2" xfId="47780" xr:uid="{00000000-0005-0000-0000-000075180000}"/>
    <cellStyle name="Normal 12 2 4 2 4 3" xfId="47781" xr:uid="{00000000-0005-0000-0000-000076180000}"/>
    <cellStyle name="Normal 12 2 4 2 5" xfId="4505" xr:uid="{00000000-0005-0000-0000-000077180000}"/>
    <cellStyle name="Normal 12 2 4 2 5 2" xfId="47782" xr:uid="{00000000-0005-0000-0000-000078180000}"/>
    <cellStyle name="Normal 12 2 4 2 6" xfId="4506" xr:uid="{00000000-0005-0000-0000-000079180000}"/>
    <cellStyle name="Normal 12 2 4 2 7" xfId="4507" xr:uid="{00000000-0005-0000-0000-00007A180000}"/>
    <cellStyle name="Normal 12 2 4 2 8" xfId="4508" xr:uid="{00000000-0005-0000-0000-00007B180000}"/>
    <cellStyle name="Normal 12 2 4 2 9" xfId="4509" xr:uid="{00000000-0005-0000-0000-00007C180000}"/>
    <cellStyle name="Normal 12 2 4 3" xfId="4510" xr:uid="{00000000-0005-0000-0000-00007D180000}"/>
    <cellStyle name="Normal 12 2 4 3 2" xfId="4511" xr:uid="{00000000-0005-0000-0000-00007E180000}"/>
    <cellStyle name="Normal 12 2 4 3 2 2" xfId="4512" xr:uid="{00000000-0005-0000-0000-00007F180000}"/>
    <cellStyle name="Normal 12 2 4 3 2 2 2" xfId="4513" xr:uid="{00000000-0005-0000-0000-000080180000}"/>
    <cellStyle name="Normal 12 2 4 3 2 2 2 2" xfId="47783" xr:uid="{00000000-0005-0000-0000-000081180000}"/>
    <cellStyle name="Normal 12 2 4 3 2 2 2 3" xfId="47784" xr:uid="{00000000-0005-0000-0000-000082180000}"/>
    <cellStyle name="Normal 12 2 4 3 2 2 3" xfId="4514" xr:uid="{00000000-0005-0000-0000-000083180000}"/>
    <cellStyle name="Normal 12 2 4 3 2 2 3 2" xfId="47785" xr:uid="{00000000-0005-0000-0000-000084180000}"/>
    <cellStyle name="Normal 12 2 4 3 2 2 4" xfId="4515" xr:uid="{00000000-0005-0000-0000-000085180000}"/>
    <cellStyle name="Normal 12 2 4 3 2 2 5" xfId="4516" xr:uid="{00000000-0005-0000-0000-000086180000}"/>
    <cellStyle name="Normal 12 2 4 3 2 2 6" xfId="4517" xr:uid="{00000000-0005-0000-0000-000087180000}"/>
    <cellStyle name="Normal 12 2 4 3 2 3" xfId="4518" xr:uid="{00000000-0005-0000-0000-000088180000}"/>
    <cellStyle name="Normal 12 2 4 3 2 3 2" xfId="47786" xr:uid="{00000000-0005-0000-0000-000089180000}"/>
    <cellStyle name="Normal 12 2 4 3 2 3 3" xfId="47787" xr:uid="{00000000-0005-0000-0000-00008A180000}"/>
    <cellStyle name="Normal 12 2 4 3 2 4" xfId="4519" xr:uid="{00000000-0005-0000-0000-00008B180000}"/>
    <cellStyle name="Normal 12 2 4 3 2 4 2" xfId="47788" xr:uid="{00000000-0005-0000-0000-00008C180000}"/>
    <cellStyle name="Normal 12 2 4 3 2 5" xfId="4520" xr:uid="{00000000-0005-0000-0000-00008D180000}"/>
    <cellStyle name="Normal 12 2 4 3 2 6" xfId="4521" xr:uid="{00000000-0005-0000-0000-00008E180000}"/>
    <cellStyle name="Normal 12 2 4 3 2 7" xfId="4522" xr:uid="{00000000-0005-0000-0000-00008F180000}"/>
    <cellStyle name="Normal 12 2 4 3 3" xfId="4523" xr:uid="{00000000-0005-0000-0000-000090180000}"/>
    <cellStyle name="Normal 12 2 4 3 3 2" xfId="4524" xr:uid="{00000000-0005-0000-0000-000091180000}"/>
    <cellStyle name="Normal 12 2 4 3 3 2 2" xfId="47789" xr:uid="{00000000-0005-0000-0000-000092180000}"/>
    <cellStyle name="Normal 12 2 4 3 3 2 3" xfId="47790" xr:uid="{00000000-0005-0000-0000-000093180000}"/>
    <cellStyle name="Normal 12 2 4 3 3 3" xfId="4525" xr:uid="{00000000-0005-0000-0000-000094180000}"/>
    <cellStyle name="Normal 12 2 4 3 3 3 2" xfId="47791" xr:uid="{00000000-0005-0000-0000-000095180000}"/>
    <cellStyle name="Normal 12 2 4 3 3 4" xfId="4526" xr:uid="{00000000-0005-0000-0000-000096180000}"/>
    <cellStyle name="Normal 12 2 4 3 3 5" xfId="4527" xr:uid="{00000000-0005-0000-0000-000097180000}"/>
    <cellStyle name="Normal 12 2 4 3 3 6" xfId="4528" xr:uid="{00000000-0005-0000-0000-000098180000}"/>
    <cellStyle name="Normal 12 2 4 3 4" xfId="4529" xr:uid="{00000000-0005-0000-0000-000099180000}"/>
    <cellStyle name="Normal 12 2 4 3 4 2" xfId="47792" xr:uid="{00000000-0005-0000-0000-00009A180000}"/>
    <cellStyle name="Normal 12 2 4 3 4 3" xfId="47793" xr:uid="{00000000-0005-0000-0000-00009B180000}"/>
    <cellStyle name="Normal 12 2 4 3 5" xfId="4530" xr:uid="{00000000-0005-0000-0000-00009C180000}"/>
    <cellStyle name="Normal 12 2 4 3 5 2" xfId="47794" xr:uid="{00000000-0005-0000-0000-00009D180000}"/>
    <cellStyle name="Normal 12 2 4 3 6" xfId="4531" xr:uid="{00000000-0005-0000-0000-00009E180000}"/>
    <cellStyle name="Normal 12 2 4 3 7" xfId="4532" xr:uid="{00000000-0005-0000-0000-00009F180000}"/>
    <cellStyle name="Normal 12 2 4 3 8" xfId="4533" xr:uid="{00000000-0005-0000-0000-0000A0180000}"/>
    <cellStyle name="Normal 12 2 4 4" xfId="4534" xr:uid="{00000000-0005-0000-0000-0000A1180000}"/>
    <cellStyle name="Normal 12 2 4 4 2" xfId="4535" xr:uid="{00000000-0005-0000-0000-0000A2180000}"/>
    <cellStyle name="Normal 12 2 4 4 2 2" xfId="4536" xr:uid="{00000000-0005-0000-0000-0000A3180000}"/>
    <cellStyle name="Normal 12 2 4 4 2 2 2" xfId="47795" xr:uid="{00000000-0005-0000-0000-0000A4180000}"/>
    <cellStyle name="Normal 12 2 4 4 2 2 3" xfId="47796" xr:uid="{00000000-0005-0000-0000-0000A5180000}"/>
    <cellStyle name="Normal 12 2 4 4 2 3" xfId="4537" xr:uid="{00000000-0005-0000-0000-0000A6180000}"/>
    <cellStyle name="Normal 12 2 4 4 2 3 2" xfId="47797" xr:uid="{00000000-0005-0000-0000-0000A7180000}"/>
    <cellStyle name="Normal 12 2 4 4 2 4" xfId="4538" xr:uid="{00000000-0005-0000-0000-0000A8180000}"/>
    <cellStyle name="Normal 12 2 4 4 2 5" xfId="4539" xr:uid="{00000000-0005-0000-0000-0000A9180000}"/>
    <cellStyle name="Normal 12 2 4 4 2 6" xfId="4540" xr:uid="{00000000-0005-0000-0000-0000AA180000}"/>
    <cellStyle name="Normal 12 2 4 4 3" xfId="4541" xr:uid="{00000000-0005-0000-0000-0000AB180000}"/>
    <cellStyle name="Normal 12 2 4 4 3 2" xfId="47798" xr:uid="{00000000-0005-0000-0000-0000AC180000}"/>
    <cellStyle name="Normal 12 2 4 4 3 3" xfId="47799" xr:uid="{00000000-0005-0000-0000-0000AD180000}"/>
    <cellStyle name="Normal 12 2 4 4 4" xfId="4542" xr:uid="{00000000-0005-0000-0000-0000AE180000}"/>
    <cellStyle name="Normal 12 2 4 4 4 2" xfId="47800" xr:uid="{00000000-0005-0000-0000-0000AF180000}"/>
    <cellStyle name="Normal 12 2 4 4 5" xfId="4543" xr:uid="{00000000-0005-0000-0000-0000B0180000}"/>
    <cellStyle name="Normal 12 2 4 4 6" xfId="4544" xr:uid="{00000000-0005-0000-0000-0000B1180000}"/>
    <cellStyle name="Normal 12 2 4 4 7" xfId="4545" xr:uid="{00000000-0005-0000-0000-0000B2180000}"/>
    <cellStyle name="Normal 12 2 4 5" xfId="4546" xr:uid="{00000000-0005-0000-0000-0000B3180000}"/>
    <cellStyle name="Normal 12 2 4 5 2" xfId="4547" xr:uid="{00000000-0005-0000-0000-0000B4180000}"/>
    <cellStyle name="Normal 12 2 4 5 2 2" xfId="47801" xr:uid="{00000000-0005-0000-0000-0000B5180000}"/>
    <cellStyle name="Normal 12 2 4 5 2 3" xfId="47802" xr:uid="{00000000-0005-0000-0000-0000B6180000}"/>
    <cellStyle name="Normal 12 2 4 5 3" xfId="4548" xr:uid="{00000000-0005-0000-0000-0000B7180000}"/>
    <cellStyle name="Normal 12 2 4 5 3 2" xfId="47803" xr:uid="{00000000-0005-0000-0000-0000B8180000}"/>
    <cellStyle name="Normal 12 2 4 5 4" xfId="4549" xr:uid="{00000000-0005-0000-0000-0000B9180000}"/>
    <cellStyle name="Normal 12 2 4 5 5" xfId="4550" xr:uid="{00000000-0005-0000-0000-0000BA180000}"/>
    <cellStyle name="Normal 12 2 4 5 6" xfId="4551" xr:uid="{00000000-0005-0000-0000-0000BB180000}"/>
    <cellStyle name="Normal 12 2 4 6" xfId="4552" xr:uid="{00000000-0005-0000-0000-0000BC180000}"/>
    <cellStyle name="Normal 12 2 4 6 2" xfId="47804" xr:uid="{00000000-0005-0000-0000-0000BD180000}"/>
    <cellStyle name="Normal 12 2 4 6 3" xfId="47805" xr:uid="{00000000-0005-0000-0000-0000BE180000}"/>
    <cellStyle name="Normal 12 2 4 7" xfId="4553" xr:uid="{00000000-0005-0000-0000-0000BF180000}"/>
    <cellStyle name="Normal 12 2 4 7 2" xfId="47806" xr:uid="{00000000-0005-0000-0000-0000C0180000}"/>
    <cellStyle name="Normal 12 2 4 8" xfId="4554" xr:uid="{00000000-0005-0000-0000-0000C1180000}"/>
    <cellStyle name="Normal 12 2 4 9" xfId="4555" xr:uid="{00000000-0005-0000-0000-0000C2180000}"/>
    <cellStyle name="Normal 12 2 5" xfId="4556" xr:uid="{00000000-0005-0000-0000-0000C3180000}"/>
    <cellStyle name="Normal 12 2 5 10" xfId="4557" xr:uid="{00000000-0005-0000-0000-0000C4180000}"/>
    <cellStyle name="Normal 12 2 5 11" xfId="4558" xr:uid="{00000000-0005-0000-0000-0000C5180000}"/>
    <cellStyle name="Normal 12 2 5 12" xfId="4559" xr:uid="{00000000-0005-0000-0000-0000C6180000}"/>
    <cellStyle name="Normal 12 2 5 13" xfId="4560" xr:uid="{00000000-0005-0000-0000-0000C7180000}"/>
    <cellStyle name="Normal 12 2 5 14" xfId="4561" xr:uid="{00000000-0005-0000-0000-0000C8180000}"/>
    <cellStyle name="Normal 12 2 5 2" xfId="4562" xr:uid="{00000000-0005-0000-0000-0000C9180000}"/>
    <cellStyle name="Normal 12 2 5 2 2" xfId="4563" xr:uid="{00000000-0005-0000-0000-0000CA180000}"/>
    <cellStyle name="Normal 12 2 5 2 2 2" xfId="4564" xr:uid="{00000000-0005-0000-0000-0000CB180000}"/>
    <cellStyle name="Normal 12 2 5 2 2 2 2" xfId="4565" xr:uid="{00000000-0005-0000-0000-0000CC180000}"/>
    <cellStyle name="Normal 12 2 5 2 2 2 2 2" xfId="47807" xr:uid="{00000000-0005-0000-0000-0000CD180000}"/>
    <cellStyle name="Normal 12 2 5 2 2 2 2 3" xfId="47808" xr:uid="{00000000-0005-0000-0000-0000CE180000}"/>
    <cellStyle name="Normal 12 2 5 2 2 2 3" xfId="4566" xr:uid="{00000000-0005-0000-0000-0000CF180000}"/>
    <cellStyle name="Normal 12 2 5 2 2 2 3 2" xfId="47809" xr:uid="{00000000-0005-0000-0000-0000D0180000}"/>
    <cellStyle name="Normal 12 2 5 2 2 2 4" xfId="4567" xr:uid="{00000000-0005-0000-0000-0000D1180000}"/>
    <cellStyle name="Normal 12 2 5 2 2 2 5" xfId="4568" xr:uid="{00000000-0005-0000-0000-0000D2180000}"/>
    <cellStyle name="Normal 12 2 5 2 2 2 6" xfId="4569" xr:uid="{00000000-0005-0000-0000-0000D3180000}"/>
    <cellStyle name="Normal 12 2 5 2 2 3" xfId="4570" xr:uid="{00000000-0005-0000-0000-0000D4180000}"/>
    <cellStyle name="Normal 12 2 5 2 2 3 2" xfId="47810" xr:uid="{00000000-0005-0000-0000-0000D5180000}"/>
    <cellStyle name="Normal 12 2 5 2 2 3 3" xfId="47811" xr:uid="{00000000-0005-0000-0000-0000D6180000}"/>
    <cellStyle name="Normal 12 2 5 2 2 4" xfId="4571" xr:uid="{00000000-0005-0000-0000-0000D7180000}"/>
    <cellStyle name="Normal 12 2 5 2 2 4 2" xfId="47812" xr:uid="{00000000-0005-0000-0000-0000D8180000}"/>
    <cellStyle name="Normal 12 2 5 2 2 5" xfId="4572" xr:uid="{00000000-0005-0000-0000-0000D9180000}"/>
    <cellStyle name="Normal 12 2 5 2 2 6" xfId="4573" xr:uid="{00000000-0005-0000-0000-0000DA180000}"/>
    <cellStyle name="Normal 12 2 5 2 2 7" xfId="4574" xr:uid="{00000000-0005-0000-0000-0000DB180000}"/>
    <cellStyle name="Normal 12 2 5 2 3" xfId="4575" xr:uid="{00000000-0005-0000-0000-0000DC180000}"/>
    <cellStyle name="Normal 12 2 5 2 3 2" xfId="4576" xr:uid="{00000000-0005-0000-0000-0000DD180000}"/>
    <cellStyle name="Normal 12 2 5 2 3 2 2" xfId="47813" xr:uid="{00000000-0005-0000-0000-0000DE180000}"/>
    <cellStyle name="Normal 12 2 5 2 3 2 3" xfId="47814" xr:uid="{00000000-0005-0000-0000-0000DF180000}"/>
    <cellStyle name="Normal 12 2 5 2 3 3" xfId="4577" xr:uid="{00000000-0005-0000-0000-0000E0180000}"/>
    <cellStyle name="Normal 12 2 5 2 3 3 2" xfId="47815" xr:uid="{00000000-0005-0000-0000-0000E1180000}"/>
    <cellStyle name="Normal 12 2 5 2 3 4" xfId="4578" xr:uid="{00000000-0005-0000-0000-0000E2180000}"/>
    <cellStyle name="Normal 12 2 5 2 3 5" xfId="4579" xr:uid="{00000000-0005-0000-0000-0000E3180000}"/>
    <cellStyle name="Normal 12 2 5 2 3 6" xfId="4580" xr:uid="{00000000-0005-0000-0000-0000E4180000}"/>
    <cellStyle name="Normal 12 2 5 2 4" xfId="4581" xr:uid="{00000000-0005-0000-0000-0000E5180000}"/>
    <cellStyle name="Normal 12 2 5 2 4 2" xfId="47816" xr:uid="{00000000-0005-0000-0000-0000E6180000}"/>
    <cellStyle name="Normal 12 2 5 2 4 3" xfId="47817" xr:uid="{00000000-0005-0000-0000-0000E7180000}"/>
    <cellStyle name="Normal 12 2 5 2 5" xfId="4582" xr:uid="{00000000-0005-0000-0000-0000E8180000}"/>
    <cellStyle name="Normal 12 2 5 2 5 2" xfId="47818" xr:uid="{00000000-0005-0000-0000-0000E9180000}"/>
    <cellStyle name="Normal 12 2 5 2 6" xfId="4583" xr:uid="{00000000-0005-0000-0000-0000EA180000}"/>
    <cellStyle name="Normal 12 2 5 2 7" xfId="4584" xr:uid="{00000000-0005-0000-0000-0000EB180000}"/>
    <cellStyle name="Normal 12 2 5 2 8" xfId="4585" xr:uid="{00000000-0005-0000-0000-0000EC180000}"/>
    <cellStyle name="Normal 12 2 5 2 9" xfId="4586" xr:uid="{00000000-0005-0000-0000-0000ED180000}"/>
    <cellStyle name="Normal 12 2 5 3" xfId="4587" xr:uid="{00000000-0005-0000-0000-0000EE180000}"/>
    <cellStyle name="Normal 12 2 5 3 2" xfId="4588" xr:uid="{00000000-0005-0000-0000-0000EF180000}"/>
    <cellStyle name="Normal 12 2 5 3 2 2" xfId="4589" xr:uid="{00000000-0005-0000-0000-0000F0180000}"/>
    <cellStyle name="Normal 12 2 5 3 2 2 2" xfId="4590" xr:uid="{00000000-0005-0000-0000-0000F1180000}"/>
    <cellStyle name="Normal 12 2 5 3 2 2 2 2" xfId="47819" xr:uid="{00000000-0005-0000-0000-0000F2180000}"/>
    <cellStyle name="Normal 12 2 5 3 2 2 2 3" xfId="47820" xr:uid="{00000000-0005-0000-0000-0000F3180000}"/>
    <cellStyle name="Normal 12 2 5 3 2 2 3" xfId="4591" xr:uid="{00000000-0005-0000-0000-0000F4180000}"/>
    <cellStyle name="Normal 12 2 5 3 2 2 3 2" xfId="47821" xr:uid="{00000000-0005-0000-0000-0000F5180000}"/>
    <cellStyle name="Normal 12 2 5 3 2 2 4" xfId="4592" xr:uid="{00000000-0005-0000-0000-0000F6180000}"/>
    <cellStyle name="Normal 12 2 5 3 2 2 5" xfId="4593" xr:uid="{00000000-0005-0000-0000-0000F7180000}"/>
    <cellStyle name="Normal 12 2 5 3 2 2 6" xfId="4594" xr:uid="{00000000-0005-0000-0000-0000F8180000}"/>
    <cellStyle name="Normal 12 2 5 3 2 3" xfId="4595" xr:uid="{00000000-0005-0000-0000-0000F9180000}"/>
    <cellStyle name="Normal 12 2 5 3 2 3 2" xfId="47822" xr:uid="{00000000-0005-0000-0000-0000FA180000}"/>
    <cellStyle name="Normal 12 2 5 3 2 3 3" xfId="47823" xr:uid="{00000000-0005-0000-0000-0000FB180000}"/>
    <cellStyle name="Normal 12 2 5 3 2 4" xfId="4596" xr:uid="{00000000-0005-0000-0000-0000FC180000}"/>
    <cellStyle name="Normal 12 2 5 3 2 4 2" xfId="47824" xr:uid="{00000000-0005-0000-0000-0000FD180000}"/>
    <cellStyle name="Normal 12 2 5 3 2 5" xfId="4597" xr:uid="{00000000-0005-0000-0000-0000FE180000}"/>
    <cellStyle name="Normal 12 2 5 3 2 6" xfId="4598" xr:uid="{00000000-0005-0000-0000-0000FF180000}"/>
    <cellStyle name="Normal 12 2 5 3 2 7" xfId="4599" xr:uid="{00000000-0005-0000-0000-000000190000}"/>
    <cellStyle name="Normal 12 2 5 3 3" xfId="4600" xr:uid="{00000000-0005-0000-0000-000001190000}"/>
    <cellStyle name="Normal 12 2 5 3 3 2" xfId="4601" xr:uid="{00000000-0005-0000-0000-000002190000}"/>
    <cellStyle name="Normal 12 2 5 3 3 2 2" xfId="47825" xr:uid="{00000000-0005-0000-0000-000003190000}"/>
    <cellStyle name="Normal 12 2 5 3 3 2 3" xfId="47826" xr:uid="{00000000-0005-0000-0000-000004190000}"/>
    <cellStyle name="Normal 12 2 5 3 3 3" xfId="4602" xr:uid="{00000000-0005-0000-0000-000005190000}"/>
    <cellStyle name="Normal 12 2 5 3 3 3 2" xfId="47827" xr:uid="{00000000-0005-0000-0000-000006190000}"/>
    <cellStyle name="Normal 12 2 5 3 3 4" xfId="4603" xr:uid="{00000000-0005-0000-0000-000007190000}"/>
    <cellStyle name="Normal 12 2 5 3 3 5" xfId="4604" xr:uid="{00000000-0005-0000-0000-000008190000}"/>
    <cellStyle name="Normal 12 2 5 3 3 6" xfId="4605" xr:uid="{00000000-0005-0000-0000-000009190000}"/>
    <cellStyle name="Normal 12 2 5 3 4" xfId="4606" xr:uid="{00000000-0005-0000-0000-00000A190000}"/>
    <cellStyle name="Normal 12 2 5 3 4 2" xfId="47828" xr:uid="{00000000-0005-0000-0000-00000B190000}"/>
    <cellStyle name="Normal 12 2 5 3 4 3" xfId="47829" xr:uid="{00000000-0005-0000-0000-00000C190000}"/>
    <cellStyle name="Normal 12 2 5 3 5" xfId="4607" xr:uid="{00000000-0005-0000-0000-00000D190000}"/>
    <cellStyle name="Normal 12 2 5 3 5 2" xfId="47830" xr:uid="{00000000-0005-0000-0000-00000E190000}"/>
    <cellStyle name="Normal 12 2 5 3 6" xfId="4608" xr:uid="{00000000-0005-0000-0000-00000F190000}"/>
    <cellStyle name="Normal 12 2 5 3 7" xfId="4609" xr:uid="{00000000-0005-0000-0000-000010190000}"/>
    <cellStyle name="Normal 12 2 5 3 8" xfId="4610" xr:uid="{00000000-0005-0000-0000-000011190000}"/>
    <cellStyle name="Normal 12 2 5 4" xfId="4611" xr:uid="{00000000-0005-0000-0000-000012190000}"/>
    <cellStyle name="Normal 12 2 5 4 2" xfId="4612" xr:uid="{00000000-0005-0000-0000-000013190000}"/>
    <cellStyle name="Normal 12 2 5 4 2 2" xfId="4613" xr:uid="{00000000-0005-0000-0000-000014190000}"/>
    <cellStyle name="Normal 12 2 5 4 2 2 2" xfId="47831" xr:uid="{00000000-0005-0000-0000-000015190000}"/>
    <cellStyle name="Normal 12 2 5 4 2 2 3" xfId="47832" xr:uid="{00000000-0005-0000-0000-000016190000}"/>
    <cellStyle name="Normal 12 2 5 4 2 3" xfId="4614" xr:uid="{00000000-0005-0000-0000-000017190000}"/>
    <cellStyle name="Normal 12 2 5 4 2 3 2" xfId="47833" xr:uid="{00000000-0005-0000-0000-000018190000}"/>
    <cellStyle name="Normal 12 2 5 4 2 4" xfId="4615" xr:uid="{00000000-0005-0000-0000-000019190000}"/>
    <cellStyle name="Normal 12 2 5 4 2 5" xfId="4616" xr:uid="{00000000-0005-0000-0000-00001A190000}"/>
    <cellStyle name="Normal 12 2 5 4 2 6" xfId="4617" xr:uid="{00000000-0005-0000-0000-00001B190000}"/>
    <cellStyle name="Normal 12 2 5 4 3" xfId="4618" xr:uid="{00000000-0005-0000-0000-00001C190000}"/>
    <cellStyle name="Normal 12 2 5 4 3 2" xfId="47834" xr:uid="{00000000-0005-0000-0000-00001D190000}"/>
    <cellStyle name="Normal 12 2 5 4 3 3" xfId="47835" xr:uid="{00000000-0005-0000-0000-00001E190000}"/>
    <cellStyle name="Normal 12 2 5 4 4" xfId="4619" xr:uid="{00000000-0005-0000-0000-00001F190000}"/>
    <cellStyle name="Normal 12 2 5 4 4 2" xfId="47836" xr:uid="{00000000-0005-0000-0000-000020190000}"/>
    <cellStyle name="Normal 12 2 5 4 5" xfId="4620" xr:uid="{00000000-0005-0000-0000-000021190000}"/>
    <cellStyle name="Normal 12 2 5 4 6" xfId="4621" xr:uid="{00000000-0005-0000-0000-000022190000}"/>
    <cellStyle name="Normal 12 2 5 4 7" xfId="4622" xr:uid="{00000000-0005-0000-0000-000023190000}"/>
    <cellStyle name="Normal 12 2 5 5" xfId="4623" xr:uid="{00000000-0005-0000-0000-000024190000}"/>
    <cellStyle name="Normal 12 2 5 5 2" xfId="4624" xr:uid="{00000000-0005-0000-0000-000025190000}"/>
    <cellStyle name="Normal 12 2 5 5 2 2" xfId="47837" xr:uid="{00000000-0005-0000-0000-000026190000}"/>
    <cellStyle name="Normal 12 2 5 5 2 3" xfId="47838" xr:uid="{00000000-0005-0000-0000-000027190000}"/>
    <cellStyle name="Normal 12 2 5 5 3" xfId="4625" xr:uid="{00000000-0005-0000-0000-000028190000}"/>
    <cellStyle name="Normal 12 2 5 5 3 2" xfId="47839" xr:uid="{00000000-0005-0000-0000-000029190000}"/>
    <cellStyle name="Normal 12 2 5 5 4" xfId="4626" xr:uid="{00000000-0005-0000-0000-00002A190000}"/>
    <cellStyle name="Normal 12 2 5 5 5" xfId="4627" xr:uid="{00000000-0005-0000-0000-00002B190000}"/>
    <cellStyle name="Normal 12 2 5 5 6" xfId="4628" xr:uid="{00000000-0005-0000-0000-00002C190000}"/>
    <cellStyle name="Normal 12 2 5 6" xfId="4629" xr:uid="{00000000-0005-0000-0000-00002D190000}"/>
    <cellStyle name="Normal 12 2 5 6 2" xfId="47840" xr:uid="{00000000-0005-0000-0000-00002E190000}"/>
    <cellStyle name="Normal 12 2 5 6 3" xfId="47841" xr:uid="{00000000-0005-0000-0000-00002F190000}"/>
    <cellStyle name="Normal 12 2 5 7" xfId="4630" xr:uid="{00000000-0005-0000-0000-000030190000}"/>
    <cellStyle name="Normal 12 2 5 7 2" xfId="47842" xr:uid="{00000000-0005-0000-0000-000031190000}"/>
    <cellStyle name="Normal 12 2 5 8" xfId="4631" xr:uid="{00000000-0005-0000-0000-000032190000}"/>
    <cellStyle name="Normal 12 2 5 9" xfId="4632" xr:uid="{00000000-0005-0000-0000-000033190000}"/>
    <cellStyle name="Normal 12 2 6" xfId="4633" xr:uid="{00000000-0005-0000-0000-000034190000}"/>
    <cellStyle name="Normal 12 2 6 10" xfId="4634" xr:uid="{00000000-0005-0000-0000-000035190000}"/>
    <cellStyle name="Normal 12 2 6 11" xfId="4635" xr:uid="{00000000-0005-0000-0000-000036190000}"/>
    <cellStyle name="Normal 12 2 6 12" xfId="4636" xr:uid="{00000000-0005-0000-0000-000037190000}"/>
    <cellStyle name="Normal 12 2 6 13" xfId="4637" xr:uid="{00000000-0005-0000-0000-000038190000}"/>
    <cellStyle name="Normal 12 2 6 2" xfId="4638" xr:uid="{00000000-0005-0000-0000-000039190000}"/>
    <cellStyle name="Normal 12 2 6 2 2" xfId="4639" xr:uid="{00000000-0005-0000-0000-00003A190000}"/>
    <cellStyle name="Normal 12 2 6 2 2 2" xfId="4640" xr:uid="{00000000-0005-0000-0000-00003B190000}"/>
    <cellStyle name="Normal 12 2 6 2 2 2 2" xfId="4641" xr:uid="{00000000-0005-0000-0000-00003C190000}"/>
    <cellStyle name="Normal 12 2 6 2 2 2 2 2" xfId="47843" xr:uid="{00000000-0005-0000-0000-00003D190000}"/>
    <cellStyle name="Normal 12 2 6 2 2 2 2 3" xfId="47844" xr:uid="{00000000-0005-0000-0000-00003E190000}"/>
    <cellStyle name="Normal 12 2 6 2 2 2 3" xfId="4642" xr:uid="{00000000-0005-0000-0000-00003F190000}"/>
    <cellStyle name="Normal 12 2 6 2 2 2 3 2" xfId="47845" xr:uid="{00000000-0005-0000-0000-000040190000}"/>
    <cellStyle name="Normal 12 2 6 2 2 2 4" xfId="4643" xr:uid="{00000000-0005-0000-0000-000041190000}"/>
    <cellStyle name="Normal 12 2 6 2 2 2 5" xfId="4644" xr:uid="{00000000-0005-0000-0000-000042190000}"/>
    <cellStyle name="Normal 12 2 6 2 2 2 6" xfId="4645" xr:uid="{00000000-0005-0000-0000-000043190000}"/>
    <cellStyle name="Normal 12 2 6 2 2 3" xfId="4646" xr:uid="{00000000-0005-0000-0000-000044190000}"/>
    <cellStyle name="Normal 12 2 6 2 2 3 2" xfId="47846" xr:uid="{00000000-0005-0000-0000-000045190000}"/>
    <cellStyle name="Normal 12 2 6 2 2 3 3" xfId="47847" xr:uid="{00000000-0005-0000-0000-000046190000}"/>
    <cellStyle name="Normal 12 2 6 2 2 4" xfId="4647" xr:uid="{00000000-0005-0000-0000-000047190000}"/>
    <cellStyle name="Normal 12 2 6 2 2 4 2" xfId="47848" xr:uid="{00000000-0005-0000-0000-000048190000}"/>
    <cellStyle name="Normal 12 2 6 2 2 5" xfId="4648" xr:uid="{00000000-0005-0000-0000-000049190000}"/>
    <cellStyle name="Normal 12 2 6 2 2 6" xfId="4649" xr:uid="{00000000-0005-0000-0000-00004A190000}"/>
    <cellStyle name="Normal 12 2 6 2 2 7" xfId="4650" xr:uid="{00000000-0005-0000-0000-00004B190000}"/>
    <cellStyle name="Normal 12 2 6 2 3" xfId="4651" xr:uid="{00000000-0005-0000-0000-00004C190000}"/>
    <cellStyle name="Normal 12 2 6 2 3 2" xfId="4652" xr:uid="{00000000-0005-0000-0000-00004D190000}"/>
    <cellStyle name="Normal 12 2 6 2 3 2 2" xfId="47849" xr:uid="{00000000-0005-0000-0000-00004E190000}"/>
    <cellStyle name="Normal 12 2 6 2 3 2 3" xfId="47850" xr:uid="{00000000-0005-0000-0000-00004F190000}"/>
    <cellStyle name="Normal 12 2 6 2 3 3" xfId="4653" xr:uid="{00000000-0005-0000-0000-000050190000}"/>
    <cellStyle name="Normal 12 2 6 2 3 3 2" xfId="47851" xr:uid="{00000000-0005-0000-0000-000051190000}"/>
    <cellStyle name="Normal 12 2 6 2 3 4" xfId="4654" xr:uid="{00000000-0005-0000-0000-000052190000}"/>
    <cellStyle name="Normal 12 2 6 2 3 5" xfId="4655" xr:uid="{00000000-0005-0000-0000-000053190000}"/>
    <cellStyle name="Normal 12 2 6 2 3 6" xfId="4656" xr:uid="{00000000-0005-0000-0000-000054190000}"/>
    <cellStyle name="Normal 12 2 6 2 4" xfId="4657" xr:uid="{00000000-0005-0000-0000-000055190000}"/>
    <cellStyle name="Normal 12 2 6 2 4 2" xfId="47852" xr:uid="{00000000-0005-0000-0000-000056190000}"/>
    <cellStyle name="Normal 12 2 6 2 4 3" xfId="47853" xr:uid="{00000000-0005-0000-0000-000057190000}"/>
    <cellStyle name="Normal 12 2 6 2 5" xfId="4658" xr:uid="{00000000-0005-0000-0000-000058190000}"/>
    <cellStyle name="Normal 12 2 6 2 5 2" xfId="47854" xr:uid="{00000000-0005-0000-0000-000059190000}"/>
    <cellStyle name="Normal 12 2 6 2 6" xfId="4659" xr:uid="{00000000-0005-0000-0000-00005A190000}"/>
    <cellStyle name="Normal 12 2 6 2 7" xfId="4660" xr:uid="{00000000-0005-0000-0000-00005B190000}"/>
    <cellStyle name="Normal 12 2 6 2 8" xfId="4661" xr:uid="{00000000-0005-0000-0000-00005C190000}"/>
    <cellStyle name="Normal 12 2 6 2 9" xfId="4662" xr:uid="{00000000-0005-0000-0000-00005D190000}"/>
    <cellStyle name="Normal 12 2 6 3" xfId="4663" xr:uid="{00000000-0005-0000-0000-00005E190000}"/>
    <cellStyle name="Normal 12 2 6 3 2" xfId="4664" xr:uid="{00000000-0005-0000-0000-00005F190000}"/>
    <cellStyle name="Normal 12 2 6 3 2 2" xfId="4665" xr:uid="{00000000-0005-0000-0000-000060190000}"/>
    <cellStyle name="Normal 12 2 6 3 2 2 2" xfId="47855" xr:uid="{00000000-0005-0000-0000-000061190000}"/>
    <cellStyle name="Normal 12 2 6 3 2 2 3" xfId="47856" xr:uid="{00000000-0005-0000-0000-000062190000}"/>
    <cellStyle name="Normal 12 2 6 3 2 3" xfId="4666" xr:uid="{00000000-0005-0000-0000-000063190000}"/>
    <cellStyle name="Normal 12 2 6 3 2 3 2" xfId="47857" xr:uid="{00000000-0005-0000-0000-000064190000}"/>
    <cellStyle name="Normal 12 2 6 3 2 4" xfId="4667" xr:uid="{00000000-0005-0000-0000-000065190000}"/>
    <cellStyle name="Normal 12 2 6 3 2 5" xfId="4668" xr:uid="{00000000-0005-0000-0000-000066190000}"/>
    <cellStyle name="Normal 12 2 6 3 2 6" xfId="4669" xr:uid="{00000000-0005-0000-0000-000067190000}"/>
    <cellStyle name="Normal 12 2 6 3 3" xfId="4670" xr:uid="{00000000-0005-0000-0000-000068190000}"/>
    <cellStyle name="Normal 12 2 6 3 3 2" xfId="47858" xr:uid="{00000000-0005-0000-0000-000069190000}"/>
    <cellStyle name="Normal 12 2 6 3 3 3" xfId="47859" xr:uid="{00000000-0005-0000-0000-00006A190000}"/>
    <cellStyle name="Normal 12 2 6 3 4" xfId="4671" xr:uid="{00000000-0005-0000-0000-00006B190000}"/>
    <cellStyle name="Normal 12 2 6 3 4 2" xfId="47860" xr:uid="{00000000-0005-0000-0000-00006C190000}"/>
    <cellStyle name="Normal 12 2 6 3 5" xfId="4672" xr:uid="{00000000-0005-0000-0000-00006D190000}"/>
    <cellStyle name="Normal 12 2 6 3 6" xfId="4673" xr:uid="{00000000-0005-0000-0000-00006E190000}"/>
    <cellStyle name="Normal 12 2 6 3 7" xfId="4674" xr:uid="{00000000-0005-0000-0000-00006F190000}"/>
    <cellStyle name="Normal 12 2 6 4" xfId="4675" xr:uid="{00000000-0005-0000-0000-000070190000}"/>
    <cellStyle name="Normal 12 2 6 4 2" xfId="4676" xr:uid="{00000000-0005-0000-0000-000071190000}"/>
    <cellStyle name="Normal 12 2 6 4 2 2" xfId="47861" xr:uid="{00000000-0005-0000-0000-000072190000}"/>
    <cellStyle name="Normal 12 2 6 4 2 3" xfId="47862" xr:uid="{00000000-0005-0000-0000-000073190000}"/>
    <cellStyle name="Normal 12 2 6 4 3" xfId="4677" xr:uid="{00000000-0005-0000-0000-000074190000}"/>
    <cellStyle name="Normal 12 2 6 4 3 2" xfId="47863" xr:uid="{00000000-0005-0000-0000-000075190000}"/>
    <cellStyle name="Normal 12 2 6 4 4" xfId="4678" xr:uid="{00000000-0005-0000-0000-000076190000}"/>
    <cellStyle name="Normal 12 2 6 4 5" xfId="4679" xr:uid="{00000000-0005-0000-0000-000077190000}"/>
    <cellStyle name="Normal 12 2 6 4 6" xfId="4680" xr:uid="{00000000-0005-0000-0000-000078190000}"/>
    <cellStyle name="Normal 12 2 6 5" xfId="4681" xr:uid="{00000000-0005-0000-0000-000079190000}"/>
    <cellStyle name="Normal 12 2 6 5 2" xfId="47864" xr:uid="{00000000-0005-0000-0000-00007A190000}"/>
    <cellStyle name="Normal 12 2 6 5 3" xfId="47865" xr:uid="{00000000-0005-0000-0000-00007B190000}"/>
    <cellStyle name="Normal 12 2 6 6" xfId="4682" xr:uid="{00000000-0005-0000-0000-00007C190000}"/>
    <cellStyle name="Normal 12 2 6 6 2" xfId="47866" xr:uid="{00000000-0005-0000-0000-00007D190000}"/>
    <cellStyle name="Normal 12 2 6 7" xfId="4683" xr:uid="{00000000-0005-0000-0000-00007E190000}"/>
    <cellStyle name="Normal 12 2 6 8" xfId="4684" xr:uid="{00000000-0005-0000-0000-00007F190000}"/>
    <cellStyle name="Normal 12 2 6 9" xfId="4685" xr:uid="{00000000-0005-0000-0000-000080190000}"/>
    <cellStyle name="Normal 12 2 7" xfId="4686" xr:uid="{00000000-0005-0000-0000-000081190000}"/>
    <cellStyle name="Normal 12 2 7 2" xfId="4687" xr:uid="{00000000-0005-0000-0000-000082190000}"/>
    <cellStyle name="Normal 12 2 7 2 2" xfId="4688" xr:uid="{00000000-0005-0000-0000-000083190000}"/>
    <cellStyle name="Normal 12 2 7 2 2 2" xfId="4689" xr:uid="{00000000-0005-0000-0000-000084190000}"/>
    <cellStyle name="Normal 12 2 7 2 2 2 2" xfId="47867" xr:uid="{00000000-0005-0000-0000-000085190000}"/>
    <cellStyle name="Normal 12 2 7 2 2 2 3" xfId="47868" xr:uid="{00000000-0005-0000-0000-000086190000}"/>
    <cellStyle name="Normal 12 2 7 2 2 3" xfId="4690" xr:uid="{00000000-0005-0000-0000-000087190000}"/>
    <cellStyle name="Normal 12 2 7 2 2 3 2" xfId="47869" xr:uid="{00000000-0005-0000-0000-000088190000}"/>
    <cellStyle name="Normal 12 2 7 2 2 4" xfId="4691" xr:uid="{00000000-0005-0000-0000-000089190000}"/>
    <cellStyle name="Normal 12 2 7 2 2 5" xfId="4692" xr:uid="{00000000-0005-0000-0000-00008A190000}"/>
    <cellStyle name="Normal 12 2 7 2 2 6" xfId="4693" xr:uid="{00000000-0005-0000-0000-00008B190000}"/>
    <cellStyle name="Normal 12 2 7 2 3" xfId="4694" xr:uid="{00000000-0005-0000-0000-00008C190000}"/>
    <cellStyle name="Normal 12 2 7 2 3 2" xfId="47870" xr:uid="{00000000-0005-0000-0000-00008D190000}"/>
    <cellStyle name="Normal 12 2 7 2 3 3" xfId="47871" xr:uid="{00000000-0005-0000-0000-00008E190000}"/>
    <cellStyle name="Normal 12 2 7 2 4" xfId="4695" xr:uid="{00000000-0005-0000-0000-00008F190000}"/>
    <cellStyle name="Normal 12 2 7 2 4 2" xfId="47872" xr:uid="{00000000-0005-0000-0000-000090190000}"/>
    <cellStyle name="Normal 12 2 7 2 5" xfId="4696" xr:uid="{00000000-0005-0000-0000-000091190000}"/>
    <cellStyle name="Normal 12 2 7 2 6" xfId="4697" xr:uid="{00000000-0005-0000-0000-000092190000}"/>
    <cellStyle name="Normal 12 2 7 2 7" xfId="4698" xr:uid="{00000000-0005-0000-0000-000093190000}"/>
    <cellStyle name="Normal 12 2 7 3" xfId="4699" xr:uid="{00000000-0005-0000-0000-000094190000}"/>
    <cellStyle name="Normal 12 2 7 3 2" xfId="4700" xr:uid="{00000000-0005-0000-0000-000095190000}"/>
    <cellStyle name="Normal 12 2 7 3 2 2" xfId="47873" xr:uid="{00000000-0005-0000-0000-000096190000}"/>
    <cellStyle name="Normal 12 2 7 3 2 3" xfId="47874" xr:uid="{00000000-0005-0000-0000-000097190000}"/>
    <cellStyle name="Normal 12 2 7 3 3" xfId="4701" xr:uid="{00000000-0005-0000-0000-000098190000}"/>
    <cellStyle name="Normal 12 2 7 3 3 2" xfId="47875" xr:uid="{00000000-0005-0000-0000-000099190000}"/>
    <cellStyle name="Normal 12 2 7 3 4" xfId="4702" xr:uid="{00000000-0005-0000-0000-00009A190000}"/>
    <cellStyle name="Normal 12 2 7 3 5" xfId="4703" xr:uid="{00000000-0005-0000-0000-00009B190000}"/>
    <cellStyle name="Normal 12 2 7 3 6" xfId="4704" xr:uid="{00000000-0005-0000-0000-00009C190000}"/>
    <cellStyle name="Normal 12 2 7 4" xfId="4705" xr:uid="{00000000-0005-0000-0000-00009D190000}"/>
    <cellStyle name="Normal 12 2 7 4 2" xfId="47876" xr:uid="{00000000-0005-0000-0000-00009E190000}"/>
    <cellStyle name="Normal 12 2 7 4 3" xfId="47877" xr:uid="{00000000-0005-0000-0000-00009F190000}"/>
    <cellStyle name="Normal 12 2 7 5" xfId="4706" xr:uid="{00000000-0005-0000-0000-0000A0190000}"/>
    <cellStyle name="Normal 12 2 7 5 2" xfId="47878" xr:uid="{00000000-0005-0000-0000-0000A1190000}"/>
    <cellStyle name="Normal 12 2 7 6" xfId="4707" xr:uid="{00000000-0005-0000-0000-0000A2190000}"/>
    <cellStyle name="Normal 12 2 7 7" xfId="4708" xr:uid="{00000000-0005-0000-0000-0000A3190000}"/>
    <cellStyle name="Normal 12 2 7 8" xfId="4709" xr:uid="{00000000-0005-0000-0000-0000A4190000}"/>
    <cellStyle name="Normal 12 2 7 9" xfId="4710" xr:uid="{00000000-0005-0000-0000-0000A5190000}"/>
    <cellStyle name="Normal 12 2 8" xfId="4711" xr:uid="{00000000-0005-0000-0000-0000A6190000}"/>
    <cellStyle name="Normal 12 2 8 2" xfId="4712" xr:uid="{00000000-0005-0000-0000-0000A7190000}"/>
    <cellStyle name="Normal 12 2 8 2 2" xfId="4713" xr:uid="{00000000-0005-0000-0000-0000A8190000}"/>
    <cellStyle name="Normal 12 2 8 2 2 2" xfId="4714" xr:uid="{00000000-0005-0000-0000-0000A9190000}"/>
    <cellStyle name="Normal 12 2 8 2 2 2 2" xfId="47879" xr:uid="{00000000-0005-0000-0000-0000AA190000}"/>
    <cellStyle name="Normal 12 2 8 2 2 2 3" xfId="47880" xr:uid="{00000000-0005-0000-0000-0000AB190000}"/>
    <cellStyle name="Normal 12 2 8 2 2 3" xfId="4715" xr:uid="{00000000-0005-0000-0000-0000AC190000}"/>
    <cellStyle name="Normal 12 2 8 2 2 3 2" xfId="47881" xr:uid="{00000000-0005-0000-0000-0000AD190000}"/>
    <cellStyle name="Normal 12 2 8 2 2 4" xfId="4716" xr:uid="{00000000-0005-0000-0000-0000AE190000}"/>
    <cellStyle name="Normal 12 2 8 2 2 5" xfId="4717" xr:uid="{00000000-0005-0000-0000-0000AF190000}"/>
    <cellStyle name="Normal 12 2 8 2 2 6" xfId="4718" xr:uid="{00000000-0005-0000-0000-0000B0190000}"/>
    <cellStyle name="Normal 12 2 8 2 3" xfId="4719" xr:uid="{00000000-0005-0000-0000-0000B1190000}"/>
    <cellStyle name="Normal 12 2 8 2 3 2" xfId="47882" xr:uid="{00000000-0005-0000-0000-0000B2190000}"/>
    <cellStyle name="Normal 12 2 8 2 3 3" xfId="47883" xr:uid="{00000000-0005-0000-0000-0000B3190000}"/>
    <cellStyle name="Normal 12 2 8 2 4" xfId="4720" xr:uid="{00000000-0005-0000-0000-0000B4190000}"/>
    <cellStyle name="Normal 12 2 8 2 4 2" xfId="47884" xr:uid="{00000000-0005-0000-0000-0000B5190000}"/>
    <cellStyle name="Normal 12 2 8 2 5" xfId="4721" xr:uid="{00000000-0005-0000-0000-0000B6190000}"/>
    <cellStyle name="Normal 12 2 8 2 6" xfId="4722" xr:uid="{00000000-0005-0000-0000-0000B7190000}"/>
    <cellStyle name="Normal 12 2 8 2 7" xfId="4723" xr:uid="{00000000-0005-0000-0000-0000B8190000}"/>
    <cellStyle name="Normal 12 2 8 3" xfId="4724" xr:uid="{00000000-0005-0000-0000-0000B9190000}"/>
    <cellStyle name="Normal 12 2 8 3 2" xfId="4725" xr:uid="{00000000-0005-0000-0000-0000BA190000}"/>
    <cellStyle name="Normal 12 2 8 3 2 2" xfId="47885" xr:uid="{00000000-0005-0000-0000-0000BB190000}"/>
    <cellStyle name="Normal 12 2 8 3 2 3" xfId="47886" xr:uid="{00000000-0005-0000-0000-0000BC190000}"/>
    <cellStyle name="Normal 12 2 8 3 3" xfId="4726" xr:uid="{00000000-0005-0000-0000-0000BD190000}"/>
    <cellStyle name="Normal 12 2 8 3 3 2" xfId="47887" xr:uid="{00000000-0005-0000-0000-0000BE190000}"/>
    <cellStyle name="Normal 12 2 8 3 4" xfId="4727" xr:uid="{00000000-0005-0000-0000-0000BF190000}"/>
    <cellStyle name="Normal 12 2 8 3 5" xfId="4728" xr:uid="{00000000-0005-0000-0000-0000C0190000}"/>
    <cellStyle name="Normal 12 2 8 3 6" xfId="4729" xr:uid="{00000000-0005-0000-0000-0000C1190000}"/>
    <cellStyle name="Normal 12 2 8 4" xfId="4730" xr:uid="{00000000-0005-0000-0000-0000C2190000}"/>
    <cellStyle name="Normal 12 2 8 4 2" xfId="47888" xr:uid="{00000000-0005-0000-0000-0000C3190000}"/>
    <cellStyle name="Normal 12 2 8 4 3" xfId="47889" xr:uid="{00000000-0005-0000-0000-0000C4190000}"/>
    <cellStyle name="Normal 12 2 8 5" xfId="4731" xr:uid="{00000000-0005-0000-0000-0000C5190000}"/>
    <cellStyle name="Normal 12 2 8 5 2" xfId="47890" xr:uid="{00000000-0005-0000-0000-0000C6190000}"/>
    <cellStyle name="Normal 12 2 8 6" xfId="4732" xr:uid="{00000000-0005-0000-0000-0000C7190000}"/>
    <cellStyle name="Normal 12 2 8 7" xfId="4733" xr:uid="{00000000-0005-0000-0000-0000C8190000}"/>
    <cellStyle name="Normal 12 2 8 8" xfId="4734" xr:uid="{00000000-0005-0000-0000-0000C9190000}"/>
    <cellStyle name="Normal 12 2 9" xfId="4735" xr:uid="{00000000-0005-0000-0000-0000CA190000}"/>
    <cellStyle name="Normal 12 2 9 2" xfId="4736" xr:uid="{00000000-0005-0000-0000-0000CB190000}"/>
    <cellStyle name="Normal 12 2 9 2 2" xfId="4737" xr:uid="{00000000-0005-0000-0000-0000CC190000}"/>
    <cellStyle name="Normal 12 2 9 2 2 2" xfId="4738" xr:uid="{00000000-0005-0000-0000-0000CD190000}"/>
    <cellStyle name="Normal 12 2 9 2 2 2 2" xfId="47891" xr:uid="{00000000-0005-0000-0000-0000CE190000}"/>
    <cellStyle name="Normal 12 2 9 2 2 2 3" xfId="47892" xr:uid="{00000000-0005-0000-0000-0000CF190000}"/>
    <cellStyle name="Normal 12 2 9 2 2 3" xfId="4739" xr:uid="{00000000-0005-0000-0000-0000D0190000}"/>
    <cellStyle name="Normal 12 2 9 2 2 3 2" xfId="47893" xr:uid="{00000000-0005-0000-0000-0000D1190000}"/>
    <cellStyle name="Normal 12 2 9 2 2 4" xfId="4740" xr:uid="{00000000-0005-0000-0000-0000D2190000}"/>
    <cellStyle name="Normal 12 2 9 2 2 5" xfId="4741" xr:uid="{00000000-0005-0000-0000-0000D3190000}"/>
    <cellStyle name="Normal 12 2 9 2 2 6" xfId="4742" xr:uid="{00000000-0005-0000-0000-0000D4190000}"/>
    <cellStyle name="Normal 12 2 9 2 3" xfId="4743" xr:uid="{00000000-0005-0000-0000-0000D5190000}"/>
    <cellStyle name="Normal 12 2 9 2 3 2" xfId="47894" xr:uid="{00000000-0005-0000-0000-0000D6190000}"/>
    <cellStyle name="Normal 12 2 9 2 3 3" xfId="47895" xr:uid="{00000000-0005-0000-0000-0000D7190000}"/>
    <cellStyle name="Normal 12 2 9 2 4" xfId="4744" xr:uid="{00000000-0005-0000-0000-0000D8190000}"/>
    <cellStyle name="Normal 12 2 9 2 4 2" xfId="47896" xr:uid="{00000000-0005-0000-0000-0000D9190000}"/>
    <cellStyle name="Normal 12 2 9 2 5" xfId="4745" xr:uid="{00000000-0005-0000-0000-0000DA190000}"/>
    <cellStyle name="Normal 12 2 9 2 6" xfId="4746" xr:uid="{00000000-0005-0000-0000-0000DB190000}"/>
    <cellStyle name="Normal 12 2 9 2 7" xfId="4747" xr:uid="{00000000-0005-0000-0000-0000DC190000}"/>
    <cellStyle name="Normal 12 2 9 3" xfId="4748" xr:uid="{00000000-0005-0000-0000-0000DD190000}"/>
    <cellStyle name="Normal 12 2 9 3 2" xfId="4749" xr:uid="{00000000-0005-0000-0000-0000DE190000}"/>
    <cellStyle name="Normal 12 2 9 3 2 2" xfId="47897" xr:uid="{00000000-0005-0000-0000-0000DF190000}"/>
    <cellStyle name="Normal 12 2 9 3 2 3" xfId="47898" xr:uid="{00000000-0005-0000-0000-0000E0190000}"/>
    <cellStyle name="Normal 12 2 9 3 3" xfId="4750" xr:uid="{00000000-0005-0000-0000-0000E1190000}"/>
    <cellStyle name="Normal 12 2 9 3 3 2" xfId="47899" xr:uid="{00000000-0005-0000-0000-0000E2190000}"/>
    <cellStyle name="Normal 12 2 9 3 4" xfId="4751" xr:uid="{00000000-0005-0000-0000-0000E3190000}"/>
    <cellStyle name="Normal 12 2 9 3 5" xfId="4752" xr:uid="{00000000-0005-0000-0000-0000E4190000}"/>
    <cellStyle name="Normal 12 2 9 3 6" xfId="4753" xr:uid="{00000000-0005-0000-0000-0000E5190000}"/>
    <cellStyle name="Normal 12 2 9 4" xfId="4754" xr:uid="{00000000-0005-0000-0000-0000E6190000}"/>
    <cellStyle name="Normal 12 2 9 4 2" xfId="47900" xr:uid="{00000000-0005-0000-0000-0000E7190000}"/>
    <cellStyle name="Normal 12 2 9 4 3" xfId="47901" xr:uid="{00000000-0005-0000-0000-0000E8190000}"/>
    <cellStyle name="Normal 12 2 9 5" xfId="4755" xr:uid="{00000000-0005-0000-0000-0000E9190000}"/>
    <cellStyle name="Normal 12 2 9 5 2" xfId="47902" xr:uid="{00000000-0005-0000-0000-0000EA190000}"/>
    <cellStyle name="Normal 12 2 9 6" xfId="4756" xr:uid="{00000000-0005-0000-0000-0000EB190000}"/>
    <cellStyle name="Normal 12 2 9 7" xfId="4757" xr:uid="{00000000-0005-0000-0000-0000EC190000}"/>
    <cellStyle name="Normal 12 2 9 8" xfId="4758" xr:uid="{00000000-0005-0000-0000-0000ED190000}"/>
    <cellStyle name="Normal 12 20" xfId="4759" xr:uid="{00000000-0005-0000-0000-0000EE190000}"/>
    <cellStyle name="Normal 12 21" xfId="4760" xr:uid="{00000000-0005-0000-0000-0000EF190000}"/>
    <cellStyle name="Normal 12 22" xfId="4761" xr:uid="{00000000-0005-0000-0000-0000F0190000}"/>
    <cellStyle name="Normal 12 23" xfId="4762" xr:uid="{00000000-0005-0000-0000-0000F1190000}"/>
    <cellStyle name="Normal 12 3" xfId="4763" xr:uid="{00000000-0005-0000-0000-0000F2190000}"/>
    <cellStyle name="Normal 12 3 10" xfId="4764" xr:uid="{00000000-0005-0000-0000-0000F3190000}"/>
    <cellStyle name="Normal 12 3 10 2" xfId="4765" xr:uid="{00000000-0005-0000-0000-0000F4190000}"/>
    <cellStyle name="Normal 12 3 10 2 2" xfId="4766" xr:uid="{00000000-0005-0000-0000-0000F5190000}"/>
    <cellStyle name="Normal 12 3 10 2 2 2" xfId="47903" xr:uid="{00000000-0005-0000-0000-0000F6190000}"/>
    <cellStyle name="Normal 12 3 10 2 2 3" xfId="47904" xr:uid="{00000000-0005-0000-0000-0000F7190000}"/>
    <cellStyle name="Normal 12 3 10 2 3" xfId="4767" xr:uid="{00000000-0005-0000-0000-0000F8190000}"/>
    <cellStyle name="Normal 12 3 10 2 3 2" xfId="47905" xr:uid="{00000000-0005-0000-0000-0000F9190000}"/>
    <cellStyle name="Normal 12 3 10 2 4" xfId="4768" xr:uid="{00000000-0005-0000-0000-0000FA190000}"/>
    <cellStyle name="Normal 12 3 10 2 5" xfId="4769" xr:uid="{00000000-0005-0000-0000-0000FB190000}"/>
    <cellStyle name="Normal 12 3 10 2 6" xfId="4770" xr:uid="{00000000-0005-0000-0000-0000FC190000}"/>
    <cellStyle name="Normal 12 3 10 3" xfId="4771" xr:uid="{00000000-0005-0000-0000-0000FD190000}"/>
    <cellStyle name="Normal 12 3 10 3 2" xfId="47906" xr:uid="{00000000-0005-0000-0000-0000FE190000}"/>
    <cellStyle name="Normal 12 3 10 3 3" xfId="47907" xr:uid="{00000000-0005-0000-0000-0000FF190000}"/>
    <cellStyle name="Normal 12 3 10 4" xfId="4772" xr:uid="{00000000-0005-0000-0000-0000001A0000}"/>
    <cellStyle name="Normal 12 3 10 4 2" xfId="47908" xr:uid="{00000000-0005-0000-0000-0000011A0000}"/>
    <cellStyle name="Normal 12 3 10 5" xfId="4773" xr:uid="{00000000-0005-0000-0000-0000021A0000}"/>
    <cellStyle name="Normal 12 3 10 6" xfId="4774" xr:uid="{00000000-0005-0000-0000-0000031A0000}"/>
    <cellStyle name="Normal 12 3 10 7" xfId="4775" xr:uid="{00000000-0005-0000-0000-0000041A0000}"/>
    <cellStyle name="Normal 12 3 11" xfId="4776" xr:uid="{00000000-0005-0000-0000-0000051A0000}"/>
    <cellStyle name="Normal 12 3 11 2" xfId="4777" xr:uid="{00000000-0005-0000-0000-0000061A0000}"/>
    <cellStyle name="Normal 12 3 11 2 2" xfId="47909" xr:uid="{00000000-0005-0000-0000-0000071A0000}"/>
    <cellStyle name="Normal 12 3 11 2 3" xfId="47910" xr:uid="{00000000-0005-0000-0000-0000081A0000}"/>
    <cellStyle name="Normal 12 3 11 3" xfId="4778" xr:uid="{00000000-0005-0000-0000-0000091A0000}"/>
    <cellStyle name="Normal 12 3 11 3 2" xfId="47911" xr:uid="{00000000-0005-0000-0000-00000A1A0000}"/>
    <cellStyle name="Normal 12 3 11 4" xfId="4779" xr:uid="{00000000-0005-0000-0000-00000B1A0000}"/>
    <cellStyle name="Normal 12 3 11 5" xfId="4780" xr:uid="{00000000-0005-0000-0000-00000C1A0000}"/>
    <cellStyle name="Normal 12 3 11 6" xfId="4781" xr:uid="{00000000-0005-0000-0000-00000D1A0000}"/>
    <cellStyle name="Normal 12 3 12" xfId="4782" xr:uid="{00000000-0005-0000-0000-00000E1A0000}"/>
    <cellStyle name="Normal 12 3 12 2" xfId="47912" xr:uid="{00000000-0005-0000-0000-00000F1A0000}"/>
    <cellStyle name="Normal 12 3 12 3" xfId="47913" xr:uid="{00000000-0005-0000-0000-0000101A0000}"/>
    <cellStyle name="Normal 12 3 13" xfId="4783" xr:uid="{00000000-0005-0000-0000-0000111A0000}"/>
    <cellStyle name="Normal 12 3 13 2" xfId="47914" xr:uid="{00000000-0005-0000-0000-0000121A0000}"/>
    <cellStyle name="Normal 12 3 14" xfId="4784" xr:uid="{00000000-0005-0000-0000-0000131A0000}"/>
    <cellStyle name="Normal 12 3 14 2" xfId="47915" xr:uid="{00000000-0005-0000-0000-0000141A0000}"/>
    <cellStyle name="Normal 12 3 15" xfId="4785" xr:uid="{00000000-0005-0000-0000-0000151A0000}"/>
    <cellStyle name="Normal 12 3 16" xfId="4786" xr:uid="{00000000-0005-0000-0000-0000161A0000}"/>
    <cellStyle name="Normal 12 3 17" xfId="4787" xr:uid="{00000000-0005-0000-0000-0000171A0000}"/>
    <cellStyle name="Normal 12 3 18" xfId="4788" xr:uid="{00000000-0005-0000-0000-0000181A0000}"/>
    <cellStyle name="Normal 12 3 19" xfId="4789" xr:uid="{00000000-0005-0000-0000-0000191A0000}"/>
    <cellStyle name="Normal 12 3 2" xfId="4790" xr:uid="{00000000-0005-0000-0000-00001A1A0000}"/>
    <cellStyle name="Normal 12 3 2 10" xfId="4791" xr:uid="{00000000-0005-0000-0000-00001B1A0000}"/>
    <cellStyle name="Normal 12 3 2 11" xfId="4792" xr:uid="{00000000-0005-0000-0000-00001C1A0000}"/>
    <cellStyle name="Normal 12 3 2 12" xfId="4793" xr:uid="{00000000-0005-0000-0000-00001D1A0000}"/>
    <cellStyle name="Normal 12 3 2 13" xfId="4794" xr:uid="{00000000-0005-0000-0000-00001E1A0000}"/>
    <cellStyle name="Normal 12 3 2 14" xfId="4795" xr:uid="{00000000-0005-0000-0000-00001F1A0000}"/>
    <cellStyle name="Normal 12 3 2 15" xfId="4796" xr:uid="{00000000-0005-0000-0000-0000201A0000}"/>
    <cellStyle name="Normal 12 3 2 2" xfId="4797" xr:uid="{00000000-0005-0000-0000-0000211A0000}"/>
    <cellStyle name="Normal 12 3 2 2 10" xfId="4798" xr:uid="{00000000-0005-0000-0000-0000221A0000}"/>
    <cellStyle name="Normal 12 3 2 2 11" xfId="4799" xr:uid="{00000000-0005-0000-0000-0000231A0000}"/>
    <cellStyle name="Normal 12 3 2 2 12" xfId="4800" xr:uid="{00000000-0005-0000-0000-0000241A0000}"/>
    <cellStyle name="Normal 12 3 2 2 13" xfId="4801" xr:uid="{00000000-0005-0000-0000-0000251A0000}"/>
    <cellStyle name="Normal 12 3 2 2 14" xfId="4802" xr:uid="{00000000-0005-0000-0000-0000261A0000}"/>
    <cellStyle name="Normal 12 3 2 2 2" xfId="4803" xr:uid="{00000000-0005-0000-0000-0000271A0000}"/>
    <cellStyle name="Normal 12 3 2 2 2 2" xfId="4804" xr:uid="{00000000-0005-0000-0000-0000281A0000}"/>
    <cellStyle name="Normal 12 3 2 2 2 2 2" xfId="4805" xr:uid="{00000000-0005-0000-0000-0000291A0000}"/>
    <cellStyle name="Normal 12 3 2 2 2 2 2 2" xfId="4806" xr:uid="{00000000-0005-0000-0000-00002A1A0000}"/>
    <cellStyle name="Normal 12 3 2 2 2 2 2 2 2" xfId="47916" xr:uid="{00000000-0005-0000-0000-00002B1A0000}"/>
    <cellStyle name="Normal 12 3 2 2 2 2 2 2 3" xfId="47917" xr:uid="{00000000-0005-0000-0000-00002C1A0000}"/>
    <cellStyle name="Normal 12 3 2 2 2 2 2 3" xfId="4807" xr:uid="{00000000-0005-0000-0000-00002D1A0000}"/>
    <cellStyle name="Normal 12 3 2 2 2 2 2 3 2" xfId="47918" xr:uid="{00000000-0005-0000-0000-00002E1A0000}"/>
    <cellStyle name="Normal 12 3 2 2 2 2 2 4" xfId="4808" xr:uid="{00000000-0005-0000-0000-00002F1A0000}"/>
    <cellStyle name="Normal 12 3 2 2 2 2 2 5" xfId="4809" xr:uid="{00000000-0005-0000-0000-0000301A0000}"/>
    <cellStyle name="Normal 12 3 2 2 2 2 2 6" xfId="4810" xr:uid="{00000000-0005-0000-0000-0000311A0000}"/>
    <cellStyle name="Normal 12 3 2 2 2 2 3" xfId="4811" xr:uid="{00000000-0005-0000-0000-0000321A0000}"/>
    <cellStyle name="Normal 12 3 2 2 2 2 3 2" xfId="47919" xr:uid="{00000000-0005-0000-0000-0000331A0000}"/>
    <cellStyle name="Normal 12 3 2 2 2 2 3 3" xfId="47920" xr:uid="{00000000-0005-0000-0000-0000341A0000}"/>
    <cellStyle name="Normal 12 3 2 2 2 2 4" xfId="4812" xr:uid="{00000000-0005-0000-0000-0000351A0000}"/>
    <cellStyle name="Normal 12 3 2 2 2 2 4 2" xfId="47921" xr:uid="{00000000-0005-0000-0000-0000361A0000}"/>
    <cellStyle name="Normal 12 3 2 2 2 2 5" xfId="4813" xr:uid="{00000000-0005-0000-0000-0000371A0000}"/>
    <cellStyle name="Normal 12 3 2 2 2 2 6" xfId="4814" xr:uid="{00000000-0005-0000-0000-0000381A0000}"/>
    <cellStyle name="Normal 12 3 2 2 2 2 7" xfId="4815" xr:uid="{00000000-0005-0000-0000-0000391A0000}"/>
    <cellStyle name="Normal 12 3 2 2 2 3" xfId="4816" xr:uid="{00000000-0005-0000-0000-00003A1A0000}"/>
    <cellStyle name="Normal 12 3 2 2 2 3 2" xfId="4817" xr:uid="{00000000-0005-0000-0000-00003B1A0000}"/>
    <cellStyle name="Normal 12 3 2 2 2 3 2 2" xfId="47922" xr:uid="{00000000-0005-0000-0000-00003C1A0000}"/>
    <cellStyle name="Normal 12 3 2 2 2 3 2 3" xfId="47923" xr:uid="{00000000-0005-0000-0000-00003D1A0000}"/>
    <cellStyle name="Normal 12 3 2 2 2 3 3" xfId="4818" xr:uid="{00000000-0005-0000-0000-00003E1A0000}"/>
    <cellStyle name="Normal 12 3 2 2 2 3 3 2" xfId="47924" xr:uid="{00000000-0005-0000-0000-00003F1A0000}"/>
    <cellStyle name="Normal 12 3 2 2 2 3 4" xfId="4819" xr:uid="{00000000-0005-0000-0000-0000401A0000}"/>
    <cellStyle name="Normal 12 3 2 2 2 3 5" xfId="4820" xr:uid="{00000000-0005-0000-0000-0000411A0000}"/>
    <cellStyle name="Normal 12 3 2 2 2 3 6" xfId="4821" xr:uid="{00000000-0005-0000-0000-0000421A0000}"/>
    <cellStyle name="Normal 12 3 2 2 2 4" xfId="4822" xr:uid="{00000000-0005-0000-0000-0000431A0000}"/>
    <cellStyle name="Normal 12 3 2 2 2 4 2" xfId="47925" xr:uid="{00000000-0005-0000-0000-0000441A0000}"/>
    <cellStyle name="Normal 12 3 2 2 2 4 3" xfId="47926" xr:uid="{00000000-0005-0000-0000-0000451A0000}"/>
    <cellStyle name="Normal 12 3 2 2 2 5" xfId="4823" xr:uid="{00000000-0005-0000-0000-0000461A0000}"/>
    <cellStyle name="Normal 12 3 2 2 2 5 2" xfId="47927" xr:uid="{00000000-0005-0000-0000-0000471A0000}"/>
    <cellStyle name="Normal 12 3 2 2 2 6" xfId="4824" xr:uid="{00000000-0005-0000-0000-0000481A0000}"/>
    <cellStyle name="Normal 12 3 2 2 2 7" xfId="4825" xr:uid="{00000000-0005-0000-0000-0000491A0000}"/>
    <cellStyle name="Normal 12 3 2 2 2 8" xfId="4826" xr:uid="{00000000-0005-0000-0000-00004A1A0000}"/>
    <cellStyle name="Normal 12 3 2 2 2 9" xfId="4827" xr:uid="{00000000-0005-0000-0000-00004B1A0000}"/>
    <cellStyle name="Normal 12 3 2 2 3" xfId="4828" xr:uid="{00000000-0005-0000-0000-00004C1A0000}"/>
    <cellStyle name="Normal 12 3 2 2 3 2" xfId="4829" xr:uid="{00000000-0005-0000-0000-00004D1A0000}"/>
    <cellStyle name="Normal 12 3 2 2 3 2 2" xfId="4830" xr:uid="{00000000-0005-0000-0000-00004E1A0000}"/>
    <cellStyle name="Normal 12 3 2 2 3 2 2 2" xfId="4831" xr:uid="{00000000-0005-0000-0000-00004F1A0000}"/>
    <cellStyle name="Normal 12 3 2 2 3 2 2 2 2" xfId="47928" xr:uid="{00000000-0005-0000-0000-0000501A0000}"/>
    <cellStyle name="Normal 12 3 2 2 3 2 2 2 3" xfId="47929" xr:uid="{00000000-0005-0000-0000-0000511A0000}"/>
    <cellStyle name="Normal 12 3 2 2 3 2 2 3" xfId="4832" xr:uid="{00000000-0005-0000-0000-0000521A0000}"/>
    <cellStyle name="Normal 12 3 2 2 3 2 2 3 2" xfId="47930" xr:uid="{00000000-0005-0000-0000-0000531A0000}"/>
    <cellStyle name="Normal 12 3 2 2 3 2 2 4" xfId="4833" xr:uid="{00000000-0005-0000-0000-0000541A0000}"/>
    <cellStyle name="Normal 12 3 2 2 3 2 2 5" xfId="4834" xr:uid="{00000000-0005-0000-0000-0000551A0000}"/>
    <cellStyle name="Normal 12 3 2 2 3 2 2 6" xfId="4835" xr:uid="{00000000-0005-0000-0000-0000561A0000}"/>
    <cellStyle name="Normal 12 3 2 2 3 2 3" xfId="4836" xr:uid="{00000000-0005-0000-0000-0000571A0000}"/>
    <cellStyle name="Normal 12 3 2 2 3 2 3 2" xfId="47931" xr:uid="{00000000-0005-0000-0000-0000581A0000}"/>
    <cellStyle name="Normal 12 3 2 2 3 2 3 3" xfId="47932" xr:uid="{00000000-0005-0000-0000-0000591A0000}"/>
    <cellStyle name="Normal 12 3 2 2 3 2 4" xfId="4837" xr:uid="{00000000-0005-0000-0000-00005A1A0000}"/>
    <cellStyle name="Normal 12 3 2 2 3 2 4 2" xfId="47933" xr:uid="{00000000-0005-0000-0000-00005B1A0000}"/>
    <cellStyle name="Normal 12 3 2 2 3 2 5" xfId="4838" xr:uid="{00000000-0005-0000-0000-00005C1A0000}"/>
    <cellStyle name="Normal 12 3 2 2 3 2 6" xfId="4839" xr:uid="{00000000-0005-0000-0000-00005D1A0000}"/>
    <cellStyle name="Normal 12 3 2 2 3 2 7" xfId="4840" xr:uid="{00000000-0005-0000-0000-00005E1A0000}"/>
    <cellStyle name="Normal 12 3 2 2 3 3" xfId="4841" xr:uid="{00000000-0005-0000-0000-00005F1A0000}"/>
    <cellStyle name="Normal 12 3 2 2 3 3 2" xfId="4842" xr:uid="{00000000-0005-0000-0000-0000601A0000}"/>
    <cellStyle name="Normal 12 3 2 2 3 3 2 2" xfId="47934" xr:uid="{00000000-0005-0000-0000-0000611A0000}"/>
    <cellStyle name="Normal 12 3 2 2 3 3 2 3" xfId="47935" xr:uid="{00000000-0005-0000-0000-0000621A0000}"/>
    <cellStyle name="Normal 12 3 2 2 3 3 3" xfId="4843" xr:uid="{00000000-0005-0000-0000-0000631A0000}"/>
    <cellStyle name="Normal 12 3 2 2 3 3 3 2" xfId="47936" xr:uid="{00000000-0005-0000-0000-0000641A0000}"/>
    <cellStyle name="Normal 12 3 2 2 3 3 4" xfId="4844" xr:uid="{00000000-0005-0000-0000-0000651A0000}"/>
    <cellStyle name="Normal 12 3 2 2 3 3 5" xfId="4845" xr:uid="{00000000-0005-0000-0000-0000661A0000}"/>
    <cellStyle name="Normal 12 3 2 2 3 3 6" xfId="4846" xr:uid="{00000000-0005-0000-0000-0000671A0000}"/>
    <cellStyle name="Normal 12 3 2 2 3 4" xfId="4847" xr:uid="{00000000-0005-0000-0000-0000681A0000}"/>
    <cellStyle name="Normal 12 3 2 2 3 4 2" xfId="47937" xr:uid="{00000000-0005-0000-0000-0000691A0000}"/>
    <cellStyle name="Normal 12 3 2 2 3 4 3" xfId="47938" xr:uid="{00000000-0005-0000-0000-00006A1A0000}"/>
    <cellStyle name="Normal 12 3 2 2 3 5" xfId="4848" xr:uid="{00000000-0005-0000-0000-00006B1A0000}"/>
    <cellStyle name="Normal 12 3 2 2 3 5 2" xfId="47939" xr:uid="{00000000-0005-0000-0000-00006C1A0000}"/>
    <cellStyle name="Normal 12 3 2 2 3 6" xfId="4849" xr:uid="{00000000-0005-0000-0000-00006D1A0000}"/>
    <cellStyle name="Normal 12 3 2 2 3 7" xfId="4850" xr:uid="{00000000-0005-0000-0000-00006E1A0000}"/>
    <cellStyle name="Normal 12 3 2 2 3 8" xfId="4851" xr:uid="{00000000-0005-0000-0000-00006F1A0000}"/>
    <cellStyle name="Normal 12 3 2 2 4" xfId="4852" xr:uid="{00000000-0005-0000-0000-0000701A0000}"/>
    <cellStyle name="Normal 12 3 2 2 4 2" xfId="4853" xr:uid="{00000000-0005-0000-0000-0000711A0000}"/>
    <cellStyle name="Normal 12 3 2 2 4 2 2" xfId="4854" xr:uid="{00000000-0005-0000-0000-0000721A0000}"/>
    <cellStyle name="Normal 12 3 2 2 4 2 2 2" xfId="47940" xr:uid="{00000000-0005-0000-0000-0000731A0000}"/>
    <cellStyle name="Normal 12 3 2 2 4 2 2 3" xfId="47941" xr:uid="{00000000-0005-0000-0000-0000741A0000}"/>
    <cellStyle name="Normal 12 3 2 2 4 2 3" xfId="4855" xr:uid="{00000000-0005-0000-0000-0000751A0000}"/>
    <cellStyle name="Normal 12 3 2 2 4 2 3 2" xfId="47942" xr:uid="{00000000-0005-0000-0000-0000761A0000}"/>
    <cellStyle name="Normal 12 3 2 2 4 2 4" xfId="4856" xr:uid="{00000000-0005-0000-0000-0000771A0000}"/>
    <cellStyle name="Normal 12 3 2 2 4 2 5" xfId="4857" xr:uid="{00000000-0005-0000-0000-0000781A0000}"/>
    <cellStyle name="Normal 12 3 2 2 4 2 6" xfId="4858" xr:uid="{00000000-0005-0000-0000-0000791A0000}"/>
    <cellStyle name="Normal 12 3 2 2 4 3" xfId="4859" xr:uid="{00000000-0005-0000-0000-00007A1A0000}"/>
    <cellStyle name="Normal 12 3 2 2 4 3 2" xfId="47943" xr:uid="{00000000-0005-0000-0000-00007B1A0000}"/>
    <cellStyle name="Normal 12 3 2 2 4 3 3" xfId="47944" xr:uid="{00000000-0005-0000-0000-00007C1A0000}"/>
    <cellStyle name="Normal 12 3 2 2 4 4" xfId="4860" xr:uid="{00000000-0005-0000-0000-00007D1A0000}"/>
    <cellStyle name="Normal 12 3 2 2 4 4 2" xfId="47945" xr:uid="{00000000-0005-0000-0000-00007E1A0000}"/>
    <cellStyle name="Normal 12 3 2 2 4 5" xfId="4861" xr:uid="{00000000-0005-0000-0000-00007F1A0000}"/>
    <cellStyle name="Normal 12 3 2 2 4 6" xfId="4862" xr:uid="{00000000-0005-0000-0000-0000801A0000}"/>
    <cellStyle name="Normal 12 3 2 2 4 7" xfId="4863" xr:uid="{00000000-0005-0000-0000-0000811A0000}"/>
    <cellStyle name="Normal 12 3 2 2 5" xfId="4864" xr:uid="{00000000-0005-0000-0000-0000821A0000}"/>
    <cellStyle name="Normal 12 3 2 2 5 2" xfId="4865" xr:uid="{00000000-0005-0000-0000-0000831A0000}"/>
    <cellStyle name="Normal 12 3 2 2 5 2 2" xfId="47946" xr:uid="{00000000-0005-0000-0000-0000841A0000}"/>
    <cellStyle name="Normal 12 3 2 2 5 2 3" xfId="47947" xr:uid="{00000000-0005-0000-0000-0000851A0000}"/>
    <cellStyle name="Normal 12 3 2 2 5 3" xfId="4866" xr:uid="{00000000-0005-0000-0000-0000861A0000}"/>
    <cellStyle name="Normal 12 3 2 2 5 3 2" xfId="47948" xr:uid="{00000000-0005-0000-0000-0000871A0000}"/>
    <cellStyle name="Normal 12 3 2 2 5 4" xfId="4867" xr:uid="{00000000-0005-0000-0000-0000881A0000}"/>
    <cellStyle name="Normal 12 3 2 2 5 5" xfId="4868" xr:uid="{00000000-0005-0000-0000-0000891A0000}"/>
    <cellStyle name="Normal 12 3 2 2 5 6" xfId="4869" xr:uid="{00000000-0005-0000-0000-00008A1A0000}"/>
    <cellStyle name="Normal 12 3 2 2 6" xfId="4870" xr:uid="{00000000-0005-0000-0000-00008B1A0000}"/>
    <cellStyle name="Normal 12 3 2 2 6 2" xfId="47949" xr:uid="{00000000-0005-0000-0000-00008C1A0000}"/>
    <cellStyle name="Normal 12 3 2 2 6 3" xfId="47950" xr:uid="{00000000-0005-0000-0000-00008D1A0000}"/>
    <cellStyle name="Normal 12 3 2 2 7" xfId="4871" xr:uid="{00000000-0005-0000-0000-00008E1A0000}"/>
    <cellStyle name="Normal 12 3 2 2 7 2" xfId="47951" xr:uid="{00000000-0005-0000-0000-00008F1A0000}"/>
    <cellStyle name="Normal 12 3 2 2 8" xfId="4872" xr:uid="{00000000-0005-0000-0000-0000901A0000}"/>
    <cellStyle name="Normal 12 3 2 2 9" xfId="4873" xr:uid="{00000000-0005-0000-0000-0000911A0000}"/>
    <cellStyle name="Normal 12 3 2 3" xfId="4874" xr:uid="{00000000-0005-0000-0000-0000921A0000}"/>
    <cellStyle name="Normal 12 3 2 3 2" xfId="4875" xr:uid="{00000000-0005-0000-0000-0000931A0000}"/>
    <cellStyle name="Normal 12 3 2 3 2 2" xfId="4876" xr:uid="{00000000-0005-0000-0000-0000941A0000}"/>
    <cellStyle name="Normal 12 3 2 3 2 2 2" xfId="4877" xr:uid="{00000000-0005-0000-0000-0000951A0000}"/>
    <cellStyle name="Normal 12 3 2 3 2 2 2 2" xfId="47952" xr:uid="{00000000-0005-0000-0000-0000961A0000}"/>
    <cellStyle name="Normal 12 3 2 3 2 2 2 3" xfId="47953" xr:uid="{00000000-0005-0000-0000-0000971A0000}"/>
    <cellStyle name="Normal 12 3 2 3 2 2 3" xfId="4878" xr:uid="{00000000-0005-0000-0000-0000981A0000}"/>
    <cellStyle name="Normal 12 3 2 3 2 2 3 2" xfId="47954" xr:uid="{00000000-0005-0000-0000-0000991A0000}"/>
    <cellStyle name="Normal 12 3 2 3 2 2 4" xfId="4879" xr:uid="{00000000-0005-0000-0000-00009A1A0000}"/>
    <cellStyle name="Normal 12 3 2 3 2 2 5" xfId="4880" xr:uid="{00000000-0005-0000-0000-00009B1A0000}"/>
    <cellStyle name="Normal 12 3 2 3 2 2 6" xfId="4881" xr:uid="{00000000-0005-0000-0000-00009C1A0000}"/>
    <cellStyle name="Normal 12 3 2 3 2 3" xfId="4882" xr:uid="{00000000-0005-0000-0000-00009D1A0000}"/>
    <cellStyle name="Normal 12 3 2 3 2 3 2" xfId="47955" xr:uid="{00000000-0005-0000-0000-00009E1A0000}"/>
    <cellStyle name="Normal 12 3 2 3 2 3 3" xfId="47956" xr:uid="{00000000-0005-0000-0000-00009F1A0000}"/>
    <cellStyle name="Normal 12 3 2 3 2 4" xfId="4883" xr:uid="{00000000-0005-0000-0000-0000A01A0000}"/>
    <cellStyle name="Normal 12 3 2 3 2 4 2" xfId="47957" xr:uid="{00000000-0005-0000-0000-0000A11A0000}"/>
    <cellStyle name="Normal 12 3 2 3 2 5" xfId="4884" xr:uid="{00000000-0005-0000-0000-0000A21A0000}"/>
    <cellStyle name="Normal 12 3 2 3 2 6" xfId="4885" xr:uid="{00000000-0005-0000-0000-0000A31A0000}"/>
    <cellStyle name="Normal 12 3 2 3 2 7" xfId="4886" xr:uid="{00000000-0005-0000-0000-0000A41A0000}"/>
    <cellStyle name="Normal 12 3 2 3 3" xfId="4887" xr:uid="{00000000-0005-0000-0000-0000A51A0000}"/>
    <cellStyle name="Normal 12 3 2 3 3 2" xfId="4888" xr:uid="{00000000-0005-0000-0000-0000A61A0000}"/>
    <cellStyle name="Normal 12 3 2 3 3 2 2" xfId="47958" xr:uid="{00000000-0005-0000-0000-0000A71A0000}"/>
    <cellStyle name="Normal 12 3 2 3 3 2 3" xfId="47959" xr:uid="{00000000-0005-0000-0000-0000A81A0000}"/>
    <cellStyle name="Normal 12 3 2 3 3 3" xfId="4889" xr:uid="{00000000-0005-0000-0000-0000A91A0000}"/>
    <cellStyle name="Normal 12 3 2 3 3 3 2" xfId="47960" xr:uid="{00000000-0005-0000-0000-0000AA1A0000}"/>
    <cellStyle name="Normal 12 3 2 3 3 4" xfId="4890" xr:uid="{00000000-0005-0000-0000-0000AB1A0000}"/>
    <cellStyle name="Normal 12 3 2 3 3 5" xfId="4891" xr:uid="{00000000-0005-0000-0000-0000AC1A0000}"/>
    <cellStyle name="Normal 12 3 2 3 3 6" xfId="4892" xr:uid="{00000000-0005-0000-0000-0000AD1A0000}"/>
    <cellStyle name="Normal 12 3 2 3 4" xfId="4893" xr:uid="{00000000-0005-0000-0000-0000AE1A0000}"/>
    <cellStyle name="Normal 12 3 2 3 4 2" xfId="47961" xr:uid="{00000000-0005-0000-0000-0000AF1A0000}"/>
    <cellStyle name="Normal 12 3 2 3 4 3" xfId="47962" xr:uid="{00000000-0005-0000-0000-0000B01A0000}"/>
    <cellStyle name="Normal 12 3 2 3 5" xfId="4894" xr:uid="{00000000-0005-0000-0000-0000B11A0000}"/>
    <cellStyle name="Normal 12 3 2 3 5 2" xfId="47963" xr:uid="{00000000-0005-0000-0000-0000B21A0000}"/>
    <cellStyle name="Normal 12 3 2 3 6" xfId="4895" xr:uid="{00000000-0005-0000-0000-0000B31A0000}"/>
    <cellStyle name="Normal 12 3 2 3 7" xfId="4896" xr:uid="{00000000-0005-0000-0000-0000B41A0000}"/>
    <cellStyle name="Normal 12 3 2 3 8" xfId="4897" xr:uid="{00000000-0005-0000-0000-0000B51A0000}"/>
    <cellStyle name="Normal 12 3 2 3 9" xfId="4898" xr:uid="{00000000-0005-0000-0000-0000B61A0000}"/>
    <cellStyle name="Normal 12 3 2 4" xfId="4899" xr:uid="{00000000-0005-0000-0000-0000B71A0000}"/>
    <cellStyle name="Normal 12 3 2 4 2" xfId="4900" xr:uid="{00000000-0005-0000-0000-0000B81A0000}"/>
    <cellStyle name="Normal 12 3 2 4 2 2" xfId="4901" xr:uid="{00000000-0005-0000-0000-0000B91A0000}"/>
    <cellStyle name="Normal 12 3 2 4 2 2 2" xfId="4902" xr:uid="{00000000-0005-0000-0000-0000BA1A0000}"/>
    <cellStyle name="Normal 12 3 2 4 2 2 2 2" xfId="47964" xr:uid="{00000000-0005-0000-0000-0000BB1A0000}"/>
    <cellStyle name="Normal 12 3 2 4 2 2 2 3" xfId="47965" xr:uid="{00000000-0005-0000-0000-0000BC1A0000}"/>
    <cellStyle name="Normal 12 3 2 4 2 2 3" xfId="4903" xr:uid="{00000000-0005-0000-0000-0000BD1A0000}"/>
    <cellStyle name="Normal 12 3 2 4 2 2 3 2" xfId="47966" xr:uid="{00000000-0005-0000-0000-0000BE1A0000}"/>
    <cellStyle name="Normal 12 3 2 4 2 2 4" xfId="4904" xr:uid="{00000000-0005-0000-0000-0000BF1A0000}"/>
    <cellStyle name="Normal 12 3 2 4 2 2 5" xfId="4905" xr:uid="{00000000-0005-0000-0000-0000C01A0000}"/>
    <cellStyle name="Normal 12 3 2 4 2 2 6" xfId="4906" xr:uid="{00000000-0005-0000-0000-0000C11A0000}"/>
    <cellStyle name="Normal 12 3 2 4 2 3" xfId="4907" xr:uid="{00000000-0005-0000-0000-0000C21A0000}"/>
    <cellStyle name="Normal 12 3 2 4 2 3 2" xfId="47967" xr:uid="{00000000-0005-0000-0000-0000C31A0000}"/>
    <cellStyle name="Normal 12 3 2 4 2 3 3" xfId="47968" xr:uid="{00000000-0005-0000-0000-0000C41A0000}"/>
    <cellStyle name="Normal 12 3 2 4 2 4" xfId="4908" xr:uid="{00000000-0005-0000-0000-0000C51A0000}"/>
    <cellStyle name="Normal 12 3 2 4 2 4 2" xfId="47969" xr:uid="{00000000-0005-0000-0000-0000C61A0000}"/>
    <cellStyle name="Normal 12 3 2 4 2 5" xfId="4909" xr:uid="{00000000-0005-0000-0000-0000C71A0000}"/>
    <cellStyle name="Normal 12 3 2 4 2 6" xfId="4910" xr:uid="{00000000-0005-0000-0000-0000C81A0000}"/>
    <cellStyle name="Normal 12 3 2 4 2 7" xfId="4911" xr:uid="{00000000-0005-0000-0000-0000C91A0000}"/>
    <cellStyle name="Normal 12 3 2 4 3" xfId="4912" xr:uid="{00000000-0005-0000-0000-0000CA1A0000}"/>
    <cellStyle name="Normal 12 3 2 4 3 2" xfId="4913" xr:uid="{00000000-0005-0000-0000-0000CB1A0000}"/>
    <cellStyle name="Normal 12 3 2 4 3 2 2" xfId="47970" xr:uid="{00000000-0005-0000-0000-0000CC1A0000}"/>
    <cellStyle name="Normal 12 3 2 4 3 2 3" xfId="47971" xr:uid="{00000000-0005-0000-0000-0000CD1A0000}"/>
    <cellStyle name="Normal 12 3 2 4 3 3" xfId="4914" xr:uid="{00000000-0005-0000-0000-0000CE1A0000}"/>
    <cellStyle name="Normal 12 3 2 4 3 3 2" xfId="47972" xr:uid="{00000000-0005-0000-0000-0000CF1A0000}"/>
    <cellStyle name="Normal 12 3 2 4 3 4" xfId="4915" xr:uid="{00000000-0005-0000-0000-0000D01A0000}"/>
    <cellStyle name="Normal 12 3 2 4 3 5" xfId="4916" xr:uid="{00000000-0005-0000-0000-0000D11A0000}"/>
    <cellStyle name="Normal 12 3 2 4 3 6" xfId="4917" xr:uid="{00000000-0005-0000-0000-0000D21A0000}"/>
    <cellStyle name="Normal 12 3 2 4 4" xfId="4918" xr:uid="{00000000-0005-0000-0000-0000D31A0000}"/>
    <cellStyle name="Normal 12 3 2 4 4 2" xfId="47973" xr:uid="{00000000-0005-0000-0000-0000D41A0000}"/>
    <cellStyle name="Normal 12 3 2 4 4 3" xfId="47974" xr:uid="{00000000-0005-0000-0000-0000D51A0000}"/>
    <cellStyle name="Normal 12 3 2 4 5" xfId="4919" xr:uid="{00000000-0005-0000-0000-0000D61A0000}"/>
    <cellStyle name="Normal 12 3 2 4 5 2" xfId="47975" xr:uid="{00000000-0005-0000-0000-0000D71A0000}"/>
    <cellStyle name="Normal 12 3 2 4 6" xfId="4920" xr:uid="{00000000-0005-0000-0000-0000D81A0000}"/>
    <cellStyle name="Normal 12 3 2 4 7" xfId="4921" xr:uid="{00000000-0005-0000-0000-0000D91A0000}"/>
    <cellStyle name="Normal 12 3 2 4 8" xfId="4922" xr:uid="{00000000-0005-0000-0000-0000DA1A0000}"/>
    <cellStyle name="Normal 12 3 2 5" xfId="4923" xr:uid="{00000000-0005-0000-0000-0000DB1A0000}"/>
    <cellStyle name="Normal 12 3 2 5 2" xfId="4924" xr:uid="{00000000-0005-0000-0000-0000DC1A0000}"/>
    <cellStyle name="Normal 12 3 2 5 2 2" xfId="4925" xr:uid="{00000000-0005-0000-0000-0000DD1A0000}"/>
    <cellStyle name="Normal 12 3 2 5 2 2 2" xfId="47976" xr:uid="{00000000-0005-0000-0000-0000DE1A0000}"/>
    <cellStyle name="Normal 12 3 2 5 2 2 3" xfId="47977" xr:uid="{00000000-0005-0000-0000-0000DF1A0000}"/>
    <cellStyle name="Normal 12 3 2 5 2 3" xfId="4926" xr:uid="{00000000-0005-0000-0000-0000E01A0000}"/>
    <cellStyle name="Normal 12 3 2 5 2 3 2" xfId="47978" xr:uid="{00000000-0005-0000-0000-0000E11A0000}"/>
    <cellStyle name="Normal 12 3 2 5 2 4" xfId="4927" xr:uid="{00000000-0005-0000-0000-0000E21A0000}"/>
    <cellStyle name="Normal 12 3 2 5 2 5" xfId="4928" xr:uid="{00000000-0005-0000-0000-0000E31A0000}"/>
    <cellStyle name="Normal 12 3 2 5 2 6" xfId="4929" xr:uid="{00000000-0005-0000-0000-0000E41A0000}"/>
    <cellStyle name="Normal 12 3 2 5 3" xfId="4930" xr:uid="{00000000-0005-0000-0000-0000E51A0000}"/>
    <cellStyle name="Normal 12 3 2 5 3 2" xfId="47979" xr:uid="{00000000-0005-0000-0000-0000E61A0000}"/>
    <cellStyle name="Normal 12 3 2 5 3 3" xfId="47980" xr:uid="{00000000-0005-0000-0000-0000E71A0000}"/>
    <cellStyle name="Normal 12 3 2 5 4" xfId="4931" xr:uid="{00000000-0005-0000-0000-0000E81A0000}"/>
    <cellStyle name="Normal 12 3 2 5 4 2" xfId="47981" xr:uid="{00000000-0005-0000-0000-0000E91A0000}"/>
    <cellStyle name="Normal 12 3 2 5 5" xfId="4932" xr:uid="{00000000-0005-0000-0000-0000EA1A0000}"/>
    <cellStyle name="Normal 12 3 2 5 6" xfId="4933" xr:uid="{00000000-0005-0000-0000-0000EB1A0000}"/>
    <cellStyle name="Normal 12 3 2 5 7" xfId="4934" xr:uid="{00000000-0005-0000-0000-0000EC1A0000}"/>
    <cellStyle name="Normal 12 3 2 6" xfId="4935" xr:uid="{00000000-0005-0000-0000-0000ED1A0000}"/>
    <cellStyle name="Normal 12 3 2 6 2" xfId="4936" xr:uid="{00000000-0005-0000-0000-0000EE1A0000}"/>
    <cellStyle name="Normal 12 3 2 6 2 2" xfId="47982" xr:uid="{00000000-0005-0000-0000-0000EF1A0000}"/>
    <cellStyle name="Normal 12 3 2 6 2 3" xfId="47983" xr:uid="{00000000-0005-0000-0000-0000F01A0000}"/>
    <cellStyle name="Normal 12 3 2 6 3" xfId="4937" xr:uid="{00000000-0005-0000-0000-0000F11A0000}"/>
    <cellStyle name="Normal 12 3 2 6 3 2" xfId="47984" xr:uid="{00000000-0005-0000-0000-0000F21A0000}"/>
    <cellStyle name="Normal 12 3 2 6 4" xfId="4938" xr:uid="{00000000-0005-0000-0000-0000F31A0000}"/>
    <cellStyle name="Normal 12 3 2 6 5" xfId="4939" xr:uid="{00000000-0005-0000-0000-0000F41A0000}"/>
    <cellStyle name="Normal 12 3 2 6 6" xfId="4940" xr:uid="{00000000-0005-0000-0000-0000F51A0000}"/>
    <cellStyle name="Normal 12 3 2 7" xfId="4941" xr:uid="{00000000-0005-0000-0000-0000F61A0000}"/>
    <cellStyle name="Normal 12 3 2 7 2" xfId="47985" xr:uid="{00000000-0005-0000-0000-0000F71A0000}"/>
    <cellStyle name="Normal 12 3 2 7 3" xfId="47986" xr:uid="{00000000-0005-0000-0000-0000F81A0000}"/>
    <cellStyle name="Normal 12 3 2 8" xfId="4942" xr:uid="{00000000-0005-0000-0000-0000F91A0000}"/>
    <cellStyle name="Normal 12 3 2 8 2" xfId="47987" xr:uid="{00000000-0005-0000-0000-0000FA1A0000}"/>
    <cellStyle name="Normal 12 3 2 9" xfId="4943" xr:uid="{00000000-0005-0000-0000-0000FB1A0000}"/>
    <cellStyle name="Normal 12 3 2 9 2" xfId="47988" xr:uid="{00000000-0005-0000-0000-0000FC1A0000}"/>
    <cellStyle name="Normal 12 3 20" xfId="4944" xr:uid="{00000000-0005-0000-0000-0000FD1A0000}"/>
    <cellStyle name="Normal 12 3 21" xfId="4945" xr:uid="{00000000-0005-0000-0000-0000FE1A0000}"/>
    <cellStyle name="Normal 12 3 3" xfId="4946" xr:uid="{00000000-0005-0000-0000-0000FF1A0000}"/>
    <cellStyle name="Normal 12 3 3 10" xfId="4947" xr:uid="{00000000-0005-0000-0000-0000001B0000}"/>
    <cellStyle name="Normal 12 3 3 11" xfId="4948" xr:uid="{00000000-0005-0000-0000-0000011B0000}"/>
    <cellStyle name="Normal 12 3 3 12" xfId="4949" xr:uid="{00000000-0005-0000-0000-0000021B0000}"/>
    <cellStyle name="Normal 12 3 3 13" xfId="4950" xr:uid="{00000000-0005-0000-0000-0000031B0000}"/>
    <cellStyle name="Normal 12 3 3 14" xfId="4951" xr:uid="{00000000-0005-0000-0000-0000041B0000}"/>
    <cellStyle name="Normal 12 3 3 15" xfId="4952" xr:uid="{00000000-0005-0000-0000-0000051B0000}"/>
    <cellStyle name="Normal 12 3 3 2" xfId="4953" xr:uid="{00000000-0005-0000-0000-0000061B0000}"/>
    <cellStyle name="Normal 12 3 3 2 10" xfId="4954" xr:uid="{00000000-0005-0000-0000-0000071B0000}"/>
    <cellStyle name="Normal 12 3 3 2 11" xfId="4955" xr:uid="{00000000-0005-0000-0000-0000081B0000}"/>
    <cellStyle name="Normal 12 3 3 2 12" xfId="4956" xr:uid="{00000000-0005-0000-0000-0000091B0000}"/>
    <cellStyle name="Normal 12 3 3 2 13" xfId="4957" xr:uid="{00000000-0005-0000-0000-00000A1B0000}"/>
    <cellStyle name="Normal 12 3 3 2 14" xfId="4958" xr:uid="{00000000-0005-0000-0000-00000B1B0000}"/>
    <cellStyle name="Normal 12 3 3 2 2" xfId="4959" xr:uid="{00000000-0005-0000-0000-00000C1B0000}"/>
    <cellStyle name="Normal 12 3 3 2 2 2" xfId="4960" xr:uid="{00000000-0005-0000-0000-00000D1B0000}"/>
    <cellStyle name="Normal 12 3 3 2 2 2 2" xfId="4961" xr:uid="{00000000-0005-0000-0000-00000E1B0000}"/>
    <cellStyle name="Normal 12 3 3 2 2 2 2 2" xfId="4962" xr:uid="{00000000-0005-0000-0000-00000F1B0000}"/>
    <cellStyle name="Normal 12 3 3 2 2 2 2 2 2" xfId="47989" xr:uid="{00000000-0005-0000-0000-0000101B0000}"/>
    <cellStyle name="Normal 12 3 3 2 2 2 2 2 3" xfId="47990" xr:uid="{00000000-0005-0000-0000-0000111B0000}"/>
    <cellStyle name="Normal 12 3 3 2 2 2 2 3" xfId="4963" xr:uid="{00000000-0005-0000-0000-0000121B0000}"/>
    <cellStyle name="Normal 12 3 3 2 2 2 2 3 2" xfId="47991" xr:uid="{00000000-0005-0000-0000-0000131B0000}"/>
    <cellStyle name="Normal 12 3 3 2 2 2 2 4" xfId="4964" xr:uid="{00000000-0005-0000-0000-0000141B0000}"/>
    <cellStyle name="Normal 12 3 3 2 2 2 2 5" xfId="4965" xr:uid="{00000000-0005-0000-0000-0000151B0000}"/>
    <cellStyle name="Normal 12 3 3 2 2 2 2 6" xfId="4966" xr:uid="{00000000-0005-0000-0000-0000161B0000}"/>
    <cellStyle name="Normal 12 3 3 2 2 2 3" xfId="4967" xr:uid="{00000000-0005-0000-0000-0000171B0000}"/>
    <cellStyle name="Normal 12 3 3 2 2 2 3 2" xfId="47992" xr:uid="{00000000-0005-0000-0000-0000181B0000}"/>
    <cellStyle name="Normal 12 3 3 2 2 2 3 3" xfId="47993" xr:uid="{00000000-0005-0000-0000-0000191B0000}"/>
    <cellStyle name="Normal 12 3 3 2 2 2 4" xfId="4968" xr:uid="{00000000-0005-0000-0000-00001A1B0000}"/>
    <cellStyle name="Normal 12 3 3 2 2 2 4 2" xfId="47994" xr:uid="{00000000-0005-0000-0000-00001B1B0000}"/>
    <cellStyle name="Normal 12 3 3 2 2 2 5" xfId="4969" xr:uid="{00000000-0005-0000-0000-00001C1B0000}"/>
    <cellStyle name="Normal 12 3 3 2 2 2 6" xfId="4970" xr:uid="{00000000-0005-0000-0000-00001D1B0000}"/>
    <cellStyle name="Normal 12 3 3 2 2 2 7" xfId="4971" xr:uid="{00000000-0005-0000-0000-00001E1B0000}"/>
    <cellStyle name="Normal 12 3 3 2 2 3" xfId="4972" xr:uid="{00000000-0005-0000-0000-00001F1B0000}"/>
    <cellStyle name="Normal 12 3 3 2 2 3 2" xfId="4973" xr:uid="{00000000-0005-0000-0000-0000201B0000}"/>
    <cellStyle name="Normal 12 3 3 2 2 3 2 2" xfId="47995" xr:uid="{00000000-0005-0000-0000-0000211B0000}"/>
    <cellStyle name="Normal 12 3 3 2 2 3 2 3" xfId="47996" xr:uid="{00000000-0005-0000-0000-0000221B0000}"/>
    <cellStyle name="Normal 12 3 3 2 2 3 3" xfId="4974" xr:uid="{00000000-0005-0000-0000-0000231B0000}"/>
    <cellStyle name="Normal 12 3 3 2 2 3 3 2" xfId="47997" xr:uid="{00000000-0005-0000-0000-0000241B0000}"/>
    <cellStyle name="Normal 12 3 3 2 2 3 4" xfId="4975" xr:uid="{00000000-0005-0000-0000-0000251B0000}"/>
    <cellStyle name="Normal 12 3 3 2 2 3 5" xfId="4976" xr:uid="{00000000-0005-0000-0000-0000261B0000}"/>
    <cellStyle name="Normal 12 3 3 2 2 3 6" xfId="4977" xr:uid="{00000000-0005-0000-0000-0000271B0000}"/>
    <cellStyle name="Normal 12 3 3 2 2 4" xfId="4978" xr:uid="{00000000-0005-0000-0000-0000281B0000}"/>
    <cellStyle name="Normal 12 3 3 2 2 4 2" xfId="47998" xr:uid="{00000000-0005-0000-0000-0000291B0000}"/>
    <cellStyle name="Normal 12 3 3 2 2 4 3" xfId="47999" xr:uid="{00000000-0005-0000-0000-00002A1B0000}"/>
    <cellStyle name="Normal 12 3 3 2 2 5" xfId="4979" xr:uid="{00000000-0005-0000-0000-00002B1B0000}"/>
    <cellStyle name="Normal 12 3 3 2 2 5 2" xfId="48000" xr:uid="{00000000-0005-0000-0000-00002C1B0000}"/>
    <cellStyle name="Normal 12 3 3 2 2 6" xfId="4980" xr:uid="{00000000-0005-0000-0000-00002D1B0000}"/>
    <cellStyle name="Normal 12 3 3 2 2 7" xfId="4981" xr:uid="{00000000-0005-0000-0000-00002E1B0000}"/>
    <cellStyle name="Normal 12 3 3 2 2 8" xfId="4982" xr:uid="{00000000-0005-0000-0000-00002F1B0000}"/>
    <cellStyle name="Normal 12 3 3 2 2 9" xfId="4983" xr:uid="{00000000-0005-0000-0000-0000301B0000}"/>
    <cellStyle name="Normal 12 3 3 2 3" xfId="4984" xr:uid="{00000000-0005-0000-0000-0000311B0000}"/>
    <cellStyle name="Normal 12 3 3 2 3 2" xfId="4985" xr:uid="{00000000-0005-0000-0000-0000321B0000}"/>
    <cellStyle name="Normal 12 3 3 2 3 2 2" xfId="4986" xr:uid="{00000000-0005-0000-0000-0000331B0000}"/>
    <cellStyle name="Normal 12 3 3 2 3 2 2 2" xfId="4987" xr:uid="{00000000-0005-0000-0000-0000341B0000}"/>
    <cellStyle name="Normal 12 3 3 2 3 2 2 2 2" xfId="48001" xr:uid="{00000000-0005-0000-0000-0000351B0000}"/>
    <cellStyle name="Normal 12 3 3 2 3 2 2 2 3" xfId="48002" xr:uid="{00000000-0005-0000-0000-0000361B0000}"/>
    <cellStyle name="Normal 12 3 3 2 3 2 2 3" xfId="4988" xr:uid="{00000000-0005-0000-0000-0000371B0000}"/>
    <cellStyle name="Normal 12 3 3 2 3 2 2 3 2" xfId="48003" xr:uid="{00000000-0005-0000-0000-0000381B0000}"/>
    <cellStyle name="Normal 12 3 3 2 3 2 2 4" xfId="4989" xr:uid="{00000000-0005-0000-0000-0000391B0000}"/>
    <cellStyle name="Normal 12 3 3 2 3 2 2 5" xfId="4990" xr:uid="{00000000-0005-0000-0000-00003A1B0000}"/>
    <cellStyle name="Normal 12 3 3 2 3 2 2 6" xfId="4991" xr:uid="{00000000-0005-0000-0000-00003B1B0000}"/>
    <cellStyle name="Normal 12 3 3 2 3 2 3" xfId="4992" xr:uid="{00000000-0005-0000-0000-00003C1B0000}"/>
    <cellStyle name="Normal 12 3 3 2 3 2 3 2" xfId="48004" xr:uid="{00000000-0005-0000-0000-00003D1B0000}"/>
    <cellStyle name="Normal 12 3 3 2 3 2 3 3" xfId="48005" xr:uid="{00000000-0005-0000-0000-00003E1B0000}"/>
    <cellStyle name="Normal 12 3 3 2 3 2 4" xfId="4993" xr:uid="{00000000-0005-0000-0000-00003F1B0000}"/>
    <cellStyle name="Normal 12 3 3 2 3 2 4 2" xfId="48006" xr:uid="{00000000-0005-0000-0000-0000401B0000}"/>
    <cellStyle name="Normal 12 3 3 2 3 2 5" xfId="4994" xr:uid="{00000000-0005-0000-0000-0000411B0000}"/>
    <cellStyle name="Normal 12 3 3 2 3 2 6" xfId="4995" xr:uid="{00000000-0005-0000-0000-0000421B0000}"/>
    <cellStyle name="Normal 12 3 3 2 3 2 7" xfId="4996" xr:uid="{00000000-0005-0000-0000-0000431B0000}"/>
    <cellStyle name="Normal 12 3 3 2 3 3" xfId="4997" xr:uid="{00000000-0005-0000-0000-0000441B0000}"/>
    <cellStyle name="Normal 12 3 3 2 3 3 2" xfId="4998" xr:uid="{00000000-0005-0000-0000-0000451B0000}"/>
    <cellStyle name="Normal 12 3 3 2 3 3 2 2" xfId="48007" xr:uid="{00000000-0005-0000-0000-0000461B0000}"/>
    <cellStyle name="Normal 12 3 3 2 3 3 2 3" xfId="48008" xr:uid="{00000000-0005-0000-0000-0000471B0000}"/>
    <cellStyle name="Normal 12 3 3 2 3 3 3" xfId="4999" xr:uid="{00000000-0005-0000-0000-0000481B0000}"/>
    <cellStyle name="Normal 12 3 3 2 3 3 3 2" xfId="48009" xr:uid="{00000000-0005-0000-0000-0000491B0000}"/>
    <cellStyle name="Normal 12 3 3 2 3 3 4" xfId="5000" xr:uid="{00000000-0005-0000-0000-00004A1B0000}"/>
    <cellStyle name="Normal 12 3 3 2 3 3 5" xfId="5001" xr:uid="{00000000-0005-0000-0000-00004B1B0000}"/>
    <cellStyle name="Normal 12 3 3 2 3 3 6" xfId="5002" xr:uid="{00000000-0005-0000-0000-00004C1B0000}"/>
    <cellStyle name="Normal 12 3 3 2 3 4" xfId="5003" xr:uid="{00000000-0005-0000-0000-00004D1B0000}"/>
    <cellStyle name="Normal 12 3 3 2 3 4 2" xfId="48010" xr:uid="{00000000-0005-0000-0000-00004E1B0000}"/>
    <cellStyle name="Normal 12 3 3 2 3 4 3" xfId="48011" xr:uid="{00000000-0005-0000-0000-00004F1B0000}"/>
    <cellStyle name="Normal 12 3 3 2 3 5" xfId="5004" xr:uid="{00000000-0005-0000-0000-0000501B0000}"/>
    <cellStyle name="Normal 12 3 3 2 3 5 2" xfId="48012" xr:uid="{00000000-0005-0000-0000-0000511B0000}"/>
    <cellStyle name="Normal 12 3 3 2 3 6" xfId="5005" xr:uid="{00000000-0005-0000-0000-0000521B0000}"/>
    <cellStyle name="Normal 12 3 3 2 3 7" xfId="5006" xr:uid="{00000000-0005-0000-0000-0000531B0000}"/>
    <cellStyle name="Normal 12 3 3 2 3 8" xfId="5007" xr:uid="{00000000-0005-0000-0000-0000541B0000}"/>
    <cellStyle name="Normal 12 3 3 2 4" xfId="5008" xr:uid="{00000000-0005-0000-0000-0000551B0000}"/>
    <cellStyle name="Normal 12 3 3 2 4 2" xfId="5009" xr:uid="{00000000-0005-0000-0000-0000561B0000}"/>
    <cellStyle name="Normal 12 3 3 2 4 2 2" xfId="5010" xr:uid="{00000000-0005-0000-0000-0000571B0000}"/>
    <cellStyle name="Normal 12 3 3 2 4 2 2 2" xfId="48013" xr:uid="{00000000-0005-0000-0000-0000581B0000}"/>
    <cellStyle name="Normal 12 3 3 2 4 2 2 3" xfId="48014" xr:uid="{00000000-0005-0000-0000-0000591B0000}"/>
    <cellStyle name="Normal 12 3 3 2 4 2 3" xfId="5011" xr:uid="{00000000-0005-0000-0000-00005A1B0000}"/>
    <cellStyle name="Normal 12 3 3 2 4 2 3 2" xfId="48015" xr:uid="{00000000-0005-0000-0000-00005B1B0000}"/>
    <cellStyle name="Normal 12 3 3 2 4 2 4" xfId="5012" xr:uid="{00000000-0005-0000-0000-00005C1B0000}"/>
    <cellStyle name="Normal 12 3 3 2 4 2 5" xfId="5013" xr:uid="{00000000-0005-0000-0000-00005D1B0000}"/>
    <cellStyle name="Normal 12 3 3 2 4 2 6" xfId="5014" xr:uid="{00000000-0005-0000-0000-00005E1B0000}"/>
    <cellStyle name="Normal 12 3 3 2 4 3" xfId="5015" xr:uid="{00000000-0005-0000-0000-00005F1B0000}"/>
    <cellStyle name="Normal 12 3 3 2 4 3 2" xfId="48016" xr:uid="{00000000-0005-0000-0000-0000601B0000}"/>
    <cellStyle name="Normal 12 3 3 2 4 3 3" xfId="48017" xr:uid="{00000000-0005-0000-0000-0000611B0000}"/>
    <cellStyle name="Normal 12 3 3 2 4 4" xfId="5016" xr:uid="{00000000-0005-0000-0000-0000621B0000}"/>
    <cellStyle name="Normal 12 3 3 2 4 4 2" xfId="48018" xr:uid="{00000000-0005-0000-0000-0000631B0000}"/>
    <cellStyle name="Normal 12 3 3 2 4 5" xfId="5017" xr:uid="{00000000-0005-0000-0000-0000641B0000}"/>
    <cellStyle name="Normal 12 3 3 2 4 6" xfId="5018" xr:uid="{00000000-0005-0000-0000-0000651B0000}"/>
    <cellStyle name="Normal 12 3 3 2 4 7" xfId="5019" xr:uid="{00000000-0005-0000-0000-0000661B0000}"/>
    <cellStyle name="Normal 12 3 3 2 5" xfId="5020" xr:uid="{00000000-0005-0000-0000-0000671B0000}"/>
    <cellStyle name="Normal 12 3 3 2 5 2" xfId="5021" xr:uid="{00000000-0005-0000-0000-0000681B0000}"/>
    <cellStyle name="Normal 12 3 3 2 5 2 2" xfId="48019" xr:uid="{00000000-0005-0000-0000-0000691B0000}"/>
    <cellStyle name="Normal 12 3 3 2 5 2 3" xfId="48020" xr:uid="{00000000-0005-0000-0000-00006A1B0000}"/>
    <cellStyle name="Normal 12 3 3 2 5 3" xfId="5022" xr:uid="{00000000-0005-0000-0000-00006B1B0000}"/>
    <cellStyle name="Normal 12 3 3 2 5 3 2" xfId="48021" xr:uid="{00000000-0005-0000-0000-00006C1B0000}"/>
    <cellStyle name="Normal 12 3 3 2 5 4" xfId="5023" xr:uid="{00000000-0005-0000-0000-00006D1B0000}"/>
    <cellStyle name="Normal 12 3 3 2 5 5" xfId="5024" xr:uid="{00000000-0005-0000-0000-00006E1B0000}"/>
    <cellStyle name="Normal 12 3 3 2 5 6" xfId="5025" xr:uid="{00000000-0005-0000-0000-00006F1B0000}"/>
    <cellStyle name="Normal 12 3 3 2 6" xfId="5026" xr:uid="{00000000-0005-0000-0000-0000701B0000}"/>
    <cellStyle name="Normal 12 3 3 2 6 2" xfId="48022" xr:uid="{00000000-0005-0000-0000-0000711B0000}"/>
    <cellStyle name="Normal 12 3 3 2 6 3" xfId="48023" xr:uid="{00000000-0005-0000-0000-0000721B0000}"/>
    <cellStyle name="Normal 12 3 3 2 7" xfId="5027" xr:uid="{00000000-0005-0000-0000-0000731B0000}"/>
    <cellStyle name="Normal 12 3 3 2 7 2" xfId="48024" xr:uid="{00000000-0005-0000-0000-0000741B0000}"/>
    <cellStyle name="Normal 12 3 3 2 8" xfId="5028" xr:uid="{00000000-0005-0000-0000-0000751B0000}"/>
    <cellStyle name="Normal 12 3 3 2 9" xfId="5029" xr:uid="{00000000-0005-0000-0000-0000761B0000}"/>
    <cellStyle name="Normal 12 3 3 3" xfId="5030" xr:uid="{00000000-0005-0000-0000-0000771B0000}"/>
    <cellStyle name="Normal 12 3 3 3 2" xfId="5031" xr:uid="{00000000-0005-0000-0000-0000781B0000}"/>
    <cellStyle name="Normal 12 3 3 3 2 2" xfId="5032" xr:uid="{00000000-0005-0000-0000-0000791B0000}"/>
    <cellStyle name="Normal 12 3 3 3 2 2 2" xfId="5033" xr:uid="{00000000-0005-0000-0000-00007A1B0000}"/>
    <cellStyle name="Normal 12 3 3 3 2 2 2 2" xfId="48025" xr:uid="{00000000-0005-0000-0000-00007B1B0000}"/>
    <cellStyle name="Normal 12 3 3 3 2 2 2 3" xfId="48026" xr:uid="{00000000-0005-0000-0000-00007C1B0000}"/>
    <cellStyle name="Normal 12 3 3 3 2 2 3" xfId="5034" xr:uid="{00000000-0005-0000-0000-00007D1B0000}"/>
    <cellStyle name="Normal 12 3 3 3 2 2 3 2" xfId="48027" xr:uid="{00000000-0005-0000-0000-00007E1B0000}"/>
    <cellStyle name="Normal 12 3 3 3 2 2 4" xfId="5035" xr:uid="{00000000-0005-0000-0000-00007F1B0000}"/>
    <cellStyle name="Normal 12 3 3 3 2 2 5" xfId="5036" xr:uid="{00000000-0005-0000-0000-0000801B0000}"/>
    <cellStyle name="Normal 12 3 3 3 2 2 6" xfId="5037" xr:uid="{00000000-0005-0000-0000-0000811B0000}"/>
    <cellStyle name="Normal 12 3 3 3 2 3" xfId="5038" xr:uid="{00000000-0005-0000-0000-0000821B0000}"/>
    <cellStyle name="Normal 12 3 3 3 2 3 2" xfId="48028" xr:uid="{00000000-0005-0000-0000-0000831B0000}"/>
    <cellStyle name="Normal 12 3 3 3 2 3 3" xfId="48029" xr:uid="{00000000-0005-0000-0000-0000841B0000}"/>
    <cellStyle name="Normal 12 3 3 3 2 4" xfId="5039" xr:uid="{00000000-0005-0000-0000-0000851B0000}"/>
    <cellStyle name="Normal 12 3 3 3 2 4 2" xfId="48030" xr:uid="{00000000-0005-0000-0000-0000861B0000}"/>
    <cellStyle name="Normal 12 3 3 3 2 5" xfId="5040" xr:uid="{00000000-0005-0000-0000-0000871B0000}"/>
    <cellStyle name="Normal 12 3 3 3 2 6" xfId="5041" xr:uid="{00000000-0005-0000-0000-0000881B0000}"/>
    <cellStyle name="Normal 12 3 3 3 2 7" xfId="5042" xr:uid="{00000000-0005-0000-0000-0000891B0000}"/>
    <cellStyle name="Normal 12 3 3 3 3" xfId="5043" xr:uid="{00000000-0005-0000-0000-00008A1B0000}"/>
    <cellStyle name="Normal 12 3 3 3 3 2" xfId="5044" xr:uid="{00000000-0005-0000-0000-00008B1B0000}"/>
    <cellStyle name="Normal 12 3 3 3 3 2 2" xfId="48031" xr:uid="{00000000-0005-0000-0000-00008C1B0000}"/>
    <cellStyle name="Normal 12 3 3 3 3 2 3" xfId="48032" xr:uid="{00000000-0005-0000-0000-00008D1B0000}"/>
    <cellStyle name="Normal 12 3 3 3 3 3" xfId="5045" xr:uid="{00000000-0005-0000-0000-00008E1B0000}"/>
    <cellStyle name="Normal 12 3 3 3 3 3 2" xfId="48033" xr:uid="{00000000-0005-0000-0000-00008F1B0000}"/>
    <cellStyle name="Normal 12 3 3 3 3 4" xfId="5046" xr:uid="{00000000-0005-0000-0000-0000901B0000}"/>
    <cellStyle name="Normal 12 3 3 3 3 5" xfId="5047" xr:uid="{00000000-0005-0000-0000-0000911B0000}"/>
    <cellStyle name="Normal 12 3 3 3 3 6" xfId="5048" xr:uid="{00000000-0005-0000-0000-0000921B0000}"/>
    <cellStyle name="Normal 12 3 3 3 4" xfId="5049" xr:uid="{00000000-0005-0000-0000-0000931B0000}"/>
    <cellStyle name="Normal 12 3 3 3 4 2" xfId="48034" xr:uid="{00000000-0005-0000-0000-0000941B0000}"/>
    <cellStyle name="Normal 12 3 3 3 4 3" xfId="48035" xr:uid="{00000000-0005-0000-0000-0000951B0000}"/>
    <cellStyle name="Normal 12 3 3 3 5" xfId="5050" xr:uid="{00000000-0005-0000-0000-0000961B0000}"/>
    <cellStyle name="Normal 12 3 3 3 5 2" xfId="48036" xr:uid="{00000000-0005-0000-0000-0000971B0000}"/>
    <cellStyle name="Normal 12 3 3 3 6" xfId="5051" xr:uid="{00000000-0005-0000-0000-0000981B0000}"/>
    <cellStyle name="Normal 12 3 3 3 7" xfId="5052" xr:uid="{00000000-0005-0000-0000-0000991B0000}"/>
    <cellStyle name="Normal 12 3 3 3 8" xfId="5053" xr:uid="{00000000-0005-0000-0000-00009A1B0000}"/>
    <cellStyle name="Normal 12 3 3 3 9" xfId="5054" xr:uid="{00000000-0005-0000-0000-00009B1B0000}"/>
    <cellStyle name="Normal 12 3 3 4" xfId="5055" xr:uid="{00000000-0005-0000-0000-00009C1B0000}"/>
    <cellStyle name="Normal 12 3 3 4 2" xfId="5056" xr:uid="{00000000-0005-0000-0000-00009D1B0000}"/>
    <cellStyle name="Normal 12 3 3 4 2 2" xfId="5057" xr:uid="{00000000-0005-0000-0000-00009E1B0000}"/>
    <cellStyle name="Normal 12 3 3 4 2 2 2" xfId="5058" xr:uid="{00000000-0005-0000-0000-00009F1B0000}"/>
    <cellStyle name="Normal 12 3 3 4 2 2 2 2" xfId="48037" xr:uid="{00000000-0005-0000-0000-0000A01B0000}"/>
    <cellStyle name="Normal 12 3 3 4 2 2 2 3" xfId="48038" xr:uid="{00000000-0005-0000-0000-0000A11B0000}"/>
    <cellStyle name="Normal 12 3 3 4 2 2 3" xfId="5059" xr:uid="{00000000-0005-0000-0000-0000A21B0000}"/>
    <cellStyle name="Normal 12 3 3 4 2 2 3 2" xfId="48039" xr:uid="{00000000-0005-0000-0000-0000A31B0000}"/>
    <cellStyle name="Normal 12 3 3 4 2 2 4" xfId="5060" xr:uid="{00000000-0005-0000-0000-0000A41B0000}"/>
    <cellStyle name="Normal 12 3 3 4 2 2 5" xfId="5061" xr:uid="{00000000-0005-0000-0000-0000A51B0000}"/>
    <cellStyle name="Normal 12 3 3 4 2 2 6" xfId="5062" xr:uid="{00000000-0005-0000-0000-0000A61B0000}"/>
    <cellStyle name="Normal 12 3 3 4 2 3" xfId="5063" xr:uid="{00000000-0005-0000-0000-0000A71B0000}"/>
    <cellStyle name="Normal 12 3 3 4 2 3 2" xfId="48040" xr:uid="{00000000-0005-0000-0000-0000A81B0000}"/>
    <cellStyle name="Normal 12 3 3 4 2 3 3" xfId="48041" xr:uid="{00000000-0005-0000-0000-0000A91B0000}"/>
    <cellStyle name="Normal 12 3 3 4 2 4" xfId="5064" xr:uid="{00000000-0005-0000-0000-0000AA1B0000}"/>
    <cellStyle name="Normal 12 3 3 4 2 4 2" xfId="48042" xr:uid="{00000000-0005-0000-0000-0000AB1B0000}"/>
    <cellStyle name="Normal 12 3 3 4 2 5" xfId="5065" xr:uid="{00000000-0005-0000-0000-0000AC1B0000}"/>
    <cellStyle name="Normal 12 3 3 4 2 6" xfId="5066" xr:uid="{00000000-0005-0000-0000-0000AD1B0000}"/>
    <cellStyle name="Normal 12 3 3 4 2 7" xfId="5067" xr:uid="{00000000-0005-0000-0000-0000AE1B0000}"/>
    <cellStyle name="Normal 12 3 3 4 3" xfId="5068" xr:uid="{00000000-0005-0000-0000-0000AF1B0000}"/>
    <cellStyle name="Normal 12 3 3 4 3 2" xfId="5069" xr:uid="{00000000-0005-0000-0000-0000B01B0000}"/>
    <cellStyle name="Normal 12 3 3 4 3 2 2" xfId="48043" xr:uid="{00000000-0005-0000-0000-0000B11B0000}"/>
    <cellStyle name="Normal 12 3 3 4 3 2 3" xfId="48044" xr:uid="{00000000-0005-0000-0000-0000B21B0000}"/>
    <cellStyle name="Normal 12 3 3 4 3 3" xfId="5070" xr:uid="{00000000-0005-0000-0000-0000B31B0000}"/>
    <cellStyle name="Normal 12 3 3 4 3 3 2" xfId="48045" xr:uid="{00000000-0005-0000-0000-0000B41B0000}"/>
    <cellStyle name="Normal 12 3 3 4 3 4" xfId="5071" xr:uid="{00000000-0005-0000-0000-0000B51B0000}"/>
    <cellStyle name="Normal 12 3 3 4 3 5" xfId="5072" xr:uid="{00000000-0005-0000-0000-0000B61B0000}"/>
    <cellStyle name="Normal 12 3 3 4 3 6" xfId="5073" xr:uid="{00000000-0005-0000-0000-0000B71B0000}"/>
    <cellStyle name="Normal 12 3 3 4 4" xfId="5074" xr:uid="{00000000-0005-0000-0000-0000B81B0000}"/>
    <cellStyle name="Normal 12 3 3 4 4 2" xfId="48046" xr:uid="{00000000-0005-0000-0000-0000B91B0000}"/>
    <cellStyle name="Normal 12 3 3 4 4 3" xfId="48047" xr:uid="{00000000-0005-0000-0000-0000BA1B0000}"/>
    <cellStyle name="Normal 12 3 3 4 5" xfId="5075" xr:uid="{00000000-0005-0000-0000-0000BB1B0000}"/>
    <cellStyle name="Normal 12 3 3 4 5 2" xfId="48048" xr:uid="{00000000-0005-0000-0000-0000BC1B0000}"/>
    <cellStyle name="Normal 12 3 3 4 6" xfId="5076" xr:uid="{00000000-0005-0000-0000-0000BD1B0000}"/>
    <cellStyle name="Normal 12 3 3 4 7" xfId="5077" xr:uid="{00000000-0005-0000-0000-0000BE1B0000}"/>
    <cellStyle name="Normal 12 3 3 4 8" xfId="5078" xr:uid="{00000000-0005-0000-0000-0000BF1B0000}"/>
    <cellStyle name="Normal 12 3 3 5" xfId="5079" xr:uid="{00000000-0005-0000-0000-0000C01B0000}"/>
    <cellStyle name="Normal 12 3 3 5 2" xfId="5080" xr:uid="{00000000-0005-0000-0000-0000C11B0000}"/>
    <cellStyle name="Normal 12 3 3 5 2 2" xfId="5081" xr:uid="{00000000-0005-0000-0000-0000C21B0000}"/>
    <cellStyle name="Normal 12 3 3 5 2 2 2" xfId="48049" xr:uid="{00000000-0005-0000-0000-0000C31B0000}"/>
    <cellStyle name="Normal 12 3 3 5 2 2 3" xfId="48050" xr:uid="{00000000-0005-0000-0000-0000C41B0000}"/>
    <cellStyle name="Normal 12 3 3 5 2 3" xfId="5082" xr:uid="{00000000-0005-0000-0000-0000C51B0000}"/>
    <cellStyle name="Normal 12 3 3 5 2 3 2" xfId="48051" xr:uid="{00000000-0005-0000-0000-0000C61B0000}"/>
    <cellStyle name="Normal 12 3 3 5 2 4" xfId="5083" xr:uid="{00000000-0005-0000-0000-0000C71B0000}"/>
    <cellStyle name="Normal 12 3 3 5 2 5" xfId="5084" xr:uid="{00000000-0005-0000-0000-0000C81B0000}"/>
    <cellStyle name="Normal 12 3 3 5 2 6" xfId="5085" xr:uid="{00000000-0005-0000-0000-0000C91B0000}"/>
    <cellStyle name="Normal 12 3 3 5 3" xfId="5086" xr:uid="{00000000-0005-0000-0000-0000CA1B0000}"/>
    <cellStyle name="Normal 12 3 3 5 3 2" xfId="48052" xr:uid="{00000000-0005-0000-0000-0000CB1B0000}"/>
    <cellStyle name="Normal 12 3 3 5 3 3" xfId="48053" xr:uid="{00000000-0005-0000-0000-0000CC1B0000}"/>
    <cellStyle name="Normal 12 3 3 5 4" xfId="5087" xr:uid="{00000000-0005-0000-0000-0000CD1B0000}"/>
    <cellStyle name="Normal 12 3 3 5 4 2" xfId="48054" xr:uid="{00000000-0005-0000-0000-0000CE1B0000}"/>
    <cellStyle name="Normal 12 3 3 5 5" xfId="5088" xr:uid="{00000000-0005-0000-0000-0000CF1B0000}"/>
    <cellStyle name="Normal 12 3 3 5 6" xfId="5089" xr:uid="{00000000-0005-0000-0000-0000D01B0000}"/>
    <cellStyle name="Normal 12 3 3 5 7" xfId="5090" xr:uid="{00000000-0005-0000-0000-0000D11B0000}"/>
    <cellStyle name="Normal 12 3 3 6" xfId="5091" xr:uid="{00000000-0005-0000-0000-0000D21B0000}"/>
    <cellStyle name="Normal 12 3 3 6 2" xfId="5092" xr:uid="{00000000-0005-0000-0000-0000D31B0000}"/>
    <cellStyle name="Normal 12 3 3 6 2 2" xfId="48055" xr:uid="{00000000-0005-0000-0000-0000D41B0000}"/>
    <cellStyle name="Normal 12 3 3 6 2 3" xfId="48056" xr:uid="{00000000-0005-0000-0000-0000D51B0000}"/>
    <cellStyle name="Normal 12 3 3 6 3" xfId="5093" xr:uid="{00000000-0005-0000-0000-0000D61B0000}"/>
    <cellStyle name="Normal 12 3 3 6 3 2" xfId="48057" xr:uid="{00000000-0005-0000-0000-0000D71B0000}"/>
    <cellStyle name="Normal 12 3 3 6 4" xfId="5094" xr:uid="{00000000-0005-0000-0000-0000D81B0000}"/>
    <cellStyle name="Normal 12 3 3 6 5" xfId="5095" xr:uid="{00000000-0005-0000-0000-0000D91B0000}"/>
    <cellStyle name="Normal 12 3 3 6 6" xfId="5096" xr:uid="{00000000-0005-0000-0000-0000DA1B0000}"/>
    <cellStyle name="Normal 12 3 3 7" xfId="5097" xr:uid="{00000000-0005-0000-0000-0000DB1B0000}"/>
    <cellStyle name="Normal 12 3 3 7 2" xfId="48058" xr:uid="{00000000-0005-0000-0000-0000DC1B0000}"/>
    <cellStyle name="Normal 12 3 3 7 3" xfId="48059" xr:uid="{00000000-0005-0000-0000-0000DD1B0000}"/>
    <cellStyle name="Normal 12 3 3 8" xfId="5098" xr:uid="{00000000-0005-0000-0000-0000DE1B0000}"/>
    <cellStyle name="Normal 12 3 3 8 2" xfId="48060" xr:uid="{00000000-0005-0000-0000-0000DF1B0000}"/>
    <cellStyle name="Normal 12 3 3 9" xfId="5099" xr:uid="{00000000-0005-0000-0000-0000E01B0000}"/>
    <cellStyle name="Normal 12 3 4" xfId="5100" xr:uid="{00000000-0005-0000-0000-0000E11B0000}"/>
    <cellStyle name="Normal 12 3 4 10" xfId="5101" xr:uid="{00000000-0005-0000-0000-0000E21B0000}"/>
    <cellStyle name="Normal 12 3 4 11" xfId="5102" xr:uid="{00000000-0005-0000-0000-0000E31B0000}"/>
    <cellStyle name="Normal 12 3 4 12" xfId="5103" xr:uid="{00000000-0005-0000-0000-0000E41B0000}"/>
    <cellStyle name="Normal 12 3 4 13" xfId="5104" xr:uid="{00000000-0005-0000-0000-0000E51B0000}"/>
    <cellStyle name="Normal 12 3 4 14" xfId="5105" xr:uid="{00000000-0005-0000-0000-0000E61B0000}"/>
    <cellStyle name="Normal 12 3 4 2" xfId="5106" xr:uid="{00000000-0005-0000-0000-0000E71B0000}"/>
    <cellStyle name="Normal 12 3 4 2 2" xfId="5107" xr:uid="{00000000-0005-0000-0000-0000E81B0000}"/>
    <cellStyle name="Normal 12 3 4 2 2 2" xfId="5108" xr:uid="{00000000-0005-0000-0000-0000E91B0000}"/>
    <cellStyle name="Normal 12 3 4 2 2 2 2" xfId="5109" xr:uid="{00000000-0005-0000-0000-0000EA1B0000}"/>
    <cellStyle name="Normal 12 3 4 2 2 2 2 2" xfId="48061" xr:uid="{00000000-0005-0000-0000-0000EB1B0000}"/>
    <cellStyle name="Normal 12 3 4 2 2 2 2 3" xfId="48062" xr:uid="{00000000-0005-0000-0000-0000EC1B0000}"/>
    <cellStyle name="Normal 12 3 4 2 2 2 3" xfId="5110" xr:uid="{00000000-0005-0000-0000-0000ED1B0000}"/>
    <cellStyle name="Normal 12 3 4 2 2 2 3 2" xfId="48063" xr:uid="{00000000-0005-0000-0000-0000EE1B0000}"/>
    <cellStyle name="Normal 12 3 4 2 2 2 4" xfId="5111" xr:uid="{00000000-0005-0000-0000-0000EF1B0000}"/>
    <cellStyle name="Normal 12 3 4 2 2 2 5" xfId="5112" xr:uid="{00000000-0005-0000-0000-0000F01B0000}"/>
    <cellStyle name="Normal 12 3 4 2 2 2 6" xfId="5113" xr:uid="{00000000-0005-0000-0000-0000F11B0000}"/>
    <cellStyle name="Normal 12 3 4 2 2 3" xfId="5114" xr:uid="{00000000-0005-0000-0000-0000F21B0000}"/>
    <cellStyle name="Normal 12 3 4 2 2 3 2" xfId="48064" xr:uid="{00000000-0005-0000-0000-0000F31B0000}"/>
    <cellStyle name="Normal 12 3 4 2 2 3 3" xfId="48065" xr:uid="{00000000-0005-0000-0000-0000F41B0000}"/>
    <cellStyle name="Normal 12 3 4 2 2 4" xfId="5115" xr:uid="{00000000-0005-0000-0000-0000F51B0000}"/>
    <cellStyle name="Normal 12 3 4 2 2 4 2" xfId="48066" xr:uid="{00000000-0005-0000-0000-0000F61B0000}"/>
    <cellStyle name="Normal 12 3 4 2 2 5" xfId="5116" xr:uid="{00000000-0005-0000-0000-0000F71B0000}"/>
    <cellStyle name="Normal 12 3 4 2 2 6" xfId="5117" xr:uid="{00000000-0005-0000-0000-0000F81B0000}"/>
    <cellStyle name="Normal 12 3 4 2 2 7" xfId="5118" xr:uid="{00000000-0005-0000-0000-0000F91B0000}"/>
    <cellStyle name="Normal 12 3 4 2 3" xfId="5119" xr:uid="{00000000-0005-0000-0000-0000FA1B0000}"/>
    <cellStyle name="Normal 12 3 4 2 3 2" xfId="5120" xr:uid="{00000000-0005-0000-0000-0000FB1B0000}"/>
    <cellStyle name="Normal 12 3 4 2 3 2 2" xfId="48067" xr:uid="{00000000-0005-0000-0000-0000FC1B0000}"/>
    <cellStyle name="Normal 12 3 4 2 3 2 3" xfId="48068" xr:uid="{00000000-0005-0000-0000-0000FD1B0000}"/>
    <cellStyle name="Normal 12 3 4 2 3 3" xfId="5121" xr:uid="{00000000-0005-0000-0000-0000FE1B0000}"/>
    <cellStyle name="Normal 12 3 4 2 3 3 2" xfId="48069" xr:uid="{00000000-0005-0000-0000-0000FF1B0000}"/>
    <cellStyle name="Normal 12 3 4 2 3 4" xfId="5122" xr:uid="{00000000-0005-0000-0000-0000001C0000}"/>
    <cellStyle name="Normal 12 3 4 2 3 5" xfId="5123" xr:uid="{00000000-0005-0000-0000-0000011C0000}"/>
    <cellStyle name="Normal 12 3 4 2 3 6" xfId="5124" xr:uid="{00000000-0005-0000-0000-0000021C0000}"/>
    <cellStyle name="Normal 12 3 4 2 4" xfId="5125" xr:uid="{00000000-0005-0000-0000-0000031C0000}"/>
    <cellStyle name="Normal 12 3 4 2 4 2" xfId="48070" xr:uid="{00000000-0005-0000-0000-0000041C0000}"/>
    <cellStyle name="Normal 12 3 4 2 4 3" xfId="48071" xr:uid="{00000000-0005-0000-0000-0000051C0000}"/>
    <cellStyle name="Normal 12 3 4 2 5" xfId="5126" xr:uid="{00000000-0005-0000-0000-0000061C0000}"/>
    <cellStyle name="Normal 12 3 4 2 5 2" xfId="48072" xr:uid="{00000000-0005-0000-0000-0000071C0000}"/>
    <cellStyle name="Normal 12 3 4 2 6" xfId="5127" xr:uid="{00000000-0005-0000-0000-0000081C0000}"/>
    <cellStyle name="Normal 12 3 4 2 7" xfId="5128" xr:uid="{00000000-0005-0000-0000-0000091C0000}"/>
    <cellStyle name="Normal 12 3 4 2 8" xfId="5129" xr:uid="{00000000-0005-0000-0000-00000A1C0000}"/>
    <cellStyle name="Normal 12 3 4 2 9" xfId="5130" xr:uid="{00000000-0005-0000-0000-00000B1C0000}"/>
    <cellStyle name="Normal 12 3 4 3" xfId="5131" xr:uid="{00000000-0005-0000-0000-00000C1C0000}"/>
    <cellStyle name="Normal 12 3 4 3 2" xfId="5132" xr:uid="{00000000-0005-0000-0000-00000D1C0000}"/>
    <cellStyle name="Normal 12 3 4 3 2 2" xfId="5133" xr:uid="{00000000-0005-0000-0000-00000E1C0000}"/>
    <cellStyle name="Normal 12 3 4 3 2 2 2" xfId="5134" xr:uid="{00000000-0005-0000-0000-00000F1C0000}"/>
    <cellStyle name="Normal 12 3 4 3 2 2 2 2" xfId="48073" xr:uid="{00000000-0005-0000-0000-0000101C0000}"/>
    <cellStyle name="Normal 12 3 4 3 2 2 2 3" xfId="48074" xr:uid="{00000000-0005-0000-0000-0000111C0000}"/>
    <cellStyle name="Normal 12 3 4 3 2 2 3" xfId="5135" xr:uid="{00000000-0005-0000-0000-0000121C0000}"/>
    <cellStyle name="Normal 12 3 4 3 2 2 3 2" xfId="48075" xr:uid="{00000000-0005-0000-0000-0000131C0000}"/>
    <cellStyle name="Normal 12 3 4 3 2 2 4" xfId="5136" xr:uid="{00000000-0005-0000-0000-0000141C0000}"/>
    <cellStyle name="Normal 12 3 4 3 2 2 5" xfId="5137" xr:uid="{00000000-0005-0000-0000-0000151C0000}"/>
    <cellStyle name="Normal 12 3 4 3 2 2 6" xfId="5138" xr:uid="{00000000-0005-0000-0000-0000161C0000}"/>
    <cellStyle name="Normal 12 3 4 3 2 3" xfId="5139" xr:uid="{00000000-0005-0000-0000-0000171C0000}"/>
    <cellStyle name="Normal 12 3 4 3 2 3 2" xfId="48076" xr:uid="{00000000-0005-0000-0000-0000181C0000}"/>
    <cellStyle name="Normal 12 3 4 3 2 3 3" xfId="48077" xr:uid="{00000000-0005-0000-0000-0000191C0000}"/>
    <cellStyle name="Normal 12 3 4 3 2 4" xfId="5140" xr:uid="{00000000-0005-0000-0000-00001A1C0000}"/>
    <cellStyle name="Normal 12 3 4 3 2 4 2" xfId="48078" xr:uid="{00000000-0005-0000-0000-00001B1C0000}"/>
    <cellStyle name="Normal 12 3 4 3 2 5" xfId="5141" xr:uid="{00000000-0005-0000-0000-00001C1C0000}"/>
    <cellStyle name="Normal 12 3 4 3 2 6" xfId="5142" xr:uid="{00000000-0005-0000-0000-00001D1C0000}"/>
    <cellStyle name="Normal 12 3 4 3 2 7" xfId="5143" xr:uid="{00000000-0005-0000-0000-00001E1C0000}"/>
    <cellStyle name="Normal 12 3 4 3 3" xfId="5144" xr:uid="{00000000-0005-0000-0000-00001F1C0000}"/>
    <cellStyle name="Normal 12 3 4 3 3 2" xfId="5145" xr:uid="{00000000-0005-0000-0000-0000201C0000}"/>
    <cellStyle name="Normal 12 3 4 3 3 2 2" xfId="48079" xr:uid="{00000000-0005-0000-0000-0000211C0000}"/>
    <cellStyle name="Normal 12 3 4 3 3 2 3" xfId="48080" xr:uid="{00000000-0005-0000-0000-0000221C0000}"/>
    <cellStyle name="Normal 12 3 4 3 3 3" xfId="5146" xr:uid="{00000000-0005-0000-0000-0000231C0000}"/>
    <cellStyle name="Normal 12 3 4 3 3 3 2" xfId="48081" xr:uid="{00000000-0005-0000-0000-0000241C0000}"/>
    <cellStyle name="Normal 12 3 4 3 3 4" xfId="5147" xr:uid="{00000000-0005-0000-0000-0000251C0000}"/>
    <cellStyle name="Normal 12 3 4 3 3 5" xfId="5148" xr:uid="{00000000-0005-0000-0000-0000261C0000}"/>
    <cellStyle name="Normal 12 3 4 3 3 6" xfId="5149" xr:uid="{00000000-0005-0000-0000-0000271C0000}"/>
    <cellStyle name="Normal 12 3 4 3 4" xfId="5150" xr:uid="{00000000-0005-0000-0000-0000281C0000}"/>
    <cellStyle name="Normal 12 3 4 3 4 2" xfId="48082" xr:uid="{00000000-0005-0000-0000-0000291C0000}"/>
    <cellStyle name="Normal 12 3 4 3 4 3" xfId="48083" xr:uid="{00000000-0005-0000-0000-00002A1C0000}"/>
    <cellStyle name="Normal 12 3 4 3 5" xfId="5151" xr:uid="{00000000-0005-0000-0000-00002B1C0000}"/>
    <cellStyle name="Normal 12 3 4 3 5 2" xfId="48084" xr:uid="{00000000-0005-0000-0000-00002C1C0000}"/>
    <cellStyle name="Normal 12 3 4 3 6" xfId="5152" xr:uid="{00000000-0005-0000-0000-00002D1C0000}"/>
    <cellStyle name="Normal 12 3 4 3 7" xfId="5153" xr:uid="{00000000-0005-0000-0000-00002E1C0000}"/>
    <cellStyle name="Normal 12 3 4 3 8" xfId="5154" xr:uid="{00000000-0005-0000-0000-00002F1C0000}"/>
    <cellStyle name="Normal 12 3 4 4" xfId="5155" xr:uid="{00000000-0005-0000-0000-0000301C0000}"/>
    <cellStyle name="Normal 12 3 4 4 2" xfId="5156" xr:uid="{00000000-0005-0000-0000-0000311C0000}"/>
    <cellStyle name="Normal 12 3 4 4 2 2" xfId="5157" xr:uid="{00000000-0005-0000-0000-0000321C0000}"/>
    <cellStyle name="Normal 12 3 4 4 2 2 2" xfId="48085" xr:uid="{00000000-0005-0000-0000-0000331C0000}"/>
    <cellStyle name="Normal 12 3 4 4 2 2 3" xfId="48086" xr:uid="{00000000-0005-0000-0000-0000341C0000}"/>
    <cellStyle name="Normal 12 3 4 4 2 3" xfId="5158" xr:uid="{00000000-0005-0000-0000-0000351C0000}"/>
    <cellStyle name="Normal 12 3 4 4 2 3 2" xfId="48087" xr:uid="{00000000-0005-0000-0000-0000361C0000}"/>
    <cellStyle name="Normal 12 3 4 4 2 4" xfId="5159" xr:uid="{00000000-0005-0000-0000-0000371C0000}"/>
    <cellStyle name="Normal 12 3 4 4 2 5" xfId="5160" xr:uid="{00000000-0005-0000-0000-0000381C0000}"/>
    <cellStyle name="Normal 12 3 4 4 2 6" xfId="5161" xr:uid="{00000000-0005-0000-0000-0000391C0000}"/>
    <cellStyle name="Normal 12 3 4 4 3" xfId="5162" xr:uid="{00000000-0005-0000-0000-00003A1C0000}"/>
    <cellStyle name="Normal 12 3 4 4 3 2" xfId="48088" xr:uid="{00000000-0005-0000-0000-00003B1C0000}"/>
    <cellStyle name="Normal 12 3 4 4 3 3" xfId="48089" xr:uid="{00000000-0005-0000-0000-00003C1C0000}"/>
    <cellStyle name="Normal 12 3 4 4 4" xfId="5163" xr:uid="{00000000-0005-0000-0000-00003D1C0000}"/>
    <cellStyle name="Normal 12 3 4 4 4 2" xfId="48090" xr:uid="{00000000-0005-0000-0000-00003E1C0000}"/>
    <cellStyle name="Normal 12 3 4 4 5" xfId="5164" xr:uid="{00000000-0005-0000-0000-00003F1C0000}"/>
    <cellStyle name="Normal 12 3 4 4 6" xfId="5165" xr:uid="{00000000-0005-0000-0000-0000401C0000}"/>
    <cellStyle name="Normal 12 3 4 4 7" xfId="5166" xr:uid="{00000000-0005-0000-0000-0000411C0000}"/>
    <cellStyle name="Normal 12 3 4 5" xfId="5167" xr:uid="{00000000-0005-0000-0000-0000421C0000}"/>
    <cellStyle name="Normal 12 3 4 5 2" xfId="5168" xr:uid="{00000000-0005-0000-0000-0000431C0000}"/>
    <cellStyle name="Normal 12 3 4 5 2 2" xfId="48091" xr:uid="{00000000-0005-0000-0000-0000441C0000}"/>
    <cellStyle name="Normal 12 3 4 5 2 3" xfId="48092" xr:uid="{00000000-0005-0000-0000-0000451C0000}"/>
    <cellStyle name="Normal 12 3 4 5 3" xfId="5169" xr:uid="{00000000-0005-0000-0000-0000461C0000}"/>
    <cellStyle name="Normal 12 3 4 5 3 2" xfId="48093" xr:uid="{00000000-0005-0000-0000-0000471C0000}"/>
    <cellStyle name="Normal 12 3 4 5 4" xfId="5170" xr:uid="{00000000-0005-0000-0000-0000481C0000}"/>
    <cellStyle name="Normal 12 3 4 5 5" xfId="5171" xr:uid="{00000000-0005-0000-0000-0000491C0000}"/>
    <cellStyle name="Normal 12 3 4 5 6" xfId="5172" xr:uid="{00000000-0005-0000-0000-00004A1C0000}"/>
    <cellStyle name="Normal 12 3 4 6" xfId="5173" xr:uid="{00000000-0005-0000-0000-00004B1C0000}"/>
    <cellStyle name="Normal 12 3 4 6 2" xfId="48094" xr:uid="{00000000-0005-0000-0000-00004C1C0000}"/>
    <cellStyle name="Normal 12 3 4 6 3" xfId="48095" xr:uid="{00000000-0005-0000-0000-00004D1C0000}"/>
    <cellStyle name="Normal 12 3 4 7" xfId="5174" xr:uid="{00000000-0005-0000-0000-00004E1C0000}"/>
    <cellStyle name="Normal 12 3 4 7 2" xfId="48096" xr:uid="{00000000-0005-0000-0000-00004F1C0000}"/>
    <cellStyle name="Normal 12 3 4 8" xfId="5175" xr:uid="{00000000-0005-0000-0000-0000501C0000}"/>
    <cellStyle name="Normal 12 3 4 9" xfId="5176" xr:uid="{00000000-0005-0000-0000-0000511C0000}"/>
    <cellStyle name="Normal 12 3 5" xfId="5177" xr:uid="{00000000-0005-0000-0000-0000521C0000}"/>
    <cellStyle name="Normal 12 3 5 10" xfId="5178" xr:uid="{00000000-0005-0000-0000-0000531C0000}"/>
    <cellStyle name="Normal 12 3 5 11" xfId="5179" xr:uid="{00000000-0005-0000-0000-0000541C0000}"/>
    <cellStyle name="Normal 12 3 5 12" xfId="5180" xr:uid="{00000000-0005-0000-0000-0000551C0000}"/>
    <cellStyle name="Normal 12 3 5 13" xfId="5181" xr:uid="{00000000-0005-0000-0000-0000561C0000}"/>
    <cellStyle name="Normal 12 3 5 14" xfId="5182" xr:uid="{00000000-0005-0000-0000-0000571C0000}"/>
    <cellStyle name="Normal 12 3 5 2" xfId="5183" xr:uid="{00000000-0005-0000-0000-0000581C0000}"/>
    <cellStyle name="Normal 12 3 5 2 2" xfId="5184" xr:uid="{00000000-0005-0000-0000-0000591C0000}"/>
    <cellStyle name="Normal 12 3 5 2 2 2" xfId="5185" xr:uid="{00000000-0005-0000-0000-00005A1C0000}"/>
    <cellStyle name="Normal 12 3 5 2 2 2 2" xfId="5186" xr:uid="{00000000-0005-0000-0000-00005B1C0000}"/>
    <cellStyle name="Normal 12 3 5 2 2 2 2 2" xfId="48097" xr:uid="{00000000-0005-0000-0000-00005C1C0000}"/>
    <cellStyle name="Normal 12 3 5 2 2 2 2 3" xfId="48098" xr:uid="{00000000-0005-0000-0000-00005D1C0000}"/>
    <cellStyle name="Normal 12 3 5 2 2 2 3" xfId="5187" xr:uid="{00000000-0005-0000-0000-00005E1C0000}"/>
    <cellStyle name="Normal 12 3 5 2 2 2 3 2" xfId="48099" xr:uid="{00000000-0005-0000-0000-00005F1C0000}"/>
    <cellStyle name="Normal 12 3 5 2 2 2 4" xfId="5188" xr:uid="{00000000-0005-0000-0000-0000601C0000}"/>
    <cellStyle name="Normal 12 3 5 2 2 2 5" xfId="5189" xr:uid="{00000000-0005-0000-0000-0000611C0000}"/>
    <cellStyle name="Normal 12 3 5 2 2 2 6" xfId="5190" xr:uid="{00000000-0005-0000-0000-0000621C0000}"/>
    <cellStyle name="Normal 12 3 5 2 2 3" xfId="5191" xr:uid="{00000000-0005-0000-0000-0000631C0000}"/>
    <cellStyle name="Normal 12 3 5 2 2 3 2" xfId="48100" xr:uid="{00000000-0005-0000-0000-0000641C0000}"/>
    <cellStyle name="Normal 12 3 5 2 2 3 3" xfId="48101" xr:uid="{00000000-0005-0000-0000-0000651C0000}"/>
    <cellStyle name="Normal 12 3 5 2 2 4" xfId="5192" xr:uid="{00000000-0005-0000-0000-0000661C0000}"/>
    <cellStyle name="Normal 12 3 5 2 2 4 2" xfId="48102" xr:uid="{00000000-0005-0000-0000-0000671C0000}"/>
    <cellStyle name="Normal 12 3 5 2 2 5" xfId="5193" xr:uid="{00000000-0005-0000-0000-0000681C0000}"/>
    <cellStyle name="Normal 12 3 5 2 2 6" xfId="5194" xr:uid="{00000000-0005-0000-0000-0000691C0000}"/>
    <cellStyle name="Normal 12 3 5 2 2 7" xfId="5195" xr:uid="{00000000-0005-0000-0000-00006A1C0000}"/>
    <cellStyle name="Normal 12 3 5 2 3" xfId="5196" xr:uid="{00000000-0005-0000-0000-00006B1C0000}"/>
    <cellStyle name="Normal 12 3 5 2 3 2" xfId="5197" xr:uid="{00000000-0005-0000-0000-00006C1C0000}"/>
    <cellStyle name="Normal 12 3 5 2 3 2 2" xfId="48103" xr:uid="{00000000-0005-0000-0000-00006D1C0000}"/>
    <cellStyle name="Normal 12 3 5 2 3 2 3" xfId="48104" xr:uid="{00000000-0005-0000-0000-00006E1C0000}"/>
    <cellStyle name="Normal 12 3 5 2 3 3" xfId="5198" xr:uid="{00000000-0005-0000-0000-00006F1C0000}"/>
    <cellStyle name="Normal 12 3 5 2 3 3 2" xfId="48105" xr:uid="{00000000-0005-0000-0000-0000701C0000}"/>
    <cellStyle name="Normal 12 3 5 2 3 4" xfId="5199" xr:uid="{00000000-0005-0000-0000-0000711C0000}"/>
    <cellStyle name="Normal 12 3 5 2 3 5" xfId="5200" xr:uid="{00000000-0005-0000-0000-0000721C0000}"/>
    <cellStyle name="Normal 12 3 5 2 3 6" xfId="5201" xr:uid="{00000000-0005-0000-0000-0000731C0000}"/>
    <cellStyle name="Normal 12 3 5 2 4" xfId="5202" xr:uid="{00000000-0005-0000-0000-0000741C0000}"/>
    <cellStyle name="Normal 12 3 5 2 4 2" xfId="48106" xr:uid="{00000000-0005-0000-0000-0000751C0000}"/>
    <cellStyle name="Normal 12 3 5 2 4 3" xfId="48107" xr:uid="{00000000-0005-0000-0000-0000761C0000}"/>
    <cellStyle name="Normal 12 3 5 2 5" xfId="5203" xr:uid="{00000000-0005-0000-0000-0000771C0000}"/>
    <cellStyle name="Normal 12 3 5 2 5 2" xfId="48108" xr:uid="{00000000-0005-0000-0000-0000781C0000}"/>
    <cellStyle name="Normal 12 3 5 2 6" xfId="5204" xr:uid="{00000000-0005-0000-0000-0000791C0000}"/>
    <cellStyle name="Normal 12 3 5 2 7" xfId="5205" xr:uid="{00000000-0005-0000-0000-00007A1C0000}"/>
    <cellStyle name="Normal 12 3 5 2 8" xfId="5206" xr:uid="{00000000-0005-0000-0000-00007B1C0000}"/>
    <cellStyle name="Normal 12 3 5 2 9" xfId="5207" xr:uid="{00000000-0005-0000-0000-00007C1C0000}"/>
    <cellStyle name="Normal 12 3 5 3" xfId="5208" xr:uid="{00000000-0005-0000-0000-00007D1C0000}"/>
    <cellStyle name="Normal 12 3 5 3 2" xfId="5209" xr:uid="{00000000-0005-0000-0000-00007E1C0000}"/>
    <cellStyle name="Normal 12 3 5 3 2 2" xfId="5210" xr:uid="{00000000-0005-0000-0000-00007F1C0000}"/>
    <cellStyle name="Normal 12 3 5 3 2 2 2" xfId="5211" xr:uid="{00000000-0005-0000-0000-0000801C0000}"/>
    <cellStyle name="Normal 12 3 5 3 2 2 2 2" xfId="48109" xr:uid="{00000000-0005-0000-0000-0000811C0000}"/>
    <cellStyle name="Normal 12 3 5 3 2 2 2 3" xfId="48110" xr:uid="{00000000-0005-0000-0000-0000821C0000}"/>
    <cellStyle name="Normal 12 3 5 3 2 2 3" xfId="5212" xr:uid="{00000000-0005-0000-0000-0000831C0000}"/>
    <cellStyle name="Normal 12 3 5 3 2 2 3 2" xfId="48111" xr:uid="{00000000-0005-0000-0000-0000841C0000}"/>
    <cellStyle name="Normal 12 3 5 3 2 2 4" xfId="5213" xr:uid="{00000000-0005-0000-0000-0000851C0000}"/>
    <cellStyle name="Normal 12 3 5 3 2 2 5" xfId="5214" xr:uid="{00000000-0005-0000-0000-0000861C0000}"/>
    <cellStyle name="Normal 12 3 5 3 2 2 6" xfId="5215" xr:uid="{00000000-0005-0000-0000-0000871C0000}"/>
    <cellStyle name="Normal 12 3 5 3 2 3" xfId="5216" xr:uid="{00000000-0005-0000-0000-0000881C0000}"/>
    <cellStyle name="Normal 12 3 5 3 2 3 2" xfId="48112" xr:uid="{00000000-0005-0000-0000-0000891C0000}"/>
    <cellStyle name="Normal 12 3 5 3 2 3 3" xfId="48113" xr:uid="{00000000-0005-0000-0000-00008A1C0000}"/>
    <cellStyle name="Normal 12 3 5 3 2 4" xfId="5217" xr:uid="{00000000-0005-0000-0000-00008B1C0000}"/>
    <cellStyle name="Normal 12 3 5 3 2 4 2" xfId="48114" xr:uid="{00000000-0005-0000-0000-00008C1C0000}"/>
    <cellStyle name="Normal 12 3 5 3 2 5" xfId="5218" xr:uid="{00000000-0005-0000-0000-00008D1C0000}"/>
    <cellStyle name="Normal 12 3 5 3 2 6" xfId="5219" xr:uid="{00000000-0005-0000-0000-00008E1C0000}"/>
    <cellStyle name="Normal 12 3 5 3 2 7" xfId="5220" xr:uid="{00000000-0005-0000-0000-00008F1C0000}"/>
    <cellStyle name="Normal 12 3 5 3 3" xfId="5221" xr:uid="{00000000-0005-0000-0000-0000901C0000}"/>
    <cellStyle name="Normal 12 3 5 3 3 2" xfId="5222" xr:uid="{00000000-0005-0000-0000-0000911C0000}"/>
    <cellStyle name="Normal 12 3 5 3 3 2 2" xfId="48115" xr:uid="{00000000-0005-0000-0000-0000921C0000}"/>
    <cellStyle name="Normal 12 3 5 3 3 2 3" xfId="48116" xr:uid="{00000000-0005-0000-0000-0000931C0000}"/>
    <cellStyle name="Normal 12 3 5 3 3 3" xfId="5223" xr:uid="{00000000-0005-0000-0000-0000941C0000}"/>
    <cellStyle name="Normal 12 3 5 3 3 3 2" xfId="48117" xr:uid="{00000000-0005-0000-0000-0000951C0000}"/>
    <cellStyle name="Normal 12 3 5 3 3 4" xfId="5224" xr:uid="{00000000-0005-0000-0000-0000961C0000}"/>
    <cellStyle name="Normal 12 3 5 3 3 5" xfId="5225" xr:uid="{00000000-0005-0000-0000-0000971C0000}"/>
    <cellStyle name="Normal 12 3 5 3 3 6" xfId="5226" xr:uid="{00000000-0005-0000-0000-0000981C0000}"/>
    <cellStyle name="Normal 12 3 5 3 4" xfId="5227" xr:uid="{00000000-0005-0000-0000-0000991C0000}"/>
    <cellStyle name="Normal 12 3 5 3 4 2" xfId="48118" xr:uid="{00000000-0005-0000-0000-00009A1C0000}"/>
    <cellStyle name="Normal 12 3 5 3 4 3" xfId="48119" xr:uid="{00000000-0005-0000-0000-00009B1C0000}"/>
    <cellStyle name="Normal 12 3 5 3 5" xfId="5228" xr:uid="{00000000-0005-0000-0000-00009C1C0000}"/>
    <cellStyle name="Normal 12 3 5 3 5 2" xfId="48120" xr:uid="{00000000-0005-0000-0000-00009D1C0000}"/>
    <cellStyle name="Normal 12 3 5 3 6" xfId="5229" xr:uid="{00000000-0005-0000-0000-00009E1C0000}"/>
    <cellStyle name="Normal 12 3 5 3 7" xfId="5230" xr:uid="{00000000-0005-0000-0000-00009F1C0000}"/>
    <cellStyle name="Normal 12 3 5 3 8" xfId="5231" xr:uid="{00000000-0005-0000-0000-0000A01C0000}"/>
    <cellStyle name="Normal 12 3 5 4" xfId="5232" xr:uid="{00000000-0005-0000-0000-0000A11C0000}"/>
    <cellStyle name="Normal 12 3 5 4 2" xfId="5233" xr:uid="{00000000-0005-0000-0000-0000A21C0000}"/>
    <cellStyle name="Normal 12 3 5 4 2 2" xfId="5234" xr:uid="{00000000-0005-0000-0000-0000A31C0000}"/>
    <cellStyle name="Normal 12 3 5 4 2 2 2" xfId="48121" xr:uid="{00000000-0005-0000-0000-0000A41C0000}"/>
    <cellStyle name="Normal 12 3 5 4 2 2 3" xfId="48122" xr:uid="{00000000-0005-0000-0000-0000A51C0000}"/>
    <cellStyle name="Normal 12 3 5 4 2 3" xfId="5235" xr:uid="{00000000-0005-0000-0000-0000A61C0000}"/>
    <cellStyle name="Normal 12 3 5 4 2 3 2" xfId="48123" xr:uid="{00000000-0005-0000-0000-0000A71C0000}"/>
    <cellStyle name="Normal 12 3 5 4 2 4" xfId="5236" xr:uid="{00000000-0005-0000-0000-0000A81C0000}"/>
    <cellStyle name="Normal 12 3 5 4 2 5" xfId="5237" xr:uid="{00000000-0005-0000-0000-0000A91C0000}"/>
    <cellStyle name="Normal 12 3 5 4 2 6" xfId="5238" xr:uid="{00000000-0005-0000-0000-0000AA1C0000}"/>
    <cellStyle name="Normal 12 3 5 4 3" xfId="5239" xr:uid="{00000000-0005-0000-0000-0000AB1C0000}"/>
    <cellStyle name="Normal 12 3 5 4 3 2" xfId="48124" xr:uid="{00000000-0005-0000-0000-0000AC1C0000}"/>
    <cellStyle name="Normal 12 3 5 4 3 3" xfId="48125" xr:uid="{00000000-0005-0000-0000-0000AD1C0000}"/>
    <cellStyle name="Normal 12 3 5 4 4" xfId="5240" xr:uid="{00000000-0005-0000-0000-0000AE1C0000}"/>
    <cellStyle name="Normal 12 3 5 4 4 2" xfId="48126" xr:uid="{00000000-0005-0000-0000-0000AF1C0000}"/>
    <cellStyle name="Normal 12 3 5 4 5" xfId="5241" xr:uid="{00000000-0005-0000-0000-0000B01C0000}"/>
    <cellStyle name="Normal 12 3 5 4 6" xfId="5242" xr:uid="{00000000-0005-0000-0000-0000B11C0000}"/>
    <cellStyle name="Normal 12 3 5 4 7" xfId="5243" xr:uid="{00000000-0005-0000-0000-0000B21C0000}"/>
    <cellStyle name="Normal 12 3 5 5" xfId="5244" xr:uid="{00000000-0005-0000-0000-0000B31C0000}"/>
    <cellStyle name="Normal 12 3 5 5 2" xfId="5245" xr:uid="{00000000-0005-0000-0000-0000B41C0000}"/>
    <cellStyle name="Normal 12 3 5 5 2 2" xfId="48127" xr:uid="{00000000-0005-0000-0000-0000B51C0000}"/>
    <cellStyle name="Normal 12 3 5 5 2 3" xfId="48128" xr:uid="{00000000-0005-0000-0000-0000B61C0000}"/>
    <cellStyle name="Normal 12 3 5 5 3" xfId="5246" xr:uid="{00000000-0005-0000-0000-0000B71C0000}"/>
    <cellStyle name="Normal 12 3 5 5 3 2" xfId="48129" xr:uid="{00000000-0005-0000-0000-0000B81C0000}"/>
    <cellStyle name="Normal 12 3 5 5 4" xfId="5247" xr:uid="{00000000-0005-0000-0000-0000B91C0000}"/>
    <cellStyle name="Normal 12 3 5 5 5" xfId="5248" xr:uid="{00000000-0005-0000-0000-0000BA1C0000}"/>
    <cellStyle name="Normal 12 3 5 5 6" xfId="5249" xr:uid="{00000000-0005-0000-0000-0000BB1C0000}"/>
    <cellStyle name="Normal 12 3 5 6" xfId="5250" xr:uid="{00000000-0005-0000-0000-0000BC1C0000}"/>
    <cellStyle name="Normal 12 3 5 6 2" xfId="48130" xr:uid="{00000000-0005-0000-0000-0000BD1C0000}"/>
    <cellStyle name="Normal 12 3 5 6 3" xfId="48131" xr:uid="{00000000-0005-0000-0000-0000BE1C0000}"/>
    <cellStyle name="Normal 12 3 5 7" xfId="5251" xr:uid="{00000000-0005-0000-0000-0000BF1C0000}"/>
    <cellStyle name="Normal 12 3 5 7 2" xfId="48132" xr:uid="{00000000-0005-0000-0000-0000C01C0000}"/>
    <cellStyle name="Normal 12 3 5 8" xfId="5252" xr:uid="{00000000-0005-0000-0000-0000C11C0000}"/>
    <cellStyle name="Normal 12 3 5 9" xfId="5253" xr:uid="{00000000-0005-0000-0000-0000C21C0000}"/>
    <cellStyle name="Normal 12 3 6" xfId="5254" xr:uid="{00000000-0005-0000-0000-0000C31C0000}"/>
    <cellStyle name="Normal 12 3 6 10" xfId="5255" xr:uid="{00000000-0005-0000-0000-0000C41C0000}"/>
    <cellStyle name="Normal 12 3 6 11" xfId="5256" xr:uid="{00000000-0005-0000-0000-0000C51C0000}"/>
    <cellStyle name="Normal 12 3 6 12" xfId="5257" xr:uid="{00000000-0005-0000-0000-0000C61C0000}"/>
    <cellStyle name="Normal 12 3 6 13" xfId="5258" xr:uid="{00000000-0005-0000-0000-0000C71C0000}"/>
    <cellStyle name="Normal 12 3 6 2" xfId="5259" xr:uid="{00000000-0005-0000-0000-0000C81C0000}"/>
    <cellStyle name="Normal 12 3 6 2 2" xfId="5260" xr:uid="{00000000-0005-0000-0000-0000C91C0000}"/>
    <cellStyle name="Normal 12 3 6 2 2 2" xfId="5261" xr:uid="{00000000-0005-0000-0000-0000CA1C0000}"/>
    <cellStyle name="Normal 12 3 6 2 2 2 2" xfId="5262" xr:uid="{00000000-0005-0000-0000-0000CB1C0000}"/>
    <cellStyle name="Normal 12 3 6 2 2 2 2 2" xfId="48133" xr:uid="{00000000-0005-0000-0000-0000CC1C0000}"/>
    <cellStyle name="Normal 12 3 6 2 2 2 2 3" xfId="48134" xr:uid="{00000000-0005-0000-0000-0000CD1C0000}"/>
    <cellStyle name="Normal 12 3 6 2 2 2 3" xfId="5263" xr:uid="{00000000-0005-0000-0000-0000CE1C0000}"/>
    <cellStyle name="Normal 12 3 6 2 2 2 3 2" xfId="48135" xr:uid="{00000000-0005-0000-0000-0000CF1C0000}"/>
    <cellStyle name="Normal 12 3 6 2 2 2 4" xfId="5264" xr:uid="{00000000-0005-0000-0000-0000D01C0000}"/>
    <cellStyle name="Normal 12 3 6 2 2 2 5" xfId="5265" xr:uid="{00000000-0005-0000-0000-0000D11C0000}"/>
    <cellStyle name="Normal 12 3 6 2 2 2 6" xfId="5266" xr:uid="{00000000-0005-0000-0000-0000D21C0000}"/>
    <cellStyle name="Normal 12 3 6 2 2 3" xfId="5267" xr:uid="{00000000-0005-0000-0000-0000D31C0000}"/>
    <cellStyle name="Normal 12 3 6 2 2 3 2" xfId="48136" xr:uid="{00000000-0005-0000-0000-0000D41C0000}"/>
    <cellStyle name="Normal 12 3 6 2 2 3 3" xfId="48137" xr:uid="{00000000-0005-0000-0000-0000D51C0000}"/>
    <cellStyle name="Normal 12 3 6 2 2 4" xfId="5268" xr:uid="{00000000-0005-0000-0000-0000D61C0000}"/>
    <cellStyle name="Normal 12 3 6 2 2 4 2" xfId="48138" xr:uid="{00000000-0005-0000-0000-0000D71C0000}"/>
    <cellStyle name="Normal 12 3 6 2 2 5" xfId="5269" xr:uid="{00000000-0005-0000-0000-0000D81C0000}"/>
    <cellStyle name="Normal 12 3 6 2 2 6" xfId="5270" xr:uid="{00000000-0005-0000-0000-0000D91C0000}"/>
    <cellStyle name="Normal 12 3 6 2 2 7" xfId="5271" xr:uid="{00000000-0005-0000-0000-0000DA1C0000}"/>
    <cellStyle name="Normal 12 3 6 2 3" xfId="5272" xr:uid="{00000000-0005-0000-0000-0000DB1C0000}"/>
    <cellStyle name="Normal 12 3 6 2 3 2" xfId="5273" xr:uid="{00000000-0005-0000-0000-0000DC1C0000}"/>
    <cellStyle name="Normal 12 3 6 2 3 2 2" xfId="48139" xr:uid="{00000000-0005-0000-0000-0000DD1C0000}"/>
    <cellStyle name="Normal 12 3 6 2 3 2 3" xfId="48140" xr:uid="{00000000-0005-0000-0000-0000DE1C0000}"/>
    <cellStyle name="Normal 12 3 6 2 3 3" xfId="5274" xr:uid="{00000000-0005-0000-0000-0000DF1C0000}"/>
    <cellStyle name="Normal 12 3 6 2 3 3 2" xfId="48141" xr:uid="{00000000-0005-0000-0000-0000E01C0000}"/>
    <cellStyle name="Normal 12 3 6 2 3 4" xfId="5275" xr:uid="{00000000-0005-0000-0000-0000E11C0000}"/>
    <cellStyle name="Normal 12 3 6 2 3 5" xfId="5276" xr:uid="{00000000-0005-0000-0000-0000E21C0000}"/>
    <cellStyle name="Normal 12 3 6 2 3 6" xfId="5277" xr:uid="{00000000-0005-0000-0000-0000E31C0000}"/>
    <cellStyle name="Normal 12 3 6 2 4" xfId="5278" xr:uid="{00000000-0005-0000-0000-0000E41C0000}"/>
    <cellStyle name="Normal 12 3 6 2 4 2" xfId="48142" xr:uid="{00000000-0005-0000-0000-0000E51C0000}"/>
    <cellStyle name="Normal 12 3 6 2 4 3" xfId="48143" xr:uid="{00000000-0005-0000-0000-0000E61C0000}"/>
    <cellStyle name="Normal 12 3 6 2 5" xfId="5279" xr:uid="{00000000-0005-0000-0000-0000E71C0000}"/>
    <cellStyle name="Normal 12 3 6 2 5 2" xfId="48144" xr:uid="{00000000-0005-0000-0000-0000E81C0000}"/>
    <cellStyle name="Normal 12 3 6 2 6" xfId="5280" xr:uid="{00000000-0005-0000-0000-0000E91C0000}"/>
    <cellStyle name="Normal 12 3 6 2 7" xfId="5281" xr:uid="{00000000-0005-0000-0000-0000EA1C0000}"/>
    <cellStyle name="Normal 12 3 6 2 8" xfId="5282" xr:uid="{00000000-0005-0000-0000-0000EB1C0000}"/>
    <cellStyle name="Normal 12 3 6 2 9" xfId="5283" xr:uid="{00000000-0005-0000-0000-0000EC1C0000}"/>
    <cellStyle name="Normal 12 3 6 3" xfId="5284" xr:uid="{00000000-0005-0000-0000-0000ED1C0000}"/>
    <cellStyle name="Normal 12 3 6 3 2" xfId="5285" xr:uid="{00000000-0005-0000-0000-0000EE1C0000}"/>
    <cellStyle name="Normal 12 3 6 3 2 2" xfId="5286" xr:uid="{00000000-0005-0000-0000-0000EF1C0000}"/>
    <cellStyle name="Normal 12 3 6 3 2 2 2" xfId="48145" xr:uid="{00000000-0005-0000-0000-0000F01C0000}"/>
    <cellStyle name="Normal 12 3 6 3 2 2 3" xfId="48146" xr:uid="{00000000-0005-0000-0000-0000F11C0000}"/>
    <cellStyle name="Normal 12 3 6 3 2 3" xfId="5287" xr:uid="{00000000-0005-0000-0000-0000F21C0000}"/>
    <cellStyle name="Normal 12 3 6 3 2 3 2" xfId="48147" xr:uid="{00000000-0005-0000-0000-0000F31C0000}"/>
    <cellStyle name="Normal 12 3 6 3 2 4" xfId="5288" xr:uid="{00000000-0005-0000-0000-0000F41C0000}"/>
    <cellStyle name="Normal 12 3 6 3 2 5" xfId="5289" xr:uid="{00000000-0005-0000-0000-0000F51C0000}"/>
    <cellStyle name="Normal 12 3 6 3 2 6" xfId="5290" xr:uid="{00000000-0005-0000-0000-0000F61C0000}"/>
    <cellStyle name="Normal 12 3 6 3 3" xfId="5291" xr:uid="{00000000-0005-0000-0000-0000F71C0000}"/>
    <cellStyle name="Normal 12 3 6 3 3 2" xfId="48148" xr:uid="{00000000-0005-0000-0000-0000F81C0000}"/>
    <cellStyle name="Normal 12 3 6 3 3 3" xfId="48149" xr:uid="{00000000-0005-0000-0000-0000F91C0000}"/>
    <cellStyle name="Normal 12 3 6 3 4" xfId="5292" xr:uid="{00000000-0005-0000-0000-0000FA1C0000}"/>
    <cellStyle name="Normal 12 3 6 3 4 2" xfId="48150" xr:uid="{00000000-0005-0000-0000-0000FB1C0000}"/>
    <cellStyle name="Normal 12 3 6 3 5" xfId="5293" xr:uid="{00000000-0005-0000-0000-0000FC1C0000}"/>
    <cellStyle name="Normal 12 3 6 3 6" xfId="5294" xr:uid="{00000000-0005-0000-0000-0000FD1C0000}"/>
    <cellStyle name="Normal 12 3 6 3 7" xfId="5295" xr:uid="{00000000-0005-0000-0000-0000FE1C0000}"/>
    <cellStyle name="Normal 12 3 6 4" xfId="5296" xr:uid="{00000000-0005-0000-0000-0000FF1C0000}"/>
    <cellStyle name="Normal 12 3 6 4 2" xfId="5297" xr:uid="{00000000-0005-0000-0000-0000001D0000}"/>
    <cellStyle name="Normal 12 3 6 4 2 2" xfId="48151" xr:uid="{00000000-0005-0000-0000-0000011D0000}"/>
    <cellStyle name="Normal 12 3 6 4 2 3" xfId="48152" xr:uid="{00000000-0005-0000-0000-0000021D0000}"/>
    <cellStyle name="Normal 12 3 6 4 3" xfId="5298" xr:uid="{00000000-0005-0000-0000-0000031D0000}"/>
    <cellStyle name="Normal 12 3 6 4 3 2" xfId="48153" xr:uid="{00000000-0005-0000-0000-0000041D0000}"/>
    <cellStyle name="Normal 12 3 6 4 4" xfId="5299" xr:uid="{00000000-0005-0000-0000-0000051D0000}"/>
    <cellStyle name="Normal 12 3 6 4 5" xfId="5300" xr:uid="{00000000-0005-0000-0000-0000061D0000}"/>
    <cellStyle name="Normal 12 3 6 4 6" xfId="5301" xr:uid="{00000000-0005-0000-0000-0000071D0000}"/>
    <cellStyle name="Normal 12 3 6 5" xfId="5302" xr:uid="{00000000-0005-0000-0000-0000081D0000}"/>
    <cellStyle name="Normal 12 3 6 5 2" xfId="48154" xr:uid="{00000000-0005-0000-0000-0000091D0000}"/>
    <cellStyle name="Normal 12 3 6 5 3" xfId="48155" xr:uid="{00000000-0005-0000-0000-00000A1D0000}"/>
    <cellStyle name="Normal 12 3 6 6" xfId="5303" xr:uid="{00000000-0005-0000-0000-00000B1D0000}"/>
    <cellStyle name="Normal 12 3 6 6 2" xfId="48156" xr:uid="{00000000-0005-0000-0000-00000C1D0000}"/>
    <cellStyle name="Normal 12 3 6 7" xfId="5304" xr:uid="{00000000-0005-0000-0000-00000D1D0000}"/>
    <cellStyle name="Normal 12 3 6 8" xfId="5305" xr:uid="{00000000-0005-0000-0000-00000E1D0000}"/>
    <cellStyle name="Normal 12 3 6 9" xfId="5306" xr:uid="{00000000-0005-0000-0000-00000F1D0000}"/>
    <cellStyle name="Normal 12 3 7" xfId="5307" xr:uid="{00000000-0005-0000-0000-0000101D0000}"/>
    <cellStyle name="Normal 12 3 7 2" xfId="5308" xr:uid="{00000000-0005-0000-0000-0000111D0000}"/>
    <cellStyle name="Normal 12 3 7 2 2" xfId="5309" xr:uid="{00000000-0005-0000-0000-0000121D0000}"/>
    <cellStyle name="Normal 12 3 7 2 2 2" xfId="5310" xr:uid="{00000000-0005-0000-0000-0000131D0000}"/>
    <cellStyle name="Normal 12 3 7 2 2 2 2" xfId="48157" xr:uid="{00000000-0005-0000-0000-0000141D0000}"/>
    <cellStyle name="Normal 12 3 7 2 2 2 3" xfId="48158" xr:uid="{00000000-0005-0000-0000-0000151D0000}"/>
    <cellStyle name="Normal 12 3 7 2 2 3" xfId="5311" xr:uid="{00000000-0005-0000-0000-0000161D0000}"/>
    <cellStyle name="Normal 12 3 7 2 2 3 2" xfId="48159" xr:uid="{00000000-0005-0000-0000-0000171D0000}"/>
    <cellStyle name="Normal 12 3 7 2 2 4" xfId="5312" xr:uid="{00000000-0005-0000-0000-0000181D0000}"/>
    <cellStyle name="Normal 12 3 7 2 2 5" xfId="5313" xr:uid="{00000000-0005-0000-0000-0000191D0000}"/>
    <cellStyle name="Normal 12 3 7 2 2 6" xfId="5314" xr:uid="{00000000-0005-0000-0000-00001A1D0000}"/>
    <cellStyle name="Normal 12 3 7 2 3" xfId="5315" xr:uid="{00000000-0005-0000-0000-00001B1D0000}"/>
    <cellStyle name="Normal 12 3 7 2 3 2" xfId="48160" xr:uid="{00000000-0005-0000-0000-00001C1D0000}"/>
    <cellStyle name="Normal 12 3 7 2 3 3" xfId="48161" xr:uid="{00000000-0005-0000-0000-00001D1D0000}"/>
    <cellStyle name="Normal 12 3 7 2 4" xfId="5316" xr:uid="{00000000-0005-0000-0000-00001E1D0000}"/>
    <cellStyle name="Normal 12 3 7 2 4 2" xfId="48162" xr:uid="{00000000-0005-0000-0000-00001F1D0000}"/>
    <cellStyle name="Normal 12 3 7 2 5" xfId="5317" xr:uid="{00000000-0005-0000-0000-0000201D0000}"/>
    <cellStyle name="Normal 12 3 7 2 6" xfId="5318" xr:uid="{00000000-0005-0000-0000-0000211D0000}"/>
    <cellStyle name="Normal 12 3 7 2 7" xfId="5319" xr:uid="{00000000-0005-0000-0000-0000221D0000}"/>
    <cellStyle name="Normal 12 3 7 3" xfId="5320" xr:uid="{00000000-0005-0000-0000-0000231D0000}"/>
    <cellStyle name="Normal 12 3 7 3 2" xfId="5321" xr:uid="{00000000-0005-0000-0000-0000241D0000}"/>
    <cellStyle name="Normal 12 3 7 3 2 2" xfId="48163" xr:uid="{00000000-0005-0000-0000-0000251D0000}"/>
    <cellStyle name="Normal 12 3 7 3 2 3" xfId="48164" xr:uid="{00000000-0005-0000-0000-0000261D0000}"/>
    <cellStyle name="Normal 12 3 7 3 3" xfId="5322" xr:uid="{00000000-0005-0000-0000-0000271D0000}"/>
    <cellStyle name="Normal 12 3 7 3 3 2" xfId="48165" xr:uid="{00000000-0005-0000-0000-0000281D0000}"/>
    <cellStyle name="Normal 12 3 7 3 4" xfId="5323" xr:uid="{00000000-0005-0000-0000-0000291D0000}"/>
    <cellStyle name="Normal 12 3 7 3 5" xfId="5324" xr:uid="{00000000-0005-0000-0000-00002A1D0000}"/>
    <cellStyle name="Normal 12 3 7 3 6" xfId="5325" xr:uid="{00000000-0005-0000-0000-00002B1D0000}"/>
    <cellStyle name="Normal 12 3 7 4" xfId="5326" xr:uid="{00000000-0005-0000-0000-00002C1D0000}"/>
    <cellStyle name="Normal 12 3 7 4 2" xfId="48166" xr:uid="{00000000-0005-0000-0000-00002D1D0000}"/>
    <cellStyle name="Normal 12 3 7 4 3" xfId="48167" xr:uid="{00000000-0005-0000-0000-00002E1D0000}"/>
    <cellStyle name="Normal 12 3 7 5" xfId="5327" xr:uid="{00000000-0005-0000-0000-00002F1D0000}"/>
    <cellStyle name="Normal 12 3 7 5 2" xfId="48168" xr:uid="{00000000-0005-0000-0000-0000301D0000}"/>
    <cellStyle name="Normal 12 3 7 6" xfId="5328" xr:uid="{00000000-0005-0000-0000-0000311D0000}"/>
    <cellStyle name="Normal 12 3 7 7" xfId="5329" xr:uid="{00000000-0005-0000-0000-0000321D0000}"/>
    <cellStyle name="Normal 12 3 7 8" xfId="5330" xr:uid="{00000000-0005-0000-0000-0000331D0000}"/>
    <cellStyle name="Normal 12 3 7 9" xfId="5331" xr:uid="{00000000-0005-0000-0000-0000341D0000}"/>
    <cellStyle name="Normal 12 3 8" xfId="5332" xr:uid="{00000000-0005-0000-0000-0000351D0000}"/>
    <cellStyle name="Normal 12 3 8 2" xfId="5333" xr:uid="{00000000-0005-0000-0000-0000361D0000}"/>
    <cellStyle name="Normal 12 3 8 2 2" xfId="5334" xr:uid="{00000000-0005-0000-0000-0000371D0000}"/>
    <cellStyle name="Normal 12 3 8 2 2 2" xfId="5335" xr:uid="{00000000-0005-0000-0000-0000381D0000}"/>
    <cellStyle name="Normal 12 3 8 2 2 2 2" xfId="48169" xr:uid="{00000000-0005-0000-0000-0000391D0000}"/>
    <cellStyle name="Normal 12 3 8 2 2 2 3" xfId="48170" xr:uid="{00000000-0005-0000-0000-00003A1D0000}"/>
    <cellStyle name="Normal 12 3 8 2 2 3" xfId="5336" xr:uid="{00000000-0005-0000-0000-00003B1D0000}"/>
    <cellStyle name="Normal 12 3 8 2 2 3 2" xfId="48171" xr:uid="{00000000-0005-0000-0000-00003C1D0000}"/>
    <cellStyle name="Normal 12 3 8 2 2 4" xfId="5337" xr:uid="{00000000-0005-0000-0000-00003D1D0000}"/>
    <cellStyle name="Normal 12 3 8 2 2 5" xfId="5338" xr:uid="{00000000-0005-0000-0000-00003E1D0000}"/>
    <cellStyle name="Normal 12 3 8 2 2 6" xfId="5339" xr:uid="{00000000-0005-0000-0000-00003F1D0000}"/>
    <cellStyle name="Normal 12 3 8 2 3" xfId="5340" xr:uid="{00000000-0005-0000-0000-0000401D0000}"/>
    <cellStyle name="Normal 12 3 8 2 3 2" xfId="48172" xr:uid="{00000000-0005-0000-0000-0000411D0000}"/>
    <cellStyle name="Normal 12 3 8 2 3 3" xfId="48173" xr:uid="{00000000-0005-0000-0000-0000421D0000}"/>
    <cellStyle name="Normal 12 3 8 2 4" xfId="5341" xr:uid="{00000000-0005-0000-0000-0000431D0000}"/>
    <cellStyle name="Normal 12 3 8 2 4 2" xfId="48174" xr:uid="{00000000-0005-0000-0000-0000441D0000}"/>
    <cellStyle name="Normal 12 3 8 2 5" xfId="5342" xr:uid="{00000000-0005-0000-0000-0000451D0000}"/>
    <cellStyle name="Normal 12 3 8 2 6" xfId="5343" xr:uid="{00000000-0005-0000-0000-0000461D0000}"/>
    <cellStyle name="Normal 12 3 8 2 7" xfId="5344" xr:uid="{00000000-0005-0000-0000-0000471D0000}"/>
    <cellStyle name="Normal 12 3 8 3" xfId="5345" xr:uid="{00000000-0005-0000-0000-0000481D0000}"/>
    <cellStyle name="Normal 12 3 8 3 2" xfId="5346" xr:uid="{00000000-0005-0000-0000-0000491D0000}"/>
    <cellStyle name="Normal 12 3 8 3 2 2" xfId="48175" xr:uid="{00000000-0005-0000-0000-00004A1D0000}"/>
    <cellStyle name="Normal 12 3 8 3 2 3" xfId="48176" xr:uid="{00000000-0005-0000-0000-00004B1D0000}"/>
    <cellStyle name="Normal 12 3 8 3 3" xfId="5347" xr:uid="{00000000-0005-0000-0000-00004C1D0000}"/>
    <cellStyle name="Normal 12 3 8 3 3 2" xfId="48177" xr:uid="{00000000-0005-0000-0000-00004D1D0000}"/>
    <cellStyle name="Normal 12 3 8 3 4" xfId="5348" xr:uid="{00000000-0005-0000-0000-00004E1D0000}"/>
    <cellStyle name="Normal 12 3 8 3 5" xfId="5349" xr:uid="{00000000-0005-0000-0000-00004F1D0000}"/>
    <cellStyle name="Normal 12 3 8 3 6" xfId="5350" xr:uid="{00000000-0005-0000-0000-0000501D0000}"/>
    <cellStyle name="Normal 12 3 8 4" xfId="5351" xr:uid="{00000000-0005-0000-0000-0000511D0000}"/>
    <cellStyle name="Normal 12 3 8 4 2" xfId="48178" xr:uid="{00000000-0005-0000-0000-0000521D0000}"/>
    <cellStyle name="Normal 12 3 8 4 3" xfId="48179" xr:uid="{00000000-0005-0000-0000-0000531D0000}"/>
    <cellStyle name="Normal 12 3 8 5" xfId="5352" xr:uid="{00000000-0005-0000-0000-0000541D0000}"/>
    <cellStyle name="Normal 12 3 8 5 2" xfId="48180" xr:uid="{00000000-0005-0000-0000-0000551D0000}"/>
    <cellStyle name="Normal 12 3 8 6" xfId="5353" xr:uid="{00000000-0005-0000-0000-0000561D0000}"/>
    <cellStyle name="Normal 12 3 8 7" xfId="5354" xr:uid="{00000000-0005-0000-0000-0000571D0000}"/>
    <cellStyle name="Normal 12 3 8 8" xfId="5355" xr:uid="{00000000-0005-0000-0000-0000581D0000}"/>
    <cellStyle name="Normal 12 3 9" xfId="5356" xr:uid="{00000000-0005-0000-0000-0000591D0000}"/>
    <cellStyle name="Normal 12 3 9 2" xfId="5357" xr:uid="{00000000-0005-0000-0000-00005A1D0000}"/>
    <cellStyle name="Normal 12 3 9 2 2" xfId="5358" xr:uid="{00000000-0005-0000-0000-00005B1D0000}"/>
    <cellStyle name="Normal 12 3 9 2 2 2" xfId="5359" xr:uid="{00000000-0005-0000-0000-00005C1D0000}"/>
    <cellStyle name="Normal 12 3 9 2 2 2 2" xfId="48181" xr:uid="{00000000-0005-0000-0000-00005D1D0000}"/>
    <cellStyle name="Normal 12 3 9 2 2 2 3" xfId="48182" xr:uid="{00000000-0005-0000-0000-00005E1D0000}"/>
    <cellStyle name="Normal 12 3 9 2 2 3" xfId="5360" xr:uid="{00000000-0005-0000-0000-00005F1D0000}"/>
    <cellStyle name="Normal 12 3 9 2 2 3 2" xfId="48183" xr:uid="{00000000-0005-0000-0000-0000601D0000}"/>
    <cellStyle name="Normal 12 3 9 2 2 4" xfId="5361" xr:uid="{00000000-0005-0000-0000-0000611D0000}"/>
    <cellStyle name="Normal 12 3 9 2 2 5" xfId="5362" xr:uid="{00000000-0005-0000-0000-0000621D0000}"/>
    <cellStyle name="Normal 12 3 9 2 2 6" xfId="5363" xr:uid="{00000000-0005-0000-0000-0000631D0000}"/>
    <cellStyle name="Normal 12 3 9 2 3" xfId="5364" xr:uid="{00000000-0005-0000-0000-0000641D0000}"/>
    <cellStyle name="Normal 12 3 9 2 3 2" xfId="48184" xr:uid="{00000000-0005-0000-0000-0000651D0000}"/>
    <cellStyle name="Normal 12 3 9 2 3 3" xfId="48185" xr:uid="{00000000-0005-0000-0000-0000661D0000}"/>
    <cellStyle name="Normal 12 3 9 2 4" xfId="5365" xr:uid="{00000000-0005-0000-0000-0000671D0000}"/>
    <cellStyle name="Normal 12 3 9 2 4 2" xfId="48186" xr:uid="{00000000-0005-0000-0000-0000681D0000}"/>
    <cellStyle name="Normal 12 3 9 2 5" xfId="5366" xr:uid="{00000000-0005-0000-0000-0000691D0000}"/>
    <cellStyle name="Normal 12 3 9 2 6" xfId="5367" xr:uid="{00000000-0005-0000-0000-00006A1D0000}"/>
    <cellStyle name="Normal 12 3 9 2 7" xfId="5368" xr:uid="{00000000-0005-0000-0000-00006B1D0000}"/>
    <cellStyle name="Normal 12 3 9 3" xfId="5369" xr:uid="{00000000-0005-0000-0000-00006C1D0000}"/>
    <cellStyle name="Normal 12 3 9 3 2" xfId="5370" xr:uid="{00000000-0005-0000-0000-00006D1D0000}"/>
    <cellStyle name="Normal 12 3 9 3 2 2" xfId="48187" xr:uid="{00000000-0005-0000-0000-00006E1D0000}"/>
    <cellStyle name="Normal 12 3 9 3 2 3" xfId="48188" xr:uid="{00000000-0005-0000-0000-00006F1D0000}"/>
    <cellStyle name="Normal 12 3 9 3 3" xfId="5371" xr:uid="{00000000-0005-0000-0000-0000701D0000}"/>
    <cellStyle name="Normal 12 3 9 3 3 2" xfId="48189" xr:uid="{00000000-0005-0000-0000-0000711D0000}"/>
    <cellStyle name="Normal 12 3 9 3 4" xfId="5372" xr:uid="{00000000-0005-0000-0000-0000721D0000}"/>
    <cellStyle name="Normal 12 3 9 3 5" xfId="5373" xr:uid="{00000000-0005-0000-0000-0000731D0000}"/>
    <cellStyle name="Normal 12 3 9 3 6" xfId="5374" xr:uid="{00000000-0005-0000-0000-0000741D0000}"/>
    <cellStyle name="Normal 12 3 9 4" xfId="5375" xr:uid="{00000000-0005-0000-0000-0000751D0000}"/>
    <cellStyle name="Normal 12 3 9 4 2" xfId="48190" xr:uid="{00000000-0005-0000-0000-0000761D0000}"/>
    <cellStyle name="Normal 12 3 9 4 3" xfId="48191" xr:uid="{00000000-0005-0000-0000-0000771D0000}"/>
    <cellStyle name="Normal 12 3 9 5" xfId="5376" xr:uid="{00000000-0005-0000-0000-0000781D0000}"/>
    <cellStyle name="Normal 12 3 9 5 2" xfId="48192" xr:uid="{00000000-0005-0000-0000-0000791D0000}"/>
    <cellStyle name="Normal 12 3 9 6" xfId="5377" xr:uid="{00000000-0005-0000-0000-00007A1D0000}"/>
    <cellStyle name="Normal 12 3 9 7" xfId="5378" xr:uid="{00000000-0005-0000-0000-00007B1D0000}"/>
    <cellStyle name="Normal 12 3 9 8" xfId="5379" xr:uid="{00000000-0005-0000-0000-00007C1D0000}"/>
    <cellStyle name="Normal 12 4" xfId="5380" xr:uid="{00000000-0005-0000-0000-00007D1D0000}"/>
    <cellStyle name="Normal 12 4 10" xfId="5381" xr:uid="{00000000-0005-0000-0000-00007E1D0000}"/>
    <cellStyle name="Normal 12 4 11" xfId="5382" xr:uid="{00000000-0005-0000-0000-00007F1D0000}"/>
    <cellStyle name="Normal 12 4 12" xfId="5383" xr:uid="{00000000-0005-0000-0000-0000801D0000}"/>
    <cellStyle name="Normal 12 4 13" xfId="5384" xr:uid="{00000000-0005-0000-0000-0000811D0000}"/>
    <cellStyle name="Normal 12 4 14" xfId="5385" xr:uid="{00000000-0005-0000-0000-0000821D0000}"/>
    <cellStyle name="Normal 12 4 15" xfId="5386" xr:uid="{00000000-0005-0000-0000-0000831D0000}"/>
    <cellStyle name="Normal 12 4 16" xfId="5387" xr:uid="{00000000-0005-0000-0000-0000841D0000}"/>
    <cellStyle name="Normal 12 4 2" xfId="5388" xr:uid="{00000000-0005-0000-0000-0000851D0000}"/>
    <cellStyle name="Normal 12 4 2 10" xfId="5389" xr:uid="{00000000-0005-0000-0000-0000861D0000}"/>
    <cellStyle name="Normal 12 4 2 11" xfId="5390" xr:uid="{00000000-0005-0000-0000-0000871D0000}"/>
    <cellStyle name="Normal 12 4 2 12" xfId="5391" xr:uid="{00000000-0005-0000-0000-0000881D0000}"/>
    <cellStyle name="Normal 12 4 2 13" xfId="5392" xr:uid="{00000000-0005-0000-0000-0000891D0000}"/>
    <cellStyle name="Normal 12 4 2 14" xfId="5393" xr:uid="{00000000-0005-0000-0000-00008A1D0000}"/>
    <cellStyle name="Normal 12 4 2 2" xfId="5394" xr:uid="{00000000-0005-0000-0000-00008B1D0000}"/>
    <cellStyle name="Normal 12 4 2 2 2" xfId="5395" xr:uid="{00000000-0005-0000-0000-00008C1D0000}"/>
    <cellStyle name="Normal 12 4 2 2 2 2" xfId="5396" xr:uid="{00000000-0005-0000-0000-00008D1D0000}"/>
    <cellStyle name="Normal 12 4 2 2 2 2 2" xfId="5397" xr:uid="{00000000-0005-0000-0000-00008E1D0000}"/>
    <cellStyle name="Normal 12 4 2 2 2 2 2 2" xfId="48193" xr:uid="{00000000-0005-0000-0000-00008F1D0000}"/>
    <cellStyle name="Normal 12 4 2 2 2 2 2 3" xfId="48194" xr:uid="{00000000-0005-0000-0000-0000901D0000}"/>
    <cellStyle name="Normal 12 4 2 2 2 2 3" xfId="5398" xr:uid="{00000000-0005-0000-0000-0000911D0000}"/>
    <cellStyle name="Normal 12 4 2 2 2 2 3 2" xfId="48195" xr:uid="{00000000-0005-0000-0000-0000921D0000}"/>
    <cellStyle name="Normal 12 4 2 2 2 2 4" xfId="5399" xr:uid="{00000000-0005-0000-0000-0000931D0000}"/>
    <cellStyle name="Normal 12 4 2 2 2 2 5" xfId="5400" xr:uid="{00000000-0005-0000-0000-0000941D0000}"/>
    <cellStyle name="Normal 12 4 2 2 2 2 6" xfId="5401" xr:uid="{00000000-0005-0000-0000-0000951D0000}"/>
    <cellStyle name="Normal 12 4 2 2 2 3" xfId="5402" xr:uid="{00000000-0005-0000-0000-0000961D0000}"/>
    <cellStyle name="Normal 12 4 2 2 2 3 2" xfId="48196" xr:uid="{00000000-0005-0000-0000-0000971D0000}"/>
    <cellStyle name="Normal 12 4 2 2 2 3 3" xfId="48197" xr:uid="{00000000-0005-0000-0000-0000981D0000}"/>
    <cellStyle name="Normal 12 4 2 2 2 4" xfId="5403" xr:uid="{00000000-0005-0000-0000-0000991D0000}"/>
    <cellStyle name="Normal 12 4 2 2 2 4 2" xfId="48198" xr:uid="{00000000-0005-0000-0000-00009A1D0000}"/>
    <cellStyle name="Normal 12 4 2 2 2 5" xfId="5404" xr:uid="{00000000-0005-0000-0000-00009B1D0000}"/>
    <cellStyle name="Normal 12 4 2 2 2 6" xfId="5405" xr:uid="{00000000-0005-0000-0000-00009C1D0000}"/>
    <cellStyle name="Normal 12 4 2 2 2 7" xfId="5406" xr:uid="{00000000-0005-0000-0000-00009D1D0000}"/>
    <cellStyle name="Normal 12 4 2 2 3" xfId="5407" xr:uid="{00000000-0005-0000-0000-00009E1D0000}"/>
    <cellStyle name="Normal 12 4 2 2 3 2" xfId="5408" xr:uid="{00000000-0005-0000-0000-00009F1D0000}"/>
    <cellStyle name="Normal 12 4 2 2 3 2 2" xfId="48199" xr:uid="{00000000-0005-0000-0000-0000A01D0000}"/>
    <cellStyle name="Normal 12 4 2 2 3 2 3" xfId="48200" xr:uid="{00000000-0005-0000-0000-0000A11D0000}"/>
    <cellStyle name="Normal 12 4 2 2 3 3" xfId="5409" xr:uid="{00000000-0005-0000-0000-0000A21D0000}"/>
    <cellStyle name="Normal 12 4 2 2 3 3 2" xfId="48201" xr:uid="{00000000-0005-0000-0000-0000A31D0000}"/>
    <cellStyle name="Normal 12 4 2 2 3 4" xfId="5410" xr:uid="{00000000-0005-0000-0000-0000A41D0000}"/>
    <cellStyle name="Normal 12 4 2 2 3 5" xfId="5411" xr:uid="{00000000-0005-0000-0000-0000A51D0000}"/>
    <cellStyle name="Normal 12 4 2 2 3 6" xfId="5412" xr:uid="{00000000-0005-0000-0000-0000A61D0000}"/>
    <cellStyle name="Normal 12 4 2 2 4" xfId="5413" xr:uid="{00000000-0005-0000-0000-0000A71D0000}"/>
    <cellStyle name="Normal 12 4 2 2 4 2" xfId="48202" xr:uid="{00000000-0005-0000-0000-0000A81D0000}"/>
    <cellStyle name="Normal 12 4 2 2 4 3" xfId="48203" xr:uid="{00000000-0005-0000-0000-0000A91D0000}"/>
    <cellStyle name="Normal 12 4 2 2 5" xfId="5414" xr:uid="{00000000-0005-0000-0000-0000AA1D0000}"/>
    <cellStyle name="Normal 12 4 2 2 5 2" xfId="48204" xr:uid="{00000000-0005-0000-0000-0000AB1D0000}"/>
    <cellStyle name="Normal 12 4 2 2 6" xfId="5415" xr:uid="{00000000-0005-0000-0000-0000AC1D0000}"/>
    <cellStyle name="Normal 12 4 2 2 7" xfId="5416" xr:uid="{00000000-0005-0000-0000-0000AD1D0000}"/>
    <cellStyle name="Normal 12 4 2 2 8" xfId="5417" xr:uid="{00000000-0005-0000-0000-0000AE1D0000}"/>
    <cellStyle name="Normal 12 4 2 2 9" xfId="5418" xr:uid="{00000000-0005-0000-0000-0000AF1D0000}"/>
    <cellStyle name="Normal 12 4 2 3" xfId="5419" xr:uid="{00000000-0005-0000-0000-0000B01D0000}"/>
    <cellStyle name="Normal 12 4 2 3 2" xfId="5420" xr:uid="{00000000-0005-0000-0000-0000B11D0000}"/>
    <cellStyle name="Normal 12 4 2 3 2 2" xfId="5421" xr:uid="{00000000-0005-0000-0000-0000B21D0000}"/>
    <cellStyle name="Normal 12 4 2 3 2 2 2" xfId="5422" xr:uid="{00000000-0005-0000-0000-0000B31D0000}"/>
    <cellStyle name="Normal 12 4 2 3 2 2 2 2" xfId="48205" xr:uid="{00000000-0005-0000-0000-0000B41D0000}"/>
    <cellStyle name="Normal 12 4 2 3 2 2 2 3" xfId="48206" xr:uid="{00000000-0005-0000-0000-0000B51D0000}"/>
    <cellStyle name="Normal 12 4 2 3 2 2 3" xfId="5423" xr:uid="{00000000-0005-0000-0000-0000B61D0000}"/>
    <cellStyle name="Normal 12 4 2 3 2 2 3 2" xfId="48207" xr:uid="{00000000-0005-0000-0000-0000B71D0000}"/>
    <cellStyle name="Normal 12 4 2 3 2 2 4" xfId="5424" xr:uid="{00000000-0005-0000-0000-0000B81D0000}"/>
    <cellStyle name="Normal 12 4 2 3 2 2 5" xfId="5425" xr:uid="{00000000-0005-0000-0000-0000B91D0000}"/>
    <cellStyle name="Normal 12 4 2 3 2 2 6" xfId="5426" xr:uid="{00000000-0005-0000-0000-0000BA1D0000}"/>
    <cellStyle name="Normal 12 4 2 3 2 3" xfId="5427" xr:uid="{00000000-0005-0000-0000-0000BB1D0000}"/>
    <cellStyle name="Normal 12 4 2 3 2 3 2" xfId="48208" xr:uid="{00000000-0005-0000-0000-0000BC1D0000}"/>
    <cellStyle name="Normal 12 4 2 3 2 3 3" xfId="48209" xr:uid="{00000000-0005-0000-0000-0000BD1D0000}"/>
    <cellStyle name="Normal 12 4 2 3 2 4" xfId="5428" xr:uid="{00000000-0005-0000-0000-0000BE1D0000}"/>
    <cellStyle name="Normal 12 4 2 3 2 4 2" xfId="48210" xr:uid="{00000000-0005-0000-0000-0000BF1D0000}"/>
    <cellStyle name="Normal 12 4 2 3 2 5" xfId="5429" xr:uid="{00000000-0005-0000-0000-0000C01D0000}"/>
    <cellStyle name="Normal 12 4 2 3 2 6" xfId="5430" xr:uid="{00000000-0005-0000-0000-0000C11D0000}"/>
    <cellStyle name="Normal 12 4 2 3 2 7" xfId="5431" xr:uid="{00000000-0005-0000-0000-0000C21D0000}"/>
    <cellStyle name="Normal 12 4 2 3 3" xfId="5432" xr:uid="{00000000-0005-0000-0000-0000C31D0000}"/>
    <cellStyle name="Normal 12 4 2 3 3 2" xfId="5433" xr:uid="{00000000-0005-0000-0000-0000C41D0000}"/>
    <cellStyle name="Normal 12 4 2 3 3 2 2" xfId="48211" xr:uid="{00000000-0005-0000-0000-0000C51D0000}"/>
    <cellStyle name="Normal 12 4 2 3 3 2 3" xfId="48212" xr:uid="{00000000-0005-0000-0000-0000C61D0000}"/>
    <cellStyle name="Normal 12 4 2 3 3 3" xfId="5434" xr:uid="{00000000-0005-0000-0000-0000C71D0000}"/>
    <cellStyle name="Normal 12 4 2 3 3 3 2" xfId="48213" xr:uid="{00000000-0005-0000-0000-0000C81D0000}"/>
    <cellStyle name="Normal 12 4 2 3 3 4" xfId="5435" xr:uid="{00000000-0005-0000-0000-0000C91D0000}"/>
    <cellStyle name="Normal 12 4 2 3 3 5" xfId="5436" xr:uid="{00000000-0005-0000-0000-0000CA1D0000}"/>
    <cellStyle name="Normal 12 4 2 3 3 6" xfId="5437" xr:uid="{00000000-0005-0000-0000-0000CB1D0000}"/>
    <cellStyle name="Normal 12 4 2 3 4" xfId="5438" xr:uid="{00000000-0005-0000-0000-0000CC1D0000}"/>
    <cellStyle name="Normal 12 4 2 3 4 2" xfId="48214" xr:uid="{00000000-0005-0000-0000-0000CD1D0000}"/>
    <cellStyle name="Normal 12 4 2 3 4 3" xfId="48215" xr:uid="{00000000-0005-0000-0000-0000CE1D0000}"/>
    <cellStyle name="Normal 12 4 2 3 5" xfId="5439" xr:uid="{00000000-0005-0000-0000-0000CF1D0000}"/>
    <cellStyle name="Normal 12 4 2 3 5 2" xfId="48216" xr:uid="{00000000-0005-0000-0000-0000D01D0000}"/>
    <cellStyle name="Normal 12 4 2 3 6" xfId="5440" xr:uid="{00000000-0005-0000-0000-0000D11D0000}"/>
    <cellStyle name="Normal 12 4 2 3 7" xfId="5441" xr:uid="{00000000-0005-0000-0000-0000D21D0000}"/>
    <cellStyle name="Normal 12 4 2 3 8" xfId="5442" xr:uid="{00000000-0005-0000-0000-0000D31D0000}"/>
    <cellStyle name="Normal 12 4 2 4" xfId="5443" xr:uid="{00000000-0005-0000-0000-0000D41D0000}"/>
    <cellStyle name="Normal 12 4 2 4 2" xfId="5444" xr:uid="{00000000-0005-0000-0000-0000D51D0000}"/>
    <cellStyle name="Normal 12 4 2 4 2 2" xfId="5445" xr:uid="{00000000-0005-0000-0000-0000D61D0000}"/>
    <cellStyle name="Normal 12 4 2 4 2 2 2" xfId="48217" xr:uid="{00000000-0005-0000-0000-0000D71D0000}"/>
    <cellStyle name="Normal 12 4 2 4 2 2 3" xfId="48218" xr:uid="{00000000-0005-0000-0000-0000D81D0000}"/>
    <cellStyle name="Normal 12 4 2 4 2 3" xfId="5446" xr:uid="{00000000-0005-0000-0000-0000D91D0000}"/>
    <cellStyle name="Normal 12 4 2 4 2 3 2" xfId="48219" xr:uid="{00000000-0005-0000-0000-0000DA1D0000}"/>
    <cellStyle name="Normal 12 4 2 4 2 4" xfId="5447" xr:uid="{00000000-0005-0000-0000-0000DB1D0000}"/>
    <cellStyle name="Normal 12 4 2 4 2 5" xfId="5448" xr:uid="{00000000-0005-0000-0000-0000DC1D0000}"/>
    <cellStyle name="Normal 12 4 2 4 2 6" xfId="5449" xr:uid="{00000000-0005-0000-0000-0000DD1D0000}"/>
    <cellStyle name="Normal 12 4 2 4 3" xfId="5450" xr:uid="{00000000-0005-0000-0000-0000DE1D0000}"/>
    <cellStyle name="Normal 12 4 2 4 3 2" xfId="48220" xr:uid="{00000000-0005-0000-0000-0000DF1D0000}"/>
    <cellStyle name="Normal 12 4 2 4 3 3" xfId="48221" xr:uid="{00000000-0005-0000-0000-0000E01D0000}"/>
    <cellStyle name="Normal 12 4 2 4 4" xfId="5451" xr:uid="{00000000-0005-0000-0000-0000E11D0000}"/>
    <cellStyle name="Normal 12 4 2 4 4 2" xfId="48222" xr:uid="{00000000-0005-0000-0000-0000E21D0000}"/>
    <cellStyle name="Normal 12 4 2 4 5" xfId="5452" xr:uid="{00000000-0005-0000-0000-0000E31D0000}"/>
    <cellStyle name="Normal 12 4 2 4 6" xfId="5453" xr:uid="{00000000-0005-0000-0000-0000E41D0000}"/>
    <cellStyle name="Normal 12 4 2 4 7" xfId="5454" xr:uid="{00000000-0005-0000-0000-0000E51D0000}"/>
    <cellStyle name="Normal 12 4 2 5" xfId="5455" xr:uid="{00000000-0005-0000-0000-0000E61D0000}"/>
    <cellStyle name="Normal 12 4 2 5 2" xfId="5456" xr:uid="{00000000-0005-0000-0000-0000E71D0000}"/>
    <cellStyle name="Normal 12 4 2 5 2 2" xfId="48223" xr:uid="{00000000-0005-0000-0000-0000E81D0000}"/>
    <cellStyle name="Normal 12 4 2 5 2 3" xfId="48224" xr:uid="{00000000-0005-0000-0000-0000E91D0000}"/>
    <cellStyle name="Normal 12 4 2 5 3" xfId="5457" xr:uid="{00000000-0005-0000-0000-0000EA1D0000}"/>
    <cellStyle name="Normal 12 4 2 5 3 2" xfId="48225" xr:uid="{00000000-0005-0000-0000-0000EB1D0000}"/>
    <cellStyle name="Normal 12 4 2 5 4" xfId="5458" xr:uid="{00000000-0005-0000-0000-0000EC1D0000}"/>
    <cellStyle name="Normal 12 4 2 5 5" xfId="5459" xr:uid="{00000000-0005-0000-0000-0000ED1D0000}"/>
    <cellStyle name="Normal 12 4 2 5 6" xfId="5460" xr:uid="{00000000-0005-0000-0000-0000EE1D0000}"/>
    <cellStyle name="Normal 12 4 2 6" xfId="5461" xr:uid="{00000000-0005-0000-0000-0000EF1D0000}"/>
    <cellStyle name="Normal 12 4 2 6 2" xfId="48226" xr:uid="{00000000-0005-0000-0000-0000F01D0000}"/>
    <cellStyle name="Normal 12 4 2 6 3" xfId="48227" xr:uid="{00000000-0005-0000-0000-0000F11D0000}"/>
    <cellStyle name="Normal 12 4 2 7" xfId="5462" xr:uid="{00000000-0005-0000-0000-0000F21D0000}"/>
    <cellStyle name="Normal 12 4 2 7 2" xfId="48228" xr:uid="{00000000-0005-0000-0000-0000F31D0000}"/>
    <cellStyle name="Normal 12 4 2 8" xfId="5463" xr:uid="{00000000-0005-0000-0000-0000F41D0000}"/>
    <cellStyle name="Normal 12 4 2 8 2" xfId="48229" xr:uid="{00000000-0005-0000-0000-0000F51D0000}"/>
    <cellStyle name="Normal 12 4 2 9" xfId="5464" xr:uid="{00000000-0005-0000-0000-0000F61D0000}"/>
    <cellStyle name="Normal 12 4 3" xfId="5465" xr:uid="{00000000-0005-0000-0000-0000F71D0000}"/>
    <cellStyle name="Normal 12 4 3 2" xfId="5466" xr:uid="{00000000-0005-0000-0000-0000F81D0000}"/>
    <cellStyle name="Normal 12 4 3 2 2" xfId="5467" xr:uid="{00000000-0005-0000-0000-0000F91D0000}"/>
    <cellStyle name="Normal 12 4 3 2 2 2" xfId="5468" xr:uid="{00000000-0005-0000-0000-0000FA1D0000}"/>
    <cellStyle name="Normal 12 4 3 2 2 2 2" xfId="48230" xr:uid="{00000000-0005-0000-0000-0000FB1D0000}"/>
    <cellStyle name="Normal 12 4 3 2 2 2 3" xfId="48231" xr:uid="{00000000-0005-0000-0000-0000FC1D0000}"/>
    <cellStyle name="Normal 12 4 3 2 2 3" xfId="5469" xr:uid="{00000000-0005-0000-0000-0000FD1D0000}"/>
    <cellStyle name="Normal 12 4 3 2 2 3 2" xfId="48232" xr:uid="{00000000-0005-0000-0000-0000FE1D0000}"/>
    <cellStyle name="Normal 12 4 3 2 2 4" xfId="5470" xr:uid="{00000000-0005-0000-0000-0000FF1D0000}"/>
    <cellStyle name="Normal 12 4 3 2 2 5" xfId="5471" xr:uid="{00000000-0005-0000-0000-0000001E0000}"/>
    <cellStyle name="Normal 12 4 3 2 2 6" xfId="5472" xr:uid="{00000000-0005-0000-0000-0000011E0000}"/>
    <cellStyle name="Normal 12 4 3 2 3" xfId="5473" xr:uid="{00000000-0005-0000-0000-0000021E0000}"/>
    <cellStyle name="Normal 12 4 3 2 3 2" xfId="48233" xr:uid="{00000000-0005-0000-0000-0000031E0000}"/>
    <cellStyle name="Normal 12 4 3 2 3 3" xfId="48234" xr:uid="{00000000-0005-0000-0000-0000041E0000}"/>
    <cellStyle name="Normal 12 4 3 2 4" xfId="5474" xr:uid="{00000000-0005-0000-0000-0000051E0000}"/>
    <cellStyle name="Normal 12 4 3 2 4 2" xfId="48235" xr:uid="{00000000-0005-0000-0000-0000061E0000}"/>
    <cellStyle name="Normal 12 4 3 2 5" xfId="5475" xr:uid="{00000000-0005-0000-0000-0000071E0000}"/>
    <cellStyle name="Normal 12 4 3 2 6" xfId="5476" xr:uid="{00000000-0005-0000-0000-0000081E0000}"/>
    <cellStyle name="Normal 12 4 3 2 7" xfId="5477" xr:uid="{00000000-0005-0000-0000-0000091E0000}"/>
    <cellStyle name="Normal 12 4 3 3" xfId="5478" xr:uid="{00000000-0005-0000-0000-00000A1E0000}"/>
    <cellStyle name="Normal 12 4 3 3 2" xfId="5479" xr:uid="{00000000-0005-0000-0000-00000B1E0000}"/>
    <cellStyle name="Normal 12 4 3 3 2 2" xfId="48236" xr:uid="{00000000-0005-0000-0000-00000C1E0000}"/>
    <cellStyle name="Normal 12 4 3 3 2 3" xfId="48237" xr:uid="{00000000-0005-0000-0000-00000D1E0000}"/>
    <cellStyle name="Normal 12 4 3 3 3" xfId="5480" xr:uid="{00000000-0005-0000-0000-00000E1E0000}"/>
    <cellStyle name="Normal 12 4 3 3 3 2" xfId="48238" xr:uid="{00000000-0005-0000-0000-00000F1E0000}"/>
    <cellStyle name="Normal 12 4 3 3 4" xfId="5481" xr:uid="{00000000-0005-0000-0000-0000101E0000}"/>
    <cellStyle name="Normal 12 4 3 3 5" xfId="5482" xr:uid="{00000000-0005-0000-0000-0000111E0000}"/>
    <cellStyle name="Normal 12 4 3 3 6" xfId="5483" xr:uid="{00000000-0005-0000-0000-0000121E0000}"/>
    <cellStyle name="Normal 12 4 3 4" xfId="5484" xr:uid="{00000000-0005-0000-0000-0000131E0000}"/>
    <cellStyle name="Normal 12 4 3 4 2" xfId="48239" xr:uid="{00000000-0005-0000-0000-0000141E0000}"/>
    <cellStyle name="Normal 12 4 3 4 3" xfId="48240" xr:uid="{00000000-0005-0000-0000-0000151E0000}"/>
    <cellStyle name="Normal 12 4 3 5" xfId="5485" xr:uid="{00000000-0005-0000-0000-0000161E0000}"/>
    <cellStyle name="Normal 12 4 3 5 2" xfId="48241" xr:uid="{00000000-0005-0000-0000-0000171E0000}"/>
    <cellStyle name="Normal 12 4 3 6" xfId="5486" xr:uid="{00000000-0005-0000-0000-0000181E0000}"/>
    <cellStyle name="Normal 12 4 3 7" xfId="5487" xr:uid="{00000000-0005-0000-0000-0000191E0000}"/>
    <cellStyle name="Normal 12 4 3 8" xfId="5488" xr:uid="{00000000-0005-0000-0000-00001A1E0000}"/>
    <cellStyle name="Normal 12 4 3 9" xfId="5489" xr:uid="{00000000-0005-0000-0000-00001B1E0000}"/>
    <cellStyle name="Normal 12 4 4" xfId="5490" xr:uid="{00000000-0005-0000-0000-00001C1E0000}"/>
    <cellStyle name="Normal 12 4 4 2" xfId="5491" xr:uid="{00000000-0005-0000-0000-00001D1E0000}"/>
    <cellStyle name="Normal 12 4 4 2 2" xfId="5492" xr:uid="{00000000-0005-0000-0000-00001E1E0000}"/>
    <cellStyle name="Normal 12 4 4 2 2 2" xfId="5493" xr:uid="{00000000-0005-0000-0000-00001F1E0000}"/>
    <cellStyle name="Normal 12 4 4 2 2 2 2" xfId="48242" xr:uid="{00000000-0005-0000-0000-0000201E0000}"/>
    <cellStyle name="Normal 12 4 4 2 2 2 3" xfId="48243" xr:uid="{00000000-0005-0000-0000-0000211E0000}"/>
    <cellStyle name="Normal 12 4 4 2 2 3" xfId="5494" xr:uid="{00000000-0005-0000-0000-0000221E0000}"/>
    <cellStyle name="Normal 12 4 4 2 2 3 2" xfId="48244" xr:uid="{00000000-0005-0000-0000-0000231E0000}"/>
    <cellStyle name="Normal 12 4 4 2 2 4" xfId="5495" xr:uid="{00000000-0005-0000-0000-0000241E0000}"/>
    <cellStyle name="Normal 12 4 4 2 2 5" xfId="5496" xr:uid="{00000000-0005-0000-0000-0000251E0000}"/>
    <cellStyle name="Normal 12 4 4 2 2 6" xfId="5497" xr:uid="{00000000-0005-0000-0000-0000261E0000}"/>
    <cellStyle name="Normal 12 4 4 2 3" xfId="5498" xr:uid="{00000000-0005-0000-0000-0000271E0000}"/>
    <cellStyle name="Normal 12 4 4 2 3 2" xfId="48245" xr:uid="{00000000-0005-0000-0000-0000281E0000}"/>
    <cellStyle name="Normal 12 4 4 2 3 3" xfId="48246" xr:uid="{00000000-0005-0000-0000-0000291E0000}"/>
    <cellStyle name="Normal 12 4 4 2 4" xfId="5499" xr:uid="{00000000-0005-0000-0000-00002A1E0000}"/>
    <cellStyle name="Normal 12 4 4 2 4 2" xfId="48247" xr:uid="{00000000-0005-0000-0000-00002B1E0000}"/>
    <cellStyle name="Normal 12 4 4 2 5" xfId="5500" xr:uid="{00000000-0005-0000-0000-00002C1E0000}"/>
    <cellStyle name="Normal 12 4 4 2 6" xfId="5501" xr:uid="{00000000-0005-0000-0000-00002D1E0000}"/>
    <cellStyle name="Normal 12 4 4 2 7" xfId="5502" xr:uid="{00000000-0005-0000-0000-00002E1E0000}"/>
    <cellStyle name="Normal 12 4 4 3" xfId="5503" xr:uid="{00000000-0005-0000-0000-00002F1E0000}"/>
    <cellStyle name="Normal 12 4 4 3 2" xfId="5504" xr:uid="{00000000-0005-0000-0000-0000301E0000}"/>
    <cellStyle name="Normal 12 4 4 3 2 2" xfId="48248" xr:uid="{00000000-0005-0000-0000-0000311E0000}"/>
    <cellStyle name="Normal 12 4 4 3 2 3" xfId="48249" xr:uid="{00000000-0005-0000-0000-0000321E0000}"/>
    <cellStyle name="Normal 12 4 4 3 3" xfId="5505" xr:uid="{00000000-0005-0000-0000-0000331E0000}"/>
    <cellStyle name="Normal 12 4 4 3 3 2" xfId="48250" xr:uid="{00000000-0005-0000-0000-0000341E0000}"/>
    <cellStyle name="Normal 12 4 4 3 4" xfId="5506" xr:uid="{00000000-0005-0000-0000-0000351E0000}"/>
    <cellStyle name="Normal 12 4 4 3 5" xfId="5507" xr:uid="{00000000-0005-0000-0000-0000361E0000}"/>
    <cellStyle name="Normal 12 4 4 3 6" xfId="5508" xr:uid="{00000000-0005-0000-0000-0000371E0000}"/>
    <cellStyle name="Normal 12 4 4 4" xfId="5509" xr:uid="{00000000-0005-0000-0000-0000381E0000}"/>
    <cellStyle name="Normal 12 4 4 4 2" xfId="48251" xr:uid="{00000000-0005-0000-0000-0000391E0000}"/>
    <cellStyle name="Normal 12 4 4 4 3" xfId="48252" xr:uid="{00000000-0005-0000-0000-00003A1E0000}"/>
    <cellStyle name="Normal 12 4 4 5" xfId="5510" xr:uid="{00000000-0005-0000-0000-00003B1E0000}"/>
    <cellStyle name="Normal 12 4 4 5 2" xfId="48253" xr:uid="{00000000-0005-0000-0000-00003C1E0000}"/>
    <cellStyle name="Normal 12 4 4 6" xfId="5511" xr:uid="{00000000-0005-0000-0000-00003D1E0000}"/>
    <cellStyle name="Normal 12 4 4 7" xfId="5512" xr:uid="{00000000-0005-0000-0000-00003E1E0000}"/>
    <cellStyle name="Normal 12 4 4 8" xfId="5513" xr:uid="{00000000-0005-0000-0000-00003F1E0000}"/>
    <cellStyle name="Normal 12 4 5" xfId="5514" xr:uid="{00000000-0005-0000-0000-0000401E0000}"/>
    <cellStyle name="Normal 12 4 5 2" xfId="5515" xr:uid="{00000000-0005-0000-0000-0000411E0000}"/>
    <cellStyle name="Normal 12 4 5 2 2" xfId="5516" xr:uid="{00000000-0005-0000-0000-0000421E0000}"/>
    <cellStyle name="Normal 12 4 5 2 2 2" xfId="48254" xr:uid="{00000000-0005-0000-0000-0000431E0000}"/>
    <cellStyle name="Normal 12 4 5 2 2 3" xfId="48255" xr:uid="{00000000-0005-0000-0000-0000441E0000}"/>
    <cellStyle name="Normal 12 4 5 2 3" xfId="5517" xr:uid="{00000000-0005-0000-0000-0000451E0000}"/>
    <cellStyle name="Normal 12 4 5 2 3 2" xfId="48256" xr:uid="{00000000-0005-0000-0000-0000461E0000}"/>
    <cellStyle name="Normal 12 4 5 2 4" xfId="5518" xr:uid="{00000000-0005-0000-0000-0000471E0000}"/>
    <cellStyle name="Normal 12 4 5 2 5" xfId="5519" xr:uid="{00000000-0005-0000-0000-0000481E0000}"/>
    <cellStyle name="Normal 12 4 5 2 6" xfId="5520" xr:uid="{00000000-0005-0000-0000-0000491E0000}"/>
    <cellStyle name="Normal 12 4 5 3" xfId="5521" xr:uid="{00000000-0005-0000-0000-00004A1E0000}"/>
    <cellStyle name="Normal 12 4 5 3 2" xfId="48257" xr:uid="{00000000-0005-0000-0000-00004B1E0000}"/>
    <cellStyle name="Normal 12 4 5 3 3" xfId="48258" xr:uid="{00000000-0005-0000-0000-00004C1E0000}"/>
    <cellStyle name="Normal 12 4 5 4" xfId="5522" xr:uid="{00000000-0005-0000-0000-00004D1E0000}"/>
    <cellStyle name="Normal 12 4 5 4 2" xfId="48259" xr:uid="{00000000-0005-0000-0000-00004E1E0000}"/>
    <cellStyle name="Normal 12 4 5 5" xfId="5523" xr:uid="{00000000-0005-0000-0000-00004F1E0000}"/>
    <cellStyle name="Normal 12 4 5 6" xfId="5524" xr:uid="{00000000-0005-0000-0000-0000501E0000}"/>
    <cellStyle name="Normal 12 4 5 7" xfId="5525" xr:uid="{00000000-0005-0000-0000-0000511E0000}"/>
    <cellStyle name="Normal 12 4 6" xfId="5526" xr:uid="{00000000-0005-0000-0000-0000521E0000}"/>
    <cellStyle name="Normal 12 4 6 2" xfId="5527" xr:uid="{00000000-0005-0000-0000-0000531E0000}"/>
    <cellStyle name="Normal 12 4 6 2 2" xfId="48260" xr:uid="{00000000-0005-0000-0000-0000541E0000}"/>
    <cellStyle name="Normal 12 4 6 2 3" xfId="48261" xr:uid="{00000000-0005-0000-0000-0000551E0000}"/>
    <cellStyle name="Normal 12 4 6 3" xfId="5528" xr:uid="{00000000-0005-0000-0000-0000561E0000}"/>
    <cellStyle name="Normal 12 4 6 3 2" xfId="48262" xr:uid="{00000000-0005-0000-0000-0000571E0000}"/>
    <cellStyle name="Normal 12 4 6 4" xfId="5529" xr:uid="{00000000-0005-0000-0000-0000581E0000}"/>
    <cellStyle name="Normal 12 4 6 5" xfId="5530" xr:uid="{00000000-0005-0000-0000-0000591E0000}"/>
    <cellStyle name="Normal 12 4 6 6" xfId="5531" xr:uid="{00000000-0005-0000-0000-00005A1E0000}"/>
    <cellStyle name="Normal 12 4 7" xfId="5532" xr:uid="{00000000-0005-0000-0000-00005B1E0000}"/>
    <cellStyle name="Normal 12 4 7 2" xfId="48263" xr:uid="{00000000-0005-0000-0000-00005C1E0000}"/>
    <cellStyle name="Normal 12 4 7 3" xfId="48264" xr:uid="{00000000-0005-0000-0000-00005D1E0000}"/>
    <cellStyle name="Normal 12 4 8" xfId="5533" xr:uid="{00000000-0005-0000-0000-00005E1E0000}"/>
    <cellStyle name="Normal 12 4 8 2" xfId="48265" xr:uid="{00000000-0005-0000-0000-00005F1E0000}"/>
    <cellStyle name="Normal 12 4 9" xfId="5534" xr:uid="{00000000-0005-0000-0000-0000601E0000}"/>
    <cellStyle name="Normal 12 4 9 2" xfId="48266" xr:uid="{00000000-0005-0000-0000-0000611E0000}"/>
    <cellStyle name="Normal 12 5" xfId="5535" xr:uid="{00000000-0005-0000-0000-0000621E0000}"/>
    <cellStyle name="Normal 12 5 10" xfId="5536" xr:uid="{00000000-0005-0000-0000-0000631E0000}"/>
    <cellStyle name="Normal 12 5 11" xfId="5537" xr:uid="{00000000-0005-0000-0000-0000641E0000}"/>
    <cellStyle name="Normal 12 5 12" xfId="5538" xr:uid="{00000000-0005-0000-0000-0000651E0000}"/>
    <cellStyle name="Normal 12 5 13" xfId="5539" xr:uid="{00000000-0005-0000-0000-0000661E0000}"/>
    <cellStyle name="Normal 12 5 14" xfId="5540" xr:uid="{00000000-0005-0000-0000-0000671E0000}"/>
    <cellStyle name="Normal 12 5 15" xfId="5541" xr:uid="{00000000-0005-0000-0000-0000681E0000}"/>
    <cellStyle name="Normal 12 5 16" xfId="5542" xr:uid="{00000000-0005-0000-0000-0000691E0000}"/>
    <cellStyle name="Normal 12 5 2" xfId="5543" xr:uid="{00000000-0005-0000-0000-00006A1E0000}"/>
    <cellStyle name="Normal 12 5 2 10" xfId="5544" xr:uid="{00000000-0005-0000-0000-00006B1E0000}"/>
    <cellStyle name="Normal 12 5 2 11" xfId="5545" xr:uid="{00000000-0005-0000-0000-00006C1E0000}"/>
    <cellStyle name="Normal 12 5 2 12" xfId="5546" xr:uid="{00000000-0005-0000-0000-00006D1E0000}"/>
    <cellStyle name="Normal 12 5 2 13" xfId="5547" xr:uid="{00000000-0005-0000-0000-00006E1E0000}"/>
    <cellStyle name="Normal 12 5 2 14" xfId="5548" xr:uid="{00000000-0005-0000-0000-00006F1E0000}"/>
    <cellStyle name="Normal 12 5 2 2" xfId="5549" xr:uid="{00000000-0005-0000-0000-0000701E0000}"/>
    <cellStyle name="Normal 12 5 2 2 2" xfId="5550" xr:uid="{00000000-0005-0000-0000-0000711E0000}"/>
    <cellStyle name="Normal 12 5 2 2 2 2" xfId="5551" xr:uid="{00000000-0005-0000-0000-0000721E0000}"/>
    <cellStyle name="Normal 12 5 2 2 2 2 2" xfId="5552" xr:uid="{00000000-0005-0000-0000-0000731E0000}"/>
    <cellStyle name="Normal 12 5 2 2 2 2 2 2" xfId="48267" xr:uid="{00000000-0005-0000-0000-0000741E0000}"/>
    <cellStyle name="Normal 12 5 2 2 2 2 2 3" xfId="48268" xr:uid="{00000000-0005-0000-0000-0000751E0000}"/>
    <cellStyle name="Normal 12 5 2 2 2 2 3" xfId="5553" xr:uid="{00000000-0005-0000-0000-0000761E0000}"/>
    <cellStyle name="Normal 12 5 2 2 2 2 3 2" xfId="48269" xr:uid="{00000000-0005-0000-0000-0000771E0000}"/>
    <cellStyle name="Normal 12 5 2 2 2 2 4" xfId="5554" xr:uid="{00000000-0005-0000-0000-0000781E0000}"/>
    <cellStyle name="Normal 12 5 2 2 2 2 5" xfId="5555" xr:uid="{00000000-0005-0000-0000-0000791E0000}"/>
    <cellStyle name="Normal 12 5 2 2 2 2 6" xfId="5556" xr:uid="{00000000-0005-0000-0000-00007A1E0000}"/>
    <cellStyle name="Normal 12 5 2 2 2 3" xfId="5557" xr:uid="{00000000-0005-0000-0000-00007B1E0000}"/>
    <cellStyle name="Normal 12 5 2 2 2 3 2" xfId="48270" xr:uid="{00000000-0005-0000-0000-00007C1E0000}"/>
    <cellStyle name="Normal 12 5 2 2 2 3 3" xfId="48271" xr:uid="{00000000-0005-0000-0000-00007D1E0000}"/>
    <cellStyle name="Normal 12 5 2 2 2 4" xfId="5558" xr:uid="{00000000-0005-0000-0000-00007E1E0000}"/>
    <cellStyle name="Normal 12 5 2 2 2 4 2" xfId="48272" xr:uid="{00000000-0005-0000-0000-00007F1E0000}"/>
    <cellStyle name="Normal 12 5 2 2 2 5" xfId="5559" xr:uid="{00000000-0005-0000-0000-0000801E0000}"/>
    <cellStyle name="Normal 12 5 2 2 2 6" xfId="5560" xr:uid="{00000000-0005-0000-0000-0000811E0000}"/>
    <cellStyle name="Normal 12 5 2 2 2 7" xfId="5561" xr:uid="{00000000-0005-0000-0000-0000821E0000}"/>
    <cellStyle name="Normal 12 5 2 2 3" xfId="5562" xr:uid="{00000000-0005-0000-0000-0000831E0000}"/>
    <cellStyle name="Normal 12 5 2 2 3 2" xfId="5563" xr:uid="{00000000-0005-0000-0000-0000841E0000}"/>
    <cellStyle name="Normal 12 5 2 2 3 2 2" xfId="48273" xr:uid="{00000000-0005-0000-0000-0000851E0000}"/>
    <cellStyle name="Normal 12 5 2 2 3 2 3" xfId="48274" xr:uid="{00000000-0005-0000-0000-0000861E0000}"/>
    <cellStyle name="Normal 12 5 2 2 3 3" xfId="5564" xr:uid="{00000000-0005-0000-0000-0000871E0000}"/>
    <cellStyle name="Normal 12 5 2 2 3 3 2" xfId="48275" xr:uid="{00000000-0005-0000-0000-0000881E0000}"/>
    <cellStyle name="Normal 12 5 2 2 3 4" xfId="5565" xr:uid="{00000000-0005-0000-0000-0000891E0000}"/>
    <cellStyle name="Normal 12 5 2 2 3 5" xfId="5566" xr:uid="{00000000-0005-0000-0000-00008A1E0000}"/>
    <cellStyle name="Normal 12 5 2 2 3 6" xfId="5567" xr:uid="{00000000-0005-0000-0000-00008B1E0000}"/>
    <cellStyle name="Normal 12 5 2 2 4" xfId="5568" xr:uid="{00000000-0005-0000-0000-00008C1E0000}"/>
    <cellStyle name="Normal 12 5 2 2 4 2" xfId="48276" xr:uid="{00000000-0005-0000-0000-00008D1E0000}"/>
    <cellStyle name="Normal 12 5 2 2 4 3" xfId="48277" xr:uid="{00000000-0005-0000-0000-00008E1E0000}"/>
    <cellStyle name="Normal 12 5 2 2 5" xfId="5569" xr:uid="{00000000-0005-0000-0000-00008F1E0000}"/>
    <cellStyle name="Normal 12 5 2 2 5 2" xfId="48278" xr:uid="{00000000-0005-0000-0000-0000901E0000}"/>
    <cellStyle name="Normal 12 5 2 2 6" xfId="5570" xr:uid="{00000000-0005-0000-0000-0000911E0000}"/>
    <cellStyle name="Normal 12 5 2 2 7" xfId="5571" xr:uid="{00000000-0005-0000-0000-0000921E0000}"/>
    <cellStyle name="Normal 12 5 2 2 8" xfId="5572" xr:uid="{00000000-0005-0000-0000-0000931E0000}"/>
    <cellStyle name="Normal 12 5 2 2 9" xfId="5573" xr:uid="{00000000-0005-0000-0000-0000941E0000}"/>
    <cellStyle name="Normal 12 5 2 3" xfId="5574" xr:uid="{00000000-0005-0000-0000-0000951E0000}"/>
    <cellStyle name="Normal 12 5 2 3 2" xfId="5575" xr:uid="{00000000-0005-0000-0000-0000961E0000}"/>
    <cellStyle name="Normal 12 5 2 3 2 2" xfId="5576" xr:uid="{00000000-0005-0000-0000-0000971E0000}"/>
    <cellStyle name="Normal 12 5 2 3 2 2 2" xfId="5577" xr:uid="{00000000-0005-0000-0000-0000981E0000}"/>
    <cellStyle name="Normal 12 5 2 3 2 2 2 2" xfId="48279" xr:uid="{00000000-0005-0000-0000-0000991E0000}"/>
    <cellStyle name="Normal 12 5 2 3 2 2 2 3" xfId="48280" xr:uid="{00000000-0005-0000-0000-00009A1E0000}"/>
    <cellStyle name="Normal 12 5 2 3 2 2 3" xfId="5578" xr:uid="{00000000-0005-0000-0000-00009B1E0000}"/>
    <cellStyle name="Normal 12 5 2 3 2 2 3 2" xfId="48281" xr:uid="{00000000-0005-0000-0000-00009C1E0000}"/>
    <cellStyle name="Normal 12 5 2 3 2 2 4" xfId="5579" xr:uid="{00000000-0005-0000-0000-00009D1E0000}"/>
    <cellStyle name="Normal 12 5 2 3 2 2 5" xfId="5580" xr:uid="{00000000-0005-0000-0000-00009E1E0000}"/>
    <cellStyle name="Normal 12 5 2 3 2 2 6" xfId="5581" xr:uid="{00000000-0005-0000-0000-00009F1E0000}"/>
    <cellStyle name="Normal 12 5 2 3 2 3" xfId="5582" xr:uid="{00000000-0005-0000-0000-0000A01E0000}"/>
    <cellStyle name="Normal 12 5 2 3 2 3 2" xfId="48282" xr:uid="{00000000-0005-0000-0000-0000A11E0000}"/>
    <cellStyle name="Normal 12 5 2 3 2 3 3" xfId="48283" xr:uid="{00000000-0005-0000-0000-0000A21E0000}"/>
    <cellStyle name="Normal 12 5 2 3 2 4" xfId="5583" xr:uid="{00000000-0005-0000-0000-0000A31E0000}"/>
    <cellStyle name="Normal 12 5 2 3 2 4 2" xfId="48284" xr:uid="{00000000-0005-0000-0000-0000A41E0000}"/>
    <cellStyle name="Normal 12 5 2 3 2 5" xfId="5584" xr:uid="{00000000-0005-0000-0000-0000A51E0000}"/>
    <cellStyle name="Normal 12 5 2 3 2 6" xfId="5585" xr:uid="{00000000-0005-0000-0000-0000A61E0000}"/>
    <cellStyle name="Normal 12 5 2 3 2 7" xfId="5586" xr:uid="{00000000-0005-0000-0000-0000A71E0000}"/>
    <cellStyle name="Normal 12 5 2 3 3" xfId="5587" xr:uid="{00000000-0005-0000-0000-0000A81E0000}"/>
    <cellStyle name="Normal 12 5 2 3 3 2" xfId="5588" xr:uid="{00000000-0005-0000-0000-0000A91E0000}"/>
    <cellStyle name="Normal 12 5 2 3 3 2 2" xfId="48285" xr:uid="{00000000-0005-0000-0000-0000AA1E0000}"/>
    <cellStyle name="Normal 12 5 2 3 3 2 3" xfId="48286" xr:uid="{00000000-0005-0000-0000-0000AB1E0000}"/>
    <cellStyle name="Normal 12 5 2 3 3 3" xfId="5589" xr:uid="{00000000-0005-0000-0000-0000AC1E0000}"/>
    <cellStyle name="Normal 12 5 2 3 3 3 2" xfId="48287" xr:uid="{00000000-0005-0000-0000-0000AD1E0000}"/>
    <cellStyle name="Normal 12 5 2 3 3 4" xfId="5590" xr:uid="{00000000-0005-0000-0000-0000AE1E0000}"/>
    <cellStyle name="Normal 12 5 2 3 3 5" xfId="5591" xr:uid="{00000000-0005-0000-0000-0000AF1E0000}"/>
    <cellStyle name="Normal 12 5 2 3 3 6" xfId="5592" xr:uid="{00000000-0005-0000-0000-0000B01E0000}"/>
    <cellStyle name="Normal 12 5 2 3 4" xfId="5593" xr:uid="{00000000-0005-0000-0000-0000B11E0000}"/>
    <cellStyle name="Normal 12 5 2 3 4 2" xfId="48288" xr:uid="{00000000-0005-0000-0000-0000B21E0000}"/>
    <cellStyle name="Normal 12 5 2 3 4 3" xfId="48289" xr:uid="{00000000-0005-0000-0000-0000B31E0000}"/>
    <cellStyle name="Normal 12 5 2 3 5" xfId="5594" xr:uid="{00000000-0005-0000-0000-0000B41E0000}"/>
    <cellStyle name="Normal 12 5 2 3 5 2" xfId="48290" xr:uid="{00000000-0005-0000-0000-0000B51E0000}"/>
    <cellStyle name="Normal 12 5 2 3 6" xfId="5595" xr:uid="{00000000-0005-0000-0000-0000B61E0000}"/>
    <cellStyle name="Normal 12 5 2 3 7" xfId="5596" xr:uid="{00000000-0005-0000-0000-0000B71E0000}"/>
    <cellStyle name="Normal 12 5 2 3 8" xfId="5597" xr:uid="{00000000-0005-0000-0000-0000B81E0000}"/>
    <cellStyle name="Normal 12 5 2 4" xfId="5598" xr:uid="{00000000-0005-0000-0000-0000B91E0000}"/>
    <cellStyle name="Normal 12 5 2 4 2" xfId="5599" xr:uid="{00000000-0005-0000-0000-0000BA1E0000}"/>
    <cellStyle name="Normal 12 5 2 4 2 2" xfId="5600" xr:uid="{00000000-0005-0000-0000-0000BB1E0000}"/>
    <cellStyle name="Normal 12 5 2 4 2 2 2" xfId="48291" xr:uid="{00000000-0005-0000-0000-0000BC1E0000}"/>
    <cellStyle name="Normal 12 5 2 4 2 2 3" xfId="48292" xr:uid="{00000000-0005-0000-0000-0000BD1E0000}"/>
    <cellStyle name="Normal 12 5 2 4 2 3" xfId="5601" xr:uid="{00000000-0005-0000-0000-0000BE1E0000}"/>
    <cellStyle name="Normal 12 5 2 4 2 3 2" xfId="48293" xr:uid="{00000000-0005-0000-0000-0000BF1E0000}"/>
    <cellStyle name="Normal 12 5 2 4 2 4" xfId="5602" xr:uid="{00000000-0005-0000-0000-0000C01E0000}"/>
    <cellStyle name="Normal 12 5 2 4 2 5" xfId="5603" xr:uid="{00000000-0005-0000-0000-0000C11E0000}"/>
    <cellStyle name="Normal 12 5 2 4 2 6" xfId="5604" xr:uid="{00000000-0005-0000-0000-0000C21E0000}"/>
    <cellStyle name="Normal 12 5 2 4 3" xfId="5605" xr:uid="{00000000-0005-0000-0000-0000C31E0000}"/>
    <cellStyle name="Normal 12 5 2 4 3 2" xfId="48294" xr:uid="{00000000-0005-0000-0000-0000C41E0000}"/>
    <cellStyle name="Normal 12 5 2 4 3 3" xfId="48295" xr:uid="{00000000-0005-0000-0000-0000C51E0000}"/>
    <cellStyle name="Normal 12 5 2 4 4" xfId="5606" xr:uid="{00000000-0005-0000-0000-0000C61E0000}"/>
    <cellStyle name="Normal 12 5 2 4 4 2" xfId="48296" xr:uid="{00000000-0005-0000-0000-0000C71E0000}"/>
    <cellStyle name="Normal 12 5 2 4 5" xfId="5607" xr:uid="{00000000-0005-0000-0000-0000C81E0000}"/>
    <cellStyle name="Normal 12 5 2 4 6" xfId="5608" xr:uid="{00000000-0005-0000-0000-0000C91E0000}"/>
    <cellStyle name="Normal 12 5 2 4 7" xfId="5609" xr:uid="{00000000-0005-0000-0000-0000CA1E0000}"/>
    <cellStyle name="Normal 12 5 2 5" xfId="5610" xr:uid="{00000000-0005-0000-0000-0000CB1E0000}"/>
    <cellStyle name="Normal 12 5 2 5 2" xfId="5611" xr:uid="{00000000-0005-0000-0000-0000CC1E0000}"/>
    <cellStyle name="Normal 12 5 2 5 2 2" xfId="48297" xr:uid="{00000000-0005-0000-0000-0000CD1E0000}"/>
    <cellStyle name="Normal 12 5 2 5 2 3" xfId="48298" xr:uid="{00000000-0005-0000-0000-0000CE1E0000}"/>
    <cellStyle name="Normal 12 5 2 5 3" xfId="5612" xr:uid="{00000000-0005-0000-0000-0000CF1E0000}"/>
    <cellStyle name="Normal 12 5 2 5 3 2" xfId="48299" xr:uid="{00000000-0005-0000-0000-0000D01E0000}"/>
    <cellStyle name="Normal 12 5 2 5 4" xfId="5613" xr:uid="{00000000-0005-0000-0000-0000D11E0000}"/>
    <cellStyle name="Normal 12 5 2 5 5" xfId="5614" xr:uid="{00000000-0005-0000-0000-0000D21E0000}"/>
    <cellStyle name="Normal 12 5 2 5 6" xfId="5615" xr:uid="{00000000-0005-0000-0000-0000D31E0000}"/>
    <cellStyle name="Normal 12 5 2 6" xfId="5616" xr:uid="{00000000-0005-0000-0000-0000D41E0000}"/>
    <cellStyle name="Normal 12 5 2 6 2" xfId="48300" xr:uid="{00000000-0005-0000-0000-0000D51E0000}"/>
    <cellStyle name="Normal 12 5 2 6 3" xfId="48301" xr:uid="{00000000-0005-0000-0000-0000D61E0000}"/>
    <cellStyle name="Normal 12 5 2 7" xfId="5617" xr:uid="{00000000-0005-0000-0000-0000D71E0000}"/>
    <cellStyle name="Normal 12 5 2 7 2" xfId="48302" xr:uid="{00000000-0005-0000-0000-0000D81E0000}"/>
    <cellStyle name="Normal 12 5 2 8" xfId="5618" xr:uid="{00000000-0005-0000-0000-0000D91E0000}"/>
    <cellStyle name="Normal 12 5 2 9" xfId="5619" xr:uid="{00000000-0005-0000-0000-0000DA1E0000}"/>
    <cellStyle name="Normal 12 5 3" xfId="5620" xr:uid="{00000000-0005-0000-0000-0000DB1E0000}"/>
    <cellStyle name="Normal 12 5 3 2" xfId="5621" xr:uid="{00000000-0005-0000-0000-0000DC1E0000}"/>
    <cellStyle name="Normal 12 5 3 2 2" xfId="5622" xr:uid="{00000000-0005-0000-0000-0000DD1E0000}"/>
    <cellStyle name="Normal 12 5 3 2 2 2" xfId="5623" xr:uid="{00000000-0005-0000-0000-0000DE1E0000}"/>
    <cellStyle name="Normal 12 5 3 2 2 2 2" xfId="48303" xr:uid="{00000000-0005-0000-0000-0000DF1E0000}"/>
    <cellStyle name="Normal 12 5 3 2 2 2 3" xfId="48304" xr:uid="{00000000-0005-0000-0000-0000E01E0000}"/>
    <cellStyle name="Normal 12 5 3 2 2 3" xfId="5624" xr:uid="{00000000-0005-0000-0000-0000E11E0000}"/>
    <cellStyle name="Normal 12 5 3 2 2 3 2" xfId="48305" xr:uid="{00000000-0005-0000-0000-0000E21E0000}"/>
    <cellStyle name="Normal 12 5 3 2 2 4" xfId="5625" xr:uid="{00000000-0005-0000-0000-0000E31E0000}"/>
    <cellStyle name="Normal 12 5 3 2 2 5" xfId="5626" xr:uid="{00000000-0005-0000-0000-0000E41E0000}"/>
    <cellStyle name="Normal 12 5 3 2 2 6" xfId="5627" xr:uid="{00000000-0005-0000-0000-0000E51E0000}"/>
    <cellStyle name="Normal 12 5 3 2 3" xfId="5628" xr:uid="{00000000-0005-0000-0000-0000E61E0000}"/>
    <cellStyle name="Normal 12 5 3 2 3 2" xfId="48306" xr:uid="{00000000-0005-0000-0000-0000E71E0000}"/>
    <cellStyle name="Normal 12 5 3 2 3 3" xfId="48307" xr:uid="{00000000-0005-0000-0000-0000E81E0000}"/>
    <cellStyle name="Normal 12 5 3 2 4" xfId="5629" xr:uid="{00000000-0005-0000-0000-0000E91E0000}"/>
    <cellStyle name="Normal 12 5 3 2 4 2" xfId="48308" xr:uid="{00000000-0005-0000-0000-0000EA1E0000}"/>
    <cellStyle name="Normal 12 5 3 2 5" xfId="5630" xr:uid="{00000000-0005-0000-0000-0000EB1E0000}"/>
    <cellStyle name="Normal 12 5 3 2 6" xfId="5631" xr:uid="{00000000-0005-0000-0000-0000EC1E0000}"/>
    <cellStyle name="Normal 12 5 3 2 7" xfId="5632" xr:uid="{00000000-0005-0000-0000-0000ED1E0000}"/>
    <cellStyle name="Normal 12 5 3 3" xfId="5633" xr:uid="{00000000-0005-0000-0000-0000EE1E0000}"/>
    <cellStyle name="Normal 12 5 3 3 2" xfId="5634" xr:uid="{00000000-0005-0000-0000-0000EF1E0000}"/>
    <cellStyle name="Normal 12 5 3 3 2 2" xfId="48309" xr:uid="{00000000-0005-0000-0000-0000F01E0000}"/>
    <cellStyle name="Normal 12 5 3 3 2 3" xfId="48310" xr:uid="{00000000-0005-0000-0000-0000F11E0000}"/>
    <cellStyle name="Normal 12 5 3 3 3" xfId="5635" xr:uid="{00000000-0005-0000-0000-0000F21E0000}"/>
    <cellStyle name="Normal 12 5 3 3 3 2" xfId="48311" xr:uid="{00000000-0005-0000-0000-0000F31E0000}"/>
    <cellStyle name="Normal 12 5 3 3 4" xfId="5636" xr:uid="{00000000-0005-0000-0000-0000F41E0000}"/>
    <cellStyle name="Normal 12 5 3 3 5" xfId="5637" xr:uid="{00000000-0005-0000-0000-0000F51E0000}"/>
    <cellStyle name="Normal 12 5 3 3 6" xfId="5638" xr:uid="{00000000-0005-0000-0000-0000F61E0000}"/>
    <cellStyle name="Normal 12 5 3 4" xfId="5639" xr:uid="{00000000-0005-0000-0000-0000F71E0000}"/>
    <cellStyle name="Normal 12 5 3 4 2" xfId="48312" xr:uid="{00000000-0005-0000-0000-0000F81E0000}"/>
    <cellStyle name="Normal 12 5 3 4 3" xfId="48313" xr:uid="{00000000-0005-0000-0000-0000F91E0000}"/>
    <cellStyle name="Normal 12 5 3 5" xfId="5640" xr:uid="{00000000-0005-0000-0000-0000FA1E0000}"/>
    <cellStyle name="Normal 12 5 3 5 2" xfId="48314" xr:uid="{00000000-0005-0000-0000-0000FB1E0000}"/>
    <cellStyle name="Normal 12 5 3 6" xfId="5641" xr:uid="{00000000-0005-0000-0000-0000FC1E0000}"/>
    <cellStyle name="Normal 12 5 3 7" xfId="5642" xr:uid="{00000000-0005-0000-0000-0000FD1E0000}"/>
    <cellStyle name="Normal 12 5 3 8" xfId="5643" xr:uid="{00000000-0005-0000-0000-0000FE1E0000}"/>
    <cellStyle name="Normal 12 5 3 9" xfId="5644" xr:uid="{00000000-0005-0000-0000-0000FF1E0000}"/>
    <cellStyle name="Normal 12 5 4" xfId="5645" xr:uid="{00000000-0005-0000-0000-0000001F0000}"/>
    <cellStyle name="Normal 12 5 4 2" xfId="5646" xr:uid="{00000000-0005-0000-0000-0000011F0000}"/>
    <cellStyle name="Normal 12 5 4 2 2" xfId="5647" xr:uid="{00000000-0005-0000-0000-0000021F0000}"/>
    <cellStyle name="Normal 12 5 4 2 2 2" xfId="5648" xr:uid="{00000000-0005-0000-0000-0000031F0000}"/>
    <cellStyle name="Normal 12 5 4 2 2 2 2" xfId="48315" xr:uid="{00000000-0005-0000-0000-0000041F0000}"/>
    <cellStyle name="Normal 12 5 4 2 2 2 3" xfId="48316" xr:uid="{00000000-0005-0000-0000-0000051F0000}"/>
    <cellStyle name="Normal 12 5 4 2 2 3" xfId="5649" xr:uid="{00000000-0005-0000-0000-0000061F0000}"/>
    <cellStyle name="Normal 12 5 4 2 2 3 2" xfId="48317" xr:uid="{00000000-0005-0000-0000-0000071F0000}"/>
    <cellStyle name="Normal 12 5 4 2 2 4" xfId="5650" xr:uid="{00000000-0005-0000-0000-0000081F0000}"/>
    <cellStyle name="Normal 12 5 4 2 2 5" xfId="5651" xr:uid="{00000000-0005-0000-0000-0000091F0000}"/>
    <cellStyle name="Normal 12 5 4 2 2 6" xfId="5652" xr:uid="{00000000-0005-0000-0000-00000A1F0000}"/>
    <cellStyle name="Normal 12 5 4 2 3" xfId="5653" xr:uid="{00000000-0005-0000-0000-00000B1F0000}"/>
    <cellStyle name="Normal 12 5 4 2 3 2" xfId="48318" xr:uid="{00000000-0005-0000-0000-00000C1F0000}"/>
    <cellStyle name="Normal 12 5 4 2 3 3" xfId="48319" xr:uid="{00000000-0005-0000-0000-00000D1F0000}"/>
    <cellStyle name="Normal 12 5 4 2 4" xfId="5654" xr:uid="{00000000-0005-0000-0000-00000E1F0000}"/>
    <cellStyle name="Normal 12 5 4 2 4 2" xfId="48320" xr:uid="{00000000-0005-0000-0000-00000F1F0000}"/>
    <cellStyle name="Normal 12 5 4 2 5" xfId="5655" xr:uid="{00000000-0005-0000-0000-0000101F0000}"/>
    <cellStyle name="Normal 12 5 4 2 6" xfId="5656" xr:uid="{00000000-0005-0000-0000-0000111F0000}"/>
    <cellStyle name="Normal 12 5 4 2 7" xfId="5657" xr:uid="{00000000-0005-0000-0000-0000121F0000}"/>
    <cellStyle name="Normal 12 5 4 3" xfId="5658" xr:uid="{00000000-0005-0000-0000-0000131F0000}"/>
    <cellStyle name="Normal 12 5 4 3 2" xfId="5659" xr:uid="{00000000-0005-0000-0000-0000141F0000}"/>
    <cellStyle name="Normal 12 5 4 3 2 2" xfId="48321" xr:uid="{00000000-0005-0000-0000-0000151F0000}"/>
    <cellStyle name="Normal 12 5 4 3 2 3" xfId="48322" xr:uid="{00000000-0005-0000-0000-0000161F0000}"/>
    <cellStyle name="Normal 12 5 4 3 3" xfId="5660" xr:uid="{00000000-0005-0000-0000-0000171F0000}"/>
    <cellStyle name="Normal 12 5 4 3 3 2" xfId="48323" xr:uid="{00000000-0005-0000-0000-0000181F0000}"/>
    <cellStyle name="Normal 12 5 4 3 4" xfId="5661" xr:uid="{00000000-0005-0000-0000-0000191F0000}"/>
    <cellStyle name="Normal 12 5 4 3 5" xfId="5662" xr:uid="{00000000-0005-0000-0000-00001A1F0000}"/>
    <cellStyle name="Normal 12 5 4 3 6" xfId="5663" xr:uid="{00000000-0005-0000-0000-00001B1F0000}"/>
    <cellStyle name="Normal 12 5 4 4" xfId="5664" xr:uid="{00000000-0005-0000-0000-00001C1F0000}"/>
    <cellStyle name="Normal 12 5 4 4 2" xfId="48324" xr:uid="{00000000-0005-0000-0000-00001D1F0000}"/>
    <cellStyle name="Normal 12 5 4 4 3" xfId="48325" xr:uid="{00000000-0005-0000-0000-00001E1F0000}"/>
    <cellStyle name="Normal 12 5 4 5" xfId="5665" xr:uid="{00000000-0005-0000-0000-00001F1F0000}"/>
    <cellStyle name="Normal 12 5 4 5 2" xfId="48326" xr:uid="{00000000-0005-0000-0000-0000201F0000}"/>
    <cellStyle name="Normal 12 5 4 6" xfId="5666" xr:uid="{00000000-0005-0000-0000-0000211F0000}"/>
    <cellStyle name="Normal 12 5 4 7" xfId="5667" xr:uid="{00000000-0005-0000-0000-0000221F0000}"/>
    <cellStyle name="Normal 12 5 4 8" xfId="5668" xr:uid="{00000000-0005-0000-0000-0000231F0000}"/>
    <cellStyle name="Normal 12 5 5" xfId="5669" xr:uid="{00000000-0005-0000-0000-0000241F0000}"/>
    <cellStyle name="Normal 12 5 5 2" xfId="5670" xr:uid="{00000000-0005-0000-0000-0000251F0000}"/>
    <cellStyle name="Normal 12 5 5 2 2" xfId="5671" xr:uid="{00000000-0005-0000-0000-0000261F0000}"/>
    <cellStyle name="Normal 12 5 5 2 2 2" xfId="48327" xr:uid="{00000000-0005-0000-0000-0000271F0000}"/>
    <cellStyle name="Normal 12 5 5 2 2 3" xfId="48328" xr:uid="{00000000-0005-0000-0000-0000281F0000}"/>
    <cellStyle name="Normal 12 5 5 2 3" xfId="5672" xr:uid="{00000000-0005-0000-0000-0000291F0000}"/>
    <cellStyle name="Normal 12 5 5 2 3 2" xfId="48329" xr:uid="{00000000-0005-0000-0000-00002A1F0000}"/>
    <cellStyle name="Normal 12 5 5 2 4" xfId="5673" xr:uid="{00000000-0005-0000-0000-00002B1F0000}"/>
    <cellStyle name="Normal 12 5 5 2 5" xfId="5674" xr:uid="{00000000-0005-0000-0000-00002C1F0000}"/>
    <cellStyle name="Normal 12 5 5 2 6" xfId="5675" xr:uid="{00000000-0005-0000-0000-00002D1F0000}"/>
    <cellStyle name="Normal 12 5 5 3" xfId="5676" xr:uid="{00000000-0005-0000-0000-00002E1F0000}"/>
    <cellStyle name="Normal 12 5 5 3 2" xfId="48330" xr:uid="{00000000-0005-0000-0000-00002F1F0000}"/>
    <cellStyle name="Normal 12 5 5 3 3" xfId="48331" xr:uid="{00000000-0005-0000-0000-0000301F0000}"/>
    <cellStyle name="Normal 12 5 5 4" xfId="5677" xr:uid="{00000000-0005-0000-0000-0000311F0000}"/>
    <cellStyle name="Normal 12 5 5 4 2" xfId="48332" xr:uid="{00000000-0005-0000-0000-0000321F0000}"/>
    <cellStyle name="Normal 12 5 5 5" xfId="5678" xr:uid="{00000000-0005-0000-0000-0000331F0000}"/>
    <cellStyle name="Normal 12 5 5 6" xfId="5679" xr:uid="{00000000-0005-0000-0000-0000341F0000}"/>
    <cellStyle name="Normal 12 5 5 7" xfId="5680" xr:uid="{00000000-0005-0000-0000-0000351F0000}"/>
    <cellStyle name="Normal 12 5 6" xfId="5681" xr:uid="{00000000-0005-0000-0000-0000361F0000}"/>
    <cellStyle name="Normal 12 5 6 2" xfId="5682" xr:uid="{00000000-0005-0000-0000-0000371F0000}"/>
    <cellStyle name="Normal 12 5 6 2 2" xfId="48333" xr:uid="{00000000-0005-0000-0000-0000381F0000}"/>
    <cellStyle name="Normal 12 5 6 2 3" xfId="48334" xr:uid="{00000000-0005-0000-0000-0000391F0000}"/>
    <cellStyle name="Normal 12 5 6 3" xfId="5683" xr:uid="{00000000-0005-0000-0000-00003A1F0000}"/>
    <cellStyle name="Normal 12 5 6 3 2" xfId="48335" xr:uid="{00000000-0005-0000-0000-00003B1F0000}"/>
    <cellStyle name="Normal 12 5 6 4" xfId="5684" xr:uid="{00000000-0005-0000-0000-00003C1F0000}"/>
    <cellStyle name="Normal 12 5 6 5" xfId="5685" xr:uid="{00000000-0005-0000-0000-00003D1F0000}"/>
    <cellStyle name="Normal 12 5 6 6" xfId="5686" xr:uid="{00000000-0005-0000-0000-00003E1F0000}"/>
    <cellStyle name="Normal 12 5 7" xfId="5687" xr:uid="{00000000-0005-0000-0000-00003F1F0000}"/>
    <cellStyle name="Normal 12 5 7 2" xfId="48336" xr:uid="{00000000-0005-0000-0000-0000401F0000}"/>
    <cellStyle name="Normal 12 5 8" xfId="5688" xr:uid="{00000000-0005-0000-0000-0000411F0000}"/>
    <cellStyle name="Normal 12 5 9" xfId="5689" xr:uid="{00000000-0005-0000-0000-0000421F0000}"/>
    <cellStyle name="Normal 12 6" xfId="5690" xr:uid="{00000000-0005-0000-0000-0000431F0000}"/>
    <cellStyle name="Normal 12 6 10" xfId="5691" xr:uid="{00000000-0005-0000-0000-0000441F0000}"/>
    <cellStyle name="Normal 12 6 11" xfId="5692" xr:uid="{00000000-0005-0000-0000-0000451F0000}"/>
    <cellStyle name="Normal 12 6 12" xfId="5693" xr:uid="{00000000-0005-0000-0000-0000461F0000}"/>
    <cellStyle name="Normal 12 6 13" xfId="5694" xr:uid="{00000000-0005-0000-0000-0000471F0000}"/>
    <cellStyle name="Normal 12 6 14" xfId="5695" xr:uid="{00000000-0005-0000-0000-0000481F0000}"/>
    <cellStyle name="Normal 12 6 2" xfId="5696" xr:uid="{00000000-0005-0000-0000-0000491F0000}"/>
    <cellStyle name="Normal 12 6 2 2" xfId="5697" xr:uid="{00000000-0005-0000-0000-00004A1F0000}"/>
    <cellStyle name="Normal 12 6 2 2 2" xfId="5698" xr:uid="{00000000-0005-0000-0000-00004B1F0000}"/>
    <cellStyle name="Normal 12 6 2 2 2 2" xfId="5699" xr:uid="{00000000-0005-0000-0000-00004C1F0000}"/>
    <cellStyle name="Normal 12 6 2 2 2 2 2" xfId="48337" xr:uid="{00000000-0005-0000-0000-00004D1F0000}"/>
    <cellStyle name="Normal 12 6 2 2 2 2 3" xfId="48338" xr:uid="{00000000-0005-0000-0000-00004E1F0000}"/>
    <cellStyle name="Normal 12 6 2 2 2 3" xfId="5700" xr:uid="{00000000-0005-0000-0000-00004F1F0000}"/>
    <cellStyle name="Normal 12 6 2 2 2 3 2" xfId="48339" xr:uid="{00000000-0005-0000-0000-0000501F0000}"/>
    <cellStyle name="Normal 12 6 2 2 2 4" xfId="5701" xr:uid="{00000000-0005-0000-0000-0000511F0000}"/>
    <cellStyle name="Normal 12 6 2 2 2 5" xfId="5702" xr:uid="{00000000-0005-0000-0000-0000521F0000}"/>
    <cellStyle name="Normal 12 6 2 2 2 6" xfId="5703" xr:uid="{00000000-0005-0000-0000-0000531F0000}"/>
    <cellStyle name="Normal 12 6 2 2 3" xfId="5704" xr:uid="{00000000-0005-0000-0000-0000541F0000}"/>
    <cellStyle name="Normal 12 6 2 2 3 2" xfId="48340" xr:uid="{00000000-0005-0000-0000-0000551F0000}"/>
    <cellStyle name="Normal 12 6 2 2 3 3" xfId="48341" xr:uid="{00000000-0005-0000-0000-0000561F0000}"/>
    <cellStyle name="Normal 12 6 2 2 4" xfId="5705" xr:uid="{00000000-0005-0000-0000-0000571F0000}"/>
    <cellStyle name="Normal 12 6 2 2 4 2" xfId="48342" xr:uid="{00000000-0005-0000-0000-0000581F0000}"/>
    <cellStyle name="Normal 12 6 2 2 5" xfId="5706" xr:uid="{00000000-0005-0000-0000-0000591F0000}"/>
    <cellStyle name="Normal 12 6 2 2 6" xfId="5707" xr:uid="{00000000-0005-0000-0000-00005A1F0000}"/>
    <cellStyle name="Normal 12 6 2 2 7" xfId="5708" xr:uid="{00000000-0005-0000-0000-00005B1F0000}"/>
    <cellStyle name="Normal 12 6 2 3" xfId="5709" xr:uid="{00000000-0005-0000-0000-00005C1F0000}"/>
    <cellStyle name="Normal 12 6 2 3 2" xfId="5710" xr:uid="{00000000-0005-0000-0000-00005D1F0000}"/>
    <cellStyle name="Normal 12 6 2 3 2 2" xfId="48343" xr:uid="{00000000-0005-0000-0000-00005E1F0000}"/>
    <cellStyle name="Normal 12 6 2 3 2 3" xfId="48344" xr:uid="{00000000-0005-0000-0000-00005F1F0000}"/>
    <cellStyle name="Normal 12 6 2 3 3" xfId="5711" xr:uid="{00000000-0005-0000-0000-0000601F0000}"/>
    <cellStyle name="Normal 12 6 2 3 3 2" xfId="48345" xr:uid="{00000000-0005-0000-0000-0000611F0000}"/>
    <cellStyle name="Normal 12 6 2 3 4" xfId="5712" xr:uid="{00000000-0005-0000-0000-0000621F0000}"/>
    <cellStyle name="Normal 12 6 2 3 5" xfId="5713" xr:uid="{00000000-0005-0000-0000-0000631F0000}"/>
    <cellStyle name="Normal 12 6 2 3 6" xfId="5714" xr:uid="{00000000-0005-0000-0000-0000641F0000}"/>
    <cellStyle name="Normal 12 6 2 4" xfId="5715" xr:uid="{00000000-0005-0000-0000-0000651F0000}"/>
    <cellStyle name="Normal 12 6 2 4 2" xfId="48346" xr:uid="{00000000-0005-0000-0000-0000661F0000}"/>
    <cellStyle name="Normal 12 6 2 4 3" xfId="48347" xr:uid="{00000000-0005-0000-0000-0000671F0000}"/>
    <cellStyle name="Normal 12 6 2 5" xfId="5716" xr:uid="{00000000-0005-0000-0000-0000681F0000}"/>
    <cellStyle name="Normal 12 6 2 5 2" xfId="48348" xr:uid="{00000000-0005-0000-0000-0000691F0000}"/>
    <cellStyle name="Normal 12 6 2 6" xfId="5717" xr:uid="{00000000-0005-0000-0000-00006A1F0000}"/>
    <cellStyle name="Normal 12 6 2 7" xfId="5718" xr:uid="{00000000-0005-0000-0000-00006B1F0000}"/>
    <cellStyle name="Normal 12 6 2 8" xfId="5719" xr:uid="{00000000-0005-0000-0000-00006C1F0000}"/>
    <cellStyle name="Normal 12 6 2 9" xfId="5720" xr:uid="{00000000-0005-0000-0000-00006D1F0000}"/>
    <cellStyle name="Normal 12 6 3" xfId="5721" xr:uid="{00000000-0005-0000-0000-00006E1F0000}"/>
    <cellStyle name="Normal 12 6 3 2" xfId="5722" xr:uid="{00000000-0005-0000-0000-00006F1F0000}"/>
    <cellStyle name="Normal 12 6 3 2 2" xfId="5723" xr:uid="{00000000-0005-0000-0000-0000701F0000}"/>
    <cellStyle name="Normal 12 6 3 2 2 2" xfId="5724" xr:uid="{00000000-0005-0000-0000-0000711F0000}"/>
    <cellStyle name="Normal 12 6 3 2 2 2 2" xfId="48349" xr:uid="{00000000-0005-0000-0000-0000721F0000}"/>
    <cellStyle name="Normal 12 6 3 2 2 2 3" xfId="48350" xr:uid="{00000000-0005-0000-0000-0000731F0000}"/>
    <cellStyle name="Normal 12 6 3 2 2 3" xfId="5725" xr:uid="{00000000-0005-0000-0000-0000741F0000}"/>
    <cellStyle name="Normal 12 6 3 2 2 3 2" xfId="48351" xr:uid="{00000000-0005-0000-0000-0000751F0000}"/>
    <cellStyle name="Normal 12 6 3 2 2 4" xfId="5726" xr:uid="{00000000-0005-0000-0000-0000761F0000}"/>
    <cellStyle name="Normal 12 6 3 2 2 5" xfId="5727" xr:uid="{00000000-0005-0000-0000-0000771F0000}"/>
    <cellStyle name="Normal 12 6 3 2 2 6" xfId="5728" xr:uid="{00000000-0005-0000-0000-0000781F0000}"/>
    <cellStyle name="Normal 12 6 3 2 3" xfId="5729" xr:uid="{00000000-0005-0000-0000-0000791F0000}"/>
    <cellStyle name="Normal 12 6 3 2 3 2" xfId="48352" xr:uid="{00000000-0005-0000-0000-00007A1F0000}"/>
    <cellStyle name="Normal 12 6 3 2 3 3" xfId="48353" xr:uid="{00000000-0005-0000-0000-00007B1F0000}"/>
    <cellStyle name="Normal 12 6 3 2 4" xfId="5730" xr:uid="{00000000-0005-0000-0000-00007C1F0000}"/>
    <cellStyle name="Normal 12 6 3 2 4 2" xfId="48354" xr:uid="{00000000-0005-0000-0000-00007D1F0000}"/>
    <cellStyle name="Normal 12 6 3 2 5" xfId="5731" xr:uid="{00000000-0005-0000-0000-00007E1F0000}"/>
    <cellStyle name="Normal 12 6 3 2 6" xfId="5732" xr:uid="{00000000-0005-0000-0000-00007F1F0000}"/>
    <cellStyle name="Normal 12 6 3 2 7" xfId="5733" xr:uid="{00000000-0005-0000-0000-0000801F0000}"/>
    <cellStyle name="Normal 12 6 3 3" xfId="5734" xr:uid="{00000000-0005-0000-0000-0000811F0000}"/>
    <cellStyle name="Normal 12 6 3 3 2" xfId="5735" xr:uid="{00000000-0005-0000-0000-0000821F0000}"/>
    <cellStyle name="Normal 12 6 3 3 2 2" xfId="48355" xr:uid="{00000000-0005-0000-0000-0000831F0000}"/>
    <cellStyle name="Normal 12 6 3 3 2 3" xfId="48356" xr:uid="{00000000-0005-0000-0000-0000841F0000}"/>
    <cellStyle name="Normal 12 6 3 3 3" xfId="5736" xr:uid="{00000000-0005-0000-0000-0000851F0000}"/>
    <cellStyle name="Normal 12 6 3 3 3 2" xfId="48357" xr:uid="{00000000-0005-0000-0000-0000861F0000}"/>
    <cellStyle name="Normal 12 6 3 3 4" xfId="5737" xr:uid="{00000000-0005-0000-0000-0000871F0000}"/>
    <cellStyle name="Normal 12 6 3 3 5" xfId="5738" xr:uid="{00000000-0005-0000-0000-0000881F0000}"/>
    <cellStyle name="Normal 12 6 3 3 6" xfId="5739" xr:uid="{00000000-0005-0000-0000-0000891F0000}"/>
    <cellStyle name="Normal 12 6 3 4" xfId="5740" xr:uid="{00000000-0005-0000-0000-00008A1F0000}"/>
    <cellStyle name="Normal 12 6 3 4 2" xfId="48358" xr:uid="{00000000-0005-0000-0000-00008B1F0000}"/>
    <cellStyle name="Normal 12 6 3 4 3" xfId="48359" xr:uid="{00000000-0005-0000-0000-00008C1F0000}"/>
    <cellStyle name="Normal 12 6 3 5" xfId="5741" xr:uid="{00000000-0005-0000-0000-00008D1F0000}"/>
    <cellStyle name="Normal 12 6 3 5 2" xfId="48360" xr:uid="{00000000-0005-0000-0000-00008E1F0000}"/>
    <cellStyle name="Normal 12 6 3 6" xfId="5742" xr:uid="{00000000-0005-0000-0000-00008F1F0000}"/>
    <cellStyle name="Normal 12 6 3 7" xfId="5743" xr:uid="{00000000-0005-0000-0000-0000901F0000}"/>
    <cellStyle name="Normal 12 6 3 8" xfId="5744" xr:uid="{00000000-0005-0000-0000-0000911F0000}"/>
    <cellStyle name="Normal 12 6 4" xfId="5745" xr:uid="{00000000-0005-0000-0000-0000921F0000}"/>
    <cellStyle name="Normal 12 6 4 2" xfId="5746" xr:uid="{00000000-0005-0000-0000-0000931F0000}"/>
    <cellStyle name="Normal 12 6 4 2 2" xfId="5747" xr:uid="{00000000-0005-0000-0000-0000941F0000}"/>
    <cellStyle name="Normal 12 6 4 2 2 2" xfId="48361" xr:uid="{00000000-0005-0000-0000-0000951F0000}"/>
    <cellStyle name="Normal 12 6 4 2 2 3" xfId="48362" xr:uid="{00000000-0005-0000-0000-0000961F0000}"/>
    <cellStyle name="Normal 12 6 4 2 3" xfId="5748" xr:uid="{00000000-0005-0000-0000-0000971F0000}"/>
    <cellStyle name="Normal 12 6 4 2 3 2" xfId="48363" xr:uid="{00000000-0005-0000-0000-0000981F0000}"/>
    <cellStyle name="Normal 12 6 4 2 4" xfId="5749" xr:uid="{00000000-0005-0000-0000-0000991F0000}"/>
    <cellStyle name="Normal 12 6 4 2 5" xfId="5750" xr:uid="{00000000-0005-0000-0000-00009A1F0000}"/>
    <cellStyle name="Normal 12 6 4 2 6" xfId="5751" xr:uid="{00000000-0005-0000-0000-00009B1F0000}"/>
    <cellStyle name="Normal 12 6 4 3" xfId="5752" xr:uid="{00000000-0005-0000-0000-00009C1F0000}"/>
    <cellStyle name="Normal 12 6 4 3 2" xfId="48364" xr:uid="{00000000-0005-0000-0000-00009D1F0000}"/>
    <cellStyle name="Normal 12 6 4 3 3" xfId="48365" xr:uid="{00000000-0005-0000-0000-00009E1F0000}"/>
    <cellStyle name="Normal 12 6 4 4" xfId="5753" xr:uid="{00000000-0005-0000-0000-00009F1F0000}"/>
    <cellStyle name="Normal 12 6 4 4 2" xfId="48366" xr:uid="{00000000-0005-0000-0000-0000A01F0000}"/>
    <cellStyle name="Normal 12 6 4 5" xfId="5754" xr:uid="{00000000-0005-0000-0000-0000A11F0000}"/>
    <cellStyle name="Normal 12 6 4 6" xfId="5755" xr:uid="{00000000-0005-0000-0000-0000A21F0000}"/>
    <cellStyle name="Normal 12 6 4 7" xfId="5756" xr:uid="{00000000-0005-0000-0000-0000A31F0000}"/>
    <cellStyle name="Normal 12 6 5" xfId="5757" xr:uid="{00000000-0005-0000-0000-0000A41F0000}"/>
    <cellStyle name="Normal 12 6 5 2" xfId="5758" xr:uid="{00000000-0005-0000-0000-0000A51F0000}"/>
    <cellStyle name="Normal 12 6 5 2 2" xfId="48367" xr:uid="{00000000-0005-0000-0000-0000A61F0000}"/>
    <cellStyle name="Normal 12 6 5 2 3" xfId="48368" xr:uid="{00000000-0005-0000-0000-0000A71F0000}"/>
    <cellStyle name="Normal 12 6 5 3" xfId="5759" xr:uid="{00000000-0005-0000-0000-0000A81F0000}"/>
    <cellStyle name="Normal 12 6 5 3 2" xfId="48369" xr:uid="{00000000-0005-0000-0000-0000A91F0000}"/>
    <cellStyle name="Normal 12 6 5 4" xfId="5760" xr:uid="{00000000-0005-0000-0000-0000AA1F0000}"/>
    <cellStyle name="Normal 12 6 5 5" xfId="5761" xr:uid="{00000000-0005-0000-0000-0000AB1F0000}"/>
    <cellStyle name="Normal 12 6 5 6" xfId="5762" xr:uid="{00000000-0005-0000-0000-0000AC1F0000}"/>
    <cellStyle name="Normal 12 6 6" xfId="5763" xr:uid="{00000000-0005-0000-0000-0000AD1F0000}"/>
    <cellStyle name="Normal 12 6 6 2" xfId="48370" xr:uid="{00000000-0005-0000-0000-0000AE1F0000}"/>
    <cellStyle name="Normal 12 6 6 3" xfId="48371" xr:uid="{00000000-0005-0000-0000-0000AF1F0000}"/>
    <cellStyle name="Normal 12 6 7" xfId="5764" xr:uid="{00000000-0005-0000-0000-0000B01F0000}"/>
    <cellStyle name="Normal 12 6 7 2" xfId="48372" xr:uid="{00000000-0005-0000-0000-0000B11F0000}"/>
    <cellStyle name="Normal 12 6 8" xfId="5765" xr:uid="{00000000-0005-0000-0000-0000B21F0000}"/>
    <cellStyle name="Normal 12 6 8 2" xfId="48373" xr:uid="{00000000-0005-0000-0000-0000B31F0000}"/>
    <cellStyle name="Normal 12 6 9" xfId="5766" xr:uid="{00000000-0005-0000-0000-0000B41F0000}"/>
    <cellStyle name="Normal 12 7" xfId="5767" xr:uid="{00000000-0005-0000-0000-0000B51F0000}"/>
    <cellStyle name="Normal 12 7 10" xfId="5768" xr:uid="{00000000-0005-0000-0000-0000B61F0000}"/>
    <cellStyle name="Normal 12 7 11" xfId="5769" xr:uid="{00000000-0005-0000-0000-0000B71F0000}"/>
    <cellStyle name="Normal 12 7 12" xfId="5770" xr:uid="{00000000-0005-0000-0000-0000B81F0000}"/>
    <cellStyle name="Normal 12 7 13" xfId="5771" xr:uid="{00000000-0005-0000-0000-0000B91F0000}"/>
    <cellStyle name="Normal 12 7 14" xfId="5772" xr:uid="{00000000-0005-0000-0000-0000BA1F0000}"/>
    <cellStyle name="Normal 12 7 2" xfId="5773" xr:uid="{00000000-0005-0000-0000-0000BB1F0000}"/>
    <cellStyle name="Normal 12 7 2 2" xfId="5774" xr:uid="{00000000-0005-0000-0000-0000BC1F0000}"/>
    <cellStyle name="Normal 12 7 2 2 2" xfId="5775" xr:uid="{00000000-0005-0000-0000-0000BD1F0000}"/>
    <cellStyle name="Normal 12 7 2 2 2 2" xfId="5776" xr:uid="{00000000-0005-0000-0000-0000BE1F0000}"/>
    <cellStyle name="Normal 12 7 2 2 2 2 2" xfId="48374" xr:uid="{00000000-0005-0000-0000-0000BF1F0000}"/>
    <cellStyle name="Normal 12 7 2 2 2 2 3" xfId="48375" xr:uid="{00000000-0005-0000-0000-0000C01F0000}"/>
    <cellStyle name="Normal 12 7 2 2 2 3" xfId="5777" xr:uid="{00000000-0005-0000-0000-0000C11F0000}"/>
    <cellStyle name="Normal 12 7 2 2 2 3 2" xfId="48376" xr:uid="{00000000-0005-0000-0000-0000C21F0000}"/>
    <cellStyle name="Normal 12 7 2 2 2 4" xfId="5778" xr:uid="{00000000-0005-0000-0000-0000C31F0000}"/>
    <cellStyle name="Normal 12 7 2 2 2 5" xfId="5779" xr:uid="{00000000-0005-0000-0000-0000C41F0000}"/>
    <cellStyle name="Normal 12 7 2 2 2 6" xfId="5780" xr:uid="{00000000-0005-0000-0000-0000C51F0000}"/>
    <cellStyle name="Normal 12 7 2 2 3" xfId="5781" xr:uid="{00000000-0005-0000-0000-0000C61F0000}"/>
    <cellStyle name="Normal 12 7 2 2 3 2" xfId="48377" xr:uid="{00000000-0005-0000-0000-0000C71F0000}"/>
    <cellStyle name="Normal 12 7 2 2 3 3" xfId="48378" xr:uid="{00000000-0005-0000-0000-0000C81F0000}"/>
    <cellStyle name="Normal 12 7 2 2 4" xfId="5782" xr:uid="{00000000-0005-0000-0000-0000C91F0000}"/>
    <cellStyle name="Normal 12 7 2 2 4 2" xfId="48379" xr:uid="{00000000-0005-0000-0000-0000CA1F0000}"/>
    <cellStyle name="Normal 12 7 2 2 5" xfId="5783" xr:uid="{00000000-0005-0000-0000-0000CB1F0000}"/>
    <cellStyle name="Normal 12 7 2 2 6" xfId="5784" xr:uid="{00000000-0005-0000-0000-0000CC1F0000}"/>
    <cellStyle name="Normal 12 7 2 2 7" xfId="5785" xr:uid="{00000000-0005-0000-0000-0000CD1F0000}"/>
    <cellStyle name="Normal 12 7 2 3" xfId="5786" xr:uid="{00000000-0005-0000-0000-0000CE1F0000}"/>
    <cellStyle name="Normal 12 7 2 3 2" xfId="5787" xr:uid="{00000000-0005-0000-0000-0000CF1F0000}"/>
    <cellStyle name="Normal 12 7 2 3 2 2" xfId="48380" xr:uid="{00000000-0005-0000-0000-0000D01F0000}"/>
    <cellStyle name="Normal 12 7 2 3 2 3" xfId="48381" xr:uid="{00000000-0005-0000-0000-0000D11F0000}"/>
    <cellStyle name="Normal 12 7 2 3 3" xfId="5788" xr:uid="{00000000-0005-0000-0000-0000D21F0000}"/>
    <cellStyle name="Normal 12 7 2 3 3 2" xfId="48382" xr:uid="{00000000-0005-0000-0000-0000D31F0000}"/>
    <cellStyle name="Normal 12 7 2 3 4" xfId="5789" xr:uid="{00000000-0005-0000-0000-0000D41F0000}"/>
    <cellStyle name="Normal 12 7 2 3 5" xfId="5790" xr:uid="{00000000-0005-0000-0000-0000D51F0000}"/>
    <cellStyle name="Normal 12 7 2 3 6" xfId="5791" xr:uid="{00000000-0005-0000-0000-0000D61F0000}"/>
    <cellStyle name="Normal 12 7 2 4" xfId="5792" xr:uid="{00000000-0005-0000-0000-0000D71F0000}"/>
    <cellStyle name="Normal 12 7 2 4 2" xfId="48383" xr:uid="{00000000-0005-0000-0000-0000D81F0000}"/>
    <cellStyle name="Normal 12 7 2 4 3" xfId="48384" xr:uid="{00000000-0005-0000-0000-0000D91F0000}"/>
    <cellStyle name="Normal 12 7 2 5" xfId="5793" xr:uid="{00000000-0005-0000-0000-0000DA1F0000}"/>
    <cellStyle name="Normal 12 7 2 5 2" xfId="48385" xr:uid="{00000000-0005-0000-0000-0000DB1F0000}"/>
    <cellStyle name="Normal 12 7 2 6" xfId="5794" xr:uid="{00000000-0005-0000-0000-0000DC1F0000}"/>
    <cellStyle name="Normal 12 7 2 7" xfId="5795" xr:uid="{00000000-0005-0000-0000-0000DD1F0000}"/>
    <cellStyle name="Normal 12 7 2 8" xfId="5796" xr:uid="{00000000-0005-0000-0000-0000DE1F0000}"/>
    <cellStyle name="Normal 12 7 2 9" xfId="5797" xr:uid="{00000000-0005-0000-0000-0000DF1F0000}"/>
    <cellStyle name="Normal 12 7 3" xfId="5798" xr:uid="{00000000-0005-0000-0000-0000E01F0000}"/>
    <cellStyle name="Normal 12 7 3 2" xfId="5799" xr:uid="{00000000-0005-0000-0000-0000E11F0000}"/>
    <cellStyle name="Normal 12 7 3 2 2" xfId="5800" xr:uid="{00000000-0005-0000-0000-0000E21F0000}"/>
    <cellStyle name="Normal 12 7 3 2 2 2" xfId="5801" xr:uid="{00000000-0005-0000-0000-0000E31F0000}"/>
    <cellStyle name="Normal 12 7 3 2 2 2 2" xfId="48386" xr:uid="{00000000-0005-0000-0000-0000E41F0000}"/>
    <cellStyle name="Normal 12 7 3 2 2 2 3" xfId="48387" xr:uid="{00000000-0005-0000-0000-0000E51F0000}"/>
    <cellStyle name="Normal 12 7 3 2 2 3" xfId="5802" xr:uid="{00000000-0005-0000-0000-0000E61F0000}"/>
    <cellStyle name="Normal 12 7 3 2 2 3 2" xfId="48388" xr:uid="{00000000-0005-0000-0000-0000E71F0000}"/>
    <cellStyle name="Normal 12 7 3 2 2 4" xfId="5803" xr:uid="{00000000-0005-0000-0000-0000E81F0000}"/>
    <cellStyle name="Normal 12 7 3 2 2 5" xfId="5804" xr:uid="{00000000-0005-0000-0000-0000E91F0000}"/>
    <cellStyle name="Normal 12 7 3 2 2 6" xfId="5805" xr:uid="{00000000-0005-0000-0000-0000EA1F0000}"/>
    <cellStyle name="Normal 12 7 3 2 3" xfId="5806" xr:uid="{00000000-0005-0000-0000-0000EB1F0000}"/>
    <cellStyle name="Normal 12 7 3 2 3 2" xfId="48389" xr:uid="{00000000-0005-0000-0000-0000EC1F0000}"/>
    <cellStyle name="Normal 12 7 3 2 3 3" xfId="48390" xr:uid="{00000000-0005-0000-0000-0000ED1F0000}"/>
    <cellStyle name="Normal 12 7 3 2 4" xfId="5807" xr:uid="{00000000-0005-0000-0000-0000EE1F0000}"/>
    <cellStyle name="Normal 12 7 3 2 4 2" xfId="48391" xr:uid="{00000000-0005-0000-0000-0000EF1F0000}"/>
    <cellStyle name="Normal 12 7 3 2 5" xfId="5808" xr:uid="{00000000-0005-0000-0000-0000F01F0000}"/>
    <cellStyle name="Normal 12 7 3 2 6" xfId="5809" xr:uid="{00000000-0005-0000-0000-0000F11F0000}"/>
    <cellStyle name="Normal 12 7 3 2 7" xfId="5810" xr:uid="{00000000-0005-0000-0000-0000F21F0000}"/>
    <cellStyle name="Normal 12 7 3 3" xfId="5811" xr:uid="{00000000-0005-0000-0000-0000F31F0000}"/>
    <cellStyle name="Normal 12 7 3 3 2" xfId="5812" xr:uid="{00000000-0005-0000-0000-0000F41F0000}"/>
    <cellStyle name="Normal 12 7 3 3 2 2" xfId="48392" xr:uid="{00000000-0005-0000-0000-0000F51F0000}"/>
    <cellStyle name="Normal 12 7 3 3 2 3" xfId="48393" xr:uid="{00000000-0005-0000-0000-0000F61F0000}"/>
    <cellStyle name="Normal 12 7 3 3 3" xfId="5813" xr:uid="{00000000-0005-0000-0000-0000F71F0000}"/>
    <cellStyle name="Normal 12 7 3 3 3 2" xfId="48394" xr:uid="{00000000-0005-0000-0000-0000F81F0000}"/>
    <cellStyle name="Normal 12 7 3 3 4" xfId="5814" xr:uid="{00000000-0005-0000-0000-0000F91F0000}"/>
    <cellStyle name="Normal 12 7 3 3 5" xfId="5815" xr:uid="{00000000-0005-0000-0000-0000FA1F0000}"/>
    <cellStyle name="Normal 12 7 3 3 6" xfId="5816" xr:uid="{00000000-0005-0000-0000-0000FB1F0000}"/>
    <cellStyle name="Normal 12 7 3 4" xfId="5817" xr:uid="{00000000-0005-0000-0000-0000FC1F0000}"/>
    <cellStyle name="Normal 12 7 3 4 2" xfId="48395" xr:uid="{00000000-0005-0000-0000-0000FD1F0000}"/>
    <cellStyle name="Normal 12 7 3 4 3" xfId="48396" xr:uid="{00000000-0005-0000-0000-0000FE1F0000}"/>
    <cellStyle name="Normal 12 7 3 5" xfId="5818" xr:uid="{00000000-0005-0000-0000-0000FF1F0000}"/>
    <cellStyle name="Normal 12 7 3 5 2" xfId="48397" xr:uid="{00000000-0005-0000-0000-000000200000}"/>
    <cellStyle name="Normal 12 7 3 6" xfId="5819" xr:uid="{00000000-0005-0000-0000-000001200000}"/>
    <cellStyle name="Normal 12 7 3 7" xfId="5820" xr:uid="{00000000-0005-0000-0000-000002200000}"/>
    <cellStyle name="Normal 12 7 3 8" xfId="5821" xr:uid="{00000000-0005-0000-0000-000003200000}"/>
    <cellStyle name="Normal 12 7 4" xfId="5822" xr:uid="{00000000-0005-0000-0000-000004200000}"/>
    <cellStyle name="Normal 12 7 4 2" xfId="5823" xr:uid="{00000000-0005-0000-0000-000005200000}"/>
    <cellStyle name="Normal 12 7 4 2 2" xfId="5824" xr:uid="{00000000-0005-0000-0000-000006200000}"/>
    <cellStyle name="Normal 12 7 4 2 2 2" xfId="48398" xr:uid="{00000000-0005-0000-0000-000007200000}"/>
    <cellStyle name="Normal 12 7 4 2 2 3" xfId="48399" xr:uid="{00000000-0005-0000-0000-000008200000}"/>
    <cellStyle name="Normal 12 7 4 2 3" xfId="5825" xr:uid="{00000000-0005-0000-0000-000009200000}"/>
    <cellStyle name="Normal 12 7 4 2 3 2" xfId="48400" xr:uid="{00000000-0005-0000-0000-00000A200000}"/>
    <cellStyle name="Normal 12 7 4 2 4" xfId="5826" xr:uid="{00000000-0005-0000-0000-00000B200000}"/>
    <cellStyle name="Normal 12 7 4 2 5" xfId="5827" xr:uid="{00000000-0005-0000-0000-00000C200000}"/>
    <cellStyle name="Normal 12 7 4 2 6" xfId="5828" xr:uid="{00000000-0005-0000-0000-00000D200000}"/>
    <cellStyle name="Normal 12 7 4 3" xfId="5829" xr:uid="{00000000-0005-0000-0000-00000E200000}"/>
    <cellStyle name="Normal 12 7 4 3 2" xfId="48401" xr:uid="{00000000-0005-0000-0000-00000F200000}"/>
    <cellStyle name="Normal 12 7 4 3 3" xfId="48402" xr:uid="{00000000-0005-0000-0000-000010200000}"/>
    <cellStyle name="Normal 12 7 4 4" xfId="5830" xr:uid="{00000000-0005-0000-0000-000011200000}"/>
    <cellStyle name="Normal 12 7 4 4 2" xfId="48403" xr:uid="{00000000-0005-0000-0000-000012200000}"/>
    <cellStyle name="Normal 12 7 4 5" xfId="5831" xr:uid="{00000000-0005-0000-0000-000013200000}"/>
    <cellStyle name="Normal 12 7 4 6" xfId="5832" xr:uid="{00000000-0005-0000-0000-000014200000}"/>
    <cellStyle name="Normal 12 7 4 7" xfId="5833" xr:uid="{00000000-0005-0000-0000-000015200000}"/>
    <cellStyle name="Normal 12 7 5" xfId="5834" xr:uid="{00000000-0005-0000-0000-000016200000}"/>
    <cellStyle name="Normal 12 7 5 2" xfId="5835" xr:uid="{00000000-0005-0000-0000-000017200000}"/>
    <cellStyle name="Normal 12 7 5 2 2" xfId="48404" xr:uid="{00000000-0005-0000-0000-000018200000}"/>
    <cellStyle name="Normal 12 7 5 2 3" xfId="48405" xr:uid="{00000000-0005-0000-0000-000019200000}"/>
    <cellStyle name="Normal 12 7 5 3" xfId="5836" xr:uid="{00000000-0005-0000-0000-00001A200000}"/>
    <cellStyle name="Normal 12 7 5 3 2" xfId="48406" xr:uid="{00000000-0005-0000-0000-00001B200000}"/>
    <cellStyle name="Normal 12 7 5 4" xfId="5837" xr:uid="{00000000-0005-0000-0000-00001C200000}"/>
    <cellStyle name="Normal 12 7 5 5" xfId="5838" xr:uid="{00000000-0005-0000-0000-00001D200000}"/>
    <cellStyle name="Normal 12 7 5 6" xfId="5839" xr:uid="{00000000-0005-0000-0000-00001E200000}"/>
    <cellStyle name="Normal 12 7 6" xfId="5840" xr:uid="{00000000-0005-0000-0000-00001F200000}"/>
    <cellStyle name="Normal 12 7 6 2" xfId="48407" xr:uid="{00000000-0005-0000-0000-000020200000}"/>
    <cellStyle name="Normal 12 7 6 3" xfId="48408" xr:uid="{00000000-0005-0000-0000-000021200000}"/>
    <cellStyle name="Normal 12 7 7" xfId="5841" xr:uid="{00000000-0005-0000-0000-000022200000}"/>
    <cellStyle name="Normal 12 7 7 2" xfId="48409" xr:uid="{00000000-0005-0000-0000-000023200000}"/>
    <cellStyle name="Normal 12 7 8" xfId="5842" xr:uid="{00000000-0005-0000-0000-000024200000}"/>
    <cellStyle name="Normal 12 7 9" xfId="5843" xr:uid="{00000000-0005-0000-0000-000025200000}"/>
    <cellStyle name="Normal 12 8" xfId="5844" xr:uid="{00000000-0005-0000-0000-000026200000}"/>
    <cellStyle name="Normal 12 8 10" xfId="5845" xr:uid="{00000000-0005-0000-0000-000027200000}"/>
    <cellStyle name="Normal 12 8 11" xfId="5846" xr:uid="{00000000-0005-0000-0000-000028200000}"/>
    <cellStyle name="Normal 12 8 12" xfId="5847" xr:uid="{00000000-0005-0000-0000-000029200000}"/>
    <cellStyle name="Normal 12 8 13" xfId="5848" xr:uid="{00000000-0005-0000-0000-00002A200000}"/>
    <cellStyle name="Normal 12 8 2" xfId="5849" xr:uid="{00000000-0005-0000-0000-00002B200000}"/>
    <cellStyle name="Normal 12 8 2 2" xfId="5850" xr:uid="{00000000-0005-0000-0000-00002C200000}"/>
    <cellStyle name="Normal 12 8 2 2 2" xfId="5851" xr:uid="{00000000-0005-0000-0000-00002D200000}"/>
    <cellStyle name="Normal 12 8 2 2 2 2" xfId="5852" xr:uid="{00000000-0005-0000-0000-00002E200000}"/>
    <cellStyle name="Normal 12 8 2 2 2 2 2" xfId="48410" xr:uid="{00000000-0005-0000-0000-00002F200000}"/>
    <cellStyle name="Normal 12 8 2 2 2 2 3" xfId="48411" xr:uid="{00000000-0005-0000-0000-000030200000}"/>
    <cellStyle name="Normal 12 8 2 2 2 3" xfId="5853" xr:uid="{00000000-0005-0000-0000-000031200000}"/>
    <cellStyle name="Normal 12 8 2 2 2 3 2" xfId="48412" xr:uid="{00000000-0005-0000-0000-000032200000}"/>
    <cellStyle name="Normal 12 8 2 2 2 4" xfId="5854" xr:uid="{00000000-0005-0000-0000-000033200000}"/>
    <cellStyle name="Normal 12 8 2 2 2 5" xfId="5855" xr:uid="{00000000-0005-0000-0000-000034200000}"/>
    <cellStyle name="Normal 12 8 2 2 2 6" xfId="5856" xr:uid="{00000000-0005-0000-0000-000035200000}"/>
    <cellStyle name="Normal 12 8 2 2 3" xfId="5857" xr:uid="{00000000-0005-0000-0000-000036200000}"/>
    <cellStyle name="Normal 12 8 2 2 3 2" xfId="48413" xr:uid="{00000000-0005-0000-0000-000037200000}"/>
    <cellStyle name="Normal 12 8 2 2 3 3" xfId="48414" xr:uid="{00000000-0005-0000-0000-000038200000}"/>
    <cellStyle name="Normal 12 8 2 2 4" xfId="5858" xr:uid="{00000000-0005-0000-0000-000039200000}"/>
    <cellStyle name="Normal 12 8 2 2 4 2" xfId="48415" xr:uid="{00000000-0005-0000-0000-00003A200000}"/>
    <cellStyle name="Normal 12 8 2 2 5" xfId="5859" xr:uid="{00000000-0005-0000-0000-00003B200000}"/>
    <cellStyle name="Normal 12 8 2 2 6" xfId="5860" xr:uid="{00000000-0005-0000-0000-00003C200000}"/>
    <cellStyle name="Normal 12 8 2 2 7" xfId="5861" xr:uid="{00000000-0005-0000-0000-00003D200000}"/>
    <cellStyle name="Normal 12 8 2 3" xfId="5862" xr:uid="{00000000-0005-0000-0000-00003E200000}"/>
    <cellStyle name="Normal 12 8 2 3 2" xfId="5863" xr:uid="{00000000-0005-0000-0000-00003F200000}"/>
    <cellStyle name="Normal 12 8 2 3 2 2" xfId="48416" xr:uid="{00000000-0005-0000-0000-000040200000}"/>
    <cellStyle name="Normal 12 8 2 3 2 3" xfId="48417" xr:uid="{00000000-0005-0000-0000-000041200000}"/>
    <cellStyle name="Normal 12 8 2 3 3" xfId="5864" xr:uid="{00000000-0005-0000-0000-000042200000}"/>
    <cellStyle name="Normal 12 8 2 3 3 2" xfId="48418" xr:uid="{00000000-0005-0000-0000-000043200000}"/>
    <cellStyle name="Normal 12 8 2 3 4" xfId="5865" xr:uid="{00000000-0005-0000-0000-000044200000}"/>
    <cellStyle name="Normal 12 8 2 3 5" xfId="5866" xr:uid="{00000000-0005-0000-0000-000045200000}"/>
    <cellStyle name="Normal 12 8 2 3 6" xfId="5867" xr:uid="{00000000-0005-0000-0000-000046200000}"/>
    <cellStyle name="Normal 12 8 2 4" xfId="5868" xr:uid="{00000000-0005-0000-0000-000047200000}"/>
    <cellStyle name="Normal 12 8 2 4 2" xfId="48419" xr:uid="{00000000-0005-0000-0000-000048200000}"/>
    <cellStyle name="Normal 12 8 2 4 3" xfId="48420" xr:uid="{00000000-0005-0000-0000-000049200000}"/>
    <cellStyle name="Normal 12 8 2 5" xfId="5869" xr:uid="{00000000-0005-0000-0000-00004A200000}"/>
    <cellStyle name="Normal 12 8 2 5 2" xfId="48421" xr:uid="{00000000-0005-0000-0000-00004B200000}"/>
    <cellStyle name="Normal 12 8 2 6" xfId="5870" xr:uid="{00000000-0005-0000-0000-00004C200000}"/>
    <cellStyle name="Normal 12 8 2 7" xfId="5871" xr:uid="{00000000-0005-0000-0000-00004D200000}"/>
    <cellStyle name="Normal 12 8 2 8" xfId="5872" xr:uid="{00000000-0005-0000-0000-00004E200000}"/>
    <cellStyle name="Normal 12 8 2 9" xfId="5873" xr:uid="{00000000-0005-0000-0000-00004F200000}"/>
    <cellStyle name="Normal 12 8 3" xfId="5874" xr:uid="{00000000-0005-0000-0000-000050200000}"/>
    <cellStyle name="Normal 12 8 3 2" xfId="5875" xr:uid="{00000000-0005-0000-0000-000051200000}"/>
    <cellStyle name="Normal 12 8 3 2 2" xfId="5876" xr:uid="{00000000-0005-0000-0000-000052200000}"/>
    <cellStyle name="Normal 12 8 3 2 2 2" xfId="48422" xr:uid="{00000000-0005-0000-0000-000053200000}"/>
    <cellStyle name="Normal 12 8 3 2 2 3" xfId="48423" xr:uid="{00000000-0005-0000-0000-000054200000}"/>
    <cellStyle name="Normal 12 8 3 2 3" xfId="5877" xr:uid="{00000000-0005-0000-0000-000055200000}"/>
    <cellStyle name="Normal 12 8 3 2 3 2" xfId="48424" xr:uid="{00000000-0005-0000-0000-000056200000}"/>
    <cellStyle name="Normal 12 8 3 2 4" xfId="5878" xr:uid="{00000000-0005-0000-0000-000057200000}"/>
    <cellStyle name="Normal 12 8 3 2 5" xfId="5879" xr:uid="{00000000-0005-0000-0000-000058200000}"/>
    <cellStyle name="Normal 12 8 3 2 6" xfId="5880" xr:uid="{00000000-0005-0000-0000-000059200000}"/>
    <cellStyle name="Normal 12 8 3 3" xfId="5881" xr:uid="{00000000-0005-0000-0000-00005A200000}"/>
    <cellStyle name="Normal 12 8 3 3 2" xfId="48425" xr:uid="{00000000-0005-0000-0000-00005B200000}"/>
    <cellStyle name="Normal 12 8 3 3 3" xfId="48426" xr:uid="{00000000-0005-0000-0000-00005C200000}"/>
    <cellStyle name="Normal 12 8 3 4" xfId="5882" xr:uid="{00000000-0005-0000-0000-00005D200000}"/>
    <cellStyle name="Normal 12 8 3 4 2" xfId="48427" xr:uid="{00000000-0005-0000-0000-00005E200000}"/>
    <cellStyle name="Normal 12 8 3 5" xfId="5883" xr:uid="{00000000-0005-0000-0000-00005F200000}"/>
    <cellStyle name="Normal 12 8 3 6" xfId="5884" xr:uid="{00000000-0005-0000-0000-000060200000}"/>
    <cellStyle name="Normal 12 8 3 7" xfId="5885" xr:uid="{00000000-0005-0000-0000-000061200000}"/>
    <cellStyle name="Normal 12 8 4" xfId="5886" xr:uid="{00000000-0005-0000-0000-000062200000}"/>
    <cellStyle name="Normal 12 8 4 2" xfId="5887" xr:uid="{00000000-0005-0000-0000-000063200000}"/>
    <cellStyle name="Normal 12 8 4 2 2" xfId="48428" xr:uid="{00000000-0005-0000-0000-000064200000}"/>
    <cellStyle name="Normal 12 8 4 2 3" xfId="48429" xr:uid="{00000000-0005-0000-0000-000065200000}"/>
    <cellStyle name="Normal 12 8 4 3" xfId="5888" xr:uid="{00000000-0005-0000-0000-000066200000}"/>
    <cellStyle name="Normal 12 8 4 3 2" xfId="48430" xr:uid="{00000000-0005-0000-0000-000067200000}"/>
    <cellStyle name="Normal 12 8 4 4" xfId="5889" xr:uid="{00000000-0005-0000-0000-000068200000}"/>
    <cellStyle name="Normal 12 8 4 5" xfId="5890" xr:uid="{00000000-0005-0000-0000-000069200000}"/>
    <cellStyle name="Normal 12 8 4 6" xfId="5891" xr:uid="{00000000-0005-0000-0000-00006A200000}"/>
    <cellStyle name="Normal 12 8 5" xfId="5892" xr:uid="{00000000-0005-0000-0000-00006B200000}"/>
    <cellStyle name="Normal 12 8 5 2" xfId="48431" xr:uid="{00000000-0005-0000-0000-00006C200000}"/>
    <cellStyle name="Normal 12 8 5 3" xfId="48432" xr:uid="{00000000-0005-0000-0000-00006D200000}"/>
    <cellStyle name="Normal 12 8 6" xfId="5893" xr:uid="{00000000-0005-0000-0000-00006E200000}"/>
    <cellStyle name="Normal 12 8 6 2" xfId="48433" xr:uid="{00000000-0005-0000-0000-00006F200000}"/>
    <cellStyle name="Normal 12 8 7" xfId="5894" xr:uid="{00000000-0005-0000-0000-000070200000}"/>
    <cellStyle name="Normal 12 8 8" xfId="5895" xr:uid="{00000000-0005-0000-0000-000071200000}"/>
    <cellStyle name="Normal 12 8 9" xfId="5896" xr:uid="{00000000-0005-0000-0000-000072200000}"/>
    <cellStyle name="Normal 12 9" xfId="5897" xr:uid="{00000000-0005-0000-0000-000073200000}"/>
    <cellStyle name="Normal 12 9 2" xfId="5898" xr:uid="{00000000-0005-0000-0000-000074200000}"/>
    <cellStyle name="Normal 12 9 2 2" xfId="5899" xr:uid="{00000000-0005-0000-0000-000075200000}"/>
    <cellStyle name="Normal 12 9 2 2 2" xfId="5900" xr:uid="{00000000-0005-0000-0000-000076200000}"/>
    <cellStyle name="Normal 12 9 2 2 2 2" xfId="48434" xr:uid="{00000000-0005-0000-0000-000077200000}"/>
    <cellStyle name="Normal 12 9 2 2 2 3" xfId="48435" xr:uid="{00000000-0005-0000-0000-000078200000}"/>
    <cellStyle name="Normal 12 9 2 2 3" xfId="5901" xr:uid="{00000000-0005-0000-0000-000079200000}"/>
    <cellStyle name="Normal 12 9 2 2 3 2" xfId="48436" xr:uid="{00000000-0005-0000-0000-00007A200000}"/>
    <cellStyle name="Normal 12 9 2 2 4" xfId="5902" xr:uid="{00000000-0005-0000-0000-00007B200000}"/>
    <cellStyle name="Normal 12 9 2 2 5" xfId="5903" xr:uid="{00000000-0005-0000-0000-00007C200000}"/>
    <cellStyle name="Normal 12 9 2 2 6" xfId="5904" xr:uid="{00000000-0005-0000-0000-00007D200000}"/>
    <cellStyle name="Normal 12 9 2 3" xfId="5905" xr:uid="{00000000-0005-0000-0000-00007E200000}"/>
    <cellStyle name="Normal 12 9 2 3 2" xfId="48437" xr:uid="{00000000-0005-0000-0000-00007F200000}"/>
    <cellStyle name="Normal 12 9 2 3 3" xfId="48438" xr:uid="{00000000-0005-0000-0000-000080200000}"/>
    <cellStyle name="Normal 12 9 2 4" xfId="5906" xr:uid="{00000000-0005-0000-0000-000081200000}"/>
    <cellStyle name="Normal 12 9 2 4 2" xfId="48439" xr:uid="{00000000-0005-0000-0000-000082200000}"/>
    <cellStyle name="Normal 12 9 2 5" xfId="5907" xr:uid="{00000000-0005-0000-0000-000083200000}"/>
    <cellStyle name="Normal 12 9 2 6" xfId="5908" xr:uid="{00000000-0005-0000-0000-000084200000}"/>
    <cellStyle name="Normal 12 9 2 7" xfId="5909" xr:uid="{00000000-0005-0000-0000-000085200000}"/>
    <cellStyle name="Normal 12 9 3" xfId="5910" xr:uid="{00000000-0005-0000-0000-000086200000}"/>
    <cellStyle name="Normal 12 9 3 2" xfId="5911" xr:uid="{00000000-0005-0000-0000-000087200000}"/>
    <cellStyle name="Normal 12 9 3 2 2" xfId="48440" xr:uid="{00000000-0005-0000-0000-000088200000}"/>
    <cellStyle name="Normal 12 9 3 2 3" xfId="48441" xr:uid="{00000000-0005-0000-0000-000089200000}"/>
    <cellStyle name="Normal 12 9 3 3" xfId="5912" xr:uid="{00000000-0005-0000-0000-00008A200000}"/>
    <cellStyle name="Normal 12 9 3 3 2" xfId="48442" xr:uid="{00000000-0005-0000-0000-00008B200000}"/>
    <cellStyle name="Normal 12 9 3 4" xfId="5913" xr:uid="{00000000-0005-0000-0000-00008C200000}"/>
    <cellStyle name="Normal 12 9 3 5" xfId="5914" xr:uid="{00000000-0005-0000-0000-00008D200000}"/>
    <cellStyle name="Normal 12 9 3 6" xfId="5915" xr:uid="{00000000-0005-0000-0000-00008E200000}"/>
    <cellStyle name="Normal 12 9 4" xfId="5916" xr:uid="{00000000-0005-0000-0000-00008F200000}"/>
    <cellStyle name="Normal 12 9 4 2" xfId="48443" xr:uid="{00000000-0005-0000-0000-000090200000}"/>
    <cellStyle name="Normal 12 9 4 3" xfId="48444" xr:uid="{00000000-0005-0000-0000-000091200000}"/>
    <cellStyle name="Normal 12 9 5" xfId="5917" xr:uid="{00000000-0005-0000-0000-000092200000}"/>
    <cellStyle name="Normal 12 9 5 2" xfId="48445" xr:uid="{00000000-0005-0000-0000-000093200000}"/>
    <cellStyle name="Normal 12 9 6" xfId="5918" xr:uid="{00000000-0005-0000-0000-000094200000}"/>
    <cellStyle name="Normal 12 9 7" xfId="5919" xr:uid="{00000000-0005-0000-0000-000095200000}"/>
    <cellStyle name="Normal 12 9 8" xfId="5920" xr:uid="{00000000-0005-0000-0000-000096200000}"/>
    <cellStyle name="Normal 12 9 9" xfId="5921" xr:uid="{00000000-0005-0000-0000-000097200000}"/>
    <cellStyle name="Normal 120" xfId="48446" xr:uid="{00000000-0005-0000-0000-000098200000}"/>
    <cellStyle name="Normal 120 2" xfId="48447" xr:uid="{00000000-0005-0000-0000-000099200000}"/>
    <cellStyle name="Normal 13" xfId="5922" xr:uid="{00000000-0005-0000-0000-00009A200000}"/>
    <cellStyle name="Normal 13 10" xfId="5923" xr:uid="{00000000-0005-0000-0000-00009B200000}"/>
    <cellStyle name="Normal 13 10 2" xfId="5924" xr:uid="{00000000-0005-0000-0000-00009C200000}"/>
    <cellStyle name="Normal 13 10 2 2" xfId="5925" xr:uid="{00000000-0005-0000-0000-00009D200000}"/>
    <cellStyle name="Normal 13 10 2 2 2" xfId="5926" xr:uid="{00000000-0005-0000-0000-00009E200000}"/>
    <cellStyle name="Normal 13 10 2 2 2 2" xfId="48448" xr:uid="{00000000-0005-0000-0000-00009F200000}"/>
    <cellStyle name="Normal 13 10 2 2 2 3" xfId="48449" xr:uid="{00000000-0005-0000-0000-0000A0200000}"/>
    <cellStyle name="Normal 13 10 2 2 3" xfId="5927" xr:uid="{00000000-0005-0000-0000-0000A1200000}"/>
    <cellStyle name="Normal 13 10 2 2 3 2" xfId="48450" xr:uid="{00000000-0005-0000-0000-0000A2200000}"/>
    <cellStyle name="Normal 13 10 2 2 4" xfId="5928" xr:uid="{00000000-0005-0000-0000-0000A3200000}"/>
    <cellStyle name="Normal 13 10 2 2 5" xfId="5929" xr:uid="{00000000-0005-0000-0000-0000A4200000}"/>
    <cellStyle name="Normal 13 10 2 2 6" xfId="5930" xr:uid="{00000000-0005-0000-0000-0000A5200000}"/>
    <cellStyle name="Normal 13 10 2 3" xfId="5931" xr:uid="{00000000-0005-0000-0000-0000A6200000}"/>
    <cellStyle name="Normal 13 10 2 3 2" xfId="48451" xr:uid="{00000000-0005-0000-0000-0000A7200000}"/>
    <cellStyle name="Normal 13 10 2 3 3" xfId="48452" xr:uid="{00000000-0005-0000-0000-0000A8200000}"/>
    <cellStyle name="Normal 13 10 2 4" xfId="5932" xr:uid="{00000000-0005-0000-0000-0000A9200000}"/>
    <cellStyle name="Normal 13 10 2 4 2" xfId="48453" xr:uid="{00000000-0005-0000-0000-0000AA200000}"/>
    <cellStyle name="Normal 13 10 2 5" xfId="5933" xr:uid="{00000000-0005-0000-0000-0000AB200000}"/>
    <cellStyle name="Normal 13 10 2 6" xfId="5934" xr:uid="{00000000-0005-0000-0000-0000AC200000}"/>
    <cellStyle name="Normal 13 10 2 7" xfId="5935" xr:uid="{00000000-0005-0000-0000-0000AD200000}"/>
    <cellStyle name="Normal 13 10 3" xfId="5936" xr:uid="{00000000-0005-0000-0000-0000AE200000}"/>
    <cellStyle name="Normal 13 10 3 2" xfId="5937" xr:uid="{00000000-0005-0000-0000-0000AF200000}"/>
    <cellStyle name="Normal 13 10 3 2 2" xfId="48454" xr:uid="{00000000-0005-0000-0000-0000B0200000}"/>
    <cellStyle name="Normal 13 10 3 2 3" xfId="48455" xr:uid="{00000000-0005-0000-0000-0000B1200000}"/>
    <cellStyle name="Normal 13 10 3 3" xfId="5938" xr:uid="{00000000-0005-0000-0000-0000B2200000}"/>
    <cellStyle name="Normal 13 10 3 3 2" xfId="48456" xr:uid="{00000000-0005-0000-0000-0000B3200000}"/>
    <cellStyle name="Normal 13 10 3 4" xfId="5939" xr:uid="{00000000-0005-0000-0000-0000B4200000}"/>
    <cellStyle name="Normal 13 10 3 5" xfId="5940" xr:uid="{00000000-0005-0000-0000-0000B5200000}"/>
    <cellStyle name="Normal 13 10 3 6" xfId="5941" xr:uid="{00000000-0005-0000-0000-0000B6200000}"/>
    <cellStyle name="Normal 13 10 4" xfId="5942" xr:uid="{00000000-0005-0000-0000-0000B7200000}"/>
    <cellStyle name="Normal 13 10 4 2" xfId="48457" xr:uid="{00000000-0005-0000-0000-0000B8200000}"/>
    <cellStyle name="Normal 13 10 4 3" xfId="48458" xr:uid="{00000000-0005-0000-0000-0000B9200000}"/>
    <cellStyle name="Normal 13 10 5" xfId="5943" xr:uid="{00000000-0005-0000-0000-0000BA200000}"/>
    <cellStyle name="Normal 13 10 5 2" xfId="48459" xr:uid="{00000000-0005-0000-0000-0000BB200000}"/>
    <cellStyle name="Normal 13 10 6" xfId="5944" xr:uid="{00000000-0005-0000-0000-0000BC200000}"/>
    <cellStyle name="Normal 13 10 7" xfId="5945" xr:uid="{00000000-0005-0000-0000-0000BD200000}"/>
    <cellStyle name="Normal 13 10 8" xfId="5946" xr:uid="{00000000-0005-0000-0000-0000BE200000}"/>
    <cellStyle name="Normal 13 10 9" xfId="5947" xr:uid="{00000000-0005-0000-0000-0000BF200000}"/>
    <cellStyle name="Normal 13 11" xfId="5948" xr:uid="{00000000-0005-0000-0000-0000C0200000}"/>
    <cellStyle name="Normal 13 11 2" xfId="5949" xr:uid="{00000000-0005-0000-0000-0000C1200000}"/>
    <cellStyle name="Normal 13 11 2 2" xfId="5950" xr:uid="{00000000-0005-0000-0000-0000C2200000}"/>
    <cellStyle name="Normal 13 11 2 2 2" xfId="5951" xr:uid="{00000000-0005-0000-0000-0000C3200000}"/>
    <cellStyle name="Normal 13 11 2 2 2 2" xfId="48460" xr:uid="{00000000-0005-0000-0000-0000C4200000}"/>
    <cellStyle name="Normal 13 11 2 2 2 3" xfId="48461" xr:uid="{00000000-0005-0000-0000-0000C5200000}"/>
    <cellStyle name="Normal 13 11 2 2 3" xfId="5952" xr:uid="{00000000-0005-0000-0000-0000C6200000}"/>
    <cellStyle name="Normal 13 11 2 2 3 2" xfId="48462" xr:uid="{00000000-0005-0000-0000-0000C7200000}"/>
    <cellStyle name="Normal 13 11 2 2 4" xfId="5953" xr:uid="{00000000-0005-0000-0000-0000C8200000}"/>
    <cellStyle name="Normal 13 11 2 2 5" xfId="5954" xr:uid="{00000000-0005-0000-0000-0000C9200000}"/>
    <cellStyle name="Normal 13 11 2 2 6" xfId="5955" xr:uid="{00000000-0005-0000-0000-0000CA200000}"/>
    <cellStyle name="Normal 13 11 2 3" xfId="5956" xr:uid="{00000000-0005-0000-0000-0000CB200000}"/>
    <cellStyle name="Normal 13 11 2 3 2" xfId="48463" xr:uid="{00000000-0005-0000-0000-0000CC200000}"/>
    <cellStyle name="Normal 13 11 2 3 3" xfId="48464" xr:uid="{00000000-0005-0000-0000-0000CD200000}"/>
    <cellStyle name="Normal 13 11 2 4" xfId="5957" xr:uid="{00000000-0005-0000-0000-0000CE200000}"/>
    <cellStyle name="Normal 13 11 2 4 2" xfId="48465" xr:uid="{00000000-0005-0000-0000-0000CF200000}"/>
    <cellStyle name="Normal 13 11 2 5" xfId="5958" xr:uid="{00000000-0005-0000-0000-0000D0200000}"/>
    <cellStyle name="Normal 13 11 2 6" xfId="5959" xr:uid="{00000000-0005-0000-0000-0000D1200000}"/>
    <cellStyle name="Normal 13 11 2 7" xfId="5960" xr:uid="{00000000-0005-0000-0000-0000D2200000}"/>
    <cellStyle name="Normal 13 11 3" xfId="5961" xr:uid="{00000000-0005-0000-0000-0000D3200000}"/>
    <cellStyle name="Normal 13 11 3 2" xfId="5962" xr:uid="{00000000-0005-0000-0000-0000D4200000}"/>
    <cellStyle name="Normal 13 11 3 2 2" xfId="48466" xr:uid="{00000000-0005-0000-0000-0000D5200000}"/>
    <cellStyle name="Normal 13 11 3 2 3" xfId="48467" xr:uid="{00000000-0005-0000-0000-0000D6200000}"/>
    <cellStyle name="Normal 13 11 3 3" xfId="5963" xr:uid="{00000000-0005-0000-0000-0000D7200000}"/>
    <cellStyle name="Normal 13 11 3 3 2" xfId="48468" xr:uid="{00000000-0005-0000-0000-0000D8200000}"/>
    <cellStyle name="Normal 13 11 3 4" xfId="5964" xr:uid="{00000000-0005-0000-0000-0000D9200000}"/>
    <cellStyle name="Normal 13 11 3 5" xfId="5965" xr:uid="{00000000-0005-0000-0000-0000DA200000}"/>
    <cellStyle name="Normal 13 11 3 6" xfId="5966" xr:uid="{00000000-0005-0000-0000-0000DB200000}"/>
    <cellStyle name="Normal 13 11 4" xfId="5967" xr:uid="{00000000-0005-0000-0000-0000DC200000}"/>
    <cellStyle name="Normal 13 11 4 2" xfId="48469" xr:uid="{00000000-0005-0000-0000-0000DD200000}"/>
    <cellStyle name="Normal 13 11 4 3" xfId="48470" xr:uid="{00000000-0005-0000-0000-0000DE200000}"/>
    <cellStyle name="Normal 13 11 5" xfId="5968" xr:uid="{00000000-0005-0000-0000-0000DF200000}"/>
    <cellStyle name="Normal 13 11 5 2" xfId="48471" xr:uid="{00000000-0005-0000-0000-0000E0200000}"/>
    <cellStyle name="Normal 13 11 6" xfId="5969" xr:uid="{00000000-0005-0000-0000-0000E1200000}"/>
    <cellStyle name="Normal 13 11 7" xfId="5970" xr:uid="{00000000-0005-0000-0000-0000E2200000}"/>
    <cellStyle name="Normal 13 11 8" xfId="5971" xr:uid="{00000000-0005-0000-0000-0000E3200000}"/>
    <cellStyle name="Normal 13 12" xfId="5972" xr:uid="{00000000-0005-0000-0000-0000E4200000}"/>
    <cellStyle name="Normal 13 12 2" xfId="5973" xr:uid="{00000000-0005-0000-0000-0000E5200000}"/>
    <cellStyle name="Normal 13 12 2 2" xfId="5974" xr:uid="{00000000-0005-0000-0000-0000E6200000}"/>
    <cellStyle name="Normal 13 12 2 2 2" xfId="5975" xr:uid="{00000000-0005-0000-0000-0000E7200000}"/>
    <cellStyle name="Normal 13 12 2 2 2 2" xfId="48472" xr:uid="{00000000-0005-0000-0000-0000E8200000}"/>
    <cellStyle name="Normal 13 12 2 2 2 3" xfId="48473" xr:uid="{00000000-0005-0000-0000-0000E9200000}"/>
    <cellStyle name="Normal 13 12 2 2 3" xfId="5976" xr:uid="{00000000-0005-0000-0000-0000EA200000}"/>
    <cellStyle name="Normal 13 12 2 2 3 2" xfId="48474" xr:uid="{00000000-0005-0000-0000-0000EB200000}"/>
    <cellStyle name="Normal 13 12 2 2 4" xfId="5977" xr:uid="{00000000-0005-0000-0000-0000EC200000}"/>
    <cellStyle name="Normal 13 12 2 2 5" xfId="5978" xr:uid="{00000000-0005-0000-0000-0000ED200000}"/>
    <cellStyle name="Normal 13 12 2 2 6" xfId="5979" xr:uid="{00000000-0005-0000-0000-0000EE200000}"/>
    <cellStyle name="Normal 13 12 2 3" xfId="5980" xr:uid="{00000000-0005-0000-0000-0000EF200000}"/>
    <cellStyle name="Normal 13 12 2 3 2" xfId="48475" xr:uid="{00000000-0005-0000-0000-0000F0200000}"/>
    <cellStyle name="Normal 13 12 2 3 3" xfId="48476" xr:uid="{00000000-0005-0000-0000-0000F1200000}"/>
    <cellStyle name="Normal 13 12 2 4" xfId="5981" xr:uid="{00000000-0005-0000-0000-0000F2200000}"/>
    <cellStyle name="Normal 13 12 2 4 2" xfId="48477" xr:uid="{00000000-0005-0000-0000-0000F3200000}"/>
    <cellStyle name="Normal 13 12 2 5" xfId="5982" xr:uid="{00000000-0005-0000-0000-0000F4200000}"/>
    <cellStyle name="Normal 13 12 2 6" xfId="5983" xr:uid="{00000000-0005-0000-0000-0000F5200000}"/>
    <cellStyle name="Normal 13 12 2 7" xfId="5984" xr:uid="{00000000-0005-0000-0000-0000F6200000}"/>
    <cellStyle name="Normal 13 12 3" xfId="5985" xr:uid="{00000000-0005-0000-0000-0000F7200000}"/>
    <cellStyle name="Normal 13 12 3 2" xfId="5986" xr:uid="{00000000-0005-0000-0000-0000F8200000}"/>
    <cellStyle name="Normal 13 12 3 2 2" xfId="48478" xr:uid="{00000000-0005-0000-0000-0000F9200000}"/>
    <cellStyle name="Normal 13 12 3 2 3" xfId="48479" xr:uid="{00000000-0005-0000-0000-0000FA200000}"/>
    <cellStyle name="Normal 13 12 3 3" xfId="5987" xr:uid="{00000000-0005-0000-0000-0000FB200000}"/>
    <cellStyle name="Normal 13 12 3 3 2" xfId="48480" xr:uid="{00000000-0005-0000-0000-0000FC200000}"/>
    <cellStyle name="Normal 13 12 3 4" xfId="5988" xr:uid="{00000000-0005-0000-0000-0000FD200000}"/>
    <cellStyle name="Normal 13 12 3 5" xfId="5989" xr:uid="{00000000-0005-0000-0000-0000FE200000}"/>
    <cellStyle name="Normal 13 12 3 6" xfId="5990" xr:uid="{00000000-0005-0000-0000-0000FF200000}"/>
    <cellStyle name="Normal 13 12 4" xfId="5991" xr:uid="{00000000-0005-0000-0000-000000210000}"/>
    <cellStyle name="Normal 13 12 4 2" xfId="48481" xr:uid="{00000000-0005-0000-0000-000001210000}"/>
    <cellStyle name="Normal 13 12 4 3" xfId="48482" xr:uid="{00000000-0005-0000-0000-000002210000}"/>
    <cellStyle name="Normal 13 12 5" xfId="5992" xr:uid="{00000000-0005-0000-0000-000003210000}"/>
    <cellStyle name="Normal 13 12 5 2" xfId="48483" xr:uid="{00000000-0005-0000-0000-000004210000}"/>
    <cellStyle name="Normal 13 12 6" xfId="5993" xr:uid="{00000000-0005-0000-0000-000005210000}"/>
    <cellStyle name="Normal 13 12 7" xfId="5994" xr:uid="{00000000-0005-0000-0000-000006210000}"/>
    <cellStyle name="Normal 13 12 8" xfId="5995" xr:uid="{00000000-0005-0000-0000-000007210000}"/>
    <cellStyle name="Normal 13 13" xfId="5996" xr:uid="{00000000-0005-0000-0000-000008210000}"/>
    <cellStyle name="Normal 13 13 2" xfId="5997" xr:uid="{00000000-0005-0000-0000-000009210000}"/>
    <cellStyle name="Normal 13 13 2 2" xfId="5998" xr:uid="{00000000-0005-0000-0000-00000A210000}"/>
    <cellStyle name="Normal 13 13 2 2 2" xfId="48484" xr:uid="{00000000-0005-0000-0000-00000B210000}"/>
    <cellStyle name="Normal 13 13 2 2 3" xfId="48485" xr:uid="{00000000-0005-0000-0000-00000C210000}"/>
    <cellStyle name="Normal 13 13 2 3" xfId="5999" xr:uid="{00000000-0005-0000-0000-00000D210000}"/>
    <cellStyle name="Normal 13 13 2 3 2" xfId="48486" xr:uid="{00000000-0005-0000-0000-00000E210000}"/>
    <cellStyle name="Normal 13 13 2 4" xfId="6000" xr:uid="{00000000-0005-0000-0000-00000F210000}"/>
    <cellStyle name="Normal 13 13 2 5" xfId="6001" xr:uid="{00000000-0005-0000-0000-000010210000}"/>
    <cellStyle name="Normal 13 13 2 6" xfId="6002" xr:uid="{00000000-0005-0000-0000-000011210000}"/>
    <cellStyle name="Normal 13 13 3" xfId="6003" xr:uid="{00000000-0005-0000-0000-000012210000}"/>
    <cellStyle name="Normal 13 13 3 2" xfId="48487" xr:uid="{00000000-0005-0000-0000-000013210000}"/>
    <cellStyle name="Normal 13 13 3 3" xfId="48488" xr:uid="{00000000-0005-0000-0000-000014210000}"/>
    <cellStyle name="Normal 13 13 4" xfId="6004" xr:uid="{00000000-0005-0000-0000-000015210000}"/>
    <cellStyle name="Normal 13 13 4 2" xfId="48489" xr:uid="{00000000-0005-0000-0000-000016210000}"/>
    <cellStyle name="Normal 13 13 5" xfId="6005" xr:uid="{00000000-0005-0000-0000-000017210000}"/>
    <cellStyle name="Normal 13 13 6" xfId="6006" xr:uid="{00000000-0005-0000-0000-000018210000}"/>
    <cellStyle name="Normal 13 13 7" xfId="6007" xr:uid="{00000000-0005-0000-0000-000019210000}"/>
    <cellStyle name="Normal 13 14" xfId="6008" xr:uid="{00000000-0005-0000-0000-00001A210000}"/>
    <cellStyle name="Normal 13 14 2" xfId="6009" xr:uid="{00000000-0005-0000-0000-00001B210000}"/>
    <cellStyle name="Normal 13 14 2 2" xfId="48490" xr:uid="{00000000-0005-0000-0000-00001C210000}"/>
    <cellStyle name="Normal 13 14 2 3" xfId="48491" xr:uid="{00000000-0005-0000-0000-00001D210000}"/>
    <cellStyle name="Normal 13 14 3" xfId="6010" xr:uid="{00000000-0005-0000-0000-00001E210000}"/>
    <cellStyle name="Normal 13 14 3 2" xfId="48492" xr:uid="{00000000-0005-0000-0000-00001F210000}"/>
    <cellStyle name="Normal 13 14 4" xfId="6011" xr:uid="{00000000-0005-0000-0000-000020210000}"/>
    <cellStyle name="Normal 13 14 5" xfId="6012" xr:uid="{00000000-0005-0000-0000-000021210000}"/>
    <cellStyle name="Normal 13 14 6" xfId="6013" xr:uid="{00000000-0005-0000-0000-000022210000}"/>
    <cellStyle name="Normal 13 15" xfId="6014" xr:uid="{00000000-0005-0000-0000-000023210000}"/>
    <cellStyle name="Normal 13 15 2" xfId="48493" xr:uid="{00000000-0005-0000-0000-000024210000}"/>
    <cellStyle name="Normal 13 15 3" xfId="48494" xr:uid="{00000000-0005-0000-0000-000025210000}"/>
    <cellStyle name="Normal 13 16" xfId="6015" xr:uid="{00000000-0005-0000-0000-000026210000}"/>
    <cellStyle name="Normal 13 16 2" xfId="48495" xr:uid="{00000000-0005-0000-0000-000027210000}"/>
    <cellStyle name="Normal 13 17" xfId="6016" xr:uid="{00000000-0005-0000-0000-000028210000}"/>
    <cellStyle name="Normal 13 17 2" xfId="48496" xr:uid="{00000000-0005-0000-0000-000029210000}"/>
    <cellStyle name="Normal 13 18" xfId="6017" xr:uid="{00000000-0005-0000-0000-00002A210000}"/>
    <cellStyle name="Normal 13 19" xfId="6018" xr:uid="{00000000-0005-0000-0000-00002B210000}"/>
    <cellStyle name="Normal 13 2" xfId="6019" xr:uid="{00000000-0005-0000-0000-00002C210000}"/>
    <cellStyle name="Normal 13 2 10" xfId="6020" xr:uid="{00000000-0005-0000-0000-00002D210000}"/>
    <cellStyle name="Normal 13 2 10 2" xfId="6021" xr:uid="{00000000-0005-0000-0000-00002E210000}"/>
    <cellStyle name="Normal 13 2 10 2 2" xfId="6022" xr:uid="{00000000-0005-0000-0000-00002F210000}"/>
    <cellStyle name="Normal 13 2 10 2 2 2" xfId="6023" xr:uid="{00000000-0005-0000-0000-000030210000}"/>
    <cellStyle name="Normal 13 2 10 2 2 2 2" xfId="48497" xr:uid="{00000000-0005-0000-0000-000031210000}"/>
    <cellStyle name="Normal 13 2 10 2 2 2 3" xfId="48498" xr:uid="{00000000-0005-0000-0000-000032210000}"/>
    <cellStyle name="Normal 13 2 10 2 2 3" xfId="6024" xr:uid="{00000000-0005-0000-0000-000033210000}"/>
    <cellStyle name="Normal 13 2 10 2 2 3 2" xfId="48499" xr:uid="{00000000-0005-0000-0000-000034210000}"/>
    <cellStyle name="Normal 13 2 10 2 2 4" xfId="6025" xr:uid="{00000000-0005-0000-0000-000035210000}"/>
    <cellStyle name="Normal 13 2 10 2 2 5" xfId="6026" xr:uid="{00000000-0005-0000-0000-000036210000}"/>
    <cellStyle name="Normal 13 2 10 2 2 6" xfId="6027" xr:uid="{00000000-0005-0000-0000-000037210000}"/>
    <cellStyle name="Normal 13 2 10 2 3" xfId="6028" xr:uid="{00000000-0005-0000-0000-000038210000}"/>
    <cellStyle name="Normal 13 2 10 2 3 2" xfId="48500" xr:uid="{00000000-0005-0000-0000-000039210000}"/>
    <cellStyle name="Normal 13 2 10 2 3 3" xfId="48501" xr:uid="{00000000-0005-0000-0000-00003A210000}"/>
    <cellStyle name="Normal 13 2 10 2 4" xfId="6029" xr:uid="{00000000-0005-0000-0000-00003B210000}"/>
    <cellStyle name="Normal 13 2 10 2 4 2" xfId="48502" xr:uid="{00000000-0005-0000-0000-00003C210000}"/>
    <cellStyle name="Normal 13 2 10 2 5" xfId="6030" xr:uid="{00000000-0005-0000-0000-00003D210000}"/>
    <cellStyle name="Normal 13 2 10 2 6" xfId="6031" xr:uid="{00000000-0005-0000-0000-00003E210000}"/>
    <cellStyle name="Normal 13 2 10 2 7" xfId="6032" xr:uid="{00000000-0005-0000-0000-00003F210000}"/>
    <cellStyle name="Normal 13 2 10 3" xfId="6033" xr:uid="{00000000-0005-0000-0000-000040210000}"/>
    <cellStyle name="Normal 13 2 10 3 2" xfId="6034" xr:uid="{00000000-0005-0000-0000-000041210000}"/>
    <cellStyle name="Normal 13 2 10 3 2 2" xfId="48503" xr:uid="{00000000-0005-0000-0000-000042210000}"/>
    <cellStyle name="Normal 13 2 10 3 2 3" xfId="48504" xr:uid="{00000000-0005-0000-0000-000043210000}"/>
    <cellStyle name="Normal 13 2 10 3 3" xfId="6035" xr:uid="{00000000-0005-0000-0000-000044210000}"/>
    <cellStyle name="Normal 13 2 10 3 3 2" xfId="48505" xr:uid="{00000000-0005-0000-0000-000045210000}"/>
    <cellStyle name="Normal 13 2 10 3 4" xfId="6036" xr:uid="{00000000-0005-0000-0000-000046210000}"/>
    <cellStyle name="Normal 13 2 10 3 5" xfId="6037" xr:uid="{00000000-0005-0000-0000-000047210000}"/>
    <cellStyle name="Normal 13 2 10 3 6" xfId="6038" xr:uid="{00000000-0005-0000-0000-000048210000}"/>
    <cellStyle name="Normal 13 2 10 4" xfId="6039" xr:uid="{00000000-0005-0000-0000-000049210000}"/>
    <cellStyle name="Normal 13 2 10 4 2" xfId="48506" xr:uid="{00000000-0005-0000-0000-00004A210000}"/>
    <cellStyle name="Normal 13 2 10 4 3" xfId="48507" xr:uid="{00000000-0005-0000-0000-00004B210000}"/>
    <cellStyle name="Normal 13 2 10 5" xfId="6040" xr:uid="{00000000-0005-0000-0000-00004C210000}"/>
    <cellStyle name="Normal 13 2 10 5 2" xfId="48508" xr:uid="{00000000-0005-0000-0000-00004D210000}"/>
    <cellStyle name="Normal 13 2 10 6" xfId="6041" xr:uid="{00000000-0005-0000-0000-00004E210000}"/>
    <cellStyle name="Normal 13 2 10 7" xfId="6042" xr:uid="{00000000-0005-0000-0000-00004F210000}"/>
    <cellStyle name="Normal 13 2 10 8" xfId="6043" xr:uid="{00000000-0005-0000-0000-000050210000}"/>
    <cellStyle name="Normal 13 2 11" xfId="6044" xr:uid="{00000000-0005-0000-0000-000051210000}"/>
    <cellStyle name="Normal 13 2 11 2" xfId="6045" xr:uid="{00000000-0005-0000-0000-000052210000}"/>
    <cellStyle name="Normal 13 2 11 2 2" xfId="6046" xr:uid="{00000000-0005-0000-0000-000053210000}"/>
    <cellStyle name="Normal 13 2 11 2 2 2" xfId="6047" xr:uid="{00000000-0005-0000-0000-000054210000}"/>
    <cellStyle name="Normal 13 2 11 2 2 2 2" xfId="48509" xr:uid="{00000000-0005-0000-0000-000055210000}"/>
    <cellStyle name="Normal 13 2 11 2 2 2 3" xfId="48510" xr:uid="{00000000-0005-0000-0000-000056210000}"/>
    <cellStyle name="Normal 13 2 11 2 2 3" xfId="6048" xr:uid="{00000000-0005-0000-0000-000057210000}"/>
    <cellStyle name="Normal 13 2 11 2 2 3 2" xfId="48511" xr:uid="{00000000-0005-0000-0000-000058210000}"/>
    <cellStyle name="Normal 13 2 11 2 2 4" xfId="6049" xr:uid="{00000000-0005-0000-0000-000059210000}"/>
    <cellStyle name="Normal 13 2 11 2 2 5" xfId="6050" xr:uid="{00000000-0005-0000-0000-00005A210000}"/>
    <cellStyle name="Normal 13 2 11 2 2 6" xfId="6051" xr:uid="{00000000-0005-0000-0000-00005B210000}"/>
    <cellStyle name="Normal 13 2 11 2 3" xfId="6052" xr:uid="{00000000-0005-0000-0000-00005C210000}"/>
    <cellStyle name="Normal 13 2 11 2 3 2" xfId="48512" xr:uid="{00000000-0005-0000-0000-00005D210000}"/>
    <cellStyle name="Normal 13 2 11 2 3 3" xfId="48513" xr:uid="{00000000-0005-0000-0000-00005E210000}"/>
    <cellStyle name="Normal 13 2 11 2 4" xfId="6053" xr:uid="{00000000-0005-0000-0000-00005F210000}"/>
    <cellStyle name="Normal 13 2 11 2 4 2" xfId="48514" xr:uid="{00000000-0005-0000-0000-000060210000}"/>
    <cellStyle name="Normal 13 2 11 2 5" xfId="6054" xr:uid="{00000000-0005-0000-0000-000061210000}"/>
    <cellStyle name="Normal 13 2 11 2 6" xfId="6055" xr:uid="{00000000-0005-0000-0000-000062210000}"/>
    <cellStyle name="Normal 13 2 11 2 7" xfId="6056" xr:uid="{00000000-0005-0000-0000-000063210000}"/>
    <cellStyle name="Normal 13 2 11 3" xfId="6057" xr:uid="{00000000-0005-0000-0000-000064210000}"/>
    <cellStyle name="Normal 13 2 11 3 2" xfId="6058" xr:uid="{00000000-0005-0000-0000-000065210000}"/>
    <cellStyle name="Normal 13 2 11 3 2 2" xfId="48515" xr:uid="{00000000-0005-0000-0000-000066210000}"/>
    <cellStyle name="Normal 13 2 11 3 2 3" xfId="48516" xr:uid="{00000000-0005-0000-0000-000067210000}"/>
    <cellStyle name="Normal 13 2 11 3 3" xfId="6059" xr:uid="{00000000-0005-0000-0000-000068210000}"/>
    <cellStyle name="Normal 13 2 11 3 3 2" xfId="48517" xr:uid="{00000000-0005-0000-0000-000069210000}"/>
    <cellStyle name="Normal 13 2 11 3 4" xfId="6060" xr:uid="{00000000-0005-0000-0000-00006A210000}"/>
    <cellStyle name="Normal 13 2 11 3 5" xfId="6061" xr:uid="{00000000-0005-0000-0000-00006B210000}"/>
    <cellStyle name="Normal 13 2 11 3 6" xfId="6062" xr:uid="{00000000-0005-0000-0000-00006C210000}"/>
    <cellStyle name="Normal 13 2 11 4" xfId="6063" xr:uid="{00000000-0005-0000-0000-00006D210000}"/>
    <cellStyle name="Normal 13 2 11 4 2" xfId="48518" xr:uid="{00000000-0005-0000-0000-00006E210000}"/>
    <cellStyle name="Normal 13 2 11 4 3" xfId="48519" xr:uid="{00000000-0005-0000-0000-00006F210000}"/>
    <cellStyle name="Normal 13 2 11 5" xfId="6064" xr:uid="{00000000-0005-0000-0000-000070210000}"/>
    <cellStyle name="Normal 13 2 11 5 2" xfId="48520" xr:uid="{00000000-0005-0000-0000-000071210000}"/>
    <cellStyle name="Normal 13 2 11 6" xfId="6065" xr:uid="{00000000-0005-0000-0000-000072210000}"/>
    <cellStyle name="Normal 13 2 11 7" xfId="6066" xr:uid="{00000000-0005-0000-0000-000073210000}"/>
    <cellStyle name="Normal 13 2 11 8" xfId="6067" xr:uid="{00000000-0005-0000-0000-000074210000}"/>
    <cellStyle name="Normal 13 2 12" xfId="6068" xr:uid="{00000000-0005-0000-0000-000075210000}"/>
    <cellStyle name="Normal 13 2 12 2" xfId="6069" xr:uid="{00000000-0005-0000-0000-000076210000}"/>
    <cellStyle name="Normal 13 2 12 2 2" xfId="6070" xr:uid="{00000000-0005-0000-0000-000077210000}"/>
    <cellStyle name="Normal 13 2 12 2 2 2" xfId="48521" xr:uid="{00000000-0005-0000-0000-000078210000}"/>
    <cellStyle name="Normal 13 2 12 2 2 3" xfId="48522" xr:uid="{00000000-0005-0000-0000-000079210000}"/>
    <cellStyle name="Normal 13 2 12 2 3" xfId="6071" xr:uid="{00000000-0005-0000-0000-00007A210000}"/>
    <cellStyle name="Normal 13 2 12 2 3 2" xfId="48523" xr:uid="{00000000-0005-0000-0000-00007B210000}"/>
    <cellStyle name="Normal 13 2 12 2 4" xfId="6072" xr:uid="{00000000-0005-0000-0000-00007C210000}"/>
    <cellStyle name="Normal 13 2 12 2 5" xfId="6073" xr:uid="{00000000-0005-0000-0000-00007D210000}"/>
    <cellStyle name="Normal 13 2 12 2 6" xfId="6074" xr:uid="{00000000-0005-0000-0000-00007E210000}"/>
    <cellStyle name="Normal 13 2 12 3" xfId="6075" xr:uid="{00000000-0005-0000-0000-00007F210000}"/>
    <cellStyle name="Normal 13 2 12 3 2" xfId="48524" xr:uid="{00000000-0005-0000-0000-000080210000}"/>
    <cellStyle name="Normal 13 2 12 3 3" xfId="48525" xr:uid="{00000000-0005-0000-0000-000081210000}"/>
    <cellStyle name="Normal 13 2 12 4" xfId="6076" xr:uid="{00000000-0005-0000-0000-000082210000}"/>
    <cellStyle name="Normal 13 2 12 4 2" xfId="48526" xr:uid="{00000000-0005-0000-0000-000083210000}"/>
    <cellStyle name="Normal 13 2 12 5" xfId="6077" xr:uid="{00000000-0005-0000-0000-000084210000}"/>
    <cellStyle name="Normal 13 2 12 6" xfId="6078" xr:uid="{00000000-0005-0000-0000-000085210000}"/>
    <cellStyle name="Normal 13 2 12 7" xfId="6079" xr:uid="{00000000-0005-0000-0000-000086210000}"/>
    <cellStyle name="Normal 13 2 13" xfId="6080" xr:uid="{00000000-0005-0000-0000-000087210000}"/>
    <cellStyle name="Normal 13 2 13 2" xfId="6081" xr:uid="{00000000-0005-0000-0000-000088210000}"/>
    <cellStyle name="Normal 13 2 13 2 2" xfId="48527" xr:uid="{00000000-0005-0000-0000-000089210000}"/>
    <cellStyle name="Normal 13 2 13 2 3" xfId="48528" xr:uid="{00000000-0005-0000-0000-00008A210000}"/>
    <cellStyle name="Normal 13 2 13 3" xfId="6082" xr:uid="{00000000-0005-0000-0000-00008B210000}"/>
    <cellStyle name="Normal 13 2 13 3 2" xfId="48529" xr:uid="{00000000-0005-0000-0000-00008C210000}"/>
    <cellStyle name="Normal 13 2 13 4" xfId="6083" xr:uid="{00000000-0005-0000-0000-00008D210000}"/>
    <cellStyle name="Normal 13 2 13 5" xfId="6084" xr:uid="{00000000-0005-0000-0000-00008E210000}"/>
    <cellStyle name="Normal 13 2 13 6" xfId="6085" xr:uid="{00000000-0005-0000-0000-00008F210000}"/>
    <cellStyle name="Normal 13 2 14" xfId="6086" xr:uid="{00000000-0005-0000-0000-000090210000}"/>
    <cellStyle name="Normal 13 2 14 2" xfId="48530" xr:uid="{00000000-0005-0000-0000-000091210000}"/>
    <cellStyle name="Normal 13 2 14 3" xfId="48531" xr:uid="{00000000-0005-0000-0000-000092210000}"/>
    <cellStyle name="Normal 13 2 15" xfId="6087" xr:uid="{00000000-0005-0000-0000-000093210000}"/>
    <cellStyle name="Normal 13 2 15 2" xfId="48532" xr:uid="{00000000-0005-0000-0000-000094210000}"/>
    <cellStyle name="Normal 13 2 16" xfId="6088" xr:uid="{00000000-0005-0000-0000-000095210000}"/>
    <cellStyle name="Normal 13 2 16 2" xfId="48533" xr:uid="{00000000-0005-0000-0000-000096210000}"/>
    <cellStyle name="Normal 13 2 17" xfId="6089" xr:uid="{00000000-0005-0000-0000-000097210000}"/>
    <cellStyle name="Normal 13 2 18" xfId="6090" xr:uid="{00000000-0005-0000-0000-000098210000}"/>
    <cellStyle name="Normal 13 2 19" xfId="6091" xr:uid="{00000000-0005-0000-0000-000099210000}"/>
    <cellStyle name="Normal 13 2 2" xfId="6092" xr:uid="{00000000-0005-0000-0000-00009A210000}"/>
    <cellStyle name="Normal 13 2 2 10" xfId="6093" xr:uid="{00000000-0005-0000-0000-00009B210000}"/>
    <cellStyle name="Normal 13 2 2 10 2" xfId="6094" xr:uid="{00000000-0005-0000-0000-00009C210000}"/>
    <cellStyle name="Normal 13 2 2 10 2 2" xfId="6095" xr:uid="{00000000-0005-0000-0000-00009D210000}"/>
    <cellStyle name="Normal 13 2 2 10 2 2 2" xfId="48534" xr:uid="{00000000-0005-0000-0000-00009E210000}"/>
    <cellStyle name="Normal 13 2 2 10 2 2 3" xfId="48535" xr:uid="{00000000-0005-0000-0000-00009F210000}"/>
    <cellStyle name="Normal 13 2 2 10 2 3" xfId="6096" xr:uid="{00000000-0005-0000-0000-0000A0210000}"/>
    <cellStyle name="Normal 13 2 2 10 2 3 2" xfId="48536" xr:uid="{00000000-0005-0000-0000-0000A1210000}"/>
    <cellStyle name="Normal 13 2 2 10 2 4" xfId="6097" xr:uid="{00000000-0005-0000-0000-0000A2210000}"/>
    <cellStyle name="Normal 13 2 2 10 2 5" xfId="6098" xr:uid="{00000000-0005-0000-0000-0000A3210000}"/>
    <cellStyle name="Normal 13 2 2 10 2 6" xfId="6099" xr:uid="{00000000-0005-0000-0000-0000A4210000}"/>
    <cellStyle name="Normal 13 2 2 10 3" xfId="6100" xr:uid="{00000000-0005-0000-0000-0000A5210000}"/>
    <cellStyle name="Normal 13 2 2 10 3 2" xfId="48537" xr:uid="{00000000-0005-0000-0000-0000A6210000}"/>
    <cellStyle name="Normal 13 2 2 10 3 3" xfId="48538" xr:uid="{00000000-0005-0000-0000-0000A7210000}"/>
    <cellStyle name="Normal 13 2 2 10 4" xfId="6101" xr:uid="{00000000-0005-0000-0000-0000A8210000}"/>
    <cellStyle name="Normal 13 2 2 10 4 2" xfId="48539" xr:uid="{00000000-0005-0000-0000-0000A9210000}"/>
    <cellStyle name="Normal 13 2 2 10 5" xfId="6102" xr:uid="{00000000-0005-0000-0000-0000AA210000}"/>
    <cellStyle name="Normal 13 2 2 10 6" xfId="6103" xr:uid="{00000000-0005-0000-0000-0000AB210000}"/>
    <cellStyle name="Normal 13 2 2 10 7" xfId="6104" xr:uid="{00000000-0005-0000-0000-0000AC210000}"/>
    <cellStyle name="Normal 13 2 2 11" xfId="6105" xr:uid="{00000000-0005-0000-0000-0000AD210000}"/>
    <cellStyle name="Normal 13 2 2 11 2" xfId="6106" xr:uid="{00000000-0005-0000-0000-0000AE210000}"/>
    <cellStyle name="Normal 13 2 2 11 2 2" xfId="48540" xr:uid="{00000000-0005-0000-0000-0000AF210000}"/>
    <cellStyle name="Normal 13 2 2 11 2 3" xfId="48541" xr:uid="{00000000-0005-0000-0000-0000B0210000}"/>
    <cellStyle name="Normal 13 2 2 11 3" xfId="6107" xr:uid="{00000000-0005-0000-0000-0000B1210000}"/>
    <cellStyle name="Normal 13 2 2 11 3 2" xfId="48542" xr:uid="{00000000-0005-0000-0000-0000B2210000}"/>
    <cellStyle name="Normal 13 2 2 11 4" xfId="6108" xr:uid="{00000000-0005-0000-0000-0000B3210000}"/>
    <cellStyle name="Normal 13 2 2 11 5" xfId="6109" xr:uid="{00000000-0005-0000-0000-0000B4210000}"/>
    <cellStyle name="Normal 13 2 2 11 6" xfId="6110" xr:uid="{00000000-0005-0000-0000-0000B5210000}"/>
    <cellStyle name="Normal 13 2 2 12" xfId="6111" xr:uid="{00000000-0005-0000-0000-0000B6210000}"/>
    <cellStyle name="Normal 13 2 2 12 2" xfId="48543" xr:uid="{00000000-0005-0000-0000-0000B7210000}"/>
    <cellStyle name="Normal 13 2 2 12 3" xfId="48544" xr:uid="{00000000-0005-0000-0000-0000B8210000}"/>
    <cellStyle name="Normal 13 2 2 13" xfId="6112" xr:uid="{00000000-0005-0000-0000-0000B9210000}"/>
    <cellStyle name="Normal 13 2 2 13 2" xfId="48545" xr:uid="{00000000-0005-0000-0000-0000BA210000}"/>
    <cellStyle name="Normal 13 2 2 14" xfId="6113" xr:uid="{00000000-0005-0000-0000-0000BB210000}"/>
    <cellStyle name="Normal 13 2 2 14 2" xfId="48546" xr:uid="{00000000-0005-0000-0000-0000BC210000}"/>
    <cellStyle name="Normal 13 2 2 15" xfId="6114" xr:uid="{00000000-0005-0000-0000-0000BD210000}"/>
    <cellStyle name="Normal 13 2 2 16" xfId="6115" xr:uid="{00000000-0005-0000-0000-0000BE210000}"/>
    <cellStyle name="Normal 13 2 2 17" xfId="6116" xr:uid="{00000000-0005-0000-0000-0000BF210000}"/>
    <cellStyle name="Normal 13 2 2 18" xfId="6117" xr:uid="{00000000-0005-0000-0000-0000C0210000}"/>
    <cellStyle name="Normal 13 2 2 19" xfId="6118" xr:uid="{00000000-0005-0000-0000-0000C1210000}"/>
    <cellStyle name="Normal 13 2 2 2" xfId="6119" xr:uid="{00000000-0005-0000-0000-0000C2210000}"/>
    <cellStyle name="Normal 13 2 2 2 10" xfId="6120" xr:uid="{00000000-0005-0000-0000-0000C3210000}"/>
    <cellStyle name="Normal 13 2 2 2 11" xfId="6121" xr:uid="{00000000-0005-0000-0000-0000C4210000}"/>
    <cellStyle name="Normal 13 2 2 2 12" xfId="6122" xr:uid="{00000000-0005-0000-0000-0000C5210000}"/>
    <cellStyle name="Normal 13 2 2 2 13" xfId="6123" xr:uid="{00000000-0005-0000-0000-0000C6210000}"/>
    <cellStyle name="Normal 13 2 2 2 14" xfId="6124" xr:uid="{00000000-0005-0000-0000-0000C7210000}"/>
    <cellStyle name="Normal 13 2 2 2 15" xfId="6125" xr:uid="{00000000-0005-0000-0000-0000C8210000}"/>
    <cellStyle name="Normal 13 2 2 2 2" xfId="6126" xr:uid="{00000000-0005-0000-0000-0000C9210000}"/>
    <cellStyle name="Normal 13 2 2 2 2 10" xfId="6127" xr:uid="{00000000-0005-0000-0000-0000CA210000}"/>
    <cellStyle name="Normal 13 2 2 2 2 11" xfId="6128" xr:uid="{00000000-0005-0000-0000-0000CB210000}"/>
    <cellStyle name="Normal 13 2 2 2 2 12" xfId="6129" xr:uid="{00000000-0005-0000-0000-0000CC210000}"/>
    <cellStyle name="Normal 13 2 2 2 2 13" xfId="6130" xr:uid="{00000000-0005-0000-0000-0000CD210000}"/>
    <cellStyle name="Normal 13 2 2 2 2 14" xfId="6131" xr:uid="{00000000-0005-0000-0000-0000CE210000}"/>
    <cellStyle name="Normal 13 2 2 2 2 2" xfId="6132" xr:uid="{00000000-0005-0000-0000-0000CF210000}"/>
    <cellStyle name="Normal 13 2 2 2 2 2 2" xfId="6133" xr:uid="{00000000-0005-0000-0000-0000D0210000}"/>
    <cellStyle name="Normal 13 2 2 2 2 2 2 2" xfId="6134" xr:uid="{00000000-0005-0000-0000-0000D1210000}"/>
    <cellStyle name="Normal 13 2 2 2 2 2 2 2 2" xfId="6135" xr:uid="{00000000-0005-0000-0000-0000D2210000}"/>
    <cellStyle name="Normal 13 2 2 2 2 2 2 2 2 2" xfId="48547" xr:uid="{00000000-0005-0000-0000-0000D3210000}"/>
    <cellStyle name="Normal 13 2 2 2 2 2 2 2 2 3" xfId="48548" xr:uid="{00000000-0005-0000-0000-0000D4210000}"/>
    <cellStyle name="Normal 13 2 2 2 2 2 2 2 3" xfId="6136" xr:uid="{00000000-0005-0000-0000-0000D5210000}"/>
    <cellStyle name="Normal 13 2 2 2 2 2 2 2 3 2" xfId="48549" xr:uid="{00000000-0005-0000-0000-0000D6210000}"/>
    <cellStyle name="Normal 13 2 2 2 2 2 2 2 4" xfId="6137" xr:uid="{00000000-0005-0000-0000-0000D7210000}"/>
    <cellStyle name="Normal 13 2 2 2 2 2 2 2 5" xfId="6138" xr:uid="{00000000-0005-0000-0000-0000D8210000}"/>
    <cellStyle name="Normal 13 2 2 2 2 2 2 2 6" xfId="6139" xr:uid="{00000000-0005-0000-0000-0000D9210000}"/>
    <cellStyle name="Normal 13 2 2 2 2 2 2 3" xfId="6140" xr:uid="{00000000-0005-0000-0000-0000DA210000}"/>
    <cellStyle name="Normal 13 2 2 2 2 2 2 3 2" xfId="48550" xr:uid="{00000000-0005-0000-0000-0000DB210000}"/>
    <cellStyle name="Normal 13 2 2 2 2 2 2 3 3" xfId="48551" xr:uid="{00000000-0005-0000-0000-0000DC210000}"/>
    <cellStyle name="Normal 13 2 2 2 2 2 2 4" xfId="6141" xr:uid="{00000000-0005-0000-0000-0000DD210000}"/>
    <cellStyle name="Normal 13 2 2 2 2 2 2 4 2" xfId="48552" xr:uid="{00000000-0005-0000-0000-0000DE210000}"/>
    <cellStyle name="Normal 13 2 2 2 2 2 2 5" xfId="6142" xr:uid="{00000000-0005-0000-0000-0000DF210000}"/>
    <cellStyle name="Normal 13 2 2 2 2 2 2 6" xfId="6143" xr:uid="{00000000-0005-0000-0000-0000E0210000}"/>
    <cellStyle name="Normal 13 2 2 2 2 2 2 7" xfId="6144" xr:uid="{00000000-0005-0000-0000-0000E1210000}"/>
    <cellStyle name="Normal 13 2 2 2 2 2 3" xfId="6145" xr:uid="{00000000-0005-0000-0000-0000E2210000}"/>
    <cellStyle name="Normal 13 2 2 2 2 2 3 2" xfId="6146" xr:uid="{00000000-0005-0000-0000-0000E3210000}"/>
    <cellStyle name="Normal 13 2 2 2 2 2 3 2 2" xfId="48553" xr:uid="{00000000-0005-0000-0000-0000E4210000}"/>
    <cellStyle name="Normal 13 2 2 2 2 2 3 2 3" xfId="48554" xr:uid="{00000000-0005-0000-0000-0000E5210000}"/>
    <cellStyle name="Normal 13 2 2 2 2 2 3 3" xfId="6147" xr:uid="{00000000-0005-0000-0000-0000E6210000}"/>
    <cellStyle name="Normal 13 2 2 2 2 2 3 3 2" xfId="48555" xr:uid="{00000000-0005-0000-0000-0000E7210000}"/>
    <cellStyle name="Normal 13 2 2 2 2 2 3 4" xfId="6148" xr:uid="{00000000-0005-0000-0000-0000E8210000}"/>
    <cellStyle name="Normal 13 2 2 2 2 2 3 5" xfId="6149" xr:uid="{00000000-0005-0000-0000-0000E9210000}"/>
    <cellStyle name="Normal 13 2 2 2 2 2 3 6" xfId="6150" xr:uid="{00000000-0005-0000-0000-0000EA210000}"/>
    <cellStyle name="Normal 13 2 2 2 2 2 4" xfId="6151" xr:uid="{00000000-0005-0000-0000-0000EB210000}"/>
    <cellStyle name="Normal 13 2 2 2 2 2 4 2" xfId="48556" xr:uid="{00000000-0005-0000-0000-0000EC210000}"/>
    <cellStyle name="Normal 13 2 2 2 2 2 4 3" xfId="48557" xr:uid="{00000000-0005-0000-0000-0000ED210000}"/>
    <cellStyle name="Normal 13 2 2 2 2 2 5" xfId="6152" xr:uid="{00000000-0005-0000-0000-0000EE210000}"/>
    <cellStyle name="Normal 13 2 2 2 2 2 5 2" xfId="48558" xr:uid="{00000000-0005-0000-0000-0000EF210000}"/>
    <cellStyle name="Normal 13 2 2 2 2 2 6" xfId="6153" xr:uid="{00000000-0005-0000-0000-0000F0210000}"/>
    <cellStyle name="Normal 13 2 2 2 2 2 7" xfId="6154" xr:uid="{00000000-0005-0000-0000-0000F1210000}"/>
    <cellStyle name="Normal 13 2 2 2 2 2 8" xfId="6155" xr:uid="{00000000-0005-0000-0000-0000F2210000}"/>
    <cellStyle name="Normal 13 2 2 2 2 2 9" xfId="6156" xr:uid="{00000000-0005-0000-0000-0000F3210000}"/>
    <cellStyle name="Normal 13 2 2 2 2 3" xfId="6157" xr:uid="{00000000-0005-0000-0000-0000F4210000}"/>
    <cellStyle name="Normal 13 2 2 2 2 3 2" xfId="6158" xr:uid="{00000000-0005-0000-0000-0000F5210000}"/>
    <cellStyle name="Normal 13 2 2 2 2 3 2 2" xfId="6159" xr:uid="{00000000-0005-0000-0000-0000F6210000}"/>
    <cellStyle name="Normal 13 2 2 2 2 3 2 2 2" xfId="6160" xr:uid="{00000000-0005-0000-0000-0000F7210000}"/>
    <cellStyle name="Normal 13 2 2 2 2 3 2 2 2 2" xfId="48559" xr:uid="{00000000-0005-0000-0000-0000F8210000}"/>
    <cellStyle name="Normal 13 2 2 2 2 3 2 2 2 3" xfId="48560" xr:uid="{00000000-0005-0000-0000-0000F9210000}"/>
    <cellStyle name="Normal 13 2 2 2 2 3 2 2 3" xfId="6161" xr:uid="{00000000-0005-0000-0000-0000FA210000}"/>
    <cellStyle name="Normal 13 2 2 2 2 3 2 2 3 2" xfId="48561" xr:uid="{00000000-0005-0000-0000-0000FB210000}"/>
    <cellStyle name="Normal 13 2 2 2 2 3 2 2 4" xfId="6162" xr:uid="{00000000-0005-0000-0000-0000FC210000}"/>
    <cellStyle name="Normal 13 2 2 2 2 3 2 2 5" xfId="6163" xr:uid="{00000000-0005-0000-0000-0000FD210000}"/>
    <cellStyle name="Normal 13 2 2 2 2 3 2 2 6" xfId="6164" xr:uid="{00000000-0005-0000-0000-0000FE210000}"/>
    <cellStyle name="Normal 13 2 2 2 2 3 2 3" xfId="6165" xr:uid="{00000000-0005-0000-0000-0000FF210000}"/>
    <cellStyle name="Normal 13 2 2 2 2 3 2 3 2" xfId="48562" xr:uid="{00000000-0005-0000-0000-000000220000}"/>
    <cellStyle name="Normal 13 2 2 2 2 3 2 3 3" xfId="48563" xr:uid="{00000000-0005-0000-0000-000001220000}"/>
    <cellStyle name="Normal 13 2 2 2 2 3 2 4" xfId="6166" xr:uid="{00000000-0005-0000-0000-000002220000}"/>
    <cellStyle name="Normal 13 2 2 2 2 3 2 4 2" xfId="48564" xr:uid="{00000000-0005-0000-0000-000003220000}"/>
    <cellStyle name="Normal 13 2 2 2 2 3 2 5" xfId="6167" xr:uid="{00000000-0005-0000-0000-000004220000}"/>
    <cellStyle name="Normal 13 2 2 2 2 3 2 6" xfId="6168" xr:uid="{00000000-0005-0000-0000-000005220000}"/>
    <cellStyle name="Normal 13 2 2 2 2 3 2 7" xfId="6169" xr:uid="{00000000-0005-0000-0000-000006220000}"/>
    <cellStyle name="Normal 13 2 2 2 2 3 3" xfId="6170" xr:uid="{00000000-0005-0000-0000-000007220000}"/>
    <cellStyle name="Normal 13 2 2 2 2 3 3 2" xfId="6171" xr:uid="{00000000-0005-0000-0000-000008220000}"/>
    <cellStyle name="Normal 13 2 2 2 2 3 3 2 2" xfId="48565" xr:uid="{00000000-0005-0000-0000-000009220000}"/>
    <cellStyle name="Normal 13 2 2 2 2 3 3 2 3" xfId="48566" xr:uid="{00000000-0005-0000-0000-00000A220000}"/>
    <cellStyle name="Normal 13 2 2 2 2 3 3 3" xfId="6172" xr:uid="{00000000-0005-0000-0000-00000B220000}"/>
    <cellStyle name="Normal 13 2 2 2 2 3 3 3 2" xfId="48567" xr:uid="{00000000-0005-0000-0000-00000C220000}"/>
    <cellStyle name="Normal 13 2 2 2 2 3 3 4" xfId="6173" xr:uid="{00000000-0005-0000-0000-00000D220000}"/>
    <cellStyle name="Normal 13 2 2 2 2 3 3 5" xfId="6174" xr:uid="{00000000-0005-0000-0000-00000E220000}"/>
    <cellStyle name="Normal 13 2 2 2 2 3 3 6" xfId="6175" xr:uid="{00000000-0005-0000-0000-00000F220000}"/>
    <cellStyle name="Normal 13 2 2 2 2 3 4" xfId="6176" xr:uid="{00000000-0005-0000-0000-000010220000}"/>
    <cellStyle name="Normal 13 2 2 2 2 3 4 2" xfId="48568" xr:uid="{00000000-0005-0000-0000-000011220000}"/>
    <cellStyle name="Normal 13 2 2 2 2 3 4 3" xfId="48569" xr:uid="{00000000-0005-0000-0000-000012220000}"/>
    <cellStyle name="Normal 13 2 2 2 2 3 5" xfId="6177" xr:uid="{00000000-0005-0000-0000-000013220000}"/>
    <cellStyle name="Normal 13 2 2 2 2 3 5 2" xfId="48570" xr:uid="{00000000-0005-0000-0000-000014220000}"/>
    <cellStyle name="Normal 13 2 2 2 2 3 6" xfId="6178" xr:uid="{00000000-0005-0000-0000-000015220000}"/>
    <cellStyle name="Normal 13 2 2 2 2 3 7" xfId="6179" xr:uid="{00000000-0005-0000-0000-000016220000}"/>
    <cellStyle name="Normal 13 2 2 2 2 3 8" xfId="6180" xr:uid="{00000000-0005-0000-0000-000017220000}"/>
    <cellStyle name="Normal 13 2 2 2 2 4" xfId="6181" xr:uid="{00000000-0005-0000-0000-000018220000}"/>
    <cellStyle name="Normal 13 2 2 2 2 4 2" xfId="6182" xr:uid="{00000000-0005-0000-0000-000019220000}"/>
    <cellStyle name="Normal 13 2 2 2 2 4 2 2" xfId="6183" xr:uid="{00000000-0005-0000-0000-00001A220000}"/>
    <cellStyle name="Normal 13 2 2 2 2 4 2 2 2" xfId="48571" xr:uid="{00000000-0005-0000-0000-00001B220000}"/>
    <cellStyle name="Normal 13 2 2 2 2 4 2 2 3" xfId="48572" xr:uid="{00000000-0005-0000-0000-00001C220000}"/>
    <cellStyle name="Normal 13 2 2 2 2 4 2 3" xfId="6184" xr:uid="{00000000-0005-0000-0000-00001D220000}"/>
    <cellStyle name="Normal 13 2 2 2 2 4 2 3 2" xfId="48573" xr:uid="{00000000-0005-0000-0000-00001E220000}"/>
    <cellStyle name="Normal 13 2 2 2 2 4 2 4" xfId="6185" xr:uid="{00000000-0005-0000-0000-00001F220000}"/>
    <cellStyle name="Normal 13 2 2 2 2 4 2 5" xfId="6186" xr:uid="{00000000-0005-0000-0000-000020220000}"/>
    <cellStyle name="Normal 13 2 2 2 2 4 2 6" xfId="6187" xr:uid="{00000000-0005-0000-0000-000021220000}"/>
    <cellStyle name="Normal 13 2 2 2 2 4 3" xfId="6188" xr:uid="{00000000-0005-0000-0000-000022220000}"/>
    <cellStyle name="Normal 13 2 2 2 2 4 3 2" xfId="48574" xr:uid="{00000000-0005-0000-0000-000023220000}"/>
    <cellStyle name="Normal 13 2 2 2 2 4 3 3" xfId="48575" xr:uid="{00000000-0005-0000-0000-000024220000}"/>
    <cellStyle name="Normal 13 2 2 2 2 4 4" xfId="6189" xr:uid="{00000000-0005-0000-0000-000025220000}"/>
    <cellStyle name="Normal 13 2 2 2 2 4 4 2" xfId="48576" xr:uid="{00000000-0005-0000-0000-000026220000}"/>
    <cellStyle name="Normal 13 2 2 2 2 4 5" xfId="6190" xr:uid="{00000000-0005-0000-0000-000027220000}"/>
    <cellStyle name="Normal 13 2 2 2 2 4 6" xfId="6191" xr:uid="{00000000-0005-0000-0000-000028220000}"/>
    <cellStyle name="Normal 13 2 2 2 2 4 7" xfId="6192" xr:uid="{00000000-0005-0000-0000-000029220000}"/>
    <cellStyle name="Normal 13 2 2 2 2 5" xfId="6193" xr:uid="{00000000-0005-0000-0000-00002A220000}"/>
    <cellStyle name="Normal 13 2 2 2 2 5 2" xfId="6194" xr:uid="{00000000-0005-0000-0000-00002B220000}"/>
    <cellStyle name="Normal 13 2 2 2 2 5 2 2" xfId="48577" xr:uid="{00000000-0005-0000-0000-00002C220000}"/>
    <cellStyle name="Normal 13 2 2 2 2 5 2 3" xfId="48578" xr:uid="{00000000-0005-0000-0000-00002D220000}"/>
    <cellStyle name="Normal 13 2 2 2 2 5 3" xfId="6195" xr:uid="{00000000-0005-0000-0000-00002E220000}"/>
    <cellStyle name="Normal 13 2 2 2 2 5 3 2" xfId="48579" xr:uid="{00000000-0005-0000-0000-00002F220000}"/>
    <cellStyle name="Normal 13 2 2 2 2 5 4" xfId="6196" xr:uid="{00000000-0005-0000-0000-000030220000}"/>
    <cellStyle name="Normal 13 2 2 2 2 5 5" xfId="6197" xr:uid="{00000000-0005-0000-0000-000031220000}"/>
    <cellStyle name="Normal 13 2 2 2 2 5 6" xfId="6198" xr:uid="{00000000-0005-0000-0000-000032220000}"/>
    <cellStyle name="Normal 13 2 2 2 2 6" xfId="6199" xr:uid="{00000000-0005-0000-0000-000033220000}"/>
    <cellStyle name="Normal 13 2 2 2 2 6 2" xfId="48580" xr:uid="{00000000-0005-0000-0000-000034220000}"/>
    <cellStyle name="Normal 13 2 2 2 2 6 3" xfId="48581" xr:uid="{00000000-0005-0000-0000-000035220000}"/>
    <cellStyle name="Normal 13 2 2 2 2 7" xfId="6200" xr:uid="{00000000-0005-0000-0000-000036220000}"/>
    <cellStyle name="Normal 13 2 2 2 2 7 2" xfId="48582" xr:uid="{00000000-0005-0000-0000-000037220000}"/>
    <cellStyle name="Normal 13 2 2 2 2 8" xfId="6201" xr:uid="{00000000-0005-0000-0000-000038220000}"/>
    <cellStyle name="Normal 13 2 2 2 2 9" xfId="6202" xr:uid="{00000000-0005-0000-0000-000039220000}"/>
    <cellStyle name="Normal 13 2 2 2 3" xfId="6203" xr:uid="{00000000-0005-0000-0000-00003A220000}"/>
    <cellStyle name="Normal 13 2 2 2 3 2" xfId="6204" xr:uid="{00000000-0005-0000-0000-00003B220000}"/>
    <cellStyle name="Normal 13 2 2 2 3 2 2" xfId="6205" xr:uid="{00000000-0005-0000-0000-00003C220000}"/>
    <cellStyle name="Normal 13 2 2 2 3 2 2 2" xfId="6206" xr:uid="{00000000-0005-0000-0000-00003D220000}"/>
    <cellStyle name="Normal 13 2 2 2 3 2 2 2 2" xfId="48583" xr:uid="{00000000-0005-0000-0000-00003E220000}"/>
    <cellStyle name="Normal 13 2 2 2 3 2 2 2 3" xfId="48584" xr:uid="{00000000-0005-0000-0000-00003F220000}"/>
    <cellStyle name="Normal 13 2 2 2 3 2 2 3" xfId="6207" xr:uid="{00000000-0005-0000-0000-000040220000}"/>
    <cellStyle name="Normal 13 2 2 2 3 2 2 3 2" xfId="48585" xr:uid="{00000000-0005-0000-0000-000041220000}"/>
    <cellStyle name="Normal 13 2 2 2 3 2 2 4" xfId="6208" xr:uid="{00000000-0005-0000-0000-000042220000}"/>
    <cellStyle name="Normal 13 2 2 2 3 2 2 5" xfId="6209" xr:uid="{00000000-0005-0000-0000-000043220000}"/>
    <cellStyle name="Normal 13 2 2 2 3 2 2 6" xfId="6210" xr:uid="{00000000-0005-0000-0000-000044220000}"/>
    <cellStyle name="Normal 13 2 2 2 3 2 3" xfId="6211" xr:uid="{00000000-0005-0000-0000-000045220000}"/>
    <cellStyle name="Normal 13 2 2 2 3 2 3 2" xfId="48586" xr:uid="{00000000-0005-0000-0000-000046220000}"/>
    <cellStyle name="Normal 13 2 2 2 3 2 3 3" xfId="48587" xr:uid="{00000000-0005-0000-0000-000047220000}"/>
    <cellStyle name="Normal 13 2 2 2 3 2 4" xfId="6212" xr:uid="{00000000-0005-0000-0000-000048220000}"/>
    <cellStyle name="Normal 13 2 2 2 3 2 4 2" xfId="48588" xr:uid="{00000000-0005-0000-0000-000049220000}"/>
    <cellStyle name="Normal 13 2 2 2 3 2 5" xfId="6213" xr:uid="{00000000-0005-0000-0000-00004A220000}"/>
    <cellStyle name="Normal 13 2 2 2 3 2 6" xfId="6214" xr:uid="{00000000-0005-0000-0000-00004B220000}"/>
    <cellStyle name="Normal 13 2 2 2 3 2 7" xfId="6215" xr:uid="{00000000-0005-0000-0000-00004C220000}"/>
    <cellStyle name="Normal 13 2 2 2 3 3" xfId="6216" xr:uid="{00000000-0005-0000-0000-00004D220000}"/>
    <cellStyle name="Normal 13 2 2 2 3 3 2" xfId="6217" xr:uid="{00000000-0005-0000-0000-00004E220000}"/>
    <cellStyle name="Normal 13 2 2 2 3 3 2 2" xfId="48589" xr:uid="{00000000-0005-0000-0000-00004F220000}"/>
    <cellStyle name="Normal 13 2 2 2 3 3 2 3" xfId="48590" xr:uid="{00000000-0005-0000-0000-000050220000}"/>
    <cellStyle name="Normal 13 2 2 2 3 3 3" xfId="6218" xr:uid="{00000000-0005-0000-0000-000051220000}"/>
    <cellStyle name="Normal 13 2 2 2 3 3 3 2" xfId="48591" xr:uid="{00000000-0005-0000-0000-000052220000}"/>
    <cellStyle name="Normal 13 2 2 2 3 3 4" xfId="6219" xr:uid="{00000000-0005-0000-0000-000053220000}"/>
    <cellStyle name="Normal 13 2 2 2 3 3 5" xfId="6220" xr:uid="{00000000-0005-0000-0000-000054220000}"/>
    <cellStyle name="Normal 13 2 2 2 3 3 6" xfId="6221" xr:uid="{00000000-0005-0000-0000-000055220000}"/>
    <cellStyle name="Normal 13 2 2 2 3 4" xfId="6222" xr:uid="{00000000-0005-0000-0000-000056220000}"/>
    <cellStyle name="Normal 13 2 2 2 3 4 2" xfId="48592" xr:uid="{00000000-0005-0000-0000-000057220000}"/>
    <cellStyle name="Normal 13 2 2 2 3 4 3" xfId="48593" xr:uid="{00000000-0005-0000-0000-000058220000}"/>
    <cellStyle name="Normal 13 2 2 2 3 5" xfId="6223" xr:uid="{00000000-0005-0000-0000-000059220000}"/>
    <cellStyle name="Normal 13 2 2 2 3 5 2" xfId="48594" xr:uid="{00000000-0005-0000-0000-00005A220000}"/>
    <cellStyle name="Normal 13 2 2 2 3 6" xfId="6224" xr:uid="{00000000-0005-0000-0000-00005B220000}"/>
    <cellStyle name="Normal 13 2 2 2 3 7" xfId="6225" xr:uid="{00000000-0005-0000-0000-00005C220000}"/>
    <cellStyle name="Normal 13 2 2 2 3 8" xfId="6226" xr:uid="{00000000-0005-0000-0000-00005D220000}"/>
    <cellStyle name="Normal 13 2 2 2 3 9" xfId="6227" xr:uid="{00000000-0005-0000-0000-00005E220000}"/>
    <cellStyle name="Normal 13 2 2 2 4" xfId="6228" xr:uid="{00000000-0005-0000-0000-00005F220000}"/>
    <cellStyle name="Normal 13 2 2 2 4 2" xfId="6229" xr:uid="{00000000-0005-0000-0000-000060220000}"/>
    <cellStyle name="Normal 13 2 2 2 4 2 2" xfId="6230" xr:uid="{00000000-0005-0000-0000-000061220000}"/>
    <cellStyle name="Normal 13 2 2 2 4 2 2 2" xfId="6231" xr:uid="{00000000-0005-0000-0000-000062220000}"/>
    <cellStyle name="Normal 13 2 2 2 4 2 2 2 2" xfId="48595" xr:uid="{00000000-0005-0000-0000-000063220000}"/>
    <cellStyle name="Normal 13 2 2 2 4 2 2 2 3" xfId="48596" xr:uid="{00000000-0005-0000-0000-000064220000}"/>
    <cellStyle name="Normal 13 2 2 2 4 2 2 3" xfId="6232" xr:uid="{00000000-0005-0000-0000-000065220000}"/>
    <cellStyle name="Normal 13 2 2 2 4 2 2 3 2" xfId="48597" xr:uid="{00000000-0005-0000-0000-000066220000}"/>
    <cellStyle name="Normal 13 2 2 2 4 2 2 4" xfId="6233" xr:uid="{00000000-0005-0000-0000-000067220000}"/>
    <cellStyle name="Normal 13 2 2 2 4 2 2 5" xfId="6234" xr:uid="{00000000-0005-0000-0000-000068220000}"/>
    <cellStyle name="Normal 13 2 2 2 4 2 2 6" xfId="6235" xr:uid="{00000000-0005-0000-0000-000069220000}"/>
    <cellStyle name="Normal 13 2 2 2 4 2 3" xfId="6236" xr:uid="{00000000-0005-0000-0000-00006A220000}"/>
    <cellStyle name="Normal 13 2 2 2 4 2 3 2" xfId="48598" xr:uid="{00000000-0005-0000-0000-00006B220000}"/>
    <cellStyle name="Normal 13 2 2 2 4 2 3 3" xfId="48599" xr:uid="{00000000-0005-0000-0000-00006C220000}"/>
    <cellStyle name="Normal 13 2 2 2 4 2 4" xfId="6237" xr:uid="{00000000-0005-0000-0000-00006D220000}"/>
    <cellStyle name="Normal 13 2 2 2 4 2 4 2" xfId="48600" xr:uid="{00000000-0005-0000-0000-00006E220000}"/>
    <cellStyle name="Normal 13 2 2 2 4 2 5" xfId="6238" xr:uid="{00000000-0005-0000-0000-00006F220000}"/>
    <cellStyle name="Normal 13 2 2 2 4 2 6" xfId="6239" xr:uid="{00000000-0005-0000-0000-000070220000}"/>
    <cellStyle name="Normal 13 2 2 2 4 2 7" xfId="6240" xr:uid="{00000000-0005-0000-0000-000071220000}"/>
    <cellStyle name="Normal 13 2 2 2 4 3" xfId="6241" xr:uid="{00000000-0005-0000-0000-000072220000}"/>
    <cellStyle name="Normal 13 2 2 2 4 3 2" xfId="6242" xr:uid="{00000000-0005-0000-0000-000073220000}"/>
    <cellStyle name="Normal 13 2 2 2 4 3 2 2" xfId="48601" xr:uid="{00000000-0005-0000-0000-000074220000}"/>
    <cellStyle name="Normal 13 2 2 2 4 3 2 3" xfId="48602" xr:uid="{00000000-0005-0000-0000-000075220000}"/>
    <cellStyle name="Normal 13 2 2 2 4 3 3" xfId="6243" xr:uid="{00000000-0005-0000-0000-000076220000}"/>
    <cellStyle name="Normal 13 2 2 2 4 3 3 2" xfId="48603" xr:uid="{00000000-0005-0000-0000-000077220000}"/>
    <cellStyle name="Normal 13 2 2 2 4 3 4" xfId="6244" xr:uid="{00000000-0005-0000-0000-000078220000}"/>
    <cellStyle name="Normal 13 2 2 2 4 3 5" xfId="6245" xr:uid="{00000000-0005-0000-0000-000079220000}"/>
    <cellStyle name="Normal 13 2 2 2 4 3 6" xfId="6246" xr:uid="{00000000-0005-0000-0000-00007A220000}"/>
    <cellStyle name="Normal 13 2 2 2 4 4" xfId="6247" xr:uid="{00000000-0005-0000-0000-00007B220000}"/>
    <cellStyle name="Normal 13 2 2 2 4 4 2" xfId="48604" xr:uid="{00000000-0005-0000-0000-00007C220000}"/>
    <cellStyle name="Normal 13 2 2 2 4 4 3" xfId="48605" xr:uid="{00000000-0005-0000-0000-00007D220000}"/>
    <cellStyle name="Normal 13 2 2 2 4 5" xfId="6248" xr:uid="{00000000-0005-0000-0000-00007E220000}"/>
    <cellStyle name="Normal 13 2 2 2 4 5 2" xfId="48606" xr:uid="{00000000-0005-0000-0000-00007F220000}"/>
    <cellStyle name="Normal 13 2 2 2 4 6" xfId="6249" xr:uid="{00000000-0005-0000-0000-000080220000}"/>
    <cellStyle name="Normal 13 2 2 2 4 7" xfId="6250" xr:uid="{00000000-0005-0000-0000-000081220000}"/>
    <cellStyle name="Normal 13 2 2 2 4 8" xfId="6251" xr:uid="{00000000-0005-0000-0000-000082220000}"/>
    <cellStyle name="Normal 13 2 2 2 5" xfId="6252" xr:uid="{00000000-0005-0000-0000-000083220000}"/>
    <cellStyle name="Normal 13 2 2 2 5 2" xfId="6253" xr:uid="{00000000-0005-0000-0000-000084220000}"/>
    <cellStyle name="Normal 13 2 2 2 5 2 2" xfId="6254" xr:uid="{00000000-0005-0000-0000-000085220000}"/>
    <cellStyle name="Normal 13 2 2 2 5 2 2 2" xfId="48607" xr:uid="{00000000-0005-0000-0000-000086220000}"/>
    <cellStyle name="Normal 13 2 2 2 5 2 2 3" xfId="48608" xr:uid="{00000000-0005-0000-0000-000087220000}"/>
    <cellStyle name="Normal 13 2 2 2 5 2 3" xfId="6255" xr:uid="{00000000-0005-0000-0000-000088220000}"/>
    <cellStyle name="Normal 13 2 2 2 5 2 3 2" xfId="48609" xr:uid="{00000000-0005-0000-0000-000089220000}"/>
    <cellStyle name="Normal 13 2 2 2 5 2 4" xfId="6256" xr:uid="{00000000-0005-0000-0000-00008A220000}"/>
    <cellStyle name="Normal 13 2 2 2 5 2 5" xfId="6257" xr:uid="{00000000-0005-0000-0000-00008B220000}"/>
    <cellStyle name="Normal 13 2 2 2 5 2 6" xfId="6258" xr:uid="{00000000-0005-0000-0000-00008C220000}"/>
    <cellStyle name="Normal 13 2 2 2 5 3" xfId="6259" xr:uid="{00000000-0005-0000-0000-00008D220000}"/>
    <cellStyle name="Normal 13 2 2 2 5 3 2" xfId="48610" xr:uid="{00000000-0005-0000-0000-00008E220000}"/>
    <cellStyle name="Normal 13 2 2 2 5 3 3" xfId="48611" xr:uid="{00000000-0005-0000-0000-00008F220000}"/>
    <cellStyle name="Normal 13 2 2 2 5 4" xfId="6260" xr:uid="{00000000-0005-0000-0000-000090220000}"/>
    <cellStyle name="Normal 13 2 2 2 5 4 2" xfId="48612" xr:uid="{00000000-0005-0000-0000-000091220000}"/>
    <cellStyle name="Normal 13 2 2 2 5 5" xfId="6261" xr:uid="{00000000-0005-0000-0000-000092220000}"/>
    <cellStyle name="Normal 13 2 2 2 5 6" xfId="6262" xr:uid="{00000000-0005-0000-0000-000093220000}"/>
    <cellStyle name="Normal 13 2 2 2 5 7" xfId="6263" xr:uid="{00000000-0005-0000-0000-000094220000}"/>
    <cellStyle name="Normal 13 2 2 2 6" xfId="6264" xr:uid="{00000000-0005-0000-0000-000095220000}"/>
    <cellStyle name="Normal 13 2 2 2 6 2" xfId="6265" xr:uid="{00000000-0005-0000-0000-000096220000}"/>
    <cellStyle name="Normal 13 2 2 2 6 2 2" xfId="48613" xr:uid="{00000000-0005-0000-0000-000097220000}"/>
    <cellStyle name="Normal 13 2 2 2 6 2 3" xfId="48614" xr:uid="{00000000-0005-0000-0000-000098220000}"/>
    <cellStyle name="Normal 13 2 2 2 6 3" xfId="6266" xr:uid="{00000000-0005-0000-0000-000099220000}"/>
    <cellStyle name="Normal 13 2 2 2 6 3 2" xfId="48615" xr:uid="{00000000-0005-0000-0000-00009A220000}"/>
    <cellStyle name="Normal 13 2 2 2 6 4" xfId="6267" xr:uid="{00000000-0005-0000-0000-00009B220000}"/>
    <cellStyle name="Normal 13 2 2 2 6 5" xfId="6268" xr:uid="{00000000-0005-0000-0000-00009C220000}"/>
    <cellStyle name="Normal 13 2 2 2 6 6" xfId="6269" xr:uid="{00000000-0005-0000-0000-00009D220000}"/>
    <cellStyle name="Normal 13 2 2 2 7" xfId="6270" xr:uid="{00000000-0005-0000-0000-00009E220000}"/>
    <cellStyle name="Normal 13 2 2 2 7 2" xfId="48616" xr:uid="{00000000-0005-0000-0000-00009F220000}"/>
    <cellStyle name="Normal 13 2 2 2 7 3" xfId="48617" xr:uid="{00000000-0005-0000-0000-0000A0220000}"/>
    <cellStyle name="Normal 13 2 2 2 8" xfId="6271" xr:uid="{00000000-0005-0000-0000-0000A1220000}"/>
    <cellStyle name="Normal 13 2 2 2 8 2" xfId="48618" xr:uid="{00000000-0005-0000-0000-0000A2220000}"/>
    <cellStyle name="Normal 13 2 2 2 9" xfId="6272" xr:uid="{00000000-0005-0000-0000-0000A3220000}"/>
    <cellStyle name="Normal 13 2 2 2 9 2" xfId="48619" xr:uid="{00000000-0005-0000-0000-0000A4220000}"/>
    <cellStyle name="Normal 13 2 2 20" xfId="6273" xr:uid="{00000000-0005-0000-0000-0000A5220000}"/>
    <cellStyle name="Normal 13 2 2 21" xfId="6274" xr:uid="{00000000-0005-0000-0000-0000A6220000}"/>
    <cellStyle name="Normal 13 2 2 3" xfId="6275" xr:uid="{00000000-0005-0000-0000-0000A7220000}"/>
    <cellStyle name="Normal 13 2 2 3 10" xfId="6276" xr:uid="{00000000-0005-0000-0000-0000A8220000}"/>
    <cellStyle name="Normal 13 2 2 3 11" xfId="6277" xr:uid="{00000000-0005-0000-0000-0000A9220000}"/>
    <cellStyle name="Normal 13 2 2 3 12" xfId="6278" xr:uid="{00000000-0005-0000-0000-0000AA220000}"/>
    <cellStyle name="Normal 13 2 2 3 13" xfId="6279" xr:uid="{00000000-0005-0000-0000-0000AB220000}"/>
    <cellStyle name="Normal 13 2 2 3 14" xfId="6280" xr:uid="{00000000-0005-0000-0000-0000AC220000}"/>
    <cellStyle name="Normal 13 2 2 3 15" xfId="6281" xr:uid="{00000000-0005-0000-0000-0000AD220000}"/>
    <cellStyle name="Normal 13 2 2 3 2" xfId="6282" xr:uid="{00000000-0005-0000-0000-0000AE220000}"/>
    <cellStyle name="Normal 13 2 2 3 2 10" xfId="6283" xr:uid="{00000000-0005-0000-0000-0000AF220000}"/>
    <cellStyle name="Normal 13 2 2 3 2 11" xfId="6284" xr:uid="{00000000-0005-0000-0000-0000B0220000}"/>
    <cellStyle name="Normal 13 2 2 3 2 12" xfId="6285" xr:uid="{00000000-0005-0000-0000-0000B1220000}"/>
    <cellStyle name="Normal 13 2 2 3 2 13" xfId="6286" xr:uid="{00000000-0005-0000-0000-0000B2220000}"/>
    <cellStyle name="Normal 13 2 2 3 2 14" xfId="6287" xr:uid="{00000000-0005-0000-0000-0000B3220000}"/>
    <cellStyle name="Normal 13 2 2 3 2 2" xfId="6288" xr:uid="{00000000-0005-0000-0000-0000B4220000}"/>
    <cellStyle name="Normal 13 2 2 3 2 2 2" xfId="6289" xr:uid="{00000000-0005-0000-0000-0000B5220000}"/>
    <cellStyle name="Normal 13 2 2 3 2 2 2 2" xfId="6290" xr:uid="{00000000-0005-0000-0000-0000B6220000}"/>
    <cellStyle name="Normal 13 2 2 3 2 2 2 2 2" xfId="6291" xr:uid="{00000000-0005-0000-0000-0000B7220000}"/>
    <cellStyle name="Normal 13 2 2 3 2 2 2 2 2 2" xfId="48620" xr:uid="{00000000-0005-0000-0000-0000B8220000}"/>
    <cellStyle name="Normal 13 2 2 3 2 2 2 2 2 3" xfId="48621" xr:uid="{00000000-0005-0000-0000-0000B9220000}"/>
    <cellStyle name="Normal 13 2 2 3 2 2 2 2 3" xfId="6292" xr:uid="{00000000-0005-0000-0000-0000BA220000}"/>
    <cellStyle name="Normal 13 2 2 3 2 2 2 2 3 2" xfId="48622" xr:uid="{00000000-0005-0000-0000-0000BB220000}"/>
    <cellStyle name="Normal 13 2 2 3 2 2 2 2 4" xfId="6293" xr:uid="{00000000-0005-0000-0000-0000BC220000}"/>
    <cellStyle name="Normal 13 2 2 3 2 2 2 2 5" xfId="6294" xr:uid="{00000000-0005-0000-0000-0000BD220000}"/>
    <cellStyle name="Normal 13 2 2 3 2 2 2 2 6" xfId="6295" xr:uid="{00000000-0005-0000-0000-0000BE220000}"/>
    <cellStyle name="Normal 13 2 2 3 2 2 2 3" xfId="6296" xr:uid="{00000000-0005-0000-0000-0000BF220000}"/>
    <cellStyle name="Normal 13 2 2 3 2 2 2 3 2" xfId="48623" xr:uid="{00000000-0005-0000-0000-0000C0220000}"/>
    <cellStyle name="Normal 13 2 2 3 2 2 2 3 3" xfId="48624" xr:uid="{00000000-0005-0000-0000-0000C1220000}"/>
    <cellStyle name="Normal 13 2 2 3 2 2 2 4" xfId="6297" xr:uid="{00000000-0005-0000-0000-0000C2220000}"/>
    <cellStyle name="Normal 13 2 2 3 2 2 2 4 2" xfId="48625" xr:uid="{00000000-0005-0000-0000-0000C3220000}"/>
    <cellStyle name="Normal 13 2 2 3 2 2 2 5" xfId="6298" xr:uid="{00000000-0005-0000-0000-0000C4220000}"/>
    <cellStyle name="Normal 13 2 2 3 2 2 2 6" xfId="6299" xr:uid="{00000000-0005-0000-0000-0000C5220000}"/>
    <cellStyle name="Normal 13 2 2 3 2 2 2 7" xfId="6300" xr:uid="{00000000-0005-0000-0000-0000C6220000}"/>
    <cellStyle name="Normal 13 2 2 3 2 2 3" xfId="6301" xr:uid="{00000000-0005-0000-0000-0000C7220000}"/>
    <cellStyle name="Normal 13 2 2 3 2 2 3 2" xfId="6302" xr:uid="{00000000-0005-0000-0000-0000C8220000}"/>
    <cellStyle name="Normal 13 2 2 3 2 2 3 2 2" xfId="48626" xr:uid="{00000000-0005-0000-0000-0000C9220000}"/>
    <cellStyle name="Normal 13 2 2 3 2 2 3 2 3" xfId="48627" xr:uid="{00000000-0005-0000-0000-0000CA220000}"/>
    <cellStyle name="Normal 13 2 2 3 2 2 3 3" xfId="6303" xr:uid="{00000000-0005-0000-0000-0000CB220000}"/>
    <cellStyle name="Normal 13 2 2 3 2 2 3 3 2" xfId="48628" xr:uid="{00000000-0005-0000-0000-0000CC220000}"/>
    <cellStyle name="Normal 13 2 2 3 2 2 3 4" xfId="6304" xr:uid="{00000000-0005-0000-0000-0000CD220000}"/>
    <cellStyle name="Normal 13 2 2 3 2 2 3 5" xfId="6305" xr:uid="{00000000-0005-0000-0000-0000CE220000}"/>
    <cellStyle name="Normal 13 2 2 3 2 2 3 6" xfId="6306" xr:uid="{00000000-0005-0000-0000-0000CF220000}"/>
    <cellStyle name="Normal 13 2 2 3 2 2 4" xfId="6307" xr:uid="{00000000-0005-0000-0000-0000D0220000}"/>
    <cellStyle name="Normal 13 2 2 3 2 2 4 2" xfId="48629" xr:uid="{00000000-0005-0000-0000-0000D1220000}"/>
    <cellStyle name="Normal 13 2 2 3 2 2 4 3" xfId="48630" xr:uid="{00000000-0005-0000-0000-0000D2220000}"/>
    <cellStyle name="Normal 13 2 2 3 2 2 5" xfId="6308" xr:uid="{00000000-0005-0000-0000-0000D3220000}"/>
    <cellStyle name="Normal 13 2 2 3 2 2 5 2" xfId="48631" xr:uid="{00000000-0005-0000-0000-0000D4220000}"/>
    <cellStyle name="Normal 13 2 2 3 2 2 6" xfId="6309" xr:uid="{00000000-0005-0000-0000-0000D5220000}"/>
    <cellStyle name="Normal 13 2 2 3 2 2 7" xfId="6310" xr:uid="{00000000-0005-0000-0000-0000D6220000}"/>
    <cellStyle name="Normal 13 2 2 3 2 2 8" xfId="6311" xr:uid="{00000000-0005-0000-0000-0000D7220000}"/>
    <cellStyle name="Normal 13 2 2 3 2 2 9" xfId="6312" xr:uid="{00000000-0005-0000-0000-0000D8220000}"/>
    <cellStyle name="Normal 13 2 2 3 2 3" xfId="6313" xr:uid="{00000000-0005-0000-0000-0000D9220000}"/>
    <cellStyle name="Normal 13 2 2 3 2 3 2" xfId="6314" xr:uid="{00000000-0005-0000-0000-0000DA220000}"/>
    <cellStyle name="Normal 13 2 2 3 2 3 2 2" xfId="6315" xr:uid="{00000000-0005-0000-0000-0000DB220000}"/>
    <cellStyle name="Normal 13 2 2 3 2 3 2 2 2" xfId="6316" xr:uid="{00000000-0005-0000-0000-0000DC220000}"/>
    <cellStyle name="Normal 13 2 2 3 2 3 2 2 2 2" xfId="48632" xr:uid="{00000000-0005-0000-0000-0000DD220000}"/>
    <cellStyle name="Normal 13 2 2 3 2 3 2 2 2 3" xfId="48633" xr:uid="{00000000-0005-0000-0000-0000DE220000}"/>
    <cellStyle name="Normal 13 2 2 3 2 3 2 2 3" xfId="6317" xr:uid="{00000000-0005-0000-0000-0000DF220000}"/>
    <cellStyle name="Normal 13 2 2 3 2 3 2 2 3 2" xfId="48634" xr:uid="{00000000-0005-0000-0000-0000E0220000}"/>
    <cellStyle name="Normal 13 2 2 3 2 3 2 2 4" xfId="6318" xr:uid="{00000000-0005-0000-0000-0000E1220000}"/>
    <cellStyle name="Normal 13 2 2 3 2 3 2 2 5" xfId="6319" xr:uid="{00000000-0005-0000-0000-0000E2220000}"/>
    <cellStyle name="Normal 13 2 2 3 2 3 2 2 6" xfId="6320" xr:uid="{00000000-0005-0000-0000-0000E3220000}"/>
    <cellStyle name="Normal 13 2 2 3 2 3 2 3" xfId="6321" xr:uid="{00000000-0005-0000-0000-0000E4220000}"/>
    <cellStyle name="Normal 13 2 2 3 2 3 2 3 2" xfId="48635" xr:uid="{00000000-0005-0000-0000-0000E5220000}"/>
    <cellStyle name="Normal 13 2 2 3 2 3 2 3 3" xfId="48636" xr:uid="{00000000-0005-0000-0000-0000E6220000}"/>
    <cellStyle name="Normal 13 2 2 3 2 3 2 4" xfId="6322" xr:uid="{00000000-0005-0000-0000-0000E7220000}"/>
    <cellStyle name="Normal 13 2 2 3 2 3 2 4 2" xfId="48637" xr:uid="{00000000-0005-0000-0000-0000E8220000}"/>
    <cellStyle name="Normal 13 2 2 3 2 3 2 5" xfId="6323" xr:uid="{00000000-0005-0000-0000-0000E9220000}"/>
    <cellStyle name="Normal 13 2 2 3 2 3 2 6" xfId="6324" xr:uid="{00000000-0005-0000-0000-0000EA220000}"/>
    <cellStyle name="Normal 13 2 2 3 2 3 2 7" xfId="6325" xr:uid="{00000000-0005-0000-0000-0000EB220000}"/>
    <cellStyle name="Normal 13 2 2 3 2 3 3" xfId="6326" xr:uid="{00000000-0005-0000-0000-0000EC220000}"/>
    <cellStyle name="Normal 13 2 2 3 2 3 3 2" xfId="6327" xr:uid="{00000000-0005-0000-0000-0000ED220000}"/>
    <cellStyle name="Normal 13 2 2 3 2 3 3 2 2" xfId="48638" xr:uid="{00000000-0005-0000-0000-0000EE220000}"/>
    <cellStyle name="Normal 13 2 2 3 2 3 3 2 3" xfId="48639" xr:uid="{00000000-0005-0000-0000-0000EF220000}"/>
    <cellStyle name="Normal 13 2 2 3 2 3 3 3" xfId="6328" xr:uid="{00000000-0005-0000-0000-0000F0220000}"/>
    <cellStyle name="Normal 13 2 2 3 2 3 3 3 2" xfId="48640" xr:uid="{00000000-0005-0000-0000-0000F1220000}"/>
    <cellStyle name="Normal 13 2 2 3 2 3 3 4" xfId="6329" xr:uid="{00000000-0005-0000-0000-0000F2220000}"/>
    <cellStyle name="Normal 13 2 2 3 2 3 3 5" xfId="6330" xr:uid="{00000000-0005-0000-0000-0000F3220000}"/>
    <cellStyle name="Normal 13 2 2 3 2 3 3 6" xfId="6331" xr:uid="{00000000-0005-0000-0000-0000F4220000}"/>
    <cellStyle name="Normal 13 2 2 3 2 3 4" xfId="6332" xr:uid="{00000000-0005-0000-0000-0000F5220000}"/>
    <cellStyle name="Normal 13 2 2 3 2 3 4 2" xfId="48641" xr:uid="{00000000-0005-0000-0000-0000F6220000}"/>
    <cellStyle name="Normal 13 2 2 3 2 3 4 3" xfId="48642" xr:uid="{00000000-0005-0000-0000-0000F7220000}"/>
    <cellStyle name="Normal 13 2 2 3 2 3 5" xfId="6333" xr:uid="{00000000-0005-0000-0000-0000F8220000}"/>
    <cellStyle name="Normal 13 2 2 3 2 3 5 2" xfId="48643" xr:uid="{00000000-0005-0000-0000-0000F9220000}"/>
    <cellStyle name="Normal 13 2 2 3 2 3 6" xfId="6334" xr:uid="{00000000-0005-0000-0000-0000FA220000}"/>
    <cellStyle name="Normal 13 2 2 3 2 3 7" xfId="6335" xr:uid="{00000000-0005-0000-0000-0000FB220000}"/>
    <cellStyle name="Normal 13 2 2 3 2 3 8" xfId="6336" xr:uid="{00000000-0005-0000-0000-0000FC220000}"/>
    <cellStyle name="Normal 13 2 2 3 2 4" xfId="6337" xr:uid="{00000000-0005-0000-0000-0000FD220000}"/>
    <cellStyle name="Normal 13 2 2 3 2 4 2" xfId="6338" xr:uid="{00000000-0005-0000-0000-0000FE220000}"/>
    <cellStyle name="Normal 13 2 2 3 2 4 2 2" xfId="6339" xr:uid="{00000000-0005-0000-0000-0000FF220000}"/>
    <cellStyle name="Normal 13 2 2 3 2 4 2 2 2" xfId="48644" xr:uid="{00000000-0005-0000-0000-000000230000}"/>
    <cellStyle name="Normal 13 2 2 3 2 4 2 2 3" xfId="48645" xr:uid="{00000000-0005-0000-0000-000001230000}"/>
    <cellStyle name="Normal 13 2 2 3 2 4 2 3" xfId="6340" xr:uid="{00000000-0005-0000-0000-000002230000}"/>
    <cellStyle name="Normal 13 2 2 3 2 4 2 3 2" xfId="48646" xr:uid="{00000000-0005-0000-0000-000003230000}"/>
    <cellStyle name="Normal 13 2 2 3 2 4 2 4" xfId="6341" xr:uid="{00000000-0005-0000-0000-000004230000}"/>
    <cellStyle name="Normal 13 2 2 3 2 4 2 5" xfId="6342" xr:uid="{00000000-0005-0000-0000-000005230000}"/>
    <cellStyle name="Normal 13 2 2 3 2 4 2 6" xfId="6343" xr:uid="{00000000-0005-0000-0000-000006230000}"/>
    <cellStyle name="Normal 13 2 2 3 2 4 3" xfId="6344" xr:uid="{00000000-0005-0000-0000-000007230000}"/>
    <cellStyle name="Normal 13 2 2 3 2 4 3 2" xfId="48647" xr:uid="{00000000-0005-0000-0000-000008230000}"/>
    <cellStyle name="Normal 13 2 2 3 2 4 3 3" xfId="48648" xr:uid="{00000000-0005-0000-0000-000009230000}"/>
    <cellStyle name="Normal 13 2 2 3 2 4 4" xfId="6345" xr:uid="{00000000-0005-0000-0000-00000A230000}"/>
    <cellStyle name="Normal 13 2 2 3 2 4 4 2" xfId="48649" xr:uid="{00000000-0005-0000-0000-00000B230000}"/>
    <cellStyle name="Normal 13 2 2 3 2 4 5" xfId="6346" xr:uid="{00000000-0005-0000-0000-00000C230000}"/>
    <cellStyle name="Normal 13 2 2 3 2 4 6" xfId="6347" xr:uid="{00000000-0005-0000-0000-00000D230000}"/>
    <cellStyle name="Normal 13 2 2 3 2 4 7" xfId="6348" xr:uid="{00000000-0005-0000-0000-00000E230000}"/>
    <cellStyle name="Normal 13 2 2 3 2 5" xfId="6349" xr:uid="{00000000-0005-0000-0000-00000F230000}"/>
    <cellStyle name="Normal 13 2 2 3 2 5 2" xfId="6350" xr:uid="{00000000-0005-0000-0000-000010230000}"/>
    <cellStyle name="Normal 13 2 2 3 2 5 2 2" xfId="48650" xr:uid="{00000000-0005-0000-0000-000011230000}"/>
    <cellStyle name="Normal 13 2 2 3 2 5 2 3" xfId="48651" xr:uid="{00000000-0005-0000-0000-000012230000}"/>
    <cellStyle name="Normal 13 2 2 3 2 5 3" xfId="6351" xr:uid="{00000000-0005-0000-0000-000013230000}"/>
    <cellStyle name="Normal 13 2 2 3 2 5 3 2" xfId="48652" xr:uid="{00000000-0005-0000-0000-000014230000}"/>
    <cellStyle name="Normal 13 2 2 3 2 5 4" xfId="6352" xr:uid="{00000000-0005-0000-0000-000015230000}"/>
    <cellStyle name="Normal 13 2 2 3 2 5 5" xfId="6353" xr:uid="{00000000-0005-0000-0000-000016230000}"/>
    <cellStyle name="Normal 13 2 2 3 2 5 6" xfId="6354" xr:uid="{00000000-0005-0000-0000-000017230000}"/>
    <cellStyle name="Normal 13 2 2 3 2 6" xfId="6355" xr:uid="{00000000-0005-0000-0000-000018230000}"/>
    <cellStyle name="Normal 13 2 2 3 2 6 2" xfId="48653" xr:uid="{00000000-0005-0000-0000-000019230000}"/>
    <cellStyle name="Normal 13 2 2 3 2 6 3" xfId="48654" xr:uid="{00000000-0005-0000-0000-00001A230000}"/>
    <cellStyle name="Normal 13 2 2 3 2 7" xfId="6356" xr:uid="{00000000-0005-0000-0000-00001B230000}"/>
    <cellStyle name="Normal 13 2 2 3 2 7 2" xfId="48655" xr:uid="{00000000-0005-0000-0000-00001C230000}"/>
    <cellStyle name="Normal 13 2 2 3 2 8" xfId="6357" xr:uid="{00000000-0005-0000-0000-00001D230000}"/>
    <cellStyle name="Normal 13 2 2 3 2 9" xfId="6358" xr:uid="{00000000-0005-0000-0000-00001E230000}"/>
    <cellStyle name="Normal 13 2 2 3 3" xfId="6359" xr:uid="{00000000-0005-0000-0000-00001F230000}"/>
    <cellStyle name="Normal 13 2 2 3 3 2" xfId="6360" xr:uid="{00000000-0005-0000-0000-000020230000}"/>
    <cellStyle name="Normal 13 2 2 3 3 2 2" xfId="6361" xr:uid="{00000000-0005-0000-0000-000021230000}"/>
    <cellStyle name="Normal 13 2 2 3 3 2 2 2" xfId="6362" xr:uid="{00000000-0005-0000-0000-000022230000}"/>
    <cellStyle name="Normal 13 2 2 3 3 2 2 2 2" xfId="48656" xr:uid="{00000000-0005-0000-0000-000023230000}"/>
    <cellStyle name="Normal 13 2 2 3 3 2 2 2 3" xfId="48657" xr:uid="{00000000-0005-0000-0000-000024230000}"/>
    <cellStyle name="Normal 13 2 2 3 3 2 2 3" xfId="6363" xr:uid="{00000000-0005-0000-0000-000025230000}"/>
    <cellStyle name="Normal 13 2 2 3 3 2 2 3 2" xfId="48658" xr:uid="{00000000-0005-0000-0000-000026230000}"/>
    <cellStyle name="Normal 13 2 2 3 3 2 2 4" xfId="6364" xr:uid="{00000000-0005-0000-0000-000027230000}"/>
    <cellStyle name="Normal 13 2 2 3 3 2 2 5" xfId="6365" xr:uid="{00000000-0005-0000-0000-000028230000}"/>
    <cellStyle name="Normal 13 2 2 3 3 2 2 6" xfId="6366" xr:uid="{00000000-0005-0000-0000-000029230000}"/>
    <cellStyle name="Normal 13 2 2 3 3 2 3" xfId="6367" xr:uid="{00000000-0005-0000-0000-00002A230000}"/>
    <cellStyle name="Normal 13 2 2 3 3 2 3 2" xfId="48659" xr:uid="{00000000-0005-0000-0000-00002B230000}"/>
    <cellStyle name="Normal 13 2 2 3 3 2 3 3" xfId="48660" xr:uid="{00000000-0005-0000-0000-00002C230000}"/>
    <cellStyle name="Normal 13 2 2 3 3 2 4" xfId="6368" xr:uid="{00000000-0005-0000-0000-00002D230000}"/>
    <cellStyle name="Normal 13 2 2 3 3 2 4 2" xfId="48661" xr:uid="{00000000-0005-0000-0000-00002E230000}"/>
    <cellStyle name="Normal 13 2 2 3 3 2 5" xfId="6369" xr:uid="{00000000-0005-0000-0000-00002F230000}"/>
    <cellStyle name="Normal 13 2 2 3 3 2 6" xfId="6370" xr:uid="{00000000-0005-0000-0000-000030230000}"/>
    <cellStyle name="Normal 13 2 2 3 3 2 7" xfId="6371" xr:uid="{00000000-0005-0000-0000-000031230000}"/>
    <cellStyle name="Normal 13 2 2 3 3 3" xfId="6372" xr:uid="{00000000-0005-0000-0000-000032230000}"/>
    <cellStyle name="Normal 13 2 2 3 3 3 2" xfId="6373" xr:uid="{00000000-0005-0000-0000-000033230000}"/>
    <cellStyle name="Normal 13 2 2 3 3 3 2 2" xfId="48662" xr:uid="{00000000-0005-0000-0000-000034230000}"/>
    <cellStyle name="Normal 13 2 2 3 3 3 2 3" xfId="48663" xr:uid="{00000000-0005-0000-0000-000035230000}"/>
    <cellStyle name="Normal 13 2 2 3 3 3 3" xfId="6374" xr:uid="{00000000-0005-0000-0000-000036230000}"/>
    <cellStyle name="Normal 13 2 2 3 3 3 3 2" xfId="48664" xr:uid="{00000000-0005-0000-0000-000037230000}"/>
    <cellStyle name="Normal 13 2 2 3 3 3 4" xfId="6375" xr:uid="{00000000-0005-0000-0000-000038230000}"/>
    <cellStyle name="Normal 13 2 2 3 3 3 5" xfId="6376" xr:uid="{00000000-0005-0000-0000-000039230000}"/>
    <cellStyle name="Normal 13 2 2 3 3 3 6" xfId="6377" xr:uid="{00000000-0005-0000-0000-00003A230000}"/>
    <cellStyle name="Normal 13 2 2 3 3 4" xfId="6378" xr:uid="{00000000-0005-0000-0000-00003B230000}"/>
    <cellStyle name="Normal 13 2 2 3 3 4 2" xfId="48665" xr:uid="{00000000-0005-0000-0000-00003C230000}"/>
    <cellStyle name="Normal 13 2 2 3 3 4 3" xfId="48666" xr:uid="{00000000-0005-0000-0000-00003D230000}"/>
    <cellStyle name="Normal 13 2 2 3 3 5" xfId="6379" xr:uid="{00000000-0005-0000-0000-00003E230000}"/>
    <cellStyle name="Normal 13 2 2 3 3 5 2" xfId="48667" xr:uid="{00000000-0005-0000-0000-00003F230000}"/>
    <cellStyle name="Normal 13 2 2 3 3 6" xfId="6380" xr:uid="{00000000-0005-0000-0000-000040230000}"/>
    <cellStyle name="Normal 13 2 2 3 3 7" xfId="6381" xr:uid="{00000000-0005-0000-0000-000041230000}"/>
    <cellStyle name="Normal 13 2 2 3 3 8" xfId="6382" xr:uid="{00000000-0005-0000-0000-000042230000}"/>
    <cellStyle name="Normal 13 2 2 3 3 9" xfId="6383" xr:uid="{00000000-0005-0000-0000-000043230000}"/>
    <cellStyle name="Normal 13 2 2 3 4" xfId="6384" xr:uid="{00000000-0005-0000-0000-000044230000}"/>
    <cellStyle name="Normal 13 2 2 3 4 2" xfId="6385" xr:uid="{00000000-0005-0000-0000-000045230000}"/>
    <cellStyle name="Normal 13 2 2 3 4 2 2" xfId="6386" xr:uid="{00000000-0005-0000-0000-000046230000}"/>
    <cellStyle name="Normal 13 2 2 3 4 2 2 2" xfId="6387" xr:uid="{00000000-0005-0000-0000-000047230000}"/>
    <cellStyle name="Normal 13 2 2 3 4 2 2 2 2" xfId="48668" xr:uid="{00000000-0005-0000-0000-000048230000}"/>
    <cellStyle name="Normal 13 2 2 3 4 2 2 2 3" xfId="48669" xr:uid="{00000000-0005-0000-0000-000049230000}"/>
    <cellStyle name="Normal 13 2 2 3 4 2 2 3" xfId="6388" xr:uid="{00000000-0005-0000-0000-00004A230000}"/>
    <cellStyle name="Normal 13 2 2 3 4 2 2 3 2" xfId="48670" xr:uid="{00000000-0005-0000-0000-00004B230000}"/>
    <cellStyle name="Normal 13 2 2 3 4 2 2 4" xfId="6389" xr:uid="{00000000-0005-0000-0000-00004C230000}"/>
    <cellStyle name="Normal 13 2 2 3 4 2 2 5" xfId="6390" xr:uid="{00000000-0005-0000-0000-00004D230000}"/>
    <cellStyle name="Normal 13 2 2 3 4 2 2 6" xfId="6391" xr:uid="{00000000-0005-0000-0000-00004E230000}"/>
    <cellStyle name="Normal 13 2 2 3 4 2 3" xfId="6392" xr:uid="{00000000-0005-0000-0000-00004F230000}"/>
    <cellStyle name="Normal 13 2 2 3 4 2 3 2" xfId="48671" xr:uid="{00000000-0005-0000-0000-000050230000}"/>
    <cellStyle name="Normal 13 2 2 3 4 2 3 3" xfId="48672" xr:uid="{00000000-0005-0000-0000-000051230000}"/>
    <cellStyle name="Normal 13 2 2 3 4 2 4" xfId="6393" xr:uid="{00000000-0005-0000-0000-000052230000}"/>
    <cellStyle name="Normal 13 2 2 3 4 2 4 2" xfId="48673" xr:uid="{00000000-0005-0000-0000-000053230000}"/>
    <cellStyle name="Normal 13 2 2 3 4 2 5" xfId="6394" xr:uid="{00000000-0005-0000-0000-000054230000}"/>
    <cellStyle name="Normal 13 2 2 3 4 2 6" xfId="6395" xr:uid="{00000000-0005-0000-0000-000055230000}"/>
    <cellStyle name="Normal 13 2 2 3 4 2 7" xfId="6396" xr:uid="{00000000-0005-0000-0000-000056230000}"/>
    <cellStyle name="Normal 13 2 2 3 4 3" xfId="6397" xr:uid="{00000000-0005-0000-0000-000057230000}"/>
    <cellStyle name="Normal 13 2 2 3 4 3 2" xfId="6398" xr:uid="{00000000-0005-0000-0000-000058230000}"/>
    <cellStyle name="Normal 13 2 2 3 4 3 2 2" xfId="48674" xr:uid="{00000000-0005-0000-0000-000059230000}"/>
    <cellStyle name="Normal 13 2 2 3 4 3 2 3" xfId="48675" xr:uid="{00000000-0005-0000-0000-00005A230000}"/>
    <cellStyle name="Normal 13 2 2 3 4 3 3" xfId="6399" xr:uid="{00000000-0005-0000-0000-00005B230000}"/>
    <cellStyle name="Normal 13 2 2 3 4 3 3 2" xfId="48676" xr:uid="{00000000-0005-0000-0000-00005C230000}"/>
    <cellStyle name="Normal 13 2 2 3 4 3 4" xfId="6400" xr:uid="{00000000-0005-0000-0000-00005D230000}"/>
    <cellStyle name="Normal 13 2 2 3 4 3 5" xfId="6401" xr:uid="{00000000-0005-0000-0000-00005E230000}"/>
    <cellStyle name="Normal 13 2 2 3 4 3 6" xfId="6402" xr:uid="{00000000-0005-0000-0000-00005F230000}"/>
    <cellStyle name="Normal 13 2 2 3 4 4" xfId="6403" xr:uid="{00000000-0005-0000-0000-000060230000}"/>
    <cellStyle name="Normal 13 2 2 3 4 4 2" xfId="48677" xr:uid="{00000000-0005-0000-0000-000061230000}"/>
    <cellStyle name="Normal 13 2 2 3 4 4 3" xfId="48678" xr:uid="{00000000-0005-0000-0000-000062230000}"/>
    <cellStyle name="Normal 13 2 2 3 4 5" xfId="6404" xr:uid="{00000000-0005-0000-0000-000063230000}"/>
    <cellStyle name="Normal 13 2 2 3 4 5 2" xfId="48679" xr:uid="{00000000-0005-0000-0000-000064230000}"/>
    <cellStyle name="Normal 13 2 2 3 4 6" xfId="6405" xr:uid="{00000000-0005-0000-0000-000065230000}"/>
    <cellStyle name="Normal 13 2 2 3 4 7" xfId="6406" xr:uid="{00000000-0005-0000-0000-000066230000}"/>
    <cellStyle name="Normal 13 2 2 3 4 8" xfId="6407" xr:uid="{00000000-0005-0000-0000-000067230000}"/>
    <cellStyle name="Normal 13 2 2 3 5" xfId="6408" xr:uid="{00000000-0005-0000-0000-000068230000}"/>
    <cellStyle name="Normal 13 2 2 3 5 2" xfId="6409" xr:uid="{00000000-0005-0000-0000-000069230000}"/>
    <cellStyle name="Normal 13 2 2 3 5 2 2" xfId="6410" xr:uid="{00000000-0005-0000-0000-00006A230000}"/>
    <cellStyle name="Normal 13 2 2 3 5 2 2 2" xfId="48680" xr:uid="{00000000-0005-0000-0000-00006B230000}"/>
    <cellStyle name="Normal 13 2 2 3 5 2 2 3" xfId="48681" xr:uid="{00000000-0005-0000-0000-00006C230000}"/>
    <cellStyle name="Normal 13 2 2 3 5 2 3" xfId="6411" xr:uid="{00000000-0005-0000-0000-00006D230000}"/>
    <cellStyle name="Normal 13 2 2 3 5 2 3 2" xfId="48682" xr:uid="{00000000-0005-0000-0000-00006E230000}"/>
    <cellStyle name="Normal 13 2 2 3 5 2 4" xfId="6412" xr:uid="{00000000-0005-0000-0000-00006F230000}"/>
    <cellStyle name="Normal 13 2 2 3 5 2 5" xfId="6413" xr:uid="{00000000-0005-0000-0000-000070230000}"/>
    <cellStyle name="Normal 13 2 2 3 5 2 6" xfId="6414" xr:uid="{00000000-0005-0000-0000-000071230000}"/>
    <cellStyle name="Normal 13 2 2 3 5 3" xfId="6415" xr:uid="{00000000-0005-0000-0000-000072230000}"/>
    <cellStyle name="Normal 13 2 2 3 5 3 2" xfId="48683" xr:uid="{00000000-0005-0000-0000-000073230000}"/>
    <cellStyle name="Normal 13 2 2 3 5 3 3" xfId="48684" xr:uid="{00000000-0005-0000-0000-000074230000}"/>
    <cellStyle name="Normal 13 2 2 3 5 4" xfId="6416" xr:uid="{00000000-0005-0000-0000-000075230000}"/>
    <cellStyle name="Normal 13 2 2 3 5 4 2" xfId="48685" xr:uid="{00000000-0005-0000-0000-000076230000}"/>
    <cellStyle name="Normal 13 2 2 3 5 5" xfId="6417" xr:uid="{00000000-0005-0000-0000-000077230000}"/>
    <cellStyle name="Normal 13 2 2 3 5 6" xfId="6418" xr:uid="{00000000-0005-0000-0000-000078230000}"/>
    <cellStyle name="Normal 13 2 2 3 5 7" xfId="6419" xr:uid="{00000000-0005-0000-0000-000079230000}"/>
    <cellStyle name="Normal 13 2 2 3 6" xfId="6420" xr:uid="{00000000-0005-0000-0000-00007A230000}"/>
    <cellStyle name="Normal 13 2 2 3 6 2" xfId="6421" xr:uid="{00000000-0005-0000-0000-00007B230000}"/>
    <cellStyle name="Normal 13 2 2 3 6 2 2" xfId="48686" xr:uid="{00000000-0005-0000-0000-00007C230000}"/>
    <cellStyle name="Normal 13 2 2 3 6 2 3" xfId="48687" xr:uid="{00000000-0005-0000-0000-00007D230000}"/>
    <cellStyle name="Normal 13 2 2 3 6 3" xfId="6422" xr:uid="{00000000-0005-0000-0000-00007E230000}"/>
    <cellStyle name="Normal 13 2 2 3 6 3 2" xfId="48688" xr:uid="{00000000-0005-0000-0000-00007F230000}"/>
    <cellStyle name="Normal 13 2 2 3 6 4" xfId="6423" xr:uid="{00000000-0005-0000-0000-000080230000}"/>
    <cellStyle name="Normal 13 2 2 3 6 5" xfId="6424" xr:uid="{00000000-0005-0000-0000-000081230000}"/>
    <cellStyle name="Normal 13 2 2 3 6 6" xfId="6425" xr:uid="{00000000-0005-0000-0000-000082230000}"/>
    <cellStyle name="Normal 13 2 2 3 7" xfId="6426" xr:uid="{00000000-0005-0000-0000-000083230000}"/>
    <cellStyle name="Normal 13 2 2 3 7 2" xfId="48689" xr:uid="{00000000-0005-0000-0000-000084230000}"/>
    <cellStyle name="Normal 13 2 2 3 7 3" xfId="48690" xr:uid="{00000000-0005-0000-0000-000085230000}"/>
    <cellStyle name="Normal 13 2 2 3 8" xfId="6427" xr:uid="{00000000-0005-0000-0000-000086230000}"/>
    <cellStyle name="Normal 13 2 2 3 8 2" xfId="48691" xr:uid="{00000000-0005-0000-0000-000087230000}"/>
    <cellStyle name="Normal 13 2 2 3 9" xfId="6428" xr:uid="{00000000-0005-0000-0000-000088230000}"/>
    <cellStyle name="Normal 13 2 2 4" xfId="6429" xr:uid="{00000000-0005-0000-0000-000089230000}"/>
    <cellStyle name="Normal 13 2 2 4 10" xfId="6430" xr:uid="{00000000-0005-0000-0000-00008A230000}"/>
    <cellStyle name="Normal 13 2 2 4 11" xfId="6431" xr:uid="{00000000-0005-0000-0000-00008B230000}"/>
    <cellStyle name="Normal 13 2 2 4 12" xfId="6432" xr:uid="{00000000-0005-0000-0000-00008C230000}"/>
    <cellStyle name="Normal 13 2 2 4 13" xfId="6433" xr:uid="{00000000-0005-0000-0000-00008D230000}"/>
    <cellStyle name="Normal 13 2 2 4 14" xfId="6434" xr:uid="{00000000-0005-0000-0000-00008E230000}"/>
    <cellStyle name="Normal 13 2 2 4 2" xfId="6435" xr:uid="{00000000-0005-0000-0000-00008F230000}"/>
    <cellStyle name="Normal 13 2 2 4 2 2" xfId="6436" xr:uid="{00000000-0005-0000-0000-000090230000}"/>
    <cellStyle name="Normal 13 2 2 4 2 2 2" xfId="6437" xr:uid="{00000000-0005-0000-0000-000091230000}"/>
    <cellStyle name="Normal 13 2 2 4 2 2 2 2" xfId="6438" xr:uid="{00000000-0005-0000-0000-000092230000}"/>
    <cellStyle name="Normal 13 2 2 4 2 2 2 2 2" xfId="48692" xr:uid="{00000000-0005-0000-0000-000093230000}"/>
    <cellStyle name="Normal 13 2 2 4 2 2 2 2 3" xfId="48693" xr:uid="{00000000-0005-0000-0000-000094230000}"/>
    <cellStyle name="Normal 13 2 2 4 2 2 2 3" xfId="6439" xr:uid="{00000000-0005-0000-0000-000095230000}"/>
    <cellStyle name="Normal 13 2 2 4 2 2 2 3 2" xfId="48694" xr:uid="{00000000-0005-0000-0000-000096230000}"/>
    <cellStyle name="Normal 13 2 2 4 2 2 2 4" xfId="6440" xr:uid="{00000000-0005-0000-0000-000097230000}"/>
    <cellStyle name="Normal 13 2 2 4 2 2 2 5" xfId="6441" xr:uid="{00000000-0005-0000-0000-000098230000}"/>
    <cellStyle name="Normal 13 2 2 4 2 2 2 6" xfId="6442" xr:uid="{00000000-0005-0000-0000-000099230000}"/>
    <cellStyle name="Normal 13 2 2 4 2 2 3" xfId="6443" xr:uid="{00000000-0005-0000-0000-00009A230000}"/>
    <cellStyle name="Normal 13 2 2 4 2 2 3 2" xfId="48695" xr:uid="{00000000-0005-0000-0000-00009B230000}"/>
    <cellStyle name="Normal 13 2 2 4 2 2 3 3" xfId="48696" xr:uid="{00000000-0005-0000-0000-00009C230000}"/>
    <cellStyle name="Normal 13 2 2 4 2 2 4" xfId="6444" xr:uid="{00000000-0005-0000-0000-00009D230000}"/>
    <cellStyle name="Normal 13 2 2 4 2 2 4 2" xfId="48697" xr:uid="{00000000-0005-0000-0000-00009E230000}"/>
    <cellStyle name="Normal 13 2 2 4 2 2 5" xfId="6445" xr:uid="{00000000-0005-0000-0000-00009F230000}"/>
    <cellStyle name="Normal 13 2 2 4 2 2 6" xfId="6446" xr:uid="{00000000-0005-0000-0000-0000A0230000}"/>
    <cellStyle name="Normal 13 2 2 4 2 2 7" xfId="6447" xr:uid="{00000000-0005-0000-0000-0000A1230000}"/>
    <cellStyle name="Normal 13 2 2 4 2 3" xfId="6448" xr:uid="{00000000-0005-0000-0000-0000A2230000}"/>
    <cellStyle name="Normal 13 2 2 4 2 3 2" xfId="6449" xr:uid="{00000000-0005-0000-0000-0000A3230000}"/>
    <cellStyle name="Normal 13 2 2 4 2 3 2 2" xfId="48698" xr:uid="{00000000-0005-0000-0000-0000A4230000}"/>
    <cellStyle name="Normal 13 2 2 4 2 3 2 3" xfId="48699" xr:uid="{00000000-0005-0000-0000-0000A5230000}"/>
    <cellStyle name="Normal 13 2 2 4 2 3 3" xfId="6450" xr:uid="{00000000-0005-0000-0000-0000A6230000}"/>
    <cellStyle name="Normal 13 2 2 4 2 3 3 2" xfId="48700" xr:uid="{00000000-0005-0000-0000-0000A7230000}"/>
    <cellStyle name="Normal 13 2 2 4 2 3 4" xfId="6451" xr:uid="{00000000-0005-0000-0000-0000A8230000}"/>
    <cellStyle name="Normal 13 2 2 4 2 3 5" xfId="6452" xr:uid="{00000000-0005-0000-0000-0000A9230000}"/>
    <cellStyle name="Normal 13 2 2 4 2 3 6" xfId="6453" xr:uid="{00000000-0005-0000-0000-0000AA230000}"/>
    <cellStyle name="Normal 13 2 2 4 2 4" xfId="6454" xr:uid="{00000000-0005-0000-0000-0000AB230000}"/>
    <cellStyle name="Normal 13 2 2 4 2 4 2" xfId="48701" xr:uid="{00000000-0005-0000-0000-0000AC230000}"/>
    <cellStyle name="Normal 13 2 2 4 2 4 3" xfId="48702" xr:uid="{00000000-0005-0000-0000-0000AD230000}"/>
    <cellStyle name="Normal 13 2 2 4 2 5" xfId="6455" xr:uid="{00000000-0005-0000-0000-0000AE230000}"/>
    <cellStyle name="Normal 13 2 2 4 2 5 2" xfId="48703" xr:uid="{00000000-0005-0000-0000-0000AF230000}"/>
    <cellStyle name="Normal 13 2 2 4 2 6" xfId="6456" xr:uid="{00000000-0005-0000-0000-0000B0230000}"/>
    <cellStyle name="Normal 13 2 2 4 2 7" xfId="6457" xr:uid="{00000000-0005-0000-0000-0000B1230000}"/>
    <cellStyle name="Normal 13 2 2 4 2 8" xfId="6458" xr:uid="{00000000-0005-0000-0000-0000B2230000}"/>
    <cellStyle name="Normal 13 2 2 4 2 9" xfId="6459" xr:uid="{00000000-0005-0000-0000-0000B3230000}"/>
    <cellStyle name="Normal 13 2 2 4 3" xfId="6460" xr:uid="{00000000-0005-0000-0000-0000B4230000}"/>
    <cellStyle name="Normal 13 2 2 4 3 2" xfId="6461" xr:uid="{00000000-0005-0000-0000-0000B5230000}"/>
    <cellStyle name="Normal 13 2 2 4 3 2 2" xfId="6462" xr:uid="{00000000-0005-0000-0000-0000B6230000}"/>
    <cellStyle name="Normal 13 2 2 4 3 2 2 2" xfId="6463" xr:uid="{00000000-0005-0000-0000-0000B7230000}"/>
    <cellStyle name="Normal 13 2 2 4 3 2 2 2 2" xfId="48704" xr:uid="{00000000-0005-0000-0000-0000B8230000}"/>
    <cellStyle name="Normal 13 2 2 4 3 2 2 2 3" xfId="48705" xr:uid="{00000000-0005-0000-0000-0000B9230000}"/>
    <cellStyle name="Normal 13 2 2 4 3 2 2 3" xfId="6464" xr:uid="{00000000-0005-0000-0000-0000BA230000}"/>
    <cellStyle name="Normal 13 2 2 4 3 2 2 3 2" xfId="48706" xr:uid="{00000000-0005-0000-0000-0000BB230000}"/>
    <cellStyle name="Normal 13 2 2 4 3 2 2 4" xfId="6465" xr:uid="{00000000-0005-0000-0000-0000BC230000}"/>
    <cellStyle name="Normal 13 2 2 4 3 2 2 5" xfId="6466" xr:uid="{00000000-0005-0000-0000-0000BD230000}"/>
    <cellStyle name="Normal 13 2 2 4 3 2 2 6" xfId="6467" xr:uid="{00000000-0005-0000-0000-0000BE230000}"/>
    <cellStyle name="Normal 13 2 2 4 3 2 3" xfId="6468" xr:uid="{00000000-0005-0000-0000-0000BF230000}"/>
    <cellStyle name="Normal 13 2 2 4 3 2 3 2" xfId="48707" xr:uid="{00000000-0005-0000-0000-0000C0230000}"/>
    <cellStyle name="Normal 13 2 2 4 3 2 3 3" xfId="48708" xr:uid="{00000000-0005-0000-0000-0000C1230000}"/>
    <cellStyle name="Normal 13 2 2 4 3 2 4" xfId="6469" xr:uid="{00000000-0005-0000-0000-0000C2230000}"/>
    <cellStyle name="Normal 13 2 2 4 3 2 4 2" xfId="48709" xr:uid="{00000000-0005-0000-0000-0000C3230000}"/>
    <cellStyle name="Normal 13 2 2 4 3 2 5" xfId="6470" xr:uid="{00000000-0005-0000-0000-0000C4230000}"/>
    <cellStyle name="Normal 13 2 2 4 3 2 6" xfId="6471" xr:uid="{00000000-0005-0000-0000-0000C5230000}"/>
    <cellStyle name="Normal 13 2 2 4 3 2 7" xfId="6472" xr:uid="{00000000-0005-0000-0000-0000C6230000}"/>
    <cellStyle name="Normal 13 2 2 4 3 3" xfId="6473" xr:uid="{00000000-0005-0000-0000-0000C7230000}"/>
    <cellStyle name="Normal 13 2 2 4 3 3 2" xfId="6474" xr:uid="{00000000-0005-0000-0000-0000C8230000}"/>
    <cellStyle name="Normal 13 2 2 4 3 3 2 2" xfId="48710" xr:uid="{00000000-0005-0000-0000-0000C9230000}"/>
    <cellStyle name="Normal 13 2 2 4 3 3 2 3" xfId="48711" xr:uid="{00000000-0005-0000-0000-0000CA230000}"/>
    <cellStyle name="Normal 13 2 2 4 3 3 3" xfId="6475" xr:uid="{00000000-0005-0000-0000-0000CB230000}"/>
    <cellStyle name="Normal 13 2 2 4 3 3 3 2" xfId="48712" xr:uid="{00000000-0005-0000-0000-0000CC230000}"/>
    <cellStyle name="Normal 13 2 2 4 3 3 4" xfId="6476" xr:uid="{00000000-0005-0000-0000-0000CD230000}"/>
    <cellStyle name="Normal 13 2 2 4 3 3 5" xfId="6477" xr:uid="{00000000-0005-0000-0000-0000CE230000}"/>
    <cellStyle name="Normal 13 2 2 4 3 3 6" xfId="6478" xr:uid="{00000000-0005-0000-0000-0000CF230000}"/>
    <cellStyle name="Normal 13 2 2 4 3 4" xfId="6479" xr:uid="{00000000-0005-0000-0000-0000D0230000}"/>
    <cellStyle name="Normal 13 2 2 4 3 4 2" xfId="48713" xr:uid="{00000000-0005-0000-0000-0000D1230000}"/>
    <cellStyle name="Normal 13 2 2 4 3 4 3" xfId="48714" xr:uid="{00000000-0005-0000-0000-0000D2230000}"/>
    <cellStyle name="Normal 13 2 2 4 3 5" xfId="6480" xr:uid="{00000000-0005-0000-0000-0000D3230000}"/>
    <cellStyle name="Normal 13 2 2 4 3 5 2" xfId="48715" xr:uid="{00000000-0005-0000-0000-0000D4230000}"/>
    <cellStyle name="Normal 13 2 2 4 3 6" xfId="6481" xr:uid="{00000000-0005-0000-0000-0000D5230000}"/>
    <cellStyle name="Normal 13 2 2 4 3 7" xfId="6482" xr:uid="{00000000-0005-0000-0000-0000D6230000}"/>
    <cellStyle name="Normal 13 2 2 4 3 8" xfId="6483" xr:uid="{00000000-0005-0000-0000-0000D7230000}"/>
    <cellStyle name="Normal 13 2 2 4 4" xfId="6484" xr:uid="{00000000-0005-0000-0000-0000D8230000}"/>
    <cellStyle name="Normal 13 2 2 4 4 2" xfId="6485" xr:uid="{00000000-0005-0000-0000-0000D9230000}"/>
    <cellStyle name="Normal 13 2 2 4 4 2 2" xfId="6486" xr:uid="{00000000-0005-0000-0000-0000DA230000}"/>
    <cellStyle name="Normal 13 2 2 4 4 2 2 2" xfId="48716" xr:uid="{00000000-0005-0000-0000-0000DB230000}"/>
    <cellStyle name="Normal 13 2 2 4 4 2 2 3" xfId="48717" xr:uid="{00000000-0005-0000-0000-0000DC230000}"/>
    <cellStyle name="Normal 13 2 2 4 4 2 3" xfId="6487" xr:uid="{00000000-0005-0000-0000-0000DD230000}"/>
    <cellStyle name="Normal 13 2 2 4 4 2 3 2" xfId="48718" xr:uid="{00000000-0005-0000-0000-0000DE230000}"/>
    <cellStyle name="Normal 13 2 2 4 4 2 4" xfId="6488" xr:uid="{00000000-0005-0000-0000-0000DF230000}"/>
    <cellStyle name="Normal 13 2 2 4 4 2 5" xfId="6489" xr:uid="{00000000-0005-0000-0000-0000E0230000}"/>
    <cellStyle name="Normal 13 2 2 4 4 2 6" xfId="6490" xr:uid="{00000000-0005-0000-0000-0000E1230000}"/>
    <cellStyle name="Normal 13 2 2 4 4 3" xfId="6491" xr:uid="{00000000-0005-0000-0000-0000E2230000}"/>
    <cellStyle name="Normal 13 2 2 4 4 3 2" xfId="48719" xr:uid="{00000000-0005-0000-0000-0000E3230000}"/>
    <cellStyle name="Normal 13 2 2 4 4 3 3" xfId="48720" xr:uid="{00000000-0005-0000-0000-0000E4230000}"/>
    <cellStyle name="Normal 13 2 2 4 4 4" xfId="6492" xr:uid="{00000000-0005-0000-0000-0000E5230000}"/>
    <cellStyle name="Normal 13 2 2 4 4 4 2" xfId="48721" xr:uid="{00000000-0005-0000-0000-0000E6230000}"/>
    <cellStyle name="Normal 13 2 2 4 4 5" xfId="6493" xr:uid="{00000000-0005-0000-0000-0000E7230000}"/>
    <cellStyle name="Normal 13 2 2 4 4 6" xfId="6494" xr:uid="{00000000-0005-0000-0000-0000E8230000}"/>
    <cellStyle name="Normal 13 2 2 4 4 7" xfId="6495" xr:uid="{00000000-0005-0000-0000-0000E9230000}"/>
    <cellStyle name="Normal 13 2 2 4 5" xfId="6496" xr:uid="{00000000-0005-0000-0000-0000EA230000}"/>
    <cellStyle name="Normal 13 2 2 4 5 2" xfId="6497" xr:uid="{00000000-0005-0000-0000-0000EB230000}"/>
    <cellStyle name="Normal 13 2 2 4 5 2 2" xfId="48722" xr:uid="{00000000-0005-0000-0000-0000EC230000}"/>
    <cellStyle name="Normal 13 2 2 4 5 2 3" xfId="48723" xr:uid="{00000000-0005-0000-0000-0000ED230000}"/>
    <cellStyle name="Normal 13 2 2 4 5 3" xfId="6498" xr:uid="{00000000-0005-0000-0000-0000EE230000}"/>
    <cellStyle name="Normal 13 2 2 4 5 3 2" xfId="48724" xr:uid="{00000000-0005-0000-0000-0000EF230000}"/>
    <cellStyle name="Normal 13 2 2 4 5 4" xfId="6499" xr:uid="{00000000-0005-0000-0000-0000F0230000}"/>
    <cellStyle name="Normal 13 2 2 4 5 5" xfId="6500" xr:uid="{00000000-0005-0000-0000-0000F1230000}"/>
    <cellStyle name="Normal 13 2 2 4 5 6" xfId="6501" xr:uid="{00000000-0005-0000-0000-0000F2230000}"/>
    <cellStyle name="Normal 13 2 2 4 6" xfId="6502" xr:uid="{00000000-0005-0000-0000-0000F3230000}"/>
    <cellStyle name="Normal 13 2 2 4 6 2" xfId="48725" xr:uid="{00000000-0005-0000-0000-0000F4230000}"/>
    <cellStyle name="Normal 13 2 2 4 6 3" xfId="48726" xr:uid="{00000000-0005-0000-0000-0000F5230000}"/>
    <cellStyle name="Normal 13 2 2 4 7" xfId="6503" xr:uid="{00000000-0005-0000-0000-0000F6230000}"/>
    <cellStyle name="Normal 13 2 2 4 7 2" xfId="48727" xr:uid="{00000000-0005-0000-0000-0000F7230000}"/>
    <cellStyle name="Normal 13 2 2 4 8" xfId="6504" xr:uid="{00000000-0005-0000-0000-0000F8230000}"/>
    <cellStyle name="Normal 13 2 2 4 9" xfId="6505" xr:uid="{00000000-0005-0000-0000-0000F9230000}"/>
    <cellStyle name="Normal 13 2 2 5" xfId="6506" xr:uid="{00000000-0005-0000-0000-0000FA230000}"/>
    <cellStyle name="Normal 13 2 2 5 10" xfId="6507" xr:uid="{00000000-0005-0000-0000-0000FB230000}"/>
    <cellStyle name="Normal 13 2 2 5 11" xfId="6508" xr:uid="{00000000-0005-0000-0000-0000FC230000}"/>
    <cellStyle name="Normal 13 2 2 5 12" xfId="6509" xr:uid="{00000000-0005-0000-0000-0000FD230000}"/>
    <cellStyle name="Normal 13 2 2 5 13" xfId="6510" xr:uid="{00000000-0005-0000-0000-0000FE230000}"/>
    <cellStyle name="Normal 13 2 2 5 14" xfId="6511" xr:uid="{00000000-0005-0000-0000-0000FF230000}"/>
    <cellStyle name="Normal 13 2 2 5 2" xfId="6512" xr:uid="{00000000-0005-0000-0000-000000240000}"/>
    <cellStyle name="Normal 13 2 2 5 2 2" xfId="6513" xr:uid="{00000000-0005-0000-0000-000001240000}"/>
    <cellStyle name="Normal 13 2 2 5 2 2 2" xfId="6514" xr:uid="{00000000-0005-0000-0000-000002240000}"/>
    <cellStyle name="Normal 13 2 2 5 2 2 2 2" xfId="6515" xr:uid="{00000000-0005-0000-0000-000003240000}"/>
    <cellStyle name="Normal 13 2 2 5 2 2 2 2 2" xfId="48728" xr:uid="{00000000-0005-0000-0000-000004240000}"/>
    <cellStyle name="Normal 13 2 2 5 2 2 2 2 3" xfId="48729" xr:uid="{00000000-0005-0000-0000-000005240000}"/>
    <cellStyle name="Normal 13 2 2 5 2 2 2 3" xfId="6516" xr:uid="{00000000-0005-0000-0000-000006240000}"/>
    <cellStyle name="Normal 13 2 2 5 2 2 2 3 2" xfId="48730" xr:uid="{00000000-0005-0000-0000-000007240000}"/>
    <cellStyle name="Normal 13 2 2 5 2 2 2 4" xfId="6517" xr:uid="{00000000-0005-0000-0000-000008240000}"/>
    <cellStyle name="Normal 13 2 2 5 2 2 2 5" xfId="6518" xr:uid="{00000000-0005-0000-0000-000009240000}"/>
    <cellStyle name="Normal 13 2 2 5 2 2 2 6" xfId="6519" xr:uid="{00000000-0005-0000-0000-00000A240000}"/>
    <cellStyle name="Normal 13 2 2 5 2 2 3" xfId="6520" xr:uid="{00000000-0005-0000-0000-00000B240000}"/>
    <cellStyle name="Normal 13 2 2 5 2 2 3 2" xfId="48731" xr:uid="{00000000-0005-0000-0000-00000C240000}"/>
    <cellStyle name="Normal 13 2 2 5 2 2 3 3" xfId="48732" xr:uid="{00000000-0005-0000-0000-00000D240000}"/>
    <cellStyle name="Normal 13 2 2 5 2 2 4" xfId="6521" xr:uid="{00000000-0005-0000-0000-00000E240000}"/>
    <cellStyle name="Normal 13 2 2 5 2 2 4 2" xfId="48733" xr:uid="{00000000-0005-0000-0000-00000F240000}"/>
    <cellStyle name="Normal 13 2 2 5 2 2 5" xfId="6522" xr:uid="{00000000-0005-0000-0000-000010240000}"/>
    <cellStyle name="Normal 13 2 2 5 2 2 6" xfId="6523" xr:uid="{00000000-0005-0000-0000-000011240000}"/>
    <cellStyle name="Normal 13 2 2 5 2 2 7" xfId="6524" xr:uid="{00000000-0005-0000-0000-000012240000}"/>
    <cellStyle name="Normal 13 2 2 5 2 3" xfId="6525" xr:uid="{00000000-0005-0000-0000-000013240000}"/>
    <cellStyle name="Normal 13 2 2 5 2 3 2" xfId="6526" xr:uid="{00000000-0005-0000-0000-000014240000}"/>
    <cellStyle name="Normal 13 2 2 5 2 3 2 2" xfId="48734" xr:uid="{00000000-0005-0000-0000-000015240000}"/>
    <cellStyle name="Normal 13 2 2 5 2 3 2 3" xfId="48735" xr:uid="{00000000-0005-0000-0000-000016240000}"/>
    <cellStyle name="Normal 13 2 2 5 2 3 3" xfId="6527" xr:uid="{00000000-0005-0000-0000-000017240000}"/>
    <cellStyle name="Normal 13 2 2 5 2 3 3 2" xfId="48736" xr:uid="{00000000-0005-0000-0000-000018240000}"/>
    <cellStyle name="Normal 13 2 2 5 2 3 4" xfId="6528" xr:uid="{00000000-0005-0000-0000-000019240000}"/>
    <cellStyle name="Normal 13 2 2 5 2 3 5" xfId="6529" xr:uid="{00000000-0005-0000-0000-00001A240000}"/>
    <cellStyle name="Normal 13 2 2 5 2 3 6" xfId="6530" xr:uid="{00000000-0005-0000-0000-00001B240000}"/>
    <cellStyle name="Normal 13 2 2 5 2 4" xfId="6531" xr:uid="{00000000-0005-0000-0000-00001C240000}"/>
    <cellStyle name="Normal 13 2 2 5 2 4 2" xfId="48737" xr:uid="{00000000-0005-0000-0000-00001D240000}"/>
    <cellStyle name="Normal 13 2 2 5 2 4 3" xfId="48738" xr:uid="{00000000-0005-0000-0000-00001E240000}"/>
    <cellStyle name="Normal 13 2 2 5 2 5" xfId="6532" xr:uid="{00000000-0005-0000-0000-00001F240000}"/>
    <cellStyle name="Normal 13 2 2 5 2 5 2" xfId="48739" xr:uid="{00000000-0005-0000-0000-000020240000}"/>
    <cellStyle name="Normal 13 2 2 5 2 6" xfId="6533" xr:uid="{00000000-0005-0000-0000-000021240000}"/>
    <cellStyle name="Normal 13 2 2 5 2 7" xfId="6534" xr:uid="{00000000-0005-0000-0000-000022240000}"/>
    <cellStyle name="Normal 13 2 2 5 2 8" xfId="6535" xr:uid="{00000000-0005-0000-0000-000023240000}"/>
    <cellStyle name="Normal 13 2 2 5 2 9" xfId="6536" xr:uid="{00000000-0005-0000-0000-000024240000}"/>
    <cellStyle name="Normal 13 2 2 5 3" xfId="6537" xr:uid="{00000000-0005-0000-0000-000025240000}"/>
    <cellStyle name="Normal 13 2 2 5 3 2" xfId="6538" xr:uid="{00000000-0005-0000-0000-000026240000}"/>
    <cellStyle name="Normal 13 2 2 5 3 2 2" xfId="6539" xr:uid="{00000000-0005-0000-0000-000027240000}"/>
    <cellStyle name="Normal 13 2 2 5 3 2 2 2" xfId="6540" xr:uid="{00000000-0005-0000-0000-000028240000}"/>
    <cellStyle name="Normal 13 2 2 5 3 2 2 2 2" xfId="48740" xr:uid="{00000000-0005-0000-0000-000029240000}"/>
    <cellStyle name="Normal 13 2 2 5 3 2 2 2 3" xfId="48741" xr:uid="{00000000-0005-0000-0000-00002A240000}"/>
    <cellStyle name="Normal 13 2 2 5 3 2 2 3" xfId="6541" xr:uid="{00000000-0005-0000-0000-00002B240000}"/>
    <cellStyle name="Normal 13 2 2 5 3 2 2 3 2" xfId="48742" xr:uid="{00000000-0005-0000-0000-00002C240000}"/>
    <cellStyle name="Normal 13 2 2 5 3 2 2 4" xfId="6542" xr:uid="{00000000-0005-0000-0000-00002D240000}"/>
    <cellStyle name="Normal 13 2 2 5 3 2 2 5" xfId="6543" xr:uid="{00000000-0005-0000-0000-00002E240000}"/>
    <cellStyle name="Normal 13 2 2 5 3 2 2 6" xfId="6544" xr:uid="{00000000-0005-0000-0000-00002F240000}"/>
    <cellStyle name="Normal 13 2 2 5 3 2 3" xfId="6545" xr:uid="{00000000-0005-0000-0000-000030240000}"/>
    <cellStyle name="Normal 13 2 2 5 3 2 3 2" xfId="48743" xr:uid="{00000000-0005-0000-0000-000031240000}"/>
    <cellStyle name="Normal 13 2 2 5 3 2 3 3" xfId="48744" xr:uid="{00000000-0005-0000-0000-000032240000}"/>
    <cellStyle name="Normal 13 2 2 5 3 2 4" xfId="6546" xr:uid="{00000000-0005-0000-0000-000033240000}"/>
    <cellStyle name="Normal 13 2 2 5 3 2 4 2" xfId="48745" xr:uid="{00000000-0005-0000-0000-000034240000}"/>
    <cellStyle name="Normal 13 2 2 5 3 2 5" xfId="6547" xr:uid="{00000000-0005-0000-0000-000035240000}"/>
    <cellStyle name="Normal 13 2 2 5 3 2 6" xfId="6548" xr:uid="{00000000-0005-0000-0000-000036240000}"/>
    <cellStyle name="Normal 13 2 2 5 3 2 7" xfId="6549" xr:uid="{00000000-0005-0000-0000-000037240000}"/>
    <cellStyle name="Normal 13 2 2 5 3 3" xfId="6550" xr:uid="{00000000-0005-0000-0000-000038240000}"/>
    <cellStyle name="Normal 13 2 2 5 3 3 2" xfId="6551" xr:uid="{00000000-0005-0000-0000-000039240000}"/>
    <cellStyle name="Normal 13 2 2 5 3 3 2 2" xfId="48746" xr:uid="{00000000-0005-0000-0000-00003A240000}"/>
    <cellStyle name="Normal 13 2 2 5 3 3 2 3" xfId="48747" xr:uid="{00000000-0005-0000-0000-00003B240000}"/>
    <cellStyle name="Normal 13 2 2 5 3 3 3" xfId="6552" xr:uid="{00000000-0005-0000-0000-00003C240000}"/>
    <cellStyle name="Normal 13 2 2 5 3 3 3 2" xfId="48748" xr:uid="{00000000-0005-0000-0000-00003D240000}"/>
    <cellStyle name="Normal 13 2 2 5 3 3 4" xfId="6553" xr:uid="{00000000-0005-0000-0000-00003E240000}"/>
    <cellStyle name="Normal 13 2 2 5 3 3 5" xfId="6554" xr:uid="{00000000-0005-0000-0000-00003F240000}"/>
    <cellStyle name="Normal 13 2 2 5 3 3 6" xfId="6555" xr:uid="{00000000-0005-0000-0000-000040240000}"/>
    <cellStyle name="Normal 13 2 2 5 3 4" xfId="6556" xr:uid="{00000000-0005-0000-0000-000041240000}"/>
    <cellStyle name="Normal 13 2 2 5 3 4 2" xfId="48749" xr:uid="{00000000-0005-0000-0000-000042240000}"/>
    <cellStyle name="Normal 13 2 2 5 3 4 3" xfId="48750" xr:uid="{00000000-0005-0000-0000-000043240000}"/>
    <cellStyle name="Normal 13 2 2 5 3 5" xfId="6557" xr:uid="{00000000-0005-0000-0000-000044240000}"/>
    <cellStyle name="Normal 13 2 2 5 3 5 2" xfId="48751" xr:uid="{00000000-0005-0000-0000-000045240000}"/>
    <cellStyle name="Normal 13 2 2 5 3 6" xfId="6558" xr:uid="{00000000-0005-0000-0000-000046240000}"/>
    <cellStyle name="Normal 13 2 2 5 3 7" xfId="6559" xr:uid="{00000000-0005-0000-0000-000047240000}"/>
    <cellStyle name="Normal 13 2 2 5 3 8" xfId="6560" xr:uid="{00000000-0005-0000-0000-000048240000}"/>
    <cellStyle name="Normal 13 2 2 5 4" xfId="6561" xr:uid="{00000000-0005-0000-0000-000049240000}"/>
    <cellStyle name="Normal 13 2 2 5 4 2" xfId="6562" xr:uid="{00000000-0005-0000-0000-00004A240000}"/>
    <cellStyle name="Normal 13 2 2 5 4 2 2" xfId="6563" xr:uid="{00000000-0005-0000-0000-00004B240000}"/>
    <cellStyle name="Normal 13 2 2 5 4 2 2 2" xfId="48752" xr:uid="{00000000-0005-0000-0000-00004C240000}"/>
    <cellStyle name="Normal 13 2 2 5 4 2 2 3" xfId="48753" xr:uid="{00000000-0005-0000-0000-00004D240000}"/>
    <cellStyle name="Normal 13 2 2 5 4 2 3" xfId="6564" xr:uid="{00000000-0005-0000-0000-00004E240000}"/>
    <cellStyle name="Normal 13 2 2 5 4 2 3 2" xfId="48754" xr:uid="{00000000-0005-0000-0000-00004F240000}"/>
    <cellStyle name="Normal 13 2 2 5 4 2 4" xfId="6565" xr:uid="{00000000-0005-0000-0000-000050240000}"/>
    <cellStyle name="Normal 13 2 2 5 4 2 5" xfId="6566" xr:uid="{00000000-0005-0000-0000-000051240000}"/>
    <cellStyle name="Normal 13 2 2 5 4 2 6" xfId="6567" xr:uid="{00000000-0005-0000-0000-000052240000}"/>
    <cellStyle name="Normal 13 2 2 5 4 3" xfId="6568" xr:uid="{00000000-0005-0000-0000-000053240000}"/>
    <cellStyle name="Normal 13 2 2 5 4 3 2" xfId="48755" xr:uid="{00000000-0005-0000-0000-000054240000}"/>
    <cellStyle name="Normal 13 2 2 5 4 3 3" xfId="48756" xr:uid="{00000000-0005-0000-0000-000055240000}"/>
    <cellStyle name="Normal 13 2 2 5 4 4" xfId="6569" xr:uid="{00000000-0005-0000-0000-000056240000}"/>
    <cellStyle name="Normal 13 2 2 5 4 4 2" xfId="48757" xr:uid="{00000000-0005-0000-0000-000057240000}"/>
    <cellStyle name="Normal 13 2 2 5 4 5" xfId="6570" xr:uid="{00000000-0005-0000-0000-000058240000}"/>
    <cellStyle name="Normal 13 2 2 5 4 6" xfId="6571" xr:uid="{00000000-0005-0000-0000-000059240000}"/>
    <cellStyle name="Normal 13 2 2 5 4 7" xfId="6572" xr:uid="{00000000-0005-0000-0000-00005A240000}"/>
    <cellStyle name="Normal 13 2 2 5 5" xfId="6573" xr:uid="{00000000-0005-0000-0000-00005B240000}"/>
    <cellStyle name="Normal 13 2 2 5 5 2" xfId="6574" xr:uid="{00000000-0005-0000-0000-00005C240000}"/>
    <cellStyle name="Normal 13 2 2 5 5 2 2" xfId="48758" xr:uid="{00000000-0005-0000-0000-00005D240000}"/>
    <cellStyle name="Normal 13 2 2 5 5 2 3" xfId="48759" xr:uid="{00000000-0005-0000-0000-00005E240000}"/>
    <cellStyle name="Normal 13 2 2 5 5 3" xfId="6575" xr:uid="{00000000-0005-0000-0000-00005F240000}"/>
    <cellStyle name="Normal 13 2 2 5 5 3 2" xfId="48760" xr:uid="{00000000-0005-0000-0000-000060240000}"/>
    <cellStyle name="Normal 13 2 2 5 5 4" xfId="6576" xr:uid="{00000000-0005-0000-0000-000061240000}"/>
    <cellStyle name="Normal 13 2 2 5 5 5" xfId="6577" xr:uid="{00000000-0005-0000-0000-000062240000}"/>
    <cellStyle name="Normal 13 2 2 5 5 6" xfId="6578" xr:uid="{00000000-0005-0000-0000-000063240000}"/>
    <cellStyle name="Normal 13 2 2 5 6" xfId="6579" xr:uid="{00000000-0005-0000-0000-000064240000}"/>
    <cellStyle name="Normal 13 2 2 5 6 2" xfId="48761" xr:uid="{00000000-0005-0000-0000-000065240000}"/>
    <cellStyle name="Normal 13 2 2 5 6 3" xfId="48762" xr:uid="{00000000-0005-0000-0000-000066240000}"/>
    <cellStyle name="Normal 13 2 2 5 7" xfId="6580" xr:uid="{00000000-0005-0000-0000-000067240000}"/>
    <cellStyle name="Normal 13 2 2 5 7 2" xfId="48763" xr:uid="{00000000-0005-0000-0000-000068240000}"/>
    <cellStyle name="Normal 13 2 2 5 8" xfId="6581" xr:uid="{00000000-0005-0000-0000-000069240000}"/>
    <cellStyle name="Normal 13 2 2 5 9" xfId="6582" xr:uid="{00000000-0005-0000-0000-00006A240000}"/>
    <cellStyle name="Normal 13 2 2 6" xfId="6583" xr:uid="{00000000-0005-0000-0000-00006B240000}"/>
    <cellStyle name="Normal 13 2 2 6 10" xfId="6584" xr:uid="{00000000-0005-0000-0000-00006C240000}"/>
    <cellStyle name="Normal 13 2 2 6 11" xfId="6585" xr:uid="{00000000-0005-0000-0000-00006D240000}"/>
    <cellStyle name="Normal 13 2 2 6 12" xfId="6586" xr:uid="{00000000-0005-0000-0000-00006E240000}"/>
    <cellStyle name="Normal 13 2 2 6 13" xfId="6587" xr:uid="{00000000-0005-0000-0000-00006F240000}"/>
    <cellStyle name="Normal 13 2 2 6 2" xfId="6588" xr:uid="{00000000-0005-0000-0000-000070240000}"/>
    <cellStyle name="Normal 13 2 2 6 2 2" xfId="6589" xr:uid="{00000000-0005-0000-0000-000071240000}"/>
    <cellStyle name="Normal 13 2 2 6 2 2 2" xfId="6590" xr:uid="{00000000-0005-0000-0000-000072240000}"/>
    <cellStyle name="Normal 13 2 2 6 2 2 2 2" xfId="6591" xr:uid="{00000000-0005-0000-0000-000073240000}"/>
    <cellStyle name="Normal 13 2 2 6 2 2 2 2 2" xfId="48764" xr:uid="{00000000-0005-0000-0000-000074240000}"/>
    <cellStyle name="Normal 13 2 2 6 2 2 2 2 3" xfId="48765" xr:uid="{00000000-0005-0000-0000-000075240000}"/>
    <cellStyle name="Normal 13 2 2 6 2 2 2 3" xfId="6592" xr:uid="{00000000-0005-0000-0000-000076240000}"/>
    <cellStyle name="Normal 13 2 2 6 2 2 2 3 2" xfId="48766" xr:uid="{00000000-0005-0000-0000-000077240000}"/>
    <cellStyle name="Normal 13 2 2 6 2 2 2 4" xfId="6593" xr:uid="{00000000-0005-0000-0000-000078240000}"/>
    <cellStyle name="Normal 13 2 2 6 2 2 2 5" xfId="6594" xr:uid="{00000000-0005-0000-0000-000079240000}"/>
    <cellStyle name="Normal 13 2 2 6 2 2 2 6" xfId="6595" xr:uid="{00000000-0005-0000-0000-00007A240000}"/>
    <cellStyle name="Normal 13 2 2 6 2 2 3" xfId="6596" xr:uid="{00000000-0005-0000-0000-00007B240000}"/>
    <cellStyle name="Normal 13 2 2 6 2 2 3 2" xfId="48767" xr:uid="{00000000-0005-0000-0000-00007C240000}"/>
    <cellStyle name="Normal 13 2 2 6 2 2 3 3" xfId="48768" xr:uid="{00000000-0005-0000-0000-00007D240000}"/>
    <cellStyle name="Normal 13 2 2 6 2 2 4" xfId="6597" xr:uid="{00000000-0005-0000-0000-00007E240000}"/>
    <cellStyle name="Normal 13 2 2 6 2 2 4 2" xfId="48769" xr:uid="{00000000-0005-0000-0000-00007F240000}"/>
    <cellStyle name="Normal 13 2 2 6 2 2 5" xfId="6598" xr:uid="{00000000-0005-0000-0000-000080240000}"/>
    <cellStyle name="Normal 13 2 2 6 2 2 6" xfId="6599" xr:uid="{00000000-0005-0000-0000-000081240000}"/>
    <cellStyle name="Normal 13 2 2 6 2 2 7" xfId="6600" xr:uid="{00000000-0005-0000-0000-000082240000}"/>
    <cellStyle name="Normal 13 2 2 6 2 3" xfId="6601" xr:uid="{00000000-0005-0000-0000-000083240000}"/>
    <cellStyle name="Normal 13 2 2 6 2 3 2" xfId="6602" xr:uid="{00000000-0005-0000-0000-000084240000}"/>
    <cellStyle name="Normal 13 2 2 6 2 3 2 2" xfId="48770" xr:uid="{00000000-0005-0000-0000-000085240000}"/>
    <cellStyle name="Normal 13 2 2 6 2 3 2 3" xfId="48771" xr:uid="{00000000-0005-0000-0000-000086240000}"/>
    <cellStyle name="Normal 13 2 2 6 2 3 3" xfId="6603" xr:uid="{00000000-0005-0000-0000-000087240000}"/>
    <cellStyle name="Normal 13 2 2 6 2 3 3 2" xfId="48772" xr:uid="{00000000-0005-0000-0000-000088240000}"/>
    <cellStyle name="Normal 13 2 2 6 2 3 4" xfId="6604" xr:uid="{00000000-0005-0000-0000-000089240000}"/>
    <cellStyle name="Normal 13 2 2 6 2 3 5" xfId="6605" xr:uid="{00000000-0005-0000-0000-00008A240000}"/>
    <cellStyle name="Normal 13 2 2 6 2 3 6" xfId="6606" xr:uid="{00000000-0005-0000-0000-00008B240000}"/>
    <cellStyle name="Normal 13 2 2 6 2 4" xfId="6607" xr:uid="{00000000-0005-0000-0000-00008C240000}"/>
    <cellStyle name="Normal 13 2 2 6 2 4 2" xfId="48773" xr:uid="{00000000-0005-0000-0000-00008D240000}"/>
    <cellStyle name="Normal 13 2 2 6 2 4 3" xfId="48774" xr:uid="{00000000-0005-0000-0000-00008E240000}"/>
    <cellStyle name="Normal 13 2 2 6 2 5" xfId="6608" xr:uid="{00000000-0005-0000-0000-00008F240000}"/>
    <cellStyle name="Normal 13 2 2 6 2 5 2" xfId="48775" xr:uid="{00000000-0005-0000-0000-000090240000}"/>
    <cellStyle name="Normal 13 2 2 6 2 6" xfId="6609" xr:uid="{00000000-0005-0000-0000-000091240000}"/>
    <cellStyle name="Normal 13 2 2 6 2 7" xfId="6610" xr:uid="{00000000-0005-0000-0000-000092240000}"/>
    <cellStyle name="Normal 13 2 2 6 2 8" xfId="6611" xr:uid="{00000000-0005-0000-0000-000093240000}"/>
    <cellStyle name="Normal 13 2 2 6 2 9" xfId="6612" xr:uid="{00000000-0005-0000-0000-000094240000}"/>
    <cellStyle name="Normal 13 2 2 6 3" xfId="6613" xr:uid="{00000000-0005-0000-0000-000095240000}"/>
    <cellStyle name="Normal 13 2 2 6 3 2" xfId="6614" xr:uid="{00000000-0005-0000-0000-000096240000}"/>
    <cellStyle name="Normal 13 2 2 6 3 2 2" xfId="6615" xr:uid="{00000000-0005-0000-0000-000097240000}"/>
    <cellStyle name="Normal 13 2 2 6 3 2 2 2" xfId="48776" xr:uid="{00000000-0005-0000-0000-000098240000}"/>
    <cellStyle name="Normal 13 2 2 6 3 2 2 3" xfId="48777" xr:uid="{00000000-0005-0000-0000-000099240000}"/>
    <cellStyle name="Normal 13 2 2 6 3 2 3" xfId="6616" xr:uid="{00000000-0005-0000-0000-00009A240000}"/>
    <cellStyle name="Normal 13 2 2 6 3 2 3 2" xfId="48778" xr:uid="{00000000-0005-0000-0000-00009B240000}"/>
    <cellStyle name="Normal 13 2 2 6 3 2 4" xfId="6617" xr:uid="{00000000-0005-0000-0000-00009C240000}"/>
    <cellStyle name="Normal 13 2 2 6 3 2 5" xfId="6618" xr:uid="{00000000-0005-0000-0000-00009D240000}"/>
    <cellStyle name="Normal 13 2 2 6 3 2 6" xfId="6619" xr:uid="{00000000-0005-0000-0000-00009E240000}"/>
    <cellStyle name="Normal 13 2 2 6 3 3" xfId="6620" xr:uid="{00000000-0005-0000-0000-00009F240000}"/>
    <cellStyle name="Normal 13 2 2 6 3 3 2" xfId="48779" xr:uid="{00000000-0005-0000-0000-0000A0240000}"/>
    <cellStyle name="Normal 13 2 2 6 3 3 3" xfId="48780" xr:uid="{00000000-0005-0000-0000-0000A1240000}"/>
    <cellStyle name="Normal 13 2 2 6 3 4" xfId="6621" xr:uid="{00000000-0005-0000-0000-0000A2240000}"/>
    <cellStyle name="Normal 13 2 2 6 3 4 2" xfId="48781" xr:uid="{00000000-0005-0000-0000-0000A3240000}"/>
    <cellStyle name="Normal 13 2 2 6 3 5" xfId="6622" xr:uid="{00000000-0005-0000-0000-0000A4240000}"/>
    <cellStyle name="Normal 13 2 2 6 3 6" xfId="6623" xr:uid="{00000000-0005-0000-0000-0000A5240000}"/>
    <cellStyle name="Normal 13 2 2 6 3 7" xfId="6624" xr:uid="{00000000-0005-0000-0000-0000A6240000}"/>
    <cellStyle name="Normal 13 2 2 6 4" xfId="6625" xr:uid="{00000000-0005-0000-0000-0000A7240000}"/>
    <cellStyle name="Normal 13 2 2 6 4 2" xfId="6626" xr:uid="{00000000-0005-0000-0000-0000A8240000}"/>
    <cellStyle name="Normal 13 2 2 6 4 2 2" xfId="48782" xr:uid="{00000000-0005-0000-0000-0000A9240000}"/>
    <cellStyle name="Normal 13 2 2 6 4 2 3" xfId="48783" xr:uid="{00000000-0005-0000-0000-0000AA240000}"/>
    <cellStyle name="Normal 13 2 2 6 4 3" xfId="6627" xr:uid="{00000000-0005-0000-0000-0000AB240000}"/>
    <cellStyle name="Normal 13 2 2 6 4 3 2" xfId="48784" xr:uid="{00000000-0005-0000-0000-0000AC240000}"/>
    <cellStyle name="Normal 13 2 2 6 4 4" xfId="6628" xr:uid="{00000000-0005-0000-0000-0000AD240000}"/>
    <cellStyle name="Normal 13 2 2 6 4 5" xfId="6629" xr:uid="{00000000-0005-0000-0000-0000AE240000}"/>
    <cellStyle name="Normal 13 2 2 6 4 6" xfId="6630" xr:uid="{00000000-0005-0000-0000-0000AF240000}"/>
    <cellStyle name="Normal 13 2 2 6 5" xfId="6631" xr:uid="{00000000-0005-0000-0000-0000B0240000}"/>
    <cellStyle name="Normal 13 2 2 6 5 2" xfId="48785" xr:uid="{00000000-0005-0000-0000-0000B1240000}"/>
    <cellStyle name="Normal 13 2 2 6 5 3" xfId="48786" xr:uid="{00000000-0005-0000-0000-0000B2240000}"/>
    <cellStyle name="Normal 13 2 2 6 6" xfId="6632" xr:uid="{00000000-0005-0000-0000-0000B3240000}"/>
    <cellStyle name="Normal 13 2 2 6 6 2" xfId="48787" xr:uid="{00000000-0005-0000-0000-0000B4240000}"/>
    <cellStyle name="Normal 13 2 2 6 7" xfId="6633" xr:uid="{00000000-0005-0000-0000-0000B5240000}"/>
    <cellStyle name="Normal 13 2 2 6 8" xfId="6634" xr:uid="{00000000-0005-0000-0000-0000B6240000}"/>
    <cellStyle name="Normal 13 2 2 6 9" xfId="6635" xr:uid="{00000000-0005-0000-0000-0000B7240000}"/>
    <cellStyle name="Normal 13 2 2 7" xfId="6636" xr:uid="{00000000-0005-0000-0000-0000B8240000}"/>
    <cellStyle name="Normal 13 2 2 7 2" xfId="6637" xr:uid="{00000000-0005-0000-0000-0000B9240000}"/>
    <cellStyle name="Normal 13 2 2 7 2 2" xfId="6638" xr:uid="{00000000-0005-0000-0000-0000BA240000}"/>
    <cellStyle name="Normal 13 2 2 7 2 2 2" xfId="6639" xr:uid="{00000000-0005-0000-0000-0000BB240000}"/>
    <cellStyle name="Normal 13 2 2 7 2 2 2 2" xfId="48788" xr:uid="{00000000-0005-0000-0000-0000BC240000}"/>
    <cellStyle name="Normal 13 2 2 7 2 2 2 3" xfId="48789" xr:uid="{00000000-0005-0000-0000-0000BD240000}"/>
    <cellStyle name="Normal 13 2 2 7 2 2 3" xfId="6640" xr:uid="{00000000-0005-0000-0000-0000BE240000}"/>
    <cellStyle name="Normal 13 2 2 7 2 2 3 2" xfId="48790" xr:uid="{00000000-0005-0000-0000-0000BF240000}"/>
    <cellStyle name="Normal 13 2 2 7 2 2 4" xfId="6641" xr:uid="{00000000-0005-0000-0000-0000C0240000}"/>
    <cellStyle name="Normal 13 2 2 7 2 2 5" xfId="6642" xr:uid="{00000000-0005-0000-0000-0000C1240000}"/>
    <cellStyle name="Normal 13 2 2 7 2 2 6" xfId="6643" xr:uid="{00000000-0005-0000-0000-0000C2240000}"/>
    <cellStyle name="Normal 13 2 2 7 2 3" xfId="6644" xr:uid="{00000000-0005-0000-0000-0000C3240000}"/>
    <cellStyle name="Normal 13 2 2 7 2 3 2" xfId="48791" xr:uid="{00000000-0005-0000-0000-0000C4240000}"/>
    <cellStyle name="Normal 13 2 2 7 2 3 3" xfId="48792" xr:uid="{00000000-0005-0000-0000-0000C5240000}"/>
    <cellStyle name="Normal 13 2 2 7 2 4" xfId="6645" xr:uid="{00000000-0005-0000-0000-0000C6240000}"/>
    <cellStyle name="Normal 13 2 2 7 2 4 2" xfId="48793" xr:uid="{00000000-0005-0000-0000-0000C7240000}"/>
    <cellStyle name="Normal 13 2 2 7 2 5" xfId="6646" xr:uid="{00000000-0005-0000-0000-0000C8240000}"/>
    <cellStyle name="Normal 13 2 2 7 2 6" xfId="6647" xr:uid="{00000000-0005-0000-0000-0000C9240000}"/>
    <cellStyle name="Normal 13 2 2 7 2 7" xfId="6648" xr:uid="{00000000-0005-0000-0000-0000CA240000}"/>
    <cellStyle name="Normal 13 2 2 7 3" xfId="6649" xr:uid="{00000000-0005-0000-0000-0000CB240000}"/>
    <cellStyle name="Normal 13 2 2 7 3 2" xfId="6650" xr:uid="{00000000-0005-0000-0000-0000CC240000}"/>
    <cellStyle name="Normal 13 2 2 7 3 2 2" xfId="48794" xr:uid="{00000000-0005-0000-0000-0000CD240000}"/>
    <cellStyle name="Normal 13 2 2 7 3 2 3" xfId="48795" xr:uid="{00000000-0005-0000-0000-0000CE240000}"/>
    <cellStyle name="Normal 13 2 2 7 3 3" xfId="6651" xr:uid="{00000000-0005-0000-0000-0000CF240000}"/>
    <cellStyle name="Normal 13 2 2 7 3 3 2" xfId="48796" xr:uid="{00000000-0005-0000-0000-0000D0240000}"/>
    <cellStyle name="Normal 13 2 2 7 3 4" xfId="6652" xr:uid="{00000000-0005-0000-0000-0000D1240000}"/>
    <cellStyle name="Normal 13 2 2 7 3 5" xfId="6653" xr:uid="{00000000-0005-0000-0000-0000D2240000}"/>
    <cellStyle name="Normal 13 2 2 7 3 6" xfId="6654" xr:uid="{00000000-0005-0000-0000-0000D3240000}"/>
    <cellStyle name="Normal 13 2 2 7 4" xfId="6655" xr:uid="{00000000-0005-0000-0000-0000D4240000}"/>
    <cellStyle name="Normal 13 2 2 7 4 2" xfId="48797" xr:uid="{00000000-0005-0000-0000-0000D5240000}"/>
    <cellStyle name="Normal 13 2 2 7 4 3" xfId="48798" xr:uid="{00000000-0005-0000-0000-0000D6240000}"/>
    <cellStyle name="Normal 13 2 2 7 5" xfId="6656" xr:uid="{00000000-0005-0000-0000-0000D7240000}"/>
    <cellStyle name="Normal 13 2 2 7 5 2" xfId="48799" xr:uid="{00000000-0005-0000-0000-0000D8240000}"/>
    <cellStyle name="Normal 13 2 2 7 6" xfId="6657" xr:uid="{00000000-0005-0000-0000-0000D9240000}"/>
    <cellStyle name="Normal 13 2 2 7 7" xfId="6658" xr:uid="{00000000-0005-0000-0000-0000DA240000}"/>
    <cellStyle name="Normal 13 2 2 7 8" xfId="6659" xr:uid="{00000000-0005-0000-0000-0000DB240000}"/>
    <cellStyle name="Normal 13 2 2 7 9" xfId="6660" xr:uid="{00000000-0005-0000-0000-0000DC240000}"/>
    <cellStyle name="Normal 13 2 2 8" xfId="6661" xr:uid="{00000000-0005-0000-0000-0000DD240000}"/>
    <cellStyle name="Normal 13 2 2 8 2" xfId="6662" xr:uid="{00000000-0005-0000-0000-0000DE240000}"/>
    <cellStyle name="Normal 13 2 2 8 2 2" xfId="6663" xr:uid="{00000000-0005-0000-0000-0000DF240000}"/>
    <cellStyle name="Normal 13 2 2 8 2 2 2" xfId="6664" xr:uid="{00000000-0005-0000-0000-0000E0240000}"/>
    <cellStyle name="Normal 13 2 2 8 2 2 2 2" xfId="48800" xr:uid="{00000000-0005-0000-0000-0000E1240000}"/>
    <cellStyle name="Normal 13 2 2 8 2 2 2 3" xfId="48801" xr:uid="{00000000-0005-0000-0000-0000E2240000}"/>
    <cellStyle name="Normal 13 2 2 8 2 2 3" xfId="6665" xr:uid="{00000000-0005-0000-0000-0000E3240000}"/>
    <cellStyle name="Normal 13 2 2 8 2 2 3 2" xfId="48802" xr:uid="{00000000-0005-0000-0000-0000E4240000}"/>
    <cellStyle name="Normal 13 2 2 8 2 2 4" xfId="6666" xr:uid="{00000000-0005-0000-0000-0000E5240000}"/>
    <cellStyle name="Normal 13 2 2 8 2 2 5" xfId="6667" xr:uid="{00000000-0005-0000-0000-0000E6240000}"/>
    <cellStyle name="Normal 13 2 2 8 2 2 6" xfId="6668" xr:uid="{00000000-0005-0000-0000-0000E7240000}"/>
    <cellStyle name="Normal 13 2 2 8 2 3" xfId="6669" xr:uid="{00000000-0005-0000-0000-0000E8240000}"/>
    <cellStyle name="Normal 13 2 2 8 2 3 2" xfId="48803" xr:uid="{00000000-0005-0000-0000-0000E9240000}"/>
    <cellStyle name="Normal 13 2 2 8 2 3 3" xfId="48804" xr:uid="{00000000-0005-0000-0000-0000EA240000}"/>
    <cellStyle name="Normal 13 2 2 8 2 4" xfId="6670" xr:uid="{00000000-0005-0000-0000-0000EB240000}"/>
    <cellStyle name="Normal 13 2 2 8 2 4 2" xfId="48805" xr:uid="{00000000-0005-0000-0000-0000EC240000}"/>
    <cellStyle name="Normal 13 2 2 8 2 5" xfId="6671" xr:uid="{00000000-0005-0000-0000-0000ED240000}"/>
    <cellStyle name="Normal 13 2 2 8 2 6" xfId="6672" xr:uid="{00000000-0005-0000-0000-0000EE240000}"/>
    <cellStyle name="Normal 13 2 2 8 2 7" xfId="6673" xr:uid="{00000000-0005-0000-0000-0000EF240000}"/>
    <cellStyle name="Normal 13 2 2 8 3" xfId="6674" xr:uid="{00000000-0005-0000-0000-0000F0240000}"/>
    <cellStyle name="Normal 13 2 2 8 3 2" xfId="6675" xr:uid="{00000000-0005-0000-0000-0000F1240000}"/>
    <cellStyle name="Normal 13 2 2 8 3 2 2" xfId="48806" xr:uid="{00000000-0005-0000-0000-0000F2240000}"/>
    <cellStyle name="Normal 13 2 2 8 3 2 3" xfId="48807" xr:uid="{00000000-0005-0000-0000-0000F3240000}"/>
    <cellStyle name="Normal 13 2 2 8 3 3" xfId="6676" xr:uid="{00000000-0005-0000-0000-0000F4240000}"/>
    <cellStyle name="Normal 13 2 2 8 3 3 2" xfId="48808" xr:uid="{00000000-0005-0000-0000-0000F5240000}"/>
    <cellStyle name="Normal 13 2 2 8 3 4" xfId="6677" xr:uid="{00000000-0005-0000-0000-0000F6240000}"/>
    <cellStyle name="Normal 13 2 2 8 3 5" xfId="6678" xr:uid="{00000000-0005-0000-0000-0000F7240000}"/>
    <cellStyle name="Normal 13 2 2 8 3 6" xfId="6679" xr:uid="{00000000-0005-0000-0000-0000F8240000}"/>
    <cellStyle name="Normal 13 2 2 8 4" xfId="6680" xr:uid="{00000000-0005-0000-0000-0000F9240000}"/>
    <cellStyle name="Normal 13 2 2 8 4 2" xfId="48809" xr:uid="{00000000-0005-0000-0000-0000FA240000}"/>
    <cellStyle name="Normal 13 2 2 8 4 3" xfId="48810" xr:uid="{00000000-0005-0000-0000-0000FB240000}"/>
    <cellStyle name="Normal 13 2 2 8 5" xfId="6681" xr:uid="{00000000-0005-0000-0000-0000FC240000}"/>
    <cellStyle name="Normal 13 2 2 8 5 2" xfId="48811" xr:uid="{00000000-0005-0000-0000-0000FD240000}"/>
    <cellStyle name="Normal 13 2 2 8 6" xfId="6682" xr:uid="{00000000-0005-0000-0000-0000FE240000}"/>
    <cellStyle name="Normal 13 2 2 8 7" xfId="6683" xr:uid="{00000000-0005-0000-0000-0000FF240000}"/>
    <cellStyle name="Normal 13 2 2 8 8" xfId="6684" xr:uid="{00000000-0005-0000-0000-000000250000}"/>
    <cellStyle name="Normal 13 2 2 9" xfId="6685" xr:uid="{00000000-0005-0000-0000-000001250000}"/>
    <cellStyle name="Normal 13 2 2 9 2" xfId="6686" xr:uid="{00000000-0005-0000-0000-000002250000}"/>
    <cellStyle name="Normal 13 2 2 9 2 2" xfId="6687" xr:uid="{00000000-0005-0000-0000-000003250000}"/>
    <cellStyle name="Normal 13 2 2 9 2 2 2" xfId="6688" xr:uid="{00000000-0005-0000-0000-000004250000}"/>
    <cellStyle name="Normal 13 2 2 9 2 2 2 2" xfId="48812" xr:uid="{00000000-0005-0000-0000-000005250000}"/>
    <cellStyle name="Normal 13 2 2 9 2 2 2 3" xfId="48813" xr:uid="{00000000-0005-0000-0000-000006250000}"/>
    <cellStyle name="Normal 13 2 2 9 2 2 3" xfId="6689" xr:uid="{00000000-0005-0000-0000-000007250000}"/>
    <cellStyle name="Normal 13 2 2 9 2 2 3 2" xfId="48814" xr:uid="{00000000-0005-0000-0000-000008250000}"/>
    <cellStyle name="Normal 13 2 2 9 2 2 4" xfId="6690" xr:uid="{00000000-0005-0000-0000-000009250000}"/>
    <cellStyle name="Normal 13 2 2 9 2 2 5" xfId="6691" xr:uid="{00000000-0005-0000-0000-00000A250000}"/>
    <cellStyle name="Normal 13 2 2 9 2 2 6" xfId="6692" xr:uid="{00000000-0005-0000-0000-00000B250000}"/>
    <cellStyle name="Normal 13 2 2 9 2 3" xfId="6693" xr:uid="{00000000-0005-0000-0000-00000C250000}"/>
    <cellStyle name="Normal 13 2 2 9 2 3 2" xfId="48815" xr:uid="{00000000-0005-0000-0000-00000D250000}"/>
    <cellStyle name="Normal 13 2 2 9 2 3 3" xfId="48816" xr:uid="{00000000-0005-0000-0000-00000E250000}"/>
    <cellStyle name="Normal 13 2 2 9 2 4" xfId="6694" xr:uid="{00000000-0005-0000-0000-00000F250000}"/>
    <cellStyle name="Normal 13 2 2 9 2 4 2" xfId="48817" xr:uid="{00000000-0005-0000-0000-000010250000}"/>
    <cellStyle name="Normal 13 2 2 9 2 5" xfId="6695" xr:uid="{00000000-0005-0000-0000-000011250000}"/>
    <cellStyle name="Normal 13 2 2 9 2 6" xfId="6696" xr:uid="{00000000-0005-0000-0000-000012250000}"/>
    <cellStyle name="Normal 13 2 2 9 2 7" xfId="6697" xr:uid="{00000000-0005-0000-0000-000013250000}"/>
    <cellStyle name="Normal 13 2 2 9 3" xfId="6698" xr:uid="{00000000-0005-0000-0000-000014250000}"/>
    <cellStyle name="Normal 13 2 2 9 3 2" xfId="6699" xr:uid="{00000000-0005-0000-0000-000015250000}"/>
    <cellStyle name="Normal 13 2 2 9 3 2 2" xfId="48818" xr:uid="{00000000-0005-0000-0000-000016250000}"/>
    <cellStyle name="Normal 13 2 2 9 3 2 3" xfId="48819" xr:uid="{00000000-0005-0000-0000-000017250000}"/>
    <cellStyle name="Normal 13 2 2 9 3 3" xfId="6700" xr:uid="{00000000-0005-0000-0000-000018250000}"/>
    <cellStyle name="Normal 13 2 2 9 3 3 2" xfId="48820" xr:uid="{00000000-0005-0000-0000-000019250000}"/>
    <cellStyle name="Normal 13 2 2 9 3 4" xfId="6701" xr:uid="{00000000-0005-0000-0000-00001A250000}"/>
    <cellStyle name="Normal 13 2 2 9 3 5" xfId="6702" xr:uid="{00000000-0005-0000-0000-00001B250000}"/>
    <cellStyle name="Normal 13 2 2 9 3 6" xfId="6703" xr:uid="{00000000-0005-0000-0000-00001C250000}"/>
    <cellStyle name="Normal 13 2 2 9 4" xfId="6704" xr:uid="{00000000-0005-0000-0000-00001D250000}"/>
    <cellStyle name="Normal 13 2 2 9 4 2" xfId="48821" xr:uid="{00000000-0005-0000-0000-00001E250000}"/>
    <cellStyle name="Normal 13 2 2 9 4 3" xfId="48822" xr:uid="{00000000-0005-0000-0000-00001F250000}"/>
    <cellStyle name="Normal 13 2 2 9 5" xfId="6705" xr:uid="{00000000-0005-0000-0000-000020250000}"/>
    <cellStyle name="Normal 13 2 2 9 5 2" xfId="48823" xr:uid="{00000000-0005-0000-0000-000021250000}"/>
    <cellStyle name="Normal 13 2 2 9 6" xfId="6706" xr:uid="{00000000-0005-0000-0000-000022250000}"/>
    <cellStyle name="Normal 13 2 2 9 7" xfId="6707" xr:uid="{00000000-0005-0000-0000-000023250000}"/>
    <cellStyle name="Normal 13 2 2 9 8" xfId="6708" xr:uid="{00000000-0005-0000-0000-000024250000}"/>
    <cellStyle name="Normal 13 2 20" xfId="6709" xr:uid="{00000000-0005-0000-0000-000025250000}"/>
    <cellStyle name="Normal 13 2 21" xfId="6710" xr:uid="{00000000-0005-0000-0000-000026250000}"/>
    <cellStyle name="Normal 13 2 22" xfId="6711" xr:uid="{00000000-0005-0000-0000-000027250000}"/>
    <cellStyle name="Normal 13 2 3" xfId="6712" xr:uid="{00000000-0005-0000-0000-000028250000}"/>
    <cellStyle name="Normal 13 2 3 10" xfId="6713" xr:uid="{00000000-0005-0000-0000-000029250000}"/>
    <cellStyle name="Normal 13 2 3 10 2" xfId="6714" xr:uid="{00000000-0005-0000-0000-00002A250000}"/>
    <cellStyle name="Normal 13 2 3 10 2 2" xfId="6715" xr:uid="{00000000-0005-0000-0000-00002B250000}"/>
    <cellStyle name="Normal 13 2 3 10 2 2 2" xfId="48824" xr:uid="{00000000-0005-0000-0000-00002C250000}"/>
    <cellStyle name="Normal 13 2 3 10 2 2 3" xfId="48825" xr:uid="{00000000-0005-0000-0000-00002D250000}"/>
    <cellStyle name="Normal 13 2 3 10 2 3" xfId="6716" xr:uid="{00000000-0005-0000-0000-00002E250000}"/>
    <cellStyle name="Normal 13 2 3 10 2 3 2" xfId="48826" xr:uid="{00000000-0005-0000-0000-00002F250000}"/>
    <cellStyle name="Normal 13 2 3 10 2 4" xfId="6717" xr:uid="{00000000-0005-0000-0000-000030250000}"/>
    <cellStyle name="Normal 13 2 3 10 2 5" xfId="6718" xr:uid="{00000000-0005-0000-0000-000031250000}"/>
    <cellStyle name="Normal 13 2 3 10 2 6" xfId="6719" xr:uid="{00000000-0005-0000-0000-000032250000}"/>
    <cellStyle name="Normal 13 2 3 10 3" xfId="6720" xr:uid="{00000000-0005-0000-0000-000033250000}"/>
    <cellStyle name="Normal 13 2 3 10 3 2" xfId="48827" xr:uid="{00000000-0005-0000-0000-000034250000}"/>
    <cellStyle name="Normal 13 2 3 10 3 3" xfId="48828" xr:uid="{00000000-0005-0000-0000-000035250000}"/>
    <cellStyle name="Normal 13 2 3 10 4" xfId="6721" xr:uid="{00000000-0005-0000-0000-000036250000}"/>
    <cellStyle name="Normal 13 2 3 10 4 2" xfId="48829" xr:uid="{00000000-0005-0000-0000-000037250000}"/>
    <cellStyle name="Normal 13 2 3 10 5" xfId="6722" xr:uid="{00000000-0005-0000-0000-000038250000}"/>
    <cellStyle name="Normal 13 2 3 10 6" xfId="6723" xr:uid="{00000000-0005-0000-0000-000039250000}"/>
    <cellStyle name="Normal 13 2 3 10 7" xfId="6724" xr:uid="{00000000-0005-0000-0000-00003A250000}"/>
    <cellStyle name="Normal 13 2 3 11" xfId="6725" xr:uid="{00000000-0005-0000-0000-00003B250000}"/>
    <cellStyle name="Normal 13 2 3 11 2" xfId="6726" xr:uid="{00000000-0005-0000-0000-00003C250000}"/>
    <cellStyle name="Normal 13 2 3 11 2 2" xfId="48830" xr:uid="{00000000-0005-0000-0000-00003D250000}"/>
    <cellStyle name="Normal 13 2 3 11 2 3" xfId="48831" xr:uid="{00000000-0005-0000-0000-00003E250000}"/>
    <cellStyle name="Normal 13 2 3 11 3" xfId="6727" xr:uid="{00000000-0005-0000-0000-00003F250000}"/>
    <cellStyle name="Normal 13 2 3 11 3 2" xfId="48832" xr:uid="{00000000-0005-0000-0000-000040250000}"/>
    <cellStyle name="Normal 13 2 3 11 4" xfId="6728" xr:uid="{00000000-0005-0000-0000-000041250000}"/>
    <cellStyle name="Normal 13 2 3 11 5" xfId="6729" xr:uid="{00000000-0005-0000-0000-000042250000}"/>
    <cellStyle name="Normal 13 2 3 11 6" xfId="6730" xr:uid="{00000000-0005-0000-0000-000043250000}"/>
    <cellStyle name="Normal 13 2 3 12" xfId="6731" xr:uid="{00000000-0005-0000-0000-000044250000}"/>
    <cellStyle name="Normal 13 2 3 12 2" xfId="48833" xr:uid="{00000000-0005-0000-0000-000045250000}"/>
    <cellStyle name="Normal 13 2 3 12 3" xfId="48834" xr:uid="{00000000-0005-0000-0000-000046250000}"/>
    <cellStyle name="Normal 13 2 3 13" xfId="6732" xr:uid="{00000000-0005-0000-0000-000047250000}"/>
    <cellStyle name="Normal 13 2 3 13 2" xfId="48835" xr:uid="{00000000-0005-0000-0000-000048250000}"/>
    <cellStyle name="Normal 13 2 3 14" xfId="6733" xr:uid="{00000000-0005-0000-0000-000049250000}"/>
    <cellStyle name="Normal 13 2 3 14 2" xfId="48836" xr:uid="{00000000-0005-0000-0000-00004A250000}"/>
    <cellStyle name="Normal 13 2 3 15" xfId="6734" xr:uid="{00000000-0005-0000-0000-00004B250000}"/>
    <cellStyle name="Normal 13 2 3 16" xfId="6735" xr:uid="{00000000-0005-0000-0000-00004C250000}"/>
    <cellStyle name="Normal 13 2 3 17" xfId="6736" xr:uid="{00000000-0005-0000-0000-00004D250000}"/>
    <cellStyle name="Normal 13 2 3 18" xfId="6737" xr:uid="{00000000-0005-0000-0000-00004E250000}"/>
    <cellStyle name="Normal 13 2 3 19" xfId="6738" xr:uid="{00000000-0005-0000-0000-00004F250000}"/>
    <cellStyle name="Normal 13 2 3 2" xfId="6739" xr:uid="{00000000-0005-0000-0000-000050250000}"/>
    <cellStyle name="Normal 13 2 3 2 10" xfId="6740" xr:uid="{00000000-0005-0000-0000-000051250000}"/>
    <cellStyle name="Normal 13 2 3 2 11" xfId="6741" xr:uid="{00000000-0005-0000-0000-000052250000}"/>
    <cellStyle name="Normal 13 2 3 2 12" xfId="6742" xr:uid="{00000000-0005-0000-0000-000053250000}"/>
    <cellStyle name="Normal 13 2 3 2 13" xfId="6743" xr:uid="{00000000-0005-0000-0000-000054250000}"/>
    <cellStyle name="Normal 13 2 3 2 14" xfId="6744" xr:uid="{00000000-0005-0000-0000-000055250000}"/>
    <cellStyle name="Normal 13 2 3 2 15" xfId="6745" xr:uid="{00000000-0005-0000-0000-000056250000}"/>
    <cellStyle name="Normal 13 2 3 2 2" xfId="6746" xr:uid="{00000000-0005-0000-0000-000057250000}"/>
    <cellStyle name="Normal 13 2 3 2 2 10" xfId="6747" xr:uid="{00000000-0005-0000-0000-000058250000}"/>
    <cellStyle name="Normal 13 2 3 2 2 11" xfId="6748" xr:uid="{00000000-0005-0000-0000-000059250000}"/>
    <cellStyle name="Normal 13 2 3 2 2 12" xfId="6749" xr:uid="{00000000-0005-0000-0000-00005A250000}"/>
    <cellStyle name="Normal 13 2 3 2 2 13" xfId="6750" xr:uid="{00000000-0005-0000-0000-00005B250000}"/>
    <cellStyle name="Normal 13 2 3 2 2 14" xfId="6751" xr:uid="{00000000-0005-0000-0000-00005C250000}"/>
    <cellStyle name="Normal 13 2 3 2 2 2" xfId="6752" xr:uid="{00000000-0005-0000-0000-00005D250000}"/>
    <cellStyle name="Normal 13 2 3 2 2 2 2" xfId="6753" xr:uid="{00000000-0005-0000-0000-00005E250000}"/>
    <cellStyle name="Normal 13 2 3 2 2 2 2 2" xfId="6754" xr:uid="{00000000-0005-0000-0000-00005F250000}"/>
    <cellStyle name="Normal 13 2 3 2 2 2 2 2 2" xfId="6755" xr:uid="{00000000-0005-0000-0000-000060250000}"/>
    <cellStyle name="Normal 13 2 3 2 2 2 2 2 2 2" xfId="48837" xr:uid="{00000000-0005-0000-0000-000061250000}"/>
    <cellStyle name="Normal 13 2 3 2 2 2 2 2 2 3" xfId="48838" xr:uid="{00000000-0005-0000-0000-000062250000}"/>
    <cellStyle name="Normal 13 2 3 2 2 2 2 2 3" xfId="6756" xr:uid="{00000000-0005-0000-0000-000063250000}"/>
    <cellStyle name="Normal 13 2 3 2 2 2 2 2 3 2" xfId="48839" xr:uid="{00000000-0005-0000-0000-000064250000}"/>
    <cellStyle name="Normal 13 2 3 2 2 2 2 2 4" xfId="6757" xr:uid="{00000000-0005-0000-0000-000065250000}"/>
    <cellStyle name="Normal 13 2 3 2 2 2 2 2 5" xfId="6758" xr:uid="{00000000-0005-0000-0000-000066250000}"/>
    <cellStyle name="Normal 13 2 3 2 2 2 2 2 6" xfId="6759" xr:uid="{00000000-0005-0000-0000-000067250000}"/>
    <cellStyle name="Normal 13 2 3 2 2 2 2 3" xfId="6760" xr:uid="{00000000-0005-0000-0000-000068250000}"/>
    <cellStyle name="Normal 13 2 3 2 2 2 2 3 2" xfId="48840" xr:uid="{00000000-0005-0000-0000-000069250000}"/>
    <cellStyle name="Normal 13 2 3 2 2 2 2 3 3" xfId="48841" xr:uid="{00000000-0005-0000-0000-00006A250000}"/>
    <cellStyle name="Normal 13 2 3 2 2 2 2 4" xfId="6761" xr:uid="{00000000-0005-0000-0000-00006B250000}"/>
    <cellStyle name="Normal 13 2 3 2 2 2 2 4 2" xfId="48842" xr:uid="{00000000-0005-0000-0000-00006C250000}"/>
    <cellStyle name="Normal 13 2 3 2 2 2 2 5" xfId="6762" xr:uid="{00000000-0005-0000-0000-00006D250000}"/>
    <cellStyle name="Normal 13 2 3 2 2 2 2 6" xfId="6763" xr:uid="{00000000-0005-0000-0000-00006E250000}"/>
    <cellStyle name="Normal 13 2 3 2 2 2 2 7" xfId="6764" xr:uid="{00000000-0005-0000-0000-00006F250000}"/>
    <cellStyle name="Normal 13 2 3 2 2 2 3" xfId="6765" xr:uid="{00000000-0005-0000-0000-000070250000}"/>
    <cellStyle name="Normal 13 2 3 2 2 2 3 2" xfId="6766" xr:uid="{00000000-0005-0000-0000-000071250000}"/>
    <cellStyle name="Normal 13 2 3 2 2 2 3 2 2" xfId="48843" xr:uid="{00000000-0005-0000-0000-000072250000}"/>
    <cellStyle name="Normal 13 2 3 2 2 2 3 2 3" xfId="48844" xr:uid="{00000000-0005-0000-0000-000073250000}"/>
    <cellStyle name="Normal 13 2 3 2 2 2 3 3" xfId="6767" xr:uid="{00000000-0005-0000-0000-000074250000}"/>
    <cellStyle name="Normal 13 2 3 2 2 2 3 3 2" xfId="48845" xr:uid="{00000000-0005-0000-0000-000075250000}"/>
    <cellStyle name="Normal 13 2 3 2 2 2 3 4" xfId="6768" xr:uid="{00000000-0005-0000-0000-000076250000}"/>
    <cellStyle name="Normal 13 2 3 2 2 2 3 5" xfId="6769" xr:uid="{00000000-0005-0000-0000-000077250000}"/>
    <cellStyle name="Normal 13 2 3 2 2 2 3 6" xfId="6770" xr:uid="{00000000-0005-0000-0000-000078250000}"/>
    <cellStyle name="Normal 13 2 3 2 2 2 4" xfId="6771" xr:uid="{00000000-0005-0000-0000-000079250000}"/>
    <cellStyle name="Normal 13 2 3 2 2 2 4 2" xfId="48846" xr:uid="{00000000-0005-0000-0000-00007A250000}"/>
    <cellStyle name="Normal 13 2 3 2 2 2 4 3" xfId="48847" xr:uid="{00000000-0005-0000-0000-00007B250000}"/>
    <cellStyle name="Normal 13 2 3 2 2 2 5" xfId="6772" xr:uid="{00000000-0005-0000-0000-00007C250000}"/>
    <cellStyle name="Normal 13 2 3 2 2 2 5 2" xfId="48848" xr:uid="{00000000-0005-0000-0000-00007D250000}"/>
    <cellStyle name="Normal 13 2 3 2 2 2 6" xfId="6773" xr:uid="{00000000-0005-0000-0000-00007E250000}"/>
    <cellStyle name="Normal 13 2 3 2 2 2 7" xfId="6774" xr:uid="{00000000-0005-0000-0000-00007F250000}"/>
    <cellStyle name="Normal 13 2 3 2 2 2 8" xfId="6775" xr:uid="{00000000-0005-0000-0000-000080250000}"/>
    <cellStyle name="Normal 13 2 3 2 2 2 9" xfId="6776" xr:uid="{00000000-0005-0000-0000-000081250000}"/>
    <cellStyle name="Normal 13 2 3 2 2 3" xfId="6777" xr:uid="{00000000-0005-0000-0000-000082250000}"/>
    <cellStyle name="Normal 13 2 3 2 2 3 2" xfId="6778" xr:uid="{00000000-0005-0000-0000-000083250000}"/>
    <cellStyle name="Normal 13 2 3 2 2 3 2 2" xfId="6779" xr:uid="{00000000-0005-0000-0000-000084250000}"/>
    <cellStyle name="Normal 13 2 3 2 2 3 2 2 2" xfId="6780" xr:uid="{00000000-0005-0000-0000-000085250000}"/>
    <cellStyle name="Normal 13 2 3 2 2 3 2 2 2 2" xfId="48849" xr:uid="{00000000-0005-0000-0000-000086250000}"/>
    <cellStyle name="Normal 13 2 3 2 2 3 2 2 2 3" xfId="48850" xr:uid="{00000000-0005-0000-0000-000087250000}"/>
    <cellStyle name="Normal 13 2 3 2 2 3 2 2 3" xfId="6781" xr:uid="{00000000-0005-0000-0000-000088250000}"/>
    <cellStyle name="Normal 13 2 3 2 2 3 2 2 3 2" xfId="48851" xr:uid="{00000000-0005-0000-0000-000089250000}"/>
    <cellStyle name="Normal 13 2 3 2 2 3 2 2 4" xfId="6782" xr:uid="{00000000-0005-0000-0000-00008A250000}"/>
    <cellStyle name="Normal 13 2 3 2 2 3 2 2 5" xfId="6783" xr:uid="{00000000-0005-0000-0000-00008B250000}"/>
    <cellStyle name="Normal 13 2 3 2 2 3 2 2 6" xfId="6784" xr:uid="{00000000-0005-0000-0000-00008C250000}"/>
    <cellStyle name="Normal 13 2 3 2 2 3 2 3" xfId="6785" xr:uid="{00000000-0005-0000-0000-00008D250000}"/>
    <cellStyle name="Normal 13 2 3 2 2 3 2 3 2" xfId="48852" xr:uid="{00000000-0005-0000-0000-00008E250000}"/>
    <cellStyle name="Normal 13 2 3 2 2 3 2 3 3" xfId="48853" xr:uid="{00000000-0005-0000-0000-00008F250000}"/>
    <cellStyle name="Normal 13 2 3 2 2 3 2 4" xfId="6786" xr:uid="{00000000-0005-0000-0000-000090250000}"/>
    <cellStyle name="Normal 13 2 3 2 2 3 2 4 2" xfId="48854" xr:uid="{00000000-0005-0000-0000-000091250000}"/>
    <cellStyle name="Normal 13 2 3 2 2 3 2 5" xfId="6787" xr:uid="{00000000-0005-0000-0000-000092250000}"/>
    <cellStyle name="Normal 13 2 3 2 2 3 2 6" xfId="6788" xr:uid="{00000000-0005-0000-0000-000093250000}"/>
    <cellStyle name="Normal 13 2 3 2 2 3 2 7" xfId="6789" xr:uid="{00000000-0005-0000-0000-000094250000}"/>
    <cellStyle name="Normal 13 2 3 2 2 3 3" xfId="6790" xr:uid="{00000000-0005-0000-0000-000095250000}"/>
    <cellStyle name="Normal 13 2 3 2 2 3 3 2" xfId="6791" xr:uid="{00000000-0005-0000-0000-000096250000}"/>
    <cellStyle name="Normal 13 2 3 2 2 3 3 2 2" xfId="48855" xr:uid="{00000000-0005-0000-0000-000097250000}"/>
    <cellStyle name="Normal 13 2 3 2 2 3 3 2 3" xfId="48856" xr:uid="{00000000-0005-0000-0000-000098250000}"/>
    <cellStyle name="Normal 13 2 3 2 2 3 3 3" xfId="6792" xr:uid="{00000000-0005-0000-0000-000099250000}"/>
    <cellStyle name="Normal 13 2 3 2 2 3 3 3 2" xfId="48857" xr:uid="{00000000-0005-0000-0000-00009A250000}"/>
    <cellStyle name="Normal 13 2 3 2 2 3 3 4" xfId="6793" xr:uid="{00000000-0005-0000-0000-00009B250000}"/>
    <cellStyle name="Normal 13 2 3 2 2 3 3 5" xfId="6794" xr:uid="{00000000-0005-0000-0000-00009C250000}"/>
    <cellStyle name="Normal 13 2 3 2 2 3 3 6" xfId="6795" xr:uid="{00000000-0005-0000-0000-00009D250000}"/>
    <cellStyle name="Normal 13 2 3 2 2 3 4" xfId="6796" xr:uid="{00000000-0005-0000-0000-00009E250000}"/>
    <cellStyle name="Normal 13 2 3 2 2 3 4 2" xfId="48858" xr:uid="{00000000-0005-0000-0000-00009F250000}"/>
    <cellStyle name="Normal 13 2 3 2 2 3 4 3" xfId="48859" xr:uid="{00000000-0005-0000-0000-0000A0250000}"/>
    <cellStyle name="Normal 13 2 3 2 2 3 5" xfId="6797" xr:uid="{00000000-0005-0000-0000-0000A1250000}"/>
    <cellStyle name="Normal 13 2 3 2 2 3 5 2" xfId="48860" xr:uid="{00000000-0005-0000-0000-0000A2250000}"/>
    <cellStyle name="Normal 13 2 3 2 2 3 6" xfId="6798" xr:uid="{00000000-0005-0000-0000-0000A3250000}"/>
    <cellStyle name="Normal 13 2 3 2 2 3 7" xfId="6799" xr:uid="{00000000-0005-0000-0000-0000A4250000}"/>
    <cellStyle name="Normal 13 2 3 2 2 3 8" xfId="6800" xr:uid="{00000000-0005-0000-0000-0000A5250000}"/>
    <cellStyle name="Normal 13 2 3 2 2 4" xfId="6801" xr:uid="{00000000-0005-0000-0000-0000A6250000}"/>
    <cellStyle name="Normal 13 2 3 2 2 4 2" xfId="6802" xr:uid="{00000000-0005-0000-0000-0000A7250000}"/>
    <cellStyle name="Normal 13 2 3 2 2 4 2 2" xfId="6803" xr:uid="{00000000-0005-0000-0000-0000A8250000}"/>
    <cellStyle name="Normal 13 2 3 2 2 4 2 2 2" xfId="48861" xr:uid="{00000000-0005-0000-0000-0000A9250000}"/>
    <cellStyle name="Normal 13 2 3 2 2 4 2 2 3" xfId="48862" xr:uid="{00000000-0005-0000-0000-0000AA250000}"/>
    <cellStyle name="Normal 13 2 3 2 2 4 2 3" xfId="6804" xr:uid="{00000000-0005-0000-0000-0000AB250000}"/>
    <cellStyle name="Normal 13 2 3 2 2 4 2 3 2" xfId="48863" xr:uid="{00000000-0005-0000-0000-0000AC250000}"/>
    <cellStyle name="Normal 13 2 3 2 2 4 2 4" xfId="6805" xr:uid="{00000000-0005-0000-0000-0000AD250000}"/>
    <cellStyle name="Normal 13 2 3 2 2 4 2 5" xfId="6806" xr:uid="{00000000-0005-0000-0000-0000AE250000}"/>
    <cellStyle name="Normal 13 2 3 2 2 4 2 6" xfId="6807" xr:uid="{00000000-0005-0000-0000-0000AF250000}"/>
    <cellStyle name="Normal 13 2 3 2 2 4 3" xfId="6808" xr:uid="{00000000-0005-0000-0000-0000B0250000}"/>
    <cellStyle name="Normal 13 2 3 2 2 4 3 2" xfId="48864" xr:uid="{00000000-0005-0000-0000-0000B1250000}"/>
    <cellStyle name="Normal 13 2 3 2 2 4 3 3" xfId="48865" xr:uid="{00000000-0005-0000-0000-0000B2250000}"/>
    <cellStyle name="Normal 13 2 3 2 2 4 4" xfId="6809" xr:uid="{00000000-0005-0000-0000-0000B3250000}"/>
    <cellStyle name="Normal 13 2 3 2 2 4 4 2" xfId="48866" xr:uid="{00000000-0005-0000-0000-0000B4250000}"/>
    <cellStyle name="Normal 13 2 3 2 2 4 5" xfId="6810" xr:uid="{00000000-0005-0000-0000-0000B5250000}"/>
    <cellStyle name="Normal 13 2 3 2 2 4 6" xfId="6811" xr:uid="{00000000-0005-0000-0000-0000B6250000}"/>
    <cellStyle name="Normal 13 2 3 2 2 4 7" xfId="6812" xr:uid="{00000000-0005-0000-0000-0000B7250000}"/>
    <cellStyle name="Normal 13 2 3 2 2 5" xfId="6813" xr:uid="{00000000-0005-0000-0000-0000B8250000}"/>
    <cellStyle name="Normal 13 2 3 2 2 5 2" xfId="6814" xr:uid="{00000000-0005-0000-0000-0000B9250000}"/>
    <cellStyle name="Normal 13 2 3 2 2 5 2 2" xfId="48867" xr:uid="{00000000-0005-0000-0000-0000BA250000}"/>
    <cellStyle name="Normal 13 2 3 2 2 5 2 3" xfId="48868" xr:uid="{00000000-0005-0000-0000-0000BB250000}"/>
    <cellStyle name="Normal 13 2 3 2 2 5 3" xfId="6815" xr:uid="{00000000-0005-0000-0000-0000BC250000}"/>
    <cellStyle name="Normal 13 2 3 2 2 5 3 2" xfId="48869" xr:uid="{00000000-0005-0000-0000-0000BD250000}"/>
    <cellStyle name="Normal 13 2 3 2 2 5 4" xfId="6816" xr:uid="{00000000-0005-0000-0000-0000BE250000}"/>
    <cellStyle name="Normal 13 2 3 2 2 5 5" xfId="6817" xr:uid="{00000000-0005-0000-0000-0000BF250000}"/>
    <cellStyle name="Normal 13 2 3 2 2 5 6" xfId="6818" xr:uid="{00000000-0005-0000-0000-0000C0250000}"/>
    <cellStyle name="Normal 13 2 3 2 2 6" xfId="6819" xr:uid="{00000000-0005-0000-0000-0000C1250000}"/>
    <cellStyle name="Normal 13 2 3 2 2 6 2" xfId="48870" xr:uid="{00000000-0005-0000-0000-0000C2250000}"/>
    <cellStyle name="Normal 13 2 3 2 2 6 3" xfId="48871" xr:uid="{00000000-0005-0000-0000-0000C3250000}"/>
    <cellStyle name="Normal 13 2 3 2 2 7" xfId="6820" xr:uid="{00000000-0005-0000-0000-0000C4250000}"/>
    <cellStyle name="Normal 13 2 3 2 2 7 2" xfId="48872" xr:uid="{00000000-0005-0000-0000-0000C5250000}"/>
    <cellStyle name="Normal 13 2 3 2 2 8" xfId="6821" xr:uid="{00000000-0005-0000-0000-0000C6250000}"/>
    <cellStyle name="Normal 13 2 3 2 2 9" xfId="6822" xr:uid="{00000000-0005-0000-0000-0000C7250000}"/>
    <cellStyle name="Normal 13 2 3 2 3" xfId="6823" xr:uid="{00000000-0005-0000-0000-0000C8250000}"/>
    <cellStyle name="Normal 13 2 3 2 3 2" xfId="6824" xr:uid="{00000000-0005-0000-0000-0000C9250000}"/>
    <cellStyle name="Normal 13 2 3 2 3 2 2" xfId="6825" xr:uid="{00000000-0005-0000-0000-0000CA250000}"/>
    <cellStyle name="Normal 13 2 3 2 3 2 2 2" xfId="6826" xr:uid="{00000000-0005-0000-0000-0000CB250000}"/>
    <cellStyle name="Normal 13 2 3 2 3 2 2 2 2" xfId="48873" xr:uid="{00000000-0005-0000-0000-0000CC250000}"/>
    <cellStyle name="Normal 13 2 3 2 3 2 2 2 3" xfId="48874" xr:uid="{00000000-0005-0000-0000-0000CD250000}"/>
    <cellStyle name="Normal 13 2 3 2 3 2 2 3" xfId="6827" xr:uid="{00000000-0005-0000-0000-0000CE250000}"/>
    <cellStyle name="Normal 13 2 3 2 3 2 2 3 2" xfId="48875" xr:uid="{00000000-0005-0000-0000-0000CF250000}"/>
    <cellStyle name="Normal 13 2 3 2 3 2 2 4" xfId="6828" xr:uid="{00000000-0005-0000-0000-0000D0250000}"/>
    <cellStyle name="Normal 13 2 3 2 3 2 2 5" xfId="6829" xr:uid="{00000000-0005-0000-0000-0000D1250000}"/>
    <cellStyle name="Normal 13 2 3 2 3 2 2 6" xfId="6830" xr:uid="{00000000-0005-0000-0000-0000D2250000}"/>
    <cellStyle name="Normal 13 2 3 2 3 2 3" xfId="6831" xr:uid="{00000000-0005-0000-0000-0000D3250000}"/>
    <cellStyle name="Normal 13 2 3 2 3 2 3 2" xfId="48876" xr:uid="{00000000-0005-0000-0000-0000D4250000}"/>
    <cellStyle name="Normal 13 2 3 2 3 2 3 3" xfId="48877" xr:uid="{00000000-0005-0000-0000-0000D5250000}"/>
    <cellStyle name="Normal 13 2 3 2 3 2 4" xfId="6832" xr:uid="{00000000-0005-0000-0000-0000D6250000}"/>
    <cellStyle name="Normal 13 2 3 2 3 2 4 2" xfId="48878" xr:uid="{00000000-0005-0000-0000-0000D7250000}"/>
    <cellStyle name="Normal 13 2 3 2 3 2 5" xfId="6833" xr:uid="{00000000-0005-0000-0000-0000D8250000}"/>
    <cellStyle name="Normal 13 2 3 2 3 2 6" xfId="6834" xr:uid="{00000000-0005-0000-0000-0000D9250000}"/>
    <cellStyle name="Normal 13 2 3 2 3 2 7" xfId="6835" xr:uid="{00000000-0005-0000-0000-0000DA250000}"/>
    <cellStyle name="Normal 13 2 3 2 3 3" xfId="6836" xr:uid="{00000000-0005-0000-0000-0000DB250000}"/>
    <cellStyle name="Normal 13 2 3 2 3 3 2" xfId="6837" xr:uid="{00000000-0005-0000-0000-0000DC250000}"/>
    <cellStyle name="Normal 13 2 3 2 3 3 2 2" xfId="48879" xr:uid="{00000000-0005-0000-0000-0000DD250000}"/>
    <cellStyle name="Normal 13 2 3 2 3 3 2 3" xfId="48880" xr:uid="{00000000-0005-0000-0000-0000DE250000}"/>
    <cellStyle name="Normal 13 2 3 2 3 3 3" xfId="6838" xr:uid="{00000000-0005-0000-0000-0000DF250000}"/>
    <cellStyle name="Normal 13 2 3 2 3 3 3 2" xfId="48881" xr:uid="{00000000-0005-0000-0000-0000E0250000}"/>
    <cellStyle name="Normal 13 2 3 2 3 3 4" xfId="6839" xr:uid="{00000000-0005-0000-0000-0000E1250000}"/>
    <cellStyle name="Normal 13 2 3 2 3 3 5" xfId="6840" xr:uid="{00000000-0005-0000-0000-0000E2250000}"/>
    <cellStyle name="Normal 13 2 3 2 3 3 6" xfId="6841" xr:uid="{00000000-0005-0000-0000-0000E3250000}"/>
    <cellStyle name="Normal 13 2 3 2 3 4" xfId="6842" xr:uid="{00000000-0005-0000-0000-0000E4250000}"/>
    <cellStyle name="Normal 13 2 3 2 3 4 2" xfId="48882" xr:uid="{00000000-0005-0000-0000-0000E5250000}"/>
    <cellStyle name="Normal 13 2 3 2 3 4 3" xfId="48883" xr:uid="{00000000-0005-0000-0000-0000E6250000}"/>
    <cellStyle name="Normal 13 2 3 2 3 5" xfId="6843" xr:uid="{00000000-0005-0000-0000-0000E7250000}"/>
    <cellStyle name="Normal 13 2 3 2 3 5 2" xfId="48884" xr:uid="{00000000-0005-0000-0000-0000E8250000}"/>
    <cellStyle name="Normal 13 2 3 2 3 6" xfId="6844" xr:uid="{00000000-0005-0000-0000-0000E9250000}"/>
    <cellStyle name="Normal 13 2 3 2 3 7" xfId="6845" xr:uid="{00000000-0005-0000-0000-0000EA250000}"/>
    <cellStyle name="Normal 13 2 3 2 3 8" xfId="6846" xr:uid="{00000000-0005-0000-0000-0000EB250000}"/>
    <cellStyle name="Normal 13 2 3 2 3 9" xfId="6847" xr:uid="{00000000-0005-0000-0000-0000EC250000}"/>
    <cellStyle name="Normal 13 2 3 2 4" xfId="6848" xr:uid="{00000000-0005-0000-0000-0000ED250000}"/>
    <cellStyle name="Normal 13 2 3 2 4 2" xfId="6849" xr:uid="{00000000-0005-0000-0000-0000EE250000}"/>
    <cellStyle name="Normal 13 2 3 2 4 2 2" xfId="6850" xr:uid="{00000000-0005-0000-0000-0000EF250000}"/>
    <cellStyle name="Normal 13 2 3 2 4 2 2 2" xfId="6851" xr:uid="{00000000-0005-0000-0000-0000F0250000}"/>
    <cellStyle name="Normal 13 2 3 2 4 2 2 2 2" xfId="48885" xr:uid="{00000000-0005-0000-0000-0000F1250000}"/>
    <cellStyle name="Normal 13 2 3 2 4 2 2 2 3" xfId="48886" xr:uid="{00000000-0005-0000-0000-0000F2250000}"/>
    <cellStyle name="Normal 13 2 3 2 4 2 2 3" xfId="6852" xr:uid="{00000000-0005-0000-0000-0000F3250000}"/>
    <cellStyle name="Normal 13 2 3 2 4 2 2 3 2" xfId="48887" xr:uid="{00000000-0005-0000-0000-0000F4250000}"/>
    <cellStyle name="Normal 13 2 3 2 4 2 2 4" xfId="6853" xr:uid="{00000000-0005-0000-0000-0000F5250000}"/>
    <cellStyle name="Normal 13 2 3 2 4 2 2 5" xfId="6854" xr:uid="{00000000-0005-0000-0000-0000F6250000}"/>
    <cellStyle name="Normal 13 2 3 2 4 2 2 6" xfId="6855" xr:uid="{00000000-0005-0000-0000-0000F7250000}"/>
    <cellStyle name="Normal 13 2 3 2 4 2 3" xfId="6856" xr:uid="{00000000-0005-0000-0000-0000F8250000}"/>
    <cellStyle name="Normal 13 2 3 2 4 2 3 2" xfId="48888" xr:uid="{00000000-0005-0000-0000-0000F9250000}"/>
    <cellStyle name="Normal 13 2 3 2 4 2 3 3" xfId="48889" xr:uid="{00000000-0005-0000-0000-0000FA250000}"/>
    <cellStyle name="Normal 13 2 3 2 4 2 4" xfId="6857" xr:uid="{00000000-0005-0000-0000-0000FB250000}"/>
    <cellStyle name="Normal 13 2 3 2 4 2 4 2" xfId="48890" xr:uid="{00000000-0005-0000-0000-0000FC250000}"/>
    <cellStyle name="Normal 13 2 3 2 4 2 5" xfId="6858" xr:uid="{00000000-0005-0000-0000-0000FD250000}"/>
    <cellStyle name="Normal 13 2 3 2 4 2 6" xfId="6859" xr:uid="{00000000-0005-0000-0000-0000FE250000}"/>
    <cellStyle name="Normal 13 2 3 2 4 2 7" xfId="6860" xr:uid="{00000000-0005-0000-0000-0000FF250000}"/>
    <cellStyle name="Normal 13 2 3 2 4 3" xfId="6861" xr:uid="{00000000-0005-0000-0000-000000260000}"/>
    <cellStyle name="Normal 13 2 3 2 4 3 2" xfId="6862" xr:uid="{00000000-0005-0000-0000-000001260000}"/>
    <cellStyle name="Normal 13 2 3 2 4 3 2 2" xfId="48891" xr:uid="{00000000-0005-0000-0000-000002260000}"/>
    <cellStyle name="Normal 13 2 3 2 4 3 2 3" xfId="48892" xr:uid="{00000000-0005-0000-0000-000003260000}"/>
    <cellStyle name="Normal 13 2 3 2 4 3 3" xfId="6863" xr:uid="{00000000-0005-0000-0000-000004260000}"/>
    <cellStyle name="Normal 13 2 3 2 4 3 3 2" xfId="48893" xr:uid="{00000000-0005-0000-0000-000005260000}"/>
    <cellStyle name="Normal 13 2 3 2 4 3 4" xfId="6864" xr:uid="{00000000-0005-0000-0000-000006260000}"/>
    <cellStyle name="Normal 13 2 3 2 4 3 5" xfId="6865" xr:uid="{00000000-0005-0000-0000-000007260000}"/>
    <cellStyle name="Normal 13 2 3 2 4 3 6" xfId="6866" xr:uid="{00000000-0005-0000-0000-000008260000}"/>
    <cellStyle name="Normal 13 2 3 2 4 4" xfId="6867" xr:uid="{00000000-0005-0000-0000-000009260000}"/>
    <cellStyle name="Normal 13 2 3 2 4 4 2" xfId="48894" xr:uid="{00000000-0005-0000-0000-00000A260000}"/>
    <cellStyle name="Normal 13 2 3 2 4 4 3" xfId="48895" xr:uid="{00000000-0005-0000-0000-00000B260000}"/>
    <cellStyle name="Normal 13 2 3 2 4 5" xfId="6868" xr:uid="{00000000-0005-0000-0000-00000C260000}"/>
    <cellStyle name="Normal 13 2 3 2 4 5 2" xfId="48896" xr:uid="{00000000-0005-0000-0000-00000D260000}"/>
    <cellStyle name="Normal 13 2 3 2 4 6" xfId="6869" xr:uid="{00000000-0005-0000-0000-00000E260000}"/>
    <cellStyle name="Normal 13 2 3 2 4 7" xfId="6870" xr:uid="{00000000-0005-0000-0000-00000F260000}"/>
    <cellStyle name="Normal 13 2 3 2 4 8" xfId="6871" xr:uid="{00000000-0005-0000-0000-000010260000}"/>
    <cellStyle name="Normal 13 2 3 2 5" xfId="6872" xr:uid="{00000000-0005-0000-0000-000011260000}"/>
    <cellStyle name="Normal 13 2 3 2 5 2" xfId="6873" xr:uid="{00000000-0005-0000-0000-000012260000}"/>
    <cellStyle name="Normal 13 2 3 2 5 2 2" xfId="6874" xr:uid="{00000000-0005-0000-0000-000013260000}"/>
    <cellStyle name="Normal 13 2 3 2 5 2 2 2" xfId="48897" xr:uid="{00000000-0005-0000-0000-000014260000}"/>
    <cellStyle name="Normal 13 2 3 2 5 2 2 3" xfId="48898" xr:uid="{00000000-0005-0000-0000-000015260000}"/>
    <cellStyle name="Normal 13 2 3 2 5 2 3" xfId="6875" xr:uid="{00000000-0005-0000-0000-000016260000}"/>
    <cellStyle name="Normal 13 2 3 2 5 2 3 2" xfId="48899" xr:uid="{00000000-0005-0000-0000-000017260000}"/>
    <cellStyle name="Normal 13 2 3 2 5 2 4" xfId="6876" xr:uid="{00000000-0005-0000-0000-000018260000}"/>
    <cellStyle name="Normal 13 2 3 2 5 2 5" xfId="6877" xr:uid="{00000000-0005-0000-0000-000019260000}"/>
    <cellStyle name="Normal 13 2 3 2 5 2 6" xfId="6878" xr:uid="{00000000-0005-0000-0000-00001A260000}"/>
    <cellStyle name="Normal 13 2 3 2 5 3" xfId="6879" xr:uid="{00000000-0005-0000-0000-00001B260000}"/>
    <cellStyle name="Normal 13 2 3 2 5 3 2" xfId="48900" xr:uid="{00000000-0005-0000-0000-00001C260000}"/>
    <cellStyle name="Normal 13 2 3 2 5 3 3" xfId="48901" xr:uid="{00000000-0005-0000-0000-00001D260000}"/>
    <cellStyle name="Normal 13 2 3 2 5 4" xfId="6880" xr:uid="{00000000-0005-0000-0000-00001E260000}"/>
    <cellStyle name="Normal 13 2 3 2 5 4 2" xfId="48902" xr:uid="{00000000-0005-0000-0000-00001F260000}"/>
    <cellStyle name="Normal 13 2 3 2 5 5" xfId="6881" xr:uid="{00000000-0005-0000-0000-000020260000}"/>
    <cellStyle name="Normal 13 2 3 2 5 6" xfId="6882" xr:uid="{00000000-0005-0000-0000-000021260000}"/>
    <cellStyle name="Normal 13 2 3 2 5 7" xfId="6883" xr:uid="{00000000-0005-0000-0000-000022260000}"/>
    <cellStyle name="Normal 13 2 3 2 6" xfId="6884" xr:uid="{00000000-0005-0000-0000-000023260000}"/>
    <cellStyle name="Normal 13 2 3 2 6 2" xfId="6885" xr:uid="{00000000-0005-0000-0000-000024260000}"/>
    <cellStyle name="Normal 13 2 3 2 6 2 2" xfId="48903" xr:uid="{00000000-0005-0000-0000-000025260000}"/>
    <cellStyle name="Normal 13 2 3 2 6 2 3" xfId="48904" xr:uid="{00000000-0005-0000-0000-000026260000}"/>
    <cellStyle name="Normal 13 2 3 2 6 3" xfId="6886" xr:uid="{00000000-0005-0000-0000-000027260000}"/>
    <cellStyle name="Normal 13 2 3 2 6 3 2" xfId="48905" xr:uid="{00000000-0005-0000-0000-000028260000}"/>
    <cellStyle name="Normal 13 2 3 2 6 4" xfId="6887" xr:uid="{00000000-0005-0000-0000-000029260000}"/>
    <cellStyle name="Normal 13 2 3 2 6 5" xfId="6888" xr:uid="{00000000-0005-0000-0000-00002A260000}"/>
    <cellStyle name="Normal 13 2 3 2 6 6" xfId="6889" xr:uid="{00000000-0005-0000-0000-00002B260000}"/>
    <cellStyle name="Normal 13 2 3 2 7" xfId="6890" xr:uid="{00000000-0005-0000-0000-00002C260000}"/>
    <cellStyle name="Normal 13 2 3 2 7 2" xfId="48906" xr:uid="{00000000-0005-0000-0000-00002D260000}"/>
    <cellStyle name="Normal 13 2 3 2 7 3" xfId="48907" xr:uid="{00000000-0005-0000-0000-00002E260000}"/>
    <cellStyle name="Normal 13 2 3 2 8" xfId="6891" xr:uid="{00000000-0005-0000-0000-00002F260000}"/>
    <cellStyle name="Normal 13 2 3 2 8 2" xfId="48908" xr:uid="{00000000-0005-0000-0000-000030260000}"/>
    <cellStyle name="Normal 13 2 3 2 9" xfId="6892" xr:uid="{00000000-0005-0000-0000-000031260000}"/>
    <cellStyle name="Normal 13 2 3 2 9 2" xfId="48909" xr:uid="{00000000-0005-0000-0000-000032260000}"/>
    <cellStyle name="Normal 13 2 3 20" xfId="6893" xr:uid="{00000000-0005-0000-0000-000033260000}"/>
    <cellStyle name="Normal 13 2 3 3" xfId="6894" xr:uid="{00000000-0005-0000-0000-000034260000}"/>
    <cellStyle name="Normal 13 2 3 3 10" xfId="6895" xr:uid="{00000000-0005-0000-0000-000035260000}"/>
    <cellStyle name="Normal 13 2 3 3 11" xfId="6896" xr:uid="{00000000-0005-0000-0000-000036260000}"/>
    <cellStyle name="Normal 13 2 3 3 12" xfId="6897" xr:uid="{00000000-0005-0000-0000-000037260000}"/>
    <cellStyle name="Normal 13 2 3 3 13" xfId="6898" xr:uid="{00000000-0005-0000-0000-000038260000}"/>
    <cellStyle name="Normal 13 2 3 3 14" xfId="6899" xr:uid="{00000000-0005-0000-0000-000039260000}"/>
    <cellStyle name="Normal 13 2 3 3 15" xfId="6900" xr:uid="{00000000-0005-0000-0000-00003A260000}"/>
    <cellStyle name="Normal 13 2 3 3 2" xfId="6901" xr:uid="{00000000-0005-0000-0000-00003B260000}"/>
    <cellStyle name="Normal 13 2 3 3 2 10" xfId="6902" xr:uid="{00000000-0005-0000-0000-00003C260000}"/>
    <cellStyle name="Normal 13 2 3 3 2 11" xfId="6903" xr:uid="{00000000-0005-0000-0000-00003D260000}"/>
    <cellStyle name="Normal 13 2 3 3 2 12" xfId="6904" xr:uid="{00000000-0005-0000-0000-00003E260000}"/>
    <cellStyle name="Normal 13 2 3 3 2 13" xfId="6905" xr:uid="{00000000-0005-0000-0000-00003F260000}"/>
    <cellStyle name="Normal 13 2 3 3 2 14" xfId="6906" xr:uid="{00000000-0005-0000-0000-000040260000}"/>
    <cellStyle name="Normal 13 2 3 3 2 2" xfId="6907" xr:uid="{00000000-0005-0000-0000-000041260000}"/>
    <cellStyle name="Normal 13 2 3 3 2 2 2" xfId="6908" xr:uid="{00000000-0005-0000-0000-000042260000}"/>
    <cellStyle name="Normal 13 2 3 3 2 2 2 2" xfId="6909" xr:uid="{00000000-0005-0000-0000-000043260000}"/>
    <cellStyle name="Normal 13 2 3 3 2 2 2 2 2" xfId="6910" xr:uid="{00000000-0005-0000-0000-000044260000}"/>
    <cellStyle name="Normal 13 2 3 3 2 2 2 2 2 2" xfId="48910" xr:uid="{00000000-0005-0000-0000-000045260000}"/>
    <cellStyle name="Normal 13 2 3 3 2 2 2 2 2 3" xfId="48911" xr:uid="{00000000-0005-0000-0000-000046260000}"/>
    <cellStyle name="Normal 13 2 3 3 2 2 2 2 3" xfId="6911" xr:uid="{00000000-0005-0000-0000-000047260000}"/>
    <cellStyle name="Normal 13 2 3 3 2 2 2 2 3 2" xfId="48912" xr:uid="{00000000-0005-0000-0000-000048260000}"/>
    <cellStyle name="Normal 13 2 3 3 2 2 2 2 4" xfId="6912" xr:uid="{00000000-0005-0000-0000-000049260000}"/>
    <cellStyle name="Normal 13 2 3 3 2 2 2 2 5" xfId="6913" xr:uid="{00000000-0005-0000-0000-00004A260000}"/>
    <cellStyle name="Normal 13 2 3 3 2 2 2 2 6" xfId="6914" xr:uid="{00000000-0005-0000-0000-00004B260000}"/>
    <cellStyle name="Normal 13 2 3 3 2 2 2 3" xfId="6915" xr:uid="{00000000-0005-0000-0000-00004C260000}"/>
    <cellStyle name="Normal 13 2 3 3 2 2 2 3 2" xfId="48913" xr:uid="{00000000-0005-0000-0000-00004D260000}"/>
    <cellStyle name="Normal 13 2 3 3 2 2 2 3 3" xfId="48914" xr:uid="{00000000-0005-0000-0000-00004E260000}"/>
    <cellStyle name="Normal 13 2 3 3 2 2 2 4" xfId="6916" xr:uid="{00000000-0005-0000-0000-00004F260000}"/>
    <cellStyle name="Normal 13 2 3 3 2 2 2 4 2" xfId="48915" xr:uid="{00000000-0005-0000-0000-000050260000}"/>
    <cellStyle name="Normal 13 2 3 3 2 2 2 5" xfId="6917" xr:uid="{00000000-0005-0000-0000-000051260000}"/>
    <cellStyle name="Normal 13 2 3 3 2 2 2 6" xfId="6918" xr:uid="{00000000-0005-0000-0000-000052260000}"/>
    <cellStyle name="Normal 13 2 3 3 2 2 2 7" xfId="6919" xr:uid="{00000000-0005-0000-0000-000053260000}"/>
    <cellStyle name="Normal 13 2 3 3 2 2 3" xfId="6920" xr:uid="{00000000-0005-0000-0000-000054260000}"/>
    <cellStyle name="Normal 13 2 3 3 2 2 3 2" xfId="6921" xr:uid="{00000000-0005-0000-0000-000055260000}"/>
    <cellStyle name="Normal 13 2 3 3 2 2 3 2 2" xfId="48916" xr:uid="{00000000-0005-0000-0000-000056260000}"/>
    <cellStyle name="Normal 13 2 3 3 2 2 3 2 3" xfId="48917" xr:uid="{00000000-0005-0000-0000-000057260000}"/>
    <cellStyle name="Normal 13 2 3 3 2 2 3 3" xfId="6922" xr:uid="{00000000-0005-0000-0000-000058260000}"/>
    <cellStyle name="Normal 13 2 3 3 2 2 3 3 2" xfId="48918" xr:uid="{00000000-0005-0000-0000-000059260000}"/>
    <cellStyle name="Normal 13 2 3 3 2 2 3 4" xfId="6923" xr:uid="{00000000-0005-0000-0000-00005A260000}"/>
    <cellStyle name="Normal 13 2 3 3 2 2 3 5" xfId="6924" xr:uid="{00000000-0005-0000-0000-00005B260000}"/>
    <cellStyle name="Normal 13 2 3 3 2 2 3 6" xfId="6925" xr:uid="{00000000-0005-0000-0000-00005C260000}"/>
    <cellStyle name="Normal 13 2 3 3 2 2 4" xfId="6926" xr:uid="{00000000-0005-0000-0000-00005D260000}"/>
    <cellStyle name="Normal 13 2 3 3 2 2 4 2" xfId="48919" xr:uid="{00000000-0005-0000-0000-00005E260000}"/>
    <cellStyle name="Normal 13 2 3 3 2 2 4 3" xfId="48920" xr:uid="{00000000-0005-0000-0000-00005F260000}"/>
    <cellStyle name="Normal 13 2 3 3 2 2 5" xfId="6927" xr:uid="{00000000-0005-0000-0000-000060260000}"/>
    <cellStyle name="Normal 13 2 3 3 2 2 5 2" xfId="48921" xr:uid="{00000000-0005-0000-0000-000061260000}"/>
    <cellStyle name="Normal 13 2 3 3 2 2 6" xfId="6928" xr:uid="{00000000-0005-0000-0000-000062260000}"/>
    <cellStyle name="Normal 13 2 3 3 2 2 7" xfId="6929" xr:uid="{00000000-0005-0000-0000-000063260000}"/>
    <cellStyle name="Normal 13 2 3 3 2 2 8" xfId="6930" xr:uid="{00000000-0005-0000-0000-000064260000}"/>
    <cellStyle name="Normal 13 2 3 3 2 2 9" xfId="6931" xr:uid="{00000000-0005-0000-0000-000065260000}"/>
    <cellStyle name="Normal 13 2 3 3 2 3" xfId="6932" xr:uid="{00000000-0005-0000-0000-000066260000}"/>
    <cellStyle name="Normal 13 2 3 3 2 3 2" xfId="6933" xr:uid="{00000000-0005-0000-0000-000067260000}"/>
    <cellStyle name="Normal 13 2 3 3 2 3 2 2" xfId="6934" xr:uid="{00000000-0005-0000-0000-000068260000}"/>
    <cellStyle name="Normal 13 2 3 3 2 3 2 2 2" xfId="6935" xr:uid="{00000000-0005-0000-0000-000069260000}"/>
    <cellStyle name="Normal 13 2 3 3 2 3 2 2 2 2" xfId="48922" xr:uid="{00000000-0005-0000-0000-00006A260000}"/>
    <cellStyle name="Normal 13 2 3 3 2 3 2 2 2 3" xfId="48923" xr:uid="{00000000-0005-0000-0000-00006B260000}"/>
    <cellStyle name="Normal 13 2 3 3 2 3 2 2 3" xfId="6936" xr:uid="{00000000-0005-0000-0000-00006C260000}"/>
    <cellStyle name="Normal 13 2 3 3 2 3 2 2 3 2" xfId="48924" xr:uid="{00000000-0005-0000-0000-00006D260000}"/>
    <cellStyle name="Normal 13 2 3 3 2 3 2 2 4" xfId="6937" xr:uid="{00000000-0005-0000-0000-00006E260000}"/>
    <cellStyle name="Normal 13 2 3 3 2 3 2 2 5" xfId="6938" xr:uid="{00000000-0005-0000-0000-00006F260000}"/>
    <cellStyle name="Normal 13 2 3 3 2 3 2 2 6" xfId="6939" xr:uid="{00000000-0005-0000-0000-000070260000}"/>
    <cellStyle name="Normal 13 2 3 3 2 3 2 3" xfId="6940" xr:uid="{00000000-0005-0000-0000-000071260000}"/>
    <cellStyle name="Normal 13 2 3 3 2 3 2 3 2" xfId="48925" xr:uid="{00000000-0005-0000-0000-000072260000}"/>
    <cellStyle name="Normal 13 2 3 3 2 3 2 3 3" xfId="48926" xr:uid="{00000000-0005-0000-0000-000073260000}"/>
    <cellStyle name="Normal 13 2 3 3 2 3 2 4" xfId="6941" xr:uid="{00000000-0005-0000-0000-000074260000}"/>
    <cellStyle name="Normal 13 2 3 3 2 3 2 4 2" xfId="48927" xr:uid="{00000000-0005-0000-0000-000075260000}"/>
    <cellStyle name="Normal 13 2 3 3 2 3 2 5" xfId="6942" xr:uid="{00000000-0005-0000-0000-000076260000}"/>
    <cellStyle name="Normal 13 2 3 3 2 3 2 6" xfId="6943" xr:uid="{00000000-0005-0000-0000-000077260000}"/>
    <cellStyle name="Normal 13 2 3 3 2 3 2 7" xfId="6944" xr:uid="{00000000-0005-0000-0000-000078260000}"/>
    <cellStyle name="Normal 13 2 3 3 2 3 3" xfId="6945" xr:uid="{00000000-0005-0000-0000-000079260000}"/>
    <cellStyle name="Normal 13 2 3 3 2 3 3 2" xfId="6946" xr:uid="{00000000-0005-0000-0000-00007A260000}"/>
    <cellStyle name="Normal 13 2 3 3 2 3 3 2 2" xfId="48928" xr:uid="{00000000-0005-0000-0000-00007B260000}"/>
    <cellStyle name="Normal 13 2 3 3 2 3 3 2 3" xfId="48929" xr:uid="{00000000-0005-0000-0000-00007C260000}"/>
    <cellStyle name="Normal 13 2 3 3 2 3 3 3" xfId="6947" xr:uid="{00000000-0005-0000-0000-00007D260000}"/>
    <cellStyle name="Normal 13 2 3 3 2 3 3 3 2" xfId="48930" xr:uid="{00000000-0005-0000-0000-00007E260000}"/>
    <cellStyle name="Normal 13 2 3 3 2 3 3 4" xfId="6948" xr:uid="{00000000-0005-0000-0000-00007F260000}"/>
    <cellStyle name="Normal 13 2 3 3 2 3 3 5" xfId="6949" xr:uid="{00000000-0005-0000-0000-000080260000}"/>
    <cellStyle name="Normal 13 2 3 3 2 3 3 6" xfId="6950" xr:uid="{00000000-0005-0000-0000-000081260000}"/>
    <cellStyle name="Normal 13 2 3 3 2 3 4" xfId="6951" xr:uid="{00000000-0005-0000-0000-000082260000}"/>
    <cellStyle name="Normal 13 2 3 3 2 3 4 2" xfId="48931" xr:uid="{00000000-0005-0000-0000-000083260000}"/>
    <cellStyle name="Normal 13 2 3 3 2 3 4 3" xfId="48932" xr:uid="{00000000-0005-0000-0000-000084260000}"/>
    <cellStyle name="Normal 13 2 3 3 2 3 5" xfId="6952" xr:uid="{00000000-0005-0000-0000-000085260000}"/>
    <cellStyle name="Normal 13 2 3 3 2 3 5 2" xfId="48933" xr:uid="{00000000-0005-0000-0000-000086260000}"/>
    <cellStyle name="Normal 13 2 3 3 2 3 6" xfId="6953" xr:uid="{00000000-0005-0000-0000-000087260000}"/>
    <cellStyle name="Normal 13 2 3 3 2 3 7" xfId="6954" xr:uid="{00000000-0005-0000-0000-000088260000}"/>
    <cellStyle name="Normal 13 2 3 3 2 3 8" xfId="6955" xr:uid="{00000000-0005-0000-0000-000089260000}"/>
    <cellStyle name="Normal 13 2 3 3 2 4" xfId="6956" xr:uid="{00000000-0005-0000-0000-00008A260000}"/>
    <cellStyle name="Normal 13 2 3 3 2 4 2" xfId="6957" xr:uid="{00000000-0005-0000-0000-00008B260000}"/>
    <cellStyle name="Normal 13 2 3 3 2 4 2 2" xfId="6958" xr:uid="{00000000-0005-0000-0000-00008C260000}"/>
    <cellStyle name="Normal 13 2 3 3 2 4 2 2 2" xfId="48934" xr:uid="{00000000-0005-0000-0000-00008D260000}"/>
    <cellStyle name="Normal 13 2 3 3 2 4 2 2 3" xfId="48935" xr:uid="{00000000-0005-0000-0000-00008E260000}"/>
    <cellStyle name="Normal 13 2 3 3 2 4 2 3" xfId="6959" xr:uid="{00000000-0005-0000-0000-00008F260000}"/>
    <cellStyle name="Normal 13 2 3 3 2 4 2 3 2" xfId="48936" xr:uid="{00000000-0005-0000-0000-000090260000}"/>
    <cellStyle name="Normal 13 2 3 3 2 4 2 4" xfId="6960" xr:uid="{00000000-0005-0000-0000-000091260000}"/>
    <cellStyle name="Normal 13 2 3 3 2 4 2 5" xfId="6961" xr:uid="{00000000-0005-0000-0000-000092260000}"/>
    <cellStyle name="Normal 13 2 3 3 2 4 2 6" xfId="6962" xr:uid="{00000000-0005-0000-0000-000093260000}"/>
    <cellStyle name="Normal 13 2 3 3 2 4 3" xfId="6963" xr:uid="{00000000-0005-0000-0000-000094260000}"/>
    <cellStyle name="Normal 13 2 3 3 2 4 3 2" xfId="48937" xr:uid="{00000000-0005-0000-0000-000095260000}"/>
    <cellStyle name="Normal 13 2 3 3 2 4 3 3" xfId="48938" xr:uid="{00000000-0005-0000-0000-000096260000}"/>
    <cellStyle name="Normal 13 2 3 3 2 4 4" xfId="6964" xr:uid="{00000000-0005-0000-0000-000097260000}"/>
    <cellStyle name="Normal 13 2 3 3 2 4 4 2" xfId="48939" xr:uid="{00000000-0005-0000-0000-000098260000}"/>
    <cellStyle name="Normal 13 2 3 3 2 4 5" xfId="6965" xr:uid="{00000000-0005-0000-0000-000099260000}"/>
    <cellStyle name="Normal 13 2 3 3 2 4 6" xfId="6966" xr:uid="{00000000-0005-0000-0000-00009A260000}"/>
    <cellStyle name="Normal 13 2 3 3 2 4 7" xfId="6967" xr:uid="{00000000-0005-0000-0000-00009B260000}"/>
    <cellStyle name="Normal 13 2 3 3 2 5" xfId="6968" xr:uid="{00000000-0005-0000-0000-00009C260000}"/>
    <cellStyle name="Normal 13 2 3 3 2 5 2" xfId="6969" xr:uid="{00000000-0005-0000-0000-00009D260000}"/>
    <cellStyle name="Normal 13 2 3 3 2 5 2 2" xfId="48940" xr:uid="{00000000-0005-0000-0000-00009E260000}"/>
    <cellStyle name="Normal 13 2 3 3 2 5 2 3" xfId="48941" xr:uid="{00000000-0005-0000-0000-00009F260000}"/>
    <cellStyle name="Normal 13 2 3 3 2 5 3" xfId="6970" xr:uid="{00000000-0005-0000-0000-0000A0260000}"/>
    <cellStyle name="Normal 13 2 3 3 2 5 3 2" xfId="48942" xr:uid="{00000000-0005-0000-0000-0000A1260000}"/>
    <cellStyle name="Normal 13 2 3 3 2 5 4" xfId="6971" xr:uid="{00000000-0005-0000-0000-0000A2260000}"/>
    <cellStyle name="Normal 13 2 3 3 2 5 5" xfId="6972" xr:uid="{00000000-0005-0000-0000-0000A3260000}"/>
    <cellStyle name="Normal 13 2 3 3 2 5 6" xfId="6973" xr:uid="{00000000-0005-0000-0000-0000A4260000}"/>
    <cellStyle name="Normal 13 2 3 3 2 6" xfId="6974" xr:uid="{00000000-0005-0000-0000-0000A5260000}"/>
    <cellStyle name="Normal 13 2 3 3 2 6 2" xfId="48943" xr:uid="{00000000-0005-0000-0000-0000A6260000}"/>
    <cellStyle name="Normal 13 2 3 3 2 6 3" xfId="48944" xr:uid="{00000000-0005-0000-0000-0000A7260000}"/>
    <cellStyle name="Normal 13 2 3 3 2 7" xfId="6975" xr:uid="{00000000-0005-0000-0000-0000A8260000}"/>
    <cellStyle name="Normal 13 2 3 3 2 7 2" xfId="48945" xr:uid="{00000000-0005-0000-0000-0000A9260000}"/>
    <cellStyle name="Normal 13 2 3 3 2 8" xfId="6976" xr:uid="{00000000-0005-0000-0000-0000AA260000}"/>
    <cellStyle name="Normal 13 2 3 3 2 9" xfId="6977" xr:uid="{00000000-0005-0000-0000-0000AB260000}"/>
    <cellStyle name="Normal 13 2 3 3 3" xfId="6978" xr:uid="{00000000-0005-0000-0000-0000AC260000}"/>
    <cellStyle name="Normal 13 2 3 3 3 2" xfId="6979" xr:uid="{00000000-0005-0000-0000-0000AD260000}"/>
    <cellStyle name="Normal 13 2 3 3 3 2 2" xfId="6980" xr:uid="{00000000-0005-0000-0000-0000AE260000}"/>
    <cellStyle name="Normal 13 2 3 3 3 2 2 2" xfId="6981" xr:uid="{00000000-0005-0000-0000-0000AF260000}"/>
    <cellStyle name="Normal 13 2 3 3 3 2 2 2 2" xfId="48946" xr:uid="{00000000-0005-0000-0000-0000B0260000}"/>
    <cellStyle name="Normal 13 2 3 3 3 2 2 2 3" xfId="48947" xr:uid="{00000000-0005-0000-0000-0000B1260000}"/>
    <cellStyle name="Normal 13 2 3 3 3 2 2 3" xfId="6982" xr:uid="{00000000-0005-0000-0000-0000B2260000}"/>
    <cellStyle name="Normal 13 2 3 3 3 2 2 3 2" xfId="48948" xr:uid="{00000000-0005-0000-0000-0000B3260000}"/>
    <cellStyle name="Normal 13 2 3 3 3 2 2 4" xfId="6983" xr:uid="{00000000-0005-0000-0000-0000B4260000}"/>
    <cellStyle name="Normal 13 2 3 3 3 2 2 5" xfId="6984" xr:uid="{00000000-0005-0000-0000-0000B5260000}"/>
    <cellStyle name="Normal 13 2 3 3 3 2 2 6" xfId="6985" xr:uid="{00000000-0005-0000-0000-0000B6260000}"/>
    <cellStyle name="Normal 13 2 3 3 3 2 3" xfId="6986" xr:uid="{00000000-0005-0000-0000-0000B7260000}"/>
    <cellStyle name="Normal 13 2 3 3 3 2 3 2" xfId="48949" xr:uid="{00000000-0005-0000-0000-0000B8260000}"/>
    <cellStyle name="Normal 13 2 3 3 3 2 3 3" xfId="48950" xr:uid="{00000000-0005-0000-0000-0000B9260000}"/>
    <cellStyle name="Normal 13 2 3 3 3 2 4" xfId="6987" xr:uid="{00000000-0005-0000-0000-0000BA260000}"/>
    <cellStyle name="Normal 13 2 3 3 3 2 4 2" xfId="48951" xr:uid="{00000000-0005-0000-0000-0000BB260000}"/>
    <cellStyle name="Normal 13 2 3 3 3 2 5" xfId="6988" xr:uid="{00000000-0005-0000-0000-0000BC260000}"/>
    <cellStyle name="Normal 13 2 3 3 3 2 6" xfId="6989" xr:uid="{00000000-0005-0000-0000-0000BD260000}"/>
    <cellStyle name="Normal 13 2 3 3 3 2 7" xfId="6990" xr:uid="{00000000-0005-0000-0000-0000BE260000}"/>
    <cellStyle name="Normal 13 2 3 3 3 3" xfId="6991" xr:uid="{00000000-0005-0000-0000-0000BF260000}"/>
    <cellStyle name="Normal 13 2 3 3 3 3 2" xfId="6992" xr:uid="{00000000-0005-0000-0000-0000C0260000}"/>
    <cellStyle name="Normal 13 2 3 3 3 3 2 2" xfId="48952" xr:uid="{00000000-0005-0000-0000-0000C1260000}"/>
    <cellStyle name="Normal 13 2 3 3 3 3 2 3" xfId="48953" xr:uid="{00000000-0005-0000-0000-0000C2260000}"/>
    <cellStyle name="Normal 13 2 3 3 3 3 3" xfId="6993" xr:uid="{00000000-0005-0000-0000-0000C3260000}"/>
    <cellStyle name="Normal 13 2 3 3 3 3 3 2" xfId="48954" xr:uid="{00000000-0005-0000-0000-0000C4260000}"/>
    <cellStyle name="Normal 13 2 3 3 3 3 4" xfId="6994" xr:uid="{00000000-0005-0000-0000-0000C5260000}"/>
    <cellStyle name="Normal 13 2 3 3 3 3 5" xfId="6995" xr:uid="{00000000-0005-0000-0000-0000C6260000}"/>
    <cellStyle name="Normal 13 2 3 3 3 3 6" xfId="6996" xr:uid="{00000000-0005-0000-0000-0000C7260000}"/>
    <cellStyle name="Normal 13 2 3 3 3 4" xfId="6997" xr:uid="{00000000-0005-0000-0000-0000C8260000}"/>
    <cellStyle name="Normal 13 2 3 3 3 4 2" xfId="48955" xr:uid="{00000000-0005-0000-0000-0000C9260000}"/>
    <cellStyle name="Normal 13 2 3 3 3 4 3" xfId="48956" xr:uid="{00000000-0005-0000-0000-0000CA260000}"/>
    <cellStyle name="Normal 13 2 3 3 3 5" xfId="6998" xr:uid="{00000000-0005-0000-0000-0000CB260000}"/>
    <cellStyle name="Normal 13 2 3 3 3 5 2" xfId="48957" xr:uid="{00000000-0005-0000-0000-0000CC260000}"/>
    <cellStyle name="Normal 13 2 3 3 3 6" xfId="6999" xr:uid="{00000000-0005-0000-0000-0000CD260000}"/>
    <cellStyle name="Normal 13 2 3 3 3 7" xfId="7000" xr:uid="{00000000-0005-0000-0000-0000CE260000}"/>
    <cellStyle name="Normal 13 2 3 3 3 8" xfId="7001" xr:uid="{00000000-0005-0000-0000-0000CF260000}"/>
    <cellStyle name="Normal 13 2 3 3 3 9" xfId="7002" xr:uid="{00000000-0005-0000-0000-0000D0260000}"/>
    <cellStyle name="Normal 13 2 3 3 4" xfId="7003" xr:uid="{00000000-0005-0000-0000-0000D1260000}"/>
    <cellStyle name="Normal 13 2 3 3 4 2" xfId="7004" xr:uid="{00000000-0005-0000-0000-0000D2260000}"/>
    <cellStyle name="Normal 13 2 3 3 4 2 2" xfId="7005" xr:uid="{00000000-0005-0000-0000-0000D3260000}"/>
    <cellStyle name="Normal 13 2 3 3 4 2 2 2" xfId="7006" xr:uid="{00000000-0005-0000-0000-0000D4260000}"/>
    <cellStyle name="Normal 13 2 3 3 4 2 2 2 2" xfId="48958" xr:uid="{00000000-0005-0000-0000-0000D5260000}"/>
    <cellStyle name="Normal 13 2 3 3 4 2 2 2 3" xfId="48959" xr:uid="{00000000-0005-0000-0000-0000D6260000}"/>
    <cellStyle name="Normal 13 2 3 3 4 2 2 3" xfId="7007" xr:uid="{00000000-0005-0000-0000-0000D7260000}"/>
    <cellStyle name="Normal 13 2 3 3 4 2 2 3 2" xfId="48960" xr:uid="{00000000-0005-0000-0000-0000D8260000}"/>
    <cellStyle name="Normal 13 2 3 3 4 2 2 4" xfId="7008" xr:uid="{00000000-0005-0000-0000-0000D9260000}"/>
    <cellStyle name="Normal 13 2 3 3 4 2 2 5" xfId="7009" xr:uid="{00000000-0005-0000-0000-0000DA260000}"/>
    <cellStyle name="Normal 13 2 3 3 4 2 2 6" xfId="7010" xr:uid="{00000000-0005-0000-0000-0000DB260000}"/>
    <cellStyle name="Normal 13 2 3 3 4 2 3" xfId="7011" xr:uid="{00000000-0005-0000-0000-0000DC260000}"/>
    <cellStyle name="Normal 13 2 3 3 4 2 3 2" xfId="48961" xr:uid="{00000000-0005-0000-0000-0000DD260000}"/>
    <cellStyle name="Normal 13 2 3 3 4 2 3 3" xfId="48962" xr:uid="{00000000-0005-0000-0000-0000DE260000}"/>
    <cellStyle name="Normal 13 2 3 3 4 2 4" xfId="7012" xr:uid="{00000000-0005-0000-0000-0000DF260000}"/>
    <cellStyle name="Normal 13 2 3 3 4 2 4 2" xfId="48963" xr:uid="{00000000-0005-0000-0000-0000E0260000}"/>
    <cellStyle name="Normal 13 2 3 3 4 2 5" xfId="7013" xr:uid="{00000000-0005-0000-0000-0000E1260000}"/>
    <cellStyle name="Normal 13 2 3 3 4 2 6" xfId="7014" xr:uid="{00000000-0005-0000-0000-0000E2260000}"/>
    <cellStyle name="Normal 13 2 3 3 4 2 7" xfId="7015" xr:uid="{00000000-0005-0000-0000-0000E3260000}"/>
    <cellStyle name="Normal 13 2 3 3 4 3" xfId="7016" xr:uid="{00000000-0005-0000-0000-0000E4260000}"/>
    <cellStyle name="Normal 13 2 3 3 4 3 2" xfId="7017" xr:uid="{00000000-0005-0000-0000-0000E5260000}"/>
    <cellStyle name="Normal 13 2 3 3 4 3 2 2" xfId="48964" xr:uid="{00000000-0005-0000-0000-0000E6260000}"/>
    <cellStyle name="Normal 13 2 3 3 4 3 2 3" xfId="48965" xr:uid="{00000000-0005-0000-0000-0000E7260000}"/>
    <cellStyle name="Normal 13 2 3 3 4 3 3" xfId="7018" xr:uid="{00000000-0005-0000-0000-0000E8260000}"/>
    <cellStyle name="Normal 13 2 3 3 4 3 3 2" xfId="48966" xr:uid="{00000000-0005-0000-0000-0000E9260000}"/>
    <cellStyle name="Normal 13 2 3 3 4 3 4" xfId="7019" xr:uid="{00000000-0005-0000-0000-0000EA260000}"/>
    <cellStyle name="Normal 13 2 3 3 4 3 5" xfId="7020" xr:uid="{00000000-0005-0000-0000-0000EB260000}"/>
    <cellStyle name="Normal 13 2 3 3 4 3 6" xfId="7021" xr:uid="{00000000-0005-0000-0000-0000EC260000}"/>
    <cellStyle name="Normal 13 2 3 3 4 4" xfId="7022" xr:uid="{00000000-0005-0000-0000-0000ED260000}"/>
    <cellStyle name="Normal 13 2 3 3 4 4 2" xfId="48967" xr:uid="{00000000-0005-0000-0000-0000EE260000}"/>
    <cellStyle name="Normal 13 2 3 3 4 4 3" xfId="48968" xr:uid="{00000000-0005-0000-0000-0000EF260000}"/>
    <cellStyle name="Normal 13 2 3 3 4 5" xfId="7023" xr:uid="{00000000-0005-0000-0000-0000F0260000}"/>
    <cellStyle name="Normal 13 2 3 3 4 5 2" xfId="48969" xr:uid="{00000000-0005-0000-0000-0000F1260000}"/>
    <cellStyle name="Normal 13 2 3 3 4 6" xfId="7024" xr:uid="{00000000-0005-0000-0000-0000F2260000}"/>
    <cellStyle name="Normal 13 2 3 3 4 7" xfId="7025" xr:uid="{00000000-0005-0000-0000-0000F3260000}"/>
    <cellStyle name="Normal 13 2 3 3 4 8" xfId="7026" xr:uid="{00000000-0005-0000-0000-0000F4260000}"/>
    <cellStyle name="Normal 13 2 3 3 5" xfId="7027" xr:uid="{00000000-0005-0000-0000-0000F5260000}"/>
    <cellStyle name="Normal 13 2 3 3 5 2" xfId="7028" xr:uid="{00000000-0005-0000-0000-0000F6260000}"/>
    <cellStyle name="Normal 13 2 3 3 5 2 2" xfId="7029" xr:uid="{00000000-0005-0000-0000-0000F7260000}"/>
    <cellStyle name="Normal 13 2 3 3 5 2 2 2" xfId="48970" xr:uid="{00000000-0005-0000-0000-0000F8260000}"/>
    <cellStyle name="Normal 13 2 3 3 5 2 2 3" xfId="48971" xr:uid="{00000000-0005-0000-0000-0000F9260000}"/>
    <cellStyle name="Normal 13 2 3 3 5 2 3" xfId="7030" xr:uid="{00000000-0005-0000-0000-0000FA260000}"/>
    <cellStyle name="Normal 13 2 3 3 5 2 3 2" xfId="48972" xr:uid="{00000000-0005-0000-0000-0000FB260000}"/>
    <cellStyle name="Normal 13 2 3 3 5 2 4" xfId="7031" xr:uid="{00000000-0005-0000-0000-0000FC260000}"/>
    <cellStyle name="Normal 13 2 3 3 5 2 5" xfId="7032" xr:uid="{00000000-0005-0000-0000-0000FD260000}"/>
    <cellStyle name="Normal 13 2 3 3 5 2 6" xfId="7033" xr:uid="{00000000-0005-0000-0000-0000FE260000}"/>
    <cellStyle name="Normal 13 2 3 3 5 3" xfId="7034" xr:uid="{00000000-0005-0000-0000-0000FF260000}"/>
    <cellStyle name="Normal 13 2 3 3 5 3 2" xfId="48973" xr:uid="{00000000-0005-0000-0000-000000270000}"/>
    <cellStyle name="Normal 13 2 3 3 5 3 3" xfId="48974" xr:uid="{00000000-0005-0000-0000-000001270000}"/>
    <cellStyle name="Normal 13 2 3 3 5 4" xfId="7035" xr:uid="{00000000-0005-0000-0000-000002270000}"/>
    <cellStyle name="Normal 13 2 3 3 5 4 2" xfId="48975" xr:uid="{00000000-0005-0000-0000-000003270000}"/>
    <cellStyle name="Normal 13 2 3 3 5 5" xfId="7036" xr:uid="{00000000-0005-0000-0000-000004270000}"/>
    <cellStyle name="Normal 13 2 3 3 5 6" xfId="7037" xr:uid="{00000000-0005-0000-0000-000005270000}"/>
    <cellStyle name="Normal 13 2 3 3 5 7" xfId="7038" xr:uid="{00000000-0005-0000-0000-000006270000}"/>
    <cellStyle name="Normal 13 2 3 3 6" xfId="7039" xr:uid="{00000000-0005-0000-0000-000007270000}"/>
    <cellStyle name="Normal 13 2 3 3 6 2" xfId="7040" xr:uid="{00000000-0005-0000-0000-000008270000}"/>
    <cellStyle name="Normal 13 2 3 3 6 2 2" xfId="48976" xr:uid="{00000000-0005-0000-0000-000009270000}"/>
    <cellStyle name="Normal 13 2 3 3 6 2 3" xfId="48977" xr:uid="{00000000-0005-0000-0000-00000A270000}"/>
    <cellStyle name="Normal 13 2 3 3 6 3" xfId="7041" xr:uid="{00000000-0005-0000-0000-00000B270000}"/>
    <cellStyle name="Normal 13 2 3 3 6 3 2" xfId="48978" xr:uid="{00000000-0005-0000-0000-00000C270000}"/>
    <cellStyle name="Normal 13 2 3 3 6 4" xfId="7042" xr:uid="{00000000-0005-0000-0000-00000D270000}"/>
    <cellStyle name="Normal 13 2 3 3 6 5" xfId="7043" xr:uid="{00000000-0005-0000-0000-00000E270000}"/>
    <cellStyle name="Normal 13 2 3 3 6 6" xfId="7044" xr:uid="{00000000-0005-0000-0000-00000F270000}"/>
    <cellStyle name="Normal 13 2 3 3 7" xfId="7045" xr:uid="{00000000-0005-0000-0000-000010270000}"/>
    <cellStyle name="Normal 13 2 3 3 7 2" xfId="48979" xr:uid="{00000000-0005-0000-0000-000011270000}"/>
    <cellStyle name="Normal 13 2 3 3 7 3" xfId="48980" xr:uid="{00000000-0005-0000-0000-000012270000}"/>
    <cellStyle name="Normal 13 2 3 3 8" xfId="7046" xr:uid="{00000000-0005-0000-0000-000013270000}"/>
    <cellStyle name="Normal 13 2 3 3 8 2" xfId="48981" xr:uid="{00000000-0005-0000-0000-000014270000}"/>
    <cellStyle name="Normal 13 2 3 3 9" xfId="7047" xr:uid="{00000000-0005-0000-0000-000015270000}"/>
    <cellStyle name="Normal 13 2 3 4" xfId="7048" xr:uid="{00000000-0005-0000-0000-000016270000}"/>
    <cellStyle name="Normal 13 2 3 4 10" xfId="7049" xr:uid="{00000000-0005-0000-0000-000017270000}"/>
    <cellStyle name="Normal 13 2 3 4 11" xfId="7050" xr:uid="{00000000-0005-0000-0000-000018270000}"/>
    <cellStyle name="Normal 13 2 3 4 12" xfId="7051" xr:uid="{00000000-0005-0000-0000-000019270000}"/>
    <cellStyle name="Normal 13 2 3 4 13" xfId="7052" xr:uid="{00000000-0005-0000-0000-00001A270000}"/>
    <cellStyle name="Normal 13 2 3 4 14" xfId="7053" xr:uid="{00000000-0005-0000-0000-00001B270000}"/>
    <cellStyle name="Normal 13 2 3 4 2" xfId="7054" xr:uid="{00000000-0005-0000-0000-00001C270000}"/>
    <cellStyle name="Normal 13 2 3 4 2 2" xfId="7055" xr:uid="{00000000-0005-0000-0000-00001D270000}"/>
    <cellStyle name="Normal 13 2 3 4 2 2 2" xfId="7056" xr:uid="{00000000-0005-0000-0000-00001E270000}"/>
    <cellStyle name="Normal 13 2 3 4 2 2 2 2" xfId="7057" xr:uid="{00000000-0005-0000-0000-00001F270000}"/>
    <cellStyle name="Normal 13 2 3 4 2 2 2 2 2" xfId="48982" xr:uid="{00000000-0005-0000-0000-000020270000}"/>
    <cellStyle name="Normal 13 2 3 4 2 2 2 2 3" xfId="48983" xr:uid="{00000000-0005-0000-0000-000021270000}"/>
    <cellStyle name="Normal 13 2 3 4 2 2 2 3" xfId="7058" xr:uid="{00000000-0005-0000-0000-000022270000}"/>
    <cellStyle name="Normal 13 2 3 4 2 2 2 3 2" xfId="48984" xr:uid="{00000000-0005-0000-0000-000023270000}"/>
    <cellStyle name="Normal 13 2 3 4 2 2 2 4" xfId="7059" xr:uid="{00000000-0005-0000-0000-000024270000}"/>
    <cellStyle name="Normal 13 2 3 4 2 2 2 5" xfId="7060" xr:uid="{00000000-0005-0000-0000-000025270000}"/>
    <cellStyle name="Normal 13 2 3 4 2 2 2 6" xfId="7061" xr:uid="{00000000-0005-0000-0000-000026270000}"/>
    <cellStyle name="Normal 13 2 3 4 2 2 3" xfId="7062" xr:uid="{00000000-0005-0000-0000-000027270000}"/>
    <cellStyle name="Normal 13 2 3 4 2 2 3 2" xfId="48985" xr:uid="{00000000-0005-0000-0000-000028270000}"/>
    <cellStyle name="Normal 13 2 3 4 2 2 3 3" xfId="48986" xr:uid="{00000000-0005-0000-0000-000029270000}"/>
    <cellStyle name="Normal 13 2 3 4 2 2 4" xfId="7063" xr:uid="{00000000-0005-0000-0000-00002A270000}"/>
    <cellStyle name="Normal 13 2 3 4 2 2 4 2" xfId="48987" xr:uid="{00000000-0005-0000-0000-00002B270000}"/>
    <cellStyle name="Normal 13 2 3 4 2 2 5" xfId="7064" xr:uid="{00000000-0005-0000-0000-00002C270000}"/>
    <cellStyle name="Normal 13 2 3 4 2 2 6" xfId="7065" xr:uid="{00000000-0005-0000-0000-00002D270000}"/>
    <cellStyle name="Normal 13 2 3 4 2 2 7" xfId="7066" xr:uid="{00000000-0005-0000-0000-00002E270000}"/>
    <cellStyle name="Normal 13 2 3 4 2 3" xfId="7067" xr:uid="{00000000-0005-0000-0000-00002F270000}"/>
    <cellStyle name="Normal 13 2 3 4 2 3 2" xfId="7068" xr:uid="{00000000-0005-0000-0000-000030270000}"/>
    <cellStyle name="Normal 13 2 3 4 2 3 2 2" xfId="48988" xr:uid="{00000000-0005-0000-0000-000031270000}"/>
    <cellStyle name="Normal 13 2 3 4 2 3 2 3" xfId="48989" xr:uid="{00000000-0005-0000-0000-000032270000}"/>
    <cellStyle name="Normal 13 2 3 4 2 3 3" xfId="7069" xr:uid="{00000000-0005-0000-0000-000033270000}"/>
    <cellStyle name="Normal 13 2 3 4 2 3 3 2" xfId="48990" xr:uid="{00000000-0005-0000-0000-000034270000}"/>
    <cellStyle name="Normal 13 2 3 4 2 3 4" xfId="7070" xr:uid="{00000000-0005-0000-0000-000035270000}"/>
    <cellStyle name="Normal 13 2 3 4 2 3 5" xfId="7071" xr:uid="{00000000-0005-0000-0000-000036270000}"/>
    <cellStyle name="Normal 13 2 3 4 2 3 6" xfId="7072" xr:uid="{00000000-0005-0000-0000-000037270000}"/>
    <cellStyle name="Normal 13 2 3 4 2 4" xfId="7073" xr:uid="{00000000-0005-0000-0000-000038270000}"/>
    <cellStyle name="Normal 13 2 3 4 2 4 2" xfId="48991" xr:uid="{00000000-0005-0000-0000-000039270000}"/>
    <cellStyle name="Normal 13 2 3 4 2 4 3" xfId="48992" xr:uid="{00000000-0005-0000-0000-00003A270000}"/>
    <cellStyle name="Normal 13 2 3 4 2 5" xfId="7074" xr:uid="{00000000-0005-0000-0000-00003B270000}"/>
    <cellStyle name="Normal 13 2 3 4 2 5 2" xfId="48993" xr:uid="{00000000-0005-0000-0000-00003C270000}"/>
    <cellStyle name="Normal 13 2 3 4 2 6" xfId="7075" xr:uid="{00000000-0005-0000-0000-00003D270000}"/>
    <cellStyle name="Normal 13 2 3 4 2 7" xfId="7076" xr:uid="{00000000-0005-0000-0000-00003E270000}"/>
    <cellStyle name="Normal 13 2 3 4 2 8" xfId="7077" xr:uid="{00000000-0005-0000-0000-00003F270000}"/>
    <cellStyle name="Normal 13 2 3 4 2 9" xfId="7078" xr:uid="{00000000-0005-0000-0000-000040270000}"/>
    <cellStyle name="Normal 13 2 3 4 3" xfId="7079" xr:uid="{00000000-0005-0000-0000-000041270000}"/>
    <cellStyle name="Normal 13 2 3 4 3 2" xfId="7080" xr:uid="{00000000-0005-0000-0000-000042270000}"/>
    <cellStyle name="Normal 13 2 3 4 3 2 2" xfId="7081" xr:uid="{00000000-0005-0000-0000-000043270000}"/>
    <cellStyle name="Normal 13 2 3 4 3 2 2 2" xfId="7082" xr:uid="{00000000-0005-0000-0000-000044270000}"/>
    <cellStyle name="Normal 13 2 3 4 3 2 2 2 2" xfId="48994" xr:uid="{00000000-0005-0000-0000-000045270000}"/>
    <cellStyle name="Normal 13 2 3 4 3 2 2 2 3" xfId="48995" xr:uid="{00000000-0005-0000-0000-000046270000}"/>
    <cellStyle name="Normal 13 2 3 4 3 2 2 3" xfId="7083" xr:uid="{00000000-0005-0000-0000-000047270000}"/>
    <cellStyle name="Normal 13 2 3 4 3 2 2 3 2" xfId="48996" xr:uid="{00000000-0005-0000-0000-000048270000}"/>
    <cellStyle name="Normal 13 2 3 4 3 2 2 4" xfId="7084" xr:uid="{00000000-0005-0000-0000-000049270000}"/>
    <cellStyle name="Normal 13 2 3 4 3 2 2 5" xfId="7085" xr:uid="{00000000-0005-0000-0000-00004A270000}"/>
    <cellStyle name="Normal 13 2 3 4 3 2 2 6" xfId="7086" xr:uid="{00000000-0005-0000-0000-00004B270000}"/>
    <cellStyle name="Normal 13 2 3 4 3 2 3" xfId="7087" xr:uid="{00000000-0005-0000-0000-00004C270000}"/>
    <cellStyle name="Normal 13 2 3 4 3 2 3 2" xfId="48997" xr:uid="{00000000-0005-0000-0000-00004D270000}"/>
    <cellStyle name="Normal 13 2 3 4 3 2 3 3" xfId="48998" xr:uid="{00000000-0005-0000-0000-00004E270000}"/>
    <cellStyle name="Normal 13 2 3 4 3 2 4" xfId="7088" xr:uid="{00000000-0005-0000-0000-00004F270000}"/>
    <cellStyle name="Normal 13 2 3 4 3 2 4 2" xfId="48999" xr:uid="{00000000-0005-0000-0000-000050270000}"/>
    <cellStyle name="Normal 13 2 3 4 3 2 5" xfId="7089" xr:uid="{00000000-0005-0000-0000-000051270000}"/>
    <cellStyle name="Normal 13 2 3 4 3 2 6" xfId="7090" xr:uid="{00000000-0005-0000-0000-000052270000}"/>
    <cellStyle name="Normal 13 2 3 4 3 2 7" xfId="7091" xr:uid="{00000000-0005-0000-0000-000053270000}"/>
    <cellStyle name="Normal 13 2 3 4 3 3" xfId="7092" xr:uid="{00000000-0005-0000-0000-000054270000}"/>
    <cellStyle name="Normal 13 2 3 4 3 3 2" xfId="7093" xr:uid="{00000000-0005-0000-0000-000055270000}"/>
    <cellStyle name="Normal 13 2 3 4 3 3 2 2" xfId="49000" xr:uid="{00000000-0005-0000-0000-000056270000}"/>
    <cellStyle name="Normal 13 2 3 4 3 3 2 3" xfId="49001" xr:uid="{00000000-0005-0000-0000-000057270000}"/>
    <cellStyle name="Normal 13 2 3 4 3 3 3" xfId="7094" xr:uid="{00000000-0005-0000-0000-000058270000}"/>
    <cellStyle name="Normal 13 2 3 4 3 3 3 2" xfId="49002" xr:uid="{00000000-0005-0000-0000-000059270000}"/>
    <cellStyle name="Normal 13 2 3 4 3 3 4" xfId="7095" xr:uid="{00000000-0005-0000-0000-00005A270000}"/>
    <cellStyle name="Normal 13 2 3 4 3 3 5" xfId="7096" xr:uid="{00000000-0005-0000-0000-00005B270000}"/>
    <cellStyle name="Normal 13 2 3 4 3 3 6" xfId="7097" xr:uid="{00000000-0005-0000-0000-00005C270000}"/>
    <cellStyle name="Normal 13 2 3 4 3 4" xfId="7098" xr:uid="{00000000-0005-0000-0000-00005D270000}"/>
    <cellStyle name="Normal 13 2 3 4 3 4 2" xfId="49003" xr:uid="{00000000-0005-0000-0000-00005E270000}"/>
    <cellStyle name="Normal 13 2 3 4 3 4 3" xfId="49004" xr:uid="{00000000-0005-0000-0000-00005F270000}"/>
    <cellStyle name="Normal 13 2 3 4 3 5" xfId="7099" xr:uid="{00000000-0005-0000-0000-000060270000}"/>
    <cellStyle name="Normal 13 2 3 4 3 5 2" xfId="49005" xr:uid="{00000000-0005-0000-0000-000061270000}"/>
    <cellStyle name="Normal 13 2 3 4 3 6" xfId="7100" xr:uid="{00000000-0005-0000-0000-000062270000}"/>
    <cellStyle name="Normal 13 2 3 4 3 7" xfId="7101" xr:uid="{00000000-0005-0000-0000-000063270000}"/>
    <cellStyle name="Normal 13 2 3 4 3 8" xfId="7102" xr:uid="{00000000-0005-0000-0000-000064270000}"/>
    <cellStyle name="Normal 13 2 3 4 4" xfId="7103" xr:uid="{00000000-0005-0000-0000-000065270000}"/>
    <cellStyle name="Normal 13 2 3 4 4 2" xfId="7104" xr:uid="{00000000-0005-0000-0000-000066270000}"/>
    <cellStyle name="Normal 13 2 3 4 4 2 2" xfId="7105" xr:uid="{00000000-0005-0000-0000-000067270000}"/>
    <cellStyle name="Normal 13 2 3 4 4 2 2 2" xfId="49006" xr:uid="{00000000-0005-0000-0000-000068270000}"/>
    <cellStyle name="Normal 13 2 3 4 4 2 2 3" xfId="49007" xr:uid="{00000000-0005-0000-0000-000069270000}"/>
    <cellStyle name="Normal 13 2 3 4 4 2 3" xfId="7106" xr:uid="{00000000-0005-0000-0000-00006A270000}"/>
    <cellStyle name="Normal 13 2 3 4 4 2 3 2" xfId="49008" xr:uid="{00000000-0005-0000-0000-00006B270000}"/>
    <cellStyle name="Normal 13 2 3 4 4 2 4" xfId="7107" xr:uid="{00000000-0005-0000-0000-00006C270000}"/>
    <cellStyle name="Normal 13 2 3 4 4 2 5" xfId="7108" xr:uid="{00000000-0005-0000-0000-00006D270000}"/>
    <cellStyle name="Normal 13 2 3 4 4 2 6" xfId="7109" xr:uid="{00000000-0005-0000-0000-00006E270000}"/>
    <cellStyle name="Normal 13 2 3 4 4 3" xfId="7110" xr:uid="{00000000-0005-0000-0000-00006F270000}"/>
    <cellStyle name="Normal 13 2 3 4 4 3 2" xfId="49009" xr:uid="{00000000-0005-0000-0000-000070270000}"/>
    <cellStyle name="Normal 13 2 3 4 4 3 3" xfId="49010" xr:uid="{00000000-0005-0000-0000-000071270000}"/>
    <cellStyle name="Normal 13 2 3 4 4 4" xfId="7111" xr:uid="{00000000-0005-0000-0000-000072270000}"/>
    <cellStyle name="Normal 13 2 3 4 4 4 2" xfId="49011" xr:uid="{00000000-0005-0000-0000-000073270000}"/>
    <cellStyle name="Normal 13 2 3 4 4 5" xfId="7112" xr:uid="{00000000-0005-0000-0000-000074270000}"/>
    <cellStyle name="Normal 13 2 3 4 4 6" xfId="7113" xr:uid="{00000000-0005-0000-0000-000075270000}"/>
    <cellStyle name="Normal 13 2 3 4 4 7" xfId="7114" xr:uid="{00000000-0005-0000-0000-000076270000}"/>
    <cellStyle name="Normal 13 2 3 4 5" xfId="7115" xr:uid="{00000000-0005-0000-0000-000077270000}"/>
    <cellStyle name="Normal 13 2 3 4 5 2" xfId="7116" xr:uid="{00000000-0005-0000-0000-000078270000}"/>
    <cellStyle name="Normal 13 2 3 4 5 2 2" xfId="49012" xr:uid="{00000000-0005-0000-0000-000079270000}"/>
    <cellStyle name="Normal 13 2 3 4 5 2 3" xfId="49013" xr:uid="{00000000-0005-0000-0000-00007A270000}"/>
    <cellStyle name="Normal 13 2 3 4 5 3" xfId="7117" xr:uid="{00000000-0005-0000-0000-00007B270000}"/>
    <cellStyle name="Normal 13 2 3 4 5 3 2" xfId="49014" xr:uid="{00000000-0005-0000-0000-00007C270000}"/>
    <cellStyle name="Normal 13 2 3 4 5 4" xfId="7118" xr:uid="{00000000-0005-0000-0000-00007D270000}"/>
    <cellStyle name="Normal 13 2 3 4 5 5" xfId="7119" xr:uid="{00000000-0005-0000-0000-00007E270000}"/>
    <cellStyle name="Normal 13 2 3 4 5 6" xfId="7120" xr:uid="{00000000-0005-0000-0000-00007F270000}"/>
    <cellStyle name="Normal 13 2 3 4 6" xfId="7121" xr:uid="{00000000-0005-0000-0000-000080270000}"/>
    <cellStyle name="Normal 13 2 3 4 6 2" xfId="49015" xr:uid="{00000000-0005-0000-0000-000081270000}"/>
    <cellStyle name="Normal 13 2 3 4 6 3" xfId="49016" xr:uid="{00000000-0005-0000-0000-000082270000}"/>
    <cellStyle name="Normal 13 2 3 4 7" xfId="7122" xr:uid="{00000000-0005-0000-0000-000083270000}"/>
    <cellStyle name="Normal 13 2 3 4 7 2" xfId="49017" xr:uid="{00000000-0005-0000-0000-000084270000}"/>
    <cellStyle name="Normal 13 2 3 4 8" xfId="7123" xr:uid="{00000000-0005-0000-0000-000085270000}"/>
    <cellStyle name="Normal 13 2 3 4 9" xfId="7124" xr:uid="{00000000-0005-0000-0000-000086270000}"/>
    <cellStyle name="Normal 13 2 3 5" xfId="7125" xr:uid="{00000000-0005-0000-0000-000087270000}"/>
    <cellStyle name="Normal 13 2 3 5 10" xfId="7126" xr:uid="{00000000-0005-0000-0000-000088270000}"/>
    <cellStyle name="Normal 13 2 3 5 11" xfId="7127" xr:uid="{00000000-0005-0000-0000-000089270000}"/>
    <cellStyle name="Normal 13 2 3 5 12" xfId="7128" xr:uid="{00000000-0005-0000-0000-00008A270000}"/>
    <cellStyle name="Normal 13 2 3 5 13" xfId="7129" xr:uid="{00000000-0005-0000-0000-00008B270000}"/>
    <cellStyle name="Normal 13 2 3 5 14" xfId="7130" xr:uid="{00000000-0005-0000-0000-00008C270000}"/>
    <cellStyle name="Normal 13 2 3 5 2" xfId="7131" xr:uid="{00000000-0005-0000-0000-00008D270000}"/>
    <cellStyle name="Normal 13 2 3 5 2 2" xfId="7132" xr:uid="{00000000-0005-0000-0000-00008E270000}"/>
    <cellStyle name="Normal 13 2 3 5 2 2 2" xfId="7133" xr:uid="{00000000-0005-0000-0000-00008F270000}"/>
    <cellStyle name="Normal 13 2 3 5 2 2 2 2" xfId="7134" xr:uid="{00000000-0005-0000-0000-000090270000}"/>
    <cellStyle name="Normal 13 2 3 5 2 2 2 2 2" xfId="49018" xr:uid="{00000000-0005-0000-0000-000091270000}"/>
    <cellStyle name="Normal 13 2 3 5 2 2 2 2 3" xfId="49019" xr:uid="{00000000-0005-0000-0000-000092270000}"/>
    <cellStyle name="Normal 13 2 3 5 2 2 2 3" xfId="7135" xr:uid="{00000000-0005-0000-0000-000093270000}"/>
    <cellStyle name="Normal 13 2 3 5 2 2 2 3 2" xfId="49020" xr:uid="{00000000-0005-0000-0000-000094270000}"/>
    <cellStyle name="Normal 13 2 3 5 2 2 2 4" xfId="7136" xr:uid="{00000000-0005-0000-0000-000095270000}"/>
    <cellStyle name="Normal 13 2 3 5 2 2 2 5" xfId="7137" xr:uid="{00000000-0005-0000-0000-000096270000}"/>
    <cellStyle name="Normal 13 2 3 5 2 2 2 6" xfId="7138" xr:uid="{00000000-0005-0000-0000-000097270000}"/>
    <cellStyle name="Normal 13 2 3 5 2 2 3" xfId="7139" xr:uid="{00000000-0005-0000-0000-000098270000}"/>
    <cellStyle name="Normal 13 2 3 5 2 2 3 2" xfId="49021" xr:uid="{00000000-0005-0000-0000-000099270000}"/>
    <cellStyle name="Normal 13 2 3 5 2 2 3 3" xfId="49022" xr:uid="{00000000-0005-0000-0000-00009A270000}"/>
    <cellStyle name="Normal 13 2 3 5 2 2 4" xfId="7140" xr:uid="{00000000-0005-0000-0000-00009B270000}"/>
    <cellStyle name="Normal 13 2 3 5 2 2 4 2" xfId="49023" xr:uid="{00000000-0005-0000-0000-00009C270000}"/>
    <cellStyle name="Normal 13 2 3 5 2 2 5" xfId="7141" xr:uid="{00000000-0005-0000-0000-00009D270000}"/>
    <cellStyle name="Normal 13 2 3 5 2 2 6" xfId="7142" xr:uid="{00000000-0005-0000-0000-00009E270000}"/>
    <cellStyle name="Normal 13 2 3 5 2 2 7" xfId="7143" xr:uid="{00000000-0005-0000-0000-00009F270000}"/>
    <cellStyle name="Normal 13 2 3 5 2 3" xfId="7144" xr:uid="{00000000-0005-0000-0000-0000A0270000}"/>
    <cellStyle name="Normal 13 2 3 5 2 3 2" xfId="7145" xr:uid="{00000000-0005-0000-0000-0000A1270000}"/>
    <cellStyle name="Normal 13 2 3 5 2 3 2 2" xfId="49024" xr:uid="{00000000-0005-0000-0000-0000A2270000}"/>
    <cellStyle name="Normal 13 2 3 5 2 3 2 3" xfId="49025" xr:uid="{00000000-0005-0000-0000-0000A3270000}"/>
    <cellStyle name="Normal 13 2 3 5 2 3 3" xfId="7146" xr:uid="{00000000-0005-0000-0000-0000A4270000}"/>
    <cellStyle name="Normal 13 2 3 5 2 3 3 2" xfId="49026" xr:uid="{00000000-0005-0000-0000-0000A5270000}"/>
    <cellStyle name="Normal 13 2 3 5 2 3 4" xfId="7147" xr:uid="{00000000-0005-0000-0000-0000A6270000}"/>
    <cellStyle name="Normal 13 2 3 5 2 3 5" xfId="7148" xr:uid="{00000000-0005-0000-0000-0000A7270000}"/>
    <cellStyle name="Normal 13 2 3 5 2 3 6" xfId="7149" xr:uid="{00000000-0005-0000-0000-0000A8270000}"/>
    <cellStyle name="Normal 13 2 3 5 2 4" xfId="7150" xr:uid="{00000000-0005-0000-0000-0000A9270000}"/>
    <cellStyle name="Normal 13 2 3 5 2 4 2" xfId="49027" xr:uid="{00000000-0005-0000-0000-0000AA270000}"/>
    <cellStyle name="Normal 13 2 3 5 2 4 3" xfId="49028" xr:uid="{00000000-0005-0000-0000-0000AB270000}"/>
    <cellStyle name="Normal 13 2 3 5 2 5" xfId="7151" xr:uid="{00000000-0005-0000-0000-0000AC270000}"/>
    <cellStyle name="Normal 13 2 3 5 2 5 2" xfId="49029" xr:uid="{00000000-0005-0000-0000-0000AD270000}"/>
    <cellStyle name="Normal 13 2 3 5 2 6" xfId="7152" xr:uid="{00000000-0005-0000-0000-0000AE270000}"/>
    <cellStyle name="Normal 13 2 3 5 2 7" xfId="7153" xr:uid="{00000000-0005-0000-0000-0000AF270000}"/>
    <cellStyle name="Normal 13 2 3 5 2 8" xfId="7154" xr:uid="{00000000-0005-0000-0000-0000B0270000}"/>
    <cellStyle name="Normal 13 2 3 5 2 9" xfId="7155" xr:uid="{00000000-0005-0000-0000-0000B1270000}"/>
    <cellStyle name="Normal 13 2 3 5 3" xfId="7156" xr:uid="{00000000-0005-0000-0000-0000B2270000}"/>
    <cellStyle name="Normal 13 2 3 5 3 2" xfId="7157" xr:uid="{00000000-0005-0000-0000-0000B3270000}"/>
    <cellStyle name="Normal 13 2 3 5 3 2 2" xfId="7158" xr:uid="{00000000-0005-0000-0000-0000B4270000}"/>
    <cellStyle name="Normal 13 2 3 5 3 2 2 2" xfId="7159" xr:uid="{00000000-0005-0000-0000-0000B5270000}"/>
    <cellStyle name="Normal 13 2 3 5 3 2 2 2 2" xfId="49030" xr:uid="{00000000-0005-0000-0000-0000B6270000}"/>
    <cellStyle name="Normal 13 2 3 5 3 2 2 2 3" xfId="49031" xr:uid="{00000000-0005-0000-0000-0000B7270000}"/>
    <cellStyle name="Normal 13 2 3 5 3 2 2 3" xfId="7160" xr:uid="{00000000-0005-0000-0000-0000B8270000}"/>
    <cellStyle name="Normal 13 2 3 5 3 2 2 3 2" xfId="49032" xr:uid="{00000000-0005-0000-0000-0000B9270000}"/>
    <cellStyle name="Normal 13 2 3 5 3 2 2 4" xfId="7161" xr:uid="{00000000-0005-0000-0000-0000BA270000}"/>
    <cellStyle name="Normal 13 2 3 5 3 2 2 5" xfId="7162" xr:uid="{00000000-0005-0000-0000-0000BB270000}"/>
    <cellStyle name="Normal 13 2 3 5 3 2 2 6" xfId="7163" xr:uid="{00000000-0005-0000-0000-0000BC270000}"/>
    <cellStyle name="Normal 13 2 3 5 3 2 3" xfId="7164" xr:uid="{00000000-0005-0000-0000-0000BD270000}"/>
    <cellStyle name="Normal 13 2 3 5 3 2 3 2" xfId="49033" xr:uid="{00000000-0005-0000-0000-0000BE270000}"/>
    <cellStyle name="Normal 13 2 3 5 3 2 3 3" xfId="49034" xr:uid="{00000000-0005-0000-0000-0000BF270000}"/>
    <cellStyle name="Normal 13 2 3 5 3 2 4" xfId="7165" xr:uid="{00000000-0005-0000-0000-0000C0270000}"/>
    <cellStyle name="Normal 13 2 3 5 3 2 4 2" xfId="49035" xr:uid="{00000000-0005-0000-0000-0000C1270000}"/>
    <cellStyle name="Normal 13 2 3 5 3 2 5" xfId="7166" xr:uid="{00000000-0005-0000-0000-0000C2270000}"/>
    <cellStyle name="Normal 13 2 3 5 3 2 6" xfId="7167" xr:uid="{00000000-0005-0000-0000-0000C3270000}"/>
    <cellStyle name="Normal 13 2 3 5 3 2 7" xfId="7168" xr:uid="{00000000-0005-0000-0000-0000C4270000}"/>
    <cellStyle name="Normal 13 2 3 5 3 3" xfId="7169" xr:uid="{00000000-0005-0000-0000-0000C5270000}"/>
    <cellStyle name="Normal 13 2 3 5 3 3 2" xfId="7170" xr:uid="{00000000-0005-0000-0000-0000C6270000}"/>
    <cellStyle name="Normal 13 2 3 5 3 3 2 2" xfId="49036" xr:uid="{00000000-0005-0000-0000-0000C7270000}"/>
    <cellStyle name="Normal 13 2 3 5 3 3 2 3" xfId="49037" xr:uid="{00000000-0005-0000-0000-0000C8270000}"/>
    <cellStyle name="Normal 13 2 3 5 3 3 3" xfId="7171" xr:uid="{00000000-0005-0000-0000-0000C9270000}"/>
    <cellStyle name="Normal 13 2 3 5 3 3 3 2" xfId="49038" xr:uid="{00000000-0005-0000-0000-0000CA270000}"/>
    <cellStyle name="Normal 13 2 3 5 3 3 4" xfId="7172" xr:uid="{00000000-0005-0000-0000-0000CB270000}"/>
    <cellStyle name="Normal 13 2 3 5 3 3 5" xfId="7173" xr:uid="{00000000-0005-0000-0000-0000CC270000}"/>
    <cellStyle name="Normal 13 2 3 5 3 3 6" xfId="7174" xr:uid="{00000000-0005-0000-0000-0000CD270000}"/>
    <cellStyle name="Normal 13 2 3 5 3 4" xfId="7175" xr:uid="{00000000-0005-0000-0000-0000CE270000}"/>
    <cellStyle name="Normal 13 2 3 5 3 4 2" xfId="49039" xr:uid="{00000000-0005-0000-0000-0000CF270000}"/>
    <cellStyle name="Normal 13 2 3 5 3 4 3" xfId="49040" xr:uid="{00000000-0005-0000-0000-0000D0270000}"/>
    <cellStyle name="Normal 13 2 3 5 3 5" xfId="7176" xr:uid="{00000000-0005-0000-0000-0000D1270000}"/>
    <cellStyle name="Normal 13 2 3 5 3 5 2" xfId="49041" xr:uid="{00000000-0005-0000-0000-0000D2270000}"/>
    <cellStyle name="Normal 13 2 3 5 3 6" xfId="7177" xr:uid="{00000000-0005-0000-0000-0000D3270000}"/>
    <cellStyle name="Normal 13 2 3 5 3 7" xfId="7178" xr:uid="{00000000-0005-0000-0000-0000D4270000}"/>
    <cellStyle name="Normal 13 2 3 5 3 8" xfId="7179" xr:uid="{00000000-0005-0000-0000-0000D5270000}"/>
    <cellStyle name="Normal 13 2 3 5 4" xfId="7180" xr:uid="{00000000-0005-0000-0000-0000D6270000}"/>
    <cellStyle name="Normal 13 2 3 5 4 2" xfId="7181" xr:uid="{00000000-0005-0000-0000-0000D7270000}"/>
    <cellStyle name="Normal 13 2 3 5 4 2 2" xfId="7182" xr:uid="{00000000-0005-0000-0000-0000D8270000}"/>
    <cellStyle name="Normal 13 2 3 5 4 2 2 2" xfId="49042" xr:uid="{00000000-0005-0000-0000-0000D9270000}"/>
    <cellStyle name="Normal 13 2 3 5 4 2 2 3" xfId="49043" xr:uid="{00000000-0005-0000-0000-0000DA270000}"/>
    <cellStyle name="Normal 13 2 3 5 4 2 3" xfId="7183" xr:uid="{00000000-0005-0000-0000-0000DB270000}"/>
    <cellStyle name="Normal 13 2 3 5 4 2 3 2" xfId="49044" xr:uid="{00000000-0005-0000-0000-0000DC270000}"/>
    <cellStyle name="Normal 13 2 3 5 4 2 4" xfId="7184" xr:uid="{00000000-0005-0000-0000-0000DD270000}"/>
    <cellStyle name="Normal 13 2 3 5 4 2 5" xfId="7185" xr:uid="{00000000-0005-0000-0000-0000DE270000}"/>
    <cellStyle name="Normal 13 2 3 5 4 2 6" xfId="7186" xr:uid="{00000000-0005-0000-0000-0000DF270000}"/>
    <cellStyle name="Normal 13 2 3 5 4 3" xfId="7187" xr:uid="{00000000-0005-0000-0000-0000E0270000}"/>
    <cellStyle name="Normal 13 2 3 5 4 3 2" xfId="49045" xr:uid="{00000000-0005-0000-0000-0000E1270000}"/>
    <cellStyle name="Normal 13 2 3 5 4 3 3" xfId="49046" xr:uid="{00000000-0005-0000-0000-0000E2270000}"/>
    <cellStyle name="Normal 13 2 3 5 4 4" xfId="7188" xr:uid="{00000000-0005-0000-0000-0000E3270000}"/>
    <cellStyle name="Normal 13 2 3 5 4 4 2" xfId="49047" xr:uid="{00000000-0005-0000-0000-0000E4270000}"/>
    <cellStyle name="Normal 13 2 3 5 4 5" xfId="7189" xr:uid="{00000000-0005-0000-0000-0000E5270000}"/>
    <cellStyle name="Normal 13 2 3 5 4 6" xfId="7190" xr:uid="{00000000-0005-0000-0000-0000E6270000}"/>
    <cellStyle name="Normal 13 2 3 5 4 7" xfId="7191" xr:uid="{00000000-0005-0000-0000-0000E7270000}"/>
    <cellStyle name="Normal 13 2 3 5 5" xfId="7192" xr:uid="{00000000-0005-0000-0000-0000E8270000}"/>
    <cellStyle name="Normal 13 2 3 5 5 2" xfId="7193" xr:uid="{00000000-0005-0000-0000-0000E9270000}"/>
    <cellStyle name="Normal 13 2 3 5 5 2 2" xfId="49048" xr:uid="{00000000-0005-0000-0000-0000EA270000}"/>
    <cellStyle name="Normal 13 2 3 5 5 2 3" xfId="49049" xr:uid="{00000000-0005-0000-0000-0000EB270000}"/>
    <cellStyle name="Normal 13 2 3 5 5 3" xfId="7194" xr:uid="{00000000-0005-0000-0000-0000EC270000}"/>
    <cellStyle name="Normal 13 2 3 5 5 3 2" xfId="49050" xr:uid="{00000000-0005-0000-0000-0000ED270000}"/>
    <cellStyle name="Normal 13 2 3 5 5 4" xfId="7195" xr:uid="{00000000-0005-0000-0000-0000EE270000}"/>
    <cellStyle name="Normal 13 2 3 5 5 5" xfId="7196" xr:uid="{00000000-0005-0000-0000-0000EF270000}"/>
    <cellStyle name="Normal 13 2 3 5 5 6" xfId="7197" xr:uid="{00000000-0005-0000-0000-0000F0270000}"/>
    <cellStyle name="Normal 13 2 3 5 6" xfId="7198" xr:uid="{00000000-0005-0000-0000-0000F1270000}"/>
    <cellStyle name="Normal 13 2 3 5 6 2" xfId="49051" xr:uid="{00000000-0005-0000-0000-0000F2270000}"/>
    <cellStyle name="Normal 13 2 3 5 6 3" xfId="49052" xr:uid="{00000000-0005-0000-0000-0000F3270000}"/>
    <cellStyle name="Normal 13 2 3 5 7" xfId="7199" xr:uid="{00000000-0005-0000-0000-0000F4270000}"/>
    <cellStyle name="Normal 13 2 3 5 7 2" xfId="49053" xr:uid="{00000000-0005-0000-0000-0000F5270000}"/>
    <cellStyle name="Normal 13 2 3 5 8" xfId="7200" xr:uid="{00000000-0005-0000-0000-0000F6270000}"/>
    <cellStyle name="Normal 13 2 3 5 9" xfId="7201" xr:uid="{00000000-0005-0000-0000-0000F7270000}"/>
    <cellStyle name="Normal 13 2 3 6" xfId="7202" xr:uid="{00000000-0005-0000-0000-0000F8270000}"/>
    <cellStyle name="Normal 13 2 3 6 10" xfId="7203" xr:uid="{00000000-0005-0000-0000-0000F9270000}"/>
    <cellStyle name="Normal 13 2 3 6 11" xfId="7204" xr:uid="{00000000-0005-0000-0000-0000FA270000}"/>
    <cellStyle name="Normal 13 2 3 6 12" xfId="7205" xr:uid="{00000000-0005-0000-0000-0000FB270000}"/>
    <cellStyle name="Normal 13 2 3 6 13" xfId="7206" xr:uid="{00000000-0005-0000-0000-0000FC270000}"/>
    <cellStyle name="Normal 13 2 3 6 2" xfId="7207" xr:uid="{00000000-0005-0000-0000-0000FD270000}"/>
    <cellStyle name="Normal 13 2 3 6 2 2" xfId="7208" xr:uid="{00000000-0005-0000-0000-0000FE270000}"/>
    <cellStyle name="Normal 13 2 3 6 2 2 2" xfId="7209" xr:uid="{00000000-0005-0000-0000-0000FF270000}"/>
    <cellStyle name="Normal 13 2 3 6 2 2 2 2" xfId="7210" xr:uid="{00000000-0005-0000-0000-000000280000}"/>
    <cellStyle name="Normal 13 2 3 6 2 2 2 2 2" xfId="49054" xr:uid="{00000000-0005-0000-0000-000001280000}"/>
    <cellStyle name="Normal 13 2 3 6 2 2 2 2 3" xfId="49055" xr:uid="{00000000-0005-0000-0000-000002280000}"/>
    <cellStyle name="Normal 13 2 3 6 2 2 2 3" xfId="7211" xr:uid="{00000000-0005-0000-0000-000003280000}"/>
    <cellStyle name="Normal 13 2 3 6 2 2 2 3 2" xfId="49056" xr:uid="{00000000-0005-0000-0000-000004280000}"/>
    <cellStyle name="Normal 13 2 3 6 2 2 2 4" xfId="7212" xr:uid="{00000000-0005-0000-0000-000005280000}"/>
    <cellStyle name="Normal 13 2 3 6 2 2 2 5" xfId="7213" xr:uid="{00000000-0005-0000-0000-000006280000}"/>
    <cellStyle name="Normal 13 2 3 6 2 2 2 6" xfId="7214" xr:uid="{00000000-0005-0000-0000-000007280000}"/>
    <cellStyle name="Normal 13 2 3 6 2 2 3" xfId="7215" xr:uid="{00000000-0005-0000-0000-000008280000}"/>
    <cellStyle name="Normal 13 2 3 6 2 2 3 2" xfId="49057" xr:uid="{00000000-0005-0000-0000-000009280000}"/>
    <cellStyle name="Normal 13 2 3 6 2 2 3 3" xfId="49058" xr:uid="{00000000-0005-0000-0000-00000A280000}"/>
    <cellStyle name="Normal 13 2 3 6 2 2 4" xfId="7216" xr:uid="{00000000-0005-0000-0000-00000B280000}"/>
    <cellStyle name="Normal 13 2 3 6 2 2 4 2" xfId="49059" xr:uid="{00000000-0005-0000-0000-00000C280000}"/>
    <cellStyle name="Normal 13 2 3 6 2 2 5" xfId="7217" xr:uid="{00000000-0005-0000-0000-00000D280000}"/>
    <cellStyle name="Normal 13 2 3 6 2 2 6" xfId="7218" xr:uid="{00000000-0005-0000-0000-00000E280000}"/>
    <cellStyle name="Normal 13 2 3 6 2 2 7" xfId="7219" xr:uid="{00000000-0005-0000-0000-00000F280000}"/>
    <cellStyle name="Normal 13 2 3 6 2 3" xfId="7220" xr:uid="{00000000-0005-0000-0000-000010280000}"/>
    <cellStyle name="Normal 13 2 3 6 2 3 2" xfId="7221" xr:uid="{00000000-0005-0000-0000-000011280000}"/>
    <cellStyle name="Normal 13 2 3 6 2 3 2 2" xfId="49060" xr:uid="{00000000-0005-0000-0000-000012280000}"/>
    <cellStyle name="Normal 13 2 3 6 2 3 2 3" xfId="49061" xr:uid="{00000000-0005-0000-0000-000013280000}"/>
    <cellStyle name="Normal 13 2 3 6 2 3 3" xfId="7222" xr:uid="{00000000-0005-0000-0000-000014280000}"/>
    <cellStyle name="Normal 13 2 3 6 2 3 3 2" xfId="49062" xr:uid="{00000000-0005-0000-0000-000015280000}"/>
    <cellStyle name="Normal 13 2 3 6 2 3 4" xfId="7223" xr:uid="{00000000-0005-0000-0000-000016280000}"/>
    <cellStyle name="Normal 13 2 3 6 2 3 5" xfId="7224" xr:uid="{00000000-0005-0000-0000-000017280000}"/>
    <cellStyle name="Normal 13 2 3 6 2 3 6" xfId="7225" xr:uid="{00000000-0005-0000-0000-000018280000}"/>
    <cellStyle name="Normal 13 2 3 6 2 4" xfId="7226" xr:uid="{00000000-0005-0000-0000-000019280000}"/>
    <cellStyle name="Normal 13 2 3 6 2 4 2" xfId="49063" xr:uid="{00000000-0005-0000-0000-00001A280000}"/>
    <cellStyle name="Normal 13 2 3 6 2 4 3" xfId="49064" xr:uid="{00000000-0005-0000-0000-00001B280000}"/>
    <cellStyle name="Normal 13 2 3 6 2 5" xfId="7227" xr:uid="{00000000-0005-0000-0000-00001C280000}"/>
    <cellStyle name="Normal 13 2 3 6 2 5 2" xfId="49065" xr:uid="{00000000-0005-0000-0000-00001D280000}"/>
    <cellStyle name="Normal 13 2 3 6 2 6" xfId="7228" xr:uid="{00000000-0005-0000-0000-00001E280000}"/>
    <cellStyle name="Normal 13 2 3 6 2 7" xfId="7229" xr:uid="{00000000-0005-0000-0000-00001F280000}"/>
    <cellStyle name="Normal 13 2 3 6 2 8" xfId="7230" xr:uid="{00000000-0005-0000-0000-000020280000}"/>
    <cellStyle name="Normal 13 2 3 6 2 9" xfId="7231" xr:uid="{00000000-0005-0000-0000-000021280000}"/>
    <cellStyle name="Normal 13 2 3 6 3" xfId="7232" xr:uid="{00000000-0005-0000-0000-000022280000}"/>
    <cellStyle name="Normal 13 2 3 6 3 2" xfId="7233" xr:uid="{00000000-0005-0000-0000-000023280000}"/>
    <cellStyle name="Normal 13 2 3 6 3 2 2" xfId="7234" xr:uid="{00000000-0005-0000-0000-000024280000}"/>
    <cellStyle name="Normal 13 2 3 6 3 2 2 2" xfId="49066" xr:uid="{00000000-0005-0000-0000-000025280000}"/>
    <cellStyle name="Normal 13 2 3 6 3 2 2 3" xfId="49067" xr:uid="{00000000-0005-0000-0000-000026280000}"/>
    <cellStyle name="Normal 13 2 3 6 3 2 3" xfId="7235" xr:uid="{00000000-0005-0000-0000-000027280000}"/>
    <cellStyle name="Normal 13 2 3 6 3 2 3 2" xfId="49068" xr:uid="{00000000-0005-0000-0000-000028280000}"/>
    <cellStyle name="Normal 13 2 3 6 3 2 4" xfId="7236" xr:uid="{00000000-0005-0000-0000-000029280000}"/>
    <cellStyle name="Normal 13 2 3 6 3 2 5" xfId="7237" xr:uid="{00000000-0005-0000-0000-00002A280000}"/>
    <cellStyle name="Normal 13 2 3 6 3 2 6" xfId="7238" xr:uid="{00000000-0005-0000-0000-00002B280000}"/>
    <cellStyle name="Normal 13 2 3 6 3 3" xfId="7239" xr:uid="{00000000-0005-0000-0000-00002C280000}"/>
    <cellStyle name="Normal 13 2 3 6 3 3 2" xfId="49069" xr:uid="{00000000-0005-0000-0000-00002D280000}"/>
    <cellStyle name="Normal 13 2 3 6 3 3 3" xfId="49070" xr:uid="{00000000-0005-0000-0000-00002E280000}"/>
    <cellStyle name="Normal 13 2 3 6 3 4" xfId="7240" xr:uid="{00000000-0005-0000-0000-00002F280000}"/>
    <cellStyle name="Normal 13 2 3 6 3 4 2" xfId="49071" xr:uid="{00000000-0005-0000-0000-000030280000}"/>
    <cellStyle name="Normal 13 2 3 6 3 5" xfId="7241" xr:uid="{00000000-0005-0000-0000-000031280000}"/>
    <cellStyle name="Normal 13 2 3 6 3 6" xfId="7242" xr:uid="{00000000-0005-0000-0000-000032280000}"/>
    <cellStyle name="Normal 13 2 3 6 3 7" xfId="7243" xr:uid="{00000000-0005-0000-0000-000033280000}"/>
    <cellStyle name="Normal 13 2 3 6 4" xfId="7244" xr:uid="{00000000-0005-0000-0000-000034280000}"/>
    <cellStyle name="Normal 13 2 3 6 4 2" xfId="7245" xr:uid="{00000000-0005-0000-0000-000035280000}"/>
    <cellStyle name="Normal 13 2 3 6 4 2 2" xfId="49072" xr:uid="{00000000-0005-0000-0000-000036280000}"/>
    <cellStyle name="Normal 13 2 3 6 4 2 3" xfId="49073" xr:uid="{00000000-0005-0000-0000-000037280000}"/>
    <cellStyle name="Normal 13 2 3 6 4 3" xfId="7246" xr:uid="{00000000-0005-0000-0000-000038280000}"/>
    <cellStyle name="Normal 13 2 3 6 4 3 2" xfId="49074" xr:uid="{00000000-0005-0000-0000-000039280000}"/>
    <cellStyle name="Normal 13 2 3 6 4 4" xfId="7247" xr:uid="{00000000-0005-0000-0000-00003A280000}"/>
    <cellStyle name="Normal 13 2 3 6 4 5" xfId="7248" xr:uid="{00000000-0005-0000-0000-00003B280000}"/>
    <cellStyle name="Normal 13 2 3 6 4 6" xfId="7249" xr:uid="{00000000-0005-0000-0000-00003C280000}"/>
    <cellStyle name="Normal 13 2 3 6 5" xfId="7250" xr:uid="{00000000-0005-0000-0000-00003D280000}"/>
    <cellStyle name="Normal 13 2 3 6 5 2" xfId="49075" xr:uid="{00000000-0005-0000-0000-00003E280000}"/>
    <cellStyle name="Normal 13 2 3 6 5 3" xfId="49076" xr:uid="{00000000-0005-0000-0000-00003F280000}"/>
    <cellStyle name="Normal 13 2 3 6 6" xfId="7251" xr:uid="{00000000-0005-0000-0000-000040280000}"/>
    <cellStyle name="Normal 13 2 3 6 6 2" xfId="49077" xr:uid="{00000000-0005-0000-0000-000041280000}"/>
    <cellStyle name="Normal 13 2 3 6 7" xfId="7252" xr:uid="{00000000-0005-0000-0000-000042280000}"/>
    <cellStyle name="Normal 13 2 3 6 8" xfId="7253" xr:uid="{00000000-0005-0000-0000-000043280000}"/>
    <cellStyle name="Normal 13 2 3 6 9" xfId="7254" xr:uid="{00000000-0005-0000-0000-000044280000}"/>
    <cellStyle name="Normal 13 2 3 7" xfId="7255" xr:uid="{00000000-0005-0000-0000-000045280000}"/>
    <cellStyle name="Normal 13 2 3 7 2" xfId="7256" xr:uid="{00000000-0005-0000-0000-000046280000}"/>
    <cellStyle name="Normal 13 2 3 7 2 2" xfId="7257" xr:uid="{00000000-0005-0000-0000-000047280000}"/>
    <cellStyle name="Normal 13 2 3 7 2 2 2" xfId="7258" xr:uid="{00000000-0005-0000-0000-000048280000}"/>
    <cellStyle name="Normal 13 2 3 7 2 2 2 2" xfId="49078" xr:uid="{00000000-0005-0000-0000-000049280000}"/>
    <cellStyle name="Normal 13 2 3 7 2 2 2 3" xfId="49079" xr:uid="{00000000-0005-0000-0000-00004A280000}"/>
    <cellStyle name="Normal 13 2 3 7 2 2 3" xfId="7259" xr:uid="{00000000-0005-0000-0000-00004B280000}"/>
    <cellStyle name="Normal 13 2 3 7 2 2 3 2" xfId="49080" xr:uid="{00000000-0005-0000-0000-00004C280000}"/>
    <cellStyle name="Normal 13 2 3 7 2 2 4" xfId="7260" xr:uid="{00000000-0005-0000-0000-00004D280000}"/>
    <cellStyle name="Normal 13 2 3 7 2 2 5" xfId="7261" xr:uid="{00000000-0005-0000-0000-00004E280000}"/>
    <cellStyle name="Normal 13 2 3 7 2 2 6" xfId="7262" xr:uid="{00000000-0005-0000-0000-00004F280000}"/>
    <cellStyle name="Normal 13 2 3 7 2 3" xfId="7263" xr:uid="{00000000-0005-0000-0000-000050280000}"/>
    <cellStyle name="Normal 13 2 3 7 2 3 2" xfId="49081" xr:uid="{00000000-0005-0000-0000-000051280000}"/>
    <cellStyle name="Normal 13 2 3 7 2 3 3" xfId="49082" xr:uid="{00000000-0005-0000-0000-000052280000}"/>
    <cellStyle name="Normal 13 2 3 7 2 4" xfId="7264" xr:uid="{00000000-0005-0000-0000-000053280000}"/>
    <cellStyle name="Normal 13 2 3 7 2 4 2" xfId="49083" xr:uid="{00000000-0005-0000-0000-000054280000}"/>
    <cellStyle name="Normal 13 2 3 7 2 5" xfId="7265" xr:uid="{00000000-0005-0000-0000-000055280000}"/>
    <cellStyle name="Normal 13 2 3 7 2 6" xfId="7266" xr:uid="{00000000-0005-0000-0000-000056280000}"/>
    <cellStyle name="Normal 13 2 3 7 2 7" xfId="7267" xr:uid="{00000000-0005-0000-0000-000057280000}"/>
    <cellStyle name="Normal 13 2 3 7 3" xfId="7268" xr:uid="{00000000-0005-0000-0000-000058280000}"/>
    <cellStyle name="Normal 13 2 3 7 3 2" xfId="7269" xr:uid="{00000000-0005-0000-0000-000059280000}"/>
    <cellStyle name="Normal 13 2 3 7 3 2 2" xfId="49084" xr:uid="{00000000-0005-0000-0000-00005A280000}"/>
    <cellStyle name="Normal 13 2 3 7 3 2 3" xfId="49085" xr:uid="{00000000-0005-0000-0000-00005B280000}"/>
    <cellStyle name="Normal 13 2 3 7 3 3" xfId="7270" xr:uid="{00000000-0005-0000-0000-00005C280000}"/>
    <cellStyle name="Normal 13 2 3 7 3 3 2" xfId="49086" xr:uid="{00000000-0005-0000-0000-00005D280000}"/>
    <cellStyle name="Normal 13 2 3 7 3 4" xfId="7271" xr:uid="{00000000-0005-0000-0000-00005E280000}"/>
    <cellStyle name="Normal 13 2 3 7 3 5" xfId="7272" xr:uid="{00000000-0005-0000-0000-00005F280000}"/>
    <cellStyle name="Normal 13 2 3 7 3 6" xfId="7273" xr:uid="{00000000-0005-0000-0000-000060280000}"/>
    <cellStyle name="Normal 13 2 3 7 4" xfId="7274" xr:uid="{00000000-0005-0000-0000-000061280000}"/>
    <cellStyle name="Normal 13 2 3 7 4 2" xfId="49087" xr:uid="{00000000-0005-0000-0000-000062280000}"/>
    <cellStyle name="Normal 13 2 3 7 4 3" xfId="49088" xr:uid="{00000000-0005-0000-0000-000063280000}"/>
    <cellStyle name="Normal 13 2 3 7 5" xfId="7275" xr:uid="{00000000-0005-0000-0000-000064280000}"/>
    <cellStyle name="Normal 13 2 3 7 5 2" xfId="49089" xr:uid="{00000000-0005-0000-0000-000065280000}"/>
    <cellStyle name="Normal 13 2 3 7 6" xfId="7276" xr:uid="{00000000-0005-0000-0000-000066280000}"/>
    <cellStyle name="Normal 13 2 3 7 7" xfId="7277" xr:uid="{00000000-0005-0000-0000-000067280000}"/>
    <cellStyle name="Normal 13 2 3 7 8" xfId="7278" xr:uid="{00000000-0005-0000-0000-000068280000}"/>
    <cellStyle name="Normal 13 2 3 7 9" xfId="7279" xr:uid="{00000000-0005-0000-0000-000069280000}"/>
    <cellStyle name="Normal 13 2 3 8" xfId="7280" xr:uid="{00000000-0005-0000-0000-00006A280000}"/>
    <cellStyle name="Normal 13 2 3 8 2" xfId="7281" xr:uid="{00000000-0005-0000-0000-00006B280000}"/>
    <cellStyle name="Normal 13 2 3 8 2 2" xfId="7282" xr:uid="{00000000-0005-0000-0000-00006C280000}"/>
    <cellStyle name="Normal 13 2 3 8 2 2 2" xfId="7283" xr:uid="{00000000-0005-0000-0000-00006D280000}"/>
    <cellStyle name="Normal 13 2 3 8 2 2 2 2" xfId="49090" xr:uid="{00000000-0005-0000-0000-00006E280000}"/>
    <cellStyle name="Normal 13 2 3 8 2 2 2 3" xfId="49091" xr:uid="{00000000-0005-0000-0000-00006F280000}"/>
    <cellStyle name="Normal 13 2 3 8 2 2 3" xfId="7284" xr:uid="{00000000-0005-0000-0000-000070280000}"/>
    <cellStyle name="Normal 13 2 3 8 2 2 3 2" xfId="49092" xr:uid="{00000000-0005-0000-0000-000071280000}"/>
    <cellStyle name="Normal 13 2 3 8 2 2 4" xfId="7285" xr:uid="{00000000-0005-0000-0000-000072280000}"/>
    <cellStyle name="Normal 13 2 3 8 2 2 5" xfId="7286" xr:uid="{00000000-0005-0000-0000-000073280000}"/>
    <cellStyle name="Normal 13 2 3 8 2 2 6" xfId="7287" xr:uid="{00000000-0005-0000-0000-000074280000}"/>
    <cellStyle name="Normal 13 2 3 8 2 3" xfId="7288" xr:uid="{00000000-0005-0000-0000-000075280000}"/>
    <cellStyle name="Normal 13 2 3 8 2 3 2" xfId="49093" xr:uid="{00000000-0005-0000-0000-000076280000}"/>
    <cellStyle name="Normal 13 2 3 8 2 3 3" xfId="49094" xr:uid="{00000000-0005-0000-0000-000077280000}"/>
    <cellStyle name="Normal 13 2 3 8 2 4" xfId="7289" xr:uid="{00000000-0005-0000-0000-000078280000}"/>
    <cellStyle name="Normal 13 2 3 8 2 4 2" xfId="49095" xr:uid="{00000000-0005-0000-0000-000079280000}"/>
    <cellStyle name="Normal 13 2 3 8 2 5" xfId="7290" xr:uid="{00000000-0005-0000-0000-00007A280000}"/>
    <cellStyle name="Normal 13 2 3 8 2 6" xfId="7291" xr:uid="{00000000-0005-0000-0000-00007B280000}"/>
    <cellStyle name="Normal 13 2 3 8 2 7" xfId="7292" xr:uid="{00000000-0005-0000-0000-00007C280000}"/>
    <cellStyle name="Normal 13 2 3 8 3" xfId="7293" xr:uid="{00000000-0005-0000-0000-00007D280000}"/>
    <cellStyle name="Normal 13 2 3 8 3 2" xfId="7294" xr:uid="{00000000-0005-0000-0000-00007E280000}"/>
    <cellStyle name="Normal 13 2 3 8 3 2 2" xfId="49096" xr:uid="{00000000-0005-0000-0000-00007F280000}"/>
    <cellStyle name="Normal 13 2 3 8 3 2 3" xfId="49097" xr:uid="{00000000-0005-0000-0000-000080280000}"/>
    <cellStyle name="Normal 13 2 3 8 3 3" xfId="7295" xr:uid="{00000000-0005-0000-0000-000081280000}"/>
    <cellStyle name="Normal 13 2 3 8 3 3 2" xfId="49098" xr:uid="{00000000-0005-0000-0000-000082280000}"/>
    <cellStyle name="Normal 13 2 3 8 3 4" xfId="7296" xr:uid="{00000000-0005-0000-0000-000083280000}"/>
    <cellStyle name="Normal 13 2 3 8 3 5" xfId="7297" xr:uid="{00000000-0005-0000-0000-000084280000}"/>
    <cellStyle name="Normal 13 2 3 8 3 6" xfId="7298" xr:uid="{00000000-0005-0000-0000-000085280000}"/>
    <cellStyle name="Normal 13 2 3 8 4" xfId="7299" xr:uid="{00000000-0005-0000-0000-000086280000}"/>
    <cellStyle name="Normal 13 2 3 8 4 2" xfId="49099" xr:uid="{00000000-0005-0000-0000-000087280000}"/>
    <cellStyle name="Normal 13 2 3 8 4 3" xfId="49100" xr:uid="{00000000-0005-0000-0000-000088280000}"/>
    <cellStyle name="Normal 13 2 3 8 5" xfId="7300" xr:uid="{00000000-0005-0000-0000-000089280000}"/>
    <cellStyle name="Normal 13 2 3 8 5 2" xfId="49101" xr:uid="{00000000-0005-0000-0000-00008A280000}"/>
    <cellStyle name="Normal 13 2 3 8 6" xfId="7301" xr:uid="{00000000-0005-0000-0000-00008B280000}"/>
    <cellStyle name="Normal 13 2 3 8 7" xfId="7302" xr:uid="{00000000-0005-0000-0000-00008C280000}"/>
    <cellStyle name="Normal 13 2 3 8 8" xfId="7303" xr:uid="{00000000-0005-0000-0000-00008D280000}"/>
    <cellStyle name="Normal 13 2 3 9" xfId="7304" xr:uid="{00000000-0005-0000-0000-00008E280000}"/>
    <cellStyle name="Normal 13 2 3 9 2" xfId="7305" xr:uid="{00000000-0005-0000-0000-00008F280000}"/>
    <cellStyle name="Normal 13 2 3 9 2 2" xfId="7306" xr:uid="{00000000-0005-0000-0000-000090280000}"/>
    <cellStyle name="Normal 13 2 3 9 2 2 2" xfId="7307" xr:uid="{00000000-0005-0000-0000-000091280000}"/>
    <cellStyle name="Normal 13 2 3 9 2 2 2 2" xfId="49102" xr:uid="{00000000-0005-0000-0000-000092280000}"/>
    <cellStyle name="Normal 13 2 3 9 2 2 2 3" xfId="49103" xr:uid="{00000000-0005-0000-0000-000093280000}"/>
    <cellStyle name="Normal 13 2 3 9 2 2 3" xfId="7308" xr:uid="{00000000-0005-0000-0000-000094280000}"/>
    <cellStyle name="Normal 13 2 3 9 2 2 3 2" xfId="49104" xr:uid="{00000000-0005-0000-0000-000095280000}"/>
    <cellStyle name="Normal 13 2 3 9 2 2 4" xfId="7309" xr:uid="{00000000-0005-0000-0000-000096280000}"/>
    <cellStyle name="Normal 13 2 3 9 2 2 5" xfId="7310" xr:uid="{00000000-0005-0000-0000-000097280000}"/>
    <cellStyle name="Normal 13 2 3 9 2 2 6" xfId="7311" xr:uid="{00000000-0005-0000-0000-000098280000}"/>
    <cellStyle name="Normal 13 2 3 9 2 3" xfId="7312" xr:uid="{00000000-0005-0000-0000-000099280000}"/>
    <cellStyle name="Normal 13 2 3 9 2 3 2" xfId="49105" xr:uid="{00000000-0005-0000-0000-00009A280000}"/>
    <cellStyle name="Normal 13 2 3 9 2 3 3" xfId="49106" xr:uid="{00000000-0005-0000-0000-00009B280000}"/>
    <cellStyle name="Normal 13 2 3 9 2 4" xfId="7313" xr:uid="{00000000-0005-0000-0000-00009C280000}"/>
    <cellStyle name="Normal 13 2 3 9 2 4 2" xfId="49107" xr:uid="{00000000-0005-0000-0000-00009D280000}"/>
    <cellStyle name="Normal 13 2 3 9 2 5" xfId="7314" xr:uid="{00000000-0005-0000-0000-00009E280000}"/>
    <cellStyle name="Normal 13 2 3 9 2 6" xfId="7315" xr:uid="{00000000-0005-0000-0000-00009F280000}"/>
    <cellStyle name="Normal 13 2 3 9 2 7" xfId="7316" xr:uid="{00000000-0005-0000-0000-0000A0280000}"/>
    <cellStyle name="Normal 13 2 3 9 3" xfId="7317" xr:uid="{00000000-0005-0000-0000-0000A1280000}"/>
    <cellStyle name="Normal 13 2 3 9 3 2" xfId="7318" xr:uid="{00000000-0005-0000-0000-0000A2280000}"/>
    <cellStyle name="Normal 13 2 3 9 3 2 2" xfId="49108" xr:uid="{00000000-0005-0000-0000-0000A3280000}"/>
    <cellStyle name="Normal 13 2 3 9 3 2 3" xfId="49109" xr:uid="{00000000-0005-0000-0000-0000A4280000}"/>
    <cellStyle name="Normal 13 2 3 9 3 3" xfId="7319" xr:uid="{00000000-0005-0000-0000-0000A5280000}"/>
    <cellStyle name="Normal 13 2 3 9 3 3 2" xfId="49110" xr:uid="{00000000-0005-0000-0000-0000A6280000}"/>
    <cellStyle name="Normal 13 2 3 9 3 4" xfId="7320" xr:uid="{00000000-0005-0000-0000-0000A7280000}"/>
    <cellStyle name="Normal 13 2 3 9 3 5" xfId="7321" xr:uid="{00000000-0005-0000-0000-0000A8280000}"/>
    <cellStyle name="Normal 13 2 3 9 3 6" xfId="7322" xr:uid="{00000000-0005-0000-0000-0000A9280000}"/>
    <cellStyle name="Normal 13 2 3 9 4" xfId="7323" xr:uid="{00000000-0005-0000-0000-0000AA280000}"/>
    <cellStyle name="Normal 13 2 3 9 4 2" xfId="49111" xr:uid="{00000000-0005-0000-0000-0000AB280000}"/>
    <cellStyle name="Normal 13 2 3 9 4 3" xfId="49112" xr:uid="{00000000-0005-0000-0000-0000AC280000}"/>
    <cellStyle name="Normal 13 2 3 9 5" xfId="7324" xr:uid="{00000000-0005-0000-0000-0000AD280000}"/>
    <cellStyle name="Normal 13 2 3 9 5 2" xfId="49113" xr:uid="{00000000-0005-0000-0000-0000AE280000}"/>
    <cellStyle name="Normal 13 2 3 9 6" xfId="7325" xr:uid="{00000000-0005-0000-0000-0000AF280000}"/>
    <cellStyle name="Normal 13 2 3 9 7" xfId="7326" xr:uid="{00000000-0005-0000-0000-0000B0280000}"/>
    <cellStyle name="Normal 13 2 3 9 8" xfId="7327" xr:uid="{00000000-0005-0000-0000-0000B1280000}"/>
    <cellStyle name="Normal 13 2 4" xfId="7328" xr:uid="{00000000-0005-0000-0000-0000B2280000}"/>
    <cellStyle name="Normal 13 2 4 10" xfId="7329" xr:uid="{00000000-0005-0000-0000-0000B3280000}"/>
    <cellStyle name="Normal 13 2 4 11" xfId="7330" xr:uid="{00000000-0005-0000-0000-0000B4280000}"/>
    <cellStyle name="Normal 13 2 4 12" xfId="7331" xr:uid="{00000000-0005-0000-0000-0000B5280000}"/>
    <cellStyle name="Normal 13 2 4 13" xfId="7332" xr:uid="{00000000-0005-0000-0000-0000B6280000}"/>
    <cellStyle name="Normal 13 2 4 14" xfId="7333" xr:uid="{00000000-0005-0000-0000-0000B7280000}"/>
    <cellStyle name="Normal 13 2 4 15" xfId="7334" xr:uid="{00000000-0005-0000-0000-0000B8280000}"/>
    <cellStyle name="Normal 13 2 4 2" xfId="7335" xr:uid="{00000000-0005-0000-0000-0000B9280000}"/>
    <cellStyle name="Normal 13 2 4 2 10" xfId="7336" xr:uid="{00000000-0005-0000-0000-0000BA280000}"/>
    <cellStyle name="Normal 13 2 4 2 11" xfId="7337" xr:uid="{00000000-0005-0000-0000-0000BB280000}"/>
    <cellStyle name="Normal 13 2 4 2 12" xfId="7338" xr:uid="{00000000-0005-0000-0000-0000BC280000}"/>
    <cellStyle name="Normal 13 2 4 2 13" xfId="7339" xr:uid="{00000000-0005-0000-0000-0000BD280000}"/>
    <cellStyle name="Normal 13 2 4 2 14" xfId="7340" xr:uid="{00000000-0005-0000-0000-0000BE280000}"/>
    <cellStyle name="Normal 13 2 4 2 2" xfId="7341" xr:uid="{00000000-0005-0000-0000-0000BF280000}"/>
    <cellStyle name="Normal 13 2 4 2 2 2" xfId="7342" xr:uid="{00000000-0005-0000-0000-0000C0280000}"/>
    <cellStyle name="Normal 13 2 4 2 2 2 2" xfId="7343" xr:uid="{00000000-0005-0000-0000-0000C1280000}"/>
    <cellStyle name="Normal 13 2 4 2 2 2 2 2" xfId="7344" xr:uid="{00000000-0005-0000-0000-0000C2280000}"/>
    <cellStyle name="Normal 13 2 4 2 2 2 2 2 2" xfId="49114" xr:uid="{00000000-0005-0000-0000-0000C3280000}"/>
    <cellStyle name="Normal 13 2 4 2 2 2 2 2 3" xfId="49115" xr:uid="{00000000-0005-0000-0000-0000C4280000}"/>
    <cellStyle name="Normal 13 2 4 2 2 2 2 3" xfId="7345" xr:uid="{00000000-0005-0000-0000-0000C5280000}"/>
    <cellStyle name="Normal 13 2 4 2 2 2 2 3 2" xfId="49116" xr:uid="{00000000-0005-0000-0000-0000C6280000}"/>
    <cellStyle name="Normal 13 2 4 2 2 2 2 4" xfId="7346" xr:uid="{00000000-0005-0000-0000-0000C7280000}"/>
    <cellStyle name="Normal 13 2 4 2 2 2 2 5" xfId="7347" xr:uid="{00000000-0005-0000-0000-0000C8280000}"/>
    <cellStyle name="Normal 13 2 4 2 2 2 2 6" xfId="7348" xr:uid="{00000000-0005-0000-0000-0000C9280000}"/>
    <cellStyle name="Normal 13 2 4 2 2 2 3" xfId="7349" xr:uid="{00000000-0005-0000-0000-0000CA280000}"/>
    <cellStyle name="Normal 13 2 4 2 2 2 3 2" xfId="49117" xr:uid="{00000000-0005-0000-0000-0000CB280000}"/>
    <cellStyle name="Normal 13 2 4 2 2 2 3 3" xfId="49118" xr:uid="{00000000-0005-0000-0000-0000CC280000}"/>
    <cellStyle name="Normal 13 2 4 2 2 2 4" xfId="7350" xr:uid="{00000000-0005-0000-0000-0000CD280000}"/>
    <cellStyle name="Normal 13 2 4 2 2 2 4 2" xfId="49119" xr:uid="{00000000-0005-0000-0000-0000CE280000}"/>
    <cellStyle name="Normal 13 2 4 2 2 2 5" xfId="7351" xr:uid="{00000000-0005-0000-0000-0000CF280000}"/>
    <cellStyle name="Normal 13 2 4 2 2 2 6" xfId="7352" xr:uid="{00000000-0005-0000-0000-0000D0280000}"/>
    <cellStyle name="Normal 13 2 4 2 2 2 7" xfId="7353" xr:uid="{00000000-0005-0000-0000-0000D1280000}"/>
    <cellStyle name="Normal 13 2 4 2 2 3" xfId="7354" xr:uid="{00000000-0005-0000-0000-0000D2280000}"/>
    <cellStyle name="Normal 13 2 4 2 2 3 2" xfId="7355" xr:uid="{00000000-0005-0000-0000-0000D3280000}"/>
    <cellStyle name="Normal 13 2 4 2 2 3 2 2" xfId="49120" xr:uid="{00000000-0005-0000-0000-0000D4280000}"/>
    <cellStyle name="Normal 13 2 4 2 2 3 2 3" xfId="49121" xr:uid="{00000000-0005-0000-0000-0000D5280000}"/>
    <cellStyle name="Normal 13 2 4 2 2 3 3" xfId="7356" xr:uid="{00000000-0005-0000-0000-0000D6280000}"/>
    <cellStyle name="Normal 13 2 4 2 2 3 3 2" xfId="49122" xr:uid="{00000000-0005-0000-0000-0000D7280000}"/>
    <cellStyle name="Normal 13 2 4 2 2 3 4" xfId="7357" xr:uid="{00000000-0005-0000-0000-0000D8280000}"/>
    <cellStyle name="Normal 13 2 4 2 2 3 5" xfId="7358" xr:uid="{00000000-0005-0000-0000-0000D9280000}"/>
    <cellStyle name="Normal 13 2 4 2 2 3 6" xfId="7359" xr:uid="{00000000-0005-0000-0000-0000DA280000}"/>
    <cellStyle name="Normal 13 2 4 2 2 4" xfId="7360" xr:uid="{00000000-0005-0000-0000-0000DB280000}"/>
    <cellStyle name="Normal 13 2 4 2 2 4 2" xfId="49123" xr:uid="{00000000-0005-0000-0000-0000DC280000}"/>
    <cellStyle name="Normal 13 2 4 2 2 4 3" xfId="49124" xr:uid="{00000000-0005-0000-0000-0000DD280000}"/>
    <cellStyle name="Normal 13 2 4 2 2 5" xfId="7361" xr:uid="{00000000-0005-0000-0000-0000DE280000}"/>
    <cellStyle name="Normal 13 2 4 2 2 5 2" xfId="49125" xr:uid="{00000000-0005-0000-0000-0000DF280000}"/>
    <cellStyle name="Normal 13 2 4 2 2 6" xfId="7362" xr:uid="{00000000-0005-0000-0000-0000E0280000}"/>
    <cellStyle name="Normal 13 2 4 2 2 7" xfId="7363" xr:uid="{00000000-0005-0000-0000-0000E1280000}"/>
    <cellStyle name="Normal 13 2 4 2 2 8" xfId="7364" xr:uid="{00000000-0005-0000-0000-0000E2280000}"/>
    <cellStyle name="Normal 13 2 4 2 2 9" xfId="7365" xr:uid="{00000000-0005-0000-0000-0000E3280000}"/>
    <cellStyle name="Normal 13 2 4 2 3" xfId="7366" xr:uid="{00000000-0005-0000-0000-0000E4280000}"/>
    <cellStyle name="Normal 13 2 4 2 3 2" xfId="7367" xr:uid="{00000000-0005-0000-0000-0000E5280000}"/>
    <cellStyle name="Normal 13 2 4 2 3 2 2" xfId="7368" xr:uid="{00000000-0005-0000-0000-0000E6280000}"/>
    <cellStyle name="Normal 13 2 4 2 3 2 2 2" xfId="7369" xr:uid="{00000000-0005-0000-0000-0000E7280000}"/>
    <cellStyle name="Normal 13 2 4 2 3 2 2 2 2" xfId="49126" xr:uid="{00000000-0005-0000-0000-0000E8280000}"/>
    <cellStyle name="Normal 13 2 4 2 3 2 2 2 3" xfId="49127" xr:uid="{00000000-0005-0000-0000-0000E9280000}"/>
    <cellStyle name="Normal 13 2 4 2 3 2 2 3" xfId="7370" xr:uid="{00000000-0005-0000-0000-0000EA280000}"/>
    <cellStyle name="Normal 13 2 4 2 3 2 2 3 2" xfId="49128" xr:uid="{00000000-0005-0000-0000-0000EB280000}"/>
    <cellStyle name="Normal 13 2 4 2 3 2 2 4" xfId="7371" xr:uid="{00000000-0005-0000-0000-0000EC280000}"/>
    <cellStyle name="Normal 13 2 4 2 3 2 2 5" xfId="7372" xr:uid="{00000000-0005-0000-0000-0000ED280000}"/>
    <cellStyle name="Normal 13 2 4 2 3 2 2 6" xfId="7373" xr:uid="{00000000-0005-0000-0000-0000EE280000}"/>
    <cellStyle name="Normal 13 2 4 2 3 2 3" xfId="7374" xr:uid="{00000000-0005-0000-0000-0000EF280000}"/>
    <cellStyle name="Normal 13 2 4 2 3 2 3 2" xfId="49129" xr:uid="{00000000-0005-0000-0000-0000F0280000}"/>
    <cellStyle name="Normal 13 2 4 2 3 2 3 3" xfId="49130" xr:uid="{00000000-0005-0000-0000-0000F1280000}"/>
    <cellStyle name="Normal 13 2 4 2 3 2 4" xfId="7375" xr:uid="{00000000-0005-0000-0000-0000F2280000}"/>
    <cellStyle name="Normal 13 2 4 2 3 2 4 2" xfId="49131" xr:uid="{00000000-0005-0000-0000-0000F3280000}"/>
    <cellStyle name="Normal 13 2 4 2 3 2 5" xfId="7376" xr:uid="{00000000-0005-0000-0000-0000F4280000}"/>
    <cellStyle name="Normal 13 2 4 2 3 2 6" xfId="7377" xr:uid="{00000000-0005-0000-0000-0000F5280000}"/>
    <cellStyle name="Normal 13 2 4 2 3 2 7" xfId="7378" xr:uid="{00000000-0005-0000-0000-0000F6280000}"/>
    <cellStyle name="Normal 13 2 4 2 3 3" xfId="7379" xr:uid="{00000000-0005-0000-0000-0000F7280000}"/>
    <cellStyle name="Normal 13 2 4 2 3 3 2" xfId="7380" xr:uid="{00000000-0005-0000-0000-0000F8280000}"/>
    <cellStyle name="Normal 13 2 4 2 3 3 2 2" xfId="49132" xr:uid="{00000000-0005-0000-0000-0000F9280000}"/>
    <cellStyle name="Normal 13 2 4 2 3 3 2 3" xfId="49133" xr:uid="{00000000-0005-0000-0000-0000FA280000}"/>
    <cellStyle name="Normal 13 2 4 2 3 3 3" xfId="7381" xr:uid="{00000000-0005-0000-0000-0000FB280000}"/>
    <cellStyle name="Normal 13 2 4 2 3 3 3 2" xfId="49134" xr:uid="{00000000-0005-0000-0000-0000FC280000}"/>
    <cellStyle name="Normal 13 2 4 2 3 3 4" xfId="7382" xr:uid="{00000000-0005-0000-0000-0000FD280000}"/>
    <cellStyle name="Normal 13 2 4 2 3 3 5" xfId="7383" xr:uid="{00000000-0005-0000-0000-0000FE280000}"/>
    <cellStyle name="Normal 13 2 4 2 3 3 6" xfId="7384" xr:uid="{00000000-0005-0000-0000-0000FF280000}"/>
    <cellStyle name="Normal 13 2 4 2 3 4" xfId="7385" xr:uid="{00000000-0005-0000-0000-000000290000}"/>
    <cellStyle name="Normal 13 2 4 2 3 4 2" xfId="49135" xr:uid="{00000000-0005-0000-0000-000001290000}"/>
    <cellStyle name="Normal 13 2 4 2 3 4 3" xfId="49136" xr:uid="{00000000-0005-0000-0000-000002290000}"/>
    <cellStyle name="Normal 13 2 4 2 3 5" xfId="7386" xr:uid="{00000000-0005-0000-0000-000003290000}"/>
    <cellStyle name="Normal 13 2 4 2 3 5 2" xfId="49137" xr:uid="{00000000-0005-0000-0000-000004290000}"/>
    <cellStyle name="Normal 13 2 4 2 3 6" xfId="7387" xr:uid="{00000000-0005-0000-0000-000005290000}"/>
    <cellStyle name="Normal 13 2 4 2 3 7" xfId="7388" xr:uid="{00000000-0005-0000-0000-000006290000}"/>
    <cellStyle name="Normal 13 2 4 2 3 8" xfId="7389" xr:uid="{00000000-0005-0000-0000-000007290000}"/>
    <cellStyle name="Normal 13 2 4 2 4" xfId="7390" xr:uid="{00000000-0005-0000-0000-000008290000}"/>
    <cellStyle name="Normal 13 2 4 2 4 2" xfId="7391" xr:uid="{00000000-0005-0000-0000-000009290000}"/>
    <cellStyle name="Normal 13 2 4 2 4 2 2" xfId="7392" xr:uid="{00000000-0005-0000-0000-00000A290000}"/>
    <cellStyle name="Normal 13 2 4 2 4 2 2 2" xfId="49138" xr:uid="{00000000-0005-0000-0000-00000B290000}"/>
    <cellStyle name="Normal 13 2 4 2 4 2 2 3" xfId="49139" xr:uid="{00000000-0005-0000-0000-00000C290000}"/>
    <cellStyle name="Normal 13 2 4 2 4 2 3" xfId="7393" xr:uid="{00000000-0005-0000-0000-00000D290000}"/>
    <cellStyle name="Normal 13 2 4 2 4 2 3 2" xfId="49140" xr:uid="{00000000-0005-0000-0000-00000E290000}"/>
    <cellStyle name="Normal 13 2 4 2 4 2 4" xfId="7394" xr:uid="{00000000-0005-0000-0000-00000F290000}"/>
    <cellStyle name="Normal 13 2 4 2 4 2 5" xfId="7395" xr:uid="{00000000-0005-0000-0000-000010290000}"/>
    <cellStyle name="Normal 13 2 4 2 4 2 6" xfId="7396" xr:uid="{00000000-0005-0000-0000-000011290000}"/>
    <cellStyle name="Normal 13 2 4 2 4 3" xfId="7397" xr:uid="{00000000-0005-0000-0000-000012290000}"/>
    <cellStyle name="Normal 13 2 4 2 4 3 2" xfId="49141" xr:uid="{00000000-0005-0000-0000-000013290000}"/>
    <cellStyle name="Normal 13 2 4 2 4 3 3" xfId="49142" xr:uid="{00000000-0005-0000-0000-000014290000}"/>
    <cellStyle name="Normal 13 2 4 2 4 4" xfId="7398" xr:uid="{00000000-0005-0000-0000-000015290000}"/>
    <cellStyle name="Normal 13 2 4 2 4 4 2" xfId="49143" xr:uid="{00000000-0005-0000-0000-000016290000}"/>
    <cellStyle name="Normal 13 2 4 2 4 5" xfId="7399" xr:uid="{00000000-0005-0000-0000-000017290000}"/>
    <cellStyle name="Normal 13 2 4 2 4 6" xfId="7400" xr:uid="{00000000-0005-0000-0000-000018290000}"/>
    <cellStyle name="Normal 13 2 4 2 4 7" xfId="7401" xr:uid="{00000000-0005-0000-0000-000019290000}"/>
    <cellStyle name="Normal 13 2 4 2 5" xfId="7402" xr:uid="{00000000-0005-0000-0000-00001A290000}"/>
    <cellStyle name="Normal 13 2 4 2 5 2" xfId="7403" xr:uid="{00000000-0005-0000-0000-00001B290000}"/>
    <cellStyle name="Normal 13 2 4 2 5 2 2" xfId="49144" xr:uid="{00000000-0005-0000-0000-00001C290000}"/>
    <cellStyle name="Normal 13 2 4 2 5 2 3" xfId="49145" xr:uid="{00000000-0005-0000-0000-00001D290000}"/>
    <cellStyle name="Normal 13 2 4 2 5 3" xfId="7404" xr:uid="{00000000-0005-0000-0000-00001E290000}"/>
    <cellStyle name="Normal 13 2 4 2 5 3 2" xfId="49146" xr:uid="{00000000-0005-0000-0000-00001F290000}"/>
    <cellStyle name="Normal 13 2 4 2 5 4" xfId="7405" xr:uid="{00000000-0005-0000-0000-000020290000}"/>
    <cellStyle name="Normal 13 2 4 2 5 5" xfId="7406" xr:uid="{00000000-0005-0000-0000-000021290000}"/>
    <cellStyle name="Normal 13 2 4 2 5 6" xfId="7407" xr:uid="{00000000-0005-0000-0000-000022290000}"/>
    <cellStyle name="Normal 13 2 4 2 6" xfId="7408" xr:uid="{00000000-0005-0000-0000-000023290000}"/>
    <cellStyle name="Normal 13 2 4 2 6 2" xfId="49147" xr:uid="{00000000-0005-0000-0000-000024290000}"/>
    <cellStyle name="Normal 13 2 4 2 6 3" xfId="49148" xr:uid="{00000000-0005-0000-0000-000025290000}"/>
    <cellStyle name="Normal 13 2 4 2 7" xfId="7409" xr:uid="{00000000-0005-0000-0000-000026290000}"/>
    <cellStyle name="Normal 13 2 4 2 7 2" xfId="49149" xr:uid="{00000000-0005-0000-0000-000027290000}"/>
    <cellStyle name="Normal 13 2 4 2 8" xfId="7410" xr:uid="{00000000-0005-0000-0000-000028290000}"/>
    <cellStyle name="Normal 13 2 4 2 9" xfId="7411" xr:uid="{00000000-0005-0000-0000-000029290000}"/>
    <cellStyle name="Normal 13 2 4 3" xfId="7412" xr:uid="{00000000-0005-0000-0000-00002A290000}"/>
    <cellStyle name="Normal 13 2 4 3 2" xfId="7413" xr:uid="{00000000-0005-0000-0000-00002B290000}"/>
    <cellStyle name="Normal 13 2 4 3 2 2" xfId="7414" xr:uid="{00000000-0005-0000-0000-00002C290000}"/>
    <cellStyle name="Normal 13 2 4 3 2 2 2" xfId="7415" xr:uid="{00000000-0005-0000-0000-00002D290000}"/>
    <cellStyle name="Normal 13 2 4 3 2 2 2 2" xfId="49150" xr:uid="{00000000-0005-0000-0000-00002E290000}"/>
    <cellStyle name="Normal 13 2 4 3 2 2 2 3" xfId="49151" xr:uid="{00000000-0005-0000-0000-00002F290000}"/>
    <cellStyle name="Normal 13 2 4 3 2 2 3" xfId="7416" xr:uid="{00000000-0005-0000-0000-000030290000}"/>
    <cellStyle name="Normal 13 2 4 3 2 2 3 2" xfId="49152" xr:uid="{00000000-0005-0000-0000-000031290000}"/>
    <cellStyle name="Normal 13 2 4 3 2 2 4" xfId="7417" xr:uid="{00000000-0005-0000-0000-000032290000}"/>
    <cellStyle name="Normal 13 2 4 3 2 2 5" xfId="7418" xr:uid="{00000000-0005-0000-0000-000033290000}"/>
    <cellStyle name="Normal 13 2 4 3 2 2 6" xfId="7419" xr:uid="{00000000-0005-0000-0000-000034290000}"/>
    <cellStyle name="Normal 13 2 4 3 2 3" xfId="7420" xr:uid="{00000000-0005-0000-0000-000035290000}"/>
    <cellStyle name="Normal 13 2 4 3 2 3 2" xfId="49153" xr:uid="{00000000-0005-0000-0000-000036290000}"/>
    <cellStyle name="Normal 13 2 4 3 2 3 3" xfId="49154" xr:uid="{00000000-0005-0000-0000-000037290000}"/>
    <cellStyle name="Normal 13 2 4 3 2 4" xfId="7421" xr:uid="{00000000-0005-0000-0000-000038290000}"/>
    <cellStyle name="Normal 13 2 4 3 2 4 2" xfId="49155" xr:uid="{00000000-0005-0000-0000-000039290000}"/>
    <cellStyle name="Normal 13 2 4 3 2 5" xfId="7422" xr:uid="{00000000-0005-0000-0000-00003A290000}"/>
    <cellStyle name="Normal 13 2 4 3 2 6" xfId="7423" xr:uid="{00000000-0005-0000-0000-00003B290000}"/>
    <cellStyle name="Normal 13 2 4 3 2 7" xfId="7424" xr:uid="{00000000-0005-0000-0000-00003C290000}"/>
    <cellStyle name="Normal 13 2 4 3 3" xfId="7425" xr:uid="{00000000-0005-0000-0000-00003D290000}"/>
    <cellStyle name="Normal 13 2 4 3 3 2" xfId="7426" xr:uid="{00000000-0005-0000-0000-00003E290000}"/>
    <cellStyle name="Normal 13 2 4 3 3 2 2" xfId="49156" xr:uid="{00000000-0005-0000-0000-00003F290000}"/>
    <cellStyle name="Normal 13 2 4 3 3 2 3" xfId="49157" xr:uid="{00000000-0005-0000-0000-000040290000}"/>
    <cellStyle name="Normal 13 2 4 3 3 3" xfId="7427" xr:uid="{00000000-0005-0000-0000-000041290000}"/>
    <cellStyle name="Normal 13 2 4 3 3 3 2" xfId="49158" xr:uid="{00000000-0005-0000-0000-000042290000}"/>
    <cellStyle name="Normal 13 2 4 3 3 4" xfId="7428" xr:uid="{00000000-0005-0000-0000-000043290000}"/>
    <cellStyle name="Normal 13 2 4 3 3 5" xfId="7429" xr:uid="{00000000-0005-0000-0000-000044290000}"/>
    <cellStyle name="Normal 13 2 4 3 3 6" xfId="7430" xr:uid="{00000000-0005-0000-0000-000045290000}"/>
    <cellStyle name="Normal 13 2 4 3 4" xfId="7431" xr:uid="{00000000-0005-0000-0000-000046290000}"/>
    <cellStyle name="Normal 13 2 4 3 4 2" xfId="49159" xr:uid="{00000000-0005-0000-0000-000047290000}"/>
    <cellStyle name="Normal 13 2 4 3 4 3" xfId="49160" xr:uid="{00000000-0005-0000-0000-000048290000}"/>
    <cellStyle name="Normal 13 2 4 3 5" xfId="7432" xr:uid="{00000000-0005-0000-0000-000049290000}"/>
    <cellStyle name="Normal 13 2 4 3 5 2" xfId="49161" xr:uid="{00000000-0005-0000-0000-00004A290000}"/>
    <cellStyle name="Normal 13 2 4 3 6" xfId="7433" xr:uid="{00000000-0005-0000-0000-00004B290000}"/>
    <cellStyle name="Normal 13 2 4 3 7" xfId="7434" xr:uid="{00000000-0005-0000-0000-00004C290000}"/>
    <cellStyle name="Normal 13 2 4 3 8" xfId="7435" xr:uid="{00000000-0005-0000-0000-00004D290000}"/>
    <cellStyle name="Normal 13 2 4 3 9" xfId="7436" xr:uid="{00000000-0005-0000-0000-00004E290000}"/>
    <cellStyle name="Normal 13 2 4 4" xfId="7437" xr:uid="{00000000-0005-0000-0000-00004F290000}"/>
    <cellStyle name="Normal 13 2 4 4 2" xfId="7438" xr:uid="{00000000-0005-0000-0000-000050290000}"/>
    <cellStyle name="Normal 13 2 4 4 2 2" xfId="7439" xr:uid="{00000000-0005-0000-0000-000051290000}"/>
    <cellStyle name="Normal 13 2 4 4 2 2 2" xfId="7440" xr:uid="{00000000-0005-0000-0000-000052290000}"/>
    <cellStyle name="Normal 13 2 4 4 2 2 2 2" xfId="49162" xr:uid="{00000000-0005-0000-0000-000053290000}"/>
    <cellStyle name="Normal 13 2 4 4 2 2 2 3" xfId="49163" xr:uid="{00000000-0005-0000-0000-000054290000}"/>
    <cellStyle name="Normal 13 2 4 4 2 2 3" xfId="7441" xr:uid="{00000000-0005-0000-0000-000055290000}"/>
    <cellStyle name="Normal 13 2 4 4 2 2 3 2" xfId="49164" xr:uid="{00000000-0005-0000-0000-000056290000}"/>
    <cellStyle name="Normal 13 2 4 4 2 2 4" xfId="7442" xr:uid="{00000000-0005-0000-0000-000057290000}"/>
    <cellStyle name="Normal 13 2 4 4 2 2 5" xfId="7443" xr:uid="{00000000-0005-0000-0000-000058290000}"/>
    <cellStyle name="Normal 13 2 4 4 2 2 6" xfId="7444" xr:uid="{00000000-0005-0000-0000-000059290000}"/>
    <cellStyle name="Normal 13 2 4 4 2 3" xfId="7445" xr:uid="{00000000-0005-0000-0000-00005A290000}"/>
    <cellStyle name="Normal 13 2 4 4 2 3 2" xfId="49165" xr:uid="{00000000-0005-0000-0000-00005B290000}"/>
    <cellStyle name="Normal 13 2 4 4 2 3 3" xfId="49166" xr:uid="{00000000-0005-0000-0000-00005C290000}"/>
    <cellStyle name="Normal 13 2 4 4 2 4" xfId="7446" xr:uid="{00000000-0005-0000-0000-00005D290000}"/>
    <cellStyle name="Normal 13 2 4 4 2 4 2" xfId="49167" xr:uid="{00000000-0005-0000-0000-00005E290000}"/>
    <cellStyle name="Normal 13 2 4 4 2 5" xfId="7447" xr:uid="{00000000-0005-0000-0000-00005F290000}"/>
    <cellStyle name="Normal 13 2 4 4 2 6" xfId="7448" xr:uid="{00000000-0005-0000-0000-000060290000}"/>
    <cellStyle name="Normal 13 2 4 4 2 7" xfId="7449" xr:uid="{00000000-0005-0000-0000-000061290000}"/>
    <cellStyle name="Normal 13 2 4 4 3" xfId="7450" xr:uid="{00000000-0005-0000-0000-000062290000}"/>
    <cellStyle name="Normal 13 2 4 4 3 2" xfId="7451" xr:uid="{00000000-0005-0000-0000-000063290000}"/>
    <cellStyle name="Normal 13 2 4 4 3 2 2" xfId="49168" xr:uid="{00000000-0005-0000-0000-000064290000}"/>
    <cellStyle name="Normal 13 2 4 4 3 2 3" xfId="49169" xr:uid="{00000000-0005-0000-0000-000065290000}"/>
    <cellStyle name="Normal 13 2 4 4 3 3" xfId="7452" xr:uid="{00000000-0005-0000-0000-000066290000}"/>
    <cellStyle name="Normal 13 2 4 4 3 3 2" xfId="49170" xr:uid="{00000000-0005-0000-0000-000067290000}"/>
    <cellStyle name="Normal 13 2 4 4 3 4" xfId="7453" xr:uid="{00000000-0005-0000-0000-000068290000}"/>
    <cellStyle name="Normal 13 2 4 4 3 5" xfId="7454" xr:uid="{00000000-0005-0000-0000-000069290000}"/>
    <cellStyle name="Normal 13 2 4 4 3 6" xfId="7455" xr:uid="{00000000-0005-0000-0000-00006A290000}"/>
    <cellStyle name="Normal 13 2 4 4 4" xfId="7456" xr:uid="{00000000-0005-0000-0000-00006B290000}"/>
    <cellStyle name="Normal 13 2 4 4 4 2" xfId="49171" xr:uid="{00000000-0005-0000-0000-00006C290000}"/>
    <cellStyle name="Normal 13 2 4 4 4 3" xfId="49172" xr:uid="{00000000-0005-0000-0000-00006D290000}"/>
    <cellStyle name="Normal 13 2 4 4 5" xfId="7457" xr:uid="{00000000-0005-0000-0000-00006E290000}"/>
    <cellStyle name="Normal 13 2 4 4 5 2" xfId="49173" xr:uid="{00000000-0005-0000-0000-00006F290000}"/>
    <cellStyle name="Normal 13 2 4 4 6" xfId="7458" xr:uid="{00000000-0005-0000-0000-000070290000}"/>
    <cellStyle name="Normal 13 2 4 4 7" xfId="7459" xr:uid="{00000000-0005-0000-0000-000071290000}"/>
    <cellStyle name="Normal 13 2 4 4 8" xfId="7460" xr:uid="{00000000-0005-0000-0000-000072290000}"/>
    <cellStyle name="Normal 13 2 4 5" xfId="7461" xr:uid="{00000000-0005-0000-0000-000073290000}"/>
    <cellStyle name="Normal 13 2 4 5 2" xfId="7462" xr:uid="{00000000-0005-0000-0000-000074290000}"/>
    <cellStyle name="Normal 13 2 4 5 2 2" xfId="7463" xr:uid="{00000000-0005-0000-0000-000075290000}"/>
    <cellStyle name="Normal 13 2 4 5 2 2 2" xfId="49174" xr:uid="{00000000-0005-0000-0000-000076290000}"/>
    <cellStyle name="Normal 13 2 4 5 2 2 3" xfId="49175" xr:uid="{00000000-0005-0000-0000-000077290000}"/>
    <cellStyle name="Normal 13 2 4 5 2 3" xfId="7464" xr:uid="{00000000-0005-0000-0000-000078290000}"/>
    <cellStyle name="Normal 13 2 4 5 2 3 2" xfId="49176" xr:uid="{00000000-0005-0000-0000-000079290000}"/>
    <cellStyle name="Normal 13 2 4 5 2 4" xfId="7465" xr:uid="{00000000-0005-0000-0000-00007A290000}"/>
    <cellStyle name="Normal 13 2 4 5 2 5" xfId="7466" xr:uid="{00000000-0005-0000-0000-00007B290000}"/>
    <cellStyle name="Normal 13 2 4 5 2 6" xfId="7467" xr:uid="{00000000-0005-0000-0000-00007C290000}"/>
    <cellStyle name="Normal 13 2 4 5 3" xfId="7468" xr:uid="{00000000-0005-0000-0000-00007D290000}"/>
    <cellStyle name="Normal 13 2 4 5 3 2" xfId="49177" xr:uid="{00000000-0005-0000-0000-00007E290000}"/>
    <cellStyle name="Normal 13 2 4 5 3 3" xfId="49178" xr:uid="{00000000-0005-0000-0000-00007F290000}"/>
    <cellStyle name="Normal 13 2 4 5 4" xfId="7469" xr:uid="{00000000-0005-0000-0000-000080290000}"/>
    <cellStyle name="Normal 13 2 4 5 4 2" xfId="49179" xr:uid="{00000000-0005-0000-0000-000081290000}"/>
    <cellStyle name="Normal 13 2 4 5 5" xfId="7470" xr:uid="{00000000-0005-0000-0000-000082290000}"/>
    <cellStyle name="Normal 13 2 4 5 6" xfId="7471" xr:uid="{00000000-0005-0000-0000-000083290000}"/>
    <cellStyle name="Normal 13 2 4 5 7" xfId="7472" xr:uid="{00000000-0005-0000-0000-000084290000}"/>
    <cellStyle name="Normal 13 2 4 6" xfId="7473" xr:uid="{00000000-0005-0000-0000-000085290000}"/>
    <cellStyle name="Normal 13 2 4 6 2" xfId="7474" xr:uid="{00000000-0005-0000-0000-000086290000}"/>
    <cellStyle name="Normal 13 2 4 6 2 2" xfId="49180" xr:uid="{00000000-0005-0000-0000-000087290000}"/>
    <cellStyle name="Normal 13 2 4 6 2 3" xfId="49181" xr:uid="{00000000-0005-0000-0000-000088290000}"/>
    <cellStyle name="Normal 13 2 4 6 3" xfId="7475" xr:uid="{00000000-0005-0000-0000-000089290000}"/>
    <cellStyle name="Normal 13 2 4 6 3 2" xfId="49182" xr:uid="{00000000-0005-0000-0000-00008A290000}"/>
    <cellStyle name="Normal 13 2 4 6 4" xfId="7476" xr:uid="{00000000-0005-0000-0000-00008B290000}"/>
    <cellStyle name="Normal 13 2 4 6 5" xfId="7477" xr:uid="{00000000-0005-0000-0000-00008C290000}"/>
    <cellStyle name="Normal 13 2 4 6 6" xfId="7478" xr:uid="{00000000-0005-0000-0000-00008D290000}"/>
    <cellStyle name="Normal 13 2 4 7" xfId="7479" xr:uid="{00000000-0005-0000-0000-00008E290000}"/>
    <cellStyle name="Normal 13 2 4 7 2" xfId="49183" xr:uid="{00000000-0005-0000-0000-00008F290000}"/>
    <cellStyle name="Normal 13 2 4 7 3" xfId="49184" xr:uid="{00000000-0005-0000-0000-000090290000}"/>
    <cellStyle name="Normal 13 2 4 8" xfId="7480" xr:uid="{00000000-0005-0000-0000-000091290000}"/>
    <cellStyle name="Normal 13 2 4 8 2" xfId="49185" xr:uid="{00000000-0005-0000-0000-000092290000}"/>
    <cellStyle name="Normal 13 2 4 9" xfId="7481" xr:uid="{00000000-0005-0000-0000-000093290000}"/>
    <cellStyle name="Normal 13 2 4 9 2" xfId="49186" xr:uid="{00000000-0005-0000-0000-000094290000}"/>
    <cellStyle name="Normal 13 2 5" xfId="7482" xr:uid="{00000000-0005-0000-0000-000095290000}"/>
    <cellStyle name="Normal 13 2 5 10" xfId="7483" xr:uid="{00000000-0005-0000-0000-000096290000}"/>
    <cellStyle name="Normal 13 2 5 11" xfId="7484" xr:uid="{00000000-0005-0000-0000-000097290000}"/>
    <cellStyle name="Normal 13 2 5 12" xfId="7485" xr:uid="{00000000-0005-0000-0000-000098290000}"/>
    <cellStyle name="Normal 13 2 5 13" xfId="7486" xr:uid="{00000000-0005-0000-0000-000099290000}"/>
    <cellStyle name="Normal 13 2 5 14" xfId="7487" xr:uid="{00000000-0005-0000-0000-00009A290000}"/>
    <cellStyle name="Normal 13 2 5 15" xfId="7488" xr:uid="{00000000-0005-0000-0000-00009B290000}"/>
    <cellStyle name="Normal 13 2 5 2" xfId="7489" xr:uid="{00000000-0005-0000-0000-00009C290000}"/>
    <cellStyle name="Normal 13 2 5 2 10" xfId="7490" xr:uid="{00000000-0005-0000-0000-00009D290000}"/>
    <cellStyle name="Normal 13 2 5 2 11" xfId="7491" xr:uid="{00000000-0005-0000-0000-00009E290000}"/>
    <cellStyle name="Normal 13 2 5 2 12" xfId="7492" xr:uid="{00000000-0005-0000-0000-00009F290000}"/>
    <cellStyle name="Normal 13 2 5 2 13" xfId="7493" xr:uid="{00000000-0005-0000-0000-0000A0290000}"/>
    <cellStyle name="Normal 13 2 5 2 14" xfId="7494" xr:uid="{00000000-0005-0000-0000-0000A1290000}"/>
    <cellStyle name="Normal 13 2 5 2 2" xfId="7495" xr:uid="{00000000-0005-0000-0000-0000A2290000}"/>
    <cellStyle name="Normal 13 2 5 2 2 2" xfId="7496" xr:uid="{00000000-0005-0000-0000-0000A3290000}"/>
    <cellStyle name="Normal 13 2 5 2 2 2 2" xfId="7497" xr:uid="{00000000-0005-0000-0000-0000A4290000}"/>
    <cellStyle name="Normal 13 2 5 2 2 2 2 2" xfId="7498" xr:uid="{00000000-0005-0000-0000-0000A5290000}"/>
    <cellStyle name="Normal 13 2 5 2 2 2 2 2 2" xfId="49187" xr:uid="{00000000-0005-0000-0000-0000A6290000}"/>
    <cellStyle name="Normal 13 2 5 2 2 2 2 2 3" xfId="49188" xr:uid="{00000000-0005-0000-0000-0000A7290000}"/>
    <cellStyle name="Normal 13 2 5 2 2 2 2 3" xfId="7499" xr:uid="{00000000-0005-0000-0000-0000A8290000}"/>
    <cellStyle name="Normal 13 2 5 2 2 2 2 3 2" xfId="49189" xr:uid="{00000000-0005-0000-0000-0000A9290000}"/>
    <cellStyle name="Normal 13 2 5 2 2 2 2 4" xfId="7500" xr:uid="{00000000-0005-0000-0000-0000AA290000}"/>
    <cellStyle name="Normal 13 2 5 2 2 2 2 5" xfId="7501" xr:uid="{00000000-0005-0000-0000-0000AB290000}"/>
    <cellStyle name="Normal 13 2 5 2 2 2 2 6" xfId="7502" xr:uid="{00000000-0005-0000-0000-0000AC290000}"/>
    <cellStyle name="Normal 13 2 5 2 2 2 3" xfId="7503" xr:uid="{00000000-0005-0000-0000-0000AD290000}"/>
    <cellStyle name="Normal 13 2 5 2 2 2 3 2" xfId="49190" xr:uid="{00000000-0005-0000-0000-0000AE290000}"/>
    <cellStyle name="Normal 13 2 5 2 2 2 3 3" xfId="49191" xr:uid="{00000000-0005-0000-0000-0000AF290000}"/>
    <cellStyle name="Normal 13 2 5 2 2 2 4" xfId="7504" xr:uid="{00000000-0005-0000-0000-0000B0290000}"/>
    <cellStyle name="Normal 13 2 5 2 2 2 4 2" xfId="49192" xr:uid="{00000000-0005-0000-0000-0000B1290000}"/>
    <cellStyle name="Normal 13 2 5 2 2 2 5" xfId="7505" xr:uid="{00000000-0005-0000-0000-0000B2290000}"/>
    <cellStyle name="Normal 13 2 5 2 2 2 6" xfId="7506" xr:uid="{00000000-0005-0000-0000-0000B3290000}"/>
    <cellStyle name="Normal 13 2 5 2 2 2 7" xfId="7507" xr:uid="{00000000-0005-0000-0000-0000B4290000}"/>
    <cellStyle name="Normal 13 2 5 2 2 3" xfId="7508" xr:uid="{00000000-0005-0000-0000-0000B5290000}"/>
    <cellStyle name="Normal 13 2 5 2 2 3 2" xfId="7509" xr:uid="{00000000-0005-0000-0000-0000B6290000}"/>
    <cellStyle name="Normal 13 2 5 2 2 3 2 2" xfId="49193" xr:uid="{00000000-0005-0000-0000-0000B7290000}"/>
    <cellStyle name="Normal 13 2 5 2 2 3 2 3" xfId="49194" xr:uid="{00000000-0005-0000-0000-0000B8290000}"/>
    <cellStyle name="Normal 13 2 5 2 2 3 3" xfId="7510" xr:uid="{00000000-0005-0000-0000-0000B9290000}"/>
    <cellStyle name="Normal 13 2 5 2 2 3 3 2" xfId="49195" xr:uid="{00000000-0005-0000-0000-0000BA290000}"/>
    <cellStyle name="Normal 13 2 5 2 2 3 4" xfId="7511" xr:uid="{00000000-0005-0000-0000-0000BB290000}"/>
    <cellStyle name="Normal 13 2 5 2 2 3 5" xfId="7512" xr:uid="{00000000-0005-0000-0000-0000BC290000}"/>
    <cellStyle name="Normal 13 2 5 2 2 3 6" xfId="7513" xr:uid="{00000000-0005-0000-0000-0000BD290000}"/>
    <cellStyle name="Normal 13 2 5 2 2 4" xfId="7514" xr:uid="{00000000-0005-0000-0000-0000BE290000}"/>
    <cellStyle name="Normal 13 2 5 2 2 4 2" xfId="49196" xr:uid="{00000000-0005-0000-0000-0000BF290000}"/>
    <cellStyle name="Normal 13 2 5 2 2 4 3" xfId="49197" xr:uid="{00000000-0005-0000-0000-0000C0290000}"/>
    <cellStyle name="Normal 13 2 5 2 2 5" xfId="7515" xr:uid="{00000000-0005-0000-0000-0000C1290000}"/>
    <cellStyle name="Normal 13 2 5 2 2 5 2" xfId="49198" xr:uid="{00000000-0005-0000-0000-0000C2290000}"/>
    <cellStyle name="Normal 13 2 5 2 2 6" xfId="7516" xr:uid="{00000000-0005-0000-0000-0000C3290000}"/>
    <cellStyle name="Normal 13 2 5 2 2 7" xfId="7517" xr:uid="{00000000-0005-0000-0000-0000C4290000}"/>
    <cellStyle name="Normal 13 2 5 2 2 8" xfId="7518" xr:uid="{00000000-0005-0000-0000-0000C5290000}"/>
    <cellStyle name="Normal 13 2 5 2 2 9" xfId="7519" xr:uid="{00000000-0005-0000-0000-0000C6290000}"/>
    <cellStyle name="Normal 13 2 5 2 3" xfId="7520" xr:uid="{00000000-0005-0000-0000-0000C7290000}"/>
    <cellStyle name="Normal 13 2 5 2 3 2" xfId="7521" xr:uid="{00000000-0005-0000-0000-0000C8290000}"/>
    <cellStyle name="Normal 13 2 5 2 3 2 2" xfId="7522" xr:uid="{00000000-0005-0000-0000-0000C9290000}"/>
    <cellStyle name="Normal 13 2 5 2 3 2 2 2" xfId="7523" xr:uid="{00000000-0005-0000-0000-0000CA290000}"/>
    <cellStyle name="Normal 13 2 5 2 3 2 2 2 2" xfId="49199" xr:uid="{00000000-0005-0000-0000-0000CB290000}"/>
    <cellStyle name="Normal 13 2 5 2 3 2 2 2 3" xfId="49200" xr:uid="{00000000-0005-0000-0000-0000CC290000}"/>
    <cellStyle name="Normal 13 2 5 2 3 2 2 3" xfId="7524" xr:uid="{00000000-0005-0000-0000-0000CD290000}"/>
    <cellStyle name="Normal 13 2 5 2 3 2 2 3 2" xfId="49201" xr:uid="{00000000-0005-0000-0000-0000CE290000}"/>
    <cellStyle name="Normal 13 2 5 2 3 2 2 4" xfId="7525" xr:uid="{00000000-0005-0000-0000-0000CF290000}"/>
    <cellStyle name="Normal 13 2 5 2 3 2 2 5" xfId="7526" xr:uid="{00000000-0005-0000-0000-0000D0290000}"/>
    <cellStyle name="Normal 13 2 5 2 3 2 2 6" xfId="7527" xr:uid="{00000000-0005-0000-0000-0000D1290000}"/>
    <cellStyle name="Normal 13 2 5 2 3 2 3" xfId="7528" xr:uid="{00000000-0005-0000-0000-0000D2290000}"/>
    <cellStyle name="Normal 13 2 5 2 3 2 3 2" xfId="49202" xr:uid="{00000000-0005-0000-0000-0000D3290000}"/>
    <cellStyle name="Normal 13 2 5 2 3 2 3 3" xfId="49203" xr:uid="{00000000-0005-0000-0000-0000D4290000}"/>
    <cellStyle name="Normal 13 2 5 2 3 2 4" xfId="7529" xr:uid="{00000000-0005-0000-0000-0000D5290000}"/>
    <cellStyle name="Normal 13 2 5 2 3 2 4 2" xfId="49204" xr:uid="{00000000-0005-0000-0000-0000D6290000}"/>
    <cellStyle name="Normal 13 2 5 2 3 2 5" xfId="7530" xr:uid="{00000000-0005-0000-0000-0000D7290000}"/>
    <cellStyle name="Normal 13 2 5 2 3 2 6" xfId="7531" xr:uid="{00000000-0005-0000-0000-0000D8290000}"/>
    <cellStyle name="Normal 13 2 5 2 3 2 7" xfId="7532" xr:uid="{00000000-0005-0000-0000-0000D9290000}"/>
    <cellStyle name="Normal 13 2 5 2 3 3" xfId="7533" xr:uid="{00000000-0005-0000-0000-0000DA290000}"/>
    <cellStyle name="Normal 13 2 5 2 3 3 2" xfId="7534" xr:uid="{00000000-0005-0000-0000-0000DB290000}"/>
    <cellStyle name="Normal 13 2 5 2 3 3 2 2" xfId="49205" xr:uid="{00000000-0005-0000-0000-0000DC290000}"/>
    <cellStyle name="Normal 13 2 5 2 3 3 2 3" xfId="49206" xr:uid="{00000000-0005-0000-0000-0000DD290000}"/>
    <cellStyle name="Normal 13 2 5 2 3 3 3" xfId="7535" xr:uid="{00000000-0005-0000-0000-0000DE290000}"/>
    <cellStyle name="Normal 13 2 5 2 3 3 3 2" xfId="49207" xr:uid="{00000000-0005-0000-0000-0000DF290000}"/>
    <cellStyle name="Normal 13 2 5 2 3 3 4" xfId="7536" xr:uid="{00000000-0005-0000-0000-0000E0290000}"/>
    <cellStyle name="Normal 13 2 5 2 3 3 5" xfId="7537" xr:uid="{00000000-0005-0000-0000-0000E1290000}"/>
    <cellStyle name="Normal 13 2 5 2 3 3 6" xfId="7538" xr:uid="{00000000-0005-0000-0000-0000E2290000}"/>
    <cellStyle name="Normal 13 2 5 2 3 4" xfId="7539" xr:uid="{00000000-0005-0000-0000-0000E3290000}"/>
    <cellStyle name="Normal 13 2 5 2 3 4 2" xfId="49208" xr:uid="{00000000-0005-0000-0000-0000E4290000}"/>
    <cellStyle name="Normal 13 2 5 2 3 4 3" xfId="49209" xr:uid="{00000000-0005-0000-0000-0000E5290000}"/>
    <cellStyle name="Normal 13 2 5 2 3 5" xfId="7540" xr:uid="{00000000-0005-0000-0000-0000E6290000}"/>
    <cellStyle name="Normal 13 2 5 2 3 5 2" xfId="49210" xr:uid="{00000000-0005-0000-0000-0000E7290000}"/>
    <cellStyle name="Normal 13 2 5 2 3 6" xfId="7541" xr:uid="{00000000-0005-0000-0000-0000E8290000}"/>
    <cellStyle name="Normal 13 2 5 2 3 7" xfId="7542" xr:uid="{00000000-0005-0000-0000-0000E9290000}"/>
    <cellStyle name="Normal 13 2 5 2 3 8" xfId="7543" xr:uid="{00000000-0005-0000-0000-0000EA290000}"/>
    <cellStyle name="Normal 13 2 5 2 4" xfId="7544" xr:uid="{00000000-0005-0000-0000-0000EB290000}"/>
    <cellStyle name="Normal 13 2 5 2 4 2" xfId="7545" xr:uid="{00000000-0005-0000-0000-0000EC290000}"/>
    <cellStyle name="Normal 13 2 5 2 4 2 2" xfId="7546" xr:uid="{00000000-0005-0000-0000-0000ED290000}"/>
    <cellStyle name="Normal 13 2 5 2 4 2 2 2" xfId="49211" xr:uid="{00000000-0005-0000-0000-0000EE290000}"/>
    <cellStyle name="Normal 13 2 5 2 4 2 2 3" xfId="49212" xr:uid="{00000000-0005-0000-0000-0000EF290000}"/>
    <cellStyle name="Normal 13 2 5 2 4 2 3" xfId="7547" xr:uid="{00000000-0005-0000-0000-0000F0290000}"/>
    <cellStyle name="Normal 13 2 5 2 4 2 3 2" xfId="49213" xr:uid="{00000000-0005-0000-0000-0000F1290000}"/>
    <cellStyle name="Normal 13 2 5 2 4 2 4" xfId="7548" xr:uid="{00000000-0005-0000-0000-0000F2290000}"/>
    <cellStyle name="Normal 13 2 5 2 4 2 5" xfId="7549" xr:uid="{00000000-0005-0000-0000-0000F3290000}"/>
    <cellStyle name="Normal 13 2 5 2 4 2 6" xfId="7550" xr:uid="{00000000-0005-0000-0000-0000F4290000}"/>
    <cellStyle name="Normal 13 2 5 2 4 3" xfId="7551" xr:uid="{00000000-0005-0000-0000-0000F5290000}"/>
    <cellStyle name="Normal 13 2 5 2 4 3 2" xfId="49214" xr:uid="{00000000-0005-0000-0000-0000F6290000}"/>
    <cellStyle name="Normal 13 2 5 2 4 3 3" xfId="49215" xr:uid="{00000000-0005-0000-0000-0000F7290000}"/>
    <cellStyle name="Normal 13 2 5 2 4 4" xfId="7552" xr:uid="{00000000-0005-0000-0000-0000F8290000}"/>
    <cellStyle name="Normal 13 2 5 2 4 4 2" xfId="49216" xr:uid="{00000000-0005-0000-0000-0000F9290000}"/>
    <cellStyle name="Normal 13 2 5 2 4 5" xfId="7553" xr:uid="{00000000-0005-0000-0000-0000FA290000}"/>
    <cellStyle name="Normal 13 2 5 2 4 6" xfId="7554" xr:uid="{00000000-0005-0000-0000-0000FB290000}"/>
    <cellStyle name="Normal 13 2 5 2 4 7" xfId="7555" xr:uid="{00000000-0005-0000-0000-0000FC290000}"/>
    <cellStyle name="Normal 13 2 5 2 5" xfId="7556" xr:uid="{00000000-0005-0000-0000-0000FD290000}"/>
    <cellStyle name="Normal 13 2 5 2 5 2" xfId="7557" xr:uid="{00000000-0005-0000-0000-0000FE290000}"/>
    <cellStyle name="Normal 13 2 5 2 5 2 2" xfId="49217" xr:uid="{00000000-0005-0000-0000-0000FF290000}"/>
    <cellStyle name="Normal 13 2 5 2 5 2 3" xfId="49218" xr:uid="{00000000-0005-0000-0000-0000002A0000}"/>
    <cellStyle name="Normal 13 2 5 2 5 3" xfId="7558" xr:uid="{00000000-0005-0000-0000-0000012A0000}"/>
    <cellStyle name="Normal 13 2 5 2 5 3 2" xfId="49219" xr:uid="{00000000-0005-0000-0000-0000022A0000}"/>
    <cellStyle name="Normal 13 2 5 2 5 4" xfId="7559" xr:uid="{00000000-0005-0000-0000-0000032A0000}"/>
    <cellStyle name="Normal 13 2 5 2 5 5" xfId="7560" xr:uid="{00000000-0005-0000-0000-0000042A0000}"/>
    <cellStyle name="Normal 13 2 5 2 5 6" xfId="7561" xr:uid="{00000000-0005-0000-0000-0000052A0000}"/>
    <cellStyle name="Normal 13 2 5 2 6" xfId="7562" xr:uid="{00000000-0005-0000-0000-0000062A0000}"/>
    <cellStyle name="Normal 13 2 5 2 6 2" xfId="49220" xr:uid="{00000000-0005-0000-0000-0000072A0000}"/>
    <cellStyle name="Normal 13 2 5 2 6 3" xfId="49221" xr:uid="{00000000-0005-0000-0000-0000082A0000}"/>
    <cellStyle name="Normal 13 2 5 2 7" xfId="7563" xr:uid="{00000000-0005-0000-0000-0000092A0000}"/>
    <cellStyle name="Normal 13 2 5 2 7 2" xfId="49222" xr:uid="{00000000-0005-0000-0000-00000A2A0000}"/>
    <cellStyle name="Normal 13 2 5 2 8" xfId="7564" xr:uid="{00000000-0005-0000-0000-00000B2A0000}"/>
    <cellStyle name="Normal 13 2 5 2 9" xfId="7565" xr:uid="{00000000-0005-0000-0000-00000C2A0000}"/>
    <cellStyle name="Normal 13 2 5 3" xfId="7566" xr:uid="{00000000-0005-0000-0000-00000D2A0000}"/>
    <cellStyle name="Normal 13 2 5 3 2" xfId="7567" xr:uid="{00000000-0005-0000-0000-00000E2A0000}"/>
    <cellStyle name="Normal 13 2 5 3 2 2" xfId="7568" xr:uid="{00000000-0005-0000-0000-00000F2A0000}"/>
    <cellStyle name="Normal 13 2 5 3 2 2 2" xfId="7569" xr:uid="{00000000-0005-0000-0000-0000102A0000}"/>
    <cellStyle name="Normal 13 2 5 3 2 2 2 2" xfId="49223" xr:uid="{00000000-0005-0000-0000-0000112A0000}"/>
    <cellStyle name="Normal 13 2 5 3 2 2 2 3" xfId="49224" xr:uid="{00000000-0005-0000-0000-0000122A0000}"/>
    <cellStyle name="Normal 13 2 5 3 2 2 3" xfId="7570" xr:uid="{00000000-0005-0000-0000-0000132A0000}"/>
    <cellStyle name="Normal 13 2 5 3 2 2 3 2" xfId="49225" xr:uid="{00000000-0005-0000-0000-0000142A0000}"/>
    <cellStyle name="Normal 13 2 5 3 2 2 4" xfId="7571" xr:uid="{00000000-0005-0000-0000-0000152A0000}"/>
    <cellStyle name="Normal 13 2 5 3 2 2 5" xfId="7572" xr:uid="{00000000-0005-0000-0000-0000162A0000}"/>
    <cellStyle name="Normal 13 2 5 3 2 2 6" xfId="7573" xr:uid="{00000000-0005-0000-0000-0000172A0000}"/>
    <cellStyle name="Normal 13 2 5 3 2 3" xfId="7574" xr:uid="{00000000-0005-0000-0000-0000182A0000}"/>
    <cellStyle name="Normal 13 2 5 3 2 3 2" xfId="49226" xr:uid="{00000000-0005-0000-0000-0000192A0000}"/>
    <cellStyle name="Normal 13 2 5 3 2 3 3" xfId="49227" xr:uid="{00000000-0005-0000-0000-00001A2A0000}"/>
    <cellStyle name="Normal 13 2 5 3 2 4" xfId="7575" xr:uid="{00000000-0005-0000-0000-00001B2A0000}"/>
    <cellStyle name="Normal 13 2 5 3 2 4 2" xfId="49228" xr:uid="{00000000-0005-0000-0000-00001C2A0000}"/>
    <cellStyle name="Normal 13 2 5 3 2 5" xfId="7576" xr:uid="{00000000-0005-0000-0000-00001D2A0000}"/>
    <cellStyle name="Normal 13 2 5 3 2 6" xfId="7577" xr:uid="{00000000-0005-0000-0000-00001E2A0000}"/>
    <cellStyle name="Normal 13 2 5 3 2 7" xfId="7578" xr:uid="{00000000-0005-0000-0000-00001F2A0000}"/>
    <cellStyle name="Normal 13 2 5 3 3" xfId="7579" xr:uid="{00000000-0005-0000-0000-0000202A0000}"/>
    <cellStyle name="Normal 13 2 5 3 3 2" xfId="7580" xr:uid="{00000000-0005-0000-0000-0000212A0000}"/>
    <cellStyle name="Normal 13 2 5 3 3 2 2" xfId="49229" xr:uid="{00000000-0005-0000-0000-0000222A0000}"/>
    <cellStyle name="Normal 13 2 5 3 3 2 3" xfId="49230" xr:uid="{00000000-0005-0000-0000-0000232A0000}"/>
    <cellStyle name="Normal 13 2 5 3 3 3" xfId="7581" xr:uid="{00000000-0005-0000-0000-0000242A0000}"/>
    <cellStyle name="Normal 13 2 5 3 3 3 2" xfId="49231" xr:uid="{00000000-0005-0000-0000-0000252A0000}"/>
    <cellStyle name="Normal 13 2 5 3 3 4" xfId="7582" xr:uid="{00000000-0005-0000-0000-0000262A0000}"/>
    <cellStyle name="Normal 13 2 5 3 3 5" xfId="7583" xr:uid="{00000000-0005-0000-0000-0000272A0000}"/>
    <cellStyle name="Normal 13 2 5 3 3 6" xfId="7584" xr:uid="{00000000-0005-0000-0000-0000282A0000}"/>
    <cellStyle name="Normal 13 2 5 3 4" xfId="7585" xr:uid="{00000000-0005-0000-0000-0000292A0000}"/>
    <cellStyle name="Normal 13 2 5 3 4 2" xfId="49232" xr:uid="{00000000-0005-0000-0000-00002A2A0000}"/>
    <cellStyle name="Normal 13 2 5 3 4 3" xfId="49233" xr:uid="{00000000-0005-0000-0000-00002B2A0000}"/>
    <cellStyle name="Normal 13 2 5 3 5" xfId="7586" xr:uid="{00000000-0005-0000-0000-00002C2A0000}"/>
    <cellStyle name="Normal 13 2 5 3 5 2" xfId="49234" xr:uid="{00000000-0005-0000-0000-00002D2A0000}"/>
    <cellStyle name="Normal 13 2 5 3 6" xfId="7587" xr:uid="{00000000-0005-0000-0000-00002E2A0000}"/>
    <cellStyle name="Normal 13 2 5 3 7" xfId="7588" xr:uid="{00000000-0005-0000-0000-00002F2A0000}"/>
    <cellStyle name="Normal 13 2 5 3 8" xfId="7589" xr:uid="{00000000-0005-0000-0000-0000302A0000}"/>
    <cellStyle name="Normal 13 2 5 3 9" xfId="7590" xr:uid="{00000000-0005-0000-0000-0000312A0000}"/>
    <cellStyle name="Normal 13 2 5 4" xfId="7591" xr:uid="{00000000-0005-0000-0000-0000322A0000}"/>
    <cellStyle name="Normal 13 2 5 4 2" xfId="7592" xr:uid="{00000000-0005-0000-0000-0000332A0000}"/>
    <cellStyle name="Normal 13 2 5 4 2 2" xfId="7593" xr:uid="{00000000-0005-0000-0000-0000342A0000}"/>
    <cellStyle name="Normal 13 2 5 4 2 2 2" xfId="7594" xr:uid="{00000000-0005-0000-0000-0000352A0000}"/>
    <cellStyle name="Normal 13 2 5 4 2 2 2 2" xfId="49235" xr:uid="{00000000-0005-0000-0000-0000362A0000}"/>
    <cellStyle name="Normal 13 2 5 4 2 2 2 3" xfId="49236" xr:uid="{00000000-0005-0000-0000-0000372A0000}"/>
    <cellStyle name="Normal 13 2 5 4 2 2 3" xfId="7595" xr:uid="{00000000-0005-0000-0000-0000382A0000}"/>
    <cellStyle name="Normal 13 2 5 4 2 2 3 2" xfId="49237" xr:uid="{00000000-0005-0000-0000-0000392A0000}"/>
    <cellStyle name="Normal 13 2 5 4 2 2 4" xfId="7596" xr:uid="{00000000-0005-0000-0000-00003A2A0000}"/>
    <cellStyle name="Normal 13 2 5 4 2 2 5" xfId="7597" xr:uid="{00000000-0005-0000-0000-00003B2A0000}"/>
    <cellStyle name="Normal 13 2 5 4 2 2 6" xfId="7598" xr:uid="{00000000-0005-0000-0000-00003C2A0000}"/>
    <cellStyle name="Normal 13 2 5 4 2 3" xfId="7599" xr:uid="{00000000-0005-0000-0000-00003D2A0000}"/>
    <cellStyle name="Normal 13 2 5 4 2 3 2" xfId="49238" xr:uid="{00000000-0005-0000-0000-00003E2A0000}"/>
    <cellStyle name="Normal 13 2 5 4 2 3 3" xfId="49239" xr:uid="{00000000-0005-0000-0000-00003F2A0000}"/>
    <cellStyle name="Normal 13 2 5 4 2 4" xfId="7600" xr:uid="{00000000-0005-0000-0000-0000402A0000}"/>
    <cellStyle name="Normal 13 2 5 4 2 4 2" xfId="49240" xr:uid="{00000000-0005-0000-0000-0000412A0000}"/>
    <cellStyle name="Normal 13 2 5 4 2 5" xfId="7601" xr:uid="{00000000-0005-0000-0000-0000422A0000}"/>
    <cellStyle name="Normal 13 2 5 4 2 6" xfId="7602" xr:uid="{00000000-0005-0000-0000-0000432A0000}"/>
    <cellStyle name="Normal 13 2 5 4 2 7" xfId="7603" xr:uid="{00000000-0005-0000-0000-0000442A0000}"/>
    <cellStyle name="Normal 13 2 5 4 3" xfId="7604" xr:uid="{00000000-0005-0000-0000-0000452A0000}"/>
    <cellStyle name="Normal 13 2 5 4 3 2" xfId="7605" xr:uid="{00000000-0005-0000-0000-0000462A0000}"/>
    <cellStyle name="Normal 13 2 5 4 3 2 2" xfId="49241" xr:uid="{00000000-0005-0000-0000-0000472A0000}"/>
    <cellStyle name="Normal 13 2 5 4 3 2 3" xfId="49242" xr:uid="{00000000-0005-0000-0000-0000482A0000}"/>
    <cellStyle name="Normal 13 2 5 4 3 3" xfId="7606" xr:uid="{00000000-0005-0000-0000-0000492A0000}"/>
    <cellStyle name="Normal 13 2 5 4 3 3 2" xfId="49243" xr:uid="{00000000-0005-0000-0000-00004A2A0000}"/>
    <cellStyle name="Normal 13 2 5 4 3 4" xfId="7607" xr:uid="{00000000-0005-0000-0000-00004B2A0000}"/>
    <cellStyle name="Normal 13 2 5 4 3 5" xfId="7608" xr:uid="{00000000-0005-0000-0000-00004C2A0000}"/>
    <cellStyle name="Normal 13 2 5 4 3 6" xfId="7609" xr:uid="{00000000-0005-0000-0000-00004D2A0000}"/>
    <cellStyle name="Normal 13 2 5 4 4" xfId="7610" xr:uid="{00000000-0005-0000-0000-00004E2A0000}"/>
    <cellStyle name="Normal 13 2 5 4 4 2" xfId="49244" xr:uid="{00000000-0005-0000-0000-00004F2A0000}"/>
    <cellStyle name="Normal 13 2 5 4 4 3" xfId="49245" xr:uid="{00000000-0005-0000-0000-0000502A0000}"/>
    <cellStyle name="Normal 13 2 5 4 5" xfId="7611" xr:uid="{00000000-0005-0000-0000-0000512A0000}"/>
    <cellStyle name="Normal 13 2 5 4 5 2" xfId="49246" xr:uid="{00000000-0005-0000-0000-0000522A0000}"/>
    <cellStyle name="Normal 13 2 5 4 6" xfId="7612" xr:uid="{00000000-0005-0000-0000-0000532A0000}"/>
    <cellStyle name="Normal 13 2 5 4 7" xfId="7613" xr:uid="{00000000-0005-0000-0000-0000542A0000}"/>
    <cellStyle name="Normal 13 2 5 4 8" xfId="7614" xr:uid="{00000000-0005-0000-0000-0000552A0000}"/>
    <cellStyle name="Normal 13 2 5 5" xfId="7615" xr:uid="{00000000-0005-0000-0000-0000562A0000}"/>
    <cellStyle name="Normal 13 2 5 5 2" xfId="7616" xr:uid="{00000000-0005-0000-0000-0000572A0000}"/>
    <cellStyle name="Normal 13 2 5 5 2 2" xfId="7617" xr:uid="{00000000-0005-0000-0000-0000582A0000}"/>
    <cellStyle name="Normal 13 2 5 5 2 2 2" xfId="49247" xr:uid="{00000000-0005-0000-0000-0000592A0000}"/>
    <cellStyle name="Normal 13 2 5 5 2 2 3" xfId="49248" xr:uid="{00000000-0005-0000-0000-00005A2A0000}"/>
    <cellStyle name="Normal 13 2 5 5 2 3" xfId="7618" xr:uid="{00000000-0005-0000-0000-00005B2A0000}"/>
    <cellStyle name="Normal 13 2 5 5 2 3 2" xfId="49249" xr:uid="{00000000-0005-0000-0000-00005C2A0000}"/>
    <cellStyle name="Normal 13 2 5 5 2 4" xfId="7619" xr:uid="{00000000-0005-0000-0000-00005D2A0000}"/>
    <cellStyle name="Normal 13 2 5 5 2 5" xfId="7620" xr:uid="{00000000-0005-0000-0000-00005E2A0000}"/>
    <cellStyle name="Normal 13 2 5 5 2 6" xfId="7621" xr:uid="{00000000-0005-0000-0000-00005F2A0000}"/>
    <cellStyle name="Normal 13 2 5 5 3" xfId="7622" xr:uid="{00000000-0005-0000-0000-0000602A0000}"/>
    <cellStyle name="Normal 13 2 5 5 3 2" xfId="49250" xr:uid="{00000000-0005-0000-0000-0000612A0000}"/>
    <cellStyle name="Normal 13 2 5 5 3 3" xfId="49251" xr:uid="{00000000-0005-0000-0000-0000622A0000}"/>
    <cellStyle name="Normal 13 2 5 5 4" xfId="7623" xr:uid="{00000000-0005-0000-0000-0000632A0000}"/>
    <cellStyle name="Normal 13 2 5 5 4 2" xfId="49252" xr:uid="{00000000-0005-0000-0000-0000642A0000}"/>
    <cellStyle name="Normal 13 2 5 5 5" xfId="7624" xr:uid="{00000000-0005-0000-0000-0000652A0000}"/>
    <cellStyle name="Normal 13 2 5 5 6" xfId="7625" xr:uid="{00000000-0005-0000-0000-0000662A0000}"/>
    <cellStyle name="Normal 13 2 5 5 7" xfId="7626" xr:uid="{00000000-0005-0000-0000-0000672A0000}"/>
    <cellStyle name="Normal 13 2 5 6" xfId="7627" xr:uid="{00000000-0005-0000-0000-0000682A0000}"/>
    <cellStyle name="Normal 13 2 5 6 2" xfId="7628" xr:uid="{00000000-0005-0000-0000-0000692A0000}"/>
    <cellStyle name="Normal 13 2 5 6 2 2" xfId="49253" xr:uid="{00000000-0005-0000-0000-00006A2A0000}"/>
    <cellStyle name="Normal 13 2 5 6 2 3" xfId="49254" xr:uid="{00000000-0005-0000-0000-00006B2A0000}"/>
    <cellStyle name="Normal 13 2 5 6 3" xfId="7629" xr:uid="{00000000-0005-0000-0000-00006C2A0000}"/>
    <cellStyle name="Normal 13 2 5 6 3 2" xfId="49255" xr:uid="{00000000-0005-0000-0000-00006D2A0000}"/>
    <cellStyle name="Normal 13 2 5 6 4" xfId="7630" xr:uid="{00000000-0005-0000-0000-00006E2A0000}"/>
    <cellStyle name="Normal 13 2 5 6 5" xfId="7631" xr:uid="{00000000-0005-0000-0000-00006F2A0000}"/>
    <cellStyle name="Normal 13 2 5 6 6" xfId="7632" xr:uid="{00000000-0005-0000-0000-0000702A0000}"/>
    <cellStyle name="Normal 13 2 5 7" xfId="7633" xr:uid="{00000000-0005-0000-0000-0000712A0000}"/>
    <cellStyle name="Normal 13 2 5 7 2" xfId="49256" xr:uid="{00000000-0005-0000-0000-0000722A0000}"/>
    <cellStyle name="Normal 13 2 5 7 3" xfId="49257" xr:uid="{00000000-0005-0000-0000-0000732A0000}"/>
    <cellStyle name="Normal 13 2 5 8" xfId="7634" xr:uid="{00000000-0005-0000-0000-0000742A0000}"/>
    <cellStyle name="Normal 13 2 5 8 2" xfId="49258" xr:uid="{00000000-0005-0000-0000-0000752A0000}"/>
    <cellStyle name="Normal 13 2 5 9" xfId="7635" xr:uid="{00000000-0005-0000-0000-0000762A0000}"/>
    <cellStyle name="Normal 13 2 6" xfId="7636" xr:uid="{00000000-0005-0000-0000-0000772A0000}"/>
    <cellStyle name="Normal 13 2 6 10" xfId="7637" xr:uid="{00000000-0005-0000-0000-0000782A0000}"/>
    <cellStyle name="Normal 13 2 6 11" xfId="7638" xr:uid="{00000000-0005-0000-0000-0000792A0000}"/>
    <cellStyle name="Normal 13 2 6 12" xfId="7639" xr:uid="{00000000-0005-0000-0000-00007A2A0000}"/>
    <cellStyle name="Normal 13 2 6 13" xfId="7640" xr:uid="{00000000-0005-0000-0000-00007B2A0000}"/>
    <cellStyle name="Normal 13 2 6 14" xfId="7641" xr:uid="{00000000-0005-0000-0000-00007C2A0000}"/>
    <cellStyle name="Normal 13 2 6 2" xfId="7642" xr:uid="{00000000-0005-0000-0000-00007D2A0000}"/>
    <cellStyle name="Normal 13 2 6 2 2" xfId="7643" xr:uid="{00000000-0005-0000-0000-00007E2A0000}"/>
    <cellStyle name="Normal 13 2 6 2 2 2" xfId="7644" xr:uid="{00000000-0005-0000-0000-00007F2A0000}"/>
    <cellStyle name="Normal 13 2 6 2 2 2 2" xfId="7645" xr:uid="{00000000-0005-0000-0000-0000802A0000}"/>
    <cellStyle name="Normal 13 2 6 2 2 2 2 2" xfId="49259" xr:uid="{00000000-0005-0000-0000-0000812A0000}"/>
    <cellStyle name="Normal 13 2 6 2 2 2 2 3" xfId="49260" xr:uid="{00000000-0005-0000-0000-0000822A0000}"/>
    <cellStyle name="Normal 13 2 6 2 2 2 3" xfId="7646" xr:uid="{00000000-0005-0000-0000-0000832A0000}"/>
    <cellStyle name="Normal 13 2 6 2 2 2 3 2" xfId="49261" xr:uid="{00000000-0005-0000-0000-0000842A0000}"/>
    <cellStyle name="Normal 13 2 6 2 2 2 4" xfId="7647" xr:uid="{00000000-0005-0000-0000-0000852A0000}"/>
    <cellStyle name="Normal 13 2 6 2 2 2 5" xfId="7648" xr:uid="{00000000-0005-0000-0000-0000862A0000}"/>
    <cellStyle name="Normal 13 2 6 2 2 2 6" xfId="7649" xr:uid="{00000000-0005-0000-0000-0000872A0000}"/>
    <cellStyle name="Normal 13 2 6 2 2 3" xfId="7650" xr:uid="{00000000-0005-0000-0000-0000882A0000}"/>
    <cellStyle name="Normal 13 2 6 2 2 3 2" xfId="49262" xr:uid="{00000000-0005-0000-0000-0000892A0000}"/>
    <cellStyle name="Normal 13 2 6 2 2 3 3" xfId="49263" xr:uid="{00000000-0005-0000-0000-00008A2A0000}"/>
    <cellStyle name="Normal 13 2 6 2 2 4" xfId="7651" xr:uid="{00000000-0005-0000-0000-00008B2A0000}"/>
    <cellStyle name="Normal 13 2 6 2 2 4 2" xfId="49264" xr:uid="{00000000-0005-0000-0000-00008C2A0000}"/>
    <cellStyle name="Normal 13 2 6 2 2 5" xfId="7652" xr:uid="{00000000-0005-0000-0000-00008D2A0000}"/>
    <cellStyle name="Normal 13 2 6 2 2 6" xfId="7653" xr:uid="{00000000-0005-0000-0000-00008E2A0000}"/>
    <cellStyle name="Normal 13 2 6 2 2 7" xfId="7654" xr:uid="{00000000-0005-0000-0000-00008F2A0000}"/>
    <cellStyle name="Normal 13 2 6 2 3" xfId="7655" xr:uid="{00000000-0005-0000-0000-0000902A0000}"/>
    <cellStyle name="Normal 13 2 6 2 3 2" xfId="7656" xr:uid="{00000000-0005-0000-0000-0000912A0000}"/>
    <cellStyle name="Normal 13 2 6 2 3 2 2" xfId="49265" xr:uid="{00000000-0005-0000-0000-0000922A0000}"/>
    <cellStyle name="Normal 13 2 6 2 3 2 3" xfId="49266" xr:uid="{00000000-0005-0000-0000-0000932A0000}"/>
    <cellStyle name="Normal 13 2 6 2 3 3" xfId="7657" xr:uid="{00000000-0005-0000-0000-0000942A0000}"/>
    <cellStyle name="Normal 13 2 6 2 3 3 2" xfId="49267" xr:uid="{00000000-0005-0000-0000-0000952A0000}"/>
    <cellStyle name="Normal 13 2 6 2 3 4" xfId="7658" xr:uid="{00000000-0005-0000-0000-0000962A0000}"/>
    <cellStyle name="Normal 13 2 6 2 3 5" xfId="7659" xr:uid="{00000000-0005-0000-0000-0000972A0000}"/>
    <cellStyle name="Normal 13 2 6 2 3 6" xfId="7660" xr:uid="{00000000-0005-0000-0000-0000982A0000}"/>
    <cellStyle name="Normal 13 2 6 2 4" xfId="7661" xr:uid="{00000000-0005-0000-0000-0000992A0000}"/>
    <cellStyle name="Normal 13 2 6 2 4 2" xfId="49268" xr:uid="{00000000-0005-0000-0000-00009A2A0000}"/>
    <cellStyle name="Normal 13 2 6 2 4 3" xfId="49269" xr:uid="{00000000-0005-0000-0000-00009B2A0000}"/>
    <cellStyle name="Normal 13 2 6 2 5" xfId="7662" xr:uid="{00000000-0005-0000-0000-00009C2A0000}"/>
    <cellStyle name="Normal 13 2 6 2 5 2" xfId="49270" xr:uid="{00000000-0005-0000-0000-00009D2A0000}"/>
    <cellStyle name="Normal 13 2 6 2 6" xfId="7663" xr:uid="{00000000-0005-0000-0000-00009E2A0000}"/>
    <cellStyle name="Normal 13 2 6 2 7" xfId="7664" xr:uid="{00000000-0005-0000-0000-00009F2A0000}"/>
    <cellStyle name="Normal 13 2 6 2 8" xfId="7665" xr:uid="{00000000-0005-0000-0000-0000A02A0000}"/>
    <cellStyle name="Normal 13 2 6 2 9" xfId="7666" xr:uid="{00000000-0005-0000-0000-0000A12A0000}"/>
    <cellStyle name="Normal 13 2 6 3" xfId="7667" xr:uid="{00000000-0005-0000-0000-0000A22A0000}"/>
    <cellStyle name="Normal 13 2 6 3 2" xfId="7668" xr:uid="{00000000-0005-0000-0000-0000A32A0000}"/>
    <cellStyle name="Normal 13 2 6 3 2 2" xfId="7669" xr:uid="{00000000-0005-0000-0000-0000A42A0000}"/>
    <cellStyle name="Normal 13 2 6 3 2 2 2" xfId="7670" xr:uid="{00000000-0005-0000-0000-0000A52A0000}"/>
    <cellStyle name="Normal 13 2 6 3 2 2 2 2" xfId="49271" xr:uid="{00000000-0005-0000-0000-0000A62A0000}"/>
    <cellStyle name="Normal 13 2 6 3 2 2 2 3" xfId="49272" xr:uid="{00000000-0005-0000-0000-0000A72A0000}"/>
    <cellStyle name="Normal 13 2 6 3 2 2 3" xfId="7671" xr:uid="{00000000-0005-0000-0000-0000A82A0000}"/>
    <cellStyle name="Normal 13 2 6 3 2 2 3 2" xfId="49273" xr:uid="{00000000-0005-0000-0000-0000A92A0000}"/>
    <cellStyle name="Normal 13 2 6 3 2 2 4" xfId="7672" xr:uid="{00000000-0005-0000-0000-0000AA2A0000}"/>
    <cellStyle name="Normal 13 2 6 3 2 2 5" xfId="7673" xr:uid="{00000000-0005-0000-0000-0000AB2A0000}"/>
    <cellStyle name="Normal 13 2 6 3 2 2 6" xfId="7674" xr:uid="{00000000-0005-0000-0000-0000AC2A0000}"/>
    <cellStyle name="Normal 13 2 6 3 2 3" xfId="7675" xr:uid="{00000000-0005-0000-0000-0000AD2A0000}"/>
    <cellStyle name="Normal 13 2 6 3 2 3 2" xfId="49274" xr:uid="{00000000-0005-0000-0000-0000AE2A0000}"/>
    <cellStyle name="Normal 13 2 6 3 2 3 3" xfId="49275" xr:uid="{00000000-0005-0000-0000-0000AF2A0000}"/>
    <cellStyle name="Normal 13 2 6 3 2 4" xfId="7676" xr:uid="{00000000-0005-0000-0000-0000B02A0000}"/>
    <cellStyle name="Normal 13 2 6 3 2 4 2" xfId="49276" xr:uid="{00000000-0005-0000-0000-0000B12A0000}"/>
    <cellStyle name="Normal 13 2 6 3 2 5" xfId="7677" xr:uid="{00000000-0005-0000-0000-0000B22A0000}"/>
    <cellStyle name="Normal 13 2 6 3 2 6" xfId="7678" xr:uid="{00000000-0005-0000-0000-0000B32A0000}"/>
    <cellStyle name="Normal 13 2 6 3 2 7" xfId="7679" xr:uid="{00000000-0005-0000-0000-0000B42A0000}"/>
    <cellStyle name="Normal 13 2 6 3 3" xfId="7680" xr:uid="{00000000-0005-0000-0000-0000B52A0000}"/>
    <cellStyle name="Normal 13 2 6 3 3 2" xfId="7681" xr:uid="{00000000-0005-0000-0000-0000B62A0000}"/>
    <cellStyle name="Normal 13 2 6 3 3 2 2" xfId="49277" xr:uid="{00000000-0005-0000-0000-0000B72A0000}"/>
    <cellStyle name="Normal 13 2 6 3 3 2 3" xfId="49278" xr:uid="{00000000-0005-0000-0000-0000B82A0000}"/>
    <cellStyle name="Normal 13 2 6 3 3 3" xfId="7682" xr:uid="{00000000-0005-0000-0000-0000B92A0000}"/>
    <cellStyle name="Normal 13 2 6 3 3 3 2" xfId="49279" xr:uid="{00000000-0005-0000-0000-0000BA2A0000}"/>
    <cellStyle name="Normal 13 2 6 3 3 4" xfId="7683" xr:uid="{00000000-0005-0000-0000-0000BB2A0000}"/>
    <cellStyle name="Normal 13 2 6 3 3 5" xfId="7684" xr:uid="{00000000-0005-0000-0000-0000BC2A0000}"/>
    <cellStyle name="Normal 13 2 6 3 3 6" xfId="7685" xr:uid="{00000000-0005-0000-0000-0000BD2A0000}"/>
    <cellStyle name="Normal 13 2 6 3 4" xfId="7686" xr:uid="{00000000-0005-0000-0000-0000BE2A0000}"/>
    <cellStyle name="Normal 13 2 6 3 4 2" xfId="49280" xr:uid="{00000000-0005-0000-0000-0000BF2A0000}"/>
    <cellStyle name="Normal 13 2 6 3 4 3" xfId="49281" xr:uid="{00000000-0005-0000-0000-0000C02A0000}"/>
    <cellStyle name="Normal 13 2 6 3 5" xfId="7687" xr:uid="{00000000-0005-0000-0000-0000C12A0000}"/>
    <cellStyle name="Normal 13 2 6 3 5 2" xfId="49282" xr:uid="{00000000-0005-0000-0000-0000C22A0000}"/>
    <cellStyle name="Normal 13 2 6 3 6" xfId="7688" xr:uid="{00000000-0005-0000-0000-0000C32A0000}"/>
    <cellStyle name="Normal 13 2 6 3 7" xfId="7689" xr:uid="{00000000-0005-0000-0000-0000C42A0000}"/>
    <cellStyle name="Normal 13 2 6 3 8" xfId="7690" xr:uid="{00000000-0005-0000-0000-0000C52A0000}"/>
    <cellStyle name="Normal 13 2 6 4" xfId="7691" xr:uid="{00000000-0005-0000-0000-0000C62A0000}"/>
    <cellStyle name="Normal 13 2 6 4 2" xfId="7692" xr:uid="{00000000-0005-0000-0000-0000C72A0000}"/>
    <cellStyle name="Normal 13 2 6 4 2 2" xfId="7693" xr:uid="{00000000-0005-0000-0000-0000C82A0000}"/>
    <cellStyle name="Normal 13 2 6 4 2 2 2" xfId="49283" xr:uid="{00000000-0005-0000-0000-0000C92A0000}"/>
    <cellStyle name="Normal 13 2 6 4 2 2 3" xfId="49284" xr:uid="{00000000-0005-0000-0000-0000CA2A0000}"/>
    <cellStyle name="Normal 13 2 6 4 2 3" xfId="7694" xr:uid="{00000000-0005-0000-0000-0000CB2A0000}"/>
    <cellStyle name="Normal 13 2 6 4 2 3 2" xfId="49285" xr:uid="{00000000-0005-0000-0000-0000CC2A0000}"/>
    <cellStyle name="Normal 13 2 6 4 2 4" xfId="7695" xr:uid="{00000000-0005-0000-0000-0000CD2A0000}"/>
    <cellStyle name="Normal 13 2 6 4 2 5" xfId="7696" xr:uid="{00000000-0005-0000-0000-0000CE2A0000}"/>
    <cellStyle name="Normal 13 2 6 4 2 6" xfId="7697" xr:uid="{00000000-0005-0000-0000-0000CF2A0000}"/>
    <cellStyle name="Normal 13 2 6 4 3" xfId="7698" xr:uid="{00000000-0005-0000-0000-0000D02A0000}"/>
    <cellStyle name="Normal 13 2 6 4 3 2" xfId="49286" xr:uid="{00000000-0005-0000-0000-0000D12A0000}"/>
    <cellStyle name="Normal 13 2 6 4 3 3" xfId="49287" xr:uid="{00000000-0005-0000-0000-0000D22A0000}"/>
    <cellStyle name="Normal 13 2 6 4 4" xfId="7699" xr:uid="{00000000-0005-0000-0000-0000D32A0000}"/>
    <cellStyle name="Normal 13 2 6 4 4 2" xfId="49288" xr:uid="{00000000-0005-0000-0000-0000D42A0000}"/>
    <cellStyle name="Normal 13 2 6 4 5" xfId="7700" xr:uid="{00000000-0005-0000-0000-0000D52A0000}"/>
    <cellStyle name="Normal 13 2 6 4 6" xfId="7701" xr:uid="{00000000-0005-0000-0000-0000D62A0000}"/>
    <cellStyle name="Normal 13 2 6 4 7" xfId="7702" xr:uid="{00000000-0005-0000-0000-0000D72A0000}"/>
    <cellStyle name="Normal 13 2 6 5" xfId="7703" xr:uid="{00000000-0005-0000-0000-0000D82A0000}"/>
    <cellStyle name="Normal 13 2 6 5 2" xfId="7704" xr:uid="{00000000-0005-0000-0000-0000D92A0000}"/>
    <cellStyle name="Normal 13 2 6 5 2 2" xfId="49289" xr:uid="{00000000-0005-0000-0000-0000DA2A0000}"/>
    <cellStyle name="Normal 13 2 6 5 2 3" xfId="49290" xr:uid="{00000000-0005-0000-0000-0000DB2A0000}"/>
    <cellStyle name="Normal 13 2 6 5 3" xfId="7705" xr:uid="{00000000-0005-0000-0000-0000DC2A0000}"/>
    <cellStyle name="Normal 13 2 6 5 3 2" xfId="49291" xr:uid="{00000000-0005-0000-0000-0000DD2A0000}"/>
    <cellStyle name="Normal 13 2 6 5 4" xfId="7706" xr:uid="{00000000-0005-0000-0000-0000DE2A0000}"/>
    <cellStyle name="Normal 13 2 6 5 5" xfId="7707" xr:uid="{00000000-0005-0000-0000-0000DF2A0000}"/>
    <cellStyle name="Normal 13 2 6 5 6" xfId="7708" xr:uid="{00000000-0005-0000-0000-0000E02A0000}"/>
    <cellStyle name="Normal 13 2 6 6" xfId="7709" xr:uid="{00000000-0005-0000-0000-0000E12A0000}"/>
    <cellStyle name="Normal 13 2 6 6 2" xfId="49292" xr:uid="{00000000-0005-0000-0000-0000E22A0000}"/>
    <cellStyle name="Normal 13 2 6 6 3" xfId="49293" xr:uid="{00000000-0005-0000-0000-0000E32A0000}"/>
    <cellStyle name="Normal 13 2 6 7" xfId="7710" xr:uid="{00000000-0005-0000-0000-0000E42A0000}"/>
    <cellStyle name="Normal 13 2 6 7 2" xfId="49294" xr:uid="{00000000-0005-0000-0000-0000E52A0000}"/>
    <cellStyle name="Normal 13 2 6 8" xfId="7711" xr:uid="{00000000-0005-0000-0000-0000E62A0000}"/>
    <cellStyle name="Normal 13 2 6 9" xfId="7712" xr:uid="{00000000-0005-0000-0000-0000E72A0000}"/>
    <cellStyle name="Normal 13 2 7" xfId="7713" xr:uid="{00000000-0005-0000-0000-0000E82A0000}"/>
    <cellStyle name="Normal 13 2 7 10" xfId="7714" xr:uid="{00000000-0005-0000-0000-0000E92A0000}"/>
    <cellStyle name="Normal 13 2 7 11" xfId="7715" xr:uid="{00000000-0005-0000-0000-0000EA2A0000}"/>
    <cellStyle name="Normal 13 2 7 12" xfId="7716" xr:uid="{00000000-0005-0000-0000-0000EB2A0000}"/>
    <cellStyle name="Normal 13 2 7 13" xfId="7717" xr:uid="{00000000-0005-0000-0000-0000EC2A0000}"/>
    <cellStyle name="Normal 13 2 7 14" xfId="7718" xr:uid="{00000000-0005-0000-0000-0000ED2A0000}"/>
    <cellStyle name="Normal 13 2 7 2" xfId="7719" xr:uid="{00000000-0005-0000-0000-0000EE2A0000}"/>
    <cellStyle name="Normal 13 2 7 2 2" xfId="7720" xr:uid="{00000000-0005-0000-0000-0000EF2A0000}"/>
    <cellStyle name="Normal 13 2 7 2 2 2" xfId="7721" xr:uid="{00000000-0005-0000-0000-0000F02A0000}"/>
    <cellStyle name="Normal 13 2 7 2 2 2 2" xfId="7722" xr:uid="{00000000-0005-0000-0000-0000F12A0000}"/>
    <cellStyle name="Normal 13 2 7 2 2 2 2 2" xfId="49295" xr:uid="{00000000-0005-0000-0000-0000F22A0000}"/>
    <cellStyle name="Normal 13 2 7 2 2 2 2 3" xfId="49296" xr:uid="{00000000-0005-0000-0000-0000F32A0000}"/>
    <cellStyle name="Normal 13 2 7 2 2 2 3" xfId="7723" xr:uid="{00000000-0005-0000-0000-0000F42A0000}"/>
    <cellStyle name="Normal 13 2 7 2 2 2 3 2" xfId="49297" xr:uid="{00000000-0005-0000-0000-0000F52A0000}"/>
    <cellStyle name="Normal 13 2 7 2 2 2 4" xfId="7724" xr:uid="{00000000-0005-0000-0000-0000F62A0000}"/>
    <cellStyle name="Normal 13 2 7 2 2 2 5" xfId="7725" xr:uid="{00000000-0005-0000-0000-0000F72A0000}"/>
    <cellStyle name="Normal 13 2 7 2 2 2 6" xfId="7726" xr:uid="{00000000-0005-0000-0000-0000F82A0000}"/>
    <cellStyle name="Normal 13 2 7 2 2 3" xfId="7727" xr:uid="{00000000-0005-0000-0000-0000F92A0000}"/>
    <cellStyle name="Normal 13 2 7 2 2 3 2" xfId="49298" xr:uid="{00000000-0005-0000-0000-0000FA2A0000}"/>
    <cellStyle name="Normal 13 2 7 2 2 3 3" xfId="49299" xr:uid="{00000000-0005-0000-0000-0000FB2A0000}"/>
    <cellStyle name="Normal 13 2 7 2 2 4" xfId="7728" xr:uid="{00000000-0005-0000-0000-0000FC2A0000}"/>
    <cellStyle name="Normal 13 2 7 2 2 4 2" xfId="49300" xr:uid="{00000000-0005-0000-0000-0000FD2A0000}"/>
    <cellStyle name="Normal 13 2 7 2 2 5" xfId="7729" xr:uid="{00000000-0005-0000-0000-0000FE2A0000}"/>
    <cellStyle name="Normal 13 2 7 2 2 6" xfId="7730" xr:uid="{00000000-0005-0000-0000-0000FF2A0000}"/>
    <cellStyle name="Normal 13 2 7 2 2 7" xfId="7731" xr:uid="{00000000-0005-0000-0000-0000002B0000}"/>
    <cellStyle name="Normal 13 2 7 2 3" xfId="7732" xr:uid="{00000000-0005-0000-0000-0000012B0000}"/>
    <cellStyle name="Normal 13 2 7 2 3 2" xfId="7733" xr:uid="{00000000-0005-0000-0000-0000022B0000}"/>
    <cellStyle name="Normal 13 2 7 2 3 2 2" xfId="49301" xr:uid="{00000000-0005-0000-0000-0000032B0000}"/>
    <cellStyle name="Normal 13 2 7 2 3 2 3" xfId="49302" xr:uid="{00000000-0005-0000-0000-0000042B0000}"/>
    <cellStyle name="Normal 13 2 7 2 3 3" xfId="7734" xr:uid="{00000000-0005-0000-0000-0000052B0000}"/>
    <cellStyle name="Normal 13 2 7 2 3 3 2" xfId="49303" xr:uid="{00000000-0005-0000-0000-0000062B0000}"/>
    <cellStyle name="Normal 13 2 7 2 3 4" xfId="7735" xr:uid="{00000000-0005-0000-0000-0000072B0000}"/>
    <cellStyle name="Normal 13 2 7 2 3 5" xfId="7736" xr:uid="{00000000-0005-0000-0000-0000082B0000}"/>
    <cellStyle name="Normal 13 2 7 2 3 6" xfId="7737" xr:uid="{00000000-0005-0000-0000-0000092B0000}"/>
    <cellStyle name="Normal 13 2 7 2 4" xfId="7738" xr:uid="{00000000-0005-0000-0000-00000A2B0000}"/>
    <cellStyle name="Normal 13 2 7 2 4 2" xfId="49304" xr:uid="{00000000-0005-0000-0000-00000B2B0000}"/>
    <cellStyle name="Normal 13 2 7 2 4 3" xfId="49305" xr:uid="{00000000-0005-0000-0000-00000C2B0000}"/>
    <cellStyle name="Normal 13 2 7 2 5" xfId="7739" xr:uid="{00000000-0005-0000-0000-00000D2B0000}"/>
    <cellStyle name="Normal 13 2 7 2 5 2" xfId="49306" xr:uid="{00000000-0005-0000-0000-00000E2B0000}"/>
    <cellStyle name="Normal 13 2 7 2 6" xfId="7740" xr:uid="{00000000-0005-0000-0000-00000F2B0000}"/>
    <cellStyle name="Normal 13 2 7 2 7" xfId="7741" xr:uid="{00000000-0005-0000-0000-0000102B0000}"/>
    <cellStyle name="Normal 13 2 7 2 8" xfId="7742" xr:uid="{00000000-0005-0000-0000-0000112B0000}"/>
    <cellStyle name="Normal 13 2 7 2 9" xfId="7743" xr:uid="{00000000-0005-0000-0000-0000122B0000}"/>
    <cellStyle name="Normal 13 2 7 3" xfId="7744" xr:uid="{00000000-0005-0000-0000-0000132B0000}"/>
    <cellStyle name="Normal 13 2 7 3 2" xfId="7745" xr:uid="{00000000-0005-0000-0000-0000142B0000}"/>
    <cellStyle name="Normal 13 2 7 3 2 2" xfId="7746" xr:uid="{00000000-0005-0000-0000-0000152B0000}"/>
    <cellStyle name="Normal 13 2 7 3 2 2 2" xfId="7747" xr:uid="{00000000-0005-0000-0000-0000162B0000}"/>
    <cellStyle name="Normal 13 2 7 3 2 2 2 2" xfId="49307" xr:uid="{00000000-0005-0000-0000-0000172B0000}"/>
    <cellStyle name="Normal 13 2 7 3 2 2 2 3" xfId="49308" xr:uid="{00000000-0005-0000-0000-0000182B0000}"/>
    <cellStyle name="Normal 13 2 7 3 2 2 3" xfId="7748" xr:uid="{00000000-0005-0000-0000-0000192B0000}"/>
    <cellStyle name="Normal 13 2 7 3 2 2 3 2" xfId="49309" xr:uid="{00000000-0005-0000-0000-00001A2B0000}"/>
    <cellStyle name="Normal 13 2 7 3 2 2 4" xfId="7749" xr:uid="{00000000-0005-0000-0000-00001B2B0000}"/>
    <cellStyle name="Normal 13 2 7 3 2 2 5" xfId="7750" xr:uid="{00000000-0005-0000-0000-00001C2B0000}"/>
    <cellStyle name="Normal 13 2 7 3 2 2 6" xfId="7751" xr:uid="{00000000-0005-0000-0000-00001D2B0000}"/>
    <cellStyle name="Normal 13 2 7 3 2 3" xfId="7752" xr:uid="{00000000-0005-0000-0000-00001E2B0000}"/>
    <cellStyle name="Normal 13 2 7 3 2 3 2" xfId="49310" xr:uid="{00000000-0005-0000-0000-00001F2B0000}"/>
    <cellStyle name="Normal 13 2 7 3 2 3 3" xfId="49311" xr:uid="{00000000-0005-0000-0000-0000202B0000}"/>
    <cellStyle name="Normal 13 2 7 3 2 4" xfId="7753" xr:uid="{00000000-0005-0000-0000-0000212B0000}"/>
    <cellStyle name="Normal 13 2 7 3 2 4 2" xfId="49312" xr:uid="{00000000-0005-0000-0000-0000222B0000}"/>
    <cellStyle name="Normal 13 2 7 3 2 5" xfId="7754" xr:uid="{00000000-0005-0000-0000-0000232B0000}"/>
    <cellStyle name="Normal 13 2 7 3 2 6" xfId="7755" xr:uid="{00000000-0005-0000-0000-0000242B0000}"/>
    <cellStyle name="Normal 13 2 7 3 2 7" xfId="7756" xr:uid="{00000000-0005-0000-0000-0000252B0000}"/>
    <cellStyle name="Normal 13 2 7 3 3" xfId="7757" xr:uid="{00000000-0005-0000-0000-0000262B0000}"/>
    <cellStyle name="Normal 13 2 7 3 3 2" xfId="7758" xr:uid="{00000000-0005-0000-0000-0000272B0000}"/>
    <cellStyle name="Normal 13 2 7 3 3 2 2" xfId="49313" xr:uid="{00000000-0005-0000-0000-0000282B0000}"/>
    <cellStyle name="Normal 13 2 7 3 3 2 3" xfId="49314" xr:uid="{00000000-0005-0000-0000-0000292B0000}"/>
    <cellStyle name="Normal 13 2 7 3 3 3" xfId="7759" xr:uid="{00000000-0005-0000-0000-00002A2B0000}"/>
    <cellStyle name="Normal 13 2 7 3 3 3 2" xfId="49315" xr:uid="{00000000-0005-0000-0000-00002B2B0000}"/>
    <cellStyle name="Normal 13 2 7 3 3 4" xfId="7760" xr:uid="{00000000-0005-0000-0000-00002C2B0000}"/>
    <cellStyle name="Normal 13 2 7 3 3 5" xfId="7761" xr:uid="{00000000-0005-0000-0000-00002D2B0000}"/>
    <cellStyle name="Normal 13 2 7 3 3 6" xfId="7762" xr:uid="{00000000-0005-0000-0000-00002E2B0000}"/>
    <cellStyle name="Normal 13 2 7 3 4" xfId="7763" xr:uid="{00000000-0005-0000-0000-00002F2B0000}"/>
    <cellStyle name="Normal 13 2 7 3 4 2" xfId="49316" xr:uid="{00000000-0005-0000-0000-0000302B0000}"/>
    <cellStyle name="Normal 13 2 7 3 4 3" xfId="49317" xr:uid="{00000000-0005-0000-0000-0000312B0000}"/>
    <cellStyle name="Normal 13 2 7 3 5" xfId="7764" xr:uid="{00000000-0005-0000-0000-0000322B0000}"/>
    <cellStyle name="Normal 13 2 7 3 5 2" xfId="49318" xr:uid="{00000000-0005-0000-0000-0000332B0000}"/>
    <cellStyle name="Normal 13 2 7 3 6" xfId="7765" xr:uid="{00000000-0005-0000-0000-0000342B0000}"/>
    <cellStyle name="Normal 13 2 7 3 7" xfId="7766" xr:uid="{00000000-0005-0000-0000-0000352B0000}"/>
    <cellStyle name="Normal 13 2 7 3 8" xfId="7767" xr:uid="{00000000-0005-0000-0000-0000362B0000}"/>
    <cellStyle name="Normal 13 2 7 4" xfId="7768" xr:uid="{00000000-0005-0000-0000-0000372B0000}"/>
    <cellStyle name="Normal 13 2 7 4 2" xfId="7769" xr:uid="{00000000-0005-0000-0000-0000382B0000}"/>
    <cellStyle name="Normal 13 2 7 4 2 2" xfId="7770" xr:uid="{00000000-0005-0000-0000-0000392B0000}"/>
    <cellStyle name="Normal 13 2 7 4 2 2 2" xfId="49319" xr:uid="{00000000-0005-0000-0000-00003A2B0000}"/>
    <cellStyle name="Normal 13 2 7 4 2 2 3" xfId="49320" xr:uid="{00000000-0005-0000-0000-00003B2B0000}"/>
    <cellStyle name="Normal 13 2 7 4 2 3" xfId="7771" xr:uid="{00000000-0005-0000-0000-00003C2B0000}"/>
    <cellStyle name="Normal 13 2 7 4 2 3 2" xfId="49321" xr:uid="{00000000-0005-0000-0000-00003D2B0000}"/>
    <cellStyle name="Normal 13 2 7 4 2 4" xfId="7772" xr:uid="{00000000-0005-0000-0000-00003E2B0000}"/>
    <cellStyle name="Normal 13 2 7 4 2 5" xfId="7773" xr:uid="{00000000-0005-0000-0000-00003F2B0000}"/>
    <cellStyle name="Normal 13 2 7 4 2 6" xfId="7774" xr:uid="{00000000-0005-0000-0000-0000402B0000}"/>
    <cellStyle name="Normal 13 2 7 4 3" xfId="7775" xr:uid="{00000000-0005-0000-0000-0000412B0000}"/>
    <cellStyle name="Normal 13 2 7 4 3 2" xfId="49322" xr:uid="{00000000-0005-0000-0000-0000422B0000}"/>
    <cellStyle name="Normal 13 2 7 4 3 3" xfId="49323" xr:uid="{00000000-0005-0000-0000-0000432B0000}"/>
    <cellStyle name="Normal 13 2 7 4 4" xfId="7776" xr:uid="{00000000-0005-0000-0000-0000442B0000}"/>
    <cellStyle name="Normal 13 2 7 4 4 2" xfId="49324" xr:uid="{00000000-0005-0000-0000-0000452B0000}"/>
    <cellStyle name="Normal 13 2 7 4 5" xfId="7777" xr:uid="{00000000-0005-0000-0000-0000462B0000}"/>
    <cellStyle name="Normal 13 2 7 4 6" xfId="7778" xr:uid="{00000000-0005-0000-0000-0000472B0000}"/>
    <cellStyle name="Normal 13 2 7 4 7" xfId="7779" xr:uid="{00000000-0005-0000-0000-0000482B0000}"/>
    <cellStyle name="Normal 13 2 7 5" xfId="7780" xr:uid="{00000000-0005-0000-0000-0000492B0000}"/>
    <cellStyle name="Normal 13 2 7 5 2" xfId="7781" xr:uid="{00000000-0005-0000-0000-00004A2B0000}"/>
    <cellStyle name="Normal 13 2 7 5 2 2" xfId="49325" xr:uid="{00000000-0005-0000-0000-00004B2B0000}"/>
    <cellStyle name="Normal 13 2 7 5 2 3" xfId="49326" xr:uid="{00000000-0005-0000-0000-00004C2B0000}"/>
    <cellStyle name="Normal 13 2 7 5 3" xfId="7782" xr:uid="{00000000-0005-0000-0000-00004D2B0000}"/>
    <cellStyle name="Normal 13 2 7 5 3 2" xfId="49327" xr:uid="{00000000-0005-0000-0000-00004E2B0000}"/>
    <cellStyle name="Normal 13 2 7 5 4" xfId="7783" xr:uid="{00000000-0005-0000-0000-00004F2B0000}"/>
    <cellStyle name="Normal 13 2 7 5 5" xfId="7784" xr:uid="{00000000-0005-0000-0000-0000502B0000}"/>
    <cellStyle name="Normal 13 2 7 5 6" xfId="7785" xr:uid="{00000000-0005-0000-0000-0000512B0000}"/>
    <cellStyle name="Normal 13 2 7 6" xfId="7786" xr:uid="{00000000-0005-0000-0000-0000522B0000}"/>
    <cellStyle name="Normal 13 2 7 6 2" xfId="49328" xr:uid="{00000000-0005-0000-0000-0000532B0000}"/>
    <cellStyle name="Normal 13 2 7 6 3" xfId="49329" xr:uid="{00000000-0005-0000-0000-0000542B0000}"/>
    <cellStyle name="Normal 13 2 7 7" xfId="7787" xr:uid="{00000000-0005-0000-0000-0000552B0000}"/>
    <cellStyle name="Normal 13 2 7 7 2" xfId="49330" xr:uid="{00000000-0005-0000-0000-0000562B0000}"/>
    <cellStyle name="Normal 13 2 7 8" xfId="7788" xr:uid="{00000000-0005-0000-0000-0000572B0000}"/>
    <cellStyle name="Normal 13 2 7 9" xfId="7789" xr:uid="{00000000-0005-0000-0000-0000582B0000}"/>
    <cellStyle name="Normal 13 2 8" xfId="7790" xr:uid="{00000000-0005-0000-0000-0000592B0000}"/>
    <cellStyle name="Normal 13 2 8 10" xfId="7791" xr:uid="{00000000-0005-0000-0000-00005A2B0000}"/>
    <cellStyle name="Normal 13 2 8 11" xfId="7792" xr:uid="{00000000-0005-0000-0000-00005B2B0000}"/>
    <cellStyle name="Normal 13 2 8 12" xfId="7793" xr:uid="{00000000-0005-0000-0000-00005C2B0000}"/>
    <cellStyle name="Normal 13 2 8 13" xfId="7794" xr:uid="{00000000-0005-0000-0000-00005D2B0000}"/>
    <cellStyle name="Normal 13 2 8 2" xfId="7795" xr:uid="{00000000-0005-0000-0000-00005E2B0000}"/>
    <cellStyle name="Normal 13 2 8 2 2" xfId="7796" xr:uid="{00000000-0005-0000-0000-00005F2B0000}"/>
    <cellStyle name="Normal 13 2 8 2 2 2" xfId="7797" xr:uid="{00000000-0005-0000-0000-0000602B0000}"/>
    <cellStyle name="Normal 13 2 8 2 2 2 2" xfId="7798" xr:uid="{00000000-0005-0000-0000-0000612B0000}"/>
    <cellStyle name="Normal 13 2 8 2 2 2 2 2" xfId="49331" xr:uid="{00000000-0005-0000-0000-0000622B0000}"/>
    <cellStyle name="Normal 13 2 8 2 2 2 2 3" xfId="49332" xr:uid="{00000000-0005-0000-0000-0000632B0000}"/>
    <cellStyle name="Normal 13 2 8 2 2 2 3" xfId="7799" xr:uid="{00000000-0005-0000-0000-0000642B0000}"/>
    <cellStyle name="Normal 13 2 8 2 2 2 3 2" xfId="49333" xr:uid="{00000000-0005-0000-0000-0000652B0000}"/>
    <cellStyle name="Normal 13 2 8 2 2 2 4" xfId="7800" xr:uid="{00000000-0005-0000-0000-0000662B0000}"/>
    <cellStyle name="Normal 13 2 8 2 2 2 5" xfId="7801" xr:uid="{00000000-0005-0000-0000-0000672B0000}"/>
    <cellStyle name="Normal 13 2 8 2 2 2 6" xfId="7802" xr:uid="{00000000-0005-0000-0000-0000682B0000}"/>
    <cellStyle name="Normal 13 2 8 2 2 3" xfId="7803" xr:uid="{00000000-0005-0000-0000-0000692B0000}"/>
    <cellStyle name="Normal 13 2 8 2 2 3 2" xfId="49334" xr:uid="{00000000-0005-0000-0000-00006A2B0000}"/>
    <cellStyle name="Normal 13 2 8 2 2 3 3" xfId="49335" xr:uid="{00000000-0005-0000-0000-00006B2B0000}"/>
    <cellStyle name="Normal 13 2 8 2 2 4" xfId="7804" xr:uid="{00000000-0005-0000-0000-00006C2B0000}"/>
    <cellStyle name="Normal 13 2 8 2 2 4 2" xfId="49336" xr:uid="{00000000-0005-0000-0000-00006D2B0000}"/>
    <cellStyle name="Normal 13 2 8 2 2 5" xfId="7805" xr:uid="{00000000-0005-0000-0000-00006E2B0000}"/>
    <cellStyle name="Normal 13 2 8 2 2 6" xfId="7806" xr:uid="{00000000-0005-0000-0000-00006F2B0000}"/>
    <cellStyle name="Normal 13 2 8 2 2 7" xfId="7807" xr:uid="{00000000-0005-0000-0000-0000702B0000}"/>
    <cellStyle name="Normal 13 2 8 2 3" xfId="7808" xr:uid="{00000000-0005-0000-0000-0000712B0000}"/>
    <cellStyle name="Normal 13 2 8 2 3 2" xfId="7809" xr:uid="{00000000-0005-0000-0000-0000722B0000}"/>
    <cellStyle name="Normal 13 2 8 2 3 2 2" xfId="49337" xr:uid="{00000000-0005-0000-0000-0000732B0000}"/>
    <cellStyle name="Normal 13 2 8 2 3 2 3" xfId="49338" xr:uid="{00000000-0005-0000-0000-0000742B0000}"/>
    <cellStyle name="Normal 13 2 8 2 3 3" xfId="7810" xr:uid="{00000000-0005-0000-0000-0000752B0000}"/>
    <cellStyle name="Normal 13 2 8 2 3 3 2" xfId="49339" xr:uid="{00000000-0005-0000-0000-0000762B0000}"/>
    <cellStyle name="Normal 13 2 8 2 3 4" xfId="7811" xr:uid="{00000000-0005-0000-0000-0000772B0000}"/>
    <cellStyle name="Normal 13 2 8 2 3 5" xfId="7812" xr:uid="{00000000-0005-0000-0000-0000782B0000}"/>
    <cellStyle name="Normal 13 2 8 2 3 6" xfId="7813" xr:uid="{00000000-0005-0000-0000-0000792B0000}"/>
    <cellStyle name="Normal 13 2 8 2 4" xfId="7814" xr:uid="{00000000-0005-0000-0000-00007A2B0000}"/>
    <cellStyle name="Normal 13 2 8 2 4 2" xfId="49340" xr:uid="{00000000-0005-0000-0000-00007B2B0000}"/>
    <cellStyle name="Normal 13 2 8 2 4 3" xfId="49341" xr:uid="{00000000-0005-0000-0000-00007C2B0000}"/>
    <cellStyle name="Normal 13 2 8 2 5" xfId="7815" xr:uid="{00000000-0005-0000-0000-00007D2B0000}"/>
    <cellStyle name="Normal 13 2 8 2 5 2" xfId="49342" xr:uid="{00000000-0005-0000-0000-00007E2B0000}"/>
    <cellStyle name="Normal 13 2 8 2 6" xfId="7816" xr:uid="{00000000-0005-0000-0000-00007F2B0000}"/>
    <cellStyle name="Normal 13 2 8 2 7" xfId="7817" xr:uid="{00000000-0005-0000-0000-0000802B0000}"/>
    <cellStyle name="Normal 13 2 8 2 8" xfId="7818" xr:uid="{00000000-0005-0000-0000-0000812B0000}"/>
    <cellStyle name="Normal 13 2 8 2 9" xfId="7819" xr:uid="{00000000-0005-0000-0000-0000822B0000}"/>
    <cellStyle name="Normal 13 2 8 3" xfId="7820" xr:uid="{00000000-0005-0000-0000-0000832B0000}"/>
    <cellStyle name="Normal 13 2 8 3 2" xfId="7821" xr:uid="{00000000-0005-0000-0000-0000842B0000}"/>
    <cellStyle name="Normal 13 2 8 3 2 2" xfId="7822" xr:uid="{00000000-0005-0000-0000-0000852B0000}"/>
    <cellStyle name="Normal 13 2 8 3 2 2 2" xfId="49343" xr:uid="{00000000-0005-0000-0000-0000862B0000}"/>
    <cellStyle name="Normal 13 2 8 3 2 2 3" xfId="49344" xr:uid="{00000000-0005-0000-0000-0000872B0000}"/>
    <cellStyle name="Normal 13 2 8 3 2 3" xfId="7823" xr:uid="{00000000-0005-0000-0000-0000882B0000}"/>
    <cellStyle name="Normal 13 2 8 3 2 3 2" xfId="49345" xr:uid="{00000000-0005-0000-0000-0000892B0000}"/>
    <cellStyle name="Normal 13 2 8 3 2 4" xfId="7824" xr:uid="{00000000-0005-0000-0000-00008A2B0000}"/>
    <cellStyle name="Normal 13 2 8 3 2 5" xfId="7825" xr:uid="{00000000-0005-0000-0000-00008B2B0000}"/>
    <cellStyle name="Normal 13 2 8 3 2 6" xfId="7826" xr:uid="{00000000-0005-0000-0000-00008C2B0000}"/>
    <cellStyle name="Normal 13 2 8 3 3" xfId="7827" xr:uid="{00000000-0005-0000-0000-00008D2B0000}"/>
    <cellStyle name="Normal 13 2 8 3 3 2" xfId="49346" xr:uid="{00000000-0005-0000-0000-00008E2B0000}"/>
    <cellStyle name="Normal 13 2 8 3 3 3" xfId="49347" xr:uid="{00000000-0005-0000-0000-00008F2B0000}"/>
    <cellStyle name="Normal 13 2 8 3 4" xfId="7828" xr:uid="{00000000-0005-0000-0000-0000902B0000}"/>
    <cellStyle name="Normal 13 2 8 3 4 2" xfId="49348" xr:uid="{00000000-0005-0000-0000-0000912B0000}"/>
    <cellStyle name="Normal 13 2 8 3 5" xfId="7829" xr:uid="{00000000-0005-0000-0000-0000922B0000}"/>
    <cellStyle name="Normal 13 2 8 3 6" xfId="7830" xr:uid="{00000000-0005-0000-0000-0000932B0000}"/>
    <cellStyle name="Normal 13 2 8 3 7" xfId="7831" xr:uid="{00000000-0005-0000-0000-0000942B0000}"/>
    <cellStyle name="Normal 13 2 8 4" xfId="7832" xr:uid="{00000000-0005-0000-0000-0000952B0000}"/>
    <cellStyle name="Normal 13 2 8 4 2" xfId="7833" xr:uid="{00000000-0005-0000-0000-0000962B0000}"/>
    <cellStyle name="Normal 13 2 8 4 2 2" xfId="49349" xr:uid="{00000000-0005-0000-0000-0000972B0000}"/>
    <cellStyle name="Normal 13 2 8 4 2 3" xfId="49350" xr:uid="{00000000-0005-0000-0000-0000982B0000}"/>
    <cellStyle name="Normal 13 2 8 4 3" xfId="7834" xr:uid="{00000000-0005-0000-0000-0000992B0000}"/>
    <cellStyle name="Normal 13 2 8 4 3 2" xfId="49351" xr:uid="{00000000-0005-0000-0000-00009A2B0000}"/>
    <cellStyle name="Normal 13 2 8 4 4" xfId="7835" xr:uid="{00000000-0005-0000-0000-00009B2B0000}"/>
    <cellStyle name="Normal 13 2 8 4 5" xfId="7836" xr:uid="{00000000-0005-0000-0000-00009C2B0000}"/>
    <cellStyle name="Normal 13 2 8 4 6" xfId="7837" xr:uid="{00000000-0005-0000-0000-00009D2B0000}"/>
    <cellStyle name="Normal 13 2 8 5" xfId="7838" xr:uid="{00000000-0005-0000-0000-00009E2B0000}"/>
    <cellStyle name="Normal 13 2 8 5 2" xfId="49352" xr:uid="{00000000-0005-0000-0000-00009F2B0000}"/>
    <cellStyle name="Normal 13 2 8 5 3" xfId="49353" xr:uid="{00000000-0005-0000-0000-0000A02B0000}"/>
    <cellStyle name="Normal 13 2 8 6" xfId="7839" xr:uid="{00000000-0005-0000-0000-0000A12B0000}"/>
    <cellStyle name="Normal 13 2 8 6 2" xfId="49354" xr:uid="{00000000-0005-0000-0000-0000A22B0000}"/>
    <cellStyle name="Normal 13 2 8 7" xfId="7840" xr:uid="{00000000-0005-0000-0000-0000A32B0000}"/>
    <cellStyle name="Normal 13 2 8 8" xfId="7841" xr:uid="{00000000-0005-0000-0000-0000A42B0000}"/>
    <cellStyle name="Normal 13 2 8 9" xfId="7842" xr:uid="{00000000-0005-0000-0000-0000A52B0000}"/>
    <cellStyle name="Normal 13 2 9" xfId="7843" xr:uid="{00000000-0005-0000-0000-0000A62B0000}"/>
    <cellStyle name="Normal 13 2 9 2" xfId="7844" xr:uid="{00000000-0005-0000-0000-0000A72B0000}"/>
    <cellStyle name="Normal 13 2 9 2 2" xfId="7845" xr:uid="{00000000-0005-0000-0000-0000A82B0000}"/>
    <cellStyle name="Normal 13 2 9 2 2 2" xfId="7846" xr:uid="{00000000-0005-0000-0000-0000A92B0000}"/>
    <cellStyle name="Normal 13 2 9 2 2 2 2" xfId="49355" xr:uid="{00000000-0005-0000-0000-0000AA2B0000}"/>
    <cellStyle name="Normal 13 2 9 2 2 2 3" xfId="49356" xr:uid="{00000000-0005-0000-0000-0000AB2B0000}"/>
    <cellStyle name="Normal 13 2 9 2 2 3" xfId="7847" xr:uid="{00000000-0005-0000-0000-0000AC2B0000}"/>
    <cellStyle name="Normal 13 2 9 2 2 3 2" xfId="49357" xr:uid="{00000000-0005-0000-0000-0000AD2B0000}"/>
    <cellStyle name="Normal 13 2 9 2 2 4" xfId="7848" xr:uid="{00000000-0005-0000-0000-0000AE2B0000}"/>
    <cellStyle name="Normal 13 2 9 2 2 5" xfId="7849" xr:uid="{00000000-0005-0000-0000-0000AF2B0000}"/>
    <cellStyle name="Normal 13 2 9 2 2 6" xfId="7850" xr:uid="{00000000-0005-0000-0000-0000B02B0000}"/>
    <cellStyle name="Normal 13 2 9 2 3" xfId="7851" xr:uid="{00000000-0005-0000-0000-0000B12B0000}"/>
    <cellStyle name="Normal 13 2 9 2 3 2" xfId="49358" xr:uid="{00000000-0005-0000-0000-0000B22B0000}"/>
    <cellStyle name="Normal 13 2 9 2 3 3" xfId="49359" xr:uid="{00000000-0005-0000-0000-0000B32B0000}"/>
    <cellStyle name="Normal 13 2 9 2 4" xfId="7852" xr:uid="{00000000-0005-0000-0000-0000B42B0000}"/>
    <cellStyle name="Normal 13 2 9 2 4 2" xfId="49360" xr:uid="{00000000-0005-0000-0000-0000B52B0000}"/>
    <cellStyle name="Normal 13 2 9 2 5" xfId="7853" xr:uid="{00000000-0005-0000-0000-0000B62B0000}"/>
    <cellStyle name="Normal 13 2 9 2 6" xfId="7854" xr:uid="{00000000-0005-0000-0000-0000B72B0000}"/>
    <cellStyle name="Normal 13 2 9 2 7" xfId="7855" xr:uid="{00000000-0005-0000-0000-0000B82B0000}"/>
    <cellStyle name="Normal 13 2 9 3" xfId="7856" xr:uid="{00000000-0005-0000-0000-0000B92B0000}"/>
    <cellStyle name="Normal 13 2 9 3 2" xfId="7857" xr:uid="{00000000-0005-0000-0000-0000BA2B0000}"/>
    <cellStyle name="Normal 13 2 9 3 2 2" xfId="49361" xr:uid="{00000000-0005-0000-0000-0000BB2B0000}"/>
    <cellStyle name="Normal 13 2 9 3 2 3" xfId="49362" xr:uid="{00000000-0005-0000-0000-0000BC2B0000}"/>
    <cellStyle name="Normal 13 2 9 3 3" xfId="7858" xr:uid="{00000000-0005-0000-0000-0000BD2B0000}"/>
    <cellStyle name="Normal 13 2 9 3 3 2" xfId="49363" xr:uid="{00000000-0005-0000-0000-0000BE2B0000}"/>
    <cellStyle name="Normal 13 2 9 3 4" xfId="7859" xr:uid="{00000000-0005-0000-0000-0000BF2B0000}"/>
    <cellStyle name="Normal 13 2 9 3 5" xfId="7860" xr:uid="{00000000-0005-0000-0000-0000C02B0000}"/>
    <cellStyle name="Normal 13 2 9 3 6" xfId="7861" xr:uid="{00000000-0005-0000-0000-0000C12B0000}"/>
    <cellStyle name="Normal 13 2 9 4" xfId="7862" xr:uid="{00000000-0005-0000-0000-0000C22B0000}"/>
    <cellStyle name="Normal 13 2 9 4 2" xfId="49364" xr:uid="{00000000-0005-0000-0000-0000C32B0000}"/>
    <cellStyle name="Normal 13 2 9 4 3" xfId="49365" xr:uid="{00000000-0005-0000-0000-0000C42B0000}"/>
    <cellStyle name="Normal 13 2 9 5" xfId="7863" xr:uid="{00000000-0005-0000-0000-0000C52B0000}"/>
    <cellStyle name="Normal 13 2 9 5 2" xfId="49366" xr:uid="{00000000-0005-0000-0000-0000C62B0000}"/>
    <cellStyle name="Normal 13 2 9 6" xfId="7864" xr:uid="{00000000-0005-0000-0000-0000C72B0000}"/>
    <cellStyle name="Normal 13 2 9 7" xfId="7865" xr:uid="{00000000-0005-0000-0000-0000C82B0000}"/>
    <cellStyle name="Normal 13 2 9 8" xfId="7866" xr:uid="{00000000-0005-0000-0000-0000C92B0000}"/>
    <cellStyle name="Normal 13 2 9 9" xfId="7867" xr:uid="{00000000-0005-0000-0000-0000CA2B0000}"/>
    <cellStyle name="Normal 13 20" xfId="7868" xr:uid="{00000000-0005-0000-0000-0000CB2B0000}"/>
    <cellStyle name="Normal 13 21" xfId="7869" xr:uid="{00000000-0005-0000-0000-0000CC2B0000}"/>
    <cellStyle name="Normal 13 22" xfId="7870" xr:uid="{00000000-0005-0000-0000-0000CD2B0000}"/>
    <cellStyle name="Normal 13 23" xfId="7871" xr:uid="{00000000-0005-0000-0000-0000CE2B0000}"/>
    <cellStyle name="Normal 13 3" xfId="7872" xr:uid="{00000000-0005-0000-0000-0000CF2B0000}"/>
    <cellStyle name="Normal 13 3 10" xfId="7873" xr:uid="{00000000-0005-0000-0000-0000D02B0000}"/>
    <cellStyle name="Normal 13 3 10 2" xfId="7874" xr:uid="{00000000-0005-0000-0000-0000D12B0000}"/>
    <cellStyle name="Normal 13 3 10 2 2" xfId="7875" xr:uid="{00000000-0005-0000-0000-0000D22B0000}"/>
    <cellStyle name="Normal 13 3 10 2 2 2" xfId="49367" xr:uid="{00000000-0005-0000-0000-0000D32B0000}"/>
    <cellStyle name="Normal 13 3 10 2 2 3" xfId="49368" xr:uid="{00000000-0005-0000-0000-0000D42B0000}"/>
    <cellStyle name="Normal 13 3 10 2 3" xfId="7876" xr:uid="{00000000-0005-0000-0000-0000D52B0000}"/>
    <cellStyle name="Normal 13 3 10 2 3 2" xfId="49369" xr:uid="{00000000-0005-0000-0000-0000D62B0000}"/>
    <cellStyle name="Normal 13 3 10 2 4" xfId="7877" xr:uid="{00000000-0005-0000-0000-0000D72B0000}"/>
    <cellStyle name="Normal 13 3 10 2 5" xfId="7878" xr:uid="{00000000-0005-0000-0000-0000D82B0000}"/>
    <cellStyle name="Normal 13 3 10 2 6" xfId="7879" xr:uid="{00000000-0005-0000-0000-0000D92B0000}"/>
    <cellStyle name="Normal 13 3 10 3" xfId="7880" xr:uid="{00000000-0005-0000-0000-0000DA2B0000}"/>
    <cellStyle name="Normal 13 3 10 3 2" xfId="49370" xr:uid="{00000000-0005-0000-0000-0000DB2B0000}"/>
    <cellStyle name="Normal 13 3 10 3 3" xfId="49371" xr:uid="{00000000-0005-0000-0000-0000DC2B0000}"/>
    <cellStyle name="Normal 13 3 10 4" xfId="7881" xr:uid="{00000000-0005-0000-0000-0000DD2B0000}"/>
    <cellStyle name="Normal 13 3 10 4 2" xfId="49372" xr:uid="{00000000-0005-0000-0000-0000DE2B0000}"/>
    <cellStyle name="Normal 13 3 10 5" xfId="7882" xr:uid="{00000000-0005-0000-0000-0000DF2B0000}"/>
    <cellStyle name="Normal 13 3 10 6" xfId="7883" xr:uid="{00000000-0005-0000-0000-0000E02B0000}"/>
    <cellStyle name="Normal 13 3 10 7" xfId="7884" xr:uid="{00000000-0005-0000-0000-0000E12B0000}"/>
    <cellStyle name="Normal 13 3 11" xfId="7885" xr:uid="{00000000-0005-0000-0000-0000E22B0000}"/>
    <cellStyle name="Normal 13 3 11 2" xfId="7886" xr:uid="{00000000-0005-0000-0000-0000E32B0000}"/>
    <cellStyle name="Normal 13 3 11 2 2" xfId="49373" xr:uid="{00000000-0005-0000-0000-0000E42B0000}"/>
    <cellStyle name="Normal 13 3 11 2 3" xfId="49374" xr:uid="{00000000-0005-0000-0000-0000E52B0000}"/>
    <cellStyle name="Normal 13 3 11 3" xfId="7887" xr:uid="{00000000-0005-0000-0000-0000E62B0000}"/>
    <cellStyle name="Normal 13 3 11 3 2" xfId="49375" xr:uid="{00000000-0005-0000-0000-0000E72B0000}"/>
    <cellStyle name="Normal 13 3 11 4" xfId="7888" xr:uid="{00000000-0005-0000-0000-0000E82B0000}"/>
    <cellStyle name="Normal 13 3 11 5" xfId="7889" xr:uid="{00000000-0005-0000-0000-0000E92B0000}"/>
    <cellStyle name="Normal 13 3 11 6" xfId="7890" xr:uid="{00000000-0005-0000-0000-0000EA2B0000}"/>
    <cellStyle name="Normal 13 3 12" xfId="7891" xr:uid="{00000000-0005-0000-0000-0000EB2B0000}"/>
    <cellStyle name="Normal 13 3 12 2" xfId="49376" xr:uid="{00000000-0005-0000-0000-0000EC2B0000}"/>
    <cellStyle name="Normal 13 3 12 3" xfId="49377" xr:uid="{00000000-0005-0000-0000-0000ED2B0000}"/>
    <cellStyle name="Normal 13 3 13" xfId="7892" xr:uid="{00000000-0005-0000-0000-0000EE2B0000}"/>
    <cellStyle name="Normal 13 3 13 2" xfId="49378" xr:uid="{00000000-0005-0000-0000-0000EF2B0000}"/>
    <cellStyle name="Normal 13 3 14" xfId="7893" xr:uid="{00000000-0005-0000-0000-0000F02B0000}"/>
    <cellStyle name="Normal 13 3 14 2" xfId="49379" xr:uid="{00000000-0005-0000-0000-0000F12B0000}"/>
    <cellStyle name="Normal 13 3 15" xfId="7894" xr:uid="{00000000-0005-0000-0000-0000F22B0000}"/>
    <cellStyle name="Normal 13 3 16" xfId="7895" xr:uid="{00000000-0005-0000-0000-0000F32B0000}"/>
    <cellStyle name="Normal 13 3 17" xfId="7896" xr:uid="{00000000-0005-0000-0000-0000F42B0000}"/>
    <cellStyle name="Normal 13 3 18" xfId="7897" xr:uid="{00000000-0005-0000-0000-0000F52B0000}"/>
    <cellStyle name="Normal 13 3 19" xfId="7898" xr:uid="{00000000-0005-0000-0000-0000F62B0000}"/>
    <cellStyle name="Normal 13 3 2" xfId="7899" xr:uid="{00000000-0005-0000-0000-0000F72B0000}"/>
    <cellStyle name="Normal 13 3 2 10" xfId="7900" xr:uid="{00000000-0005-0000-0000-0000F82B0000}"/>
    <cellStyle name="Normal 13 3 2 11" xfId="7901" xr:uid="{00000000-0005-0000-0000-0000F92B0000}"/>
    <cellStyle name="Normal 13 3 2 12" xfId="7902" xr:uid="{00000000-0005-0000-0000-0000FA2B0000}"/>
    <cellStyle name="Normal 13 3 2 13" xfId="7903" xr:uid="{00000000-0005-0000-0000-0000FB2B0000}"/>
    <cellStyle name="Normal 13 3 2 14" xfId="7904" xr:uid="{00000000-0005-0000-0000-0000FC2B0000}"/>
    <cellStyle name="Normal 13 3 2 15" xfId="7905" xr:uid="{00000000-0005-0000-0000-0000FD2B0000}"/>
    <cellStyle name="Normal 13 3 2 16" xfId="7906" xr:uid="{00000000-0005-0000-0000-0000FE2B0000}"/>
    <cellStyle name="Normal 13 3 2 2" xfId="7907" xr:uid="{00000000-0005-0000-0000-0000FF2B0000}"/>
    <cellStyle name="Normal 13 3 2 2 10" xfId="7908" xr:uid="{00000000-0005-0000-0000-0000002C0000}"/>
    <cellStyle name="Normal 13 3 2 2 11" xfId="7909" xr:uid="{00000000-0005-0000-0000-0000012C0000}"/>
    <cellStyle name="Normal 13 3 2 2 12" xfId="7910" xr:uid="{00000000-0005-0000-0000-0000022C0000}"/>
    <cellStyle name="Normal 13 3 2 2 13" xfId="7911" xr:uid="{00000000-0005-0000-0000-0000032C0000}"/>
    <cellStyle name="Normal 13 3 2 2 14" xfId="7912" xr:uid="{00000000-0005-0000-0000-0000042C0000}"/>
    <cellStyle name="Normal 13 3 2 2 2" xfId="7913" xr:uid="{00000000-0005-0000-0000-0000052C0000}"/>
    <cellStyle name="Normal 13 3 2 2 2 2" xfId="7914" xr:uid="{00000000-0005-0000-0000-0000062C0000}"/>
    <cellStyle name="Normal 13 3 2 2 2 2 2" xfId="7915" xr:uid="{00000000-0005-0000-0000-0000072C0000}"/>
    <cellStyle name="Normal 13 3 2 2 2 2 2 2" xfId="7916" xr:uid="{00000000-0005-0000-0000-0000082C0000}"/>
    <cellStyle name="Normal 13 3 2 2 2 2 2 2 2" xfId="49380" xr:uid="{00000000-0005-0000-0000-0000092C0000}"/>
    <cellStyle name="Normal 13 3 2 2 2 2 2 2 3" xfId="49381" xr:uid="{00000000-0005-0000-0000-00000A2C0000}"/>
    <cellStyle name="Normal 13 3 2 2 2 2 2 3" xfId="7917" xr:uid="{00000000-0005-0000-0000-00000B2C0000}"/>
    <cellStyle name="Normal 13 3 2 2 2 2 2 3 2" xfId="49382" xr:uid="{00000000-0005-0000-0000-00000C2C0000}"/>
    <cellStyle name="Normal 13 3 2 2 2 2 2 4" xfId="7918" xr:uid="{00000000-0005-0000-0000-00000D2C0000}"/>
    <cellStyle name="Normal 13 3 2 2 2 2 2 5" xfId="7919" xr:uid="{00000000-0005-0000-0000-00000E2C0000}"/>
    <cellStyle name="Normal 13 3 2 2 2 2 2 6" xfId="7920" xr:uid="{00000000-0005-0000-0000-00000F2C0000}"/>
    <cellStyle name="Normal 13 3 2 2 2 2 3" xfId="7921" xr:uid="{00000000-0005-0000-0000-0000102C0000}"/>
    <cellStyle name="Normal 13 3 2 2 2 2 3 2" xfId="49383" xr:uid="{00000000-0005-0000-0000-0000112C0000}"/>
    <cellStyle name="Normal 13 3 2 2 2 2 3 3" xfId="49384" xr:uid="{00000000-0005-0000-0000-0000122C0000}"/>
    <cellStyle name="Normal 13 3 2 2 2 2 4" xfId="7922" xr:uid="{00000000-0005-0000-0000-0000132C0000}"/>
    <cellStyle name="Normal 13 3 2 2 2 2 4 2" xfId="49385" xr:uid="{00000000-0005-0000-0000-0000142C0000}"/>
    <cellStyle name="Normal 13 3 2 2 2 2 5" xfId="7923" xr:uid="{00000000-0005-0000-0000-0000152C0000}"/>
    <cellStyle name="Normal 13 3 2 2 2 2 6" xfId="7924" xr:uid="{00000000-0005-0000-0000-0000162C0000}"/>
    <cellStyle name="Normal 13 3 2 2 2 2 7" xfId="7925" xr:uid="{00000000-0005-0000-0000-0000172C0000}"/>
    <cellStyle name="Normal 13 3 2 2 2 3" xfId="7926" xr:uid="{00000000-0005-0000-0000-0000182C0000}"/>
    <cellStyle name="Normal 13 3 2 2 2 3 2" xfId="7927" xr:uid="{00000000-0005-0000-0000-0000192C0000}"/>
    <cellStyle name="Normal 13 3 2 2 2 3 2 2" xfId="49386" xr:uid="{00000000-0005-0000-0000-00001A2C0000}"/>
    <cellStyle name="Normal 13 3 2 2 2 3 2 3" xfId="49387" xr:uid="{00000000-0005-0000-0000-00001B2C0000}"/>
    <cellStyle name="Normal 13 3 2 2 2 3 3" xfId="7928" xr:uid="{00000000-0005-0000-0000-00001C2C0000}"/>
    <cellStyle name="Normal 13 3 2 2 2 3 3 2" xfId="49388" xr:uid="{00000000-0005-0000-0000-00001D2C0000}"/>
    <cellStyle name="Normal 13 3 2 2 2 3 4" xfId="7929" xr:uid="{00000000-0005-0000-0000-00001E2C0000}"/>
    <cellStyle name="Normal 13 3 2 2 2 3 5" xfId="7930" xr:uid="{00000000-0005-0000-0000-00001F2C0000}"/>
    <cellStyle name="Normal 13 3 2 2 2 3 6" xfId="7931" xr:uid="{00000000-0005-0000-0000-0000202C0000}"/>
    <cellStyle name="Normal 13 3 2 2 2 4" xfId="7932" xr:uid="{00000000-0005-0000-0000-0000212C0000}"/>
    <cellStyle name="Normal 13 3 2 2 2 4 2" xfId="49389" xr:uid="{00000000-0005-0000-0000-0000222C0000}"/>
    <cellStyle name="Normal 13 3 2 2 2 4 3" xfId="49390" xr:uid="{00000000-0005-0000-0000-0000232C0000}"/>
    <cellStyle name="Normal 13 3 2 2 2 5" xfId="7933" xr:uid="{00000000-0005-0000-0000-0000242C0000}"/>
    <cellStyle name="Normal 13 3 2 2 2 5 2" xfId="49391" xr:uid="{00000000-0005-0000-0000-0000252C0000}"/>
    <cellStyle name="Normal 13 3 2 2 2 6" xfId="7934" xr:uid="{00000000-0005-0000-0000-0000262C0000}"/>
    <cellStyle name="Normal 13 3 2 2 2 7" xfId="7935" xr:uid="{00000000-0005-0000-0000-0000272C0000}"/>
    <cellStyle name="Normal 13 3 2 2 2 8" xfId="7936" xr:uid="{00000000-0005-0000-0000-0000282C0000}"/>
    <cellStyle name="Normal 13 3 2 2 2 9" xfId="7937" xr:uid="{00000000-0005-0000-0000-0000292C0000}"/>
    <cellStyle name="Normal 13 3 2 2 3" xfId="7938" xr:uid="{00000000-0005-0000-0000-00002A2C0000}"/>
    <cellStyle name="Normal 13 3 2 2 3 2" xfId="7939" xr:uid="{00000000-0005-0000-0000-00002B2C0000}"/>
    <cellStyle name="Normal 13 3 2 2 3 2 2" xfId="7940" xr:uid="{00000000-0005-0000-0000-00002C2C0000}"/>
    <cellStyle name="Normal 13 3 2 2 3 2 2 2" xfId="7941" xr:uid="{00000000-0005-0000-0000-00002D2C0000}"/>
    <cellStyle name="Normal 13 3 2 2 3 2 2 2 2" xfId="49392" xr:uid="{00000000-0005-0000-0000-00002E2C0000}"/>
    <cellStyle name="Normal 13 3 2 2 3 2 2 2 3" xfId="49393" xr:uid="{00000000-0005-0000-0000-00002F2C0000}"/>
    <cellStyle name="Normal 13 3 2 2 3 2 2 3" xfId="7942" xr:uid="{00000000-0005-0000-0000-0000302C0000}"/>
    <cellStyle name="Normal 13 3 2 2 3 2 2 3 2" xfId="49394" xr:uid="{00000000-0005-0000-0000-0000312C0000}"/>
    <cellStyle name="Normal 13 3 2 2 3 2 2 4" xfId="7943" xr:uid="{00000000-0005-0000-0000-0000322C0000}"/>
    <cellStyle name="Normal 13 3 2 2 3 2 2 5" xfId="7944" xr:uid="{00000000-0005-0000-0000-0000332C0000}"/>
    <cellStyle name="Normal 13 3 2 2 3 2 2 6" xfId="7945" xr:uid="{00000000-0005-0000-0000-0000342C0000}"/>
    <cellStyle name="Normal 13 3 2 2 3 2 3" xfId="7946" xr:uid="{00000000-0005-0000-0000-0000352C0000}"/>
    <cellStyle name="Normal 13 3 2 2 3 2 3 2" xfId="49395" xr:uid="{00000000-0005-0000-0000-0000362C0000}"/>
    <cellStyle name="Normal 13 3 2 2 3 2 3 3" xfId="49396" xr:uid="{00000000-0005-0000-0000-0000372C0000}"/>
    <cellStyle name="Normal 13 3 2 2 3 2 4" xfId="7947" xr:uid="{00000000-0005-0000-0000-0000382C0000}"/>
    <cellStyle name="Normal 13 3 2 2 3 2 4 2" xfId="49397" xr:uid="{00000000-0005-0000-0000-0000392C0000}"/>
    <cellStyle name="Normal 13 3 2 2 3 2 5" xfId="7948" xr:uid="{00000000-0005-0000-0000-00003A2C0000}"/>
    <cellStyle name="Normal 13 3 2 2 3 2 6" xfId="7949" xr:uid="{00000000-0005-0000-0000-00003B2C0000}"/>
    <cellStyle name="Normal 13 3 2 2 3 2 7" xfId="7950" xr:uid="{00000000-0005-0000-0000-00003C2C0000}"/>
    <cellStyle name="Normal 13 3 2 2 3 3" xfId="7951" xr:uid="{00000000-0005-0000-0000-00003D2C0000}"/>
    <cellStyle name="Normal 13 3 2 2 3 3 2" xfId="7952" xr:uid="{00000000-0005-0000-0000-00003E2C0000}"/>
    <cellStyle name="Normal 13 3 2 2 3 3 2 2" xfId="49398" xr:uid="{00000000-0005-0000-0000-00003F2C0000}"/>
    <cellStyle name="Normal 13 3 2 2 3 3 2 3" xfId="49399" xr:uid="{00000000-0005-0000-0000-0000402C0000}"/>
    <cellStyle name="Normal 13 3 2 2 3 3 3" xfId="7953" xr:uid="{00000000-0005-0000-0000-0000412C0000}"/>
    <cellStyle name="Normal 13 3 2 2 3 3 3 2" xfId="49400" xr:uid="{00000000-0005-0000-0000-0000422C0000}"/>
    <cellStyle name="Normal 13 3 2 2 3 3 4" xfId="7954" xr:uid="{00000000-0005-0000-0000-0000432C0000}"/>
    <cellStyle name="Normal 13 3 2 2 3 3 5" xfId="7955" xr:uid="{00000000-0005-0000-0000-0000442C0000}"/>
    <cellStyle name="Normal 13 3 2 2 3 3 6" xfId="7956" xr:uid="{00000000-0005-0000-0000-0000452C0000}"/>
    <cellStyle name="Normal 13 3 2 2 3 4" xfId="7957" xr:uid="{00000000-0005-0000-0000-0000462C0000}"/>
    <cellStyle name="Normal 13 3 2 2 3 4 2" xfId="49401" xr:uid="{00000000-0005-0000-0000-0000472C0000}"/>
    <cellStyle name="Normal 13 3 2 2 3 4 3" xfId="49402" xr:uid="{00000000-0005-0000-0000-0000482C0000}"/>
    <cellStyle name="Normal 13 3 2 2 3 5" xfId="7958" xr:uid="{00000000-0005-0000-0000-0000492C0000}"/>
    <cellStyle name="Normal 13 3 2 2 3 5 2" xfId="49403" xr:uid="{00000000-0005-0000-0000-00004A2C0000}"/>
    <cellStyle name="Normal 13 3 2 2 3 6" xfId="7959" xr:uid="{00000000-0005-0000-0000-00004B2C0000}"/>
    <cellStyle name="Normal 13 3 2 2 3 7" xfId="7960" xr:uid="{00000000-0005-0000-0000-00004C2C0000}"/>
    <cellStyle name="Normal 13 3 2 2 3 8" xfId="7961" xr:uid="{00000000-0005-0000-0000-00004D2C0000}"/>
    <cellStyle name="Normal 13 3 2 2 4" xfId="7962" xr:uid="{00000000-0005-0000-0000-00004E2C0000}"/>
    <cellStyle name="Normal 13 3 2 2 4 2" xfId="7963" xr:uid="{00000000-0005-0000-0000-00004F2C0000}"/>
    <cellStyle name="Normal 13 3 2 2 4 2 2" xfId="7964" xr:uid="{00000000-0005-0000-0000-0000502C0000}"/>
    <cellStyle name="Normal 13 3 2 2 4 2 2 2" xfId="49404" xr:uid="{00000000-0005-0000-0000-0000512C0000}"/>
    <cellStyle name="Normal 13 3 2 2 4 2 2 3" xfId="49405" xr:uid="{00000000-0005-0000-0000-0000522C0000}"/>
    <cellStyle name="Normal 13 3 2 2 4 2 3" xfId="7965" xr:uid="{00000000-0005-0000-0000-0000532C0000}"/>
    <cellStyle name="Normal 13 3 2 2 4 2 3 2" xfId="49406" xr:uid="{00000000-0005-0000-0000-0000542C0000}"/>
    <cellStyle name="Normal 13 3 2 2 4 2 4" xfId="7966" xr:uid="{00000000-0005-0000-0000-0000552C0000}"/>
    <cellStyle name="Normal 13 3 2 2 4 2 5" xfId="7967" xr:uid="{00000000-0005-0000-0000-0000562C0000}"/>
    <cellStyle name="Normal 13 3 2 2 4 2 6" xfId="7968" xr:uid="{00000000-0005-0000-0000-0000572C0000}"/>
    <cellStyle name="Normal 13 3 2 2 4 3" xfId="7969" xr:uid="{00000000-0005-0000-0000-0000582C0000}"/>
    <cellStyle name="Normal 13 3 2 2 4 3 2" xfId="49407" xr:uid="{00000000-0005-0000-0000-0000592C0000}"/>
    <cellStyle name="Normal 13 3 2 2 4 3 3" xfId="49408" xr:uid="{00000000-0005-0000-0000-00005A2C0000}"/>
    <cellStyle name="Normal 13 3 2 2 4 4" xfId="7970" xr:uid="{00000000-0005-0000-0000-00005B2C0000}"/>
    <cellStyle name="Normal 13 3 2 2 4 4 2" xfId="49409" xr:uid="{00000000-0005-0000-0000-00005C2C0000}"/>
    <cellStyle name="Normal 13 3 2 2 4 5" xfId="7971" xr:uid="{00000000-0005-0000-0000-00005D2C0000}"/>
    <cellStyle name="Normal 13 3 2 2 4 6" xfId="7972" xr:uid="{00000000-0005-0000-0000-00005E2C0000}"/>
    <cellStyle name="Normal 13 3 2 2 4 7" xfId="7973" xr:uid="{00000000-0005-0000-0000-00005F2C0000}"/>
    <cellStyle name="Normal 13 3 2 2 5" xfId="7974" xr:uid="{00000000-0005-0000-0000-0000602C0000}"/>
    <cellStyle name="Normal 13 3 2 2 5 2" xfId="7975" xr:uid="{00000000-0005-0000-0000-0000612C0000}"/>
    <cellStyle name="Normal 13 3 2 2 5 2 2" xfId="49410" xr:uid="{00000000-0005-0000-0000-0000622C0000}"/>
    <cellStyle name="Normal 13 3 2 2 5 2 3" xfId="49411" xr:uid="{00000000-0005-0000-0000-0000632C0000}"/>
    <cellStyle name="Normal 13 3 2 2 5 3" xfId="7976" xr:uid="{00000000-0005-0000-0000-0000642C0000}"/>
    <cellStyle name="Normal 13 3 2 2 5 3 2" xfId="49412" xr:uid="{00000000-0005-0000-0000-0000652C0000}"/>
    <cellStyle name="Normal 13 3 2 2 5 4" xfId="7977" xr:uid="{00000000-0005-0000-0000-0000662C0000}"/>
    <cellStyle name="Normal 13 3 2 2 5 5" xfId="7978" xr:uid="{00000000-0005-0000-0000-0000672C0000}"/>
    <cellStyle name="Normal 13 3 2 2 5 6" xfId="7979" xr:uid="{00000000-0005-0000-0000-0000682C0000}"/>
    <cellStyle name="Normal 13 3 2 2 6" xfId="7980" xr:uid="{00000000-0005-0000-0000-0000692C0000}"/>
    <cellStyle name="Normal 13 3 2 2 6 2" xfId="49413" xr:uid="{00000000-0005-0000-0000-00006A2C0000}"/>
    <cellStyle name="Normal 13 3 2 2 6 3" xfId="49414" xr:uid="{00000000-0005-0000-0000-00006B2C0000}"/>
    <cellStyle name="Normal 13 3 2 2 7" xfId="7981" xr:uid="{00000000-0005-0000-0000-00006C2C0000}"/>
    <cellStyle name="Normal 13 3 2 2 7 2" xfId="49415" xr:uid="{00000000-0005-0000-0000-00006D2C0000}"/>
    <cellStyle name="Normal 13 3 2 2 8" xfId="7982" xr:uid="{00000000-0005-0000-0000-00006E2C0000}"/>
    <cellStyle name="Normal 13 3 2 2 9" xfId="7983" xr:uid="{00000000-0005-0000-0000-00006F2C0000}"/>
    <cellStyle name="Normal 13 3 2 3" xfId="7984" xr:uid="{00000000-0005-0000-0000-0000702C0000}"/>
    <cellStyle name="Normal 13 3 2 3 2" xfId="7985" xr:uid="{00000000-0005-0000-0000-0000712C0000}"/>
    <cellStyle name="Normal 13 3 2 3 2 2" xfId="7986" xr:uid="{00000000-0005-0000-0000-0000722C0000}"/>
    <cellStyle name="Normal 13 3 2 3 2 2 2" xfId="7987" xr:uid="{00000000-0005-0000-0000-0000732C0000}"/>
    <cellStyle name="Normal 13 3 2 3 2 2 2 2" xfId="49416" xr:uid="{00000000-0005-0000-0000-0000742C0000}"/>
    <cellStyle name="Normal 13 3 2 3 2 2 2 3" xfId="49417" xr:uid="{00000000-0005-0000-0000-0000752C0000}"/>
    <cellStyle name="Normal 13 3 2 3 2 2 3" xfId="7988" xr:uid="{00000000-0005-0000-0000-0000762C0000}"/>
    <cellStyle name="Normal 13 3 2 3 2 2 3 2" xfId="49418" xr:uid="{00000000-0005-0000-0000-0000772C0000}"/>
    <cellStyle name="Normal 13 3 2 3 2 2 4" xfId="7989" xr:uid="{00000000-0005-0000-0000-0000782C0000}"/>
    <cellStyle name="Normal 13 3 2 3 2 2 5" xfId="7990" xr:uid="{00000000-0005-0000-0000-0000792C0000}"/>
    <cellStyle name="Normal 13 3 2 3 2 2 6" xfId="7991" xr:uid="{00000000-0005-0000-0000-00007A2C0000}"/>
    <cellStyle name="Normal 13 3 2 3 2 3" xfId="7992" xr:uid="{00000000-0005-0000-0000-00007B2C0000}"/>
    <cellStyle name="Normal 13 3 2 3 2 3 2" xfId="49419" xr:uid="{00000000-0005-0000-0000-00007C2C0000}"/>
    <cellStyle name="Normal 13 3 2 3 2 3 3" xfId="49420" xr:uid="{00000000-0005-0000-0000-00007D2C0000}"/>
    <cellStyle name="Normal 13 3 2 3 2 4" xfId="7993" xr:uid="{00000000-0005-0000-0000-00007E2C0000}"/>
    <cellStyle name="Normal 13 3 2 3 2 4 2" xfId="49421" xr:uid="{00000000-0005-0000-0000-00007F2C0000}"/>
    <cellStyle name="Normal 13 3 2 3 2 5" xfId="7994" xr:uid="{00000000-0005-0000-0000-0000802C0000}"/>
    <cellStyle name="Normal 13 3 2 3 2 6" xfId="7995" xr:uid="{00000000-0005-0000-0000-0000812C0000}"/>
    <cellStyle name="Normal 13 3 2 3 2 7" xfId="7996" xr:uid="{00000000-0005-0000-0000-0000822C0000}"/>
    <cellStyle name="Normal 13 3 2 3 3" xfId="7997" xr:uid="{00000000-0005-0000-0000-0000832C0000}"/>
    <cellStyle name="Normal 13 3 2 3 3 2" xfId="7998" xr:uid="{00000000-0005-0000-0000-0000842C0000}"/>
    <cellStyle name="Normal 13 3 2 3 3 2 2" xfId="49422" xr:uid="{00000000-0005-0000-0000-0000852C0000}"/>
    <cellStyle name="Normal 13 3 2 3 3 2 3" xfId="49423" xr:uid="{00000000-0005-0000-0000-0000862C0000}"/>
    <cellStyle name="Normal 13 3 2 3 3 3" xfId="7999" xr:uid="{00000000-0005-0000-0000-0000872C0000}"/>
    <cellStyle name="Normal 13 3 2 3 3 3 2" xfId="49424" xr:uid="{00000000-0005-0000-0000-0000882C0000}"/>
    <cellStyle name="Normal 13 3 2 3 3 4" xfId="8000" xr:uid="{00000000-0005-0000-0000-0000892C0000}"/>
    <cellStyle name="Normal 13 3 2 3 3 5" xfId="8001" xr:uid="{00000000-0005-0000-0000-00008A2C0000}"/>
    <cellStyle name="Normal 13 3 2 3 3 6" xfId="8002" xr:uid="{00000000-0005-0000-0000-00008B2C0000}"/>
    <cellStyle name="Normal 13 3 2 3 4" xfId="8003" xr:uid="{00000000-0005-0000-0000-00008C2C0000}"/>
    <cellStyle name="Normal 13 3 2 3 4 2" xfId="49425" xr:uid="{00000000-0005-0000-0000-00008D2C0000}"/>
    <cellStyle name="Normal 13 3 2 3 4 3" xfId="49426" xr:uid="{00000000-0005-0000-0000-00008E2C0000}"/>
    <cellStyle name="Normal 13 3 2 3 5" xfId="8004" xr:uid="{00000000-0005-0000-0000-00008F2C0000}"/>
    <cellStyle name="Normal 13 3 2 3 5 2" xfId="49427" xr:uid="{00000000-0005-0000-0000-0000902C0000}"/>
    <cellStyle name="Normal 13 3 2 3 6" xfId="8005" xr:uid="{00000000-0005-0000-0000-0000912C0000}"/>
    <cellStyle name="Normal 13 3 2 3 7" xfId="8006" xr:uid="{00000000-0005-0000-0000-0000922C0000}"/>
    <cellStyle name="Normal 13 3 2 3 8" xfId="8007" xr:uid="{00000000-0005-0000-0000-0000932C0000}"/>
    <cellStyle name="Normal 13 3 2 3 9" xfId="8008" xr:uid="{00000000-0005-0000-0000-0000942C0000}"/>
    <cellStyle name="Normal 13 3 2 4" xfId="8009" xr:uid="{00000000-0005-0000-0000-0000952C0000}"/>
    <cellStyle name="Normal 13 3 2 4 2" xfId="8010" xr:uid="{00000000-0005-0000-0000-0000962C0000}"/>
    <cellStyle name="Normal 13 3 2 4 2 2" xfId="8011" xr:uid="{00000000-0005-0000-0000-0000972C0000}"/>
    <cellStyle name="Normal 13 3 2 4 2 2 2" xfId="8012" xr:uid="{00000000-0005-0000-0000-0000982C0000}"/>
    <cellStyle name="Normal 13 3 2 4 2 2 2 2" xfId="49428" xr:uid="{00000000-0005-0000-0000-0000992C0000}"/>
    <cellStyle name="Normal 13 3 2 4 2 2 2 3" xfId="49429" xr:uid="{00000000-0005-0000-0000-00009A2C0000}"/>
    <cellStyle name="Normal 13 3 2 4 2 2 3" xfId="8013" xr:uid="{00000000-0005-0000-0000-00009B2C0000}"/>
    <cellStyle name="Normal 13 3 2 4 2 2 3 2" xfId="49430" xr:uid="{00000000-0005-0000-0000-00009C2C0000}"/>
    <cellStyle name="Normal 13 3 2 4 2 2 4" xfId="8014" xr:uid="{00000000-0005-0000-0000-00009D2C0000}"/>
    <cellStyle name="Normal 13 3 2 4 2 2 5" xfId="8015" xr:uid="{00000000-0005-0000-0000-00009E2C0000}"/>
    <cellStyle name="Normal 13 3 2 4 2 2 6" xfId="8016" xr:uid="{00000000-0005-0000-0000-00009F2C0000}"/>
    <cellStyle name="Normal 13 3 2 4 2 3" xfId="8017" xr:uid="{00000000-0005-0000-0000-0000A02C0000}"/>
    <cellStyle name="Normal 13 3 2 4 2 3 2" xfId="49431" xr:uid="{00000000-0005-0000-0000-0000A12C0000}"/>
    <cellStyle name="Normal 13 3 2 4 2 3 3" xfId="49432" xr:uid="{00000000-0005-0000-0000-0000A22C0000}"/>
    <cellStyle name="Normal 13 3 2 4 2 4" xfId="8018" xr:uid="{00000000-0005-0000-0000-0000A32C0000}"/>
    <cellStyle name="Normal 13 3 2 4 2 4 2" xfId="49433" xr:uid="{00000000-0005-0000-0000-0000A42C0000}"/>
    <cellStyle name="Normal 13 3 2 4 2 5" xfId="8019" xr:uid="{00000000-0005-0000-0000-0000A52C0000}"/>
    <cellStyle name="Normal 13 3 2 4 2 6" xfId="8020" xr:uid="{00000000-0005-0000-0000-0000A62C0000}"/>
    <cellStyle name="Normal 13 3 2 4 2 7" xfId="8021" xr:uid="{00000000-0005-0000-0000-0000A72C0000}"/>
    <cellStyle name="Normal 13 3 2 4 3" xfId="8022" xr:uid="{00000000-0005-0000-0000-0000A82C0000}"/>
    <cellStyle name="Normal 13 3 2 4 3 2" xfId="8023" xr:uid="{00000000-0005-0000-0000-0000A92C0000}"/>
    <cellStyle name="Normal 13 3 2 4 3 2 2" xfId="49434" xr:uid="{00000000-0005-0000-0000-0000AA2C0000}"/>
    <cellStyle name="Normal 13 3 2 4 3 2 3" xfId="49435" xr:uid="{00000000-0005-0000-0000-0000AB2C0000}"/>
    <cellStyle name="Normal 13 3 2 4 3 3" xfId="8024" xr:uid="{00000000-0005-0000-0000-0000AC2C0000}"/>
    <cellStyle name="Normal 13 3 2 4 3 3 2" xfId="49436" xr:uid="{00000000-0005-0000-0000-0000AD2C0000}"/>
    <cellStyle name="Normal 13 3 2 4 3 4" xfId="8025" xr:uid="{00000000-0005-0000-0000-0000AE2C0000}"/>
    <cellStyle name="Normal 13 3 2 4 3 5" xfId="8026" xr:uid="{00000000-0005-0000-0000-0000AF2C0000}"/>
    <cellStyle name="Normal 13 3 2 4 3 6" xfId="8027" xr:uid="{00000000-0005-0000-0000-0000B02C0000}"/>
    <cellStyle name="Normal 13 3 2 4 4" xfId="8028" xr:uid="{00000000-0005-0000-0000-0000B12C0000}"/>
    <cellStyle name="Normal 13 3 2 4 4 2" xfId="49437" xr:uid="{00000000-0005-0000-0000-0000B22C0000}"/>
    <cellStyle name="Normal 13 3 2 4 4 3" xfId="49438" xr:uid="{00000000-0005-0000-0000-0000B32C0000}"/>
    <cellStyle name="Normal 13 3 2 4 5" xfId="8029" xr:uid="{00000000-0005-0000-0000-0000B42C0000}"/>
    <cellStyle name="Normal 13 3 2 4 5 2" xfId="49439" xr:uid="{00000000-0005-0000-0000-0000B52C0000}"/>
    <cellStyle name="Normal 13 3 2 4 6" xfId="8030" xr:uid="{00000000-0005-0000-0000-0000B62C0000}"/>
    <cellStyle name="Normal 13 3 2 4 7" xfId="8031" xr:uid="{00000000-0005-0000-0000-0000B72C0000}"/>
    <cellStyle name="Normal 13 3 2 4 8" xfId="8032" xr:uid="{00000000-0005-0000-0000-0000B82C0000}"/>
    <cellStyle name="Normal 13 3 2 5" xfId="8033" xr:uid="{00000000-0005-0000-0000-0000B92C0000}"/>
    <cellStyle name="Normal 13 3 2 5 2" xfId="8034" xr:uid="{00000000-0005-0000-0000-0000BA2C0000}"/>
    <cellStyle name="Normal 13 3 2 5 2 2" xfId="8035" xr:uid="{00000000-0005-0000-0000-0000BB2C0000}"/>
    <cellStyle name="Normal 13 3 2 5 2 2 2" xfId="49440" xr:uid="{00000000-0005-0000-0000-0000BC2C0000}"/>
    <cellStyle name="Normal 13 3 2 5 2 2 3" xfId="49441" xr:uid="{00000000-0005-0000-0000-0000BD2C0000}"/>
    <cellStyle name="Normal 13 3 2 5 2 3" xfId="8036" xr:uid="{00000000-0005-0000-0000-0000BE2C0000}"/>
    <cellStyle name="Normal 13 3 2 5 2 3 2" xfId="49442" xr:uid="{00000000-0005-0000-0000-0000BF2C0000}"/>
    <cellStyle name="Normal 13 3 2 5 2 4" xfId="8037" xr:uid="{00000000-0005-0000-0000-0000C02C0000}"/>
    <cellStyle name="Normal 13 3 2 5 2 5" xfId="8038" xr:uid="{00000000-0005-0000-0000-0000C12C0000}"/>
    <cellStyle name="Normal 13 3 2 5 2 6" xfId="8039" xr:uid="{00000000-0005-0000-0000-0000C22C0000}"/>
    <cellStyle name="Normal 13 3 2 5 3" xfId="8040" xr:uid="{00000000-0005-0000-0000-0000C32C0000}"/>
    <cellStyle name="Normal 13 3 2 5 3 2" xfId="49443" xr:uid="{00000000-0005-0000-0000-0000C42C0000}"/>
    <cellStyle name="Normal 13 3 2 5 3 3" xfId="49444" xr:uid="{00000000-0005-0000-0000-0000C52C0000}"/>
    <cellStyle name="Normal 13 3 2 5 4" xfId="8041" xr:uid="{00000000-0005-0000-0000-0000C62C0000}"/>
    <cellStyle name="Normal 13 3 2 5 4 2" xfId="49445" xr:uid="{00000000-0005-0000-0000-0000C72C0000}"/>
    <cellStyle name="Normal 13 3 2 5 5" xfId="8042" xr:uid="{00000000-0005-0000-0000-0000C82C0000}"/>
    <cellStyle name="Normal 13 3 2 5 6" xfId="8043" xr:uid="{00000000-0005-0000-0000-0000C92C0000}"/>
    <cellStyle name="Normal 13 3 2 5 7" xfId="8044" xr:uid="{00000000-0005-0000-0000-0000CA2C0000}"/>
    <cellStyle name="Normal 13 3 2 6" xfId="8045" xr:uid="{00000000-0005-0000-0000-0000CB2C0000}"/>
    <cellStyle name="Normal 13 3 2 6 2" xfId="8046" xr:uid="{00000000-0005-0000-0000-0000CC2C0000}"/>
    <cellStyle name="Normal 13 3 2 6 2 2" xfId="49446" xr:uid="{00000000-0005-0000-0000-0000CD2C0000}"/>
    <cellStyle name="Normal 13 3 2 6 2 3" xfId="49447" xr:uid="{00000000-0005-0000-0000-0000CE2C0000}"/>
    <cellStyle name="Normal 13 3 2 6 3" xfId="8047" xr:uid="{00000000-0005-0000-0000-0000CF2C0000}"/>
    <cellStyle name="Normal 13 3 2 6 3 2" xfId="49448" xr:uid="{00000000-0005-0000-0000-0000D02C0000}"/>
    <cellStyle name="Normal 13 3 2 6 4" xfId="8048" xr:uid="{00000000-0005-0000-0000-0000D12C0000}"/>
    <cellStyle name="Normal 13 3 2 6 5" xfId="8049" xr:uid="{00000000-0005-0000-0000-0000D22C0000}"/>
    <cellStyle name="Normal 13 3 2 6 6" xfId="8050" xr:uid="{00000000-0005-0000-0000-0000D32C0000}"/>
    <cellStyle name="Normal 13 3 2 7" xfId="8051" xr:uid="{00000000-0005-0000-0000-0000D42C0000}"/>
    <cellStyle name="Normal 13 3 2 7 2" xfId="49449" xr:uid="{00000000-0005-0000-0000-0000D52C0000}"/>
    <cellStyle name="Normal 13 3 2 7 3" xfId="49450" xr:uid="{00000000-0005-0000-0000-0000D62C0000}"/>
    <cellStyle name="Normal 13 3 2 8" xfId="8052" xr:uid="{00000000-0005-0000-0000-0000D72C0000}"/>
    <cellStyle name="Normal 13 3 2 8 2" xfId="49451" xr:uid="{00000000-0005-0000-0000-0000D82C0000}"/>
    <cellStyle name="Normal 13 3 2 9" xfId="8053" xr:uid="{00000000-0005-0000-0000-0000D92C0000}"/>
    <cellStyle name="Normal 13 3 2 9 2" xfId="49452" xr:uid="{00000000-0005-0000-0000-0000DA2C0000}"/>
    <cellStyle name="Normal 13 3 20" xfId="8054" xr:uid="{00000000-0005-0000-0000-0000DB2C0000}"/>
    <cellStyle name="Normal 13 3 21" xfId="8055" xr:uid="{00000000-0005-0000-0000-0000DC2C0000}"/>
    <cellStyle name="Normal 13 3 3" xfId="8056" xr:uid="{00000000-0005-0000-0000-0000DD2C0000}"/>
    <cellStyle name="Normal 13 3 3 10" xfId="8057" xr:uid="{00000000-0005-0000-0000-0000DE2C0000}"/>
    <cellStyle name="Normal 13 3 3 11" xfId="8058" xr:uid="{00000000-0005-0000-0000-0000DF2C0000}"/>
    <cellStyle name="Normal 13 3 3 12" xfId="8059" xr:uid="{00000000-0005-0000-0000-0000E02C0000}"/>
    <cellStyle name="Normal 13 3 3 13" xfId="8060" xr:uid="{00000000-0005-0000-0000-0000E12C0000}"/>
    <cellStyle name="Normal 13 3 3 14" xfId="8061" xr:uid="{00000000-0005-0000-0000-0000E22C0000}"/>
    <cellStyle name="Normal 13 3 3 15" xfId="8062" xr:uid="{00000000-0005-0000-0000-0000E32C0000}"/>
    <cellStyle name="Normal 13 3 3 2" xfId="8063" xr:uid="{00000000-0005-0000-0000-0000E42C0000}"/>
    <cellStyle name="Normal 13 3 3 2 10" xfId="8064" xr:uid="{00000000-0005-0000-0000-0000E52C0000}"/>
    <cellStyle name="Normal 13 3 3 2 11" xfId="8065" xr:uid="{00000000-0005-0000-0000-0000E62C0000}"/>
    <cellStyle name="Normal 13 3 3 2 12" xfId="8066" xr:uid="{00000000-0005-0000-0000-0000E72C0000}"/>
    <cellStyle name="Normal 13 3 3 2 13" xfId="8067" xr:uid="{00000000-0005-0000-0000-0000E82C0000}"/>
    <cellStyle name="Normal 13 3 3 2 14" xfId="8068" xr:uid="{00000000-0005-0000-0000-0000E92C0000}"/>
    <cellStyle name="Normal 13 3 3 2 2" xfId="8069" xr:uid="{00000000-0005-0000-0000-0000EA2C0000}"/>
    <cellStyle name="Normal 13 3 3 2 2 2" xfId="8070" xr:uid="{00000000-0005-0000-0000-0000EB2C0000}"/>
    <cellStyle name="Normal 13 3 3 2 2 2 2" xfId="8071" xr:uid="{00000000-0005-0000-0000-0000EC2C0000}"/>
    <cellStyle name="Normal 13 3 3 2 2 2 2 2" xfId="8072" xr:uid="{00000000-0005-0000-0000-0000ED2C0000}"/>
    <cellStyle name="Normal 13 3 3 2 2 2 2 2 2" xfId="49453" xr:uid="{00000000-0005-0000-0000-0000EE2C0000}"/>
    <cellStyle name="Normal 13 3 3 2 2 2 2 2 3" xfId="49454" xr:uid="{00000000-0005-0000-0000-0000EF2C0000}"/>
    <cellStyle name="Normal 13 3 3 2 2 2 2 3" xfId="8073" xr:uid="{00000000-0005-0000-0000-0000F02C0000}"/>
    <cellStyle name="Normal 13 3 3 2 2 2 2 3 2" xfId="49455" xr:uid="{00000000-0005-0000-0000-0000F12C0000}"/>
    <cellStyle name="Normal 13 3 3 2 2 2 2 4" xfId="8074" xr:uid="{00000000-0005-0000-0000-0000F22C0000}"/>
    <cellStyle name="Normal 13 3 3 2 2 2 2 5" xfId="8075" xr:uid="{00000000-0005-0000-0000-0000F32C0000}"/>
    <cellStyle name="Normal 13 3 3 2 2 2 2 6" xfId="8076" xr:uid="{00000000-0005-0000-0000-0000F42C0000}"/>
    <cellStyle name="Normal 13 3 3 2 2 2 3" xfId="8077" xr:uid="{00000000-0005-0000-0000-0000F52C0000}"/>
    <cellStyle name="Normal 13 3 3 2 2 2 3 2" xfId="49456" xr:uid="{00000000-0005-0000-0000-0000F62C0000}"/>
    <cellStyle name="Normal 13 3 3 2 2 2 3 3" xfId="49457" xr:uid="{00000000-0005-0000-0000-0000F72C0000}"/>
    <cellStyle name="Normal 13 3 3 2 2 2 4" xfId="8078" xr:uid="{00000000-0005-0000-0000-0000F82C0000}"/>
    <cellStyle name="Normal 13 3 3 2 2 2 4 2" xfId="49458" xr:uid="{00000000-0005-0000-0000-0000F92C0000}"/>
    <cellStyle name="Normal 13 3 3 2 2 2 5" xfId="8079" xr:uid="{00000000-0005-0000-0000-0000FA2C0000}"/>
    <cellStyle name="Normal 13 3 3 2 2 2 6" xfId="8080" xr:uid="{00000000-0005-0000-0000-0000FB2C0000}"/>
    <cellStyle name="Normal 13 3 3 2 2 2 7" xfId="8081" xr:uid="{00000000-0005-0000-0000-0000FC2C0000}"/>
    <cellStyle name="Normal 13 3 3 2 2 3" xfId="8082" xr:uid="{00000000-0005-0000-0000-0000FD2C0000}"/>
    <cellStyle name="Normal 13 3 3 2 2 3 2" xfId="8083" xr:uid="{00000000-0005-0000-0000-0000FE2C0000}"/>
    <cellStyle name="Normal 13 3 3 2 2 3 2 2" xfId="49459" xr:uid="{00000000-0005-0000-0000-0000FF2C0000}"/>
    <cellStyle name="Normal 13 3 3 2 2 3 2 3" xfId="49460" xr:uid="{00000000-0005-0000-0000-0000002D0000}"/>
    <cellStyle name="Normal 13 3 3 2 2 3 3" xfId="8084" xr:uid="{00000000-0005-0000-0000-0000012D0000}"/>
    <cellStyle name="Normal 13 3 3 2 2 3 3 2" xfId="49461" xr:uid="{00000000-0005-0000-0000-0000022D0000}"/>
    <cellStyle name="Normal 13 3 3 2 2 3 4" xfId="8085" xr:uid="{00000000-0005-0000-0000-0000032D0000}"/>
    <cellStyle name="Normal 13 3 3 2 2 3 5" xfId="8086" xr:uid="{00000000-0005-0000-0000-0000042D0000}"/>
    <cellStyle name="Normal 13 3 3 2 2 3 6" xfId="8087" xr:uid="{00000000-0005-0000-0000-0000052D0000}"/>
    <cellStyle name="Normal 13 3 3 2 2 4" xfId="8088" xr:uid="{00000000-0005-0000-0000-0000062D0000}"/>
    <cellStyle name="Normal 13 3 3 2 2 4 2" xfId="49462" xr:uid="{00000000-0005-0000-0000-0000072D0000}"/>
    <cellStyle name="Normal 13 3 3 2 2 4 3" xfId="49463" xr:uid="{00000000-0005-0000-0000-0000082D0000}"/>
    <cellStyle name="Normal 13 3 3 2 2 5" xfId="8089" xr:uid="{00000000-0005-0000-0000-0000092D0000}"/>
    <cellStyle name="Normal 13 3 3 2 2 5 2" xfId="49464" xr:uid="{00000000-0005-0000-0000-00000A2D0000}"/>
    <cellStyle name="Normal 13 3 3 2 2 6" xfId="8090" xr:uid="{00000000-0005-0000-0000-00000B2D0000}"/>
    <cellStyle name="Normal 13 3 3 2 2 7" xfId="8091" xr:uid="{00000000-0005-0000-0000-00000C2D0000}"/>
    <cellStyle name="Normal 13 3 3 2 2 8" xfId="8092" xr:uid="{00000000-0005-0000-0000-00000D2D0000}"/>
    <cellStyle name="Normal 13 3 3 2 2 9" xfId="8093" xr:uid="{00000000-0005-0000-0000-00000E2D0000}"/>
    <cellStyle name="Normal 13 3 3 2 3" xfId="8094" xr:uid="{00000000-0005-0000-0000-00000F2D0000}"/>
    <cellStyle name="Normal 13 3 3 2 3 2" xfId="8095" xr:uid="{00000000-0005-0000-0000-0000102D0000}"/>
    <cellStyle name="Normal 13 3 3 2 3 2 2" xfId="8096" xr:uid="{00000000-0005-0000-0000-0000112D0000}"/>
    <cellStyle name="Normal 13 3 3 2 3 2 2 2" xfId="8097" xr:uid="{00000000-0005-0000-0000-0000122D0000}"/>
    <cellStyle name="Normal 13 3 3 2 3 2 2 2 2" xfId="49465" xr:uid="{00000000-0005-0000-0000-0000132D0000}"/>
    <cellStyle name="Normal 13 3 3 2 3 2 2 2 3" xfId="49466" xr:uid="{00000000-0005-0000-0000-0000142D0000}"/>
    <cellStyle name="Normal 13 3 3 2 3 2 2 3" xfId="8098" xr:uid="{00000000-0005-0000-0000-0000152D0000}"/>
    <cellStyle name="Normal 13 3 3 2 3 2 2 3 2" xfId="49467" xr:uid="{00000000-0005-0000-0000-0000162D0000}"/>
    <cellStyle name="Normal 13 3 3 2 3 2 2 4" xfId="8099" xr:uid="{00000000-0005-0000-0000-0000172D0000}"/>
    <cellStyle name="Normal 13 3 3 2 3 2 2 5" xfId="8100" xr:uid="{00000000-0005-0000-0000-0000182D0000}"/>
    <cellStyle name="Normal 13 3 3 2 3 2 2 6" xfId="8101" xr:uid="{00000000-0005-0000-0000-0000192D0000}"/>
    <cellStyle name="Normal 13 3 3 2 3 2 3" xfId="8102" xr:uid="{00000000-0005-0000-0000-00001A2D0000}"/>
    <cellStyle name="Normal 13 3 3 2 3 2 3 2" xfId="49468" xr:uid="{00000000-0005-0000-0000-00001B2D0000}"/>
    <cellStyle name="Normal 13 3 3 2 3 2 3 3" xfId="49469" xr:uid="{00000000-0005-0000-0000-00001C2D0000}"/>
    <cellStyle name="Normal 13 3 3 2 3 2 4" xfId="8103" xr:uid="{00000000-0005-0000-0000-00001D2D0000}"/>
    <cellStyle name="Normal 13 3 3 2 3 2 4 2" xfId="49470" xr:uid="{00000000-0005-0000-0000-00001E2D0000}"/>
    <cellStyle name="Normal 13 3 3 2 3 2 5" xfId="8104" xr:uid="{00000000-0005-0000-0000-00001F2D0000}"/>
    <cellStyle name="Normal 13 3 3 2 3 2 6" xfId="8105" xr:uid="{00000000-0005-0000-0000-0000202D0000}"/>
    <cellStyle name="Normal 13 3 3 2 3 2 7" xfId="8106" xr:uid="{00000000-0005-0000-0000-0000212D0000}"/>
    <cellStyle name="Normal 13 3 3 2 3 3" xfId="8107" xr:uid="{00000000-0005-0000-0000-0000222D0000}"/>
    <cellStyle name="Normal 13 3 3 2 3 3 2" xfId="8108" xr:uid="{00000000-0005-0000-0000-0000232D0000}"/>
    <cellStyle name="Normal 13 3 3 2 3 3 2 2" xfId="49471" xr:uid="{00000000-0005-0000-0000-0000242D0000}"/>
    <cellStyle name="Normal 13 3 3 2 3 3 2 3" xfId="49472" xr:uid="{00000000-0005-0000-0000-0000252D0000}"/>
    <cellStyle name="Normal 13 3 3 2 3 3 3" xfId="8109" xr:uid="{00000000-0005-0000-0000-0000262D0000}"/>
    <cellStyle name="Normal 13 3 3 2 3 3 3 2" xfId="49473" xr:uid="{00000000-0005-0000-0000-0000272D0000}"/>
    <cellStyle name="Normal 13 3 3 2 3 3 4" xfId="8110" xr:uid="{00000000-0005-0000-0000-0000282D0000}"/>
    <cellStyle name="Normal 13 3 3 2 3 3 5" xfId="8111" xr:uid="{00000000-0005-0000-0000-0000292D0000}"/>
    <cellStyle name="Normal 13 3 3 2 3 3 6" xfId="8112" xr:uid="{00000000-0005-0000-0000-00002A2D0000}"/>
    <cellStyle name="Normal 13 3 3 2 3 4" xfId="8113" xr:uid="{00000000-0005-0000-0000-00002B2D0000}"/>
    <cellStyle name="Normal 13 3 3 2 3 4 2" xfId="49474" xr:uid="{00000000-0005-0000-0000-00002C2D0000}"/>
    <cellStyle name="Normal 13 3 3 2 3 4 3" xfId="49475" xr:uid="{00000000-0005-0000-0000-00002D2D0000}"/>
    <cellStyle name="Normal 13 3 3 2 3 5" xfId="8114" xr:uid="{00000000-0005-0000-0000-00002E2D0000}"/>
    <cellStyle name="Normal 13 3 3 2 3 5 2" xfId="49476" xr:uid="{00000000-0005-0000-0000-00002F2D0000}"/>
    <cellStyle name="Normal 13 3 3 2 3 6" xfId="8115" xr:uid="{00000000-0005-0000-0000-0000302D0000}"/>
    <cellStyle name="Normal 13 3 3 2 3 7" xfId="8116" xr:uid="{00000000-0005-0000-0000-0000312D0000}"/>
    <cellStyle name="Normal 13 3 3 2 3 8" xfId="8117" xr:uid="{00000000-0005-0000-0000-0000322D0000}"/>
    <cellStyle name="Normal 13 3 3 2 4" xfId="8118" xr:uid="{00000000-0005-0000-0000-0000332D0000}"/>
    <cellStyle name="Normal 13 3 3 2 4 2" xfId="8119" xr:uid="{00000000-0005-0000-0000-0000342D0000}"/>
    <cellStyle name="Normal 13 3 3 2 4 2 2" xfId="8120" xr:uid="{00000000-0005-0000-0000-0000352D0000}"/>
    <cellStyle name="Normal 13 3 3 2 4 2 2 2" xfId="49477" xr:uid="{00000000-0005-0000-0000-0000362D0000}"/>
    <cellStyle name="Normal 13 3 3 2 4 2 2 3" xfId="49478" xr:uid="{00000000-0005-0000-0000-0000372D0000}"/>
    <cellStyle name="Normal 13 3 3 2 4 2 3" xfId="8121" xr:uid="{00000000-0005-0000-0000-0000382D0000}"/>
    <cellStyle name="Normal 13 3 3 2 4 2 3 2" xfId="49479" xr:uid="{00000000-0005-0000-0000-0000392D0000}"/>
    <cellStyle name="Normal 13 3 3 2 4 2 4" xfId="8122" xr:uid="{00000000-0005-0000-0000-00003A2D0000}"/>
    <cellStyle name="Normal 13 3 3 2 4 2 5" xfId="8123" xr:uid="{00000000-0005-0000-0000-00003B2D0000}"/>
    <cellStyle name="Normal 13 3 3 2 4 2 6" xfId="8124" xr:uid="{00000000-0005-0000-0000-00003C2D0000}"/>
    <cellStyle name="Normal 13 3 3 2 4 3" xfId="8125" xr:uid="{00000000-0005-0000-0000-00003D2D0000}"/>
    <cellStyle name="Normal 13 3 3 2 4 3 2" xfId="49480" xr:uid="{00000000-0005-0000-0000-00003E2D0000}"/>
    <cellStyle name="Normal 13 3 3 2 4 3 3" xfId="49481" xr:uid="{00000000-0005-0000-0000-00003F2D0000}"/>
    <cellStyle name="Normal 13 3 3 2 4 4" xfId="8126" xr:uid="{00000000-0005-0000-0000-0000402D0000}"/>
    <cellStyle name="Normal 13 3 3 2 4 4 2" xfId="49482" xr:uid="{00000000-0005-0000-0000-0000412D0000}"/>
    <cellStyle name="Normal 13 3 3 2 4 5" xfId="8127" xr:uid="{00000000-0005-0000-0000-0000422D0000}"/>
    <cellStyle name="Normal 13 3 3 2 4 6" xfId="8128" xr:uid="{00000000-0005-0000-0000-0000432D0000}"/>
    <cellStyle name="Normal 13 3 3 2 4 7" xfId="8129" xr:uid="{00000000-0005-0000-0000-0000442D0000}"/>
    <cellStyle name="Normal 13 3 3 2 5" xfId="8130" xr:uid="{00000000-0005-0000-0000-0000452D0000}"/>
    <cellStyle name="Normal 13 3 3 2 5 2" xfId="8131" xr:uid="{00000000-0005-0000-0000-0000462D0000}"/>
    <cellStyle name="Normal 13 3 3 2 5 2 2" xfId="49483" xr:uid="{00000000-0005-0000-0000-0000472D0000}"/>
    <cellStyle name="Normal 13 3 3 2 5 2 3" xfId="49484" xr:uid="{00000000-0005-0000-0000-0000482D0000}"/>
    <cellStyle name="Normal 13 3 3 2 5 3" xfId="8132" xr:uid="{00000000-0005-0000-0000-0000492D0000}"/>
    <cellStyle name="Normal 13 3 3 2 5 3 2" xfId="49485" xr:uid="{00000000-0005-0000-0000-00004A2D0000}"/>
    <cellStyle name="Normal 13 3 3 2 5 4" xfId="8133" xr:uid="{00000000-0005-0000-0000-00004B2D0000}"/>
    <cellStyle name="Normal 13 3 3 2 5 5" xfId="8134" xr:uid="{00000000-0005-0000-0000-00004C2D0000}"/>
    <cellStyle name="Normal 13 3 3 2 5 6" xfId="8135" xr:uid="{00000000-0005-0000-0000-00004D2D0000}"/>
    <cellStyle name="Normal 13 3 3 2 6" xfId="8136" xr:uid="{00000000-0005-0000-0000-00004E2D0000}"/>
    <cellStyle name="Normal 13 3 3 2 6 2" xfId="49486" xr:uid="{00000000-0005-0000-0000-00004F2D0000}"/>
    <cellStyle name="Normal 13 3 3 2 6 3" xfId="49487" xr:uid="{00000000-0005-0000-0000-0000502D0000}"/>
    <cellStyle name="Normal 13 3 3 2 7" xfId="8137" xr:uid="{00000000-0005-0000-0000-0000512D0000}"/>
    <cellStyle name="Normal 13 3 3 2 7 2" xfId="49488" xr:uid="{00000000-0005-0000-0000-0000522D0000}"/>
    <cellStyle name="Normal 13 3 3 2 8" xfId="8138" xr:uid="{00000000-0005-0000-0000-0000532D0000}"/>
    <cellStyle name="Normal 13 3 3 2 9" xfId="8139" xr:uid="{00000000-0005-0000-0000-0000542D0000}"/>
    <cellStyle name="Normal 13 3 3 3" xfId="8140" xr:uid="{00000000-0005-0000-0000-0000552D0000}"/>
    <cellStyle name="Normal 13 3 3 3 2" xfId="8141" xr:uid="{00000000-0005-0000-0000-0000562D0000}"/>
    <cellStyle name="Normal 13 3 3 3 2 2" xfId="8142" xr:uid="{00000000-0005-0000-0000-0000572D0000}"/>
    <cellStyle name="Normal 13 3 3 3 2 2 2" xfId="8143" xr:uid="{00000000-0005-0000-0000-0000582D0000}"/>
    <cellStyle name="Normal 13 3 3 3 2 2 2 2" xfId="49489" xr:uid="{00000000-0005-0000-0000-0000592D0000}"/>
    <cellStyle name="Normal 13 3 3 3 2 2 2 3" xfId="49490" xr:uid="{00000000-0005-0000-0000-00005A2D0000}"/>
    <cellStyle name="Normal 13 3 3 3 2 2 3" xfId="8144" xr:uid="{00000000-0005-0000-0000-00005B2D0000}"/>
    <cellStyle name="Normal 13 3 3 3 2 2 3 2" xfId="49491" xr:uid="{00000000-0005-0000-0000-00005C2D0000}"/>
    <cellStyle name="Normal 13 3 3 3 2 2 4" xfId="8145" xr:uid="{00000000-0005-0000-0000-00005D2D0000}"/>
    <cellStyle name="Normal 13 3 3 3 2 2 5" xfId="8146" xr:uid="{00000000-0005-0000-0000-00005E2D0000}"/>
    <cellStyle name="Normal 13 3 3 3 2 2 6" xfId="8147" xr:uid="{00000000-0005-0000-0000-00005F2D0000}"/>
    <cellStyle name="Normal 13 3 3 3 2 3" xfId="8148" xr:uid="{00000000-0005-0000-0000-0000602D0000}"/>
    <cellStyle name="Normal 13 3 3 3 2 3 2" xfId="49492" xr:uid="{00000000-0005-0000-0000-0000612D0000}"/>
    <cellStyle name="Normal 13 3 3 3 2 3 3" xfId="49493" xr:uid="{00000000-0005-0000-0000-0000622D0000}"/>
    <cellStyle name="Normal 13 3 3 3 2 4" xfId="8149" xr:uid="{00000000-0005-0000-0000-0000632D0000}"/>
    <cellStyle name="Normal 13 3 3 3 2 4 2" xfId="49494" xr:uid="{00000000-0005-0000-0000-0000642D0000}"/>
    <cellStyle name="Normal 13 3 3 3 2 5" xfId="8150" xr:uid="{00000000-0005-0000-0000-0000652D0000}"/>
    <cellStyle name="Normal 13 3 3 3 2 6" xfId="8151" xr:uid="{00000000-0005-0000-0000-0000662D0000}"/>
    <cellStyle name="Normal 13 3 3 3 2 7" xfId="8152" xr:uid="{00000000-0005-0000-0000-0000672D0000}"/>
    <cellStyle name="Normal 13 3 3 3 3" xfId="8153" xr:uid="{00000000-0005-0000-0000-0000682D0000}"/>
    <cellStyle name="Normal 13 3 3 3 3 2" xfId="8154" xr:uid="{00000000-0005-0000-0000-0000692D0000}"/>
    <cellStyle name="Normal 13 3 3 3 3 2 2" xfId="49495" xr:uid="{00000000-0005-0000-0000-00006A2D0000}"/>
    <cellStyle name="Normal 13 3 3 3 3 2 3" xfId="49496" xr:uid="{00000000-0005-0000-0000-00006B2D0000}"/>
    <cellStyle name="Normal 13 3 3 3 3 3" xfId="8155" xr:uid="{00000000-0005-0000-0000-00006C2D0000}"/>
    <cellStyle name="Normal 13 3 3 3 3 3 2" xfId="49497" xr:uid="{00000000-0005-0000-0000-00006D2D0000}"/>
    <cellStyle name="Normal 13 3 3 3 3 4" xfId="8156" xr:uid="{00000000-0005-0000-0000-00006E2D0000}"/>
    <cellStyle name="Normal 13 3 3 3 3 5" xfId="8157" xr:uid="{00000000-0005-0000-0000-00006F2D0000}"/>
    <cellStyle name="Normal 13 3 3 3 3 6" xfId="8158" xr:uid="{00000000-0005-0000-0000-0000702D0000}"/>
    <cellStyle name="Normal 13 3 3 3 4" xfId="8159" xr:uid="{00000000-0005-0000-0000-0000712D0000}"/>
    <cellStyle name="Normal 13 3 3 3 4 2" xfId="49498" xr:uid="{00000000-0005-0000-0000-0000722D0000}"/>
    <cellStyle name="Normal 13 3 3 3 4 3" xfId="49499" xr:uid="{00000000-0005-0000-0000-0000732D0000}"/>
    <cellStyle name="Normal 13 3 3 3 5" xfId="8160" xr:uid="{00000000-0005-0000-0000-0000742D0000}"/>
    <cellStyle name="Normal 13 3 3 3 5 2" xfId="49500" xr:uid="{00000000-0005-0000-0000-0000752D0000}"/>
    <cellStyle name="Normal 13 3 3 3 6" xfId="8161" xr:uid="{00000000-0005-0000-0000-0000762D0000}"/>
    <cellStyle name="Normal 13 3 3 3 7" xfId="8162" xr:uid="{00000000-0005-0000-0000-0000772D0000}"/>
    <cellStyle name="Normal 13 3 3 3 8" xfId="8163" xr:uid="{00000000-0005-0000-0000-0000782D0000}"/>
    <cellStyle name="Normal 13 3 3 3 9" xfId="8164" xr:uid="{00000000-0005-0000-0000-0000792D0000}"/>
    <cellStyle name="Normal 13 3 3 4" xfId="8165" xr:uid="{00000000-0005-0000-0000-00007A2D0000}"/>
    <cellStyle name="Normal 13 3 3 4 2" xfId="8166" xr:uid="{00000000-0005-0000-0000-00007B2D0000}"/>
    <cellStyle name="Normal 13 3 3 4 2 2" xfId="8167" xr:uid="{00000000-0005-0000-0000-00007C2D0000}"/>
    <cellStyle name="Normal 13 3 3 4 2 2 2" xfId="8168" xr:uid="{00000000-0005-0000-0000-00007D2D0000}"/>
    <cellStyle name="Normal 13 3 3 4 2 2 2 2" xfId="49501" xr:uid="{00000000-0005-0000-0000-00007E2D0000}"/>
    <cellStyle name="Normal 13 3 3 4 2 2 2 3" xfId="49502" xr:uid="{00000000-0005-0000-0000-00007F2D0000}"/>
    <cellStyle name="Normal 13 3 3 4 2 2 3" xfId="8169" xr:uid="{00000000-0005-0000-0000-0000802D0000}"/>
    <cellStyle name="Normal 13 3 3 4 2 2 3 2" xfId="49503" xr:uid="{00000000-0005-0000-0000-0000812D0000}"/>
    <cellStyle name="Normal 13 3 3 4 2 2 4" xfId="8170" xr:uid="{00000000-0005-0000-0000-0000822D0000}"/>
    <cellStyle name="Normal 13 3 3 4 2 2 5" xfId="8171" xr:uid="{00000000-0005-0000-0000-0000832D0000}"/>
    <cellStyle name="Normal 13 3 3 4 2 2 6" xfId="8172" xr:uid="{00000000-0005-0000-0000-0000842D0000}"/>
    <cellStyle name="Normal 13 3 3 4 2 3" xfId="8173" xr:uid="{00000000-0005-0000-0000-0000852D0000}"/>
    <cellStyle name="Normal 13 3 3 4 2 3 2" xfId="49504" xr:uid="{00000000-0005-0000-0000-0000862D0000}"/>
    <cellStyle name="Normal 13 3 3 4 2 3 3" xfId="49505" xr:uid="{00000000-0005-0000-0000-0000872D0000}"/>
    <cellStyle name="Normal 13 3 3 4 2 4" xfId="8174" xr:uid="{00000000-0005-0000-0000-0000882D0000}"/>
    <cellStyle name="Normal 13 3 3 4 2 4 2" xfId="49506" xr:uid="{00000000-0005-0000-0000-0000892D0000}"/>
    <cellStyle name="Normal 13 3 3 4 2 5" xfId="8175" xr:uid="{00000000-0005-0000-0000-00008A2D0000}"/>
    <cellStyle name="Normal 13 3 3 4 2 6" xfId="8176" xr:uid="{00000000-0005-0000-0000-00008B2D0000}"/>
    <cellStyle name="Normal 13 3 3 4 2 7" xfId="8177" xr:uid="{00000000-0005-0000-0000-00008C2D0000}"/>
    <cellStyle name="Normal 13 3 3 4 3" xfId="8178" xr:uid="{00000000-0005-0000-0000-00008D2D0000}"/>
    <cellStyle name="Normal 13 3 3 4 3 2" xfId="8179" xr:uid="{00000000-0005-0000-0000-00008E2D0000}"/>
    <cellStyle name="Normal 13 3 3 4 3 2 2" xfId="49507" xr:uid="{00000000-0005-0000-0000-00008F2D0000}"/>
    <cellStyle name="Normal 13 3 3 4 3 2 3" xfId="49508" xr:uid="{00000000-0005-0000-0000-0000902D0000}"/>
    <cellStyle name="Normal 13 3 3 4 3 3" xfId="8180" xr:uid="{00000000-0005-0000-0000-0000912D0000}"/>
    <cellStyle name="Normal 13 3 3 4 3 3 2" xfId="49509" xr:uid="{00000000-0005-0000-0000-0000922D0000}"/>
    <cellStyle name="Normal 13 3 3 4 3 4" xfId="8181" xr:uid="{00000000-0005-0000-0000-0000932D0000}"/>
    <cellStyle name="Normal 13 3 3 4 3 5" xfId="8182" xr:uid="{00000000-0005-0000-0000-0000942D0000}"/>
    <cellStyle name="Normal 13 3 3 4 3 6" xfId="8183" xr:uid="{00000000-0005-0000-0000-0000952D0000}"/>
    <cellStyle name="Normal 13 3 3 4 4" xfId="8184" xr:uid="{00000000-0005-0000-0000-0000962D0000}"/>
    <cellStyle name="Normal 13 3 3 4 4 2" xfId="49510" xr:uid="{00000000-0005-0000-0000-0000972D0000}"/>
    <cellStyle name="Normal 13 3 3 4 4 3" xfId="49511" xr:uid="{00000000-0005-0000-0000-0000982D0000}"/>
    <cellStyle name="Normal 13 3 3 4 5" xfId="8185" xr:uid="{00000000-0005-0000-0000-0000992D0000}"/>
    <cellStyle name="Normal 13 3 3 4 5 2" xfId="49512" xr:uid="{00000000-0005-0000-0000-00009A2D0000}"/>
    <cellStyle name="Normal 13 3 3 4 6" xfId="8186" xr:uid="{00000000-0005-0000-0000-00009B2D0000}"/>
    <cellStyle name="Normal 13 3 3 4 7" xfId="8187" xr:uid="{00000000-0005-0000-0000-00009C2D0000}"/>
    <cellStyle name="Normal 13 3 3 4 8" xfId="8188" xr:uid="{00000000-0005-0000-0000-00009D2D0000}"/>
    <cellStyle name="Normal 13 3 3 5" xfId="8189" xr:uid="{00000000-0005-0000-0000-00009E2D0000}"/>
    <cellStyle name="Normal 13 3 3 5 2" xfId="8190" xr:uid="{00000000-0005-0000-0000-00009F2D0000}"/>
    <cellStyle name="Normal 13 3 3 5 2 2" xfId="8191" xr:uid="{00000000-0005-0000-0000-0000A02D0000}"/>
    <cellStyle name="Normal 13 3 3 5 2 2 2" xfId="49513" xr:uid="{00000000-0005-0000-0000-0000A12D0000}"/>
    <cellStyle name="Normal 13 3 3 5 2 2 3" xfId="49514" xr:uid="{00000000-0005-0000-0000-0000A22D0000}"/>
    <cellStyle name="Normal 13 3 3 5 2 3" xfId="8192" xr:uid="{00000000-0005-0000-0000-0000A32D0000}"/>
    <cellStyle name="Normal 13 3 3 5 2 3 2" xfId="49515" xr:uid="{00000000-0005-0000-0000-0000A42D0000}"/>
    <cellStyle name="Normal 13 3 3 5 2 4" xfId="8193" xr:uid="{00000000-0005-0000-0000-0000A52D0000}"/>
    <cellStyle name="Normal 13 3 3 5 2 5" xfId="8194" xr:uid="{00000000-0005-0000-0000-0000A62D0000}"/>
    <cellStyle name="Normal 13 3 3 5 2 6" xfId="8195" xr:uid="{00000000-0005-0000-0000-0000A72D0000}"/>
    <cellStyle name="Normal 13 3 3 5 3" xfId="8196" xr:uid="{00000000-0005-0000-0000-0000A82D0000}"/>
    <cellStyle name="Normal 13 3 3 5 3 2" xfId="49516" xr:uid="{00000000-0005-0000-0000-0000A92D0000}"/>
    <cellStyle name="Normal 13 3 3 5 3 3" xfId="49517" xr:uid="{00000000-0005-0000-0000-0000AA2D0000}"/>
    <cellStyle name="Normal 13 3 3 5 4" xfId="8197" xr:uid="{00000000-0005-0000-0000-0000AB2D0000}"/>
    <cellStyle name="Normal 13 3 3 5 4 2" xfId="49518" xr:uid="{00000000-0005-0000-0000-0000AC2D0000}"/>
    <cellStyle name="Normal 13 3 3 5 5" xfId="8198" xr:uid="{00000000-0005-0000-0000-0000AD2D0000}"/>
    <cellStyle name="Normal 13 3 3 5 6" xfId="8199" xr:uid="{00000000-0005-0000-0000-0000AE2D0000}"/>
    <cellStyle name="Normal 13 3 3 5 7" xfId="8200" xr:uid="{00000000-0005-0000-0000-0000AF2D0000}"/>
    <cellStyle name="Normal 13 3 3 6" xfId="8201" xr:uid="{00000000-0005-0000-0000-0000B02D0000}"/>
    <cellStyle name="Normal 13 3 3 6 2" xfId="8202" xr:uid="{00000000-0005-0000-0000-0000B12D0000}"/>
    <cellStyle name="Normal 13 3 3 6 2 2" xfId="49519" xr:uid="{00000000-0005-0000-0000-0000B22D0000}"/>
    <cellStyle name="Normal 13 3 3 6 2 3" xfId="49520" xr:uid="{00000000-0005-0000-0000-0000B32D0000}"/>
    <cellStyle name="Normal 13 3 3 6 3" xfId="8203" xr:uid="{00000000-0005-0000-0000-0000B42D0000}"/>
    <cellStyle name="Normal 13 3 3 6 3 2" xfId="49521" xr:uid="{00000000-0005-0000-0000-0000B52D0000}"/>
    <cellStyle name="Normal 13 3 3 6 4" xfId="8204" xr:uid="{00000000-0005-0000-0000-0000B62D0000}"/>
    <cellStyle name="Normal 13 3 3 6 5" xfId="8205" xr:uid="{00000000-0005-0000-0000-0000B72D0000}"/>
    <cellStyle name="Normal 13 3 3 6 6" xfId="8206" xr:uid="{00000000-0005-0000-0000-0000B82D0000}"/>
    <cellStyle name="Normal 13 3 3 7" xfId="8207" xr:uid="{00000000-0005-0000-0000-0000B92D0000}"/>
    <cellStyle name="Normal 13 3 3 7 2" xfId="49522" xr:uid="{00000000-0005-0000-0000-0000BA2D0000}"/>
    <cellStyle name="Normal 13 3 3 7 3" xfId="49523" xr:uid="{00000000-0005-0000-0000-0000BB2D0000}"/>
    <cellStyle name="Normal 13 3 3 8" xfId="8208" xr:uid="{00000000-0005-0000-0000-0000BC2D0000}"/>
    <cellStyle name="Normal 13 3 3 8 2" xfId="49524" xr:uid="{00000000-0005-0000-0000-0000BD2D0000}"/>
    <cellStyle name="Normal 13 3 3 9" xfId="8209" xr:uid="{00000000-0005-0000-0000-0000BE2D0000}"/>
    <cellStyle name="Normal 13 3 4" xfId="8210" xr:uid="{00000000-0005-0000-0000-0000BF2D0000}"/>
    <cellStyle name="Normal 13 3 4 10" xfId="8211" xr:uid="{00000000-0005-0000-0000-0000C02D0000}"/>
    <cellStyle name="Normal 13 3 4 11" xfId="8212" xr:uid="{00000000-0005-0000-0000-0000C12D0000}"/>
    <cellStyle name="Normal 13 3 4 12" xfId="8213" xr:uid="{00000000-0005-0000-0000-0000C22D0000}"/>
    <cellStyle name="Normal 13 3 4 13" xfId="8214" xr:uid="{00000000-0005-0000-0000-0000C32D0000}"/>
    <cellStyle name="Normal 13 3 4 14" xfId="8215" xr:uid="{00000000-0005-0000-0000-0000C42D0000}"/>
    <cellStyle name="Normal 13 3 4 2" xfId="8216" xr:uid="{00000000-0005-0000-0000-0000C52D0000}"/>
    <cellStyle name="Normal 13 3 4 2 2" xfId="8217" xr:uid="{00000000-0005-0000-0000-0000C62D0000}"/>
    <cellStyle name="Normal 13 3 4 2 2 2" xfId="8218" xr:uid="{00000000-0005-0000-0000-0000C72D0000}"/>
    <cellStyle name="Normal 13 3 4 2 2 2 2" xfId="8219" xr:uid="{00000000-0005-0000-0000-0000C82D0000}"/>
    <cellStyle name="Normal 13 3 4 2 2 2 2 2" xfId="49525" xr:uid="{00000000-0005-0000-0000-0000C92D0000}"/>
    <cellStyle name="Normal 13 3 4 2 2 2 2 3" xfId="49526" xr:uid="{00000000-0005-0000-0000-0000CA2D0000}"/>
    <cellStyle name="Normal 13 3 4 2 2 2 3" xfId="8220" xr:uid="{00000000-0005-0000-0000-0000CB2D0000}"/>
    <cellStyle name="Normal 13 3 4 2 2 2 3 2" xfId="49527" xr:uid="{00000000-0005-0000-0000-0000CC2D0000}"/>
    <cellStyle name="Normal 13 3 4 2 2 2 4" xfId="8221" xr:uid="{00000000-0005-0000-0000-0000CD2D0000}"/>
    <cellStyle name="Normal 13 3 4 2 2 2 5" xfId="8222" xr:uid="{00000000-0005-0000-0000-0000CE2D0000}"/>
    <cellStyle name="Normal 13 3 4 2 2 2 6" xfId="8223" xr:uid="{00000000-0005-0000-0000-0000CF2D0000}"/>
    <cellStyle name="Normal 13 3 4 2 2 3" xfId="8224" xr:uid="{00000000-0005-0000-0000-0000D02D0000}"/>
    <cellStyle name="Normal 13 3 4 2 2 3 2" xfId="49528" xr:uid="{00000000-0005-0000-0000-0000D12D0000}"/>
    <cellStyle name="Normal 13 3 4 2 2 3 3" xfId="49529" xr:uid="{00000000-0005-0000-0000-0000D22D0000}"/>
    <cellStyle name="Normal 13 3 4 2 2 4" xfId="8225" xr:uid="{00000000-0005-0000-0000-0000D32D0000}"/>
    <cellStyle name="Normal 13 3 4 2 2 4 2" xfId="49530" xr:uid="{00000000-0005-0000-0000-0000D42D0000}"/>
    <cellStyle name="Normal 13 3 4 2 2 5" xfId="8226" xr:uid="{00000000-0005-0000-0000-0000D52D0000}"/>
    <cellStyle name="Normal 13 3 4 2 2 6" xfId="8227" xr:uid="{00000000-0005-0000-0000-0000D62D0000}"/>
    <cellStyle name="Normal 13 3 4 2 2 7" xfId="8228" xr:uid="{00000000-0005-0000-0000-0000D72D0000}"/>
    <cellStyle name="Normal 13 3 4 2 3" xfId="8229" xr:uid="{00000000-0005-0000-0000-0000D82D0000}"/>
    <cellStyle name="Normal 13 3 4 2 3 2" xfId="8230" xr:uid="{00000000-0005-0000-0000-0000D92D0000}"/>
    <cellStyle name="Normal 13 3 4 2 3 2 2" xfId="49531" xr:uid="{00000000-0005-0000-0000-0000DA2D0000}"/>
    <cellStyle name="Normal 13 3 4 2 3 2 3" xfId="49532" xr:uid="{00000000-0005-0000-0000-0000DB2D0000}"/>
    <cellStyle name="Normal 13 3 4 2 3 3" xfId="8231" xr:uid="{00000000-0005-0000-0000-0000DC2D0000}"/>
    <cellStyle name="Normal 13 3 4 2 3 3 2" xfId="49533" xr:uid="{00000000-0005-0000-0000-0000DD2D0000}"/>
    <cellStyle name="Normal 13 3 4 2 3 4" xfId="8232" xr:uid="{00000000-0005-0000-0000-0000DE2D0000}"/>
    <cellStyle name="Normal 13 3 4 2 3 5" xfId="8233" xr:uid="{00000000-0005-0000-0000-0000DF2D0000}"/>
    <cellStyle name="Normal 13 3 4 2 3 6" xfId="8234" xr:uid="{00000000-0005-0000-0000-0000E02D0000}"/>
    <cellStyle name="Normal 13 3 4 2 4" xfId="8235" xr:uid="{00000000-0005-0000-0000-0000E12D0000}"/>
    <cellStyle name="Normal 13 3 4 2 4 2" xfId="49534" xr:uid="{00000000-0005-0000-0000-0000E22D0000}"/>
    <cellStyle name="Normal 13 3 4 2 4 3" xfId="49535" xr:uid="{00000000-0005-0000-0000-0000E32D0000}"/>
    <cellStyle name="Normal 13 3 4 2 5" xfId="8236" xr:uid="{00000000-0005-0000-0000-0000E42D0000}"/>
    <cellStyle name="Normal 13 3 4 2 5 2" xfId="49536" xr:uid="{00000000-0005-0000-0000-0000E52D0000}"/>
    <cellStyle name="Normal 13 3 4 2 6" xfId="8237" xr:uid="{00000000-0005-0000-0000-0000E62D0000}"/>
    <cellStyle name="Normal 13 3 4 2 7" xfId="8238" xr:uid="{00000000-0005-0000-0000-0000E72D0000}"/>
    <cellStyle name="Normal 13 3 4 2 8" xfId="8239" xr:uid="{00000000-0005-0000-0000-0000E82D0000}"/>
    <cellStyle name="Normal 13 3 4 2 9" xfId="8240" xr:uid="{00000000-0005-0000-0000-0000E92D0000}"/>
    <cellStyle name="Normal 13 3 4 3" xfId="8241" xr:uid="{00000000-0005-0000-0000-0000EA2D0000}"/>
    <cellStyle name="Normal 13 3 4 3 2" xfId="8242" xr:uid="{00000000-0005-0000-0000-0000EB2D0000}"/>
    <cellStyle name="Normal 13 3 4 3 2 2" xfId="8243" xr:uid="{00000000-0005-0000-0000-0000EC2D0000}"/>
    <cellStyle name="Normal 13 3 4 3 2 2 2" xfId="8244" xr:uid="{00000000-0005-0000-0000-0000ED2D0000}"/>
    <cellStyle name="Normal 13 3 4 3 2 2 2 2" xfId="49537" xr:uid="{00000000-0005-0000-0000-0000EE2D0000}"/>
    <cellStyle name="Normal 13 3 4 3 2 2 2 3" xfId="49538" xr:uid="{00000000-0005-0000-0000-0000EF2D0000}"/>
    <cellStyle name="Normal 13 3 4 3 2 2 3" xfId="8245" xr:uid="{00000000-0005-0000-0000-0000F02D0000}"/>
    <cellStyle name="Normal 13 3 4 3 2 2 3 2" xfId="49539" xr:uid="{00000000-0005-0000-0000-0000F12D0000}"/>
    <cellStyle name="Normal 13 3 4 3 2 2 4" xfId="8246" xr:uid="{00000000-0005-0000-0000-0000F22D0000}"/>
    <cellStyle name="Normal 13 3 4 3 2 2 5" xfId="8247" xr:uid="{00000000-0005-0000-0000-0000F32D0000}"/>
    <cellStyle name="Normal 13 3 4 3 2 2 6" xfId="8248" xr:uid="{00000000-0005-0000-0000-0000F42D0000}"/>
    <cellStyle name="Normal 13 3 4 3 2 3" xfId="8249" xr:uid="{00000000-0005-0000-0000-0000F52D0000}"/>
    <cellStyle name="Normal 13 3 4 3 2 3 2" xfId="49540" xr:uid="{00000000-0005-0000-0000-0000F62D0000}"/>
    <cellStyle name="Normal 13 3 4 3 2 3 3" xfId="49541" xr:uid="{00000000-0005-0000-0000-0000F72D0000}"/>
    <cellStyle name="Normal 13 3 4 3 2 4" xfId="8250" xr:uid="{00000000-0005-0000-0000-0000F82D0000}"/>
    <cellStyle name="Normal 13 3 4 3 2 4 2" xfId="49542" xr:uid="{00000000-0005-0000-0000-0000F92D0000}"/>
    <cellStyle name="Normal 13 3 4 3 2 5" xfId="8251" xr:uid="{00000000-0005-0000-0000-0000FA2D0000}"/>
    <cellStyle name="Normal 13 3 4 3 2 6" xfId="8252" xr:uid="{00000000-0005-0000-0000-0000FB2D0000}"/>
    <cellStyle name="Normal 13 3 4 3 2 7" xfId="8253" xr:uid="{00000000-0005-0000-0000-0000FC2D0000}"/>
    <cellStyle name="Normal 13 3 4 3 3" xfId="8254" xr:uid="{00000000-0005-0000-0000-0000FD2D0000}"/>
    <cellStyle name="Normal 13 3 4 3 3 2" xfId="8255" xr:uid="{00000000-0005-0000-0000-0000FE2D0000}"/>
    <cellStyle name="Normal 13 3 4 3 3 2 2" xfId="49543" xr:uid="{00000000-0005-0000-0000-0000FF2D0000}"/>
    <cellStyle name="Normal 13 3 4 3 3 2 3" xfId="49544" xr:uid="{00000000-0005-0000-0000-0000002E0000}"/>
    <cellStyle name="Normal 13 3 4 3 3 3" xfId="8256" xr:uid="{00000000-0005-0000-0000-0000012E0000}"/>
    <cellStyle name="Normal 13 3 4 3 3 3 2" xfId="49545" xr:uid="{00000000-0005-0000-0000-0000022E0000}"/>
    <cellStyle name="Normal 13 3 4 3 3 4" xfId="8257" xr:uid="{00000000-0005-0000-0000-0000032E0000}"/>
    <cellStyle name="Normal 13 3 4 3 3 5" xfId="8258" xr:uid="{00000000-0005-0000-0000-0000042E0000}"/>
    <cellStyle name="Normal 13 3 4 3 3 6" xfId="8259" xr:uid="{00000000-0005-0000-0000-0000052E0000}"/>
    <cellStyle name="Normal 13 3 4 3 4" xfId="8260" xr:uid="{00000000-0005-0000-0000-0000062E0000}"/>
    <cellStyle name="Normal 13 3 4 3 4 2" xfId="49546" xr:uid="{00000000-0005-0000-0000-0000072E0000}"/>
    <cellStyle name="Normal 13 3 4 3 4 3" xfId="49547" xr:uid="{00000000-0005-0000-0000-0000082E0000}"/>
    <cellStyle name="Normal 13 3 4 3 5" xfId="8261" xr:uid="{00000000-0005-0000-0000-0000092E0000}"/>
    <cellStyle name="Normal 13 3 4 3 5 2" xfId="49548" xr:uid="{00000000-0005-0000-0000-00000A2E0000}"/>
    <cellStyle name="Normal 13 3 4 3 6" xfId="8262" xr:uid="{00000000-0005-0000-0000-00000B2E0000}"/>
    <cellStyle name="Normal 13 3 4 3 7" xfId="8263" xr:uid="{00000000-0005-0000-0000-00000C2E0000}"/>
    <cellStyle name="Normal 13 3 4 3 8" xfId="8264" xr:uid="{00000000-0005-0000-0000-00000D2E0000}"/>
    <cellStyle name="Normal 13 3 4 4" xfId="8265" xr:uid="{00000000-0005-0000-0000-00000E2E0000}"/>
    <cellStyle name="Normal 13 3 4 4 2" xfId="8266" xr:uid="{00000000-0005-0000-0000-00000F2E0000}"/>
    <cellStyle name="Normal 13 3 4 4 2 2" xfId="8267" xr:uid="{00000000-0005-0000-0000-0000102E0000}"/>
    <cellStyle name="Normal 13 3 4 4 2 2 2" xfId="49549" xr:uid="{00000000-0005-0000-0000-0000112E0000}"/>
    <cellStyle name="Normal 13 3 4 4 2 2 3" xfId="49550" xr:uid="{00000000-0005-0000-0000-0000122E0000}"/>
    <cellStyle name="Normal 13 3 4 4 2 3" xfId="8268" xr:uid="{00000000-0005-0000-0000-0000132E0000}"/>
    <cellStyle name="Normal 13 3 4 4 2 3 2" xfId="49551" xr:uid="{00000000-0005-0000-0000-0000142E0000}"/>
    <cellStyle name="Normal 13 3 4 4 2 4" xfId="8269" xr:uid="{00000000-0005-0000-0000-0000152E0000}"/>
    <cellStyle name="Normal 13 3 4 4 2 5" xfId="8270" xr:uid="{00000000-0005-0000-0000-0000162E0000}"/>
    <cellStyle name="Normal 13 3 4 4 2 6" xfId="8271" xr:uid="{00000000-0005-0000-0000-0000172E0000}"/>
    <cellStyle name="Normal 13 3 4 4 3" xfId="8272" xr:uid="{00000000-0005-0000-0000-0000182E0000}"/>
    <cellStyle name="Normal 13 3 4 4 3 2" xfId="49552" xr:uid="{00000000-0005-0000-0000-0000192E0000}"/>
    <cellStyle name="Normal 13 3 4 4 3 3" xfId="49553" xr:uid="{00000000-0005-0000-0000-00001A2E0000}"/>
    <cellStyle name="Normal 13 3 4 4 4" xfId="8273" xr:uid="{00000000-0005-0000-0000-00001B2E0000}"/>
    <cellStyle name="Normal 13 3 4 4 4 2" xfId="49554" xr:uid="{00000000-0005-0000-0000-00001C2E0000}"/>
    <cellStyle name="Normal 13 3 4 4 5" xfId="8274" xr:uid="{00000000-0005-0000-0000-00001D2E0000}"/>
    <cellStyle name="Normal 13 3 4 4 6" xfId="8275" xr:uid="{00000000-0005-0000-0000-00001E2E0000}"/>
    <cellStyle name="Normal 13 3 4 4 7" xfId="8276" xr:uid="{00000000-0005-0000-0000-00001F2E0000}"/>
    <cellStyle name="Normal 13 3 4 5" xfId="8277" xr:uid="{00000000-0005-0000-0000-0000202E0000}"/>
    <cellStyle name="Normal 13 3 4 5 2" xfId="8278" xr:uid="{00000000-0005-0000-0000-0000212E0000}"/>
    <cellStyle name="Normal 13 3 4 5 2 2" xfId="49555" xr:uid="{00000000-0005-0000-0000-0000222E0000}"/>
    <cellStyle name="Normal 13 3 4 5 2 3" xfId="49556" xr:uid="{00000000-0005-0000-0000-0000232E0000}"/>
    <cellStyle name="Normal 13 3 4 5 3" xfId="8279" xr:uid="{00000000-0005-0000-0000-0000242E0000}"/>
    <cellStyle name="Normal 13 3 4 5 3 2" xfId="49557" xr:uid="{00000000-0005-0000-0000-0000252E0000}"/>
    <cellStyle name="Normal 13 3 4 5 4" xfId="8280" xr:uid="{00000000-0005-0000-0000-0000262E0000}"/>
    <cellStyle name="Normal 13 3 4 5 5" xfId="8281" xr:uid="{00000000-0005-0000-0000-0000272E0000}"/>
    <cellStyle name="Normal 13 3 4 5 6" xfId="8282" xr:uid="{00000000-0005-0000-0000-0000282E0000}"/>
    <cellStyle name="Normal 13 3 4 6" xfId="8283" xr:uid="{00000000-0005-0000-0000-0000292E0000}"/>
    <cellStyle name="Normal 13 3 4 6 2" xfId="49558" xr:uid="{00000000-0005-0000-0000-00002A2E0000}"/>
    <cellStyle name="Normal 13 3 4 6 3" xfId="49559" xr:uid="{00000000-0005-0000-0000-00002B2E0000}"/>
    <cellStyle name="Normal 13 3 4 7" xfId="8284" xr:uid="{00000000-0005-0000-0000-00002C2E0000}"/>
    <cellStyle name="Normal 13 3 4 7 2" xfId="49560" xr:uid="{00000000-0005-0000-0000-00002D2E0000}"/>
    <cellStyle name="Normal 13 3 4 8" xfId="8285" xr:uid="{00000000-0005-0000-0000-00002E2E0000}"/>
    <cellStyle name="Normal 13 3 4 9" xfId="8286" xr:uid="{00000000-0005-0000-0000-00002F2E0000}"/>
    <cellStyle name="Normal 13 3 5" xfId="8287" xr:uid="{00000000-0005-0000-0000-0000302E0000}"/>
    <cellStyle name="Normal 13 3 5 10" xfId="8288" xr:uid="{00000000-0005-0000-0000-0000312E0000}"/>
    <cellStyle name="Normal 13 3 5 11" xfId="8289" xr:uid="{00000000-0005-0000-0000-0000322E0000}"/>
    <cellStyle name="Normal 13 3 5 12" xfId="8290" xr:uid="{00000000-0005-0000-0000-0000332E0000}"/>
    <cellStyle name="Normal 13 3 5 13" xfId="8291" xr:uid="{00000000-0005-0000-0000-0000342E0000}"/>
    <cellStyle name="Normal 13 3 5 14" xfId="8292" xr:uid="{00000000-0005-0000-0000-0000352E0000}"/>
    <cellStyle name="Normal 13 3 5 2" xfId="8293" xr:uid="{00000000-0005-0000-0000-0000362E0000}"/>
    <cellStyle name="Normal 13 3 5 2 2" xfId="8294" xr:uid="{00000000-0005-0000-0000-0000372E0000}"/>
    <cellStyle name="Normal 13 3 5 2 2 2" xfId="8295" xr:uid="{00000000-0005-0000-0000-0000382E0000}"/>
    <cellStyle name="Normal 13 3 5 2 2 2 2" xfId="8296" xr:uid="{00000000-0005-0000-0000-0000392E0000}"/>
    <cellStyle name="Normal 13 3 5 2 2 2 2 2" xfId="49561" xr:uid="{00000000-0005-0000-0000-00003A2E0000}"/>
    <cellStyle name="Normal 13 3 5 2 2 2 2 3" xfId="49562" xr:uid="{00000000-0005-0000-0000-00003B2E0000}"/>
    <cellStyle name="Normal 13 3 5 2 2 2 3" xfId="8297" xr:uid="{00000000-0005-0000-0000-00003C2E0000}"/>
    <cellStyle name="Normal 13 3 5 2 2 2 3 2" xfId="49563" xr:uid="{00000000-0005-0000-0000-00003D2E0000}"/>
    <cellStyle name="Normal 13 3 5 2 2 2 4" xfId="8298" xr:uid="{00000000-0005-0000-0000-00003E2E0000}"/>
    <cellStyle name="Normal 13 3 5 2 2 2 5" xfId="8299" xr:uid="{00000000-0005-0000-0000-00003F2E0000}"/>
    <cellStyle name="Normal 13 3 5 2 2 2 6" xfId="8300" xr:uid="{00000000-0005-0000-0000-0000402E0000}"/>
    <cellStyle name="Normal 13 3 5 2 2 3" xfId="8301" xr:uid="{00000000-0005-0000-0000-0000412E0000}"/>
    <cellStyle name="Normal 13 3 5 2 2 3 2" xfId="49564" xr:uid="{00000000-0005-0000-0000-0000422E0000}"/>
    <cellStyle name="Normal 13 3 5 2 2 3 3" xfId="49565" xr:uid="{00000000-0005-0000-0000-0000432E0000}"/>
    <cellStyle name="Normal 13 3 5 2 2 4" xfId="8302" xr:uid="{00000000-0005-0000-0000-0000442E0000}"/>
    <cellStyle name="Normal 13 3 5 2 2 4 2" xfId="49566" xr:uid="{00000000-0005-0000-0000-0000452E0000}"/>
    <cellStyle name="Normal 13 3 5 2 2 5" xfId="8303" xr:uid="{00000000-0005-0000-0000-0000462E0000}"/>
    <cellStyle name="Normal 13 3 5 2 2 6" xfId="8304" xr:uid="{00000000-0005-0000-0000-0000472E0000}"/>
    <cellStyle name="Normal 13 3 5 2 2 7" xfId="8305" xr:uid="{00000000-0005-0000-0000-0000482E0000}"/>
    <cellStyle name="Normal 13 3 5 2 3" xfId="8306" xr:uid="{00000000-0005-0000-0000-0000492E0000}"/>
    <cellStyle name="Normal 13 3 5 2 3 2" xfId="8307" xr:uid="{00000000-0005-0000-0000-00004A2E0000}"/>
    <cellStyle name="Normal 13 3 5 2 3 2 2" xfId="49567" xr:uid="{00000000-0005-0000-0000-00004B2E0000}"/>
    <cellStyle name="Normal 13 3 5 2 3 2 3" xfId="49568" xr:uid="{00000000-0005-0000-0000-00004C2E0000}"/>
    <cellStyle name="Normal 13 3 5 2 3 3" xfId="8308" xr:uid="{00000000-0005-0000-0000-00004D2E0000}"/>
    <cellStyle name="Normal 13 3 5 2 3 3 2" xfId="49569" xr:uid="{00000000-0005-0000-0000-00004E2E0000}"/>
    <cellStyle name="Normal 13 3 5 2 3 4" xfId="8309" xr:uid="{00000000-0005-0000-0000-00004F2E0000}"/>
    <cellStyle name="Normal 13 3 5 2 3 5" xfId="8310" xr:uid="{00000000-0005-0000-0000-0000502E0000}"/>
    <cellStyle name="Normal 13 3 5 2 3 6" xfId="8311" xr:uid="{00000000-0005-0000-0000-0000512E0000}"/>
    <cellStyle name="Normal 13 3 5 2 4" xfId="8312" xr:uid="{00000000-0005-0000-0000-0000522E0000}"/>
    <cellStyle name="Normal 13 3 5 2 4 2" xfId="49570" xr:uid="{00000000-0005-0000-0000-0000532E0000}"/>
    <cellStyle name="Normal 13 3 5 2 4 3" xfId="49571" xr:uid="{00000000-0005-0000-0000-0000542E0000}"/>
    <cellStyle name="Normal 13 3 5 2 5" xfId="8313" xr:uid="{00000000-0005-0000-0000-0000552E0000}"/>
    <cellStyle name="Normal 13 3 5 2 5 2" xfId="49572" xr:uid="{00000000-0005-0000-0000-0000562E0000}"/>
    <cellStyle name="Normal 13 3 5 2 6" xfId="8314" xr:uid="{00000000-0005-0000-0000-0000572E0000}"/>
    <cellStyle name="Normal 13 3 5 2 7" xfId="8315" xr:uid="{00000000-0005-0000-0000-0000582E0000}"/>
    <cellStyle name="Normal 13 3 5 2 8" xfId="8316" xr:uid="{00000000-0005-0000-0000-0000592E0000}"/>
    <cellStyle name="Normal 13 3 5 2 9" xfId="8317" xr:uid="{00000000-0005-0000-0000-00005A2E0000}"/>
    <cellStyle name="Normal 13 3 5 3" xfId="8318" xr:uid="{00000000-0005-0000-0000-00005B2E0000}"/>
    <cellStyle name="Normal 13 3 5 3 2" xfId="8319" xr:uid="{00000000-0005-0000-0000-00005C2E0000}"/>
    <cellStyle name="Normal 13 3 5 3 2 2" xfId="8320" xr:uid="{00000000-0005-0000-0000-00005D2E0000}"/>
    <cellStyle name="Normal 13 3 5 3 2 2 2" xfId="8321" xr:uid="{00000000-0005-0000-0000-00005E2E0000}"/>
    <cellStyle name="Normal 13 3 5 3 2 2 2 2" xfId="49573" xr:uid="{00000000-0005-0000-0000-00005F2E0000}"/>
    <cellStyle name="Normal 13 3 5 3 2 2 2 3" xfId="49574" xr:uid="{00000000-0005-0000-0000-0000602E0000}"/>
    <cellStyle name="Normal 13 3 5 3 2 2 3" xfId="8322" xr:uid="{00000000-0005-0000-0000-0000612E0000}"/>
    <cellStyle name="Normal 13 3 5 3 2 2 3 2" xfId="49575" xr:uid="{00000000-0005-0000-0000-0000622E0000}"/>
    <cellStyle name="Normal 13 3 5 3 2 2 4" xfId="8323" xr:uid="{00000000-0005-0000-0000-0000632E0000}"/>
    <cellStyle name="Normal 13 3 5 3 2 2 5" xfId="8324" xr:uid="{00000000-0005-0000-0000-0000642E0000}"/>
    <cellStyle name="Normal 13 3 5 3 2 2 6" xfId="8325" xr:uid="{00000000-0005-0000-0000-0000652E0000}"/>
    <cellStyle name="Normal 13 3 5 3 2 3" xfId="8326" xr:uid="{00000000-0005-0000-0000-0000662E0000}"/>
    <cellStyle name="Normal 13 3 5 3 2 3 2" xfId="49576" xr:uid="{00000000-0005-0000-0000-0000672E0000}"/>
    <cellStyle name="Normal 13 3 5 3 2 3 3" xfId="49577" xr:uid="{00000000-0005-0000-0000-0000682E0000}"/>
    <cellStyle name="Normal 13 3 5 3 2 4" xfId="8327" xr:uid="{00000000-0005-0000-0000-0000692E0000}"/>
    <cellStyle name="Normal 13 3 5 3 2 4 2" xfId="49578" xr:uid="{00000000-0005-0000-0000-00006A2E0000}"/>
    <cellStyle name="Normal 13 3 5 3 2 5" xfId="8328" xr:uid="{00000000-0005-0000-0000-00006B2E0000}"/>
    <cellStyle name="Normal 13 3 5 3 2 6" xfId="8329" xr:uid="{00000000-0005-0000-0000-00006C2E0000}"/>
    <cellStyle name="Normal 13 3 5 3 2 7" xfId="8330" xr:uid="{00000000-0005-0000-0000-00006D2E0000}"/>
    <cellStyle name="Normal 13 3 5 3 3" xfId="8331" xr:uid="{00000000-0005-0000-0000-00006E2E0000}"/>
    <cellStyle name="Normal 13 3 5 3 3 2" xfId="8332" xr:uid="{00000000-0005-0000-0000-00006F2E0000}"/>
    <cellStyle name="Normal 13 3 5 3 3 2 2" xfId="49579" xr:uid="{00000000-0005-0000-0000-0000702E0000}"/>
    <cellStyle name="Normal 13 3 5 3 3 2 3" xfId="49580" xr:uid="{00000000-0005-0000-0000-0000712E0000}"/>
    <cellStyle name="Normal 13 3 5 3 3 3" xfId="8333" xr:uid="{00000000-0005-0000-0000-0000722E0000}"/>
    <cellStyle name="Normal 13 3 5 3 3 3 2" xfId="49581" xr:uid="{00000000-0005-0000-0000-0000732E0000}"/>
    <cellStyle name="Normal 13 3 5 3 3 4" xfId="8334" xr:uid="{00000000-0005-0000-0000-0000742E0000}"/>
    <cellStyle name="Normal 13 3 5 3 3 5" xfId="8335" xr:uid="{00000000-0005-0000-0000-0000752E0000}"/>
    <cellStyle name="Normal 13 3 5 3 3 6" xfId="8336" xr:uid="{00000000-0005-0000-0000-0000762E0000}"/>
    <cellStyle name="Normal 13 3 5 3 4" xfId="8337" xr:uid="{00000000-0005-0000-0000-0000772E0000}"/>
    <cellStyle name="Normal 13 3 5 3 4 2" xfId="49582" xr:uid="{00000000-0005-0000-0000-0000782E0000}"/>
    <cellStyle name="Normal 13 3 5 3 4 3" xfId="49583" xr:uid="{00000000-0005-0000-0000-0000792E0000}"/>
    <cellStyle name="Normal 13 3 5 3 5" xfId="8338" xr:uid="{00000000-0005-0000-0000-00007A2E0000}"/>
    <cellStyle name="Normal 13 3 5 3 5 2" xfId="49584" xr:uid="{00000000-0005-0000-0000-00007B2E0000}"/>
    <cellStyle name="Normal 13 3 5 3 6" xfId="8339" xr:uid="{00000000-0005-0000-0000-00007C2E0000}"/>
    <cellStyle name="Normal 13 3 5 3 7" xfId="8340" xr:uid="{00000000-0005-0000-0000-00007D2E0000}"/>
    <cellStyle name="Normal 13 3 5 3 8" xfId="8341" xr:uid="{00000000-0005-0000-0000-00007E2E0000}"/>
    <cellStyle name="Normal 13 3 5 4" xfId="8342" xr:uid="{00000000-0005-0000-0000-00007F2E0000}"/>
    <cellStyle name="Normal 13 3 5 4 2" xfId="8343" xr:uid="{00000000-0005-0000-0000-0000802E0000}"/>
    <cellStyle name="Normal 13 3 5 4 2 2" xfId="8344" xr:uid="{00000000-0005-0000-0000-0000812E0000}"/>
    <cellStyle name="Normal 13 3 5 4 2 2 2" xfId="49585" xr:uid="{00000000-0005-0000-0000-0000822E0000}"/>
    <cellStyle name="Normal 13 3 5 4 2 2 3" xfId="49586" xr:uid="{00000000-0005-0000-0000-0000832E0000}"/>
    <cellStyle name="Normal 13 3 5 4 2 3" xfId="8345" xr:uid="{00000000-0005-0000-0000-0000842E0000}"/>
    <cellStyle name="Normal 13 3 5 4 2 3 2" xfId="49587" xr:uid="{00000000-0005-0000-0000-0000852E0000}"/>
    <cellStyle name="Normal 13 3 5 4 2 4" xfId="8346" xr:uid="{00000000-0005-0000-0000-0000862E0000}"/>
    <cellStyle name="Normal 13 3 5 4 2 5" xfId="8347" xr:uid="{00000000-0005-0000-0000-0000872E0000}"/>
    <cellStyle name="Normal 13 3 5 4 2 6" xfId="8348" xr:uid="{00000000-0005-0000-0000-0000882E0000}"/>
    <cellStyle name="Normal 13 3 5 4 3" xfId="8349" xr:uid="{00000000-0005-0000-0000-0000892E0000}"/>
    <cellStyle name="Normal 13 3 5 4 3 2" xfId="49588" xr:uid="{00000000-0005-0000-0000-00008A2E0000}"/>
    <cellStyle name="Normal 13 3 5 4 3 3" xfId="49589" xr:uid="{00000000-0005-0000-0000-00008B2E0000}"/>
    <cellStyle name="Normal 13 3 5 4 4" xfId="8350" xr:uid="{00000000-0005-0000-0000-00008C2E0000}"/>
    <cellStyle name="Normal 13 3 5 4 4 2" xfId="49590" xr:uid="{00000000-0005-0000-0000-00008D2E0000}"/>
    <cellStyle name="Normal 13 3 5 4 5" xfId="8351" xr:uid="{00000000-0005-0000-0000-00008E2E0000}"/>
    <cellStyle name="Normal 13 3 5 4 6" xfId="8352" xr:uid="{00000000-0005-0000-0000-00008F2E0000}"/>
    <cellStyle name="Normal 13 3 5 4 7" xfId="8353" xr:uid="{00000000-0005-0000-0000-0000902E0000}"/>
    <cellStyle name="Normal 13 3 5 5" xfId="8354" xr:uid="{00000000-0005-0000-0000-0000912E0000}"/>
    <cellStyle name="Normal 13 3 5 5 2" xfId="8355" xr:uid="{00000000-0005-0000-0000-0000922E0000}"/>
    <cellStyle name="Normal 13 3 5 5 2 2" xfId="49591" xr:uid="{00000000-0005-0000-0000-0000932E0000}"/>
    <cellStyle name="Normal 13 3 5 5 2 3" xfId="49592" xr:uid="{00000000-0005-0000-0000-0000942E0000}"/>
    <cellStyle name="Normal 13 3 5 5 3" xfId="8356" xr:uid="{00000000-0005-0000-0000-0000952E0000}"/>
    <cellStyle name="Normal 13 3 5 5 3 2" xfId="49593" xr:uid="{00000000-0005-0000-0000-0000962E0000}"/>
    <cellStyle name="Normal 13 3 5 5 4" xfId="8357" xr:uid="{00000000-0005-0000-0000-0000972E0000}"/>
    <cellStyle name="Normal 13 3 5 5 5" xfId="8358" xr:uid="{00000000-0005-0000-0000-0000982E0000}"/>
    <cellStyle name="Normal 13 3 5 5 6" xfId="8359" xr:uid="{00000000-0005-0000-0000-0000992E0000}"/>
    <cellStyle name="Normal 13 3 5 6" xfId="8360" xr:uid="{00000000-0005-0000-0000-00009A2E0000}"/>
    <cellStyle name="Normal 13 3 5 6 2" xfId="49594" xr:uid="{00000000-0005-0000-0000-00009B2E0000}"/>
    <cellStyle name="Normal 13 3 5 6 3" xfId="49595" xr:uid="{00000000-0005-0000-0000-00009C2E0000}"/>
    <cellStyle name="Normal 13 3 5 7" xfId="8361" xr:uid="{00000000-0005-0000-0000-00009D2E0000}"/>
    <cellStyle name="Normal 13 3 5 7 2" xfId="49596" xr:uid="{00000000-0005-0000-0000-00009E2E0000}"/>
    <cellStyle name="Normal 13 3 5 8" xfId="8362" xr:uid="{00000000-0005-0000-0000-00009F2E0000}"/>
    <cellStyle name="Normal 13 3 5 9" xfId="8363" xr:uid="{00000000-0005-0000-0000-0000A02E0000}"/>
    <cellStyle name="Normal 13 3 6" xfId="8364" xr:uid="{00000000-0005-0000-0000-0000A12E0000}"/>
    <cellStyle name="Normal 13 3 6 10" xfId="8365" xr:uid="{00000000-0005-0000-0000-0000A22E0000}"/>
    <cellStyle name="Normal 13 3 6 11" xfId="8366" xr:uid="{00000000-0005-0000-0000-0000A32E0000}"/>
    <cellStyle name="Normal 13 3 6 12" xfId="8367" xr:uid="{00000000-0005-0000-0000-0000A42E0000}"/>
    <cellStyle name="Normal 13 3 6 13" xfId="8368" xr:uid="{00000000-0005-0000-0000-0000A52E0000}"/>
    <cellStyle name="Normal 13 3 6 2" xfId="8369" xr:uid="{00000000-0005-0000-0000-0000A62E0000}"/>
    <cellStyle name="Normal 13 3 6 2 2" xfId="8370" xr:uid="{00000000-0005-0000-0000-0000A72E0000}"/>
    <cellStyle name="Normal 13 3 6 2 2 2" xfId="8371" xr:uid="{00000000-0005-0000-0000-0000A82E0000}"/>
    <cellStyle name="Normal 13 3 6 2 2 2 2" xfId="8372" xr:uid="{00000000-0005-0000-0000-0000A92E0000}"/>
    <cellStyle name="Normal 13 3 6 2 2 2 2 2" xfId="49597" xr:uid="{00000000-0005-0000-0000-0000AA2E0000}"/>
    <cellStyle name="Normal 13 3 6 2 2 2 2 3" xfId="49598" xr:uid="{00000000-0005-0000-0000-0000AB2E0000}"/>
    <cellStyle name="Normal 13 3 6 2 2 2 3" xfId="8373" xr:uid="{00000000-0005-0000-0000-0000AC2E0000}"/>
    <cellStyle name="Normal 13 3 6 2 2 2 3 2" xfId="49599" xr:uid="{00000000-0005-0000-0000-0000AD2E0000}"/>
    <cellStyle name="Normal 13 3 6 2 2 2 4" xfId="8374" xr:uid="{00000000-0005-0000-0000-0000AE2E0000}"/>
    <cellStyle name="Normal 13 3 6 2 2 2 5" xfId="8375" xr:uid="{00000000-0005-0000-0000-0000AF2E0000}"/>
    <cellStyle name="Normal 13 3 6 2 2 2 6" xfId="8376" xr:uid="{00000000-0005-0000-0000-0000B02E0000}"/>
    <cellStyle name="Normal 13 3 6 2 2 3" xfId="8377" xr:uid="{00000000-0005-0000-0000-0000B12E0000}"/>
    <cellStyle name="Normal 13 3 6 2 2 3 2" xfId="49600" xr:uid="{00000000-0005-0000-0000-0000B22E0000}"/>
    <cellStyle name="Normal 13 3 6 2 2 3 3" xfId="49601" xr:uid="{00000000-0005-0000-0000-0000B32E0000}"/>
    <cellStyle name="Normal 13 3 6 2 2 4" xfId="8378" xr:uid="{00000000-0005-0000-0000-0000B42E0000}"/>
    <cellStyle name="Normal 13 3 6 2 2 4 2" xfId="49602" xr:uid="{00000000-0005-0000-0000-0000B52E0000}"/>
    <cellStyle name="Normal 13 3 6 2 2 5" xfId="8379" xr:uid="{00000000-0005-0000-0000-0000B62E0000}"/>
    <cellStyle name="Normal 13 3 6 2 2 6" xfId="8380" xr:uid="{00000000-0005-0000-0000-0000B72E0000}"/>
    <cellStyle name="Normal 13 3 6 2 2 7" xfId="8381" xr:uid="{00000000-0005-0000-0000-0000B82E0000}"/>
    <cellStyle name="Normal 13 3 6 2 3" xfId="8382" xr:uid="{00000000-0005-0000-0000-0000B92E0000}"/>
    <cellStyle name="Normal 13 3 6 2 3 2" xfId="8383" xr:uid="{00000000-0005-0000-0000-0000BA2E0000}"/>
    <cellStyle name="Normal 13 3 6 2 3 2 2" xfId="49603" xr:uid="{00000000-0005-0000-0000-0000BB2E0000}"/>
    <cellStyle name="Normal 13 3 6 2 3 2 3" xfId="49604" xr:uid="{00000000-0005-0000-0000-0000BC2E0000}"/>
    <cellStyle name="Normal 13 3 6 2 3 3" xfId="8384" xr:uid="{00000000-0005-0000-0000-0000BD2E0000}"/>
    <cellStyle name="Normal 13 3 6 2 3 3 2" xfId="49605" xr:uid="{00000000-0005-0000-0000-0000BE2E0000}"/>
    <cellStyle name="Normal 13 3 6 2 3 4" xfId="8385" xr:uid="{00000000-0005-0000-0000-0000BF2E0000}"/>
    <cellStyle name="Normal 13 3 6 2 3 5" xfId="8386" xr:uid="{00000000-0005-0000-0000-0000C02E0000}"/>
    <cellStyle name="Normal 13 3 6 2 3 6" xfId="8387" xr:uid="{00000000-0005-0000-0000-0000C12E0000}"/>
    <cellStyle name="Normal 13 3 6 2 4" xfId="8388" xr:uid="{00000000-0005-0000-0000-0000C22E0000}"/>
    <cellStyle name="Normal 13 3 6 2 4 2" xfId="49606" xr:uid="{00000000-0005-0000-0000-0000C32E0000}"/>
    <cellStyle name="Normal 13 3 6 2 4 3" xfId="49607" xr:uid="{00000000-0005-0000-0000-0000C42E0000}"/>
    <cellStyle name="Normal 13 3 6 2 5" xfId="8389" xr:uid="{00000000-0005-0000-0000-0000C52E0000}"/>
    <cellStyle name="Normal 13 3 6 2 5 2" xfId="49608" xr:uid="{00000000-0005-0000-0000-0000C62E0000}"/>
    <cellStyle name="Normal 13 3 6 2 6" xfId="8390" xr:uid="{00000000-0005-0000-0000-0000C72E0000}"/>
    <cellStyle name="Normal 13 3 6 2 7" xfId="8391" xr:uid="{00000000-0005-0000-0000-0000C82E0000}"/>
    <cellStyle name="Normal 13 3 6 2 8" xfId="8392" xr:uid="{00000000-0005-0000-0000-0000C92E0000}"/>
    <cellStyle name="Normal 13 3 6 2 9" xfId="8393" xr:uid="{00000000-0005-0000-0000-0000CA2E0000}"/>
    <cellStyle name="Normal 13 3 6 3" xfId="8394" xr:uid="{00000000-0005-0000-0000-0000CB2E0000}"/>
    <cellStyle name="Normal 13 3 6 3 2" xfId="8395" xr:uid="{00000000-0005-0000-0000-0000CC2E0000}"/>
    <cellStyle name="Normal 13 3 6 3 2 2" xfId="8396" xr:uid="{00000000-0005-0000-0000-0000CD2E0000}"/>
    <cellStyle name="Normal 13 3 6 3 2 2 2" xfId="49609" xr:uid="{00000000-0005-0000-0000-0000CE2E0000}"/>
    <cellStyle name="Normal 13 3 6 3 2 2 3" xfId="49610" xr:uid="{00000000-0005-0000-0000-0000CF2E0000}"/>
    <cellStyle name="Normal 13 3 6 3 2 3" xfId="8397" xr:uid="{00000000-0005-0000-0000-0000D02E0000}"/>
    <cellStyle name="Normal 13 3 6 3 2 3 2" xfId="49611" xr:uid="{00000000-0005-0000-0000-0000D12E0000}"/>
    <cellStyle name="Normal 13 3 6 3 2 4" xfId="8398" xr:uid="{00000000-0005-0000-0000-0000D22E0000}"/>
    <cellStyle name="Normal 13 3 6 3 2 5" xfId="8399" xr:uid="{00000000-0005-0000-0000-0000D32E0000}"/>
    <cellStyle name="Normal 13 3 6 3 2 6" xfId="8400" xr:uid="{00000000-0005-0000-0000-0000D42E0000}"/>
    <cellStyle name="Normal 13 3 6 3 3" xfId="8401" xr:uid="{00000000-0005-0000-0000-0000D52E0000}"/>
    <cellStyle name="Normal 13 3 6 3 3 2" xfId="49612" xr:uid="{00000000-0005-0000-0000-0000D62E0000}"/>
    <cellStyle name="Normal 13 3 6 3 3 3" xfId="49613" xr:uid="{00000000-0005-0000-0000-0000D72E0000}"/>
    <cellStyle name="Normal 13 3 6 3 4" xfId="8402" xr:uid="{00000000-0005-0000-0000-0000D82E0000}"/>
    <cellStyle name="Normal 13 3 6 3 4 2" xfId="49614" xr:uid="{00000000-0005-0000-0000-0000D92E0000}"/>
    <cellStyle name="Normal 13 3 6 3 5" xfId="8403" xr:uid="{00000000-0005-0000-0000-0000DA2E0000}"/>
    <cellStyle name="Normal 13 3 6 3 6" xfId="8404" xr:uid="{00000000-0005-0000-0000-0000DB2E0000}"/>
    <cellStyle name="Normal 13 3 6 3 7" xfId="8405" xr:uid="{00000000-0005-0000-0000-0000DC2E0000}"/>
    <cellStyle name="Normal 13 3 6 4" xfId="8406" xr:uid="{00000000-0005-0000-0000-0000DD2E0000}"/>
    <cellStyle name="Normal 13 3 6 4 2" xfId="8407" xr:uid="{00000000-0005-0000-0000-0000DE2E0000}"/>
    <cellStyle name="Normal 13 3 6 4 2 2" xfId="49615" xr:uid="{00000000-0005-0000-0000-0000DF2E0000}"/>
    <cellStyle name="Normal 13 3 6 4 2 3" xfId="49616" xr:uid="{00000000-0005-0000-0000-0000E02E0000}"/>
    <cellStyle name="Normal 13 3 6 4 3" xfId="8408" xr:uid="{00000000-0005-0000-0000-0000E12E0000}"/>
    <cellStyle name="Normal 13 3 6 4 3 2" xfId="49617" xr:uid="{00000000-0005-0000-0000-0000E22E0000}"/>
    <cellStyle name="Normal 13 3 6 4 4" xfId="8409" xr:uid="{00000000-0005-0000-0000-0000E32E0000}"/>
    <cellStyle name="Normal 13 3 6 4 5" xfId="8410" xr:uid="{00000000-0005-0000-0000-0000E42E0000}"/>
    <cellStyle name="Normal 13 3 6 4 6" xfId="8411" xr:uid="{00000000-0005-0000-0000-0000E52E0000}"/>
    <cellStyle name="Normal 13 3 6 5" xfId="8412" xr:uid="{00000000-0005-0000-0000-0000E62E0000}"/>
    <cellStyle name="Normal 13 3 6 5 2" xfId="49618" xr:uid="{00000000-0005-0000-0000-0000E72E0000}"/>
    <cellStyle name="Normal 13 3 6 5 3" xfId="49619" xr:uid="{00000000-0005-0000-0000-0000E82E0000}"/>
    <cellStyle name="Normal 13 3 6 6" xfId="8413" xr:uid="{00000000-0005-0000-0000-0000E92E0000}"/>
    <cellStyle name="Normal 13 3 6 6 2" xfId="49620" xr:uid="{00000000-0005-0000-0000-0000EA2E0000}"/>
    <cellStyle name="Normal 13 3 6 7" xfId="8414" xr:uid="{00000000-0005-0000-0000-0000EB2E0000}"/>
    <cellStyle name="Normal 13 3 6 8" xfId="8415" xr:uid="{00000000-0005-0000-0000-0000EC2E0000}"/>
    <cellStyle name="Normal 13 3 6 9" xfId="8416" xr:uid="{00000000-0005-0000-0000-0000ED2E0000}"/>
    <cellStyle name="Normal 13 3 7" xfId="8417" xr:uid="{00000000-0005-0000-0000-0000EE2E0000}"/>
    <cellStyle name="Normal 13 3 7 2" xfId="8418" xr:uid="{00000000-0005-0000-0000-0000EF2E0000}"/>
    <cellStyle name="Normal 13 3 7 2 2" xfId="8419" xr:uid="{00000000-0005-0000-0000-0000F02E0000}"/>
    <cellStyle name="Normal 13 3 7 2 2 2" xfId="8420" xr:uid="{00000000-0005-0000-0000-0000F12E0000}"/>
    <cellStyle name="Normal 13 3 7 2 2 2 2" xfId="49621" xr:uid="{00000000-0005-0000-0000-0000F22E0000}"/>
    <cellStyle name="Normal 13 3 7 2 2 2 3" xfId="49622" xr:uid="{00000000-0005-0000-0000-0000F32E0000}"/>
    <cellStyle name="Normal 13 3 7 2 2 3" xfId="8421" xr:uid="{00000000-0005-0000-0000-0000F42E0000}"/>
    <cellStyle name="Normal 13 3 7 2 2 3 2" xfId="49623" xr:uid="{00000000-0005-0000-0000-0000F52E0000}"/>
    <cellStyle name="Normal 13 3 7 2 2 4" xfId="8422" xr:uid="{00000000-0005-0000-0000-0000F62E0000}"/>
    <cellStyle name="Normal 13 3 7 2 2 5" xfId="8423" xr:uid="{00000000-0005-0000-0000-0000F72E0000}"/>
    <cellStyle name="Normal 13 3 7 2 2 6" xfId="8424" xr:uid="{00000000-0005-0000-0000-0000F82E0000}"/>
    <cellStyle name="Normal 13 3 7 2 3" xfId="8425" xr:uid="{00000000-0005-0000-0000-0000F92E0000}"/>
    <cellStyle name="Normal 13 3 7 2 3 2" xfId="49624" xr:uid="{00000000-0005-0000-0000-0000FA2E0000}"/>
    <cellStyle name="Normal 13 3 7 2 3 3" xfId="49625" xr:uid="{00000000-0005-0000-0000-0000FB2E0000}"/>
    <cellStyle name="Normal 13 3 7 2 4" xfId="8426" xr:uid="{00000000-0005-0000-0000-0000FC2E0000}"/>
    <cellStyle name="Normal 13 3 7 2 4 2" xfId="49626" xr:uid="{00000000-0005-0000-0000-0000FD2E0000}"/>
    <cellStyle name="Normal 13 3 7 2 5" xfId="8427" xr:uid="{00000000-0005-0000-0000-0000FE2E0000}"/>
    <cellStyle name="Normal 13 3 7 2 6" xfId="8428" xr:uid="{00000000-0005-0000-0000-0000FF2E0000}"/>
    <cellStyle name="Normal 13 3 7 2 7" xfId="8429" xr:uid="{00000000-0005-0000-0000-0000002F0000}"/>
    <cellStyle name="Normal 13 3 7 3" xfId="8430" xr:uid="{00000000-0005-0000-0000-0000012F0000}"/>
    <cellStyle name="Normal 13 3 7 3 2" xfId="8431" xr:uid="{00000000-0005-0000-0000-0000022F0000}"/>
    <cellStyle name="Normal 13 3 7 3 2 2" xfId="49627" xr:uid="{00000000-0005-0000-0000-0000032F0000}"/>
    <cellStyle name="Normal 13 3 7 3 2 3" xfId="49628" xr:uid="{00000000-0005-0000-0000-0000042F0000}"/>
    <cellStyle name="Normal 13 3 7 3 3" xfId="8432" xr:uid="{00000000-0005-0000-0000-0000052F0000}"/>
    <cellStyle name="Normal 13 3 7 3 3 2" xfId="49629" xr:uid="{00000000-0005-0000-0000-0000062F0000}"/>
    <cellStyle name="Normal 13 3 7 3 4" xfId="8433" xr:uid="{00000000-0005-0000-0000-0000072F0000}"/>
    <cellStyle name="Normal 13 3 7 3 5" xfId="8434" xr:uid="{00000000-0005-0000-0000-0000082F0000}"/>
    <cellStyle name="Normal 13 3 7 3 6" xfId="8435" xr:uid="{00000000-0005-0000-0000-0000092F0000}"/>
    <cellStyle name="Normal 13 3 7 4" xfId="8436" xr:uid="{00000000-0005-0000-0000-00000A2F0000}"/>
    <cellStyle name="Normal 13 3 7 4 2" xfId="49630" xr:uid="{00000000-0005-0000-0000-00000B2F0000}"/>
    <cellStyle name="Normal 13 3 7 4 3" xfId="49631" xr:uid="{00000000-0005-0000-0000-00000C2F0000}"/>
    <cellStyle name="Normal 13 3 7 5" xfId="8437" xr:uid="{00000000-0005-0000-0000-00000D2F0000}"/>
    <cellStyle name="Normal 13 3 7 5 2" xfId="49632" xr:uid="{00000000-0005-0000-0000-00000E2F0000}"/>
    <cellStyle name="Normal 13 3 7 6" xfId="8438" xr:uid="{00000000-0005-0000-0000-00000F2F0000}"/>
    <cellStyle name="Normal 13 3 7 7" xfId="8439" xr:uid="{00000000-0005-0000-0000-0000102F0000}"/>
    <cellStyle name="Normal 13 3 7 8" xfId="8440" xr:uid="{00000000-0005-0000-0000-0000112F0000}"/>
    <cellStyle name="Normal 13 3 7 9" xfId="8441" xr:uid="{00000000-0005-0000-0000-0000122F0000}"/>
    <cellStyle name="Normal 13 3 8" xfId="8442" xr:uid="{00000000-0005-0000-0000-0000132F0000}"/>
    <cellStyle name="Normal 13 3 8 2" xfId="8443" xr:uid="{00000000-0005-0000-0000-0000142F0000}"/>
    <cellStyle name="Normal 13 3 8 2 2" xfId="8444" xr:uid="{00000000-0005-0000-0000-0000152F0000}"/>
    <cellStyle name="Normal 13 3 8 2 2 2" xfId="8445" xr:uid="{00000000-0005-0000-0000-0000162F0000}"/>
    <cellStyle name="Normal 13 3 8 2 2 2 2" xfId="49633" xr:uid="{00000000-0005-0000-0000-0000172F0000}"/>
    <cellStyle name="Normal 13 3 8 2 2 2 3" xfId="49634" xr:uid="{00000000-0005-0000-0000-0000182F0000}"/>
    <cellStyle name="Normal 13 3 8 2 2 3" xfId="8446" xr:uid="{00000000-0005-0000-0000-0000192F0000}"/>
    <cellStyle name="Normal 13 3 8 2 2 3 2" xfId="49635" xr:uid="{00000000-0005-0000-0000-00001A2F0000}"/>
    <cellStyle name="Normal 13 3 8 2 2 4" xfId="8447" xr:uid="{00000000-0005-0000-0000-00001B2F0000}"/>
    <cellStyle name="Normal 13 3 8 2 2 5" xfId="8448" xr:uid="{00000000-0005-0000-0000-00001C2F0000}"/>
    <cellStyle name="Normal 13 3 8 2 2 6" xfId="8449" xr:uid="{00000000-0005-0000-0000-00001D2F0000}"/>
    <cellStyle name="Normal 13 3 8 2 3" xfId="8450" xr:uid="{00000000-0005-0000-0000-00001E2F0000}"/>
    <cellStyle name="Normal 13 3 8 2 3 2" xfId="49636" xr:uid="{00000000-0005-0000-0000-00001F2F0000}"/>
    <cellStyle name="Normal 13 3 8 2 3 3" xfId="49637" xr:uid="{00000000-0005-0000-0000-0000202F0000}"/>
    <cellStyle name="Normal 13 3 8 2 4" xfId="8451" xr:uid="{00000000-0005-0000-0000-0000212F0000}"/>
    <cellStyle name="Normal 13 3 8 2 4 2" xfId="49638" xr:uid="{00000000-0005-0000-0000-0000222F0000}"/>
    <cellStyle name="Normal 13 3 8 2 5" xfId="8452" xr:uid="{00000000-0005-0000-0000-0000232F0000}"/>
    <cellStyle name="Normal 13 3 8 2 6" xfId="8453" xr:uid="{00000000-0005-0000-0000-0000242F0000}"/>
    <cellStyle name="Normal 13 3 8 2 7" xfId="8454" xr:uid="{00000000-0005-0000-0000-0000252F0000}"/>
    <cellStyle name="Normal 13 3 8 3" xfId="8455" xr:uid="{00000000-0005-0000-0000-0000262F0000}"/>
    <cellStyle name="Normal 13 3 8 3 2" xfId="8456" xr:uid="{00000000-0005-0000-0000-0000272F0000}"/>
    <cellStyle name="Normal 13 3 8 3 2 2" xfId="49639" xr:uid="{00000000-0005-0000-0000-0000282F0000}"/>
    <cellStyle name="Normal 13 3 8 3 2 3" xfId="49640" xr:uid="{00000000-0005-0000-0000-0000292F0000}"/>
    <cellStyle name="Normal 13 3 8 3 3" xfId="8457" xr:uid="{00000000-0005-0000-0000-00002A2F0000}"/>
    <cellStyle name="Normal 13 3 8 3 3 2" xfId="49641" xr:uid="{00000000-0005-0000-0000-00002B2F0000}"/>
    <cellStyle name="Normal 13 3 8 3 4" xfId="8458" xr:uid="{00000000-0005-0000-0000-00002C2F0000}"/>
    <cellStyle name="Normal 13 3 8 3 5" xfId="8459" xr:uid="{00000000-0005-0000-0000-00002D2F0000}"/>
    <cellStyle name="Normal 13 3 8 3 6" xfId="8460" xr:uid="{00000000-0005-0000-0000-00002E2F0000}"/>
    <cellStyle name="Normal 13 3 8 4" xfId="8461" xr:uid="{00000000-0005-0000-0000-00002F2F0000}"/>
    <cellStyle name="Normal 13 3 8 4 2" xfId="49642" xr:uid="{00000000-0005-0000-0000-0000302F0000}"/>
    <cellStyle name="Normal 13 3 8 4 3" xfId="49643" xr:uid="{00000000-0005-0000-0000-0000312F0000}"/>
    <cellStyle name="Normal 13 3 8 5" xfId="8462" xr:uid="{00000000-0005-0000-0000-0000322F0000}"/>
    <cellStyle name="Normal 13 3 8 5 2" xfId="49644" xr:uid="{00000000-0005-0000-0000-0000332F0000}"/>
    <cellStyle name="Normal 13 3 8 6" xfId="8463" xr:uid="{00000000-0005-0000-0000-0000342F0000}"/>
    <cellStyle name="Normal 13 3 8 7" xfId="8464" xr:uid="{00000000-0005-0000-0000-0000352F0000}"/>
    <cellStyle name="Normal 13 3 8 8" xfId="8465" xr:uid="{00000000-0005-0000-0000-0000362F0000}"/>
    <cellStyle name="Normal 13 3 9" xfId="8466" xr:uid="{00000000-0005-0000-0000-0000372F0000}"/>
    <cellStyle name="Normal 13 3 9 2" xfId="8467" xr:uid="{00000000-0005-0000-0000-0000382F0000}"/>
    <cellStyle name="Normal 13 3 9 2 2" xfId="8468" xr:uid="{00000000-0005-0000-0000-0000392F0000}"/>
    <cellStyle name="Normal 13 3 9 2 2 2" xfId="8469" xr:uid="{00000000-0005-0000-0000-00003A2F0000}"/>
    <cellStyle name="Normal 13 3 9 2 2 2 2" xfId="49645" xr:uid="{00000000-0005-0000-0000-00003B2F0000}"/>
    <cellStyle name="Normal 13 3 9 2 2 2 3" xfId="49646" xr:uid="{00000000-0005-0000-0000-00003C2F0000}"/>
    <cellStyle name="Normal 13 3 9 2 2 3" xfId="8470" xr:uid="{00000000-0005-0000-0000-00003D2F0000}"/>
    <cellStyle name="Normal 13 3 9 2 2 3 2" xfId="49647" xr:uid="{00000000-0005-0000-0000-00003E2F0000}"/>
    <cellStyle name="Normal 13 3 9 2 2 4" xfId="8471" xr:uid="{00000000-0005-0000-0000-00003F2F0000}"/>
    <cellStyle name="Normal 13 3 9 2 2 5" xfId="8472" xr:uid="{00000000-0005-0000-0000-0000402F0000}"/>
    <cellStyle name="Normal 13 3 9 2 2 6" xfId="8473" xr:uid="{00000000-0005-0000-0000-0000412F0000}"/>
    <cellStyle name="Normal 13 3 9 2 3" xfId="8474" xr:uid="{00000000-0005-0000-0000-0000422F0000}"/>
    <cellStyle name="Normal 13 3 9 2 3 2" xfId="49648" xr:uid="{00000000-0005-0000-0000-0000432F0000}"/>
    <cellStyle name="Normal 13 3 9 2 3 3" xfId="49649" xr:uid="{00000000-0005-0000-0000-0000442F0000}"/>
    <cellStyle name="Normal 13 3 9 2 4" xfId="8475" xr:uid="{00000000-0005-0000-0000-0000452F0000}"/>
    <cellStyle name="Normal 13 3 9 2 4 2" xfId="49650" xr:uid="{00000000-0005-0000-0000-0000462F0000}"/>
    <cellStyle name="Normal 13 3 9 2 5" xfId="8476" xr:uid="{00000000-0005-0000-0000-0000472F0000}"/>
    <cellStyle name="Normal 13 3 9 2 6" xfId="8477" xr:uid="{00000000-0005-0000-0000-0000482F0000}"/>
    <cellStyle name="Normal 13 3 9 2 7" xfId="8478" xr:uid="{00000000-0005-0000-0000-0000492F0000}"/>
    <cellStyle name="Normal 13 3 9 3" xfId="8479" xr:uid="{00000000-0005-0000-0000-00004A2F0000}"/>
    <cellStyle name="Normal 13 3 9 3 2" xfId="8480" xr:uid="{00000000-0005-0000-0000-00004B2F0000}"/>
    <cellStyle name="Normal 13 3 9 3 2 2" xfId="49651" xr:uid="{00000000-0005-0000-0000-00004C2F0000}"/>
    <cellStyle name="Normal 13 3 9 3 2 3" xfId="49652" xr:uid="{00000000-0005-0000-0000-00004D2F0000}"/>
    <cellStyle name="Normal 13 3 9 3 3" xfId="8481" xr:uid="{00000000-0005-0000-0000-00004E2F0000}"/>
    <cellStyle name="Normal 13 3 9 3 3 2" xfId="49653" xr:uid="{00000000-0005-0000-0000-00004F2F0000}"/>
    <cellStyle name="Normal 13 3 9 3 4" xfId="8482" xr:uid="{00000000-0005-0000-0000-0000502F0000}"/>
    <cellStyle name="Normal 13 3 9 3 5" xfId="8483" xr:uid="{00000000-0005-0000-0000-0000512F0000}"/>
    <cellStyle name="Normal 13 3 9 3 6" xfId="8484" xr:uid="{00000000-0005-0000-0000-0000522F0000}"/>
    <cellStyle name="Normal 13 3 9 4" xfId="8485" xr:uid="{00000000-0005-0000-0000-0000532F0000}"/>
    <cellStyle name="Normal 13 3 9 4 2" xfId="49654" xr:uid="{00000000-0005-0000-0000-0000542F0000}"/>
    <cellStyle name="Normal 13 3 9 4 3" xfId="49655" xr:uid="{00000000-0005-0000-0000-0000552F0000}"/>
    <cellStyle name="Normal 13 3 9 5" xfId="8486" xr:uid="{00000000-0005-0000-0000-0000562F0000}"/>
    <cellStyle name="Normal 13 3 9 5 2" xfId="49656" xr:uid="{00000000-0005-0000-0000-0000572F0000}"/>
    <cellStyle name="Normal 13 3 9 6" xfId="8487" xr:uid="{00000000-0005-0000-0000-0000582F0000}"/>
    <cellStyle name="Normal 13 3 9 7" xfId="8488" xr:uid="{00000000-0005-0000-0000-0000592F0000}"/>
    <cellStyle name="Normal 13 3 9 8" xfId="8489" xr:uid="{00000000-0005-0000-0000-00005A2F0000}"/>
    <cellStyle name="Normal 13 4" xfId="8490" xr:uid="{00000000-0005-0000-0000-00005B2F0000}"/>
    <cellStyle name="Normal 13 4 10" xfId="8491" xr:uid="{00000000-0005-0000-0000-00005C2F0000}"/>
    <cellStyle name="Normal 13 4 10 2" xfId="8492" xr:uid="{00000000-0005-0000-0000-00005D2F0000}"/>
    <cellStyle name="Normal 13 4 10 2 2" xfId="8493" xr:uid="{00000000-0005-0000-0000-00005E2F0000}"/>
    <cellStyle name="Normal 13 4 10 2 2 2" xfId="49657" xr:uid="{00000000-0005-0000-0000-00005F2F0000}"/>
    <cellStyle name="Normal 13 4 10 2 2 3" xfId="49658" xr:uid="{00000000-0005-0000-0000-0000602F0000}"/>
    <cellStyle name="Normal 13 4 10 2 3" xfId="8494" xr:uid="{00000000-0005-0000-0000-0000612F0000}"/>
    <cellStyle name="Normal 13 4 10 2 3 2" xfId="49659" xr:uid="{00000000-0005-0000-0000-0000622F0000}"/>
    <cellStyle name="Normal 13 4 10 2 4" xfId="8495" xr:uid="{00000000-0005-0000-0000-0000632F0000}"/>
    <cellStyle name="Normal 13 4 10 2 5" xfId="8496" xr:uid="{00000000-0005-0000-0000-0000642F0000}"/>
    <cellStyle name="Normal 13 4 10 2 6" xfId="8497" xr:uid="{00000000-0005-0000-0000-0000652F0000}"/>
    <cellStyle name="Normal 13 4 10 3" xfId="8498" xr:uid="{00000000-0005-0000-0000-0000662F0000}"/>
    <cellStyle name="Normal 13 4 10 3 2" xfId="49660" xr:uid="{00000000-0005-0000-0000-0000672F0000}"/>
    <cellStyle name="Normal 13 4 10 3 3" xfId="49661" xr:uid="{00000000-0005-0000-0000-0000682F0000}"/>
    <cellStyle name="Normal 13 4 10 4" xfId="8499" xr:uid="{00000000-0005-0000-0000-0000692F0000}"/>
    <cellStyle name="Normal 13 4 10 4 2" xfId="49662" xr:uid="{00000000-0005-0000-0000-00006A2F0000}"/>
    <cellStyle name="Normal 13 4 10 5" xfId="8500" xr:uid="{00000000-0005-0000-0000-00006B2F0000}"/>
    <cellStyle name="Normal 13 4 10 6" xfId="8501" xr:uid="{00000000-0005-0000-0000-00006C2F0000}"/>
    <cellStyle name="Normal 13 4 10 7" xfId="8502" xr:uid="{00000000-0005-0000-0000-00006D2F0000}"/>
    <cellStyle name="Normal 13 4 11" xfId="8503" xr:uid="{00000000-0005-0000-0000-00006E2F0000}"/>
    <cellStyle name="Normal 13 4 11 2" xfId="8504" xr:uid="{00000000-0005-0000-0000-00006F2F0000}"/>
    <cellStyle name="Normal 13 4 11 2 2" xfId="49663" xr:uid="{00000000-0005-0000-0000-0000702F0000}"/>
    <cellStyle name="Normal 13 4 11 2 3" xfId="49664" xr:uid="{00000000-0005-0000-0000-0000712F0000}"/>
    <cellStyle name="Normal 13 4 11 3" xfId="8505" xr:uid="{00000000-0005-0000-0000-0000722F0000}"/>
    <cellStyle name="Normal 13 4 11 3 2" xfId="49665" xr:uid="{00000000-0005-0000-0000-0000732F0000}"/>
    <cellStyle name="Normal 13 4 11 4" xfId="8506" xr:uid="{00000000-0005-0000-0000-0000742F0000}"/>
    <cellStyle name="Normal 13 4 11 5" xfId="8507" xr:uid="{00000000-0005-0000-0000-0000752F0000}"/>
    <cellStyle name="Normal 13 4 11 6" xfId="8508" xr:uid="{00000000-0005-0000-0000-0000762F0000}"/>
    <cellStyle name="Normal 13 4 12" xfId="8509" xr:uid="{00000000-0005-0000-0000-0000772F0000}"/>
    <cellStyle name="Normal 13 4 12 2" xfId="49666" xr:uid="{00000000-0005-0000-0000-0000782F0000}"/>
    <cellStyle name="Normal 13 4 12 3" xfId="49667" xr:uid="{00000000-0005-0000-0000-0000792F0000}"/>
    <cellStyle name="Normal 13 4 13" xfId="8510" xr:uid="{00000000-0005-0000-0000-00007A2F0000}"/>
    <cellStyle name="Normal 13 4 13 2" xfId="49668" xr:uid="{00000000-0005-0000-0000-00007B2F0000}"/>
    <cellStyle name="Normal 13 4 14" xfId="8511" xr:uid="{00000000-0005-0000-0000-00007C2F0000}"/>
    <cellStyle name="Normal 13 4 14 2" xfId="49669" xr:uid="{00000000-0005-0000-0000-00007D2F0000}"/>
    <cellStyle name="Normal 13 4 15" xfId="8512" xr:uid="{00000000-0005-0000-0000-00007E2F0000}"/>
    <cellStyle name="Normal 13 4 16" xfId="8513" xr:uid="{00000000-0005-0000-0000-00007F2F0000}"/>
    <cellStyle name="Normal 13 4 17" xfId="8514" xr:uid="{00000000-0005-0000-0000-0000802F0000}"/>
    <cellStyle name="Normal 13 4 18" xfId="8515" xr:uid="{00000000-0005-0000-0000-0000812F0000}"/>
    <cellStyle name="Normal 13 4 19" xfId="8516" xr:uid="{00000000-0005-0000-0000-0000822F0000}"/>
    <cellStyle name="Normal 13 4 2" xfId="8517" xr:uid="{00000000-0005-0000-0000-0000832F0000}"/>
    <cellStyle name="Normal 13 4 2 10" xfId="8518" xr:uid="{00000000-0005-0000-0000-0000842F0000}"/>
    <cellStyle name="Normal 13 4 2 11" xfId="8519" xr:uid="{00000000-0005-0000-0000-0000852F0000}"/>
    <cellStyle name="Normal 13 4 2 12" xfId="8520" xr:uid="{00000000-0005-0000-0000-0000862F0000}"/>
    <cellStyle name="Normal 13 4 2 13" xfId="8521" xr:uid="{00000000-0005-0000-0000-0000872F0000}"/>
    <cellStyle name="Normal 13 4 2 14" xfId="8522" xr:uid="{00000000-0005-0000-0000-0000882F0000}"/>
    <cellStyle name="Normal 13 4 2 15" xfId="8523" xr:uid="{00000000-0005-0000-0000-0000892F0000}"/>
    <cellStyle name="Normal 13 4 2 2" xfId="8524" xr:uid="{00000000-0005-0000-0000-00008A2F0000}"/>
    <cellStyle name="Normal 13 4 2 2 10" xfId="8525" xr:uid="{00000000-0005-0000-0000-00008B2F0000}"/>
    <cellStyle name="Normal 13 4 2 2 11" xfId="8526" xr:uid="{00000000-0005-0000-0000-00008C2F0000}"/>
    <cellStyle name="Normal 13 4 2 2 12" xfId="8527" xr:uid="{00000000-0005-0000-0000-00008D2F0000}"/>
    <cellStyle name="Normal 13 4 2 2 13" xfId="8528" xr:uid="{00000000-0005-0000-0000-00008E2F0000}"/>
    <cellStyle name="Normal 13 4 2 2 14" xfId="8529" xr:uid="{00000000-0005-0000-0000-00008F2F0000}"/>
    <cellStyle name="Normal 13 4 2 2 2" xfId="8530" xr:uid="{00000000-0005-0000-0000-0000902F0000}"/>
    <cellStyle name="Normal 13 4 2 2 2 2" xfId="8531" xr:uid="{00000000-0005-0000-0000-0000912F0000}"/>
    <cellStyle name="Normal 13 4 2 2 2 2 2" xfId="8532" xr:uid="{00000000-0005-0000-0000-0000922F0000}"/>
    <cellStyle name="Normal 13 4 2 2 2 2 2 2" xfId="8533" xr:uid="{00000000-0005-0000-0000-0000932F0000}"/>
    <cellStyle name="Normal 13 4 2 2 2 2 2 2 2" xfId="49670" xr:uid="{00000000-0005-0000-0000-0000942F0000}"/>
    <cellStyle name="Normal 13 4 2 2 2 2 2 2 3" xfId="49671" xr:uid="{00000000-0005-0000-0000-0000952F0000}"/>
    <cellStyle name="Normal 13 4 2 2 2 2 2 3" xfId="8534" xr:uid="{00000000-0005-0000-0000-0000962F0000}"/>
    <cellStyle name="Normal 13 4 2 2 2 2 2 3 2" xfId="49672" xr:uid="{00000000-0005-0000-0000-0000972F0000}"/>
    <cellStyle name="Normal 13 4 2 2 2 2 2 4" xfId="8535" xr:uid="{00000000-0005-0000-0000-0000982F0000}"/>
    <cellStyle name="Normal 13 4 2 2 2 2 2 5" xfId="8536" xr:uid="{00000000-0005-0000-0000-0000992F0000}"/>
    <cellStyle name="Normal 13 4 2 2 2 2 2 6" xfId="8537" xr:uid="{00000000-0005-0000-0000-00009A2F0000}"/>
    <cellStyle name="Normal 13 4 2 2 2 2 3" xfId="8538" xr:uid="{00000000-0005-0000-0000-00009B2F0000}"/>
    <cellStyle name="Normal 13 4 2 2 2 2 3 2" xfId="49673" xr:uid="{00000000-0005-0000-0000-00009C2F0000}"/>
    <cellStyle name="Normal 13 4 2 2 2 2 3 3" xfId="49674" xr:uid="{00000000-0005-0000-0000-00009D2F0000}"/>
    <cellStyle name="Normal 13 4 2 2 2 2 4" xfId="8539" xr:uid="{00000000-0005-0000-0000-00009E2F0000}"/>
    <cellStyle name="Normal 13 4 2 2 2 2 4 2" xfId="49675" xr:uid="{00000000-0005-0000-0000-00009F2F0000}"/>
    <cellStyle name="Normal 13 4 2 2 2 2 5" xfId="8540" xr:uid="{00000000-0005-0000-0000-0000A02F0000}"/>
    <cellStyle name="Normal 13 4 2 2 2 2 6" xfId="8541" xr:uid="{00000000-0005-0000-0000-0000A12F0000}"/>
    <cellStyle name="Normal 13 4 2 2 2 2 7" xfId="8542" xr:uid="{00000000-0005-0000-0000-0000A22F0000}"/>
    <cellStyle name="Normal 13 4 2 2 2 3" xfId="8543" xr:uid="{00000000-0005-0000-0000-0000A32F0000}"/>
    <cellStyle name="Normal 13 4 2 2 2 3 2" xfId="8544" xr:uid="{00000000-0005-0000-0000-0000A42F0000}"/>
    <cellStyle name="Normal 13 4 2 2 2 3 2 2" xfId="49676" xr:uid="{00000000-0005-0000-0000-0000A52F0000}"/>
    <cellStyle name="Normal 13 4 2 2 2 3 2 3" xfId="49677" xr:uid="{00000000-0005-0000-0000-0000A62F0000}"/>
    <cellStyle name="Normal 13 4 2 2 2 3 3" xfId="8545" xr:uid="{00000000-0005-0000-0000-0000A72F0000}"/>
    <cellStyle name="Normal 13 4 2 2 2 3 3 2" xfId="49678" xr:uid="{00000000-0005-0000-0000-0000A82F0000}"/>
    <cellStyle name="Normal 13 4 2 2 2 3 4" xfId="8546" xr:uid="{00000000-0005-0000-0000-0000A92F0000}"/>
    <cellStyle name="Normal 13 4 2 2 2 3 5" xfId="8547" xr:uid="{00000000-0005-0000-0000-0000AA2F0000}"/>
    <cellStyle name="Normal 13 4 2 2 2 3 6" xfId="8548" xr:uid="{00000000-0005-0000-0000-0000AB2F0000}"/>
    <cellStyle name="Normal 13 4 2 2 2 4" xfId="8549" xr:uid="{00000000-0005-0000-0000-0000AC2F0000}"/>
    <cellStyle name="Normal 13 4 2 2 2 4 2" xfId="49679" xr:uid="{00000000-0005-0000-0000-0000AD2F0000}"/>
    <cellStyle name="Normal 13 4 2 2 2 4 3" xfId="49680" xr:uid="{00000000-0005-0000-0000-0000AE2F0000}"/>
    <cellStyle name="Normal 13 4 2 2 2 5" xfId="8550" xr:uid="{00000000-0005-0000-0000-0000AF2F0000}"/>
    <cellStyle name="Normal 13 4 2 2 2 5 2" xfId="49681" xr:uid="{00000000-0005-0000-0000-0000B02F0000}"/>
    <cellStyle name="Normal 13 4 2 2 2 6" xfId="8551" xr:uid="{00000000-0005-0000-0000-0000B12F0000}"/>
    <cellStyle name="Normal 13 4 2 2 2 7" xfId="8552" xr:uid="{00000000-0005-0000-0000-0000B22F0000}"/>
    <cellStyle name="Normal 13 4 2 2 2 8" xfId="8553" xr:uid="{00000000-0005-0000-0000-0000B32F0000}"/>
    <cellStyle name="Normal 13 4 2 2 2 9" xfId="8554" xr:uid="{00000000-0005-0000-0000-0000B42F0000}"/>
    <cellStyle name="Normal 13 4 2 2 3" xfId="8555" xr:uid="{00000000-0005-0000-0000-0000B52F0000}"/>
    <cellStyle name="Normal 13 4 2 2 3 2" xfId="8556" xr:uid="{00000000-0005-0000-0000-0000B62F0000}"/>
    <cellStyle name="Normal 13 4 2 2 3 2 2" xfId="8557" xr:uid="{00000000-0005-0000-0000-0000B72F0000}"/>
    <cellStyle name="Normal 13 4 2 2 3 2 2 2" xfId="8558" xr:uid="{00000000-0005-0000-0000-0000B82F0000}"/>
    <cellStyle name="Normal 13 4 2 2 3 2 2 2 2" xfId="49682" xr:uid="{00000000-0005-0000-0000-0000B92F0000}"/>
    <cellStyle name="Normal 13 4 2 2 3 2 2 2 3" xfId="49683" xr:uid="{00000000-0005-0000-0000-0000BA2F0000}"/>
    <cellStyle name="Normal 13 4 2 2 3 2 2 3" xfId="8559" xr:uid="{00000000-0005-0000-0000-0000BB2F0000}"/>
    <cellStyle name="Normal 13 4 2 2 3 2 2 3 2" xfId="49684" xr:uid="{00000000-0005-0000-0000-0000BC2F0000}"/>
    <cellStyle name="Normal 13 4 2 2 3 2 2 4" xfId="8560" xr:uid="{00000000-0005-0000-0000-0000BD2F0000}"/>
    <cellStyle name="Normal 13 4 2 2 3 2 2 5" xfId="8561" xr:uid="{00000000-0005-0000-0000-0000BE2F0000}"/>
    <cellStyle name="Normal 13 4 2 2 3 2 2 6" xfId="8562" xr:uid="{00000000-0005-0000-0000-0000BF2F0000}"/>
    <cellStyle name="Normal 13 4 2 2 3 2 3" xfId="8563" xr:uid="{00000000-0005-0000-0000-0000C02F0000}"/>
    <cellStyle name="Normal 13 4 2 2 3 2 3 2" xfId="49685" xr:uid="{00000000-0005-0000-0000-0000C12F0000}"/>
    <cellStyle name="Normal 13 4 2 2 3 2 3 3" xfId="49686" xr:uid="{00000000-0005-0000-0000-0000C22F0000}"/>
    <cellStyle name="Normal 13 4 2 2 3 2 4" xfId="8564" xr:uid="{00000000-0005-0000-0000-0000C32F0000}"/>
    <cellStyle name="Normal 13 4 2 2 3 2 4 2" xfId="49687" xr:uid="{00000000-0005-0000-0000-0000C42F0000}"/>
    <cellStyle name="Normal 13 4 2 2 3 2 5" xfId="8565" xr:uid="{00000000-0005-0000-0000-0000C52F0000}"/>
    <cellStyle name="Normal 13 4 2 2 3 2 6" xfId="8566" xr:uid="{00000000-0005-0000-0000-0000C62F0000}"/>
    <cellStyle name="Normal 13 4 2 2 3 2 7" xfId="8567" xr:uid="{00000000-0005-0000-0000-0000C72F0000}"/>
    <cellStyle name="Normal 13 4 2 2 3 3" xfId="8568" xr:uid="{00000000-0005-0000-0000-0000C82F0000}"/>
    <cellStyle name="Normal 13 4 2 2 3 3 2" xfId="8569" xr:uid="{00000000-0005-0000-0000-0000C92F0000}"/>
    <cellStyle name="Normal 13 4 2 2 3 3 2 2" xfId="49688" xr:uid="{00000000-0005-0000-0000-0000CA2F0000}"/>
    <cellStyle name="Normal 13 4 2 2 3 3 2 3" xfId="49689" xr:uid="{00000000-0005-0000-0000-0000CB2F0000}"/>
    <cellStyle name="Normal 13 4 2 2 3 3 3" xfId="8570" xr:uid="{00000000-0005-0000-0000-0000CC2F0000}"/>
    <cellStyle name="Normal 13 4 2 2 3 3 3 2" xfId="49690" xr:uid="{00000000-0005-0000-0000-0000CD2F0000}"/>
    <cellStyle name="Normal 13 4 2 2 3 3 4" xfId="8571" xr:uid="{00000000-0005-0000-0000-0000CE2F0000}"/>
    <cellStyle name="Normal 13 4 2 2 3 3 5" xfId="8572" xr:uid="{00000000-0005-0000-0000-0000CF2F0000}"/>
    <cellStyle name="Normal 13 4 2 2 3 3 6" xfId="8573" xr:uid="{00000000-0005-0000-0000-0000D02F0000}"/>
    <cellStyle name="Normal 13 4 2 2 3 4" xfId="8574" xr:uid="{00000000-0005-0000-0000-0000D12F0000}"/>
    <cellStyle name="Normal 13 4 2 2 3 4 2" xfId="49691" xr:uid="{00000000-0005-0000-0000-0000D22F0000}"/>
    <cellStyle name="Normal 13 4 2 2 3 4 3" xfId="49692" xr:uid="{00000000-0005-0000-0000-0000D32F0000}"/>
    <cellStyle name="Normal 13 4 2 2 3 5" xfId="8575" xr:uid="{00000000-0005-0000-0000-0000D42F0000}"/>
    <cellStyle name="Normal 13 4 2 2 3 5 2" xfId="49693" xr:uid="{00000000-0005-0000-0000-0000D52F0000}"/>
    <cellStyle name="Normal 13 4 2 2 3 6" xfId="8576" xr:uid="{00000000-0005-0000-0000-0000D62F0000}"/>
    <cellStyle name="Normal 13 4 2 2 3 7" xfId="8577" xr:uid="{00000000-0005-0000-0000-0000D72F0000}"/>
    <cellStyle name="Normal 13 4 2 2 3 8" xfId="8578" xr:uid="{00000000-0005-0000-0000-0000D82F0000}"/>
    <cellStyle name="Normal 13 4 2 2 4" xfId="8579" xr:uid="{00000000-0005-0000-0000-0000D92F0000}"/>
    <cellStyle name="Normal 13 4 2 2 4 2" xfId="8580" xr:uid="{00000000-0005-0000-0000-0000DA2F0000}"/>
    <cellStyle name="Normal 13 4 2 2 4 2 2" xfId="8581" xr:uid="{00000000-0005-0000-0000-0000DB2F0000}"/>
    <cellStyle name="Normal 13 4 2 2 4 2 2 2" xfId="49694" xr:uid="{00000000-0005-0000-0000-0000DC2F0000}"/>
    <cellStyle name="Normal 13 4 2 2 4 2 2 3" xfId="49695" xr:uid="{00000000-0005-0000-0000-0000DD2F0000}"/>
    <cellStyle name="Normal 13 4 2 2 4 2 3" xfId="8582" xr:uid="{00000000-0005-0000-0000-0000DE2F0000}"/>
    <cellStyle name="Normal 13 4 2 2 4 2 3 2" xfId="49696" xr:uid="{00000000-0005-0000-0000-0000DF2F0000}"/>
    <cellStyle name="Normal 13 4 2 2 4 2 4" xfId="8583" xr:uid="{00000000-0005-0000-0000-0000E02F0000}"/>
    <cellStyle name="Normal 13 4 2 2 4 2 5" xfId="8584" xr:uid="{00000000-0005-0000-0000-0000E12F0000}"/>
    <cellStyle name="Normal 13 4 2 2 4 2 6" xfId="8585" xr:uid="{00000000-0005-0000-0000-0000E22F0000}"/>
    <cellStyle name="Normal 13 4 2 2 4 3" xfId="8586" xr:uid="{00000000-0005-0000-0000-0000E32F0000}"/>
    <cellStyle name="Normal 13 4 2 2 4 3 2" xfId="49697" xr:uid="{00000000-0005-0000-0000-0000E42F0000}"/>
    <cellStyle name="Normal 13 4 2 2 4 3 3" xfId="49698" xr:uid="{00000000-0005-0000-0000-0000E52F0000}"/>
    <cellStyle name="Normal 13 4 2 2 4 4" xfId="8587" xr:uid="{00000000-0005-0000-0000-0000E62F0000}"/>
    <cellStyle name="Normal 13 4 2 2 4 4 2" xfId="49699" xr:uid="{00000000-0005-0000-0000-0000E72F0000}"/>
    <cellStyle name="Normal 13 4 2 2 4 5" xfId="8588" xr:uid="{00000000-0005-0000-0000-0000E82F0000}"/>
    <cellStyle name="Normal 13 4 2 2 4 6" xfId="8589" xr:uid="{00000000-0005-0000-0000-0000E92F0000}"/>
    <cellStyle name="Normal 13 4 2 2 4 7" xfId="8590" xr:uid="{00000000-0005-0000-0000-0000EA2F0000}"/>
    <cellStyle name="Normal 13 4 2 2 5" xfId="8591" xr:uid="{00000000-0005-0000-0000-0000EB2F0000}"/>
    <cellStyle name="Normal 13 4 2 2 5 2" xfId="8592" xr:uid="{00000000-0005-0000-0000-0000EC2F0000}"/>
    <cellStyle name="Normal 13 4 2 2 5 2 2" xfId="49700" xr:uid="{00000000-0005-0000-0000-0000ED2F0000}"/>
    <cellStyle name="Normal 13 4 2 2 5 2 3" xfId="49701" xr:uid="{00000000-0005-0000-0000-0000EE2F0000}"/>
    <cellStyle name="Normal 13 4 2 2 5 3" xfId="8593" xr:uid="{00000000-0005-0000-0000-0000EF2F0000}"/>
    <cellStyle name="Normal 13 4 2 2 5 3 2" xfId="49702" xr:uid="{00000000-0005-0000-0000-0000F02F0000}"/>
    <cellStyle name="Normal 13 4 2 2 5 4" xfId="8594" xr:uid="{00000000-0005-0000-0000-0000F12F0000}"/>
    <cellStyle name="Normal 13 4 2 2 5 5" xfId="8595" xr:uid="{00000000-0005-0000-0000-0000F22F0000}"/>
    <cellStyle name="Normal 13 4 2 2 5 6" xfId="8596" xr:uid="{00000000-0005-0000-0000-0000F32F0000}"/>
    <cellStyle name="Normal 13 4 2 2 6" xfId="8597" xr:uid="{00000000-0005-0000-0000-0000F42F0000}"/>
    <cellStyle name="Normal 13 4 2 2 6 2" xfId="49703" xr:uid="{00000000-0005-0000-0000-0000F52F0000}"/>
    <cellStyle name="Normal 13 4 2 2 6 3" xfId="49704" xr:uid="{00000000-0005-0000-0000-0000F62F0000}"/>
    <cellStyle name="Normal 13 4 2 2 7" xfId="8598" xr:uid="{00000000-0005-0000-0000-0000F72F0000}"/>
    <cellStyle name="Normal 13 4 2 2 7 2" xfId="49705" xr:uid="{00000000-0005-0000-0000-0000F82F0000}"/>
    <cellStyle name="Normal 13 4 2 2 8" xfId="8599" xr:uid="{00000000-0005-0000-0000-0000F92F0000}"/>
    <cellStyle name="Normal 13 4 2 2 9" xfId="8600" xr:uid="{00000000-0005-0000-0000-0000FA2F0000}"/>
    <cellStyle name="Normal 13 4 2 3" xfId="8601" xr:uid="{00000000-0005-0000-0000-0000FB2F0000}"/>
    <cellStyle name="Normal 13 4 2 3 2" xfId="8602" xr:uid="{00000000-0005-0000-0000-0000FC2F0000}"/>
    <cellStyle name="Normal 13 4 2 3 2 2" xfId="8603" xr:uid="{00000000-0005-0000-0000-0000FD2F0000}"/>
    <cellStyle name="Normal 13 4 2 3 2 2 2" xfId="8604" xr:uid="{00000000-0005-0000-0000-0000FE2F0000}"/>
    <cellStyle name="Normal 13 4 2 3 2 2 2 2" xfId="49706" xr:uid="{00000000-0005-0000-0000-0000FF2F0000}"/>
    <cellStyle name="Normal 13 4 2 3 2 2 2 3" xfId="49707" xr:uid="{00000000-0005-0000-0000-000000300000}"/>
    <cellStyle name="Normal 13 4 2 3 2 2 3" xfId="8605" xr:uid="{00000000-0005-0000-0000-000001300000}"/>
    <cellStyle name="Normal 13 4 2 3 2 2 3 2" xfId="49708" xr:uid="{00000000-0005-0000-0000-000002300000}"/>
    <cellStyle name="Normal 13 4 2 3 2 2 4" xfId="8606" xr:uid="{00000000-0005-0000-0000-000003300000}"/>
    <cellStyle name="Normal 13 4 2 3 2 2 5" xfId="8607" xr:uid="{00000000-0005-0000-0000-000004300000}"/>
    <cellStyle name="Normal 13 4 2 3 2 2 6" xfId="8608" xr:uid="{00000000-0005-0000-0000-000005300000}"/>
    <cellStyle name="Normal 13 4 2 3 2 3" xfId="8609" xr:uid="{00000000-0005-0000-0000-000006300000}"/>
    <cellStyle name="Normal 13 4 2 3 2 3 2" xfId="49709" xr:uid="{00000000-0005-0000-0000-000007300000}"/>
    <cellStyle name="Normal 13 4 2 3 2 3 3" xfId="49710" xr:uid="{00000000-0005-0000-0000-000008300000}"/>
    <cellStyle name="Normal 13 4 2 3 2 4" xfId="8610" xr:uid="{00000000-0005-0000-0000-000009300000}"/>
    <cellStyle name="Normal 13 4 2 3 2 4 2" xfId="49711" xr:uid="{00000000-0005-0000-0000-00000A300000}"/>
    <cellStyle name="Normal 13 4 2 3 2 5" xfId="8611" xr:uid="{00000000-0005-0000-0000-00000B300000}"/>
    <cellStyle name="Normal 13 4 2 3 2 6" xfId="8612" xr:uid="{00000000-0005-0000-0000-00000C300000}"/>
    <cellStyle name="Normal 13 4 2 3 2 7" xfId="8613" xr:uid="{00000000-0005-0000-0000-00000D300000}"/>
    <cellStyle name="Normal 13 4 2 3 3" xfId="8614" xr:uid="{00000000-0005-0000-0000-00000E300000}"/>
    <cellStyle name="Normal 13 4 2 3 3 2" xfId="8615" xr:uid="{00000000-0005-0000-0000-00000F300000}"/>
    <cellStyle name="Normal 13 4 2 3 3 2 2" xfId="49712" xr:uid="{00000000-0005-0000-0000-000010300000}"/>
    <cellStyle name="Normal 13 4 2 3 3 2 3" xfId="49713" xr:uid="{00000000-0005-0000-0000-000011300000}"/>
    <cellStyle name="Normal 13 4 2 3 3 3" xfId="8616" xr:uid="{00000000-0005-0000-0000-000012300000}"/>
    <cellStyle name="Normal 13 4 2 3 3 3 2" xfId="49714" xr:uid="{00000000-0005-0000-0000-000013300000}"/>
    <cellStyle name="Normal 13 4 2 3 3 4" xfId="8617" xr:uid="{00000000-0005-0000-0000-000014300000}"/>
    <cellStyle name="Normal 13 4 2 3 3 5" xfId="8618" xr:uid="{00000000-0005-0000-0000-000015300000}"/>
    <cellStyle name="Normal 13 4 2 3 3 6" xfId="8619" xr:uid="{00000000-0005-0000-0000-000016300000}"/>
    <cellStyle name="Normal 13 4 2 3 4" xfId="8620" xr:uid="{00000000-0005-0000-0000-000017300000}"/>
    <cellStyle name="Normal 13 4 2 3 4 2" xfId="49715" xr:uid="{00000000-0005-0000-0000-000018300000}"/>
    <cellStyle name="Normal 13 4 2 3 4 3" xfId="49716" xr:uid="{00000000-0005-0000-0000-000019300000}"/>
    <cellStyle name="Normal 13 4 2 3 5" xfId="8621" xr:uid="{00000000-0005-0000-0000-00001A300000}"/>
    <cellStyle name="Normal 13 4 2 3 5 2" xfId="49717" xr:uid="{00000000-0005-0000-0000-00001B300000}"/>
    <cellStyle name="Normal 13 4 2 3 6" xfId="8622" xr:uid="{00000000-0005-0000-0000-00001C300000}"/>
    <cellStyle name="Normal 13 4 2 3 7" xfId="8623" xr:uid="{00000000-0005-0000-0000-00001D300000}"/>
    <cellStyle name="Normal 13 4 2 3 8" xfId="8624" xr:uid="{00000000-0005-0000-0000-00001E300000}"/>
    <cellStyle name="Normal 13 4 2 3 9" xfId="8625" xr:uid="{00000000-0005-0000-0000-00001F300000}"/>
    <cellStyle name="Normal 13 4 2 4" xfId="8626" xr:uid="{00000000-0005-0000-0000-000020300000}"/>
    <cellStyle name="Normal 13 4 2 4 2" xfId="8627" xr:uid="{00000000-0005-0000-0000-000021300000}"/>
    <cellStyle name="Normal 13 4 2 4 2 2" xfId="8628" xr:uid="{00000000-0005-0000-0000-000022300000}"/>
    <cellStyle name="Normal 13 4 2 4 2 2 2" xfId="8629" xr:uid="{00000000-0005-0000-0000-000023300000}"/>
    <cellStyle name="Normal 13 4 2 4 2 2 2 2" xfId="49718" xr:uid="{00000000-0005-0000-0000-000024300000}"/>
    <cellStyle name="Normal 13 4 2 4 2 2 2 3" xfId="49719" xr:uid="{00000000-0005-0000-0000-000025300000}"/>
    <cellStyle name="Normal 13 4 2 4 2 2 3" xfId="8630" xr:uid="{00000000-0005-0000-0000-000026300000}"/>
    <cellStyle name="Normal 13 4 2 4 2 2 3 2" xfId="49720" xr:uid="{00000000-0005-0000-0000-000027300000}"/>
    <cellStyle name="Normal 13 4 2 4 2 2 4" xfId="8631" xr:uid="{00000000-0005-0000-0000-000028300000}"/>
    <cellStyle name="Normal 13 4 2 4 2 2 5" xfId="8632" xr:uid="{00000000-0005-0000-0000-000029300000}"/>
    <cellStyle name="Normal 13 4 2 4 2 2 6" xfId="8633" xr:uid="{00000000-0005-0000-0000-00002A300000}"/>
    <cellStyle name="Normal 13 4 2 4 2 3" xfId="8634" xr:uid="{00000000-0005-0000-0000-00002B300000}"/>
    <cellStyle name="Normal 13 4 2 4 2 3 2" xfId="49721" xr:uid="{00000000-0005-0000-0000-00002C300000}"/>
    <cellStyle name="Normal 13 4 2 4 2 3 3" xfId="49722" xr:uid="{00000000-0005-0000-0000-00002D300000}"/>
    <cellStyle name="Normal 13 4 2 4 2 4" xfId="8635" xr:uid="{00000000-0005-0000-0000-00002E300000}"/>
    <cellStyle name="Normal 13 4 2 4 2 4 2" xfId="49723" xr:uid="{00000000-0005-0000-0000-00002F300000}"/>
    <cellStyle name="Normal 13 4 2 4 2 5" xfId="8636" xr:uid="{00000000-0005-0000-0000-000030300000}"/>
    <cellStyle name="Normal 13 4 2 4 2 6" xfId="8637" xr:uid="{00000000-0005-0000-0000-000031300000}"/>
    <cellStyle name="Normal 13 4 2 4 2 7" xfId="8638" xr:uid="{00000000-0005-0000-0000-000032300000}"/>
    <cellStyle name="Normal 13 4 2 4 3" xfId="8639" xr:uid="{00000000-0005-0000-0000-000033300000}"/>
    <cellStyle name="Normal 13 4 2 4 3 2" xfId="8640" xr:uid="{00000000-0005-0000-0000-000034300000}"/>
    <cellStyle name="Normal 13 4 2 4 3 2 2" xfId="49724" xr:uid="{00000000-0005-0000-0000-000035300000}"/>
    <cellStyle name="Normal 13 4 2 4 3 2 3" xfId="49725" xr:uid="{00000000-0005-0000-0000-000036300000}"/>
    <cellStyle name="Normal 13 4 2 4 3 3" xfId="8641" xr:uid="{00000000-0005-0000-0000-000037300000}"/>
    <cellStyle name="Normal 13 4 2 4 3 3 2" xfId="49726" xr:uid="{00000000-0005-0000-0000-000038300000}"/>
    <cellStyle name="Normal 13 4 2 4 3 4" xfId="8642" xr:uid="{00000000-0005-0000-0000-000039300000}"/>
    <cellStyle name="Normal 13 4 2 4 3 5" xfId="8643" xr:uid="{00000000-0005-0000-0000-00003A300000}"/>
    <cellStyle name="Normal 13 4 2 4 3 6" xfId="8644" xr:uid="{00000000-0005-0000-0000-00003B300000}"/>
    <cellStyle name="Normal 13 4 2 4 4" xfId="8645" xr:uid="{00000000-0005-0000-0000-00003C300000}"/>
    <cellStyle name="Normal 13 4 2 4 4 2" xfId="49727" xr:uid="{00000000-0005-0000-0000-00003D300000}"/>
    <cellStyle name="Normal 13 4 2 4 4 3" xfId="49728" xr:uid="{00000000-0005-0000-0000-00003E300000}"/>
    <cellStyle name="Normal 13 4 2 4 5" xfId="8646" xr:uid="{00000000-0005-0000-0000-00003F300000}"/>
    <cellStyle name="Normal 13 4 2 4 5 2" xfId="49729" xr:uid="{00000000-0005-0000-0000-000040300000}"/>
    <cellStyle name="Normal 13 4 2 4 6" xfId="8647" xr:uid="{00000000-0005-0000-0000-000041300000}"/>
    <cellStyle name="Normal 13 4 2 4 7" xfId="8648" xr:uid="{00000000-0005-0000-0000-000042300000}"/>
    <cellStyle name="Normal 13 4 2 4 8" xfId="8649" xr:uid="{00000000-0005-0000-0000-000043300000}"/>
    <cellStyle name="Normal 13 4 2 5" xfId="8650" xr:uid="{00000000-0005-0000-0000-000044300000}"/>
    <cellStyle name="Normal 13 4 2 5 2" xfId="8651" xr:uid="{00000000-0005-0000-0000-000045300000}"/>
    <cellStyle name="Normal 13 4 2 5 2 2" xfId="8652" xr:uid="{00000000-0005-0000-0000-000046300000}"/>
    <cellStyle name="Normal 13 4 2 5 2 2 2" xfId="49730" xr:uid="{00000000-0005-0000-0000-000047300000}"/>
    <cellStyle name="Normal 13 4 2 5 2 2 3" xfId="49731" xr:uid="{00000000-0005-0000-0000-000048300000}"/>
    <cellStyle name="Normal 13 4 2 5 2 3" xfId="8653" xr:uid="{00000000-0005-0000-0000-000049300000}"/>
    <cellStyle name="Normal 13 4 2 5 2 3 2" xfId="49732" xr:uid="{00000000-0005-0000-0000-00004A300000}"/>
    <cellStyle name="Normal 13 4 2 5 2 4" xfId="8654" xr:uid="{00000000-0005-0000-0000-00004B300000}"/>
    <cellStyle name="Normal 13 4 2 5 2 5" xfId="8655" xr:uid="{00000000-0005-0000-0000-00004C300000}"/>
    <cellStyle name="Normal 13 4 2 5 2 6" xfId="8656" xr:uid="{00000000-0005-0000-0000-00004D300000}"/>
    <cellStyle name="Normal 13 4 2 5 3" xfId="8657" xr:uid="{00000000-0005-0000-0000-00004E300000}"/>
    <cellStyle name="Normal 13 4 2 5 3 2" xfId="49733" xr:uid="{00000000-0005-0000-0000-00004F300000}"/>
    <cellStyle name="Normal 13 4 2 5 3 3" xfId="49734" xr:uid="{00000000-0005-0000-0000-000050300000}"/>
    <cellStyle name="Normal 13 4 2 5 4" xfId="8658" xr:uid="{00000000-0005-0000-0000-000051300000}"/>
    <cellStyle name="Normal 13 4 2 5 4 2" xfId="49735" xr:uid="{00000000-0005-0000-0000-000052300000}"/>
    <cellStyle name="Normal 13 4 2 5 5" xfId="8659" xr:uid="{00000000-0005-0000-0000-000053300000}"/>
    <cellStyle name="Normal 13 4 2 5 6" xfId="8660" xr:uid="{00000000-0005-0000-0000-000054300000}"/>
    <cellStyle name="Normal 13 4 2 5 7" xfId="8661" xr:uid="{00000000-0005-0000-0000-000055300000}"/>
    <cellStyle name="Normal 13 4 2 6" xfId="8662" xr:uid="{00000000-0005-0000-0000-000056300000}"/>
    <cellStyle name="Normal 13 4 2 6 2" xfId="8663" xr:uid="{00000000-0005-0000-0000-000057300000}"/>
    <cellStyle name="Normal 13 4 2 6 2 2" xfId="49736" xr:uid="{00000000-0005-0000-0000-000058300000}"/>
    <cellStyle name="Normal 13 4 2 6 2 3" xfId="49737" xr:uid="{00000000-0005-0000-0000-000059300000}"/>
    <cellStyle name="Normal 13 4 2 6 3" xfId="8664" xr:uid="{00000000-0005-0000-0000-00005A300000}"/>
    <cellStyle name="Normal 13 4 2 6 3 2" xfId="49738" xr:uid="{00000000-0005-0000-0000-00005B300000}"/>
    <cellStyle name="Normal 13 4 2 6 4" xfId="8665" xr:uid="{00000000-0005-0000-0000-00005C300000}"/>
    <cellStyle name="Normal 13 4 2 6 5" xfId="8666" xr:uid="{00000000-0005-0000-0000-00005D300000}"/>
    <cellStyle name="Normal 13 4 2 6 6" xfId="8667" xr:uid="{00000000-0005-0000-0000-00005E300000}"/>
    <cellStyle name="Normal 13 4 2 7" xfId="8668" xr:uid="{00000000-0005-0000-0000-00005F300000}"/>
    <cellStyle name="Normal 13 4 2 7 2" xfId="49739" xr:uid="{00000000-0005-0000-0000-000060300000}"/>
    <cellStyle name="Normal 13 4 2 7 3" xfId="49740" xr:uid="{00000000-0005-0000-0000-000061300000}"/>
    <cellStyle name="Normal 13 4 2 8" xfId="8669" xr:uid="{00000000-0005-0000-0000-000062300000}"/>
    <cellStyle name="Normal 13 4 2 8 2" xfId="49741" xr:uid="{00000000-0005-0000-0000-000063300000}"/>
    <cellStyle name="Normal 13 4 2 9" xfId="8670" xr:uid="{00000000-0005-0000-0000-000064300000}"/>
    <cellStyle name="Normal 13 4 2 9 2" xfId="49742" xr:uid="{00000000-0005-0000-0000-000065300000}"/>
    <cellStyle name="Normal 13 4 20" xfId="8671" xr:uid="{00000000-0005-0000-0000-000066300000}"/>
    <cellStyle name="Normal 13 4 3" xfId="8672" xr:uid="{00000000-0005-0000-0000-000067300000}"/>
    <cellStyle name="Normal 13 4 3 10" xfId="8673" xr:uid="{00000000-0005-0000-0000-000068300000}"/>
    <cellStyle name="Normal 13 4 3 11" xfId="8674" xr:uid="{00000000-0005-0000-0000-000069300000}"/>
    <cellStyle name="Normal 13 4 3 12" xfId="8675" xr:uid="{00000000-0005-0000-0000-00006A300000}"/>
    <cellStyle name="Normal 13 4 3 13" xfId="8676" xr:uid="{00000000-0005-0000-0000-00006B300000}"/>
    <cellStyle name="Normal 13 4 3 14" xfId="8677" xr:uid="{00000000-0005-0000-0000-00006C300000}"/>
    <cellStyle name="Normal 13 4 3 15" xfId="8678" xr:uid="{00000000-0005-0000-0000-00006D300000}"/>
    <cellStyle name="Normal 13 4 3 2" xfId="8679" xr:uid="{00000000-0005-0000-0000-00006E300000}"/>
    <cellStyle name="Normal 13 4 3 2 10" xfId="8680" xr:uid="{00000000-0005-0000-0000-00006F300000}"/>
    <cellStyle name="Normal 13 4 3 2 11" xfId="8681" xr:uid="{00000000-0005-0000-0000-000070300000}"/>
    <cellStyle name="Normal 13 4 3 2 12" xfId="8682" xr:uid="{00000000-0005-0000-0000-000071300000}"/>
    <cellStyle name="Normal 13 4 3 2 13" xfId="8683" xr:uid="{00000000-0005-0000-0000-000072300000}"/>
    <cellStyle name="Normal 13 4 3 2 14" xfId="8684" xr:uid="{00000000-0005-0000-0000-000073300000}"/>
    <cellStyle name="Normal 13 4 3 2 2" xfId="8685" xr:uid="{00000000-0005-0000-0000-000074300000}"/>
    <cellStyle name="Normal 13 4 3 2 2 2" xfId="8686" xr:uid="{00000000-0005-0000-0000-000075300000}"/>
    <cellStyle name="Normal 13 4 3 2 2 2 2" xfId="8687" xr:uid="{00000000-0005-0000-0000-000076300000}"/>
    <cellStyle name="Normal 13 4 3 2 2 2 2 2" xfId="8688" xr:uid="{00000000-0005-0000-0000-000077300000}"/>
    <cellStyle name="Normal 13 4 3 2 2 2 2 2 2" xfId="49743" xr:uid="{00000000-0005-0000-0000-000078300000}"/>
    <cellStyle name="Normal 13 4 3 2 2 2 2 2 3" xfId="49744" xr:uid="{00000000-0005-0000-0000-000079300000}"/>
    <cellStyle name="Normal 13 4 3 2 2 2 2 3" xfId="8689" xr:uid="{00000000-0005-0000-0000-00007A300000}"/>
    <cellStyle name="Normal 13 4 3 2 2 2 2 3 2" xfId="49745" xr:uid="{00000000-0005-0000-0000-00007B300000}"/>
    <cellStyle name="Normal 13 4 3 2 2 2 2 4" xfId="8690" xr:uid="{00000000-0005-0000-0000-00007C300000}"/>
    <cellStyle name="Normal 13 4 3 2 2 2 2 5" xfId="8691" xr:uid="{00000000-0005-0000-0000-00007D300000}"/>
    <cellStyle name="Normal 13 4 3 2 2 2 2 6" xfId="8692" xr:uid="{00000000-0005-0000-0000-00007E300000}"/>
    <cellStyle name="Normal 13 4 3 2 2 2 3" xfId="8693" xr:uid="{00000000-0005-0000-0000-00007F300000}"/>
    <cellStyle name="Normal 13 4 3 2 2 2 3 2" xfId="49746" xr:uid="{00000000-0005-0000-0000-000080300000}"/>
    <cellStyle name="Normal 13 4 3 2 2 2 3 3" xfId="49747" xr:uid="{00000000-0005-0000-0000-000081300000}"/>
    <cellStyle name="Normal 13 4 3 2 2 2 4" xfId="8694" xr:uid="{00000000-0005-0000-0000-000082300000}"/>
    <cellStyle name="Normal 13 4 3 2 2 2 4 2" xfId="49748" xr:uid="{00000000-0005-0000-0000-000083300000}"/>
    <cellStyle name="Normal 13 4 3 2 2 2 5" xfId="8695" xr:uid="{00000000-0005-0000-0000-000084300000}"/>
    <cellStyle name="Normal 13 4 3 2 2 2 6" xfId="8696" xr:uid="{00000000-0005-0000-0000-000085300000}"/>
    <cellStyle name="Normal 13 4 3 2 2 2 7" xfId="8697" xr:uid="{00000000-0005-0000-0000-000086300000}"/>
    <cellStyle name="Normal 13 4 3 2 2 3" xfId="8698" xr:uid="{00000000-0005-0000-0000-000087300000}"/>
    <cellStyle name="Normal 13 4 3 2 2 3 2" xfId="8699" xr:uid="{00000000-0005-0000-0000-000088300000}"/>
    <cellStyle name="Normal 13 4 3 2 2 3 2 2" xfId="49749" xr:uid="{00000000-0005-0000-0000-000089300000}"/>
    <cellStyle name="Normal 13 4 3 2 2 3 2 3" xfId="49750" xr:uid="{00000000-0005-0000-0000-00008A300000}"/>
    <cellStyle name="Normal 13 4 3 2 2 3 3" xfId="8700" xr:uid="{00000000-0005-0000-0000-00008B300000}"/>
    <cellStyle name="Normal 13 4 3 2 2 3 3 2" xfId="49751" xr:uid="{00000000-0005-0000-0000-00008C300000}"/>
    <cellStyle name="Normal 13 4 3 2 2 3 4" xfId="8701" xr:uid="{00000000-0005-0000-0000-00008D300000}"/>
    <cellStyle name="Normal 13 4 3 2 2 3 5" xfId="8702" xr:uid="{00000000-0005-0000-0000-00008E300000}"/>
    <cellStyle name="Normal 13 4 3 2 2 3 6" xfId="8703" xr:uid="{00000000-0005-0000-0000-00008F300000}"/>
    <cellStyle name="Normal 13 4 3 2 2 4" xfId="8704" xr:uid="{00000000-0005-0000-0000-000090300000}"/>
    <cellStyle name="Normal 13 4 3 2 2 4 2" xfId="49752" xr:uid="{00000000-0005-0000-0000-000091300000}"/>
    <cellStyle name="Normal 13 4 3 2 2 4 3" xfId="49753" xr:uid="{00000000-0005-0000-0000-000092300000}"/>
    <cellStyle name="Normal 13 4 3 2 2 5" xfId="8705" xr:uid="{00000000-0005-0000-0000-000093300000}"/>
    <cellStyle name="Normal 13 4 3 2 2 5 2" xfId="49754" xr:uid="{00000000-0005-0000-0000-000094300000}"/>
    <cellStyle name="Normal 13 4 3 2 2 6" xfId="8706" xr:uid="{00000000-0005-0000-0000-000095300000}"/>
    <cellStyle name="Normal 13 4 3 2 2 7" xfId="8707" xr:uid="{00000000-0005-0000-0000-000096300000}"/>
    <cellStyle name="Normal 13 4 3 2 2 8" xfId="8708" xr:uid="{00000000-0005-0000-0000-000097300000}"/>
    <cellStyle name="Normal 13 4 3 2 2 9" xfId="8709" xr:uid="{00000000-0005-0000-0000-000098300000}"/>
    <cellStyle name="Normal 13 4 3 2 3" xfId="8710" xr:uid="{00000000-0005-0000-0000-000099300000}"/>
    <cellStyle name="Normal 13 4 3 2 3 2" xfId="8711" xr:uid="{00000000-0005-0000-0000-00009A300000}"/>
    <cellStyle name="Normal 13 4 3 2 3 2 2" xfId="8712" xr:uid="{00000000-0005-0000-0000-00009B300000}"/>
    <cellStyle name="Normal 13 4 3 2 3 2 2 2" xfId="8713" xr:uid="{00000000-0005-0000-0000-00009C300000}"/>
    <cellStyle name="Normal 13 4 3 2 3 2 2 2 2" xfId="49755" xr:uid="{00000000-0005-0000-0000-00009D300000}"/>
    <cellStyle name="Normal 13 4 3 2 3 2 2 2 3" xfId="49756" xr:uid="{00000000-0005-0000-0000-00009E300000}"/>
    <cellStyle name="Normal 13 4 3 2 3 2 2 3" xfId="8714" xr:uid="{00000000-0005-0000-0000-00009F300000}"/>
    <cellStyle name="Normal 13 4 3 2 3 2 2 3 2" xfId="49757" xr:uid="{00000000-0005-0000-0000-0000A0300000}"/>
    <cellStyle name="Normal 13 4 3 2 3 2 2 4" xfId="8715" xr:uid="{00000000-0005-0000-0000-0000A1300000}"/>
    <cellStyle name="Normal 13 4 3 2 3 2 2 5" xfId="8716" xr:uid="{00000000-0005-0000-0000-0000A2300000}"/>
    <cellStyle name="Normal 13 4 3 2 3 2 2 6" xfId="8717" xr:uid="{00000000-0005-0000-0000-0000A3300000}"/>
    <cellStyle name="Normal 13 4 3 2 3 2 3" xfId="8718" xr:uid="{00000000-0005-0000-0000-0000A4300000}"/>
    <cellStyle name="Normal 13 4 3 2 3 2 3 2" xfId="49758" xr:uid="{00000000-0005-0000-0000-0000A5300000}"/>
    <cellStyle name="Normal 13 4 3 2 3 2 3 3" xfId="49759" xr:uid="{00000000-0005-0000-0000-0000A6300000}"/>
    <cellStyle name="Normal 13 4 3 2 3 2 4" xfId="8719" xr:uid="{00000000-0005-0000-0000-0000A7300000}"/>
    <cellStyle name="Normal 13 4 3 2 3 2 4 2" xfId="49760" xr:uid="{00000000-0005-0000-0000-0000A8300000}"/>
    <cellStyle name="Normal 13 4 3 2 3 2 5" xfId="8720" xr:uid="{00000000-0005-0000-0000-0000A9300000}"/>
    <cellStyle name="Normal 13 4 3 2 3 2 6" xfId="8721" xr:uid="{00000000-0005-0000-0000-0000AA300000}"/>
    <cellStyle name="Normal 13 4 3 2 3 2 7" xfId="8722" xr:uid="{00000000-0005-0000-0000-0000AB300000}"/>
    <cellStyle name="Normal 13 4 3 2 3 3" xfId="8723" xr:uid="{00000000-0005-0000-0000-0000AC300000}"/>
    <cellStyle name="Normal 13 4 3 2 3 3 2" xfId="8724" xr:uid="{00000000-0005-0000-0000-0000AD300000}"/>
    <cellStyle name="Normal 13 4 3 2 3 3 2 2" xfId="49761" xr:uid="{00000000-0005-0000-0000-0000AE300000}"/>
    <cellStyle name="Normal 13 4 3 2 3 3 2 3" xfId="49762" xr:uid="{00000000-0005-0000-0000-0000AF300000}"/>
    <cellStyle name="Normal 13 4 3 2 3 3 3" xfId="8725" xr:uid="{00000000-0005-0000-0000-0000B0300000}"/>
    <cellStyle name="Normal 13 4 3 2 3 3 3 2" xfId="49763" xr:uid="{00000000-0005-0000-0000-0000B1300000}"/>
    <cellStyle name="Normal 13 4 3 2 3 3 4" xfId="8726" xr:uid="{00000000-0005-0000-0000-0000B2300000}"/>
    <cellStyle name="Normal 13 4 3 2 3 3 5" xfId="8727" xr:uid="{00000000-0005-0000-0000-0000B3300000}"/>
    <cellStyle name="Normal 13 4 3 2 3 3 6" xfId="8728" xr:uid="{00000000-0005-0000-0000-0000B4300000}"/>
    <cellStyle name="Normal 13 4 3 2 3 4" xfId="8729" xr:uid="{00000000-0005-0000-0000-0000B5300000}"/>
    <cellStyle name="Normal 13 4 3 2 3 4 2" xfId="49764" xr:uid="{00000000-0005-0000-0000-0000B6300000}"/>
    <cellStyle name="Normal 13 4 3 2 3 4 3" xfId="49765" xr:uid="{00000000-0005-0000-0000-0000B7300000}"/>
    <cellStyle name="Normal 13 4 3 2 3 5" xfId="8730" xr:uid="{00000000-0005-0000-0000-0000B8300000}"/>
    <cellStyle name="Normal 13 4 3 2 3 5 2" xfId="49766" xr:uid="{00000000-0005-0000-0000-0000B9300000}"/>
    <cellStyle name="Normal 13 4 3 2 3 6" xfId="8731" xr:uid="{00000000-0005-0000-0000-0000BA300000}"/>
    <cellStyle name="Normal 13 4 3 2 3 7" xfId="8732" xr:uid="{00000000-0005-0000-0000-0000BB300000}"/>
    <cellStyle name="Normal 13 4 3 2 3 8" xfId="8733" xr:uid="{00000000-0005-0000-0000-0000BC300000}"/>
    <cellStyle name="Normal 13 4 3 2 4" xfId="8734" xr:uid="{00000000-0005-0000-0000-0000BD300000}"/>
    <cellStyle name="Normal 13 4 3 2 4 2" xfId="8735" xr:uid="{00000000-0005-0000-0000-0000BE300000}"/>
    <cellStyle name="Normal 13 4 3 2 4 2 2" xfId="8736" xr:uid="{00000000-0005-0000-0000-0000BF300000}"/>
    <cellStyle name="Normal 13 4 3 2 4 2 2 2" xfId="49767" xr:uid="{00000000-0005-0000-0000-0000C0300000}"/>
    <cellStyle name="Normal 13 4 3 2 4 2 2 3" xfId="49768" xr:uid="{00000000-0005-0000-0000-0000C1300000}"/>
    <cellStyle name="Normal 13 4 3 2 4 2 3" xfId="8737" xr:uid="{00000000-0005-0000-0000-0000C2300000}"/>
    <cellStyle name="Normal 13 4 3 2 4 2 3 2" xfId="49769" xr:uid="{00000000-0005-0000-0000-0000C3300000}"/>
    <cellStyle name="Normal 13 4 3 2 4 2 4" xfId="8738" xr:uid="{00000000-0005-0000-0000-0000C4300000}"/>
    <cellStyle name="Normal 13 4 3 2 4 2 5" xfId="8739" xr:uid="{00000000-0005-0000-0000-0000C5300000}"/>
    <cellStyle name="Normal 13 4 3 2 4 2 6" xfId="8740" xr:uid="{00000000-0005-0000-0000-0000C6300000}"/>
    <cellStyle name="Normal 13 4 3 2 4 3" xfId="8741" xr:uid="{00000000-0005-0000-0000-0000C7300000}"/>
    <cellStyle name="Normal 13 4 3 2 4 3 2" xfId="49770" xr:uid="{00000000-0005-0000-0000-0000C8300000}"/>
    <cellStyle name="Normal 13 4 3 2 4 3 3" xfId="49771" xr:uid="{00000000-0005-0000-0000-0000C9300000}"/>
    <cellStyle name="Normal 13 4 3 2 4 4" xfId="8742" xr:uid="{00000000-0005-0000-0000-0000CA300000}"/>
    <cellStyle name="Normal 13 4 3 2 4 4 2" xfId="49772" xr:uid="{00000000-0005-0000-0000-0000CB300000}"/>
    <cellStyle name="Normal 13 4 3 2 4 5" xfId="8743" xr:uid="{00000000-0005-0000-0000-0000CC300000}"/>
    <cellStyle name="Normal 13 4 3 2 4 6" xfId="8744" xr:uid="{00000000-0005-0000-0000-0000CD300000}"/>
    <cellStyle name="Normal 13 4 3 2 4 7" xfId="8745" xr:uid="{00000000-0005-0000-0000-0000CE300000}"/>
    <cellStyle name="Normal 13 4 3 2 5" xfId="8746" xr:uid="{00000000-0005-0000-0000-0000CF300000}"/>
    <cellStyle name="Normal 13 4 3 2 5 2" xfId="8747" xr:uid="{00000000-0005-0000-0000-0000D0300000}"/>
    <cellStyle name="Normal 13 4 3 2 5 2 2" xfId="49773" xr:uid="{00000000-0005-0000-0000-0000D1300000}"/>
    <cellStyle name="Normal 13 4 3 2 5 2 3" xfId="49774" xr:uid="{00000000-0005-0000-0000-0000D2300000}"/>
    <cellStyle name="Normal 13 4 3 2 5 3" xfId="8748" xr:uid="{00000000-0005-0000-0000-0000D3300000}"/>
    <cellStyle name="Normal 13 4 3 2 5 3 2" xfId="49775" xr:uid="{00000000-0005-0000-0000-0000D4300000}"/>
    <cellStyle name="Normal 13 4 3 2 5 4" xfId="8749" xr:uid="{00000000-0005-0000-0000-0000D5300000}"/>
    <cellStyle name="Normal 13 4 3 2 5 5" xfId="8750" xr:uid="{00000000-0005-0000-0000-0000D6300000}"/>
    <cellStyle name="Normal 13 4 3 2 5 6" xfId="8751" xr:uid="{00000000-0005-0000-0000-0000D7300000}"/>
    <cellStyle name="Normal 13 4 3 2 6" xfId="8752" xr:uid="{00000000-0005-0000-0000-0000D8300000}"/>
    <cellStyle name="Normal 13 4 3 2 6 2" xfId="49776" xr:uid="{00000000-0005-0000-0000-0000D9300000}"/>
    <cellStyle name="Normal 13 4 3 2 6 3" xfId="49777" xr:uid="{00000000-0005-0000-0000-0000DA300000}"/>
    <cellStyle name="Normal 13 4 3 2 7" xfId="8753" xr:uid="{00000000-0005-0000-0000-0000DB300000}"/>
    <cellStyle name="Normal 13 4 3 2 7 2" xfId="49778" xr:uid="{00000000-0005-0000-0000-0000DC300000}"/>
    <cellStyle name="Normal 13 4 3 2 8" xfId="8754" xr:uid="{00000000-0005-0000-0000-0000DD300000}"/>
    <cellStyle name="Normal 13 4 3 2 9" xfId="8755" xr:uid="{00000000-0005-0000-0000-0000DE300000}"/>
    <cellStyle name="Normal 13 4 3 3" xfId="8756" xr:uid="{00000000-0005-0000-0000-0000DF300000}"/>
    <cellStyle name="Normal 13 4 3 3 2" xfId="8757" xr:uid="{00000000-0005-0000-0000-0000E0300000}"/>
    <cellStyle name="Normal 13 4 3 3 2 2" xfId="8758" xr:uid="{00000000-0005-0000-0000-0000E1300000}"/>
    <cellStyle name="Normal 13 4 3 3 2 2 2" xfId="8759" xr:uid="{00000000-0005-0000-0000-0000E2300000}"/>
    <cellStyle name="Normal 13 4 3 3 2 2 2 2" xfId="49779" xr:uid="{00000000-0005-0000-0000-0000E3300000}"/>
    <cellStyle name="Normal 13 4 3 3 2 2 2 3" xfId="49780" xr:uid="{00000000-0005-0000-0000-0000E4300000}"/>
    <cellStyle name="Normal 13 4 3 3 2 2 3" xfId="8760" xr:uid="{00000000-0005-0000-0000-0000E5300000}"/>
    <cellStyle name="Normal 13 4 3 3 2 2 3 2" xfId="49781" xr:uid="{00000000-0005-0000-0000-0000E6300000}"/>
    <cellStyle name="Normal 13 4 3 3 2 2 4" xfId="8761" xr:uid="{00000000-0005-0000-0000-0000E7300000}"/>
    <cellStyle name="Normal 13 4 3 3 2 2 5" xfId="8762" xr:uid="{00000000-0005-0000-0000-0000E8300000}"/>
    <cellStyle name="Normal 13 4 3 3 2 2 6" xfId="8763" xr:uid="{00000000-0005-0000-0000-0000E9300000}"/>
    <cellStyle name="Normal 13 4 3 3 2 3" xfId="8764" xr:uid="{00000000-0005-0000-0000-0000EA300000}"/>
    <cellStyle name="Normal 13 4 3 3 2 3 2" xfId="49782" xr:uid="{00000000-0005-0000-0000-0000EB300000}"/>
    <cellStyle name="Normal 13 4 3 3 2 3 3" xfId="49783" xr:uid="{00000000-0005-0000-0000-0000EC300000}"/>
    <cellStyle name="Normal 13 4 3 3 2 4" xfId="8765" xr:uid="{00000000-0005-0000-0000-0000ED300000}"/>
    <cellStyle name="Normal 13 4 3 3 2 4 2" xfId="49784" xr:uid="{00000000-0005-0000-0000-0000EE300000}"/>
    <cellStyle name="Normal 13 4 3 3 2 5" xfId="8766" xr:uid="{00000000-0005-0000-0000-0000EF300000}"/>
    <cellStyle name="Normal 13 4 3 3 2 6" xfId="8767" xr:uid="{00000000-0005-0000-0000-0000F0300000}"/>
    <cellStyle name="Normal 13 4 3 3 2 7" xfId="8768" xr:uid="{00000000-0005-0000-0000-0000F1300000}"/>
    <cellStyle name="Normal 13 4 3 3 3" xfId="8769" xr:uid="{00000000-0005-0000-0000-0000F2300000}"/>
    <cellStyle name="Normal 13 4 3 3 3 2" xfId="8770" xr:uid="{00000000-0005-0000-0000-0000F3300000}"/>
    <cellStyle name="Normal 13 4 3 3 3 2 2" xfId="49785" xr:uid="{00000000-0005-0000-0000-0000F4300000}"/>
    <cellStyle name="Normal 13 4 3 3 3 2 3" xfId="49786" xr:uid="{00000000-0005-0000-0000-0000F5300000}"/>
    <cellStyle name="Normal 13 4 3 3 3 3" xfId="8771" xr:uid="{00000000-0005-0000-0000-0000F6300000}"/>
    <cellStyle name="Normal 13 4 3 3 3 3 2" xfId="49787" xr:uid="{00000000-0005-0000-0000-0000F7300000}"/>
    <cellStyle name="Normal 13 4 3 3 3 4" xfId="8772" xr:uid="{00000000-0005-0000-0000-0000F8300000}"/>
    <cellStyle name="Normal 13 4 3 3 3 5" xfId="8773" xr:uid="{00000000-0005-0000-0000-0000F9300000}"/>
    <cellStyle name="Normal 13 4 3 3 3 6" xfId="8774" xr:uid="{00000000-0005-0000-0000-0000FA300000}"/>
    <cellStyle name="Normal 13 4 3 3 4" xfId="8775" xr:uid="{00000000-0005-0000-0000-0000FB300000}"/>
    <cellStyle name="Normal 13 4 3 3 4 2" xfId="49788" xr:uid="{00000000-0005-0000-0000-0000FC300000}"/>
    <cellStyle name="Normal 13 4 3 3 4 3" xfId="49789" xr:uid="{00000000-0005-0000-0000-0000FD300000}"/>
    <cellStyle name="Normal 13 4 3 3 5" xfId="8776" xr:uid="{00000000-0005-0000-0000-0000FE300000}"/>
    <cellStyle name="Normal 13 4 3 3 5 2" xfId="49790" xr:uid="{00000000-0005-0000-0000-0000FF300000}"/>
    <cellStyle name="Normal 13 4 3 3 6" xfId="8777" xr:uid="{00000000-0005-0000-0000-000000310000}"/>
    <cellStyle name="Normal 13 4 3 3 7" xfId="8778" xr:uid="{00000000-0005-0000-0000-000001310000}"/>
    <cellStyle name="Normal 13 4 3 3 8" xfId="8779" xr:uid="{00000000-0005-0000-0000-000002310000}"/>
    <cellStyle name="Normal 13 4 3 3 9" xfId="8780" xr:uid="{00000000-0005-0000-0000-000003310000}"/>
    <cellStyle name="Normal 13 4 3 4" xfId="8781" xr:uid="{00000000-0005-0000-0000-000004310000}"/>
    <cellStyle name="Normal 13 4 3 4 2" xfId="8782" xr:uid="{00000000-0005-0000-0000-000005310000}"/>
    <cellStyle name="Normal 13 4 3 4 2 2" xfId="8783" xr:uid="{00000000-0005-0000-0000-000006310000}"/>
    <cellStyle name="Normal 13 4 3 4 2 2 2" xfId="8784" xr:uid="{00000000-0005-0000-0000-000007310000}"/>
    <cellStyle name="Normal 13 4 3 4 2 2 2 2" xfId="49791" xr:uid="{00000000-0005-0000-0000-000008310000}"/>
    <cellStyle name="Normal 13 4 3 4 2 2 2 3" xfId="49792" xr:uid="{00000000-0005-0000-0000-000009310000}"/>
    <cellStyle name="Normal 13 4 3 4 2 2 3" xfId="8785" xr:uid="{00000000-0005-0000-0000-00000A310000}"/>
    <cellStyle name="Normal 13 4 3 4 2 2 3 2" xfId="49793" xr:uid="{00000000-0005-0000-0000-00000B310000}"/>
    <cellStyle name="Normal 13 4 3 4 2 2 4" xfId="8786" xr:uid="{00000000-0005-0000-0000-00000C310000}"/>
    <cellStyle name="Normal 13 4 3 4 2 2 5" xfId="8787" xr:uid="{00000000-0005-0000-0000-00000D310000}"/>
    <cellStyle name="Normal 13 4 3 4 2 2 6" xfId="8788" xr:uid="{00000000-0005-0000-0000-00000E310000}"/>
    <cellStyle name="Normal 13 4 3 4 2 3" xfId="8789" xr:uid="{00000000-0005-0000-0000-00000F310000}"/>
    <cellStyle name="Normal 13 4 3 4 2 3 2" xfId="49794" xr:uid="{00000000-0005-0000-0000-000010310000}"/>
    <cellStyle name="Normal 13 4 3 4 2 3 3" xfId="49795" xr:uid="{00000000-0005-0000-0000-000011310000}"/>
    <cellStyle name="Normal 13 4 3 4 2 4" xfId="8790" xr:uid="{00000000-0005-0000-0000-000012310000}"/>
    <cellStyle name="Normal 13 4 3 4 2 4 2" xfId="49796" xr:uid="{00000000-0005-0000-0000-000013310000}"/>
    <cellStyle name="Normal 13 4 3 4 2 5" xfId="8791" xr:uid="{00000000-0005-0000-0000-000014310000}"/>
    <cellStyle name="Normal 13 4 3 4 2 6" xfId="8792" xr:uid="{00000000-0005-0000-0000-000015310000}"/>
    <cellStyle name="Normal 13 4 3 4 2 7" xfId="8793" xr:uid="{00000000-0005-0000-0000-000016310000}"/>
    <cellStyle name="Normal 13 4 3 4 3" xfId="8794" xr:uid="{00000000-0005-0000-0000-000017310000}"/>
    <cellStyle name="Normal 13 4 3 4 3 2" xfId="8795" xr:uid="{00000000-0005-0000-0000-000018310000}"/>
    <cellStyle name="Normal 13 4 3 4 3 2 2" xfId="49797" xr:uid="{00000000-0005-0000-0000-000019310000}"/>
    <cellStyle name="Normal 13 4 3 4 3 2 3" xfId="49798" xr:uid="{00000000-0005-0000-0000-00001A310000}"/>
    <cellStyle name="Normal 13 4 3 4 3 3" xfId="8796" xr:uid="{00000000-0005-0000-0000-00001B310000}"/>
    <cellStyle name="Normal 13 4 3 4 3 3 2" xfId="49799" xr:uid="{00000000-0005-0000-0000-00001C310000}"/>
    <cellStyle name="Normal 13 4 3 4 3 4" xfId="8797" xr:uid="{00000000-0005-0000-0000-00001D310000}"/>
    <cellStyle name="Normal 13 4 3 4 3 5" xfId="8798" xr:uid="{00000000-0005-0000-0000-00001E310000}"/>
    <cellStyle name="Normal 13 4 3 4 3 6" xfId="8799" xr:uid="{00000000-0005-0000-0000-00001F310000}"/>
    <cellStyle name="Normal 13 4 3 4 4" xfId="8800" xr:uid="{00000000-0005-0000-0000-000020310000}"/>
    <cellStyle name="Normal 13 4 3 4 4 2" xfId="49800" xr:uid="{00000000-0005-0000-0000-000021310000}"/>
    <cellStyle name="Normal 13 4 3 4 4 3" xfId="49801" xr:uid="{00000000-0005-0000-0000-000022310000}"/>
    <cellStyle name="Normal 13 4 3 4 5" xfId="8801" xr:uid="{00000000-0005-0000-0000-000023310000}"/>
    <cellStyle name="Normal 13 4 3 4 5 2" xfId="49802" xr:uid="{00000000-0005-0000-0000-000024310000}"/>
    <cellStyle name="Normal 13 4 3 4 6" xfId="8802" xr:uid="{00000000-0005-0000-0000-000025310000}"/>
    <cellStyle name="Normal 13 4 3 4 7" xfId="8803" xr:uid="{00000000-0005-0000-0000-000026310000}"/>
    <cellStyle name="Normal 13 4 3 4 8" xfId="8804" xr:uid="{00000000-0005-0000-0000-000027310000}"/>
    <cellStyle name="Normal 13 4 3 5" xfId="8805" xr:uid="{00000000-0005-0000-0000-000028310000}"/>
    <cellStyle name="Normal 13 4 3 5 2" xfId="8806" xr:uid="{00000000-0005-0000-0000-000029310000}"/>
    <cellStyle name="Normal 13 4 3 5 2 2" xfId="8807" xr:uid="{00000000-0005-0000-0000-00002A310000}"/>
    <cellStyle name="Normal 13 4 3 5 2 2 2" xfId="49803" xr:uid="{00000000-0005-0000-0000-00002B310000}"/>
    <cellStyle name="Normal 13 4 3 5 2 2 3" xfId="49804" xr:uid="{00000000-0005-0000-0000-00002C310000}"/>
    <cellStyle name="Normal 13 4 3 5 2 3" xfId="8808" xr:uid="{00000000-0005-0000-0000-00002D310000}"/>
    <cellStyle name="Normal 13 4 3 5 2 3 2" xfId="49805" xr:uid="{00000000-0005-0000-0000-00002E310000}"/>
    <cellStyle name="Normal 13 4 3 5 2 4" xfId="8809" xr:uid="{00000000-0005-0000-0000-00002F310000}"/>
    <cellStyle name="Normal 13 4 3 5 2 5" xfId="8810" xr:uid="{00000000-0005-0000-0000-000030310000}"/>
    <cellStyle name="Normal 13 4 3 5 2 6" xfId="8811" xr:uid="{00000000-0005-0000-0000-000031310000}"/>
    <cellStyle name="Normal 13 4 3 5 3" xfId="8812" xr:uid="{00000000-0005-0000-0000-000032310000}"/>
    <cellStyle name="Normal 13 4 3 5 3 2" xfId="49806" xr:uid="{00000000-0005-0000-0000-000033310000}"/>
    <cellStyle name="Normal 13 4 3 5 3 3" xfId="49807" xr:uid="{00000000-0005-0000-0000-000034310000}"/>
    <cellStyle name="Normal 13 4 3 5 4" xfId="8813" xr:uid="{00000000-0005-0000-0000-000035310000}"/>
    <cellStyle name="Normal 13 4 3 5 4 2" xfId="49808" xr:uid="{00000000-0005-0000-0000-000036310000}"/>
    <cellStyle name="Normal 13 4 3 5 5" xfId="8814" xr:uid="{00000000-0005-0000-0000-000037310000}"/>
    <cellStyle name="Normal 13 4 3 5 6" xfId="8815" xr:uid="{00000000-0005-0000-0000-000038310000}"/>
    <cellStyle name="Normal 13 4 3 5 7" xfId="8816" xr:uid="{00000000-0005-0000-0000-000039310000}"/>
    <cellStyle name="Normal 13 4 3 6" xfId="8817" xr:uid="{00000000-0005-0000-0000-00003A310000}"/>
    <cellStyle name="Normal 13 4 3 6 2" xfId="8818" xr:uid="{00000000-0005-0000-0000-00003B310000}"/>
    <cellStyle name="Normal 13 4 3 6 2 2" xfId="49809" xr:uid="{00000000-0005-0000-0000-00003C310000}"/>
    <cellStyle name="Normal 13 4 3 6 2 3" xfId="49810" xr:uid="{00000000-0005-0000-0000-00003D310000}"/>
    <cellStyle name="Normal 13 4 3 6 3" xfId="8819" xr:uid="{00000000-0005-0000-0000-00003E310000}"/>
    <cellStyle name="Normal 13 4 3 6 3 2" xfId="49811" xr:uid="{00000000-0005-0000-0000-00003F310000}"/>
    <cellStyle name="Normal 13 4 3 6 4" xfId="8820" xr:uid="{00000000-0005-0000-0000-000040310000}"/>
    <cellStyle name="Normal 13 4 3 6 5" xfId="8821" xr:uid="{00000000-0005-0000-0000-000041310000}"/>
    <cellStyle name="Normal 13 4 3 6 6" xfId="8822" xr:uid="{00000000-0005-0000-0000-000042310000}"/>
    <cellStyle name="Normal 13 4 3 7" xfId="8823" xr:uid="{00000000-0005-0000-0000-000043310000}"/>
    <cellStyle name="Normal 13 4 3 7 2" xfId="49812" xr:uid="{00000000-0005-0000-0000-000044310000}"/>
    <cellStyle name="Normal 13 4 3 7 3" xfId="49813" xr:uid="{00000000-0005-0000-0000-000045310000}"/>
    <cellStyle name="Normal 13 4 3 8" xfId="8824" xr:uid="{00000000-0005-0000-0000-000046310000}"/>
    <cellStyle name="Normal 13 4 3 8 2" xfId="49814" xr:uid="{00000000-0005-0000-0000-000047310000}"/>
    <cellStyle name="Normal 13 4 3 9" xfId="8825" xr:uid="{00000000-0005-0000-0000-000048310000}"/>
    <cellStyle name="Normal 13 4 4" xfId="8826" xr:uid="{00000000-0005-0000-0000-000049310000}"/>
    <cellStyle name="Normal 13 4 4 10" xfId="8827" xr:uid="{00000000-0005-0000-0000-00004A310000}"/>
    <cellStyle name="Normal 13 4 4 11" xfId="8828" xr:uid="{00000000-0005-0000-0000-00004B310000}"/>
    <cellStyle name="Normal 13 4 4 12" xfId="8829" xr:uid="{00000000-0005-0000-0000-00004C310000}"/>
    <cellStyle name="Normal 13 4 4 13" xfId="8830" xr:uid="{00000000-0005-0000-0000-00004D310000}"/>
    <cellStyle name="Normal 13 4 4 14" xfId="8831" xr:uid="{00000000-0005-0000-0000-00004E310000}"/>
    <cellStyle name="Normal 13 4 4 2" xfId="8832" xr:uid="{00000000-0005-0000-0000-00004F310000}"/>
    <cellStyle name="Normal 13 4 4 2 2" xfId="8833" xr:uid="{00000000-0005-0000-0000-000050310000}"/>
    <cellStyle name="Normal 13 4 4 2 2 2" xfId="8834" xr:uid="{00000000-0005-0000-0000-000051310000}"/>
    <cellStyle name="Normal 13 4 4 2 2 2 2" xfId="8835" xr:uid="{00000000-0005-0000-0000-000052310000}"/>
    <cellStyle name="Normal 13 4 4 2 2 2 2 2" xfId="49815" xr:uid="{00000000-0005-0000-0000-000053310000}"/>
    <cellStyle name="Normal 13 4 4 2 2 2 2 3" xfId="49816" xr:uid="{00000000-0005-0000-0000-000054310000}"/>
    <cellStyle name="Normal 13 4 4 2 2 2 3" xfId="8836" xr:uid="{00000000-0005-0000-0000-000055310000}"/>
    <cellStyle name="Normal 13 4 4 2 2 2 3 2" xfId="49817" xr:uid="{00000000-0005-0000-0000-000056310000}"/>
    <cellStyle name="Normal 13 4 4 2 2 2 4" xfId="8837" xr:uid="{00000000-0005-0000-0000-000057310000}"/>
    <cellStyle name="Normal 13 4 4 2 2 2 5" xfId="8838" xr:uid="{00000000-0005-0000-0000-000058310000}"/>
    <cellStyle name="Normal 13 4 4 2 2 2 6" xfId="8839" xr:uid="{00000000-0005-0000-0000-000059310000}"/>
    <cellStyle name="Normal 13 4 4 2 2 3" xfId="8840" xr:uid="{00000000-0005-0000-0000-00005A310000}"/>
    <cellStyle name="Normal 13 4 4 2 2 3 2" xfId="49818" xr:uid="{00000000-0005-0000-0000-00005B310000}"/>
    <cellStyle name="Normal 13 4 4 2 2 3 3" xfId="49819" xr:uid="{00000000-0005-0000-0000-00005C310000}"/>
    <cellStyle name="Normal 13 4 4 2 2 4" xfId="8841" xr:uid="{00000000-0005-0000-0000-00005D310000}"/>
    <cellStyle name="Normal 13 4 4 2 2 4 2" xfId="49820" xr:uid="{00000000-0005-0000-0000-00005E310000}"/>
    <cellStyle name="Normal 13 4 4 2 2 5" xfId="8842" xr:uid="{00000000-0005-0000-0000-00005F310000}"/>
    <cellStyle name="Normal 13 4 4 2 2 6" xfId="8843" xr:uid="{00000000-0005-0000-0000-000060310000}"/>
    <cellStyle name="Normal 13 4 4 2 2 7" xfId="8844" xr:uid="{00000000-0005-0000-0000-000061310000}"/>
    <cellStyle name="Normal 13 4 4 2 3" xfId="8845" xr:uid="{00000000-0005-0000-0000-000062310000}"/>
    <cellStyle name="Normal 13 4 4 2 3 2" xfId="8846" xr:uid="{00000000-0005-0000-0000-000063310000}"/>
    <cellStyle name="Normal 13 4 4 2 3 2 2" xfId="49821" xr:uid="{00000000-0005-0000-0000-000064310000}"/>
    <cellStyle name="Normal 13 4 4 2 3 2 3" xfId="49822" xr:uid="{00000000-0005-0000-0000-000065310000}"/>
    <cellStyle name="Normal 13 4 4 2 3 3" xfId="8847" xr:uid="{00000000-0005-0000-0000-000066310000}"/>
    <cellStyle name="Normal 13 4 4 2 3 3 2" xfId="49823" xr:uid="{00000000-0005-0000-0000-000067310000}"/>
    <cellStyle name="Normal 13 4 4 2 3 4" xfId="8848" xr:uid="{00000000-0005-0000-0000-000068310000}"/>
    <cellStyle name="Normal 13 4 4 2 3 5" xfId="8849" xr:uid="{00000000-0005-0000-0000-000069310000}"/>
    <cellStyle name="Normal 13 4 4 2 3 6" xfId="8850" xr:uid="{00000000-0005-0000-0000-00006A310000}"/>
    <cellStyle name="Normal 13 4 4 2 4" xfId="8851" xr:uid="{00000000-0005-0000-0000-00006B310000}"/>
    <cellStyle name="Normal 13 4 4 2 4 2" xfId="49824" xr:uid="{00000000-0005-0000-0000-00006C310000}"/>
    <cellStyle name="Normal 13 4 4 2 4 3" xfId="49825" xr:uid="{00000000-0005-0000-0000-00006D310000}"/>
    <cellStyle name="Normal 13 4 4 2 5" xfId="8852" xr:uid="{00000000-0005-0000-0000-00006E310000}"/>
    <cellStyle name="Normal 13 4 4 2 5 2" xfId="49826" xr:uid="{00000000-0005-0000-0000-00006F310000}"/>
    <cellStyle name="Normal 13 4 4 2 6" xfId="8853" xr:uid="{00000000-0005-0000-0000-000070310000}"/>
    <cellStyle name="Normal 13 4 4 2 7" xfId="8854" xr:uid="{00000000-0005-0000-0000-000071310000}"/>
    <cellStyle name="Normal 13 4 4 2 8" xfId="8855" xr:uid="{00000000-0005-0000-0000-000072310000}"/>
    <cellStyle name="Normal 13 4 4 2 9" xfId="8856" xr:uid="{00000000-0005-0000-0000-000073310000}"/>
    <cellStyle name="Normal 13 4 4 3" xfId="8857" xr:uid="{00000000-0005-0000-0000-000074310000}"/>
    <cellStyle name="Normal 13 4 4 3 2" xfId="8858" xr:uid="{00000000-0005-0000-0000-000075310000}"/>
    <cellStyle name="Normal 13 4 4 3 2 2" xfId="8859" xr:uid="{00000000-0005-0000-0000-000076310000}"/>
    <cellStyle name="Normal 13 4 4 3 2 2 2" xfId="8860" xr:uid="{00000000-0005-0000-0000-000077310000}"/>
    <cellStyle name="Normal 13 4 4 3 2 2 2 2" xfId="49827" xr:uid="{00000000-0005-0000-0000-000078310000}"/>
    <cellStyle name="Normal 13 4 4 3 2 2 2 3" xfId="49828" xr:uid="{00000000-0005-0000-0000-000079310000}"/>
    <cellStyle name="Normal 13 4 4 3 2 2 3" xfId="8861" xr:uid="{00000000-0005-0000-0000-00007A310000}"/>
    <cellStyle name="Normal 13 4 4 3 2 2 3 2" xfId="49829" xr:uid="{00000000-0005-0000-0000-00007B310000}"/>
    <cellStyle name="Normal 13 4 4 3 2 2 4" xfId="8862" xr:uid="{00000000-0005-0000-0000-00007C310000}"/>
    <cellStyle name="Normal 13 4 4 3 2 2 5" xfId="8863" xr:uid="{00000000-0005-0000-0000-00007D310000}"/>
    <cellStyle name="Normal 13 4 4 3 2 2 6" xfId="8864" xr:uid="{00000000-0005-0000-0000-00007E310000}"/>
    <cellStyle name="Normal 13 4 4 3 2 3" xfId="8865" xr:uid="{00000000-0005-0000-0000-00007F310000}"/>
    <cellStyle name="Normal 13 4 4 3 2 3 2" xfId="49830" xr:uid="{00000000-0005-0000-0000-000080310000}"/>
    <cellStyle name="Normal 13 4 4 3 2 3 3" xfId="49831" xr:uid="{00000000-0005-0000-0000-000081310000}"/>
    <cellStyle name="Normal 13 4 4 3 2 4" xfId="8866" xr:uid="{00000000-0005-0000-0000-000082310000}"/>
    <cellStyle name="Normal 13 4 4 3 2 4 2" xfId="49832" xr:uid="{00000000-0005-0000-0000-000083310000}"/>
    <cellStyle name="Normal 13 4 4 3 2 5" xfId="8867" xr:uid="{00000000-0005-0000-0000-000084310000}"/>
    <cellStyle name="Normal 13 4 4 3 2 6" xfId="8868" xr:uid="{00000000-0005-0000-0000-000085310000}"/>
    <cellStyle name="Normal 13 4 4 3 2 7" xfId="8869" xr:uid="{00000000-0005-0000-0000-000086310000}"/>
    <cellStyle name="Normal 13 4 4 3 3" xfId="8870" xr:uid="{00000000-0005-0000-0000-000087310000}"/>
    <cellStyle name="Normal 13 4 4 3 3 2" xfId="8871" xr:uid="{00000000-0005-0000-0000-000088310000}"/>
    <cellStyle name="Normal 13 4 4 3 3 2 2" xfId="49833" xr:uid="{00000000-0005-0000-0000-000089310000}"/>
    <cellStyle name="Normal 13 4 4 3 3 2 3" xfId="49834" xr:uid="{00000000-0005-0000-0000-00008A310000}"/>
    <cellStyle name="Normal 13 4 4 3 3 3" xfId="8872" xr:uid="{00000000-0005-0000-0000-00008B310000}"/>
    <cellStyle name="Normal 13 4 4 3 3 3 2" xfId="49835" xr:uid="{00000000-0005-0000-0000-00008C310000}"/>
    <cellStyle name="Normal 13 4 4 3 3 4" xfId="8873" xr:uid="{00000000-0005-0000-0000-00008D310000}"/>
    <cellStyle name="Normal 13 4 4 3 3 5" xfId="8874" xr:uid="{00000000-0005-0000-0000-00008E310000}"/>
    <cellStyle name="Normal 13 4 4 3 3 6" xfId="8875" xr:uid="{00000000-0005-0000-0000-00008F310000}"/>
    <cellStyle name="Normal 13 4 4 3 4" xfId="8876" xr:uid="{00000000-0005-0000-0000-000090310000}"/>
    <cellStyle name="Normal 13 4 4 3 4 2" xfId="49836" xr:uid="{00000000-0005-0000-0000-000091310000}"/>
    <cellStyle name="Normal 13 4 4 3 4 3" xfId="49837" xr:uid="{00000000-0005-0000-0000-000092310000}"/>
    <cellStyle name="Normal 13 4 4 3 5" xfId="8877" xr:uid="{00000000-0005-0000-0000-000093310000}"/>
    <cellStyle name="Normal 13 4 4 3 5 2" xfId="49838" xr:uid="{00000000-0005-0000-0000-000094310000}"/>
    <cellStyle name="Normal 13 4 4 3 6" xfId="8878" xr:uid="{00000000-0005-0000-0000-000095310000}"/>
    <cellStyle name="Normal 13 4 4 3 7" xfId="8879" xr:uid="{00000000-0005-0000-0000-000096310000}"/>
    <cellStyle name="Normal 13 4 4 3 8" xfId="8880" xr:uid="{00000000-0005-0000-0000-000097310000}"/>
    <cellStyle name="Normal 13 4 4 4" xfId="8881" xr:uid="{00000000-0005-0000-0000-000098310000}"/>
    <cellStyle name="Normal 13 4 4 4 2" xfId="8882" xr:uid="{00000000-0005-0000-0000-000099310000}"/>
    <cellStyle name="Normal 13 4 4 4 2 2" xfId="8883" xr:uid="{00000000-0005-0000-0000-00009A310000}"/>
    <cellStyle name="Normal 13 4 4 4 2 2 2" xfId="49839" xr:uid="{00000000-0005-0000-0000-00009B310000}"/>
    <cellStyle name="Normal 13 4 4 4 2 2 3" xfId="49840" xr:uid="{00000000-0005-0000-0000-00009C310000}"/>
    <cellStyle name="Normal 13 4 4 4 2 3" xfId="8884" xr:uid="{00000000-0005-0000-0000-00009D310000}"/>
    <cellStyle name="Normal 13 4 4 4 2 3 2" xfId="49841" xr:uid="{00000000-0005-0000-0000-00009E310000}"/>
    <cellStyle name="Normal 13 4 4 4 2 4" xfId="8885" xr:uid="{00000000-0005-0000-0000-00009F310000}"/>
    <cellStyle name="Normal 13 4 4 4 2 5" xfId="8886" xr:uid="{00000000-0005-0000-0000-0000A0310000}"/>
    <cellStyle name="Normal 13 4 4 4 2 6" xfId="8887" xr:uid="{00000000-0005-0000-0000-0000A1310000}"/>
    <cellStyle name="Normal 13 4 4 4 3" xfId="8888" xr:uid="{00000000-0005-0000-0000-0000A2310000}"/>
    <cellStyle name="Normal 13 4 4 4 3 2" xfId="49842" xr:uid="{00000000-0005-0000-0000-0000A3310000}"/>
    <cellStyle name="Normal 13 4 4 4 3 3" xfId="49843" xr:uid="{00000000-0005-0000-0000-0000A4310000}"/>
    <cellStyle name="Normal 13 4 4 4 4" xfId="8889" xr:uid="{00000000-0005-0000-0000-0000A5310000}"/>
    <cellStyle name="Normal 13 4 4 4 4 2" xfId="49844" xr:uid="{00000000-0005-0000-0000-0000A6310000}"/>
    <cellStyle name="Normal 13 4 4 4 5" xfId="8890" xr:uid="{00000000-0005-0000-0000-0000A7310000}"/>
    <cellStyle name="Normal 13 4 4 4 6" xfId="8891" xr:uid="{00000000-0005-0000-0000-0000A8310000}"/>
    <cellStyle name="Normal 13 4 4 4 7" xfId="8892" xr:uid="{00000000-0005-0000-0000-0000A9310000}"/>
    <cellStyle name="Normal 13 4 4 5" xfId="8893" xr:uid="{00000000-0005-0000-0000-0000AA310000}"/>
    <cellStyle name="Normal 13 4 4 5 2" xfId="8894" xr:uid="{00000000-0005-0000-0000-0000AB310000}"/>
    <cellStyle name="Normal 13 4 4 5 2 2" xfId="49845" xr:uid="{00000000-0005-0000-0000-0000AC310000}"/>
    <cellStyle name="Normal 13 4 4 5 2 3" xfId="49846" xr:uid="{00000000-0005-0000-0000-0000AD310000}"/>
    <cellStyle name="Normal 13 4 4 5 3" xfId="8895" xr:uid="{00000000-0005-0000-0000-0000AE310000}"/>
    <cellStyle name="Normal 13 4 4 5 3 2" xfId="49847" xr:uid="{00000000-0005-0000-0000-0000AF310000}"/>
    <cellStyle name="Normal 13 4 4 5 4" xfId="8896" xr:uid="{00000000-0005-0000-0000-0000B0310000}"/>
    <cellStyle name="Normal 13 4 4 5 5" xfId="8897" xr:uid="{00000000-0005-0000-0000-0000B1310000}"/>
    <cellStyle name="Normal 13 4 4 5 6" xfId="8898" xr:uid="{00000000-0005-0000-0000-0000B2310000}"/>
    <cellStyle name="Normal 13 4 4 6" xfId="8899" xr:uid="{00000000-0005-0000-0000-0000B3310000}"/>
    <cellStyle name="Normal 13 4 4 6 2" xfId="49848" xr:uid="{00000000-0005-0000-0000-0000B4310000}"/>
    <cellStyle name="Normal 13 4 4 6 3" xfId="49849" xr:uid="{00000000-0005-0000-0000-0000B5310000}"/>
    <cellStyle name="Normal 13 4 4 7" xfId="8900" xr:uid="{00000000-0005-0000-0000-0000B6310000}"/>
    <cellStyle name="Normal 13 4 4 7 2" xfId="49850" xr:uid="{00000000-0005-0000-0000-0000B7310000}"/>
    <cellStyle name="Normal 13 4 4 8" xfId="8901" xr:uid="{00000000-0005-0000-0000-0000B8310000}"/>
    <cellStyle name="Normal 13 4 4 9" xfId="8902" xr:uid="{00000000-0005-0000-0000-0000B9310000}"/>
    <cellStyle name="Normal 13 4 5" xfId="8903" xr:uid="{00000000-0005-0000-0000-0000BA310000}"/>
    <cellStyle name="Normal 13 4 5 10" xfId="8904" xr:uid="{00000000-0005-0000-0000-0000BB310000}"/>
    <cellStyle name="Normal 13 4 5 11" xfId="8905" xr:uid="{00000000-0005-0000-0000-0000BC310000}"/>
    <cellStyle name="Normal 13 4 5 12" xfId="8906" xr:uid="{00000000-0005-0000-0000-0000BD310000}"/>
    <cellStyle name="Normal 13 4 5 13" xfId="8907" xr:uid="{00000000-0005-0000-0000-0000BE310000}"/>
    <cellStyle name="Normal 13 4 5 14" xfId="8908" xr:uid="{00000000-0005-0000-0000-0000BF310000}"/>
    <cellStyle name="Normal 13 4 5 2" xfId="8909" xr:uid="{00000000-0005-0000-0000-0000C0310000}"/>
    <cellStyle name="Normal 13 4 5 2 2" xfId="8910" xr:uid="{00000000-0005-0000-0000-0000C1310000}"/>
    <cellStyle name="Normal 13 4 5 2 2 2" xfId="8911" xr:uid="{00000000-0005-0000-0000-0000C2310000}"/>
    <cellStyle name="Normal 13 4 5 2 2 2 2" xfId="8912" xr:uid="{00000000-0005-0000-0000-0000C3310000}"/>
    <cellStyle name="Normal 13 4 5 2 2 2 2 2" xfId="49851" xr:uid="{00000000-0005-0000-0000-0000C4310000}"/>
    <cellStyle name="Normal 13 4 5 2 2 2 2 3" xfId="49852" xr:uid="{00000000-0005-0000-0000-0000C5310000}"/>
    <cellStyle name="Normal 13 4 5 2 2 2 3" xfId="8913" xr:uid="{00000000-0005-0000-0000-0000C6310000}"/>
    <cellStyle name="Normal 13 4 5 2 2 2 3 2" xfId="49853" xr:uid="{00000000-0005-0000-0000-0000C7310000}"/>
    <cellStyle name="Normal 13 4 5 2 2 2 4" xfId="8914" xr:uid="{00000000-0005-0000-0000-0000C8310000}"/>
    <cellStyle name="Normal 13 4 5 2 2 2 5" xfId="8915" xr:uid="{00000000-0005-0000-0000-0000C9310000}"/>
    <cellStyle name="Normal 13 4 5 2 2 2 6" xfId="8916" xr:uid="{00000000-0005-0000-0000-0000CA310000}"/>
    <cellStyle name="Normal 13 4 5 2 2 3" xfId="8917" xr:uid="{00000000-0005-0000-0000-0000CB310000}"/>
    <cellStyle name="Normal 13 4 5 2 2 3 2" xfId="49854" xr:uid="{00000000-0005-0000-0000-0000CC310000}"/>
    <cellStyle name="Normal 13 4 5 2 2 3 3" xfId="49855" xr:uid="{00000000-0005-0000-0000-0000CD310000}"/>
    <cellStyle name="Normal 13 4 5 2 2 4" xfId="8918" xr:uid="{00000000-0005-0000-0000-0000CE310000}"/>
    <cellStyle name="Normal 13 4 5 2 2 4 2" xfId="49856" xr:uid="{00000000-0005-0000-0000-0000CF310000}"/>
    <cellStyle name="Normal 13 4 5 2 2 5" xfId="8919" xr:uid="{00000000-0005-0000-0000-0000D0310000}"/>
    <cellStyle name="Normal 13 4 5 2 2 6" xfId="8920" xr:uid="{00000000-0005-0000-0000-0000D1310000}"/>
    <cellStyle name="Normal 13 4 5 2 2 7" xfId="8921" xr:uid="{00000000-0005-0000-0000-0000D2310000}"/>
    <cellStyle name="Normal 13 4 5 2 3" xfId="8922" xr:uid="{00000000-0005-0000-0000-0000D3310000}"/>
    <cellStyle name="Normal 13 4 5 2 3 2" xfId="8923" xr:uid="{00000000-0005-0000-0000-0000D4310000}"/>
    <cellStyle name="Normal 13 4 5 2 3 2 2" xfId="49857" xr:uid="{00000000-0005-0000-0000-0000D5310000}"/>
    <cellStyle name="Normal 13 4 5 2 3 2 3" xfId="49858" xr:uid="{00000000-0005-0000-0000-0000D6310000}"/>
    <cellStyle name="Normal 13 4 5 2 3 3" xfId="8924" xr:uid="{00000000-0005-0000-0000-0000D7310000}"/>
    <cellStyle name="Normal 13 4 5 2 3 3 2" xfId="49859" xr:uid="{00000000-0005-0000-0000-0000D8310000}"/>
    <cellStyle name="Normal 13 4 5 2 3 4" xfId="8925" xr:uid="{00000000-0005-0000-0000-0000D9310000}"/>
    <cellStyle name="Normal 13 4 5 2 3 5" xfId="8926" xr:uid="{00000000-0005-0000-0000-0000DA310000}"/>
    <cellStyle name="Normal 13 4 5 2 3 6" xfId="8927" xr:uid="{00000000-0005-0000-0000-0000DB310000}"/>
    <cellStyle name="Normal 13 4 5 2 4" xfId="8928" xr:uid="{00000000-0005-0000-0000-0000DC310000}"/>
    <cellStyle name="Normal 13 4 5 2 4 2" xfId="49860" xr:uid="{00000000-0005-0000-0000-0000DD310000}"/>
    <cellStyle name="Normal 13 4 5 2 4 3" xfId="49861" xr:uid="{00000000-0005-0000-0000-0000DE310000}"/>
    <cellStyle name="Normal 13 4 5 2 5" xfId="8929" xr:uid="{00000000-0005-0000-0000-0000DF310000}"/>
    <cellStyle name="Normal 13 4 5 2 5 2" xfId="49862" xr:uid="{00000000-0005-0000-0000-0000E0310000}"/>
    <cellStyle name="Normal 13 4 5 2 6" xfId="8930" xr:uid="{00000000-0005-0000-0000-0000E1310000}"/>
    <cellStyle name="Normal 13 4 5 2 7" xfId="8931" xr:uid="{00000000-0005-0000-0000-0000E2310000}"/>
    <cellStyle name="Normal 13 4 5 2 8" xfId="8932" xr:uid="{00000000-0005-0000-0000-0000E3310000}"/>
    <cellStyle name="Normal 13 4 5 2 9" xfId="8933" xr:uid="{00000000-0005-0000-0000-0000E4310000}"/>
    <cellStyle name="Normal 13 4 5 3" xfId="8934" xr:uid="{00000000-0005-0000-0000-0000E5310000}"/>
    <cellStyle name="Normal 13 4 5 3 2" xfId="8935" xr:uid="{00000000-0005-0000-0000-0000E6310000}"/>
    <cellStyle name="Normal 13 4 5 3 2 2" xfId="8936" xr:uid="{00000000-0005-0000-0000-0000E7310000}"/>
    <cellStyle name="Normal 13 4 5 3 2 2 2" xfId="8937" xr:uid="{00000000-0005-0000-0000-0000E8310000}"/>
    <cellStyle name="Normal 13 4 5 3 2 2 2 2" xfId="49863" xr:uid="{00000000-0005-0000-0000-0000E9310000}"/>
    <cellStyle name="Normal 13 4 5 3 2 2 2 3" xfId="49864" xr:uid="{00000000-0005-0000-0000-0000EA310000}"/>
    <cellStyle name="Normal 13 4 5 3 2 2 3" xfId="8938" xr:uid="{00000000-0005-0000-0000-0000EB310000}"/>
    <cellStyle name="Normal 13 4 5 3 2 2 3 2" xfId="49865" xr:uid="{00000000-0005-0000-0000-0000EC310000}"/>
    <cellStyle name="Normal 13 4 5 3 2 2 4" xfId="8939" xr:uid="{00000000-0005-0000-0000-0000ED310000}"/>
    <cellStyle name="Normal 13 4 5 3 2 2 5" xfId="8940" xr:uid="{00000000-0005-0000-0000-0000EE310000}"/>
    <cellStyle name="Normal 13 4 5 3 2 2 6" xfId="8941" xr:uid="{00000000-0005-0000-0000-0000EF310000}"/>
    <cellStyle name="Normal 13 4 5 3 2 3" xfId="8942" xr:uid="{00000000-0005-0000-0000-0000F0310000}"/>
    <cellStyle name="Normal 13 4 5 3 2 3 2" xfId="49866" xr:uid="{00000000-0005-0000-0000-0000F1310000}"/>
    <cellStyle name="Normal 13 4 5 3 2 3 3" xfId="49867" xr:uid="{00000000-0005-0000-0000-0000F2310000}"/>
    <cellStyle name="Normal 13 4 5 3 2 4" xfId="8943" xr:uid="{00000000-0005-0000-0000-0000F3310000}"/>
    <cellStyle name="Normal 13 4 5 3 2 4 2" xfId="49868" xr:uid="{00000000-0005-0000-0000-0000F4310000}"/>
    <cellStyle name="Normal 13 4 5 3 2 5" xfId="8944" xr:uid="{00000000-0005-0000-0000-0000F5310000}"/>
    <cellStyle name="Normal 13 4 5 3 2 6" xfId="8945" xr:uid="{00000000-0005-0000-0000-0000F6310000}"/>
    <cellStyle name="Normal 13 4 5 3 2 7" xfId="8946" xr:uid="{00000000-0005-0000-0000-0000F7310000}"/>
    <cellStyle name="Normal 13 4 5 3 3" xfId="8947" xr:uid="{00000000-0005-0000-0000-0000F8310000}"/>
    <cellStyle name="Normal 13 4 5 3 3 2" xfId="8948" xr:uid="{00000000-0005-0000-0000-0000F9310000}"/>
    <cellStyle name="Normal 13 4 5 3 3 2 2" xfId="49869" xr:uid="{00000000-0005-0000-0000-0000FA310000}"/>
    <cellStyle name="Normal 13 4 5 3 3 2 3" xfId="49870" xr:uid="{00000000-0005-0000-0000-0000FB310000}"/>
    <cellStyle name="Normal 13 4 5 3 3 3" xfId="8949" xr:uid="{00000000-0005-0000-0000-0000FC310000}"/>
    <cellStyle name="Normal 13 4 5 3 3 3 2" xfId="49871" xr:uid="{00000000-0005-0000-0000-0000FD310000}"/>
    <cellStyle name="Normal 13 4 5 3 3 4" xfId="8950" xr:uid="{00000000-0005-0000-0000-0000FE310000}"/>
    <cellStyle name="Normal 13 4 5 3 3 5" xfId="8951" xr:uid="{00000000-0005-0000-0000-0000FF310000}"/>
    <cellStyle name="Normal 13 4 5 3 3 6" xfId="8952" xr:uid="{00000000-0005-0000-0000-000000320000}"/>
    <cellStyle name="Normal 13 4 5 3 4" xfId="8953" xr:uid="{00000000-0005-0000-0000-000001320000}"/>
    <cellStyle name="Normal 13 4 5 3 4 2" xfId="49872" xr:uid="{00000000-0005-0000-0000-000002320000}"/>
    <cellStyle name="Normal 13 4 5 3 4 3" xfId="49873" xr:uid="{00000000-0005-0000-0000-000003320000}"/>
    <cellStyle name="Normal 13 4 5 3 5" xfId="8954" xr:uid="{00000000-0005-0000-0000-000004320000}"/>
    <cellStyle name="Normal 13 4 5 3 5 2" xfId="49874" xr:uid="{00000000-0005-0000-0000-000005320000}"/>
    <cellStyle name="Normal 13 4 5 3 6" xfId="8955" xr:uid="{00000000-0005-0000-0000-000006320000}"/>
    <cellStyle name="Normal 13 4 5 3 7" xfId="8956" xr:uid="{00000000-0005-0000-0000-000007320000}"/>
    <cellStyle name="Normal 13 4 5 3 8" xfId="8957" xr:uid="{00000000-0005-0000-0000-000008320000}"/>
    <cellStyle name="Normal 13 4 5 4" xfId="8958" xr:uid="{00000000-0005-0000-0000-000009320000}"/>
    <cellStyle name="Normal 13 4 5 4 2" xfId="8959" xr:uid="{00000000-0005-0000-0000-00000A320000}"/>
    <cellStyle name="Normal 13 4 5 4 2 2" xfId="8960" xr:uid="{00000000-0005-0000-0000-00000B320000}"/>
    <cellStyle name="Normal 13 4 5 4 2 2 2" xfId="49875" xr:uid="{00000000-0005-0000-0000-00000C320000}"/>
    <cellStyle name="Normal 13 4 5 4 2 2 3" xfId="49876" xr:uid="{00000000-0005-0000-0000-00000D320000}"/>
    <cellStyle name="Normal 13 4 5 4 2 3" xfId="8961" xr:uid="{00000000-0005-0000-0000-00000E320000}"/>
    <cellStyle name="Normal 13 4 5 4 2 3 2" xfId="49877" xr:uid="{00000000-0005-0000-0000-00000F320000}"/>
    <cellStyle name="Normal 13 4 5 4 2 4" xfId="8962" xr:uid="{00000000-0005-0000-0000-000010320000}"/>
    <cellStyle name="Normal 13 4 5 4 2 5" xfId="8963" xr:uid="{00000000-0005-0000-0000-000011320000}"/>
    <cellStyle name="Normal 13 4 5 4 2 6" xfId="8964" xr:uid="{00000000-0005-0000-0000-000012320000}"/>
    <cellStyle name="Normal 13 4 5 4 3" xfId="8965" xr:uid="{00000000-0005-0000-0000-000013320000}"/>
    <cellStyle name="Normal 13 4 5 4 3 2" xfId="49878" xr:uid="{00000000-0005-0000-0000-000014320000}"/>
    <cellStyle name="Normal 13 4 5 4 3 3" xfId="49879" xr:uid="{00000000-0005-0000-0000-000015320000}"/>
    <cellStyle name="Normal 13 4 5 4 4" xfId="8966" xr:uid="{00000000-0005-0000-0000-000016320000}"/>
    <cellStyle name="Normal 13 4 5 4 4 2" xfId="49880" xr:uid="{00000000-0005-0000-0000-000017320000}"/>
    <cellStyle name="Normal 13 4 5 4 5" xfId="8967" xr:uid="{00000000-0005-0000-0000-000018320000}"/>
    <cellStyle name="Normal 13 4 5 4 6" xfId="8968" xr:uid="{00000000-0005-0000-0000-000019320000}"/>
    <cellStyle name="Normal 13 4 5 4 7" xfId="8969" xr:uid="{00000000-0005-0000-0000-00001A320000}"/>
    <cellStyle name="Normal 13 4 5 5" xfId="8970" xr:uid="{00000000-0005-0000-0000-00001B320000}"/>
    <cellStyle name="Normal 13 4 5 5 2" xfId="8971" xr:uid="{00000000-0005-0000-0000-00001C320000}"/>
    <cellStyle name="Normal 13 4 5 5 2 2" xfId="49881" xr:uid="{00000000-0005-0000-0000-00001D320000}"/>
    <cellStyle name="Normal 13 4 5 5 2 3" xfId="49882" xr:uid="{00000000-0005-0000-0000-00001E320000}"/>
    <cellStyle name="Normal 13 4 5 5 3" xfId="8972" xr:uid="{00000000-0005-0000-0000-00001F320000}"/>
    <cellStyle name="Normal 13 4 5 5 3 2" xfId="49883" xr:uid="{00000000-0005-0000-0000-000020320000}"/>
    <cellStyle name="Normal 13 4 5 5 4" xfId="8973" xr:uid="{00000000-0005-0000-0000-000021320000}"/>
    <cellStyle name="Normal 13 4 5 5 5" xfId="8974" xr:uid="{00000000-0005-0000-0000-000022320000}"/>
    <cellStyle name="Normal 13 4 5 5 6" xfId="8975" xr:uid="{00000000-0005-0000-0000-000023320000}"/>
    <cellStyle name="Normal 13 4 5 6" xfId="8976" xr:uid="{00000000-0005-0000-0000-000024320000}"/>
    <cellStyle name="Normal 13 4 5 6 2" xfId="49884" xr:uid="{00000000-0005-0000-0000-000025320000}"/>
    <cellStyle name="Normal 13 4 5 6 3" xfId="49885" xr:uid="{00000000-0005-0000-0000-000026320000}"/>
    <cellStyle name="Normal 13 4 5 7" xfId="8977" xr:uid="{00000000-0005-0000-0000-000027320000}"/>
    <cellStyle name="Normal 13 4 5 7 2" xfId="49886" xr:uid="{00000000-0005-0000-0000-000028320000}"/>
    <cellStyle name="Normal 13 4 5 8" xfId="8978" xr:uid="{00000000-0005-0000-0000-000029320000}"/>
    <cellStyle name="Normal 13 4 5 9" xfId="8979" xr:uid="{00000000-0005-0000-0000-00002A320000}"/>
    <cellStyle name="Normal 13 4 6" xfId="8980" xr:uid="{00000000-0005-0000-0000-00002B320000}"/>
    <cellStyle name="Normal 13 4 6 10" xfId="8981" xr:uid="{00000000-0005-0000-0000-00002C320000}"/>
    <cellStyle name="Normal 13 4 6 11" xfId="8982" xr:uid="{00000000-0005-0000-0000-00002D320000}"/>
    <cellStyle name="Normal 13 4 6 12" xfId="8983" xr:uid="{00000000-0005-0000-0000-00002E320000}"/>
    <cellStyle name="Normal 13 4 6 13" xfId="8984" xr:uid="{00000000-0005-0000-0000-00002F320000}"/>
    <cellStyle name="Normal 13 4 6 2" xfId="8985" xr:uid="{00000000-0005-0000-0000-000030320000}"/>
    <cellStyle name="Normal 13 4 6 2 2" xfId="8986" xr:uid="{00000000-0005-0000-0000-000031320000}"/>
    <cellStyle name="Normal 13 4 6 2 2 2" xfId="8987" xr:uid="{00000000-0005-0000-0000-000032320000}"/>
    <cellStyle name="Normal 13 4 6 2 2 2 2" xfId="8988" xr:uid="{00000000-0005-0000-0000-000033320000}"/>
    <cellStyle name="Normal 13 4 6 2 2 2 2 2" xfId="49887" xr:uid="{00000000-0005-0000-0000-000034320000}"/>
    <cellStyle name="Normal 13 4 6 2 2 2 2 3" xfId="49888" xr:uid="{00000000-0005-0000-0000-000035320000}"/>
    <cellStyle name="Normal 13 4 6 2 2 2 3" xfId="8989" xr:uid="{00000000-0005-0000-0000-000036320000}"/>
    <cellStyle name="Normal 13 4 6 2 2 2 3 2" xfId="49889" xr:uid="{00000000-0005-0000-0000-000037320000}"/>
    <cellStyle name="Normal 13 4 6 2 2 2 4" xfId="8990" xr:uid="{00000000-0005-0000-0000-000038320000}"/>
    <cellStyle name="Normal 13 4 6 2 2 2 5" xfId="8991" xr:uid="{00000000-0005-0000-0000-000039320000}"/>
    <cellStyle name="Normal 13 4 6 2 2 2 6" xfId="8992" xr:uid="{00000000-0005-0000-0000-00003A320000}"/>
    <cellStyle name="Normal 13 4 6 2 2 3" xfId="8993" xr:uid="{00000000-0005-0000-0000-00003B320000}"/>
    <cellStyle name="Normal 13 4 6 2 2 3 2" xfId="49890" xr:uid="{00000000-0005-0000-0000-00003C320000}"/>
    <cellStyle name="Normal 13 4 6 2 2 3 3" xfId="49891" xr:uid="{00000000-0005-0000-0000-00003D320000}"/>
    <cellStyle name="Normal 13 4 6 2 2 4" xfId="8994" xr:uid="{00000000-0005-0000-0000-00003E320000}"/>
    <cellStyle name="Normal 13 4 6 2 2 4 2" xfId="49892" xr:uid="{00000000-0005-0000-0000-00003F320000}"/>
    <cellStyle name="Normal 13 4 6 2 2 5" xfId="8995" xr:uid="{00000000-0005-0000-0000-000040320000}"/>
    <cellStyle name="Normal 13 4 6 2 2 6" xfId="8996" xr:uid="{00000000-0005-0000-0000-000041320000}"/>
    <cellStyle name="Normal 13 4 6 2 2 7" xfId="8997" xr:uid="{00000000-0005-0000-0000-000042320000}"/>
    <cellStyle name="Normal 13 4 6 2 3" xfId="8998" xr:uid="{00000000-0005-0000-0000-000043320000}"/>
    <cellStyle name="Normal 13 4 6 2 3 2" xfId="8999" xr:uid="{00000000-0005-0000-0000-000044320000}"/>
    <cellStyle name="Normal 13 4 6 2 3 2 2" xfId="49893" xr:uid="{00000000-0005-0000-0000-000045320000}"/>
    <cellStyle name="Normal 13 4 6 2 3 2 3" xfId="49894" xr:uid="{00000000-0005-0000-0000-000046320000}"/>
    <cellStyle name="Normal 13 4 6 2 3 3" xfId="9000" xr:uid="{00000000-0005-0000-0000-000047320000}"/>
    <cellStyle name="Normal 13 4 6 2 3 3 2" xfId="49895" xr:uid="{00000000-0005-0000-0000-000048320000}"/>
    <cellStyle name="Normal 13 4 6 2 3 4" xfId="9001" xr:uid="{00000000-0005-0000-0000-000049320000}"/>
    <cellStyle name="Normal 13 4 6 2 3 5" xfId="9002" xr:uid="{00000000-0005-0000-0000-00004A320000}"/>
    <cellStyle name="Normal 13 4 6 2 3 6" xfId="9003" xr:uid="{00000000-0005-0000-0000-00004B320000}"/>
    <cellStyle name="Normal 13 4 6 2 4" xfId="9004" xr:uid="{00000000-0005-0000-0000-00004C320000}"/>
    <cellStyle name="Normal 13 4 6 2 4 2" xfId="49896" xr:uid="{00000000-0005-0000-0000-00004D320000}"/>
    <cellStyle name="Normal 13 4 6 2 4 3" xfId="49897" xr:uid="{00000000-0005-0000-0000-00004E320000}"/>
    <cellStyle name="Normal 13 4 6 2 5" xfId="9005" xr:uid="{00000000-0005-0000-0000-00004F320000}"/>
    <cellStyle name="Normal 13 4 6 2 5 2" xfId="49898" xr:uid="{00000000-0005-0000-0000-000050320000}"/>
    <cellStyle name="Normal 13 4 6 2 6" xfId="9006" xr:uid="{00000000-0005-0000-0000-000051320000}"/>
    <cellStyle name="Normal 13 4 6 2 7" xfId="9007" xr:uid="{00000000-0005-0000-0000-000052320000}"/>
    <cellStyle name="Normal 13 4 6 2 8" xfId="9008" xr:uid="{00000000-0005-0000-0000-000053320000}"/>
    <cellStyle name="Normal 13 4 6 2 9" xfId="9009" xr:uid="{00000000-0005-0000-0000-000054320000}"/>
    <cellStyle name="Normal 13 4 6 3" xfId="9010" xr:uid="{00000000-0005-0000-0000-000055320000}"/>
    <cellStyle name="Normal 13 4 6 3 2" xfId="9011" xr:uid="{00000000-0005-0000-0000-000056320000}"/>
    <cellStyle name="Normal 13 4 6 3 2 2" xfId="9012" xr:uid="{00000000-0005-0000-0000-000057320000}"/>
    <cellStyle name="Normal 13 4 6 3 2 2 2" xfId="49899" xr:uid="{00000000-0005-0000-0000-000058320000}"/>
    <cellStyle name="Normal 13 4 6 3 2 2 3" xfId="49900" xr:uid="{00000000-0005-0000-0000-000059320000}"/>
    <cellStyle name="Normal 13 4 6 3 2 3" xfId="9013" xr:uid="{00000000-0005-0000-0000-00005A320000}"/>
    <cellStyle name="Normal 13 4 6 3 2 3 2" xfId="49901" xr:uid="{00000000-0005-0000-0000-00005B320000}"/>
    <cellStyle name="Normal 13 4 6 3 2 4" xfId="9014" xr:uid="{00000000-0005-0000-0000-00005C320000}"/>
    <cellStyle name="Normal 13 4 6 3 2 5" xfId="9015" xr:uid="{00000000-0005-0000-0000-00005D320000}"/>
    <cellStyle name="Normal 13 4 6 3 2 6" xfId="9016" xr:uid="{00000000-0005-0000-0000-00005E320000}"/>
    <cellStyle name="Normal 13 4 6 3 3" xfId="9017" xr:uid="{00000000-0005-0000-0000-00005F320000}"/>
    <cellStyle name="Normal 13 4 6 3 3 2" xfId="49902" xr:uid="{00000000-0005-0000-0000-000060320000}"/>
    <cellStyle name="Normal 13 4 6 3 3 3" xfId="49903" xr:uid="{00000000-0005-0000-0000-000061320000}"/>
    <cellStyle name="Normal 13 4 6 3 4" xfId="9018" xr:uid="{00000000-0005-0000-0000-000062320000}"/>
    <cellStyle name="Normal 13 4 6 3 4 2" xfId="49904" xr:uid="{00000000-0005-0000-0000-000063320000}"/>
    <cellStyle name="Normal 13 4 6 3 5" xfId="9019" xr:uid="{00000000-0005-0000-0000-000064320000}"/>
    <cellStyle name="Normal 13 4 6 3 6" xfId="9020" xr:uid="{00000000-0005-0000-0000-000065320000}"/>
    <cellStyle name="Normal 13 4 6 3 7" xfId="9021" xr:uid="{00000000-0005-0000-0000-000066320000}"/>
    <cellStyle name="Normal 13 4 6 4" xfId="9022" xr:uid="{00000000-0005-0000-0000-000067320000}"/>
    <cellStyle name="Normal 13 4 6 4 2" xfId="9023" xr:uid="{00000000-0005-0000-0000-000068320000}"/>
    <cellStyle name="Normal 13 4 6 4 2 2" xfId="49905" xr:uid="{00000000-0005-0000-0000-000069320000}"/>
    <cellStyle name="Normal 13 4 6 4 2 3" xfId="49906" xr:uid="{00000000-0005-0000-0000-00006A320000}"/>
    <cellStyle name="Normal 13 4 6 4 3" xfId="9024" xr:uid="{00000000-0005-0000-0000-00006B320000}"/>
    <cellStyle name="Normal 13 4 6 4 3 2" xfId="49907" xr:uid="{00000000-0005-0000-0000-00006C320000}"/>
    <cellStyle name="Normal 13 4 6 4 4" xfId="9025" xr:uid="{00000000-0005-0000-0000-00006D320000}"/>
    <cellStyle name="Normal 13 4 6 4 5" xfId="9026" xr:uid="{00000000-0005-0000-0000-00006E320000}"/>
    <cellStyle name="Normal 13 4 6 4 6" xfId="9027" xr:uid="{00000000-0005-0000-0000-00006F320000}"/>
    <cellStyle name="Normal 13 4 6 5" xfId="9028" xr:uid="{00000000-0005-0000-0000-000070320000}"/>
    <cellStyle name="Normal 13 4 6 5 2" xfId="49908" xr:uid="{00000000-0005-0000-0000-000071320000}"/>
    <cellStyle name="Normal 13 4 6 5 3" xfId="49909" xr:uid="{00000000-0005-0000-0000-000072320000}"/>
    <cellStyle name="Normal 13 4 6 6" xfId="9029" xr:uid="{00000000-0005-0000-0000-000073320000}"/>
    <cellStyle name="Normal 13 4 6 6 2" xfId="49910" xr:uid="{00000000-0005-0000-0000-000074320000}"/>
    <cellStyle name="Normal 13 4 6 7" xfId="9030" xr:uid="{00000000-0005-0000-0000-000075320000}"/>
    <cellStyle name="Normal 13 4 6 8" xfId="9031" xr:uid="{00000000-0005-0000-0000-000076320000}"/>
    <cellStyle name="Normal 13 4 6 9" xfId="9032" xr:uid="{00000000-0005-0000-0000-000077320000}"/>
    <cellStyle name="Normal 13 4 7" xfId="9033" xr:uid="{00000000-0005-0000-0000-000078320000}"/>
    <cellStyle name="Normal 13 4 7 2" xfId="9034" xr:uid="{00000000-0005-0000-0000-000079320000}"/>
    <cellStyle name="Normal 13 4 7 2 2" xfId="9035" xr:uid="{00000000-0005-0000-0000-00007A320000}"/>
    <cellStyle name="Normal 13 4 7 2 2 2" xfId="9036" xr:uid="{00000000-0005-0000-0000-00007B320000}"/>
    <cellStyle name="Normal 13 4 7 2 2 2 2" xfId="49911" xr:uid="{00000000-0005-0000-0000-00007C320000}"/>
    <cellStyle name="Normal 13 4 7 2 2 2 3" xfId="49912" xr:uid="{00000000-0005-0000-0000-00007D320000}"/>
    <cellStyle name="Normal 13 4 7 2 2 3" xfId="9037" xr:uid="{00000000-0005-0000-0000-00007E320000}"/>
    <cellStyle name="Normal 13 4 7 2 2 3 2" xfId="49913" xr:uid="{00000000-0005-0000-0000-00007F320000}"/>
    <cellStyle name="Normal 13 4 7 2 2 4" xfId="9038" xr:uid="{00000000-0005-0000-0000-000080320000}"/>
    <cellStyle name="Normal 13 4 7 2 2 5" xfId="9039" xr:uid="{00000000-0005-0000-0000-000081320000}"/>
    <cellStyle name="Normal 13 4 7 2 2 6" xfId="9040" xr:uid="{00000000-0005-0000-0000-000082320000}"/>
    <cellStyle name="Normal 13 4 7 2 3" xfId="9041" xr:uid="{00000000-0005-0000-0000-000083320000}"/>
    <cellStyle name="Normal 13 4 7 2 3 2" xfId="49914" xr:uid="{00000000-0005-0000-0000-000084320000}"/>
    <cellStyle name="Normal 13 4 7 2 3 3" xfId="49915" xr:uid="{00000000-0005-0000-0000-000085320000}"/>
    <cellStyle name="Normal 13 4 7 2 4" xfId="9042" xr:uid="{00000000-0005-0000-0000-000086320000}"/>
    <cellStyle name="Normal 13 4 7 2 4 2" xfId="49916" xr:uid="{00000000-0005-0000-0000-000087320000}"/>
    <cellStyle name="Normal 13 4 7 2 5" xfId="9043" xr:uid="{00000000-0005-0000-0000-000088320000}"/>
    <cellStyle name="Normal 13 4 7 2 6" xfId="9044" xr:uid="{00000000-0005-0000-0000-000089320000}"/>
    <cellStyle name="Normal 13 4 7 2 7" xfId="9045" xr:uid="{00000000-0005-0000-0000-00008A320000}"/>
    <cellStyle name="Normal 13 4 7 3" xfId="9046" xr:uid="{00000000-0005-0000-0000-00008B320000}"/>
    <cellStyle name="Normal 13 4 7 3 2" xfId="9047" xr:uid="{00000000-0005-0000-0000-00008C320000}"/>
    <cellStyle name="Normal 13 4 7 3 2 2" xfId="49917" xr:uid="{00000000-0005-0000-0000-00008D320000}"/>
    <cellStyle name="Normal 13 4 7 3 2 3" xfId="49918" xr:uid="{00000000-0005-0000-0000-00008E320000}"/>
    <cellStyle name="Normal 13 4 7 3 3" xfId="9048" xr:uid="{00000000-0005-0000-0000-00008F320000}"/>
    <cellStyle name="Normal 13 4 7 3 3 2" xfId="49919" xr:uid="{00000000-0005-0000-0000-000090320000}"/>
    <cellStyle name="Normal 13 4 7 3 4" xfId="9049" xr:uid="{00000000-0005-0000-0000-000091320000}"/>
    <cellStyle name="Normal 13 4 7 3 5" xfId="9050" xr:uid="{00000000-0005-0000-0000-000092320000}"/>
    <cellStyle name="Normal 13 4 7 3 6" xfId="9051" xr:uid="{00000000-0005-0000-0000-000093320000}"/>
    <cellStyle name="Normal 13 4 7 4" xfId="9052" xr:uid="{00000000-0005-0000-0000-000094320000}"/>
    <cellStyle name="Normal 13 4 7 4 2" xfId="49920" xr:uid="{00000000-0005-0000-0000-000095320000}"/>
    <cellStyle name="Normal 13 4 7 4 3" xfId="49921" xr:uid="{00000000-0005-0000-0000-000096320000}"/>
    <cellStyle name="Normal 13 4 7 5" xfId="9053" xr:uid="{00000000-0005-0000-0000-000097320000}"/>
    <cellStyle name="Normal 13 4 7 5 2" xfId="49922" xr:uid="{00000000-0005-0000-0000-000098320000}"/>
    <cellStyle name="Normal 13 4 7 6" xfId="9054" xr:uid="{00000000-0005-0000-0000-000099320000}"/>
    <cellStyle name="Normal 13 4 7 7" xfId="9055" xr:uid="{00000000-0005-0000-0000-00009A320000}"/>
    <cellStyle name="Normal 13 4 7 8" xfId="9056" xr:uid="{00000000-0005-0000-0000-00009B320000}"/>
    <cellStyle name="Normal 13 4 7 9" xfId="9057" xr:uid="{00000000-0005-0000-0000-00009C320000}"/>
    <cellStyle name="Normal 13 4 8" xfId="9058" xr:uid="{00000000-0005-0000-0000-00009D320000}"/>
    <cellStyle name="Normal 13 4 8 2" xfId="9059" xr:uid="{00000000-0005-0000-0000-00009E320000}"/>
    <cellStyle name="Normal 13 4 8 2 2" xfId="9060" xr:uid="{00000000-0005-0000-0000-00009F320000}"/>
    <cellStyle name="Normal 13 4 8 2 2 2" xfId="9061" xr:uid="{00000000-0005-0000-0000-0000A0320000}"/>
    <cellStyle name="Normal 13 4 8 2 2 2 2" xfId="49923" xr:uid="{00000000-0005-0000-0000-0000A1320000}"/>
    <cellStyle name="Normal 13 4 8 2 2 2 3" xfId="49924" xr:uid="{00000000-0005-0000-0000-0000A2320000}"/>
    <cellStyle name="Normal 13 4 8 2 2 3" xfId="9062" xr:uid="{00000000-0005-0000-0000-0000A3320000}"/>
    <cellStyle name="Normal 13 4 8 2 2 3 2" xfId="49925" xr:uid="{00000000-0005-0000-0000-0000A4320000}"/>
    <cellStyle name="Normal 13 4 8 2 2 4" xfId="9063" xr:uid="{00000000-0005-0000-0000-0000A5320000}"/>
    <cellStyle name="Normal 13 4 8 2 2 5" xfId="9064" xr:uid="{00000000-0005-0000-0000-0000A6320000}"/>
    <cellStyle name="Normal 13 4 8 2 2 6" xfId="9065" xr:uid="{00000000-0005-0000-0000-0000A7320000}"/>
    <cellStyle name="Normal 13 4 8 2 3" xfId="9066" xr:uid="{00000000-0005-0000-0000-0000A8320000}"/>
    <cellStyle name="Normal 13 4 8 2 3 2" xfId="49926" xr:uid="{00000000-0005-0000-0000-0000A9320000}"/>
    <cellStyle name="Normal 13 4 8 2 3 3" xfId="49927" xr:uid="{00000000-0005-0000-0000-0000AA320000}"/>
    <cellStyle name="Normal 13 4 8 2 4" xfId="9067" xr:uid="{00000000-0005-0000-0000-0000AB320000}"/>
    <cellStyle name="Normal 13 4 8 2 4 2" xfId="49928" xr:uid="{00000000-0005-0000-0000-0000AC320000}"/>
    <cellStyle name="Normal 13 4 8 2 5" xfId="9068" xr:uid="{00000000-0005-0000-0000-0000AD320000}"/>
    <cellStyle name="Normal 13 4 8 2 6" xfId="9069" xr:uid="{00000000-0005-0000-0000-0000AE320000}"/>
    <cellStyle name="Normal 13 4 8 2 7" xfId="9070" xr:uid="{00000000-0005-0000-0000-0000AF320000}"/>
    <cellStyle name="Normal 13 4 8 3" xfId="9071" xr:uid="{00000000-0005-0000-0000-0000B0320000}"/>
    <cellStyle name="Normal 13 4 8 3 2" xfId="9072" xr:uid="{00000000-0005-0000-0000-0000B1320000}"/>
    <cellStyle name="Normal 13 4 8 3 2 2" xfId="49929" xr:uid="{00000000-0005-0000-0000-0000B2320000}"/>
    <cellStyle name="Normal 13 4 8 3 2 3" xfId="49930" xr:uid="{00000000-0005-0000-0000-0000B3320000}"/>
    <cellStyle name="Normal 13 4 8 3 3" xfId="9073" xr:uid="{00000000-0005-0000-0000-0000B4320000}"/>
    <cellStyle name="Normal 13 4 8 3 3 2" xfId="49931" xr:uid="{00000000-0005-0000-0000-0000B5320000}"/>
    <cellStyle name="Normal 13 4 8 3 4" xfId="9074" xr:uid="{00000000-0005-0000-0000-0000B6320000}"/>
    <cellStyle name="Normal 13 4 8 3 5" xfId="9075" xr:uid="{00000000-0005-0000-0000-0000B7320000}"/>
    <cellStyle name="Normal 13 4 8 3 6" xfId="9076" xr:uid="{00000000-0005-0000-0000-0000B8320000}"/>
    <cellStyle name="Normal 13 4 8 4" xfId="9077" xr:uid="{00000000-0005-0000-0000-0000B9320000}"/>
    <cellStyle name="Normal 13 4 8 4 2" xfId="49932" xr:uid="{00000000-0005-0000-0000-0000BA320000}"/>
    <cellStyle name="Normal 13 4 8 4 3" xfId="49933" xr:uid="{00000000-0005-0000-0000-0000BB320000}"/>
    <cellStyle name="Normal 13 4 8 5" xfId="9078" xr:uid="{00000000-0005-0000-0000-0000BC320000}"/>
    <cellStyle name="Normal 13 4 8 5 2" xfId="49934" xr:uid="{00000000-0005-0000-0000-0000BD320000}"/>
    <cellStyle name="Normal 13 4 8 6" xfId="9079" xr:uid="{00000000-0005-0000-0000-0000BE320000}"/>
    <cellStyle name="Normal 13 4 8 7" xfId="9080" xr:uid="{00000000-0005-0000-0000-0000BF320000}"/>
    <cellStyle name="Normal 13 4 8 8" xfId="9081" xr:uid="{00000000-0005-0000-0000-0000C0320000}"/>
    <cellStyle name="Normal 13 4 9" xfId="9082" xr:uid="{00000000-0005-0000-0000-0000C1320000}"/>
    <cellStyle name="Normal 13 4 9 2" xfId="9083" xr:uid="{00000000-0005-0000-0000-0000C2320000}"/>
    <cellStyle name="Normal 13 4 9 2 2" xfId="9084" xr:uid="{00000000-0005-0000-0000-0000C3320000}"/>
    <cellStyle name="Normal 13 4 9 2 2 2" xfId="9085" xr:uid="{00000000-0005-0000-0000-0000C4320000}"/>
    <cellStyle name="Normal 13 4 9 2 2 2 2" xfId="49935" xr:uid="{00000000-0005-0000-0000-0000C5320000}"/>
    <cellStyle name="Normal 13 4 9 2 2 2 3" xfId="49936" xr:uid="{00000000-0005-0000-0000-0000C6320000}"/>
    <cellStyle name="Normal 13 4 9 2 2 3" xfId="9086" xr:uid="{00000000-0005-0000-0000-0000C7320000}"/>
    <cellStyle name="Normal 13 4 9 2 2 3 2" xfId="49937" xr:uid="{00000000-0005-0000-0000-0000C8320000}"/>
    <cellStyle name="Normal 13 4 9 2 2 4" xfId="9087" xr:uid="{00000000-0005-0000-0000-0000C9320000}"/>
    <cellStyle name="Normal 13 4 9 2 2 5" xfId="9088" xr:uid="{00000000-0005-0000-0000-0000CA320000}"/>
    <cellStyle name="Normal 13 4 9 2 2 6" xfId="9089" xr:uid="{00000000-0005-0000-0000-0000CB320000}"/>
    <cellStyle name="Normal 13 4 9 2 3" xfId="9090" xr:uid="{00000000-0005-0000-0000-0000CC320000}"/>
    <cellStyle name="Normal 13 4 9 2 3 2" xfId="49938" xr:uid="{00000000-0005-0000-0000-0000CD320000}"/>
    <cellStyle name="Normal 13 4 9 2 3 3" xfId="49939" xr:uid="{00000000-0005-0000-0000-0000CE320000}"/>
    <cellStyle name="Normal 13 4 9 2 4" xfId="9091" xr:uid="{00000000-0005-0000-0000-0000CF320000}"/>
    <cellStyle name="Normal 13 4 9 2 4 2" xfId="49940" xr:uid="{00000000-0005-0000-0000-0000D0320000}"/>
    <cellStyle name="Normal 13 4 9 2 5" xfId="9092" xr:uid="{00000000-0005-0000-0000-0000D1320000}"/>
    <cellStyle name="Normal 13 4 9 2 6" xfId="9093" xr:uid="{00000000-0005-0000-0000-0000D2320000}"/>
    <cellStyle name="Normal 13 4 9 2 7" xfId="9094" xr:uid="{00000000-0005-0000-0000-0000D3320000}"/>
    <cellStyle name="Normal 13 4 9 3" xfId="9095" xr:uid="{00000000-0005-0000-0000-0000D4320000}"/>
    <cellStyle name="Normal 13 4 9 3 2" xfId="9096" xr:uid="{00000000-0005-0000-0000-0000D5320000}"/>
    <cellStyle name="Normal 13 4 9 3 2 2" xfId="49941" xr:uid="{00000000-0005-0000-0000-0000D6320000}"/>
    <cellStyle name="Normal 13 4 9 3 2 3" xfId="49942" xr:uid="{00000000-0005-0000-0000-0000D7320000}"/>
    <cellStyle name="Normal 13 4 9 3 3" xfId="9097" xr:uid="{00000000-0005-0000-0000-0000D8320000}"/>
    <cellStyle name="Normal 13 4 9 3 3 2" xfId="49943" xr:uid="{00000000-0005-0000-0000-0000D9320000}"/>
    <cellStyle name="Normal 13 4 9 3 4" xfId="9098" xr:uid="{00000000-0005-0000-0000-0000DA320000}"/>
    <cellStyle name="Normal 13 4 9 3 5" xfId="9099" xr:uid="{00000000-0005-0000-0000-0000DB320000}"/>
    <cellStyle name="Normal 13 4 9 3 6" xfId="9100" xr:uid="{00000000-0005-0000-0000-0000DC320000}"/>
    <cellStyle name="Normal 13 4 9 4" xfId="9101" xr:uid="{00000000-0005-0000-0000-0000DD320000}"/>
    <cellStyle name="Normal 13 4 9 4 2" xfId="49944" xr:uid="{00000000-0005-0000-0000-0000DE320000}"/>
    <cellStyle name="Normal 13 4 9 4 3" xfId="49945" xr:uid="{00000000-0005-0000-0000-0000DF320000}"/>
    <cellStyle name="Normal 13 4 9 5" xfId="9102" xr:uid="{00000000-0005-0000-0000-0000E0320000}"/>
    <cellStyle name="Normal 13 4 9 5 2" xfId="49946" xr:uid="{00000000-0005-0000-0000-0000E1320000}"/>
    <cellStyle name="Normal 13 4 9 6" xfId="9103" xr:uid="{00000000-0005-0000-0000-0000E2320000}"/>
    <cellStyle name="Normal 13 4 9 7" xfId="9104" xr:uid="{00000000-0005-0000-0000-0000E3320000}"/>
    <cellStyle name="Normal 13 4 9 8" xfId="9105" xr:uid="{00000000-0005-0000-0000-0000E4320000}"/>
    <cellStyle name="Normal 13 5" xfId="9106" xr:uid="{00000000-0005-0000-0000-0000E5320000}"/>
    <cellStyle name="Normal 13 5 10" xfId="9107" xr:uid="{00000000-0005-0000-0000-0000E6320000}"/>
    <cellStyle name="Normal 13 5 11" xfId="9108" xr:uid="{00000000-0005-0000-0000-0000E7320000}"/>
    <cellStyle name="Normal 13 5 12" xfId="9109" xr:uid="{00000000-0005-0000-0000-0000E8320000}"/>
    <cellStyle name="Normal 13 5 13" xfId="9110" xr:uid="{00000000-0005-0000-0000-0000E9320000}"/>
    <cellStyle name="Normal 13 5 14" xfId="9111" xr:uid="{00000000-0005-0000-0000-0000EA320000}"/>
    <cellStyle name="Normal 13 5 15" xfId="9112" xr:uid="{00000000-0005-0000-0000-0000EB320000}"/>
    <cellStyle name="Normal 13 5 16" xfId="9113" xr:uid="{00000000-0005-0000-0000-0000EC320000}"/>
    <cellStyle name="Normal 13 5 2" xfId="9114" xr:uid="{00000000-0005-0000-0000-0000ED320000}"/>
    <cellStyle name="Normal 13 5 2 10" xfId="9115" xr:uid="{00000000-0005-0000-0000-0000EE320000}"/>
    <cellStyle name="Normal 13 5 2 11" xfId="9116" xr:uid="{00000000-0005-0000-0000-0000EF320000}"/>
    <cellStyle name="Normal 13 5 2 12" xfId="9117" xr:uid="{00000000-0005-0000-0000-0000F0320000}"/>
    <cellStyle name="Normal 13 5 2 13" xfId="9118" xr:uid="{00000000-0005-0000-0000-0000F1320000}"/>
    <cellStyle name="Normal 13 5 2 14" xfId="9119" xr:uid="{00000000-0005-0000-0000-0000F2320000}"/>
    <cellStyle name="Normal 13 5 2 2" xfId="9120" xr:uid="{00000000-0005-0000-0000-0000F3320000}"/>
    <cellStyle name="Normal 13 5 2 2 2" xfId="9121" xr:uid="{00000000-0005-0000-0000-0000F4320000}"/>
    <cellStyle name="Normal 13 5 2 2 2 2" xfId="9122" xr:uid="{00000000-0005-0000-0000-0000F5320000}"/>
    <cellStyle name="Normal 13 5 2 2 2 2 2" xfId="9123" xr:uid="{00000000-0005-0000-0000-0000F6320000}"/>
    <cellStyle name="Normal 13 5 2 2 2 2 2 2" xfId="49947" xr:uid="{00000000-0005-0000-0000-0000F7320000}"/>
    <cellStyle name="Normal 13 5 2 2 2 2 2 3" xfId="49948" xr:uid="{00000000-0005-0000-0000-0000F8320000}"/>
    <cellStyle name="Normal 13 5 2 2 2 2 3" xfId="9124" xr:uid="{00000000-0005-0000-0000-0000F9320000}"/>
    <cellStyle name="Normal 13 5 2 2 2 2 3 2" xfId="49949" xr:uid="{00000000-0005-0000-0000-0000FA320000}"/>
    <cellStyle name="Normal 13 5 2 2 2 2 4" xfId="9125" xr:uid="{00000000-0005-0000-0000-0000FB320000}"/>
    <cellStyle name="Normal 13 5 2 2 2 2 5" xfId="9126" xr:uid="{00000000-0005-0000-0000-0000FC320000}"/>
    <cellStyle name="Normal 13 5 2 2 2 2 6" xfId="9127" xr:uid="{00000000-0005-0000-0000-0000FD320000}"/>
    <cellStyle name="Normal 13 5 2 2 2 3" xfId="9128" xr:uid="{00000000-0005-0000-0000-0000FE320000}"/>
    <cellStyle name="Normal 13 5 2 2 2 3 2" xfId="49950" xr:uid="{00000000-0005-0000-0000-0000FF320000}"/>
    <cellStyle name="Normal 13 5 2 2 2 3 3" xfId="49951" xr:uid="{00000000-0005-0000-0000-000000330000}"/>
    <cellStyle name="Normal 13 5 2 2 2 4" xfId="9129" xr:uid="{00000000-0005-0000-0000-000001330000}"/>
    <cellStyle name="Normal 13 5 2 2 2 4 2" xfId="49952" xr:uid="{00000000-0005-0000-0000-000002330000}"/>
    <cellStyle name="Normal 13 5 2 2 2 5" xfId="9130" xr:uid="{00000000-0005-0000-0000-000003330000}"/>
    <cellStyle name="Normal 13 5 2 2 2 6" xfId="9131" xr:uid="{00000000-0005-0000-0000-000004330000}"/>
    <cellStyle name="Normal 13 5 2 2 2 7" xfId="9132" xr:uid="{00000000-0005-0000-0000-000005330000}"/>
    <cellStyle name="Normal 13 5 2 2 3" xfId="9133" xr:uid="{00000000-0005-0000-0000-000006330000}"/>
    <cellStyle name="Normal 13 5 2 2 3 2" xfId="9134" xr:uid="{00000000-0005-0000-0000-000007330000}"/>
    <cellStyle name="Normal 13 5 2 2 3 2 2" xfId="49953" xr:uid="{00000000-0005-0000-0000-000008330000}"/>
    <cellStyle name="Normal 13 5 2 2 3 2 3" xfId="49954" xr:uid="{00000000-0005-0000-0000-000009330000}"/>
    <cellStyle name="Normal 13 5 2 2 3 3" xfId="9135" xr:uid="{00000000-0005-0000-0000-00000A330000}"/>
    <cellStyle name="Normal 13 5 2 2 3 3 2" xfId="49955" xr:uid="{00000000-0005-0000-0000-00000B330000}"/>
    <cellStyle name="Normal 13 5 2 2 3 4" xfId="9136" xr:uid="{00000000-0005-0000-0000-00000C330000}"/>
    <cellStyle name="Normal 13 5 2 2 3 5" xfId="9137" xr:uid="{00000000-0005-0000-0000-00000D330000}"/>
    <cellStyle name="Normal 13 5 2 2 3 6" xfId="9138" xr:uid="{00000000-0005-0000-0000-00000E330000}"/>
    <cellStyle name="Normal 13 5 2 2 4" xfId="9139" xr:uid="{00000000-0005-0000-0000-00000F330000}"/>
    <cellStyle name="Normal 13 5 2 2 4 2" xfId="49956" xr:uid="{00000000-0005-0000-0000-000010330000}"/>
    <cellStyle name="Normal 13 5 2 2 4 3" xfId="49957" xr:uid="{00000000-0005-0000-0000-000011330000}"/>
    <cellStyle name="Normal 13 5 2 2 5" xfId="9140" xr:uid="{00000000-0005-0000-0000-000012330000}"/>
    <cellStyle name="Normal 13 5 2 2 5 2" xfId="49958" xr:uid="{00000000-0005-0000-0000-000013330000}"/>
    <cellStyle name="Normal 13 5 2 2 6" xfId="9141" xr:uid="{00000000-0005-0000-0000-000014330000}"/>
    <cellStyle name="Normal 13 5 2 2 7" xfId="9142" xr:uid="{00000000-0005-0000-0000-000015330000}"/>
    <cellStyle name="Normal 13 5 2 2 8" xfId="9143" xr:uid="{00000000-0005-0000-0000-000016330000}"/>
    <cellStyle name="Normal 13 5 2 2 9" xfId="9144" xr:uid="{00000000-0005-0000-0000-000017330000}"/>
    <cellStyle name="Normal 13 5 2 3" xfId="9145" xr:uid="{00000000-0005-0000-0000-000018330000}"/>
    <cellStyle name="Normal 13 5 2 3 2" xfId="9146" xr:uid="{00000000-0005-0000-0000-000019330000}"/>
    <cellStyle name="Normal 13 5 2 3 2 2" xfId="9147" xr:uid="{00000000-0005-0000-0000-00001A330000}"/>
    <cellStyle name="Normal 13 5 2 3 2 2 2" xfId="9148" xr:uid="{00000000-0005-0000-0000-00001B330000}"/>
    <cellStyle name="Normal 13 5 2 3 2 2 2 2" xfId="49959" xr:uid="{00000000-0005-0000-0000-00001C330000}"/>
    <cellStyle name="Normal 13 5 2 3 2 2 2 3" xfId="49960" xr:uid="{00000000-0005-0000-0000-00001D330000}"/>
    <cellStyle name="Normal 13 5 2 3 2 2 3" xfId="9149" xr:uid="{00000000-0005-0000-0000-00001E330000}"/>
    <cellStyle name="Normal 13 5 2 3 2 2 3 2" xfId="49961" xr:uid="{00000000-0005-0000-0000-00001F330000}"/>
    <cellStyle name="Normal 13 5 2 3 2 2 4" xfId="9150" xr:uid="{00000000-0005-0000-0000-000020330000}"/>
    <cellStyle name="Normal 13 5 2 3 2 2 5" xfId="9151" xr:uid="{00000000-0005-0000-0000-000021330000}"/>
    <cellStyle name="Normal 13 5 2 3 2 2 6" xfId="9152" xr:uid="{00000000-0005-0000-0000-000022330000}"/>
    <cellStyle name="Normal 13 5 2 3 2 3" xfId="9153" xr:uid="{00000000-0005-0000-0000-000023330000}"/>
    <cellStyle name="Normal 13 5 2 3 2 3 2" xfId="49962" xr:uid="{00000000-0005-0000-0000-000024330000}"/>
    <cellStyle name="Normal 13 5 2 3 2 3 3" xfId="49963" xr:uid="{00000000-0005-0000-0000-000025330000}"/>
    <cellStyle name="Normal 13 5 2 3 2 4" xfId="9154" xr:uid="{00000000-0005-0000-0000-000026330000}"/>
    <cellStyle name="Normal 13 5 2 3 2 4 2" xfId="49964" xr:uid="{00000000-0005-0000-0000-000027330000}"/>
    <cellStyle name="Normal 13 5 2 3 2 5" xfId="9155" xr:uid="{00000000-0005-0000-0000-000028330000}"/>
    <cellStyle name="Normal 13 5 2 3 2 6" xfId="9156" xr:uid="{00000000-0005-0000-0000-000029330000}"/>
    <cellStyle name="Normal 13 5 2 3 2 7" xfId="9157" xr:uid="{00000000-0005-0000-0000-00002A330000}"/>
    <cellStyle name="Normal 13 5 2 3 3" xfId="9158" xr:uid="{00000000-0005-0000-0000-00002B330000}"/>
    <cellStyle name="Normal 13 5 2 3 3 2" xfId="9159" xr:uid="{00000000-0005-0000-0000-00002C330000}"/>
    <cellStyle name="Normal 13 5 2 3 3 2 2" xfId="49965" xr:uid="{00000000-0005-0000-0000-00002D330000}"/>
    <cellStyle name="Normal 13 5 2 3 3 2 3" xfId="49966" xr:uid="{00000000-0005-0000-0000-00002E330000}"/>
    <cellStyle name="Normal 13 5 2 3 3 3" xfId="9160" xr:uid="{00000000-0005-0000-0000-00002F330000}"/>
    <cellStyle name="Normal 13 5 2 3 3 3 2" xfId="49967" xr:uid="{00000000-0005-0000-0000-000030330000}"/>
    <cellStyle name="Normal 13 5 2 3 3 4" xfId="9161" xr:uid="{00000000-0005-0000-0000-000031330000}"/>
    <cellStyle name="Normal 13 5 2 3 3 5" xfId="9162" xr:uid="{00000000-0005-0000-0000-000032330000}"/>
    <cellStyle name="Normal 13 5 2 3 3 6" xfId="9163" xr:uid="{00000000-0005-0000-0000-000033330000}"/>
    <cellStyle name="Normal 13 5 2 3 4" xfId="9164" xr:uid="{00000000-0005-0000-0000-000034330000}"/>
    <cellStyle name="Normal 13 5 2 3 4 2" xfId="49968" xr:uid="{00000000-0005-0000-0000-000035330000}"/>
    <cellStyle name="Normal 13 5 2 3 4 3" xfId="49969" xr:uid="{00000000-0005-0000-0000-000036330000}"/>
    <cellStyle name="Normal 13 5 2 3 5" xfId="9165" xr:uid="{00000000-0005-0000-0000-000037330000}"/>
    <cellStyle name="Normal 13 5 2 3 5 2" xfId="49970" xr:uid="{00000000-0005-0000-0000-000038330000}"/>
    <cellStyle name="Normal 13 5 2 3 6" xfId="9166" xr:uid="{00000000-0005-0000-0000-000039330000}"/>
    <cellStyle name="Normal 13 5 2 3 7" xfId="9167" xr:uid="{00000000-0005-0000-0000-00003A330000}"/>
    <cellStyle name="Normal 13 5 2 3 8" xfId="9168" xr:uid="{00000000-0005-0000-0000-00003B330000}"/>
    <cellStyle name="Normal 13 5 2 4" xfId="9169" xr:uid="{00000000-0005-0000-0000-00003C330000}"/>
    <cellStyle name="Normal 13 5 2 4 2" xfId="9170" xr:uid="{00000000-0005-0000-0000-00003D330000}"/>
    <cellStyle name="Normal 13 5 2 4 2 2" xfId="9171" xr:uid="{00000000-0005-0000-0000-00003E330000}"/>
    <cellStyle name="Normal 13 5 2 4 2 2 2" xfId="49971" xr:uid="{00000000-0005-0000-0000-00003F330000}"/>
    <cellStyle name="Normal 13 5 2 4 2 2 3" xfId="49972" xr:uid="{00000000-0005-0000-0000-000040330000}"/>
    <cellStyle name="Normal 13 5 2 4 2 3" xfId="9172" xr:uid="{00000000-0005-0000-0000-000041330000}"/>
    <cellStyle name="Normal 13 5 2 4 2 3 2" xfId="49973" xr:uid="{00000000-0005-0000-0000-000042330000}"/>
    <cellStyle name="Normal 13 5 2 4 2 4" xfId="9173" xr:uid="{00000000-0005-0000-0000-000043330000}"/>
    <cellStyle name="Normal 13 5 2 4 2 5" xfId="9174" xr:uid="{00000000-0005-0000-0000-000044330000}"/>
    <cellStyle name="Normal 13 5 2 4 2 6" xfId="9175" xr:uid="{00000000-0005-0000-0000-000045330000}"/>
    <cellStyle name="Normal 13 5 2 4 3" xfId="9176" xr:uid="{00000000-0005-0000-0000-000046330000}"/>
    <cellStyle name="Normal 13 5 2 4 3 2" xfId="49974" xr:uid="{00000000-0005-0000-0000-000047330000}"/>
    <cellStyle name="Normal 13 5 2 4 3 3" xfId="49975" xr:uid="{00000000-0005-0000-0000-000048330000}"/>
    <cellStyle name="Normal 13 5 2 4 4" xfId="9177" xr:uid="{00000000-0005-0000-0000-000049330000}"/>
    <cellStyle name="Normal 13 5 2 4 4 2" xfId="49976" xr:uid="{00000000-0005-0000-0000-00004A330000}"/>
    <cellStyle name="Normal 13 5 2 4 5" xfId="9178" xr:uid="{00000000-0005-0000-0000-00004B330000}"/>
    <cellStyle name="Normal 13 5 2 4 6" xfId="9179" xr:uid="{00000000-0005-0000-0000-00004C330000}"/>
    <cellStyle name="Normal 13 5 2 4 7" xfId="9180" xr:uid="{00000000-0005-0000-0000-00004D330000}"/>
    <cellStyle name="Normal 13 5 2 5" xfId="9181" xr:uid="{00000000-0005-0000-0000-00004E330000}"/>
    <cellStyle name="Normal 13 5 2 5 2" xfId="9182" xr:uid="{00000000-0005-0000-0000-00004F330000}"/>
    <cellStyle name="Normal 13 5 2 5 2 2" xfId="49977" xr:uid="{00000000-0005-0000-0000-000050330000}"/>
    <cellStyle name="Normal 13 5 2 5 2 3" xfId="49978" xr:uid="{00000000-0005-0000-0000-000051330000}"/>
    <cellStyle name="Normal 13 5 2 5 3" xfId="9183" xr:uid="{00000000-0005-0000-0000-000052330000}"/>
    <cellStyle name="Normal 13 5 2 5 3 2" xfId="49979" xr:uid="{00000000-0005-0000-0000-000053330000}"/>
    <cellStyle name="Normal 13 5 2 5 4" xfId="9184" xr:uid="{00000000-0005-0000-0000-000054330000}"/>
    <cellStyle name="Normal 13 5 2 5 5" xfId="9185" xr:uid="{00000000-0005-0000-0000-000055330000}"/>
    <cellStyle name="Normal 13 5 2 5 6" xfId="9186" xr:uid="{00000000-0005-0000-0000-000056330000}"/>
    <cellStyle name="Normal 13 5 2 6" xfId="9187" xr:uid="{00000000-0005-0000-0000-000057330000}"/>
    <cellStyle name="Normal 13 5 2 6 2" xfId="49980" xr:uid="{00000000-0005-0000-0000-000058330000}"/>
    <cellStyle name="Normal 13 5 2 6 3" xfId="49981" xr:uid="{00000000-0005-0000-0000-000059330000}"/>
    <cellStyle name="Normal 13 5 2 7" xfId="9188" xr:uid="{00000000-0005-0000-0000-00005A330000}"/>
    <cellStyle name="Normal 13 5 2 7 2" xfId="49982" xr:uid="{00000000-0005-0000-0000-00005B330000}"/>
    <cellStyle name="Normal 13 5 2 8" xfId="9189" xr:uid="{00000000-0005-0000-0000-00005C330000}"/>
    <cellStyle name="Normal 13 5 2 9" xfId="9190" xr:uid="{00000000-0005-0000-0000-00005D330000}"/>
    <cellStyle name="Normal 13 5 3" xfId="9191" xr:uid="{00000000-0005-0000-0000-00005E330000}"/>
    <cellStyle name="Normal 13 5 3 2" xfId="9192" xr:uid="{00000000-0005-0000-0000-00005F330000}"/>
    <cellStyle name="Normal 13 5 3 2 2" xfId="9193" xr:uid="{00000000-0005-0000-0000-000060330000}"/>
    <cellStyle name="Normal 13 5 3 2 2 2" xfId="9194" xr:uid="{00000000-0005-0000-0000-000061330000}"/>
    <cellStyle name="Normal 13 5 3 2 2 2 2" xfId="49983" xr:uid="{00000000-0005-0000-0000-000062330000}"/>
    <cellStyle name="Normal 13 5 3 2 2 2 3" xfId="49984" xr:uid="{00000000-0005-0000-0000-000063330000}"/>
    <cellStyle name="Normal 13 5 3 2 2 3" xfId="9195" xr:uid="{00000000-0005-0000-0000-000064330000}"/>
    <cellStyle name="Normal 13 5 3 2 2 3 2" xfId="49985" xr:uid="{00000000-0005-0000-0000-000065330000}"/>
    <cellStyle name="Normal 13 5 3 2 2 4" xfId="9196" xr:uid="{00000000-0005-0000-0000-000066330000}"/>
    <cellStyle name="Normal 13 5 3 2 2 5" xfId="9197" xr:uid="{00000000-0005-0000-0000-000067330000}"/>
    <cellStyle name="Normal 13 5 3 2 2 6" xfId="9198" xr:uid="{00000000-0005-0000-0000-000068330000}"/>
    <cellStyle name="Normal 13 5 3 2 3" xfId="9199" xr:uid="{00000000-0005-0000-0000-000069330000}"/>
    <cellStyle name="Normal 13 5 3 2 3 2" xfId="49986" xr:uid="{00000000-0005-0000-0000-00006A330000}"/>
    <cellStyle name="Normal 13 5 3 2 3 3" xfId="49987" xr:uid="{00000000-0005-0000-0000-00006B330000}"/>
    <cellStyle name="Normal 13 5 3 2 4" xfId="9200" xr:uid="{00000000-0005-0000-0000-00006C330000}"/>
    <cellStyle name="Normal 13 5 3 2 4 2" xfId="49988" xr:uid="{00000000-0005-0000-0000-00006D330000}"/>
    <cellStyle name="Normal 13 5 3 2 5" xfId="9201" xr:uid="{00000000-0005-0000-0000-00006E330000}"/>
    <cellStyle name="Normal 13 5 3 2 6" xfId="9202" xr:uid="{00000000-0005-0000-0000-00006F330000}"/>
    <cellStyle name="Normal 13 5 3 2 7" xfId="9203" xr:uid="{00000000-0005-0000-0000-000070330000}"/>
    <cellStyle name="Normal 13 5 3 3" xfId="9204" xr:uid="{00000000-0005-0000-0000-000071330000}"/>
    <cellStyle name="Normal 13 5 3 3 2" xfId="9205" xr:uid="{00000000-0005-0000-0000-000072330000}"/>
    <cellStyle name="Normal 13 5 3 3 2 2" xfId="49989" xr:uid="{00000000-0005-0000-0000-000073330000}"/>
    <cellStyle name="Normal 13 5 3 3 2 3" xfId="49990" xr:uid="{00000000-0005-0000-0000-000074330000}"/>
    <cellStyle name="Normal 13 5 3 3 3" xfId="9206" xr:uid="{00000000-0005-0000-0000-000075330000}"/>
    <cellStyle name="Normal 13 5 3 3 3 2" xfId="49991" xr:uid="{00000000-0005-0000-0000-000076330000}"/>
    <cellStyle name="Normal 13 5 3 3 4" xfId="9207" xr:uid="{00000000-0005-0000-0000-000077330000}"/>
    <cellStyle name="Normal 13 5 3 3 5" xfId="9208" xr:uid="{00000000-0005-0000-0000-000078330000}"/>
    <cellStyle name="Normal 13 5 3 3 6" xfId="9209" xr:uid="{00000000-0005-0000-0000-000079330000}"/>
    <cellStyle name="Normal 13 5 3 4" xfId="9210" xr:uid="{00000000-0005-0000-0000-00007A330000}"/>
    <cellStyle name="Normal 13 5 3 4 2" xfId="49992" xr:uid="{00000000-0005-0000-0000-00007B330000}"/>
    <cellStyle name="Normal 13 5 3 4 3" xfId="49993" xr:uid="{00000000-0005-0000-0000-00007C330000}"/>
    <cellStyle name="Normal 13 5 3 5" xfId="9211" xr:uid="{00000000-0005-0000-0000-00007D330000}"/>
    <cellStyle name="Normal 13 5 3 5 2" xfId="49994" xr:uid="{00000000-0005-0000-0000-00007E330000}"/>
    <cellStyle name="Normal 13 5 3 6" xfId="9212" xr:uid="{00000000-0005-0000-0000-00007F330000}"/>
    <cellStyle name="Normal 13 5 3 7" xfId="9213" xr:uid="{00000000-0005-0000-0000-000080330000}"/>
    <cellStyle name="Normal 13 5 3 8" xfId="9214" xr:uid="{00000000-0005-0000-0000-000081330000}"/>
    <cellStyle name="Normal 13 5 3 9" xfId="9215" xr:uid="{00000000-0005-0000-0000-000082330000}"/>
    <cellStyle name="Normal 13 5 4" xfId="9216" xr:uid="{00000000-0005-0000-0000-000083330000}"/>
    <cellStyle name="Normal 13 5 4 2" xfId="9217" xr:uid="{00000000-0005-0000-0000-000084330000}"/>
    <cellStyle name="Normal 13 5 4 2 2" xfId="9218" xr:uid="{00000000-0005-0000-0000-000085330000}"/>
    <cellStyle name="Normal 13 5 4 2 2 2" xfId="9219" xr:uid="{00000000-0005-0000-0000-000086330000}"/>
    <cellStyle name="Normal 13 5 4 2 2 2 2" xfId="49995" xr:uid="{00000000-0005-0000-0000-000087330000}"/>
    <cellStyle name="Normal 13 5 4 2 2 2 3" xfId="49996" xr:uid="{00000000-0005-0000-0000-000088330000}"/>
    <cellStyle name="Normal 13 5 4 2 2 3" xfId="9220" xr:uid="{00000000-0005-0000-0000-000089330000}"/>
    <cellStyle name="Normal 13 5 4 2 2 3 2" xfId="49997" xr:uid="{00000000-0005-0000-0000-00008A330000}"/>
    <cellStyle name="Normal 13 5 4 2 2 4" xfId="9221" xr:uid="{00000000-0005-0000-0000-00008B330000}"/>
    <cellStyle name="Normal 13 5 4 2 2 5" xfId="9222" xr:uid="{00000000-0005-0000-0000-00008C330000}"/>
    <cellStyle name="Normal 13 5 4 2 2 6" xfId="9223" xr:uid="{00000000-0005-0000-0000-00008D330000}"/>
    <cellStyle name="Normal 13 5 4 2 3" xfId="9224" xr:uid="{00000000-0005-0000-0000-00008E330000}"/>
    <cellStyle name="Normal 13 5 4 2 3 2" xfId="49998" xr:uid="{00000000-0005-0000-0000-00008F330000}"/>
    <cellStyle name="Normal 13 5 4 2 3 3" xfId="49999" xr:uid="{00000000-0005-0000-0000-000090330000}"/>
    <cellStyle name="Normal 13 5 4 2 4" xfId="9225" xr:uid="{00000000-0005-0000-0000-000091330000}"/>
    <cellStyle name="Normal 13 5 4 2 4 2" xfId="50000" xr:uid="{00000000-0005-0000-0000-000092330000}"/>
    <cellStyle name="Normal 13 5 4 2 5" xfId="9226" xr:uid="{00000000-0005-0000-0000-000093330000}"/>
    <cellStyle name="Normal 13 5 4 2 6" xfId="9227" xr:uid="{00000000-0005-0000-0000-000094330000}"/>
    <cellStyle name="Normal 13 5 4 2 7" xfId="9228" xr:uid="{00000000-0005-0000-0000-000095330000}"/>
    <cellStyle name="Normal 13 5 4 3" xfId="9229" xr:uid="{00000000-0005-0000-0000-000096330000}"/>
    <cellStyle name="Normal 13 5 4 3 2" xfId="9230" xr:uid="{00000000-0005-0000-0000-000097330000}"/>
    <cellStyle name="Normal 13 5 4 3 2 2" xfId="50001" xr:uid="{00000000-0005-0000-0000-000098330000}"/>
    <cellStyle name="Normal 13 5 4 3 2 3" xfId="50002" xr:uid="{00000000-0005-0000-0000-000099330000}"/>
    <cellStyle name="Normal 13 5 4 3 3" xfId="9231" xr:uid="{00000000-0005-0000-0000-00009A330000}"/>
    <cellStyle name="Normal 13 5 4 3 3 2" xfId="50003" xr:uid="{00000000-0005-0000-0000-00009B330000}"/>
    <cellStyle name="Normal 13 5 4 3 4" xfId="9232" xr:uid="{00000000-0005-0000-0000-00009C330000}"/>
    <cellStyle name="Normal 13 5 4 3 5" xfId="9233" xr:uid="{00000000-0005-0000-0000-00009D330000}"/>
    <cellStyle name="Normal 13 5 4 3 6" xfId="9234" xr:uid="{00000000-0005-0000-0000-00009E330000}"/>
    <cellStyle name="Normal 13 5 4 4" xfId="9235" xr:uid="{00000000-0005-0000-0000-00009F330000}"/>
    <cellStyle name="Normal 13 5 4 4 2" xfId="50004" xr:uid="{00000000-0005-0000-0000-0000A0330000}"/>
    <cellStyle name="Normal 13 5 4 4 3" xfId="50005" xr:uid="{00000000-0005-0000-0000-0000A1330000}"/>
    <cellStyle name="Normal 13 5 4 5" xfId="9236" xr:uid="{00000000-0005-0000-0000-0000A2330000}"/>
    <cellStyle name="Normal 13 5 4 5 2" xfId="50006" xr:uid="{00000000-0005-0000-0000-0000A3330000}"/>
    <cellStyle name="Normal 13 5 4 6" xfId="9237" xr:uid="{00000000-0005-0000-0000-0000A4330000}"/>
    <cellStyle name="Normal 13 5 4 7" xfId="9238" xr:uid="{00000000-0005-0000-0000-0000A5330000}"/>
    <cellStyle name="Normal 13 5 4 8" xfId="9239" xr:uid="{00000000-0005-0000-0000-0000A6330000}"/>
    <cellStyle name="Normal 13 5 5" xfId="9240" xr:uid="{00000000-0005-0000-0000-0000A7330000}"/>
    <cellStyle name="Normal 13 5 5 2" xfId="9241" xr:uid="{00000000-0005-0000-0000-0000A8330000}"/>
    <cellStyle name="Normal 13 5 5 2 2" xfId="9242" xr:uid="{00000000-0005-0000-0000-0000A9330000}"/>
    <cellStyle name="Normal 13 5 5 2 2 2" xfId="50007" xr:uid="{00000000-0005-0000-0000-0000AA330000}"/>
    <cellStyle name="Normal 13 5 5 2 2 3" xfId="50008" xr:uid="{00000000-0005-0000-0000-0000AB330000}"/>
    <cellStyle name="Normal 13 5 5 2 3" xfId="9243" xr:uid="{00000000-0005-0000-0000-0000AC330000}"/>
    <cellStyle name="Normal 13 5 5 2 3 2" xfId="50009" xr:uid="{00000000-0005-0000-0000-0000AD330000}"/>
    <cellStyle name="Normal 13 5 5 2 4" xfId="9244" xr:uid="{00000000-0005-0000-0000-0000AE330000}"/>
    <cellStyle name="Normal 13 5 5 2 5" xfId="9245" xr:uid="{00000000-0005-0000-0000-0000AF330000}"/>
    <cellStyle name="Normal 13 5 5 2 6" xfId="9246" xr:uid="{00000000-0005-0000-0000-0000B0330000}"/>
    <cellStyle name="Normal 13 5 5 3" xfId="9247" xr:uid="{00000000-0005-0000-0000-0000B1330000}"/>
    <cellStyle name="Normal 13 5 5 3 2" xfId="50010" xr:uid="{00000000-0005-0000-0000-0000B2330000}"/>
    <cellStyle name="Normal 13 5 5 3 3" xfId="50011" xr:uid="{00000000-0005-0000-0000-0000B3330000}"/>
    <cellStyle name="Normal 13 5 5 4" xfId="9248" xr:uid="{00000000-0005-0000-0000-0000B4330000}"/>
    <cellStyle name="Normal 13 5 5 4 2" xfId="50012" xr:uid="{00000000-0005-0000-0000-0000B5330000}"/>
    <cellStyle name="Normal 13 5 5 5" xfId="9249" xr:uid="{00000000-0005-0000-0000-0000B6330000}"/>
    <cellStyle name="Normal 13 5 5 6" xfId="9250" xr:uid="{00000000-0005-0000-0000-0000B7330000}"/>
    <cellStyle name="Normal 13 5 5 7" xfId="9251" xr:uid="{00000000-0005-0000-0000-0000B8330000}"/>
    <cellStyle name="Normal 13 5 6" xfId="9252" xr:uid="{00000000-0005-0000-0000-0000B9330000}"/>
    <cellStyle name="Normal 13 5 6 2" xfId="9253" xr:uid="{00000000-0005-0000-0000-0000BA330000}"/>
    <cellStyle name="Normal 13 5 6 2 2" xfId="50013" xr:uid="{00000000-0005-0000-0000-0000BB330000}"/>
    <cellStyle name="Normal 13 5 6 2 3" xfId="50014" xr:uid="{00000000-0005-0000-0000-0000BC330000}"/>
    <cellStyle name="Normal 13 5 6 3" xfId="9254" xr:uid="{00000000-0005-0000-0000-0000BD330000}"/>
    <cellStyle name="Normal 13 5 6 3 2" xfId="50015" xr:uid="{00000000-0005-0000-0000-0000BE330000}"/>
    <cellStyle name="Normal 13 5 6 4" xfId="9255" xr:uid="{00000000-0005-0000-0000-0000BF330000}"/>
    <cellStyle name="Normal 13 5 6 5" xfId="9256" xr:uid="{00000000-0005-0000-0000-0000C0330000}"/>
    <cellStyle name="Normal 13 5 6 6" xfId="9257" xr:uid="{00000000-0005-0000-0000-0000C1330000}"/>
    <cellStyle name="Normal 13 5 7" xfId="9258" xr:uid="{00000000-0005-0000-0000-0000C2330000}"/>
    <cellStyle name="Normal 13 5 7 2" xfId="50016" xr:uid="{00000000-0005-0000-0000-0000C3330000}"/>
    <cellStyle name="Normal 13 5 8" xfId="9259" xr:uid="{00000000-0005-0000-0000-0000C4330000}"/>
    <cellStyle name="Normal 13 5 9" xfId="9260" xr:uid="{00000000-0005-0000-0000-0000C5330000}"/>
    <cellStyle name="Normal 13 6" xfId="9261" xr:uid="{00000000-0005-0000-0000-0000C6330000}"/>
    <cellStyle name="Normal 13 6 10" xfId="9262" xr:uid="{00000000-0005-0000-0000-0000C7330000}"/>
    <cellStyle name="Normal 13 6 11" xfId="9263" xr:uid="{00000000-0005-0000-0000-0000C8330000}"/>
    <cellStyle name="Normal 13 6 12" xfId="9264" xr:uid="{00000000-0005-0000-0000-0000C9330000}"/>
    <cellStyle name="Normal 13 6 13" xfId="9265" xr:uid="{00000000-0005-0000-0000-0000CA330000}"/>
    <cellStyle name="Normal 13 6 14" xfId="9266" xr:uid="{00000000-0005-0000-0000-0000CB330000}"/>
    <cellStyle name="Normal 13 6 15" xfId="9267" xr:uid="{00000000-0005-0000-0000-0000CC330000}"/>
    <cellStyle name="Normal 13 6 2" xfId="9268" xr:uid="{00000000-0005-0000-0000-0000CD330000}"/>
    <cellStyle name="Normal 13 6 2 10" xfId="9269" xr:uid="{00000000-0005-0000-0000-0000CE330000}"/>
    <cellStyle name="Normal 13 6 2 11" xfId="9270" xr:uid="{00000000-0005-0000-0000-0000CF330000}"/>
    <cellStyle name="Normal 13 6 2 12" xfId="9271" xr:uid="{00000000-0005-0000-0000-0000D0330000}"/>
    <cellStyle name="Normal 13 6 2 13" xfId="9272" xr:uid="{00000000-0005-0000-0000-0000D1330000}"/>
    <cellStyle name="Normal 13 6 2 14" xfId="9273" xr:uid="{00000000-0005-0000-0000-0000D2330000}"/>
    <cellStyle name="Normal 13 6 2 2" xfId="9274" xr:uid="{00000000-0005-0000-0000-0000D3330000}"/>
    <cellStyle name="Normal 13 6 2 2 2" xfId="9275" xr:uid="{00000000-0005-0000-0000-0000D4330000}"/>
    <cellStyle name="Normal 13 6 2 2 2 2" xfId="9276" xr:uid="{00000000-0005-0000-0000-0000D5330000}"/>
    <cellStyle name="Normal 13 6 2 2 2 2 2" xfId="9277" xr:uid="{00000000-0005-0000-0000-0000D6330000}"/>
    <cellStyle name="Normal 13 6 2 2 2 2 2 2" xfId="50017" xr:uid="{00000000-0005-0000-0000-0000D7330000}"/>
    <cellStyle name="Normal 13 6 2 2 2 2 2 3" xfId="50018" xr:uid="{00000000-0005-0000-0000-0000D8330000}"/>
    <cellStyle name="Normal 13 6 2 2 2 2 3" xfId="9278" xr:uid="{00000000-0005-0000-0000-0000D9330000}"/>
    <cellStyle name="Normal 13 6 2 2 2 2 3 2" xfId="50019" xr:uid="{00000000-0005-0000-0000-0000DA330000}"/>
    <cellStyle name="Normal 13 6 2 2 2 2 4" xfId="9279" xr:uid="{00000000-0005-0000-0000-0000DB330000}"/>
    <cellStyle name="Normal 13 6 2 2 2 2 5" xfId="9280" xr:uid="{00000000-0005-0000-0000-0000DC330000}"/>
    <cellStyle name="Normal 13 6 2 2 2 2 6" xfId="9281" xr:uid="{00000000-0005-0000-0000-0000DD330000}"/>
    <cellStyle name="Normal 13 6 2 2 2 3" xfId="9282" xr:uid="{00000000-0005-0000-0000-0000DE330000}"/>
    <cellStyle name="Normal 13 6 2 2 2 3 2" xfId="50020" xr:uid="{00000000-0005-0000-0000-0000DF330000}"/>
    <cellStyle name="Normal 13 6 2 2 2 3 3" xfId="50021" xr:uid="{00000000-0005-0000-0000-0000E0330000}"/>
    <cellStyle name="Normal 13 6 2 2 2 4" xfId="9283" xr:uid="{00000000-0005-0000-0000-0000E1330000}"/>
    <cellStyle name="Normal 13 6 2 2 2 4 2" xfId="50022" xr:uid="{00000000-0005-0000-0000-0000E2330000}"/>
    <cellStyle name="Normal 13 6 2 2 2 5" xfId="9284" xr:uid="{00000000-0005-0000-0000-0000E3330000}"/>
    <cellStyle name="Normal 13 6 2 2 2 6" xfId="9285" xr:uid="{00000000-0005-0000-0000-0000E4330000}"/>
    <cellStyle name="Normal 13 6 2 2 2 7" xfId="9286" xr:uid="{00000000-0005-0000-0000-0000E5330000}"/>
    <cellStyle name="Normal 13 6 2 2 3" xfId="9287" xr:uid="{00000000-0005-0000-0000-0000E6330000}"/>
    <cellStyle name="Normal 13 6 2 2 3 2" xfId="9288" xr:uid="{00000000-0005-0000-0000-0000E7330000}"/>
    <cellStyle name="Normal 13 6 2 2 3 2 2" xfId="50023" xr:uid="{00000000-0005-0000-0000-0000E8330000}"/>
    <cellStyle name="Normal 13 6 2 2 3 2 3" xfId="50024" xr:uid="{00000000-0005-0000-0000-0000E9330000}"/>
    <cellStyle name="Normal 13 6 2 2 3 3" xfId="9289" xr:uid="{00000000-0005-0000-0000-0000EA330000}"/>
    <cellStyle name="Normal 13 6 2 2 3 3 2" xfId="50025" xr:uid="{00000000-0005-0000-0000-0000EB330000}"/>
    <cellStyle name="Normal 13 6 2 2 3 4" xfId="9290" xr:uid="{00000000-0005-0000-0000-0000EC330000}"/>
    <cellStyle name="Normal 13 6 2 2 3 5" xfId="9291" xr:uid="{00000000-0005-0000-0000-0000ED330000}"/>
    <cellStyle name="Normal 13 6 2 2 3 6" xfId="9292" xr:uid="{00000000-0005-0000-0000-0000EE330000}"/>
    <cellStyle name="Normal 13 6 2 2 4" xfId="9293" xr:uid="{00000000-0005-0000-0000-0000EF330000}"/>
    <cellStyle name="Normal 13 6 2 2 4 2" xfId="50026" xr:uid="{00000000-0005-0000-0000-0000F0330000}"/>
    <cellStyle name="Normal 13 6 2 2 4 3" xfId="50027" xr:uid="{00000000-0005-0000-0000-0000F1330000}"/>
    <cellStyle name="Normal 13 6 2 2 5" xfId="9294" xr:uid="{00000000-0005-0000-0000-0000F2330000}"/>
    <cellStyle name="Normal 13 6 2 2 5 2" xfId="50028" xr:uid="{00000000-0005-0000-0000-0000F3330000}"/>
    <cellStyle name="Normal 13 6 2 2 6" xfId="9295" xr:uid="{00000000-0005-0000-0000-0000F4330000}"/>
    <cellStyle name="Normal 13 6 2 2 7" xfId="9296" xr:uid="{00000000-0005-0000-0000-0000F5330000}"/>
    <cellStyle name="Normal 13 6 2 2 8" xfId="9297" xr:uid="{00000000-0005-0000-0000-0000F6330000}"/>
    <cellStyle name="Normal 13 6 2 2 9" xfId="9298" xr:uid="{00000000-0005-0000-0000-0000F7330000}"/>
    <cellStyle name="Normal 13 6 2 3" xfId="9299" xr:uid="{00000000-0005-0000-0000-0000F8330000}"/>
    <cellStyle name="Normal 13 6 2 3 2" xfId="9300" xr:uid="{00000000-0005-0000-0000-0000F9330000}"/>
    <cellStyle name="Normal 13 6 2 3 2 2" xfId="9301" xr:uid="{00000000-0005-0000-0000-0000FA330000}"/>
    <cellStyle name="Normal 13 6 2 3 2 2 2" xfId="9302" xr:uid="{00000000-0005-0000-0000-0000FB330000}"/>
    <cellStyle name="Normal 13 6 2 3 2 2 2 2" xfId="50029" xr:uid="{00000000-0005-0000-0000-0000FC330000}"/>
    <cellStyle name="Normal 13 6 2 3 2 2 2 3" xfId="50030" xr:uid="{00000000-0005-0000-0000-0000FD330000}"/>
    <cellStyle name="Normal 13 6 2 3 2 2 3" xfId="9303" xr:uid="{00000000-0005-0000-0000-0000FE330000}"/>
    <cellStyle name="Normal 13 6 2 3 2 2 3 2" xfId="50031" xr:uid="{00000000-0005-0000-0000-0000FF330000}"/>
    <cellStyle name="Normal 13 6 2 3 2 2 4" xfId="9304" xr:uid="{00000000-0005-0000-0000-000000340000}"/>
    <cellStyle name="Normal 13 6 2 3 2 2 5" xfId="9305" xr:uid="{00000000-0005-0000-0000-000001340000}"/>
    <cellStyle name="Normal 13 6 2 3 2 2 6" xfId="9306" xr:uid="{00000000-0005-0000-0000-000002340000}"/>
    <cellStyle name="Normal 13 6 2 3 2 3" xfId="9307" xr:uid="{00000000-0005-0000-0000-000003340000}"/>
    <cellStyle name="Normal 13 6 2 3 2 3 2" xfId="50032" xr:uid="{00000000-0005-0000-0000-000004340000}"/>
    <cellStyle name="Normal 13 6 2 3 2 3 3" xfId="50033" xr:uid="{00000000-0005-0000-0000-000005340000}"/>
    <cellStyle name="Normal 13 6 2 3 2 4" xfId="9308" xr:uid="{00000000-0005-0000-0000-000006340000}"/>
    <cellStyle name="Normal 13 6 2 3 2 4 2" xfId="50034" xr:uid="{00000000-0005-0000-0000-000007340000}"/>
    <cellStyle name="Normal 13 6 2 3 2 5" xfId="9309" xr:uid="{00000000-0005-0000-0000-000008340000}"/>
    <cellStyle name="Normal 13 6 2 3 2 6" xfId="9310" xr:uid="{00000000-0005-0000-0000-000009340000}"/>
    <cellStyle name="Normal 13 6 2 3 2 7" xfId="9311" xr:uid="{00000000-0005-0000-0000-00000A340000}"/>
    <cellStyle name="Normal 13 6 2 3 3" xfId="9312" xr:uid="{00000000-0005-0000-0000-00000B340000}"/>
    <cellStyle name="Normal 13 6 2 3 3 2" xfId="9313" xr:uid="{00000000-0005-0000-0000-00000C340000}"/>
    <cellStyle name="Normal 13 6 2 3 3 2 2" xfId="50035" xr:uid="{00000000-0005-0000-0000-00000D340000}"/>
    <cellStyle name="Normal 13 6 2 3 3 2 3" xfId="50036" xr:uid="{00000000-0005-0000-0000-00000E340000}"/>
    <cellStyle name="Normal 13 6 2 3 3 3" xfId="9314" xr:uid="{00000000-0005-0000-0000-00000F340000}"/>
    <cellStyle name="Normal 13 6 2 3 3 3 2" xfId="50037" xr:uid="{00000000-0005-0000-0000-000010340000}"/>
    <cellStyle name="Normal 13 6 2 3 3 4" xfId="9315" xr:uid="{00000000-0005-0000-0000-000011340000}"/>
    <cellStyle name="Normal 13 6 2 3 3 5" xfId="9316" xr:uid="{00000000-0005-0000-0000-000012340000}"/>
    <cellStyle name="Normal 13 6 2 3 3 6" xfId="9317" xr:uid="{00000000-0005-0000-0000-000013340000}"/>
    <cellStyle name="Normal 13 6 2 3 4" xfId="9318" xr:uid="{00000000-0005-0000-0000-000014340000}"/>
    <cellStyle name="Normal 13 6 2 3 4 2" xfId="50038" xr:uid="{00000000-0005-0000-0000-000015340000}"/>
    <cellStyle name="Normal 13 6 2 3 4 3" xfId="50039" xr:uid="{00000000-0005-0000-0000-000016340000}"/>
    <cellStyle name="Normal 13 6 2 3 5" xfId="9319" xr:uid="{00000000-0005-0000-0000-000017340000}"/>
    <cellStyle name="Normal 13 6 2 3 5 2" xfId="50040" xr:uid="{00000000-0005-0000-0000-000018340000}"/>
    <cellStyle name="Normal 13 6 2 3 6" xfId="9320" xr:uid="{00000000-0005-0000-0000-000019340000}"/>
    <cellStyle name="Normal 13 6 2 3 7" xfId="9321" xr:uid="{00000000-0005-0000-0000-00001A340000}"/>
    <cellStyle name="Normal 13 6 2 3 8" xfId="9322" xr:uid="{00000000-0005-0000-0000-00001B340000}"/>
    <cellStyle name="Normal 13 6 2 4" xfId="9323" xr:uid="{00000000-0005-0000-0000-00001C340000}"/>
    <cellStyle name="Normal 13 6 2 4 2" xfId="9324" xr:uid="{00000000-0005-0000-0000-00001D340000}"/>
    <cellStyle name="Normal 13 6 2 4 2 2" xfId="9325" xr:uid="{00000000-0005-0000-0000-00001E340000}"/>
    <cellStyle name="Normal 13 6 2 4 2 2 2" xfId="50041" xr:uid="{00000000-0005-0000-0000-00001F340000}"/>
    <cellStyle name="Normal 13 6 2 4 2 2 3" xfId="50042" xr:uid="{00000000-0005-0000-0000-000020340000}"/>
    <cellStyle name="Normal 13 6 2 4 2 3" xfId="9326" xr:uid="{00000000-0005-0000-0000-000021340000}"/>
    <cellStyle name="Normal 13 6 2 4 2 3 2" xfId="50043" xr:uid="{00000000-0005-0000-0000-000022340000}"/>
    <cellStyle name="Normal 13 6 2 4 2 4" xfId="9327" xr:uid="{00000000-0005-0000-0000-000023340000}"/>
    <cellStyle name="Normal 13 6 2 4 2 5" xfId="9328" xr:uid="{00000000-0005-0000-0000-000024340000}"/>
    <cellStyle name="Normal 13 6 2 4 2 6" xfId="9329" xr:uid="{00000000-0005-0000-0000-000025340000}"/>
    <cellStyle name="Normal 13 6 2 4 3" xfId="9330" xr:uid="{00000000-0005-0000-0000-000026340000}"/>
    <cellStyle name="Normal 13 6 2 4 3 2" xfId="50044" xr:uid="{00000000-0005-0000-0000-000027340000}"/>
    <cellStyle name="Normal 13 6 2 4 3 3" xfId="50045" xr:uid="{00000000-0005-0000-0000-000028340000}"/>
    <cellStyle name="Normal 13 6 2 4 4" xfId="9331" xr:uid="{00000000-0005-0000-0000-000029340000}"/>
    <cellStyle name="Normal 13 6 2 4 4 2" xfId="50046" xr:uid="{00000000-0005-0000-0000-00002A340000}"/>
    <cellStyle name="Normal 13 6 2 4 5" xfId="9332" xr:uid="{00000000-0005-0000-0000-00002B340000}"/>
    <cellStyle name="Normal 13 6 2 4 6" xfId="9333" xr:uid="{00000000-0005-0000-0000-00002C340000}"/>
    <cellStyle name="Normal 13 6 2 4 7" xfId="9334" xr:uid="{00000000-0005-0000-0000-00002D340000}"/>
    <cellStyle name="Normal 13 6 2 5" xfId="9335" xr:uid="{00000000-0005-0000-0000-00002E340000}"/>
    <cellStyle name="Normal 13 6 2 5 2" xfId="9336" xr:uid="{00000000-0005-0000-0000-00002F340000}"/>
    <cellStyle name="Normal 13 6 2 5 2 2" xfId="50047" xr:uid="{00000000-0005-0000-0000-000030340000}"/>
    <cellStyle name="Normal 13 6 2 5 2 3" xfId="50048" xr:uid="{00000000-0005-0000-0000-000031340000}"/>
    <cellStyle name="Normal 13 6 2 5 3" xfId="9337" xr:uid="{00000000-0005-0000-0000-000032340000}"/>
    <cellStyle name="Normal 13 6 2 5 3 2" xfId="50049" xr:uid="{00000000-0005-0000-0000-000033340000}"/>
    <cellStyle name="Normal 13 6 2 5 4" xfId="9338" xr:uid="{00000000-0005-0000-0000-000034340000}"/>
    <cellStyle name="Normal 13 6 2 5 5" xfId="9339" xr:uid="{00000000-0005-0000-0000-000035340000}"/>
    <cellStyle name="Normal 13 6 2 5 6" xfId="9340" xr:uid="{00000000-0005-0000-0000-000036340000}"/>
    <cellStyle name="Normal 13 6 2 6" xfId="9341" xr:uid="{00000000-0005-0000-0000-000037340000}"/>
    <cellStyle name="Normal 13 6 2 6 2" xfId="50050" xr:uid="{00000000-0005-0000-0000-000038340000}"/>
    <cellStyle name="Normal 13 6 2 6 3" xfId="50051" xr:uid="{00000000-0005-0000-0000-000039340000}"/>
    <cellStyle name="Normal 13 6 2 7" xfId="9342" xr:uid="{00000000-0005-0000-0000-00003A340000}"/>
    <cellStyle name="Normal 13 6 2 7 2" xfId="50052" xr:uid="{00000000-0005-0000-0000-00003B340000}"/>
    <cellStyle name="Normal 13 6 2 8" xfId="9343" xr:uid="{00000000-0005-0000-0000-00003C340000}"/>
    <cellStyle name="Normal 13 6 2 9" xfId="9344" xr:uid="{00000000-0005-0000-0000-00003D340000}"/>
    <cellStyle name="Normal 13 6 3" xfId="9345" xr:uid="{00000000-0005-0000-0000-00003E340000}"/>
    <cellStyle name="Normal 13 6 3 2" xfId="9346" xr:uid="{00000000-0005-0000-0000-00003F340000}"/>
    <cellStyle name="Normal 13 6 3 2 2" xfId="9347" xr:uid="{00000000-0005-0000-0000-000040340000}"/>
    <cellStyle name="Normal 13 6 3 2 2 2" xfId="9348" xr:uid="{00000000-0005-0000-0000-000041340000}"/>
    <cellStyle name="Normal 13 6 3 2 2 2 2" xfId="50053" xr:uid="{00000000-0005-0000-0000-000042340000}"/>
    <cellStyle name="Normal 13 6 3 2 2 2 3" xfId="50054" xr:uid="{00000000-0005-0000-0000-000043340000}"/>
    <cellStyle name="Normal 13 6 3 2 2 3" xfId="9349" xr:uid="{00000000-0005-0000-0000-000044340000}"/>
    <cellStyle name="Normal 13 6 3 2 2 3 2" xfId="50055" xr:uid="{00000000-0005-0000-0000-000045340000}"/>
    <cellStyle name="Normal 13 6 3 2 2 4" xfId="9350" xr:uid="{00000000-0005-0000-0000-000046340000}"/>
    <cellStyle name="Normal 13 6 3 2 2 5" xfId="9351" xr:uid="{00000000-0005-0000-0000-000047340000}"/>
    <cellStyle name="Normal 13 6 3 2 2 6" xfId="9352" xr:uid="{00000000-0005-0000-0000-000048340000}"/>
    <cellStyle name="Normal 13 6 3 2 3" xfId="9353" xr:uid="{00000000-0005-0000-0000-000049340000}"/>
    <cellStyle name="Normal 13 6 3 2 3 2" xfId="50056" xr:uid="{00000000-0005-0000-0000-00004A340000}"/>
    <cellStyle name="Normal 13 6 3 2 3 3" xfId="50057" xr:uid="{00000000-0005-0000-0000-00004B340000}"/>
    <cellStyle name="Normal 13 6 3 2 4" xfId="9354" xr:uid="{00000000-0005-0000-0000-00004C340000}"/>
    <cellStyle name="Normal 13 6 3 2 4 2" xfId="50058" xr:uid="{00000000-0005-0000-0000-00004D340000}"/>
    <cellStyle name="Normal 13 6 3 2 5" xfId="9355" xr:uid="{00000000-0005-0000-0000-00004E340000}"/>
    <cellStyle name="Normal 13 6 3 2 6" xfId="9356" xr:uid="{00000000-0005-0000-0000-00004F340000}"/>
    <cellStyle name="Normal 13 6 3 2 7" xfId="9357" xr:uid="{00000000-0005-0000-0000-000050340000}"/>
    <cellStyle name="Normal 13 6 3 3" xfId="9358" xr:uid="{00000000-0005-0000-0000-000051340000}"/>
    <cellStyle name="Normal 13 6 3 3 2" xfId="9359" xr:uid="{00000000-0005-0000-0000-000052340000}"/>
    <cellStyle name="Normal 13 6 3 3 2 2" xfId="50059" xr:uid="{00000000-0005-0000-0000-000053340000}"/>
    <cellStyle name="Normal 13 6 3 3 2 3" xfId="50060" xr:uid="{00000000-0005-0000-0000-000054340000}"/>
    <cellStyle name="Normal 13 6 3 3 3" xfId="9360" xr:uid="{00000000-0005-0000-0000-000055340000}"/>
    <cellStyle name="Normal 13 6 3 3 3 2" xfId="50061" xr:uid="{00000000-0005-0000-0000-000056340000}"/>
    <cellStyle name="Normal 13 6 3 3 4" xfId="9361" xr:uid="{00000000-0005-0000-0000-000057340000}"/>
    <cellStyle name="Normal 13 6 3 3 5" xfId="9362" xr:uid="{00000000-0005-0000-0000-000058340000}"/>
    <cellStyle name="Normal 13 6 3 3 6" xfId="9363" xr:uid="{00000000-0005-0000-0000-000059340000}"/>
    <cellStyle name="Normal 13 6 3 4" xfId="9364" xr:uid="{00000000-0005-0000-0000-00005A340000}"/>
    <cellStyle name="Normal 13 6 3 4 2" xfId="50062" xr:uid="{00000000-0005-0000-0000-00005B340000}"/>
    <cellStyle name="Normal 13 6 3 4 3" xfId="50063" xr:uid="{00000000-0005-0000-0000-00005C340000}"/>
    <cellStyle name="Normal 13 6 3 5" xfId="9365" xr:uid="{00000000-0005-0000-0000-00005D340000}"/>
    <cellStyle name="Normal 13 6 3 5 2" xfId="50064" xr:uid="{00000000-0005-0000-0000-00005E340000}"/>
    <cellStyle name="Normal 13 6 3 6" xfId="9366" xr:uid="{00000000-0005-0000-0000-00005F340000}"/>
    <cellStyle name="Normal 13 6 3 7" xfId="9367" xr:uid="{00000000-0005-0000-0000-000060340000}"/>
    <cellStyle name="Normal 13 6 3 8" xfId="9368" xr:uid="{00000000-0005-0000-0000-000061340000}"/>
    <cellStyle name="Normal 13 6 3 9" xfId="9369" xr:uid="{00000000-0005-0000-0000-000062340000}"/>
    <cellStyle name="Normal 13 6 4" xfId="9370" xr:uid="{00000000-0005-0000-0000-000063340000}"/>
    <cellStyle name="Normal 13 6 4 2" xfId="9371" xr:uid="{00000000-0005-0000-0000-000064340000}"/>
    <cellStyle name="Normal 13 6 4 2 2" xfId="9372" xr:uid="{00000000-0005-0000-0000-000065340000}"/>
    <cellStyle name="Normal 13 6 4 2 2 2" xfId="9373" xr:uid="{00000000-0005-0000-0000-000066340000}"/>
    <cellStyle name="Normal 13 6 4 2 2 2 2" xfId="50065" xr:uid="{00000000-0005-0000-0000-000067340000}"/>
    <cellStyle name="Normal 13 6 4 2 2 2 3" xfId="50066" xr:uid="{00000000-0005-0000-0000-000068340000}"/>
    <cellStyle name="Normal 13 6 4 2 2 3" xfId="9374" xr:uid="{00000000-0005-0000-0000-000069340000}"/>
    <cellStyle name="Normal 13 6 4 2 2 3 2" xfId="50067" xr:uid="{00000000-0005-0000-0000-00006A340000}"/>
    <cellStyle name="Normal 13 6 4 2 2 4" xfId="9375" xr:uid="{00000000-0005-0000-0000-00006B340000}"/>
    <cellStyle name="Normal 13 6 4 2 2 5" xfId="9376" xr:uid="{00000000-0005-0000-0000-00006C340000}"/>
    <cellStyle name="Normal 13 6 4 2 2 6" xfId="9377" xr:uid="{00000000-0005-0000-0000-00006D340000}"/>
    <cellStyle name="Normal 13 6 4 2 3" xfId="9378" xr:uid="{00000000-0005-0000-0000-00006E340000}"/>
    <cellStyle name="Normal 13 6 4 2 3 2" xfId="50068" xr:uid="{00000000-0005-0000-0000-00006F340000}"/>
    <cellStyle name="Normal 13 6 4 2 3 3" xfId="50069" xr:uid="{00000000-0005-0000-0000-000070340000}"/>
    <cellStyle name="Normal 13 6 4 2 4" xfId="9379" xr:uid="{00000000-0005-0000-0000-000071340000}"/>
    <cellStyle name="Normal 13 6 4 2 4 2" xfId="50070" xr:uid="{00000000-0005-0000-0000-000072340000}"/>
    <cellStyle name="Normal 13 6 4 2 5" xfId="9380" xr:uid="{00000000-0005-0000-0000-000073340000}"/>
    <cellStyle name="Normal 13 6 4 2 6" xfId="9381" xr:uid="{00000000-0005-0000-0000-000074340000}"/>
    <cellStyle name="Normal 13 6 4 2 7" xfId="9382" xr:uid="{00000000-0005-0000-0000-000075340000}"/>
    <cellStyle name="Normal 13 6 4 3" xfId="9383" xr:uid="{00000000-0005-0000-0000-000076340000}"/>
    <cellStyle name="Normal 13 6 4 3 2" xfId="9384" xr:uid="{00000000-0005-0000-0000-000077340000}"/>
    <cellStyle name="Normal 13 6 4 3 2 2" xfId="50071" xr:uid="{00000000-0005-0000-0000-000078340000}"/>
    <cellStyle name="Normal 13 6 4 3 2 3" xfId="50072" xr:uid="{00000000-0005-0000-0000-000079340000}"/>
    <cellStyle name="Normal 13 6 4 3 3" xfId="9385" xr:uid="{00000000-0005-0000-0000-00007A340000}"/>
    <cellStyle name="Normal 13 6 4 3 3 2" xfId="50073" xr:uid="{00000000-0005-0000-0000-00007B340000}"/>
    <cellStyle name="Normal 13 6 4 3 4" xfId="9386" xr:uid="{00000000-0005-0000-0000-00007C340000}"/>
    <cellStyle name="Normal 13 6 4 3 5" xfId="9387" xr:uid="{00000000-0005-0000-0000-00007D340000}"/>
    <cellStyle name="Normal 13 6 4 3 6" xfId="9388" xr:uid="{00000000-0005-0000-0000-00007E340000}"/>
    <cellStyle name="Normal 13 6 4 4" xfId="9389" xr:uid="{00000000-0005-0000-0000-00007F340000}"/>
    <cellStyle name="Normal 13 6 4 4 2" xfId="50074" xr:uid="{00000000-0005-0000-0000-000080340000}"/>
    <cellStyle name="Normal 13 6 4 4 3" xfId="50075" xr:uid="{00000000-0005-0000-0000-000081340000}"/>
    <cellStyle name="Normal 13 6 4 5" xfId="9390" xr:uid="{00000000-0005-0000-0000-000082340000}"/>
    <cellStyle name="Normal 13 6 4 5 2" xfId="50076" xr:uid="{00000000-0005-0000-0000-000083340000}"/>
    <cellStyle name="Normal 13 6 4 6" xfId="9391" xr:uid="{00000000-0005-0000-0000-000084340000}"/>
    <cellStyle name="Normal 13 6 4 7" xfId="9392" xr:uid="{00000000-0005-0000-0000-000085340000}"/>
    <cellStyle name="Normal 13 6 4 8" xfId="9393" xr:uid="{00000000-0005-0000-0000-000086340000}"/>
    <cellStyle name="Normal 13 6 5" xfId="9394" xr:uid="{00000000-0005-0000-0000-000087340000}"/>
    <cellStyle name="Normal 13 6 5 2" xfId="9395" xr:uid="{00000000-0005-0000-0000-000088340000}"/>
    <cellStyle name="Normal 13 6 5 2 2" xfId="9396" xr:uid="{00000000-0005-0000-0000-000089340000}"/>
    <cellStyle name="Normal 13 6 5 2 2 2" xfId="50077" xr:uid="{00000000-0005-0000-0000-00008A340000}"/>
    <cellStyle name="Normal 13 6 5 2 2 3" xfId="50078" xr:uid="{00000000-0005-0000-0000-00008B340000}"/>
    <cellStyle name="Normal 13 6 5 2 3" xfId="9397" xr:uid="{00000000-0005-0000-0000-00008C340000}"/>
    <cellStyle name="Normal 13 6 5 2 3 2" xfId="50079" xr:uid="{00000000-0005-0000-0000-00008D340000}"/>
    <cellStyle name="Normal 13 6 5 2 4" xfId="9398" xr:uid="{00000000-0005-0000-0000-00008E340000}"/>
    <cellStyle name="Normal 13 6 5 2 5" xfId="9399" xr:uid="{00000000-0005-0000-0000-00008F340000}"/>
    <cellStyle name="Normal 13 6 5 2 6" xfId="9400" xr:uid="{00000000-0005-0000-0000-000090340000}"/>
    <cellStyle name="Normal 13 6 5 3" xfId="9401" xr:uid="{00000000-0005-0000-0000-000091340000}"/>
    <cellStyle name="Normal 13 6 5 3 2" xfId="50080" xr:uid="{00000000-0005-0000-0000-000092340000}"/>
    <cellStyle name="Normal 13 6 5 3 3" xfId="50081" xr:uid="{00000000-0005-0000-0000-000093340000}"/>
    <cellStyle name="Normal 13 6 5 4" xfId="9402" xr:uid="{00000000-0005-0000-0000-000094340000}"/>
    <cellStyle name="Normal 13 6 5 4 2" xfId="50082" xr:uid="{00000000-0005-0000-0000-000095340000}"/>
    <cellStyle name="Normal 13 6 5 5" xfId="9403" xr:uid="{00000000-0005-0000-0000-000096340000}"/>
    <cellStyle name="Normal 13 6 5 6" xfId="9404" xr:uid="{00000000-0005-0000-0000-000097340000}"/>
    <cellStyle name="Normal 13 6 5 7" xfId="9405" xr:uid="{00000000-0005-0000-0000-000098340000}"/>
    <cellStyle name="Normal 13 6 6" xfId="9406" xr:uid="{00000000-0005-0000-0000-000099340000}"/>
    <cellStyle name="Normal 13 6 6 2" xfId="9407" xr:uid="{00000000-0005-0000-0000-00009A340000}"/>
    <cellStyle name="Normal 13 6 6 2 2" xfId="50083" xr:uid="{00000000-0005-0000-0000-00009B340000}"/>
    <cellStyle name="Normal 13 6 6 2 3" xfId="50084" xr:uid="{00000000-0005-0000-0000-00009C340000}"/>
    <cellStyle name="Normal 13 6 6 3" xfId="9408" xr:uid="{00000000-0005-0000-0000-00009D340000}"/>
    <cellStyle name="Normal 13 6 6 3 2" xfId="50085" xr:uid="{00000000-0005-0000-0000-00009E340000}"/>
    <cellStyle name="Normal 13 6 6 4" xfId="9409" xr:uid="{00000000-0005-0000-0000-00009F340000}"/>
    <cellStyle name="Normal 13 6 6 5" xfId="9410" xr:uid="{00000000-0005-0000-0000-0000A0340000}"/>
    <cellStyle name="Normal 13 6 6 6" xfId="9411" xr:uid="{00000000-0005-0000-0000-0000A1340000}"/>
    <cellStyle name="Normal 13 6 7" xfId="9412" xr:uid="{00000000-0005-0000-0000-0000A2340000}"/>
    <cellStyle name="Normal 13 6 7 2" xfId="50086" xr:uid="{00000000-0005-0000-0000-0000A3340000}"/>
    <cellStyle name="Normal 13 6 7 3" xfId="50087" xr:uid="{00000000-0005-0000-0000-0000A4340000}"/>
    <cellStyle name="Normal 13 6 8" xfId="9413" xr:uid="{00000000-0005-0000-0000-0000A5340000}"/>
    <cellStyle name="Normal 13 6 8 2" xfId="50088" xr:uid="{00000000-0005-0000-0000-0000A6340000}"/>
    <cellStyle name="Normal 13 6 9" xfId="9414" xr:uid="{00000000-0005-0000-0000-0000A7340000}"/>
    <cellStyle name="Normal 13 6 9 2" xfId="50089" xr:uid="{00000000-0005-0000-0000-0000A8340000}"/>
    <cellStyle name="Normal 13 7" xfId="9415" xr:uid="{00000000-0005-0000-0000-0000A9340000}"/>
    <cellStyle name="Normal 13 7 10" xfId="9416" xr:uid="{00000000-0005-0000-0000-0000AA340000}"/>
    <cellStyle name="Normal 13 7 11" xfId="9417" xr:uid="{00000000-0005-0000-0000-0000AB340000}"/>
    <cellStyle name="Normal 13 7 12" xfId="9418" xr:uid="{00000000-0005-0000-0000-0000AC340000}"/>
    <cellStyle name="Normal 13 7 13" xfId="9419" xr:uid="{00000000-0005-0000-0000-0000AD340000}"/>
    <cellStyle name="Normal 13 7 14" xfId="9420" xr:uid="{00000000-0005-0000-0000-0000AE340000}"/>
    <cellStyle name="Normal 13 7 2" xfId="9421" xr:uid="{00000000-0005-0000-0000-0000AF340000}"/>
    <cellStyle name="Normal 13 7 2 2" xfId="9422" xr:uid="{00000000-0005-0000-0000-0000B0340000}"/>
    <cellStyle name="Normal 13 7 2 2 2" xfId="9423" xr:uid="{00000000-0005-0000-0000-0000B1340000}"/>
    <cellStyle name="Normal 13 7 2 2 2 2" xfId="9424" xr:uid="{00000000-0005-0000-0000-0000B2340000}"/>
    <cellStyle name="Normal 13 7 2 2 2 2 2" xfId="50090" xr:uid="{00000000-0005-0000-0000-0000B3340000}"/>
    <cellStyle name="Normal 13 7 2 2 2 2 3" xfId="50091" xr:uid="{00000000-0005-0000-0000-0000B4340000}"/>
    <cellStyle name="Normal 13 7 2 2 2 3" xfId="9425" xr:uid="{00000000-0005-0000-0000-0000B5340000}"/>
    <cellStyle name="Normal 13 7 2 2 2 3 2" xfId="50092" xr:uid="{00000000-0005-0000-0000-0000B6340000}"/>
    <cellStyle name="Normal 13 7 2 2 2 4" xfId="9426" xr:uid="{00000000-0005-0000-0000-0000B7340000}"/>
    <cellStyle name="Normal 13 7 2 2 2 5" xfId="9427" xr:uid="{00000000-0005-0000-0000-0000B8340000}"/>
    <cellStyle name="Normal 13 7 2 2 2 6" xfId="9428" xr:uid="{00000000-0005-0000-0000-0000B9340000}"/>
    <cellStyle name="Normal 13 7 2 2 3" xfId="9429" xr:uid="{00000000-0005-0000-0000-0000BA340000}"/>
    <cellStyle name="Normal 13 7 2 2 3 2" xfId="50093" xr:uid="{00000000-0005-0000-0000-0000BB340000}"/>
    <cellStyle name="Normal 13 7 2 2 3 3" xfId="50094" xr:uid="{00000000-0005-0000-0000-0000BC340000}"/>
    <cellStyle name="Normal 13 7 2 2 4" xfId="9430" xr:uid="{00000000-0005-0000-0000-0000BD340000}"/>
    <cellStyle name="Normal 13 7 2 2 4 2" xfId="50095" xr:uid="{00000000-0005-0000-0000-0000BE340000}"/>
    <cellStyle name="Normal 13 7 2 2 5" xfId="9431" xr:uid="{00000000-0005-0000-0000-0000BF340000}"/>
    <cellStyle name="Normal 13 7 2 2 6" xfId="9432" xr:uid="{00000000-0005-0000-0000-0000C0340000}"/>
    <cellStyle name="Normal 13 7 2 2 7" xfId="9433" xr:uid="{00000000-0005-0000-0000-0000C1340000}"/>
    <cellStyle name="Normal 13 7 2 3" xfId="9434" xr:uid="{00000000-0005-0000-0000-0000C2340000}"/>
    <cellStyle name="Normal 13 7 2 3 2" xfId="9435" xr:uid="{00000000-0005-0000-0000-0000C3340000}"/>
    <cellStyle name="Normal 13 7 2 3 2 2" xfId="50096" xr:uid="{00000000-0005-0000-0000-0000C4340000}"/>
    <cellStyle name="Normal 13 7 2 3 2 3" xfId="50097" xr:uid="{00000000-0005-0000-0000-0000C5340000}"/>
    <cellStyle name="Normal 13 7 2 3 3" xfId="9436" xr:uid="{00000000-0005-0000-0000-0000C6340000}"/>
    <cellStyle name="Normal 13 7 2 3 3 2" xfId="50098" xr:uid="{00000000-0005-0000-0000-0000C7340000}"/>
    <cellStyle name="Normal 13 7 2 3 4" xfId="9437" xr:uid="{00000000-0005-0000-0000-0000C8340000}"/>
    <cellStyle name="Normal 13 7 2 3 5" xfId="9438" xr:uid="{00000000-0005-0000-0000-0000C9340000}"/>
    <cellStyle name="Normal 13 7 2 3 6" xfId="9439" xr:uid="{00000000-0005-0000-0000-0000CA340000}"/>
    <cellStyle name="Normal 13 7 2 4" xfId="9440" xr:uid="{00000000-0005-0000-0000-0000CB340000}"/>
    <cellStyle name="Normal 13 7 2 4 2" xfId="50099" xr:uid="{00000000-0005-0000-0000-0000CC340000}"/>
    <cellStyle name="Normal 13 7 2 4 3" xfId="50100" xr:uid="{00000000-0005-0000-0000-0000CD340000}"/>
    <cellStyle name="Normal 13 7 2 5" xfId="9441" xr:uid="{00000000-0005-0000-0000-0000CE340000}"/>
    <cellStyle name="Normal 13 7 2 5 2" xfId="50101" xr:uid="{00000000-0005-0000-0000-0000CF340000}"/>
    <cellStyle name="Normal 13 7 2 6" xfId="9442" xr:uid="{00000000-0005-0000-0000-0000D0340000}"/>
    <cellStyle name="Normal 13 7 2 7" xfId="9443" xr:uid="{00000000-0005-0000-0000-0000D1340000}"/>
    <cellStyle name="Normal 13 7 2 8" xfId="9444" xr:uid="{00000000-0005-0000-0000-0000D2340000}"/>
    <cellStyle name="Normal 13 7 2 9" xfId="9445" xr:uid="{00000000-0005-0000-0000-0000D3340000}"/>
    <cellStyle name="Normal 13 7 3" xfId="9446" xr:uid="{00000000-0005-0000-0000-0000D4340000}"/>
    <cellStyle name="Normal 13 7 3 2" xfId="9447" xr:uid="{00000000-0005-0000-0000-0000D5340000}"/>
    <cellStyle name="Normal 13 7 3 2 2" xfId="9448" xr:uid="{00000000-0005-0000-0000-0000D6340000}"/>
    <cellStyle name="Normal 13 7 3 2 2 2" xfId="9449" xr:uid="{00000000-0005-0000-0000-0000D7340000}"/>
    <cellStyle name="Normal 13 7 3 2 2 2 2" xfId="50102" xr:uid="{00000000-0005-0000-0000-0000D8340000}"/>
    <cellStyle name="Normal 13 7 3 2 2 2 3" xfId="50103" xr:uid="{00000000-0005-0000-0000-0000D9340000}"/>
    <cellStyle name="Normal 13 7 3 2 2 3" xfId="9450" xr:uid="{00000000-0005-0000-0000-0000DA340000}"/>
    <cellStyle name="Normal 13 7 3 2 2 3 2" xfId="50104" xr:uid="{00000000-0005-0000-0000-0000DB340000}"/>
    <cellStyle name="Normal 13 7 3 2 2 4" xfId="9451" xr:uid="{00000000-0005-0000-0000-0000DC340000}"/>
    <cellStyle name="Normal 13 7 3 2 2 5" xfId="9452" xr:uid="{00000000-0005-0000-0000-0000DD340000}"/>
    <cellStyle name="Normal 13 7 3 2 2 6" xfId="9453" xr:uid="{00000000-0005-0000-0000-0000DE340000}"/>
    <cellStyle name="Normal 13 7 3 2 3" xfId="9454" xr:uid="{00000000-0005-0000-0000-0000DF340000}"/>
    <cellStyle name="Normal 13 7 3 2 3 2" xfId="50105" xr:uid="{00000000-0005-0000-0000-0000E0340000}"/>
    <cellStyle name="Normal 13 7 3 2 3 3" xfId="50106" xr:uid="{00000000-0005-0000-0000-0000E1340000}"/>
    <cellStyle name="Normal 13 7 3 2 4" xfId="9455" xr:uid="{00000000-0005-0000-0000-0000E2340000}"/>
    <cellStyle name="Normal 13 7 3 2 4 2" xfId="50107" xr:uid="{00000000-0005-0000-0000-0000E3340000}"/>
    <cellStyle name="Normal 13 7 3 2 5" xfId="9456" xr:uid="{00000000-0005-0000-0000-0000E4340000}"/>
    <cellStyle name="Normal 13 7 3 2 6" xfId="9457" xr:uid="{00000000-0005-0000-0000-0000E5340000}"/>
    <cellStyle name="Normal 13 7 3 2 7" xfId="9458" xr:uid="{00000000-0005-0000-0000-0000E6340000}"/>
    <cellStyle name="Normal 13 7 3 3" xfId="9459" xr:uid="{00000000-0005-0000-0000-0000E7340000}"/>
    <cellStyle name="Normal 13 7 3 3 2" xfId="9460" xr:uid="{00000000-0005-0000-0000-0000E8340000}"/>
    <cellStyle name="Normal 13 7 3 3 2 2" xfId="50108" xr:uid="{00000000-0005-0000-0000-0000E9340000}"/>
    <cellStyle name="Normal 13 7 3 3 2 3" xfId="50109" xr:uid="{00000000-0005-0000-0000-0000EA340000}"/>
    <cellStyle name="Normal 13 7 3 3 3" xfId="9461" xr:uid="{00000000-0005-0000-0000-0000EB340000}"/>
    <cellStyle name="Normal 13 7 3 3 3 2" xfId="50110" xr:uid="{00000000-0005-0000-0000-0000EC340000}"/>
    <cellStyle name="Normal 13 7 3 3 4" xfId="9462" xr:uid="{00000000-0005-0000-0000-0000ED340000}"/>
    <cellStyle name="Normal 13 7 3 3 5" xfId="9463" xr:uid="{00000000-0005-0000-0000-0000EE340000}"/>
    <cellStyle name="Normal 13 7 3 3 6" xfId="9464" xr:uid="{00000000-0005-0000-0000-0000EF340000}"/>
    <cellStyle name="Normal 13 7 3 4" xfId="9465" xr:uid="{00000000-0005-0000-0000-0000F0340000}"/>
    <cellStyle name="Normal 13 7 3 4 2" xfId="50111" xr:uid="{00000000-0005-0000-0000-0000F1340000}"/>
    <cellStyle name="Normal 13 7 3 4 3" xfId="50112" xr:uid="{00000000-0005-0000-0000-0000F2340000}"/>
    <cellStyle name="Normal 13 7 3 5" xfId="9466" xr:uid="{00000000-0005-0000-0000-0000F3340000}"/>
    <cellStyle name="Normal 13 7 3 5 2" xfId="50113" xr:uid="{00000000-0005-0000-0000-0000F4340000}"/>
    <cellStyle name="Normal 13 7 3 6" xfId="9467" xr:uid="{00000000-0005-0000-0000-0000F5340000}"/>
    <cellStyle name="Normal 13 7 3 7" xfId="9468" xr:uid="{00000000-0005-0000-0000-0000F6340000}"/>
    <cellStyle name="Normal 13 7 3 8" xfId="9469" xr:uid="{00000000-0005-0000-0000-0000F7340000}"/>
    <cellStyle name="Normal 13 7 4" xfId="9470" xr:uid="{00000000-0005-0000-0000-0000F8340000}"/>
    <cellStyle name="Normal 13 7 4 2" xfId="9471" xr:uid="{00000000-0005-0000-0000-0000F9340000}"/>
    <cellStyle name="Normal 13 7 4 2 2" xfId="9472" xr:uid="{00000000-0005-0000-0000-0000FA340000}"/>
    <cellStyle name="Normal 13 7 4 2 2 2" xfId="50114" xr:uid="{00000000-0005-0000-0000-0000FB340000}"/>
    <cellStyle name="Normal 13 7 4 2 2 3" xfId="50115" xr:uid="{00000000-0005-0000-0000-0000FC340000}"/>
    <cellStyle name="Normal 13 7 4 2 3" xfId="9473" xr:uid="{00000000-0005-0000-0000-0000FD340000}"/>
    <cellStyle name="Normal 13 7 4 2 3 2" xfId="50116" xr:uid="{00000000-0005-0000-0000-0000FE340000}"/>
    <cellStyle name="Normal 13 7 4 2 4" xfId="9474" xr:uid="{00000000-0005-0000-0000-0000FF340000}"/>
    <cellStyle name="Normal 13 7 4 2 5" xfId="9475" xr:uid="{00000000-0005-0000-0000-000000350000}"/>
    <cellStyle name="Normal 13 7 4 2 6" xfId="9476" xr:uid="{00000000-0005-0000-0000-000001350000}"/>
    <cellStyle name="Normal 13 7 4 3" xfId="9477" xr:uid="{00000000-0005-0000-0000-000002350000}"/>
    <cellStyle name="Normal 13 7 4 3 2" xfId="50117" xr:uid="{00000000-0005-0000-0000-000003350000}"/>
    <cellStyle name="Normal 13 7 4 3 3" xfId="50118" xr:uid="{00000000-0005-0000-0000-000004350000}"/>
    <cellStyle name="Normal 13 7 4 4" xfId="9478" xr:uid="{00000000-0005-0000-0000-000005350000}"/>
    <cellStyle name="Normal 13 7 4 4 2" xfId="50119" xr:uid="{00000000-0005-0000-0000-000006350000}"/>
    <cellStyle name="Normal 13 7 4 5" xfId="9479" xr:uid="{00000000-0005-0000-0000-000007350000}"/>
    <cellStyle name="Normal 13 7 4 6" xfId="9480" xr:uid="{00000000-0005-0000-0000-000008350000}"/>
    <cellStyle name="Normal 13 7 4 7" xfId="9481" xr:uid="{00000000-0005-0000-0000-000009350000}"/>
    <cellStyle name="Normal 13 7 5" xfId="9482" xr:uid="{00000000-0005-0000-0000-00000A350000}"/>
    <cellStyle name="Normal 13 7 5 2" xfId="9483" xr:uid="{00000000-0005-0000-0000-00000B350000}"/>
    <cellStyle name="Normal 13 7 5 2 2" xfId="50120" xr:uid="{00000000-0005-0000-0000-00000C350000}"/>
    <cellStyle name="Normal 13 7 5 2 3" xfId="50121" xr:uid="{00000000-0005-0000-0000-00000D350000}"/>
    <cellStyle name="Normal 13 7 5 3" xfId="9484" xr:uid="{00000000-0005-0000-0000-00000E350000}"/>
    <cellStyle name="Normal 13 7 5 3 2" xfId="50122" xr:uid="{00000000-0005-0000-0000-00000F350000}"/>
    <cellStyle name="Normal 13 7 5 4" xfId="9485" xr:uid="{00000000-0005-0000-0000-000010350000}"/>
    <cellStyle name="Normal 13 7 5 5" xfId="9486" xr:uid="{00000000-0005-0000-0000-000011350000}"/>
    <cellStyle name="Normal 13 7 5 6" xfId="9487" xr:uid="{00000000-0005-0000-0000-000012350000}"/>
    <cellStyle name="Normal 13 7 6" xfId="9488" xr:uid="{00000000-0005-0000-0000-000013350000}"/>
    <cellStyle name="Normal 13 7 6 2" xfId="50123" xr:uid="{00000000-0005-0000-0000-000014350000}"/>
    <cellStyle name="Normal 13 7 6 3" xfId="50124" xr:uid="{00000000-0005-0000-0000-000015350000}"/>
    <cellStyle name="Normal 13 7 7" xfId="9489" xr:uid="{00000000-0005-0000-0000-000016350000}"/>
    <cellStyle name="Normal 13 7 7 2" xfId="50125" xr:uid="{00000000-0005-0000-0000-000017350000}"/>
    <cellStyle name="Normal 13 7 8" xfId="9490" xr:uid="{00000000-0005-0000-0000-000018350000}"/>
    <cellStyle name="Normal 13 7 9" xfId="9491" xr:uid="{00000000-0005-0000-0000-000019350000}"/>
    <cellStyle name="Normal 13 8" xfId="9492" xr:uid="{00000000-0005-0000-0000-00001A350000}"/>
    <cellStyle name="Normal 13 8 10" xfId="9493" xr:uid="{00000000-0005-0000-0000-00001B350000}"/>
    <cellStyle name="Normal 13 8 11" xfId="9494" xr:uid="{00000000-0005-0000-0000-00001C350000}"/>
    <cellStyle name="Normal 13 8 12" xfId="9495" xr:uid="{00000000-0005-0000-0000-00001D350000}"/>
    <cellStyle name="Normal 13 8 13" xfId="9496" xr:uid="{00000000-0005-0000-0000-00001E350000}"/>
    <cellStyle name="Normal 13 8 14" xfId="9497" xr:uid="{00000000-0005-0000-0000-00001F350000}"/>
    <cellStyle name="Normal 13 8 2" xfId="9498" xr:uid="{00000000-0005-0000-0000-000020350000}"/>
    <cellStyle name="Normal 13 8 2 2" xfId="9499" xr:uid="{00000000-0005-0000-0000-000021350000}"/>
    <cellStyle name="Normal 13 8 2 2 2" xfId="9500" xr:uid="{00000000-0005-0000-0000-000022350000}"/>
    <cellStyle name="Normal 13 8 2 2 2 2" xfId="9501" xr:uid="{00000000-0005-0000-0000-000023350000}"/>
    <cellStyle name="Normal 13 8 2 2 2 2 2" xfId="50126" xr:uid="{00000000-0005-0000-0000-000024350000}"/>
    <cellStyle name="Normal 13 8 2 2 2 2 3" xfId="50127" xr:uid="{00000000-0005-0000-0000-000025350000}"/>
    <cellStyle name="Normal 13 8 2 2 2 3" xfId="9502" xr:uid="{00000000-0005-0000-0000-000026350000}"/>
    <cellStyle name="Normal 13 8 2 2 2 3 2" xfId="50128" xr:uid="{00000000-0005-0000-0000-000027350000}"/>
    <cellStyle name="Normal 13 8 2 2 2 4" xfId="9503" xr:uid="{00000000-0005-0000-0000-000028350000}"/>
    <cellStyle name="Normal 13 8 2 2 2 5" xfId="9504" xr:uid="{00000000-0005-0000-0000-000029350000}"/>
    <cellStyle name="Normal 13 8 2 2 2 6" xfId="9505" xr:uid="{00000000-0005-0000-0000-00002A350000}"/>
    <cellStyle name="Normal 13 8 2 2 3" xfId="9506" xr:uid="{00000000-0005-0000-0000-00002B350000}"/>
    <cellStyle name="Normal 13 8 2 2 3 2" xfId="50129" xr:uid="{00000000-0005-0000-0000-00002C350000}"/>
    <cellStyle name="Normal 13 8 2 2 3 3" xfId="50130" xr:uid="{00000000-0005-0000-0000-00002D350000}"/>
    <cellStyle name="Normal 13 8 2 2 4" xfId="9507" xr:uid="{00000000-0005-0000-0000-00002E350000}"/>
    <cellStyle name="Normal 13 8 2 2 4 2" xfId="50131" xr:uid="{00000000-0005-0000-0000-00002F350000}"/>
    <cellStyle name="Normal 13 8 2 2 5" xfId="9508" xr:uid="{00000000-0005-0000-0000-000030350000}"/>
    <cellStyle name="Normal 13 8 2 2 6" xfId="9509" xr:uid="{00000000-0005-0000-0000-000031350000}"/>
    <cellStyle name="Normal 13 8 2 2 7" xfId="9510" xr:uid="{00000000-0005-0000-0000-000032350000}"/>
    <cellStyle name="Normal 13 8 2 3" xfId="9511" xr:uid="{00000000-0005-0000-0000-000033350000}"/>
    <cellStyle name="Normal 13 8 2 3 2" xfId="9512" xr:uid="{00000000-0005-0000-0000-000034350000}"/>
    <cellStyle name="Normal 13 8 2 3 2 2" xfId="50132" xr:uid="{00000000-0005-0000-0000-000035350000}"/>
    <cellStyle name="Normal 13 8 2 3 2 3" xfId="50133" xr:uid="{00000000-0005-0000-0000-000036350000}"/>
    <cellStyle name="Normal 13 8 2 3 3" xfId="9513" xr:uid="{00000000-0005-0000-0000-000037350000}"/>
    <cellStyle name="Normal 13 8 2 3 3 2" xfId="50134" xr:uid="{00000000-0005-0000-0000-000038350000}"/>
    <cellStyle name="Normal 13 8 2 3 4" xfId="9514" xr:uid="{00000000-0005-0000-0000-000039350000}"/>
    <cellStyle name="Normal 13 8 2 3 5" xfId="9515" xr:uid="{00000000-0005-0000-0000-00003A350000}"/>
    <cellStyle name="Normal 13 8 2 3 6" xfId="9516" xr:uid="{00000000-0005-0000-0000-00003B350000}"/>
    <cellStyle name="Normal 13 8 2 4" xfId="9517" xr:uid="{00000000-0005-0000-0000-00003C350000}"/>
    <cellStyle name="Normal 13 8 2 4 2" xfId="50135" xr:uid="{00000000-0005-0000-0000-00003D350000}"/>
    <cellStyle name="Normal 13 8 2 4 3" xfId="50136" xr:uid="{00000000-0005-0000-0000-00003E350000}"/>
    <cellStyle name="Normal 13 8 2 5" xfId="9518" xr:uid="{00000000-0005-0000-0000-00003F350000}"/>
    <cellStyle name="Normal 13 8 2 5 2" xfId="50137" xr:uid="{00000000-0005-0000-0000-000040350000}"/>
    <cellStyle name="Normal 13 8 2 6" xfId="9519" xr:uid="{00000000-0005-0000-0000-000041350000}"/>
    <cellStyle name="Normal 13 8 2 7" xfId="9520" xr:uid="{00000000-0005-0000-0000-000042350000}"/>
    <cellStyle name="Normal 13 8 2 8" xfId="9521" xr:uid="{00000000-0005-0000-0000-000043350000}"/>
    <cellStyle name="Normal 13 8 2 9" xfId="9522" xr:uid="{00000000-0005-0000-0000-000044350000}"/>
    <cellStyle name="Normal 13 8 3" xfId="9523" xr:uid="{00000000-0005-0000-0000-000045350000}"/>
    <cellStyle name="Normal 13 8 3 2" xfId="9524" xr:uid="{00000000-0005-0000-0000-000046350000}"/>
    <cellStyle name="Normal 13 8 3 2 2" xfId="9525" xr:uid="{00000000-0005-0000-0000-000047350000}"/>
    <cellStyle name="Normal 13 8 3 2 2 2" xfId="9526" xr:uid="{00000000-0005-0000-0000-000048350000}"/>
    <cellStyle name="Normal 13 8 3 2 2 2 2" xfId="50138" xr:uid="{00000000-0005-0000-0000-000049350000}"/>
    <cellStyle name="Normal 13 8 3 2 2 2 3" xfId="50139" xr:uid="{00000000-0005-0000-0000-00004A350000}"/>
    <cellStyle name="Normal 13 8 3 2 2 3" xfId="9527" xr:uid="{00000000-0005-0000-0000-00004B350000}"/>
    <cellStyle name="Normal 13 8 3 2 2 3 2" xfId="50140" xr:uid="{00000000-0005-0000-0000-00004C350000}"/>
    <cellStyle name="Normal 13 8 3 2 2 4" xfId="9528" xr:uid="{00000000-0005-0000-0000-00004D350000}"/>
    <cellStyle name="Normal 13 8 3 2 2 5" xfId="9529" xr:uid="{00000000-0005-0000-0000-00004E350000}"/>
    <cellStyle name="Normal 13 8 3 2 2 6" xfId="9530" xr:uid="{00000000-0005-0000-0000-00004F350000}"/>
    <cellStyle name="Normal 13 8 3 2 3" xfId="9531" xr:uid="{00000000-0005-0000-0000-000050350000}"/>
    <cellStyle name="Normal 13 8 3 2 3 2" xfId="50141" xr:uid="{00000000-0005-0000-0000-000051350000}"/>
    <cellStyle name="Normal 13 8 3 2 3 3" xfId="50142" xr:uid="{00000000-0005-0000-0000-000052350000}"/>
    <cellStyle name="Normal 13 8 3 2 4" xfId="9532" xr:uid="{00000000-0005-0000-0000-000053350000}"/>
    <cellStyle name="Normal 13 8 3 2 4 2" xfId="50143" xr:uid="{00000000-0005-0000-0000-000054350000}"/>
    <cellStyle name="Normal 13 8 3 2 5" xfId="9533" xr:uid="{00000000-0005-0000-0000-000055350000}"/>
    <cellStyle name="Normal 13 8 3 2 6" xfId="9534" xr:uid="{00000000-0005-0000-0000-000056350000}"/>
    <cellStyle name="Normal 13 8 3 2 7" xfId="9535" xr:uid="{00000000-0005-0000-0000-000057350000}"/>
    <cellStyle name="Normal 13 8 3 3" xfId="9536" xr:uid="{00000000-0005-0000-0000-000058350000}"/>
    <cellStyle name="Normal 13 8 3 3 2" xfId="9537" xr:uid="{00000000-0005-0000-0000-000059350000}"/>
    <cellStyle name="Normal 13 8 3 3 2 2" xfId="50144" xr:uid="{00000000-0005-0000-0000-00005A350000}"/>
    <cellStyle name="Normal 13 8 3 3 2 3" xfId="50145" xr:uid="{00000000-0005-0000-0000-00005B350000}"/>
    <cellStyle name="Normal 13 8 3 3 3" xfId="9538" xr:uid="{00000000-0005-0000-0000-00005C350000}"/>
    <cellStyle name="Normal 13 8 3 3 3 2" xfId="50146" xr:uid="{00000000-0005-0000-0000-00005D350000}"/>
    <cellStyle name="Normal 13 8 3 3 4" xfId="9539" xr:uid="{00000000-0005-0000-0000-00005E350000}"/>
    <cellStyle name="Normal 13 8 3 3 5" xfId="9540" xr:uid="{00000000-0005-0000-0000-00005F350000}"/>
    <cellStyle name="Normal 13 8 3 3 6" xfId="9541" xr:uid="{00000000-0005-0000-0000-000060350000}"/>
    <cellStyle name="Normal 13 8 3 4" xfId="9542" xr:uid="{00000000-0005-0000-0000-000061350000}"/>
    <cellStyle name="Normal 13 8 3 4 2" xfId="50147" xr:uid="{00000000-0005-0000-0000-000062350000}"/>
    <cellStyle name="Normal 13 8 3 4 3" xfId="50148" xr:uid="{00000000-0005-0000-0000-000063350000}"/>
    <cellStyle name="Normal 13 8 3 5" xfId="9543" xr:uid="{00000000-0005-0000-0000-000064350000}"/>
    <cellStyle name="Normal 13 8 3 5 2" xfId="50149" xr:uid="{00000000-0005-0000-0000-000065350000}"/>
    <cellStyle name="Normal 13 8 3 6" xfId="9544" xr:uid="{00000000-0005-0000-0000-000066350000}"/>
    <cellStyle name="Normal 13 8 3 7" xfId="9545" xr:uid="{00000000-0005-0000-0000-000067350000}"/>
    <cellStyle name="Normal 13 8 3 8" xfId="9546" xr:uid="{00000000-0005-0000-0000-000068350000}"/>
    <cellStyle name="Normal 13 8 4" xfId="9547" xr:uid="{00000000-0005-0000-0000-000069350000}"/>
    <cellStyle name="Normal 13 8 4 2" xfId="9548" xr:uid="{00000000-0005-0000-0000-00006A350000}"/>
    <cellStyle name="Normal 13 8 4 2 2" xfId="9549" xr:uid="{00000000-0005-0000-0000-00006B350000}"/>
    <cellStyle name="Normal 13 8 4 2 2 2" xfId="50150" xr:uid="{00000000-0005-0000-0000-00006C350000}"/>
    <cellStyle name="Normal 13 8 4 2 2 3" xfId="50151" xr:uid="{00000000-0005-0000-0000-00006D350000}"/>
    <cellStyle name="Normal 13 8 4 2 3" xfId="9550" xr:uid="{00000000-0005-0000-0000-00006E350000}"/>
    <cellStyle name="Normal 13 8 4 2 3 2" xfId="50152" xr:uid="{00000000-0005-0000-0000-00006F350000}"/>
    <cellStyle name="Normal 13 8 4 2 4" xfId="9551" xr:uid="{00000000-0005-0000-0000-000070350000}"/>
    <cellStyle name="Normal 13 8 4 2 5" xfId="9552" xr:uid="{00000000-0005-0000-0000-000071350000}"/>
    <cellStyle name="Normal 13 8 4 2 6" xfId="9553" xr:uid="{00000000-0005-0000-0000-000072350000}"/>
    <cellStyle name="Normal 13 8 4 3" xfId="9554" xr:uid="{00000000-0005-0000-0000-000073350000}"/>
    <cellStyle name="Normal 13 8 4 3 2" xfId="50153" xr:uid="{00000000-0005-0000-0000-000074350000}"/>
    <cellStyle name="Normal 13 8 4 3 3" xfId="50154" xr:uid="{00000000-0005-0000-0000-000075350000}"/>
    <cellStyle name="Normal 13 8 4 4" xfId="9555" xr:uid="{00000000-0005-0000-0000-000076350000}"/>
    <cellStyle name="Normal 13 8 4 4 2" xfId="50155" xr:uid="{00000000-0005-0000-0000-000077350000}"/>
    <cellStyle name="Normal 13 8 4 5" xfId="9556" xr:uid="{00000000-0005-0000-0000-000078350000}"/>
    <cellStyle name="Normal 13 8 4 6" xfId="9557" xr:uid="{00000000-0005-0000-0000-000079350000}"/>
    <cellStyle name="Normal 13 8 4 7" xfId="9558" xr:uid="{00000000-0005-0000-0000-00007A350000}"/>
    <cellStyle name="Normal 13 8 5" xfId="9559" xr:uid="{00000000-0005-0000-0000-00007B350000}"/>
    <cellStyle name="Normal 13 8 5 2" xfId="9560" xr:uid="{00000000-0005-0000-0000-00007C350000}"/>
    <cellStyle name="Normal 13 8 5 2 2" xfId="50156" xr:uid="{00000000-0005-0000-0000-00007D350000}"/>
    <cellStyle name="Normal 13 8 5 2 3" xfId="50157" xr:uid="{00000000-0005-0000-0000-00007E350000}"/>
    <cellStyle name="Normal 13 8 5 3" xfId="9561" xr:uid="{00000000-0005-0000-0000-00007F350000}"/>
    <cellStyle name="Normal 13 8 5 3 2" xfId="50158" xr:uid="{00000000-0005-0000-0000-000080350000}"/>
    <cellStyle name="Normal 13 8 5 4" xfId="9562" xr:uid="{00000000-0005-0000-0000-000081350000}"/>
    <cellStyle name="Normal 13 8 5 5" xfId="9563" xr:uid="{00000000-0005-0000-0000-000082350000}"/>
    <cellStyle name="Normal 13 8 5 6" xfId="9564" xr:uid="{00000000-0005-0000-0000-000083350000}"/>
    <cellStyle name="Normal 13 8 6" xfId="9565" xr:uid="{00000000-0005-0000-0000-000084350000}"/>
    <cellStyle name="Normal 13 8 6 2" xfId="50159" xr:uid="{00000000-0005-0000-0000-000085350000}"/>
    <cellStyle name="Normal 13 8 6 3" xfId="50160" xr:uid="{00000000-0005-0000-0000-000086350000}"/>
    <cellStyle name="Normal 13 8 7" xfId="9566" xr:uid="{00000000-0005-0000-0000-000087350000}"/>
    <cellStyle name="Normal 13 8 7 2" xfId="50161" xr:uid="{00000000-0005-0000-0000-000088350000}"/>
    <cellStyle name="Normal 13 8 8" xfId="9567" xr:uid="{00000000-0005-0000-0000-000089350000}"/>
    <cellStyle name="Normal 13 8 9" xfId="9568" xr:uid="{00000000-0005-0000-0000-00008A350000}"/>
    <cellStyle name="Normal 13 9" xfId="9569" xr:uid="{00000000-0005-0000-0000-00008B350000}"/>
    <cellStyle name="Normal 13 9 10" xfId="9570" xr:uid="{00000000-0005-0000-0000-00008C350000}"/>
    <cellStyle name="Normal 13 9 11" xfId="9571" xr:uid="{00000000-0005-0000-0000-00008D350000}"/>
    <cellStyle name="Normal 13 9 12" xfId="9572" xr:uid="{00000000-0005-0000-0000-00008E350000}"/>
    <cellStyle name="Normal 13 9 13" xfId="9573" xr:uid="{00000000-0005-0000-0000-00008F350000}"/>
    <cellStyle name="Normal 13 9 2" xfId="9574" xr:uid="{00000000-0005-0000-0000-000090350000}"/>
    <cellStyle name="Normal 13 9 2 2" xfId="9575" xr:uid="{00000000-0005-0000-0000-000091350000}"/>
    <cellStyle name="Normal 13 9 2 2 2" xfId="9576" xr:uid="{00000000-0005-0000-0000-000092350000}"/>
    <cellStyle name="Normal 13 9 2 2 2 2" xfId="9577" xr:uid="{00000000-0005-0000-0000-000093350000}"/>
    <cellStyle name="Normal 13 9 2 2 2 2 2" xfId="50162" xr:uid="{00000000-0005-0000-0000-000094350000}"/>
    <cellStyle name="Normal 13 9 2 2 2 2 3" xfId="50163" xr:uid="{00000000-0005-0000-0000-000095350000}"/>
    <cellStyle name="Normal 13 9 2 2 2 3" xfId="9578" xr:uid="{00000000-0005-0000-0000-000096350000}"/>
    <cellStyle name="Normal 13 9 2 2 2 3 2" xfId="50164" xr:uid="{00000000-0005-0000-0000-000097350000}"/>
    <cellStyle name="Normal 13 9 2 2 2 4" xfId="9579" xr:uid="{00000000-0005-0000-0000-000098350000}"/>
    <cellStyle name="Normal 13 9 2 2 2 5" xfId="9580" xr:uid="{00000000-0005-0000-0000-000099350000}"/>
    <cellStyle name="Normal 13 9 2 2 2 6" xfId="9581" xr:uid="{00000000-0005-0000-0000-00009A350000}"/>
    <cellStyle name="Normal 13 9 2 2 3" xfId="9582" xr:uid="{00000000-0005-0000-0000-00009B350000}"/>
    <cellStyle name="Normal 13 9 2 2 3 2" xfId="50165" xr:uid="{00000000-0005-0000-0000-00009C350000}"/>
    <cellStyle name="Normal 13 9 2 2 3 3" xfId="50166" xr:uid="{00000000-0005-0000-0000-00009D350000}"/>
    <cellStyle name="Normal 13 9 2 2 4" xfId="9583" xr:uid="{00000000-0005-0000-0000-00009E350000}"/>
    <cellStyle name="Normal 13 9 2 2 4 2" xfId="50167" xr:uid="{00000000-0005-0000-0000-00009F350000}"/>
    <cellStyle name="Normal 13 9 2 2 5" xfId="9584" xr:uid="{00000000-0005-0000-0000-0000A0350000}"/>
    <cellStyle name="Normal 13 9 2 2 6" xfId="9585" xr:uid="{00000000-0005-0000-0000-0000A1350000}"/>
    <cellStyle name="Normal 13 9 2 2 7" xfId="9586" xr:uid="{00000000-0005-0000-0000-0000A2350000}"/>
    <cellStyle name="Normal 13 9 2 3" xfId="9587" xr:uid="{00000000-0005-0000-0000-0000A3350000}"/>
    <cellStyle name="Normal 13 9 2 3 2" xfId="9588" xr:uid="{00000000-0005-0000-0000-0000A4350000}"/>
    <cellStyle name="Normal 13 9 2 3 2 2" xfId="50168" xr:uid="{00000000-0005-0000-0000-0000A5350000}"/>
    <cellStyle name="Normal 13 9 2 3 2 3" xfId="50169" xr:uid="{00000000-0005-0000-0000-0000A6350000}"/>
    <cellStyle name="Normal 13 9 2 3 3" xfId="9589" xr:uid="{00000000-0005-0000-0000-0000A7350000}"/>
    <cellStyle name="Normal 13 9 2 3 3 2" xfId="50170" xr:uid="{00000000-0005-0000-0000-0000A8350000}"/>
    <cellStyle name="Normal 13 9 2 3 4" xfId="9590" xr:uid="{00000000-0005-0000-0000-0000A9350000}"/>
    <cellStyle name="Normal 13 9 2 3 5" xfId="9591" xr:uid="{00000000-0005-0000-0000-0000AA350000}"/>
    <cellStyle name="Normal 13 9 2 3 6" xfId="9592" xr:uid="{00000000-0005-0000-0000-0000AB350000}"/>
    <cellStyle name="Normal 13 9 2 4" xfId="9593" xr:uid="{00000000-0005-0000-0000-0000AC350000}"/>
    <cellStyle name="Normal 13 9 2 4 2" xfId="50171" xr:uid="{00000000-0005-0000-0000-0000AD350000}"/>
    <cellStyle name="Normal 13 9 2 4 3" xfId="50172" xr:uid="{00000000-0005-0000-0000-0000AE350000}"/>
    <cellStyle name="Normal 13 9 2 5" xfId="9594" xr:uid="{00000000-0005-0000-0000-0000AF350000}"/>
    <cellStyle name="Normal 13 9 2 5 2" xfId="50173" xr:uid="{00000000-0005-0000-0000-0000B0350000}"/>
    <cellStyle name="Normal 13 9 2 6" xfId="9595" xr:uid="{00000000-0005-0000-0000-0000B1350000}"/>
    <cellStyle name="Normal 13 9 2 7" xfId="9596" xr:uid="{00000000-0005-0000-0000-0000B2350000}"/>
    <cellStyle name="Normal 13 9 2 8" xfId="9597" xr:uid="{00000000-0005-0000-0000-0000B3350000}"/>
    <cellStyle name="Normal 13 9 2 9" xfId="9598" xr:uid="{00000000-0005-0000-0000-0000B4350000}"/>
    <cellStyle name="Normal 13 9 3" xfId="9599" xr:uid="{00000000-0005-0000-0000-0000B5350000}"/>
    <cellStyle name="Normal 13 9 3 2" xfId="9600" xr:uid="{00000000-0005-0000-0000-0000B6350000}"/>
    <cellStyle name="Normal 13 9 3 2 2" xfId="9601" xr:uid="{00000000-0005-0000-0000-0000B7350000}"/>
    <cellStyle name="Normal 13 9 3 2 2 2" xfId="50174" xr:uid="{00000000-0005-0000-0000-0000B8350000}"/>
    <cellStyle name="Normal 13 9 3 2 2 3" xfId="50175" xr:uid="{00000000-0005-0000-0000-0000B9350000}"/>
    <cellStyle name="Normal 13 9 3 2 3" xfId="9602" xr:uid="{00000000-0005-0000-0000-0000BA350000}"/>
    <cellStyle name="Normal 13 9 3 2 3 2" xfId="50176" xr:uid="{00000000-0005-0000-0000-0000BB350000}"/>
    <cellStyle name="Normal 13 9 3 2 4" xfId="9603" xr:uid="{00000000-0005-0000-0000-0000BC350000}"/>
    <cellStyle name="Normal 13 9 3 2 5" xfId="9604" xr:uid="{00000000-0005-0000-0000-0000BD350000}"/>
    <cellStyle name="Normal 13 9 3 2 6" xfId="9605" xr:uid="{00000000-0005-0000-0000-0000BE350000}"/>
    <cellStyle name="Normal 13 9 3 3" xfId="9606" xr:uid="{00000000-0005-0000-0000-0000BF350000}"/>
    <cellStyle name="Normal 13 9 3 3 2" xfId="50177" xr:uid="{00000000-0005-0000-0000-0000C0350000}"/>
    <cellStyle name="Normal 13 9 3 3 3" xfId="50178" xr:uid="{00000000-0005-0000-0000-0000C1350000}"/>
    <cellStyle name="Normal 13 9 3 4" xfId="9607" xr:uid="{00000000-0005-0000-0000-0000C2350000}"/>
    <cellStyle name="Normal 13 9 3 4 2" xfId="50179" xr:uid="{00000000-0005-0000-0000-0000C3350000}"/>
    <cellStyle name="Normal 13 9 3 5" xfId="9608" xr:uid="{00000000-0005-0000-0000-0000C4350000}"/>
    <cellStyle name="Normal 13 9 3 6" xfId="9609" xr:uid="{00000000-0005-0000-0000-0000C5350000}"/>
    <cellStyle name="Normal 13 9 3 7" xfId="9610" xr:uid="{00000000-0005-0000-0000-0000C6350000}"/>
    <cellStyle name="Normal 13 9 4" xfId="9611" xr:uid="{00000000-0005-0000-0000-0000C7350000}"/>
    <cellStyle name="Normal 13 9 4 2" xfId="9612" xr:uid="{00000000-0005-0000-0000-0000C8350000}"/>
    <cellStyle name="Normal 13 9 4 2 2" xfId="50180" xr:uid="{00000000-0005-0000-0000-0000C9350000}"/>
    <cellStyle name="Normal 13 9 4 2 3" xfId="50181" xr:uid="{00000000-0005-0000-0000-0000CA350000}"/>
    <cellStyle name="Normal 13 9 4 3" xfId="9613" xr:uid="{00000000-0005-0000-0000-0000CB350000}"/>
    <cellStyle name="Normal 13 9 4 3 2" xfId="50182" xr:uid="{00000000-0005-0000-0000-0000CC350000}"/>
    <cellStyle name="Normal 13 9 4 4" xfId="9614" xr:uid="{00000000-0005-0000-0000-0000CD350000}"/>
    <cellStyle name="Normal 13 9 4 5" xfId="9615" xr:uid="{00000000-0005-0000-0000-0000CE350000}"/>
    <cellStyle name="Normal 13 9 4 6" xfId="9616" xr:uid="{00000000-0005-0000-0000-0000CF350000}"/>
    <cellStyle name="Normal 13 9 5" xfId="9617" xr:uid="{00000000-0005-0000-0000-0000D0350000}"/>
    <cellStyle name="Normal 13 9 5 2" xfId="50183" xr:uid="{00000000-0005-0000-0000-0000D1350000}"/>
    <cellStyle name="Normal 13 9 5 3" xfId="50184" xr:uid="{00000000-0005-0000-0000-0000D2350000}"/>
    <cellStyle name="Normal 13 9 6" xfId="9618" xr:uid="{00000000-0005-0000-0000-0000D3350000}"/>
    <cellStyle name="Normal 13 9 6 2" xfId="50185" xr:uid="{00000000-0005-0000-0000-0000D4350000}"/>
    <cellStyle name="Normal 13 9 7" xfId="9619" xr:uid="{00000000-0005-0000-0000-0000D5350000}"/>
    <cellStyle name="Normal 13 9 8" xfId="9620" xr:uid="{00000000-0005-0000-0000-0000D6350000}"/>
    <cellStyle name="Normal 13 9 9" xfId="9621" xr:uid="{00000000-0005-0000-0000-0000D7350000}"/>
    <cellStyle name="Normal 14" xfId="9622" xr:uid="{00000000-0005-0000-0000-0000D8350000}"/>
    <cellStyle name="Normal 14 10" xfId="9623" xr:uid="{00000000-0005-0000-0000-0000D9350000}"/>
    <cellStyle name="Normal 14 10 2" xfId="9624" xr:uid="{00000000-0005-0000-0000-0000DA350000}"/>
    <cellStyle name="Normal 14 10 2 2" xfId="9625" xr:uid="{00000000-0005-0000-0000-0000DB350000}"/>
    <cellStyle name="Normal 14 10 2 2 2" xfId="9626" xr:uid="{00000000-0005-0000-0000-0000DC350000}"/>
    <cellStyle name="Normal 14 10 2 2 2 2" xfId="50186" xr:uid="{00000000-0005-0000-0000-0000DD350000}"/>
    <cellStyle name="Normal 14 10 2 2 2 3" xfId="50187" xr:uid="{00000000-0005-0000-0000-0000DE350000}"/>
    <cellStyle name="Normal 14 10 2 2 3" xfId="9627" xr:uid="{00000000-0005-0000-0000-0000DF350000}"/>
    <cellStyle name="Normal 14 10 2 2 3 2" xfId="50188" xr:uid="{00000000-0005-0000-0000-0000E0350000}"/>
    <cellStyle name="Normal 14 10 2 2 4" xfId="9628" xr:uid="{00000000-0005-0000-0000-0000E1350000}"/>
    <cellStyle name="Normal 14 10 2 2 5" xfId="9629" xr:uid="{00000000-0005-0000-0000-0000E2350000}"/>
    <cellStyle name="Normal 14 10 2 2 6" xfId="9630" xr:uid="{00000000-0005-0000-0000-0000E3350000}"/>
    <cellStyle name="Normal 14 10 2 3" xfId="9631" xr:uid="{00000000-0005-0000-0000-0000E4350000}"/>
    <cellStyle name="Normal 14 10 2 3 2" xfId="50189" xr:uid="{00000000-0005-0000-0000-0000E5350000}"/>
    <cellStyle name="Normal 14 10 2 3 3" xfId="50190" xr:uid="{00000000-0005-0000-0000-0000E6350000}"/>
    <cellStyle name="Normal 14 10 2 4" xfId="9632" xr:uid="{00000000-0005-0000-0000-0000E7350000}"/>
    <cellStyle name="Normal 14 10 2 4 2" xfId="50191" xr:uid="{00000000-0005-0000-0000-0000E8350000}"/>
    <cellStyle name="Normal 14 10 2 5" xfId="9633" xr:uid="{00000000-0005-0000-0000-0000E9350000}"/>
    <cellStyle name="Normal 14 10 2 6" xfId="9634" xr:uid="{00000000-0005-0000-0000-0000EA350000}"/>
    <cellStyle name="Normal 14 10 2 7" xfId="9635" xr:uid="{00000000-0005-0000-0000-0000EB350000}"/>
    <cellStyle name="Normal 14 10 3" xfId="9636" xr:uid="{00000000-0005-0000-0000-0000EC350000}"/>
    <cellStyle name="Normal 14 10 3 2" xfId="9637" xr:uid="{00000000-0005-0000-0000-0000ED350000}"/>
    <cellStyle name="Normal 14 10 3 2 2" xfId="50192" xr:uid="{00000000-0005-0000-0000-0000EE350000}"/>
    <cellStyle name="Normal 14 10 3 2 3" xfId="50193" xr:uid="{00000000-0005-0000-0000-0000EF350000}"/>
    <cellStyle name="Normal 14 10 3 3" xfId="9638" xr:uid="{00000000-0005-0000-0000-0000F0350000}"/>
    <cellStyle name="Normal 14 10 3 3 2" xfId="50194" xr:uid="{00000000-0005-0000-0000-0000F1350000}"/>
    <cellStyle name="Normal 14 10 3 4" xfId="9639" xr:uid="{00000000-0005-0000-0000-0000F2350000}"/>
    <cellStyle name="Normal 14 10 3 5" xfId="9640" xr:uid="{00000000-0005-0000-0000-0000F3350000}"/>
    <cellStyle name="Normal 14 10 3 6" xfId="9641" xr:uid="{00000000-0005-0000-0000-0000F4350000}"/>
    <cellStyle name="Normal 14 10 4" xfId="9642" xr:uid="{00000000-0005-0000-0000-0000F5350000}"/>
    <cellStyle name="Normal 14 10 4 2" xfId="50195" xr:uid="{00000000-0005-0000-0000-0000F6350000}"/>
    <cellStyle name="Normal 14 10 4 3" xfId="50196" xr:uid="{00000000-0005-0000-0000-0000F7350000}"/>
    <cellStyle name="Normal 14 10 5" xfId="9643" xr:uid="{00000000-0005-0000-0000-0000F8350000}"/>
    <cellStyle name="Normal 14 10 5 2" xfId="50197" xr:uid="{00000000-0005-0000-0000-0000F9350000}"/>
    <cellStyle name="Normal 14 10 6" xfId="9644" xr:uid="{00000000-0005-0000-0000-0000FA350000}"/>
    <cellStyle name="Normal 14 10 7" xfId="9645" xr:uid="{00000000-0005-0000-0000-0000FB350000}"/>
    <cellStyle name="Normal 14 10 8" xfId="9646" xr:uid="{00000000-0005-0000-0000-0000FC350000}"/>
    <cellStyle name="Normal 14 11" xfId="9647" xr:uid="{00000000-0005-0000-0000-0000FD350000}"/>
    <cellStyle name="Normal 14 11 2" xfId="9648" xr:uid="{00000000-0005-0000-0000-0000FE350000}"/>
    <cellStyle name="Normal 14 11 2 2" xfId="9649" xr:uid="{00000000-0005-0000-0000-0000FF350000}"/>
    <cellStyle name="Normal 14 11 2 2 2" xfId="9650" xr:uid="{00000000-0005-0000-0000-000000360000}"/>
    <cellStyle name="Normal 14 11 2 2 2 2" xfId="50198" xr:uid="{00000000-0005-0000-0000-000001360000}"/>
    <cellStyle name="Normal 14 11 2 2 2 3" xfId="50199" xr:uid="{00000000-0005-0000-0000-000002360000}"/>
    <cellStyle name="Normal 14 11 2 2 3" xfId="9651" xr:uid="{00000000-0005-0000-0000-000003360000}"/>
    <cellStyle name="Normal 14 11 2 2 3 2" xfId="50200" xr:uid="{00000000-0005-0000-0000-000004360000}"/>
    <cellStyle name="Normal 14 11 2 2 4" xfId="9652" xr:uid="{00000000-0005-0000-0000-000005360000}"/>
    <cellStyle name="Normal 14 11 2 2 5" xfId="9653" xr:uid="{00000000-0005-0000-0000-000006360000}"/>
    <cellStyle name="Normal 14 11 2 2 6" xfId="9654" xr:uid="{00000000-0005-0000-0000-000007360000}"/>
    <cellStyle name="Normal 14 11 2 3" xfId="9655" xr:uid="{00000000-0005-0000-0000-000008360000}"/>
    <cellStyle name="Normal 14 11 2 3 2" xfId="50201" xr:uid="{00000000-0005-0000-0000-000009360000}"/>
    <cellStyle name="Normal 14 11 2 3 3" xfId="50202" xr:uid="{00000000-0005-0000-0000-00000A360000}"/>
    <cellStyle name="Normal 14 11 2 4" xfId="9656" xr:uid="{00000000-0005-0000-0000-00000B360000}"/>
    <cellStyle name="Normal 14 11 2 4 2" xfId="50203" xr:uid="{00000000-0005-0000-0000-00000C360000}"/>
    <cellStyle name="Normal 14 11 2 5" xfId="9657" xr:uid="{00000000-0005-0000-0000-00000D360000}"/>
    <cellStyle name="Normal 14 11 2 6" xfId="9658" xr:uid="{00000000-0005-0000-0000-00000E360000}"/>
    <cellStyle name="Normal 14 11 2 7" xfId="9659" xr:uid="{00000000-0005-0000-0000-00000F360000}"/>
    <cellStyle name="Normal 14 11 3" xfId="9660" xr:uid="{00000000-0005-0000-0000-000010360000}"/>
    <cellStyle name="Normal 14 11 3 2" xfId="9661" xr:uid="{00000000-0005-0000-0000-000011360000}"/>
    <cellStyle name="Normal 14 11 3 2 2" xfId="50204" xr:uid="{00000000-0005-0000-0000-000012360000}"/>
    <cellStyle name="Normal 14 11 3 2 3" xfId="50205" xr:uid="{00000000-0005-0000-0000-000013360000}"/>
    <cellStyle name="Normal 14 11 3 3" xfId="9662" xr:uid="{00000000-0005-0000-0000-000014360000}"/>
    <cellStyle name="Normal 14 11 3 3 2" xfId="50206" xr:uid="{00000000-0005-0000-0000-000015360000}"/>
    <cellStyle name="Normal 14 11 3 4" xfId="9663" xr:uid="{00000000-0005-0000-0000-000016360000}"/>
    <cellStyle name="Normal 14 11 3 5" xfId="9664" xr:uid="{00000000-0005-0000-0000-000017360000}"/>
    <cellStyle name="Normal 14 11 3 6" xfId="9665" xr:uid="{00000000-0005-0000-0000-000018360000}"/>
    <cellStyle name="Normal 14 11 4" xfId="9666" xr:uid="{00000000-0005-0000-0000-000019360000}"/>
    <cellStyle name="Normal 14 11 4 2" xfId="50207" xr:uid="{00000000-0005-0000-0000-00001A360000}"/>
    <cellStyle name="Normal 14 11 4 3" xfId="50208" xr:uid="{00000000-0005-0000-0000-00001B360000}"/>
    <cellStyle name="Normal 14 11 5" xfId="9667" xr:uid="{00000000-0005-0000-0000-00001C360000}"/>
    <cellStyle name="Normal 14 11 5 2" xfId="50209" xr:uid="{00000000-0005-0000-0000-00001D360000}"/>
    <cellStyle name="Normal 14 11 6" xfId="9668" xr:uid="{00000000-0005-0000-0000-00001E360000}"/>
    <cellStyle name="Normal 14 11 7" xfId="9669" xr:uid="{00000000-0005-0000-0000-00001F360000}"/>
    <cellStyle name="Normal 14 11 8" xfId="9670" xr:uid="{00000000-0005-0000-0000-000020360000}"/>
    <cellStyle name="Normal 14 12" xfId="9671" xr:uid="{00000000-0005-0000-0000-000021360000}"/>
    <cellStyle name="Normal 14 12 2" xfId="9672" xr:uid="{00000000-0005-0000-0000-000022360000}"/>
    <cellStyle name="Normal 14 12 2 2" xfId="9673" xr:uid="{00000000-0005-0000-0000-000023360000}"/>
    <cellStyle name="Normal 14 12 2 2 2" xfId="50210" xr:uid="{00000000-0005-0000-0000-000024360000}"/>
    <cellStyle name="Normal 14 12 2 2 3" xfId="50211" xr:uid="{00000000-0005-0000-0000-000025360000}"/>
    <cellStyle name="Normal 14 12 2 3" xfId="9674" xr:uid="{00000000-0005-0000-0000-000026360000}"/>
    <cellStyle name="Normal 14 12 2 3 2" xfId="50212" xr:uid="{00000000-0005-0000-0000-000027360000}"/>
    <cellStyle name="Normal 14 12 2 4" xfId="9675" xr:uid="{00000000-0005-0000-0000-000028360000}"/>
    <cellStyle name="Normal 14 12 2 5" xfId="9676" xr:uid="{00000000-0005-0000-0000-000029360000}"/>
    <cellStyle name="Normal 14 12 2 6" xfId="9677" xr:uid="{00000000-0005-0000-0000-00002A360000}"/>
    <cellStyle name="Normal 14 12 3" xfId="9678" xr:uid="{00000000-0005-0000-0000-00002B360000}"/>
    <cellStyle name="Normal 14 12 3 2" xfId="50213" xr:uid="{00000000-0005-0000-0000-00002C360000}"/>
    <cellStyle name="Normal 14 12 3 3" xfId="50214" xr:uid="{00000000-0005-0000-0000-00002D360000}"/>
    <cellStyle name="Normal 14 12 4" xfId="9679" xr:uid="{00000000-0005-0000-0000-00002E360000}"/>
    <cellStyle name="Normal 14 12 4 2" xfId="50215" xr:uid="{00000000-0005-0000-0000-00002F360000}"/>
    <cellStyle name="Normal 14 12 5" xfId="9680" xr:uid="{00000000-0005-0000-0000-000030360000}"/>
    <cellStyle name="Normal 14 12 6" xfId="9681" xr:uid="{00000000-0005-0000-0000-000031360000}"/>
    <cellStyle name="Normal 14 12 7" xfId="9682" xr:uid="{00000000-0005-0000-0000-000032360000}"/>
    <cellStyle name="Normal 14 13" xfId="9683" xr:uid="{00000000-0005-0000-0000-000033360000}"/>
    <cellStyle name="Normal 14 13 2" xfId="9684" xr:uid="{00000000-0005-0000-0000-000034360000}"/>
    <cellStyle name="Normal 14 13 2 2" xfId="50216" xr:uid="{00000000-0005-0000-0000-000035360000}"/>
    <cellStyle name="Normal 14 13 2 3" xfId="50217" xr:uid="{00000000-0005-0000-0000-000036360000}"/>
    <cellStyle name="Normal 14 13 3" xfId="9685" xr:uid="{00000000-0005-0000-0000-000037360000}"/>
    <cellStyle name="Normal 14 13 3 2" xfId="50218" xr:uid="{00000000-0005-0000-0000-000038360000}"/>
    <cellStyle name="Normal 14 13 4" xfId="9686" xr:uid="{00000000-0005-0000-0000-000039360000}"/>
    <cellStyle name="Normal 14 13 5" xfId="9687" xr:uid="{00000000-0005-0000-0000-00003A360000}"/>
    <cellStyle name="Normal 14 13 6" xfId="9688" xr:uid="{00000000-0005-0000-0000-00003B360000}"/>
    <cellStyle name="Normal 14 14" xfId="9689" xr:uid="{00000000-0005-0000-0000-00003C360000}"/>
    <cellStyle name="Normal 14 14 2" xfId="50219" xr:uid="{00000000-0005-0000-0000-00003D360000}"/>
    <cellStyle name="Normal 14 14 3" xfId="50220" xr:uid="{00000000-0005-0000-0000-00003E360000}"/>
    <cellStyle name="Normal 14 15" xfId="9690" xr:uid="{00000000-0005-0000-0000-00003F360000}"/>
    <cellStyle name="Normal 14 15 2" xfId="50221" xr:uid="{00000000-0005-0000-0000-000040360000}"/>
    <cellStyle name="Normal 14 16" xfId="9691" xr:uid="{00000000-0005-0000-0000-000041360000}"/>
    <cellStyle name="Normal 14 16 2" xfId="50222" xr:uid="{00000000-0005-0000-0000-000042360000}"/>
    <cellStyle name="Normal 14 17" xfId="9692" xr:uid="{00000000-0005-0000-0000-000043360000}"/>
    <cellStyle name="Normal 14 18" xfId="9693" xr:uid="{00000000-0005-0000-0000-000044360000}"/>
    <cellStyle name="Normal 14 19" xfId="9694" xr:uid="{00000000-0005-0000-0000-000045360000}"/>
    <cellStyle name="Normal 14 2" xfId="9695" xr:uid="{00000000-0005-0000-0000-000046360000}"/>
    <cellStyle name="Normal 14 2 10" xfId="9696" xr:uid="{00000000-0005-0000-0000-000047360000}"/>
    <cellStyle name="Normal 14 2 10 2" xfId="9697" xr:uid="{00000000-0005-0000-0000-000048360000}"/>
    <cellStyle name="Normal 14 2 10 2 2" xfId="9698" xr:uid="{00000000-0005-0000-0000-000049360000}"/>
    <cellStyle name="Normal 14 2 10 2 2 2" xfId="50223" xr:uid="{00000000-0005-0000-0000-00004A360000}"/>
    <cellStyle name="Normal 14 2 10 2 2 3" xfId="50224" xr:uid="{00000000-0005-0000-0000-00004B360000}"/>
    <cellStyle name="Normal 14 2 10 2 3" xfId="9699" xr:uid="{00000000-0005-0000-0000-00004C360000}"/>
    <cellStyle name="Normal 14 2 10 2 3 2" xfId="50225" xr:uid="{00000000-0005-0000-0000-00004D360000}"/>
    <cellStyle name="Normal 14 2 10 2 4" xfId="9700" xr:uid="{00000000-0005-0000-0000-00004E360000}"/>
    <cellStyle name="Normal 14 2 10 2 5" xfId="9701" xr:uid="{00000000-0005-0000-0000-00004F360000}"/>
    <cellStyle name="Normal 14 2 10 2 6" xfId="9702" xr:uid="{00000000-0005-0000-0000-000050360000}"/>
    <cellStyle name="Normal 14 2 10 3" xfId="9703" xr:uid="{00000000-0005-0000-0000-000051360000}"/>
    <cellStyle name="Normal 14 2 10 3 2" xfId="50226" xr:uid="{00000000-0005-0000-0000-000052360000}"/>
    <cellStyle name="Normal 14 2 10 3 3" xfId="50227" xr:uid="{00000000-0005-0000-0000-000053360000}"/>
    <cellStyle name="Normal 14 2 10 4" xfId="9704" xr:uid="{00000000-0005-0000-0000-000054360000}"/>
    <cellStyle name="Normal 14 2 10 4 2" xfId="50228" xr:uid="{00000000-0005-0000-0000-000055360000}"/>
    <cellStyle name="Normal 14 2 10 5" xfId="9705" xr:uid="{00000000-0005-0000-0000-000056360000}"/>
    <cellStyle name="Normal 14 2 10 6" xfId="9706" xr:uid="{00000000-0005-0000-0000-000057360000}"/>
    <cellStyle name="Normal 14 2 10 7" xfId="9707" xr:uid="{00000000-0005-0000-0000-000058360000}"/>
    <cellStyle name="Normal 14 2 11" xfId="9708" xr:uid="{00000000-0005-0000-0000-000059360000}"/>
    <cellStyle name="Normal 14 2 11 2" xfId="9709" xr:uid="{00000000-0005-0000-0000-00005A360000}"/>
    <cellStyle name="Normal 14 2 11 2 2" xfId="50229" xr:uid="{00000000-0005-0000-0000-00005B360000}"/>
    <cellStyle name="Normal 14 2 11 2 3" xfId="50230" xr:uid="{00000000-0005-0000-0000-00005C360000}"/>
    <cellStyle name="Normal 14 2 11 3" xfId="9710" xr:uid="{00000000-0005-0000-0000-00005D360000}"/>
    <cellStyle name="Normal 14 2 11 3 2" xfId="50231" xr:uid="{00000000-0005-0000-0000-00005E360000}"/>
    <cellStyle name="Normal 14 2 11 4" xfId="9711" xr:uid="{00000000-0005-0000-0000-00005F360000}"/>
    <cellStyle name="Normal 14 2 11 5" xfId="9712" xr:uid="{00000000-0005-0000-0000-000060360000}"/>
    <cellStyle name="Normal 14 2 11 6" xfId="9713" xr:uid="{00000000-0005-0000-0000-000061360000}"/>
    <cellStyle name="Normal 14 2 12" xfId="9714" xr:uid="{00000000-0005-0000-0000-000062360000}"/>
    <cellStyle name="Normal 14 2 12 2" xfId="50232" xr:uid="{00000000-0005-0000-0000-000063360000}"/>
    <cellStyle name="Normal 14 2 12 3" xfId="50233" xr:uid="{00000000-0005-0000-0000-000064360000}"/>
    <cellStyle name="Normal 14 2 13" xfId="9715" xr:uid="{00000000-0005-0000-0000-000065360000}"/>
    <cellStyle name="Normal 14 2 13 2" xfId="50234" xr:uid="{00000000-0005-0000-0000-000066360000}"/>
    <cellStyle name="Normal 14 2 14" xfId="9716" xr:uid="{00000000-0005-0000-0000-000067360000}"/>
    <cellStyle name="Normal 14 2 14 2" xfId="50235" xr:uid="{00000000-0005-0000-0000-000068360000}"/>
    <cellStyle name="Normal 14 2 15" xfId="9717" xr:uid="{00000000-0005-0000-0000-000069360000}"/>
    <cellStyle name="Normal 14 2 16" xfId="9718" xr:uid="{00000000-0005-0000-0000-00006A360000}"/>
    <cellStyle name="Normal 14 2 17" xfId="9719" xr:uid="{00000000-0005-0000-0000-00006B360000}"/>
    <cellStyle name="Normal 14 2 18" xfId="9720" xr:uid="{00000000-0005-0000-0000-00006C360000}"/>
    <cellStyle name="Normal 14 2 19" xfId="9721" xr:uid="{00000000-0005-0000-0000-00006D360000}"/>
    <cellStyle name="Normal 14 2 2" xfId="9722" xr:uid="{00000000-0005-0000-0000-00006E360000}"/>
    <cellStyle name="Normal 14 2 2 10" xfId="9723" xr:uid="{00000000-0005-0000-0000-00006F360000}"/>
    <cellStyle name="Normal 14 2 2 11" xfId="9724" xr:uid="{00000000-0005-0000-0000-000070360000}"/>
    <cellStyle name="Normal 14 2 2 12" xfId="9725" xr:uid="{00000000-0005-0000-0000-000071360000}"/>
    <cellStyle name="Normal 14 2 2 13" xfId="9726" xr:uid="{00000000-0005-0000-0000-000072360000}"/>
    <cellStyle name="Normal 14 2 2 14" xfId="9727" xr:uid="{00000000-0005-0000-0000-000073360000}"/>
    <cellStyle name="Normal 14 2 2 15" xfId="9728" xr:uid="{00000000-0005-0000-0000-000074360000}"/>
    <cellStyle name="Normal 14 2 2 16" xfId="9729" xr:uid="{00000000-0005-0000-0000-000075360000}"/>
    <cellStyle name="Normal 14 2 2 2" xfId="9730" xr:uid="{00000000-0005-0000-0000-000076360000}"/>
    <cellStyle name="Normal 14 2 2 2 10" xfId="9731" xr:uid="{00000000-0005-0000-0000-000077360000}"/>
    <cellStyle name="Normal 14 2 2 2 11" xfId="9732" xr:uid="{00000000-0005-0000-0000-000078360000}"/>
    <cellStyle name="Normal 14 2 2 2 12" xfId="9733" xr:uid="{00000000-0005-0000-0000-000079360000}"/>
    <cellStyle name="Normal 14 2 2 2 13" xfId="9734" xr:uid="{00000000-0005-0000-0000-00007A360000}"/>
    <cellStyle name="Normal 14 2 2 2 14" xfId="9735" xr:uid="{00000000-0005-0000-0000-00007B360000}"/>
    <cellStyle name="Normal 14 2 2 2 2" xfId="9736" xr:uid="{00000000-0005-0000-0000-00007C360000}"/>
    <cellStyle name="Normal 14 2 2 2 2 2" xfId="9737" xr:uid="{00000000-0005-0000-0000-00007D360000}"/>
    <cellStyle name="Normal 14 2 2 2 2 2 2" xfId="9738" xr:uid="{00000000-0005-0000-0000-00007E360000}"/>
    <cellStyle name="Normal 14 2 2 2 2 2 2 2" xfId="9739" xr:uid="{00000000-0005-0000-0000-00007F360000}"/>
    <cellStyle name="Normal 14 2 2 2 2 2 2 2 2" xfId="50236" xr:uid="{00000000-0005-0000-0000-000080360000}"/>
    <cellStyle name="Normal 14 2 2 2 2 2 2 2 3" xfId="50237" xr:uid="{00000000-0005-0000-0000-000081360000}"/>
    <cellStyle name="Normal 14 2 2 2 2 2 2 3" xfId="9740" xr:uid="{00000000-0005-0000-0000-000082360000}"/>
    <cellStyle name="Normal 14 2 2 2 2 2 2 3 2" xfId="50238" xr:uid="{00000000-0005-0000-0000-000083360000}"/>
    <cellStyle name="Normal 14 2 2 2 2 2 2 4" xfId="9741" xr:uid="{00000000-0005-0000-0000-000084360000}"/>
    <cellStyle name="Normal 14 2 2 2 2 2 2 5" xfId="9742" xr:uid="{00000000-0005-0000-0000-000085360000}"/>
    <cellStyle name="Normal 14 2 2 2 2 2 2 6" xfId="9743" xr:uid="{00000000-0005-0000-0000-000086360000}"/>
    <cellStyle name="Normal 14 2 2 2 2 2 3" xfId="9744" xr:uid="{00000000-0005-0000-0000-000087360000}"/>
    <cellStyle name="Normal 14 2 2 2 2 2 3 2" xfId="50239" xr:uid="{00000000-0005-0000-0000-000088360000}"/>
    <cellStyle name="Normal 14 2 2 2 2 2 3 3" xfId="50240" xr:uid="{00000000-0005-0000-0000-000089360000}"/>
    <cellStyle name="Normal 14 2 2 2 2 2 4" xfId="9745" xr:uid="{00000000-0005-0000-0000-00008A360000}"/>
    <cellStyle name="Normal 14 2 2 2 2 2 4 2" xfId="50241" xr:uid="{00000000-0005-0000-0000-00008B360000}"/>
    <cellStyle name="Normal 14 2 2 2 2 2 5" xfId="9746" xr:uid="{00000000-0005-0000-0000-00008C360000}"/>
    <cellStyle name="Normal 14 2 2 2 2 2 6" xfId="9747" xr:uid="{00000000-0005-0000-0000-00008D360000}"/>
    <cellStyle name="Normal 14 2 2 2 2 2 7" xfId="9748" xr:uid="{00000000-0005-0000-0000-00008E360000}"/>
    <cellStyle name="Normal 14 2 2 2 2 3" xfId="9749" xr:uid="{00000000-0005-0000-0000-00008F360000}"/>
    <cellStyle name="Normal 14 2 2 2 2 3 2" xfId="9750" xr:uid="{00000000-0005-0000-0000-000090360000}"/>
    <cellStyle name="Normal 14 2 2 2 2 3 2 2" xfId="50242" xr:uid="{00000000-0005-0000-0000-000091360000}"/>
    <cellStyle name="Normal 14 2 2 2 2 3 2 3" xfId="50243" xr:uid="{00000000-0005-0000-0000-000092360000}"/>
    <cellStyle name="Normal 14 2 2 2 2 3 3" xfId="9751" xr:uid="{00000000-0005-0000-0000-000093360000}"/>
    <cellStyle name="Normal 14 2 2 2 2 3 3 2" xfId="50244" xr:uid="{00000000-0005-0000-0000-000094360000}"/>
    <cellStyle name="Normal 14 2 2 2 2 3 4" xfId="9752" xr:uid="{00000000-0005-0000-0000-000095360000}"/>
    <cellStyle name="Normal 14 2 2 2 2 3 5" xfId="9753" xr:uid="{00000000-0005-0000-0000-000096360000}"/>
    <cellStyle name="Normal 14 2 2 2 2 3 6" xfId="9754" xr:uid="{00000000-0005-0000-0000-000097360000}"/>
    <cellStyle name="Normal 14 2 2 2 2 4" xfId="9755" xr:uid="{00000000-0005-0000-0000-000098360000}"/>
    <cellStyle name="Normal 14 2 2 2 2 4 2" xfId="50245" xr:uid="{00000000-0005-0000-0000-000099360000}"/>
    <cellStyle name="Normal 14 2 2 2 2 4 3" xfId="50246" xr:uid="{00000000-0005-0000-0000-00009A360000}"/>
    <cellStyle name="Normal 14 2 2 2 2 5" xfId="9756" xr:uid="{00000000-0005-0000-0000-00009B360000}"/>
    <cellStyle name="Normal 14 2 2 2 2 5 2" xfId="50247" xr:uid="{00000000-0005-0000-0000-00009C360000}"/>
    <cellStyle name="Normal 14 2 2 2 2 6" xfId="9757" xr:uid="{00000000-0005-0000-0000-00009D360000}"/>
    <cellStyle name="Normal 14 2 2 2 2 7" xfId="9758" xr:uid="{00000000-0005-0000-0000-00009E360000}"/>
    <cellStyle name="Normal 14 2 2 2 2 8" xfId="9759" xr:uid="{00000000-0005-0000-0000-00009F360000}"/>
    <cellStyle name="Normal 14 2 2 2 2 9" xfId="9760" xr:uid="{00000000-0005-0000-0000-0000A0360000}"/>
    <cellStyle name="Normal 14 2 2 2 3" xfId="9761" xr:uid="{00000000-0005-0000-0000-0000A1360000}"/>
    <cellStyle name="Normal 14 2 2 2 3 2" xfId="9762" xr:uid="{00000000-0005-0000-0000-0000A2360000}"/>
    <cellStyle name="Normal 14 2 2 2 3 2 2" xfId="9763" xr:uid="{00000000-0005-0000-0000-0000A3360000}"/>
    <cellStyle name="Normal 14 2 2 2 3 2 2 2" xfId="9764" xr:uid="{00000000-0005-0000-0000-0000A4360000}"/>
    <cellStyle name="Normal 14 2 2 2 3 2 2 2 2" xfId="50248" xr:uid="{00000000-0005-0000-0000-0000A5360000}"/>
    <cellStyle name="Normal 14 2 2 2 3 2 2 2 3" xfId="50249" xr:uid="{00000000-0005-0000-0000-0000A6360000}"/>
    <cellStyle name="Normal 14 2 2 2 3 2 2 3" xfId="9765" xr:uid="{00000000-0005-0000-0000-0000A7360000}"/>
    <cellStyle name="Normal 14 2 2 2 3 2 2 3 2" xfId="50250" xr:uid="{00000000-0005-0000-0000-0000A8360000}"/>
    <cellStyle name="Normal 14 2 2 2 3 2 2 4" xfId="9766" xr:uid="{00000000-0005-0000-0000-0000A9360000}"/>
    <cellStyle name="Normal 14 2 2 2 3 2 2 5" xfId="9767" xr:uid="{00000000-0005-0000-0000-0000AA360000}"/>
    <cellStyle name="Normal 14 2 2 2 3 2 2 6" xfId="9768" xr:uid="{00000000-0005-0000-0000-0000AB360000}"/>
    <cellStyle name="Normal 14 2 2 2 3 2 3" xfId="9769" xr:uid="{00000000-0005-0000-0000-0000AC360000}"/>
    <cellStyle name="Normal 14 2 2 2 3 2 3 2" xfId="50251" xr:uid="{00000000-0005-0000-0000-0000AD360000}"/>
    <cellStyle name="Normal 14 2 2 2 3 2 3 3" xfId="50252" xr:uid="{00000000-0005-0000-0000-0000AE360000}"/>
    <cellStyle name="Normal 14 2 2 2 3 2 4" xfId="9770" xr:uid="{00000000-0005-0000-0000-0000AF360000}"/>
    <cellStyle name="Normal 14 2 2 2 3 2 4 2" xfId="50253" xr:uid="{00000000-0005-0000-0000-0000B0360000}"/>
    <cellStyle name="Normal 14 2 2 2 3 2 5" xfId="9771" xr:uid="{00000000-0005-0000-0000-0000B1360000}"/>
    <cellStyle name="Normal 14 2 2 2 3 2 6" xfId="9772" xr:uid="{00000000-0005-0000-0000-0000B2360000}"/>
    <cellStyle name="Normal 14 2 2 2 3 2 7" xfId="9773" xr:uid="{00000000-0005-0000-0000-0000B3360000}"/>
    <cellStyle name="Normal 14 2 2 2 3 3" xfId="9774" xr:uid="{00000000-0005-0000-0000-0000B4360000}"/>
    <cellStyle name="Normal 14 2 2 2 3 3 2" xfId="9775" xr:uid="{00000000-0005-0000-0000-0000B5360000}"/>
    <cellStyle name="Normal 14 2 2 2 3 3 2 2" xfId="50254" xr:uid="{00000000-0005-0000-0000-0000B6360000}"/>
    <cellStyle name="Normal 14 2 2 2 3 3 2 3" xfId="50255" xr:uid="{00000000-0005-0000-0000-0000B7360000}"/>
    <cellStyle name="Normal 14 2 2 2 3 3 3" xfId="9776" xr:uid="{00000000-0005-0000-0000-0000B8360000}"/>
    <cellStyle name="Normal 14 2 2 2 3 3 3 2" xfId="50256" xr:uid="{00000000-0005-0000-0000-0000B9360000}"/>
    <cellStyle name="Normal 14 2 2 2 3 3 4" xfId="9777" xr:uid="{00000000-0005-0000-0000-0000BA360000}"/>
    <cellStyle name="Normal 14 2 2 2 3 3 5" xfId="9778" xr:uid="{00000000-0005-0000-0000-0000BB360000}"/>
    <cellStyle name="Normal 14 2 2 2 3 3 6" xfId="9779" xr:uid="{00000000-0005-0000-0000-0000BC360000}"/>
    <cellStyle name="Normal 14 2 2 2 3 4" xfId="9780" xr:uid="{00000000-0005-0000-0000-0000BD360000}"/>
    <cellStyle name="Normal 14 2 2 2 3 4 2" xfId="50257" xr:uid="{00000000-0005-0000-0000-0000BE360000}"/>
    <cellStyle name="Normal 14 2 2 2 3 4 3" xfId="50258" xr:uid="{00000000-0005-0000-0000-0000BF360000}"/>
    <cellStyle name="Normal 14 2 2 2 3 5" xfId="9781" xr:uid="{00000000-0005-0000-0000-0000C0360000}"/>
    <cellStyle name="Normal 14 2 2 2 3 5 2" xfId="50259" xr:uid="{00000000-0005-0000-0000-0000C1360000}"/>
    <cellStyle name="Normal 14 2 2 2 3 6" xfId="9782" xr:uid="{00000000-0005-0000-0000-0000C2360000}"/>
    <cellStyle name="Normal 14 2 2 2 3 7" xfId="9783" xr:uid="{00000000-0005-0000-0000-0000C3360000}"/>
    <cellStyle name="Normal 14 2 2 2 3 8" xfId="9784" xr:uid="{00000000-0005-0000-0000-0000C4360000}"/>
    <cellStyle name="Normal 14 2 2 2 4" xfId="9785" xr:uid="{00000000-0005-0000-0000-0000C5360000}"/>
    <cellStyle name="Normal 14 2 2 2 4 2" xfId="9786" xr:uid="{00000000-0005-0000-0000-0000C6360000}"/>
    <cellStyle name="Normal 14 2 2 2 4 2 2" xfId="9787" xr:uid="{00000000-0005-0000-0000-0000C7360000}"/>
    <cellStyle name="Normal 14 2 2 2 4 2 2 2" xfId="50260" xr:uid="{00000000-0005-0000-0000-0000C8360000}"/>
    <cellStyle name="Normal 14 2 2 2 4 2 2 3" xfId="50261" xr:uid="{00000000-0005-0000-0000-0000C9360000}"/>
    <cellStyle name="Normal 14 2 2 2 4 2 3" xfId="9788" xr:uid="{00000000-0005-0000-0000-0000CA360000}"/>
    <cellStyle name="Normal 14 2 2 2 4 2 3 2" xfId="50262" xr:uid="{00000000-0005-0000-0000-0000CB360000}"/>
    <cellStyle name="Normal 14 2 2 2 4 2 4" xfId="9789" xr:uid="{00000000-0005-0000-0000-0000CC360000}"/>
    <cellStyle name="Normal 14 2 2 2 4 2 5" xfId="9790" xr:uid="{00000000-0005-0000-0000-0000CD360000}"/>
    <cellStyle name="Normal 14 2 2 2 4 2 6" xfId="9791" xr:uid="{00000000-0005-0000-0000-0000CE360000}"/>
    <cellStyle name="Normal 14 2 2 2 4 3" xfId="9792" xr:uid="{00000000-0005-0000-0000-0000CF360000}"/>
    <cellStyle name="Normal 14 2 2 2 4 3 2" xfId="50263" xr:uid="{00000000-0005-0000-0000-0000D0360000}"/>
    <cellStyle name="Normal 14 2 2 2 4 3 3" xfId="50264" xr:uid="{00000000-0005-0000-0000-0000D1360000}"/>
    <cellStyle name="Normal 14 2 2 2 4 4" xfId="9793" xr:uid="{00000000-0005-0000-0000-0000D2360000}"/>
    <cellStyle name="Normal 14 2 2 2 4 4 2" xfId="50265" xr:uid="{00000000-0005-0000-0000-0000D3360000}"/>
    <cellStyle name="Normal 14 2 2 2 4 5" xfId="9794" xr:uid="{00000000-0005-0000-0000-0000D4360000}"/>
    <cellStyle name="Normal 14 2 2 2 4 6" xfId="9795" xr:uid="{00000000-0005-0000-0000-0000D5360000}"/>
    <cellStyle name="Normal 14 2 2 2 4 7" xfId="9796" xr:uid="{00000000-0005-0000-0000-0000D6360000}"/>
    <cellStyle name="Normal 14 2 2 2 5" xfId="9797" xr:uid="{00000000-0005-0000-0000-0000D7360000}"/>
    <cellStyle name="Normal 14 2 2 2 5 2" xfId="9798" xr:uid="{00000000-0005-0000-0000-0000D8360000}"/>
    <cellStyle name="Normal 14 2 2 2 5 2 2" xfId="50266" xr:uid="{00000000-0005-0000-0000-0000D9360000}"/>
    <cellStyle name="Normal 14 2 2 2 5 2 3" xfId="50267" xr:uid="{00000000-0005-0000-0000-0000DA360000}"/>
    <cellStyle name="Normal 14 2 2 2 5 3" xfId="9799" xr:uid="{00000000-0005-0000-0000-0000DB360000}"/>
    <cellStyle name="Normal 14 2 2 2 5 3 2" xfId="50268" xr:uid="{00000000-0005-0000-0000-0000DC360000}"/>
    <cellStyle name="Normal 14 2 2 2 5 4" xfId="9800" xr:uid="{00000000-0005-0000-0000-0000DD360000}"/>
    <cellStyle name="Normal 14 2 2 2 5 5" xfId="9801" xr:uid="{00000000-0005-0000-0000-0000DE360000}"/>
    <cellStyle name="Normal 14 2 2 2 5 6" xfId="9802" xr:uid="{00000000-0005-0000-0000-0000DF360000}"/>
    <cellStyle name="Normal 14 2 2 2 6" xfId="9803" xr:uid="{00000000-0005-0000-0000-0000E0360000}"/>
    <cellStyle name="Normal 14 2 2 2 6 2" xfId="50269" xr:uid="{00000000-0005-0000-0000-0000E1360000}"/>
    <cellStyle name="Normal 14 2 2 2 6 3" xfId="50270" xr:uid="{00000000-0005-0000-0000-0000E2360000}"/>
    <cellStyle name="Normal 14 2 2 2 7" xfId="9804" xr:uid="{00000000-0005-0000-0000-0000E3360000}"/>
    <cellStyle name="Normal 14 2 2 2 7 2" xfId="50271" xr:uid="{00000000-0005-0000-0000-0000E4360000}"/>
    <cellStyle name="Normal 14 2 2 2 8" xfId="9805" xr:uid="{00000000-0005-0000-0000-0000E5360000}"/>
    <cellStyle name="Normal 14 2 2 2 9" xfId="9806" xr:uid="{00000000-0005-0000-0000-0000E6360000}"/>
    <cellStyle name="Normal 14 2 2 3" xfId="9807" xr:uid="{00000000-0005-0000-0000-0000E7360000}"/>
    <cellStyle name="Normal 14 2 2 3 2" xfId="9808" xr:uid="{00000000-0005-0000-0000-0000E8360000}"/>
    <cellStyle name="Normal 14 2 2 3 2 2" xfId="9809" xr:uid="{00000000-0005-0000-0000-0000E9360000}"/>
    <cellStyle name="Normal 14 2 2 3 2 2 2" xfId="9810" xr:uid="{00000000-0005-0000-0000-0000EA360000}"/>
    <cellStyle name="Normal 14 2 2 3 2 2 2 2" xfId="50272" xr:uid="{00000000-0005-0000-0000-0000EB360000}"/>
    <cellStyle name="Normal 14 2 2 3 2 2 2 3" xfId="50273" xr:uid="{00000000-0005-0000-0000-0000EC360000}"/>
    <cellStyle name="Normal 14 2 2 3 2 2 3" xfId="9811" xr:uid="{00000000-0005-0000-0000-0000ED360000}"/>
    <cellStyle name="Normal 14 2 2 3 2 2 3 2" xfId="50274" xr:uid="{00000000-0005-0000-0000-0000EE360000}"/>
    <cellStyle name="Normal 14 2 2 3 2 2 4" xfId="9812" xr:uid="{00000000-0005-0000-0000-0000EF360000}"/>
    <cellStyle name="Normal 14 2 2 3 2 2 5" xfId="9813" xr:uid="{00000000-0005-0000-0000-0000F0360000}"/>
    <cellStyle name="Normal 14 2 2 3 2 2 6" xfId="9814" xr:uid="{00000000-0005-0000-0000-0000F1360000}"/>
    <cellStyle name="Normal 14 2 2 3 2 3" xfId="9815" xr:uid="{00000000-0005-0000-0000-0000F2360000}"/>
    <cellStyle name="Normal 14 2 2 3 2 3 2" xfId="50275" xr:uid="{00000000-0005-0000-0000-0000F3360000}"/>
    <cellStyle name="Normal 14 2 2 3 2 3 3" xfId="50276" xr:uid="{00000000-0005-0000-0000-0000F4360000}"/>
    <cellStyle name="Normal 14 2 2 3 2 4" xfId="9816" xr:uid="{00000000-0005-0000-0000-0000F5360000}"/>
    <cellStyle name="Normal 14 2 2 3 2 4 2" xfId="50277" xr:uid="{00000000-0005-0000-0000-0000F6360000}"/>
    <cellStyle name="Normal 14 2 2 3 2 5" xfId="9817" xr:uid="{00000000-0005-0000-0000-0000F7360000}"/>
    <cellStyle name="Normal 14 2 2 3 2 6" xfId="9818" xr:uid="{00000000-0005-0000-0000-0000F8360000}"/>
    <cellStyle name="Normal 14 2 2 3 2 7" xfId="9819" xr:uid="{00000000-0005-0000-0000-0000F9360000}"/>
    <cellStyle name="Normal 14 2 2 3 3" xfId="9820" xr:uid="{00000000-0005-0000-0000-0000FA360000}"/>
    <cellStyle name="Normal 14 2 2 3 3 2" xfId="9821" xr:uid="{00000000-0005-0000-0000-0000FB360000}"/>
    <cellStyle name="Normal 14 2 2 3 3 2 2" xfId="50278" xr:uid="{00000000-0005-0000-0000-0000FC360000}"/>
    <cellStyle name="Normal 14 2 2 3 3 2 3" xfId="50279" xr:uid="{00000000-0005-0000-0000-0000FD360000}"/>
    <cellStyle name="Normal 14 2 2 3 3 3" xfId="9822" xr:uid="{00000000-0005-0000-0000-0000FE360000}"/>
    <cellStyle name="Normal 14 2 2 3 3 3 2" xfId="50280" xr:uid="{00000000-0005-0000-0000-0000FF360000}"/>
    <cellStyle name="Normal 14 2 2 3 3 4" xfId="9823" xr:uid="{00000000-0005-0000-0000-000000370000}"/>
    <cellStyle name="Normal 14 2 2 3 3 5" xfId="9824" xr:uid="{00000000-0005-0000-0000-000001370000}"/>
    <cellStyle name="Normal 14 2 2 3 3 6" xfId="9825" xr:uid="{00000000-0005-0000-0000-000002370000}"/>
    <cellStyle name="Normal 14 2 2 3 4" xfId="9826" xr:uid="{00000000-0005-0000-0000-000003370000}"/>
    <cellStyle name="Normal 14 2 2 3 4 2" xfId="50281" xr:uid="{00000000-0005-0000-0000-000004370000}"/>
    <cellStyle name="Normal 14 2 2 3 4 3" xfId="50282" xr:uid="{00000000-0005-0000-0000-000005370000}"/>
    <cellStyle name="Normal 14 2 2 3 5" xfId="9827" xr:uid="{00000000-0005-0000-0000-000006370000}"/>
    <cellStyle name="Normal 14 2 2 3 5 2" xfId="50283" xr:uid="{00000000-0005-0000-0000-000007370000}"/>
    <cellStyle name="Normal 14 2 2 3 6" xfId="9828" xr:uid="{00000000-0005-0000-0000-000008370000}"/>
    <cellStyle name="Normal 14 2 2 3 7" xfId="9829" xr:uid="{00000000-0005-0000-0000-000009370000}"/>
    <cellStyle name="Normal 14 2 2 3 8" xfId="9830" xr:uid="{00000000-0005-0000-0000-00000A370000}"/>
    <cellStyle name="Normal 14 2 2 3 9" xfId="9831" xr:uid="{00000000-0005-0000-0000-00000B370000}"/>
    <cellStyle name="Normal 14 2 2 4" xfId="9832" xr:uid="{00000000-0005-0000-0000-00000C370000}"/>
    <cellStyle name="Normal 14 2 2 4 2" xfId="9833" xr:uid="{00000000-0005-0000-0000-00000D370000}"/>
    <cellStyle name="Normal 14 2 2 4 2 2" xfId="9834" xr:uid="{00000000-0005-0000-0000-00000E370000}"/>
    <cellStyle name="Normal 14 2 2 4 2 2 2" xfId="9835" xr:uid="{00000000-0005-0000-0000-00000F370000}"/>
    <cellStyle name="Normal 14 2 2 4 2 2 2 2" xfId="50284" xr:uid="{00000000-0005-0000-0000-000010370000}"/>
    <cellStyle name="Normal 14 2 2 4 2 2 2 3" xfId="50285" xr:uid="{00000000-0005-0000-0000-000011370000}"/>
    <cellStyle name="Normal 14 2 2 4 2 2 3" xfId="9836" xr:uid="{00000000-0005-0000-0000-000012370000}"/>
    <cellStyle name="Normal 14 2 2 4 2 2 3 2" xfId="50286" xr:uid="{00000000-0005-0000-0000-000013370000}"/>
    <cellStyle name="Normal 14 2 2 4 2 2 4" xfId="9837" xr:uid="{00000000-0005-0000-0000-000014370000}"/>
    <cellStyle name="Normal 14 2 2 4 2 2 5" xfId="9838" xr:uid="{00000000-0005-0000-0000-000015370000}"/>
    <cellStyle name="Normal 14 2 2 4 2 2 6" xfId="9839" xr:uid="{00000000-0005-0000-0000-000016370000}"/>
    <cellStyle name="Normal 14 2 2 4 2 3" xfId="9840" xr:uid="{00000000-0005-0000-0000-000017370000}"/>
    <cellStyle name="Normal 14 2 2 4 2 3 2" xfId="50287" xr:uid="{00000000-0005-0000-0000-000018370000}"/>
    <cellStyle name="Normal 14 2 2 4 2 3 3" xfId="50288" xr:uid="{00000000-0005-0000-0000-000019370000}"/>
    <cellStyle name="Normal 14 2 2 4 2 4" xfId="9841" xr:uid="{00000000-0005-0000-0000-00001A370000}"/>
    <cellStyle name="Normal 14 2 2 4 2 4 2" xfId="50289" xr:uid="{00000000-0005-0000-0000-00001B370000}"/>
    <cellStyle name="Normal 14 2 2 4 2 5" xfId="9842" xr:uid="{00000000-0005-0000-0000-00001C370000}"/>
    <cellStyle name="Normal 14 2 2 4 2 6" xfId="9843" xr:uid="{00000000-0005-0000-0000-00001D370000}"/>
    <cellStyle name="Normal 14 2 2 4 2 7" xfId="9844" xr:uid="{00000000-0005-0000-0000-00001E370000}"/>
    <cellStyle name="Normal 14 2 2 4 3" xfId="9845" xr:uid="{00000000-0005-0000-0000-00001F370000}"/>
    <cellStyle name="Normal 14 2 2 4 3 2" xfId="9846" xr:uid="{00000000-0005-0000-0000-000020370000}"/>
    <cellStyle name="Normal 14 2 2 4 3 2 2" xfId="50290" xr:uid="{00000000-0005-0000-0000-000021370000}"/>
    <cellStyle name="Normal 14 2 2 4 3 2 3" xfId="50291" xr:uid="{00000000-0005-0000-0000-000022370000}"/>
    <cellStyle name="Normal 14 2 2 4 3 3" xfId="9847" xr:uid="{00000000-0005-0000-0000-000023370000}"/>
    <cellStyle name="Normal 14 2 2 4 3 3 2" xfId="50292" xr:uid="{00000000-0005-0000-0000-000024370000}"/>
    <cellStyle name="Normal 14 2 2 4 3 4" xfId="9848" xr:uid="{00000000-0005-0000-0000-000025370000}"/>
    <cellStyle name="Normal 14 2 2 4 3 5" xfId="9849" xr:uid="{00000000-0005-0000-0000-000026370000}"/>
    <cellStyle name="Normal 14 2 2 4 3 6" xfId="9850" xr:uid="{00000000-0005-0000-0000-000027370000}"/>
    <cellStyle name="Normal 14 2 2 4 4" xfId="9851" xr:uid="{00000000-0005-0000-0000-000028370000}"/>
    <cellStyle name="Normal 14 2 2 4 4 2" xfId="50293" xr:uid="{00000000-0005-0000-0000-000029370000}"/>
    <cellStyle name="Normal 14 2 2 4 4 3" xfId="50294" xr:uid="{00000000-0005-0000-0000-00002A370000}"/>
    <cellStyle name="Normal 14 2 2 4 5" xfId="9852" xr:uid="{00000000-0005-0000-0000-00002B370000}"/>
    <cellStyle name="Normal 14 2 2 4 5 2" xfId="50295" xr:uid="{00000000-0005-0000-0000-00002C370000}"/>
    <cellStyle name="Normal 14 2 2 4 6" xfId="9853" xr:uid="{00000000-0005-0000-0000-00002D370000}"/>
    <cellStyle name="Normal 14 2 2 4 7" xfId="9854" xr:uid="{00000000-0005-0000-0000-00002E370000}"/>
    <cellStyle name="Normal 14 2 2 4 8" xfId="9855" xr:uid="{00000000-0005-0000-0000-00002F370000}"/>
    <cellStyle name="Normal 14 2 2 5" xfId="9856" xr:uid="{00000000-0005-0000-0000-000030370000}"/>
    <cellStyle name="Normal 14 2 2 5 2" xfId="9857" xr:uid="{00000000-0005-0000-0000-000031370000}"/>
    <cellStyle name="Normal 14 2 2 5 2 2" xfId="9858" xr:uid="{00000000-0005-0000-0000-000032370000}"/>
    <cellStyle name="Normal 14 2 2 5 2 2 2" xfId="50296" xr:uid="{00000000-0005-0000-0000-000033370000}"/>
    <cellStyle name="Normal 14 2 2 5 2 2 3" xfId="50297" xr:uid="{00000000-0005-0000-0000-000034370000}"/>
    <cellStyle name="Normal 14 2 2 5 2 3" xfId="9859" xr:uid="{00000000-0005-0000-0000-000035370000}"/>
    <cellStyle name="Normal 14 2 2 5 2 3 2" xfId="50298" xr:uid="{00000000-0005-0000-0000-000036370000}"/>
    <cellStyle name="Normal 14 2 2 5 2 4" xfId="9860" xr:uid="{00000000-0005-0000-0000-000037370000}"/>
    <cellStyle name="Normal 14 2 2 5 2 5" xfId="9861" xr:uid="{00000000-0005-0000-0000-000038370000}"/>
    <cellStyle name="Normal 14 2 2 5 2 6" xfId="9862" xr:uid="{00000000-0005-0000-0000-000039370000}"/>
    <cellStyle name="Normal 14 2 2 5 3" xfId="9863" xr:uid="{00000000-0005-0000-0000-00003A370000}"/>
    <cellStyle name="Normal 14 2 2 5 3 2" xfId="50299" xr:uid="{00000000-0005-0000-0000-00003B370000}"/>
    <cellStyle name="Normal 14 2 2 5 3 3" xfId="50300" xr:uid="{00000000-0005-0000-0000-00003C370000}"/>
    <cellStyle name="Normal 14 2 2 5 4" xfId="9864" xr:uid="{00000000-0005-0000-0000-00003D370000}"/>
    <cellStyle name="Normal 14 2 2 5 4 2" xfId="50301" xr:uid="{00000000-0005-0000-0000-00003E370000}"/>
    <cellStyle name="Normal 14 2 2 5 5" xfId="9865" xr:uid="{00000000-0005-0000-0000-00003F370000}"/>
    <cellStyle name="Normal 14 2 2 5 6" xfId="9866" xr:uid="{00000000-0005-0000-0000-000040370000}"/>
    <cellStyle name="Normal 14 2 2 5 7" xfId="9867" xr:uid="{00000000-0005-0000-0000-000041370000}"/>
    <cellStyle name="Normal 14 2 2 6" xfId="9868" xr:uid="{00000000-0005-0000-0000-000042370000}"/>
    <cellStyle name="Normal 14 2 2 6 2" xfId="9869" xr:uid="{00000000-0005-0000-0000-000043370000}"/>
    <cellStyle name="Normal 14 2 2 6 2 2" xfId="50302" xr:uid="{00000000-0005-0000-0000-000044370000}"/>
    <cellStyle name="Normal 14 2 2 6 2 3" xfId="50303" xr:uid="{00000000-0005-0000-0000-000045370000}"/>
    <cellStyle name="Normal 14 2 2 6 3" xfId="9870" xr:uid="{00000000-0005-0000-0000-000046370000}"/>
    <cellStyle name="Normal 14 2 2 6 3 2" xfId="50304" xr:uid="{00000000-0005-0000-0000-000047370000}"/>
    <cellStyle name="Normal 14 2 2 6 4" xfId="9871" xr:uid="{00000000-0005-0000-0000-000048370000}"/>
    <cellStyle name="Normal 14 2 2 6 5" xfId="9872" xr:uid="{00000000-0005-0000-0000-000049370000}"/>
    <cellStyle name="Normal 14 2 2 6 6" xfId="9873" xr:uid="{00000000-0005-0000-0000-00004A370000}"/>
    <cellStyle name="Normal 14 2 2 7" xfId="9874" xr:uid="{00000000-0005-0000-0000-00004B370000}"/>
    <cellStyle name="Normal 14 2 2 7 2" xfId="50305" xr:uid="{00000000-0005-0000-0000-00004C370000}"/>
    <cellStyle name="Normal 14 2 2 7 3" xfId="50306" xr:uid="{00000000-0005-0000-0000-00004D370000}"/>
    <cellStyle name="Normal 14 2 2 8" xfId="9875" xr:uid="{00000000-0005-0000-0000-00004E370000}"/>
    <cellStyle name="Normal 14 2 2 8 2" xfId="50307" xr:uid="{00000000-0005-0000-0000-00004F370000}"/>
    <cellStyle name="Normal 14 2 2 9" xfId="9876" xr:uid="{00000000-0005-0000-0000-000050370000}"/>
    <cellStyle name="Normal 14 2 2 9 2" xfId="50308" xr:uid="{00000000-0005-0000-0000-000051370000}"/>
    <cellStyle name="Normal 14 2 20" xfId="9877" xr:uid="{00000000-0005-0000-0000-000052370000}"/>
    <cellStyle name="Normal 14 2 3" xfId="9878" xr:uid="{00000000-0005-0000-0000-000053370000}"/>
    <cellStyle name="Normal 14 2 3 10" xfId="9879" xr:uid="{00000000-0005-0000-0000-000054370000}"/>
    <cellStyle name="Normal 14 2 3 11" xfId="9880" xr:uid="{00000000-0005-0000-0000-000055370000}"/>
    <cellStyle name="Normal 14 2 3 12" xfId="9881" xr:uid="{00000000-0005-0000-0000-000056370000}"/>
    <cellStyle name="Normal 14 2 3 13" xfId="9882" xr:uid="{00000000-0005-0000-0000-000057370000}"/>
    <cellStyle name="Normal 14 2 3 14" xfId="9883" xr:uid="{00000000-0005-0000-0000-000058370000}"/>
    <cellStyle name="Normal 14 2 3 15" xfId="9884" xr:uid="{00000000-0005-0000-0000-000059370000}"/>
    <cellStyle name="Normal 14 2 3 2" xfId="9885" xr:uid="{00000000-0005-0000-0000-00005A370000}"/>
    <cellStyle name="Normal 14 2 3 2 10" xfId="9886" xr:uid="{00000000-0005-0000-0000-00005B370000}"/>
    <cellStyle name="Normal 14 2 3 2 11" xfId="9887" xr:uid="{00000000-0005-0000-0000-00005C370000}"/>
    <cellStyle name="Normal 14 2 3 2 12" xfId="9888" xr:uid="{00000000-0005-0000-0000-00005D370000}"/>
    <cellStyle name="Normal 14 2 3 2 13" xfId="9889" xr:uid="{00000000-0005-0000-0000-00005E370000}"/>
    <cellStyle name="Normal 14 2 3 2 14" xfId="9890" xr:uid="{00000000-0005-0000-0000-00005F370000}"/>
    <cellStyle name="Normal 14 2 3 2 2" xfId="9891" xr:uid="{00000000-0005-0000-0000-000060370000}"/>
    <cellStyle name="Normal 14 2 3 2 2 2" xfId="9892" xr:uid="{00000000-0005-0000-0000-000061370000}"/>
    <cellStyle name="Normal 14 2 3 2 2 2 2" xfId="9893" xr:uid="{00000000-0005-0000-0000-000062370000}"/>
    <cellStyle name="Normal 14 2 3 2 2 2 2 2" xfId="9894" xr:uid="{00000000-0005-0000-0000-000063370000}"/>
    <cellStyle name="Normal 14 2 3 2 2 2 2 2 2" xfId="50309" xr:uid="{00000000-0005-0000-0000-000064370000}"/>
    <cellStyle name="Normal 14 2 3 2 2 2 2 2 3" xfId="50310" xr:uid="{00000000-0005-0000-0000-000065370000}"/>
    <cellStyle name="Normal 14 2 3 2 2 2 2 3" xfId="9895" xr:uid="{00000000-0005-0000-0000-000066370000}"/>
    <cellStyle name="Normal 14 2 3 2 2 2 2 3 2" xfId="50311" xr:uid="{00000000-0005-0000-0000-000067370000}"/>
    <cellStyle name="Normal 14 2 3 2 2 2 2 4" xfId="9896" xr:uid="{00000000-0005-0000-0000-000068370000}"/>
    <cellStyle name="Normal 14 2 3 2 2 2 2 5" xfId="9897" xr:uid="{00000000-0005-0000-0000-000069370000}"/>
    <cellStyle name="Normal 14 2 3 2 2 2 2 6" xfId="9898" xr:uid="{00000000-0005-0000-0000-00006A370000}"/>
    <cellStyle name="Normal 14 2 3 2 2 2 3" xfId="9899" xr:uid="{00000000-0005-0000-0000-00006B370000}"/>
    <cellStyle name="Normal 14 2 3 2 2 2 3 2" xfId="50312" xr:uid="{00000000-0005-0000-0000-00006C370000}"/>
    <cellStyle name="Normal 14 2 3 2 2 2 3 3" xfId="50313" xr:uid="{00000000-0005-0000-0000-00006D370000}"/>
    <cellStyle name="Normal 14 2 3 2 2 2 4" xfId="9900" xr:uid="{00000000-0005-0000-0000-00006E370000}"/>
    <cellStyle name="Normal 14 2 3 2 2 2 4 2" xfId="50314" xr:uid="{00000000-0005-0000-0000-00006F370000}"/>
    <cellStyle name="Normal 14 2 3 2 2 2 5" xfId="9901" xr:uid="{00000000-0005-0000-0000-000070370000}"/>
    <cellStyle name="Normal 14 2 3 2 2 2 6" xfId="9902" xr:uid="{00000000-0005-0000-0000-000071370000}"/>
    <cellStyle name="Normal 14 2 3 2 2 2 7" xfId="9903" xr:uid="{00000000-0005-0000-0000-000072370000}"/>
    <cellStyle name="Normal 14 2 3 2 2 3" xfId="9904" xr:uid="{00000000-0005-0000-0000-000073370000}"/>
    <cellStyle name="Normal 14 2 3 2 2 3 2" xfId="9905" xr:uid="{00000000-0005-0000-0000-000074370000}"/>
    <cellStyle name="Normal 14 2 3 2 2 3 2 2" xfId="50315" xr:uid="{00000000-0005-0000-0000-000075370000}"/>
    <cellStyle name="Normal 14 2 3 2 2 3 2 3" xfId="50316" xr:uid="{00000000-0005-0000-0000-000076370000}"/>
    <cellStyle name="Normal 14 2 3 2 2 3 3" xfId="9906" xr:uid="{00000000-0005-0000-0000-000077370000}"/>
    <cellStyle name="Normal 14 2 3 2 2 3 3 2" xfId="50317" xr:uid="{00000000-0005-0000-0000-000078370000}"/>
    <cellStyle name="Normal 14 2 3 2 2 3 4" xfId="9907" xr:uid="{00000000-0005-0000-0000-000079370000}"/>
    <cellStyle name="Normal 14 2 3 2 2 3 5" xfId="9908" xr:uid="{00000000-0005-0000-0000-00007A370000}"/>
    <cellStyle name="Normal 14 2 3 2 2 3 6" xfId="9909" xr:uid="{00000000-0005-0000-0000-00007B370000}"/>
    <cellStyle name="Normal 14 2 3 2 2 4" xfId="9910" xr:uid="{00000000-0005-0000-0000-00007C370000}"/>
    <cellStyle name="Normal 14 2 3 2 2 4 2" xfId="50318" xr:uid="{00000000-0005-0000-0000-00007D370000}"/>
    <cellStyle name="Normal 14 2 3 2 2 4 3" xfId="50319" xr:uid="{00000000-0005-0000-0000-00007E370000}"/>
    <cellStyle name="Normal 14 2 3 2 2 5" xfId="9911" xr:uid="{00000000-0005-0000-0000-00007F370000}"/>
    <cellStyle name="Normal 14 2 3 2 2 5 2" xfId="50320" xr:uid="{00000000-0005-0000-0000-000080370000}"/>
    <cellStyle name="Normal 14 2 3 2 2 6" xfId="9912" xr:uid="{00000000-0005-0000-0000-000081370000}"/>
    <cellStyle name="Normal 14 2 3 2 2 7" xfId="9913" xr:uid="{00000000-0005-0000-0000-000082370000}"/>
    <cellStyle name="Normal 14 2 3 2 2 8" xfId="9914" xr:uid="{00000000-0005-0000-0000-000083370000}"/>
    <cellStyle name="Normal 14 2 3 2 2 9" xfId="9915" xr:uid="{00000000-0005-0000-0000-000084370000}"/>
    <cellStyle name="Normal 14 2 3 2 3" xfId="9916" xr:uid="{00000000-0005-0000-0000-000085370000}"/>
    <cellStyle name="Normal 14 2 3 2 3 2" xfId="9917" xr:uid="{00000000-0005-0000-0000-000086370000}"/>
    <cellStyle name="Normal 14 2 3 2 3 2 2" xfId="9918" xr:uid="{00000000-0005-0000-0000-000087370000}"/>
    <cellStyle name="Normal 14 2 3 2 3 2 2 2" xfId="9919" xr:uid="{00000000-0005-0000-0000-000088370000}"/>
    <cellStyle name="Normal 14 2 3 2 3 2 2 2 2" xfId="50321" xr:uid="{00000000-0005-0000-0000-000089370000}"/>
    <cellStyle name="Normal 14 2 3 2 3 2 2 2 3" xfId="50322" xr:uid="{00000000-0005-0000-0000-00008A370000}"/>
    <cellStyle name="Normal 14 2 3 2 3 2 2 3" xfId="9920" xr:uid="{00000000-0005-0000-0000-00008B370000}"/>
    <cellStyle name="Normal 14 2 3 2 3 2 2 3 2" xfId="50323" xr:uid="{00000000-0005-0000-0000-00008C370000}"/>
    <cellStyle name="Normal 14 2 3 2 3 2 2 4" xfId="9921" xr:uid="{00000000-0005-0000-0000-00008D370000}"/>
    <cellStyle name="Normal 14 2 3 2 3 2 2 5" xfId="9922" xr:uid="{00000000-0005-0000-0000-00008E370000}"/>
    <cellStyle name="Normal 14 2 3 2 3 2 2 6" xfId="9923" xr:uid="{00000000-0005-0000-0000-00008F370000}"/>
    <cellStyle name="Normal 14 2 3 2 3 2 3" xfId="9924" xr:uid="{00000000-0005-0000-0000-000090370000}"/>
    <cellStyle name="Normal 14 2 3 2 3 2 3 2" xfId="50324" xr:uid="{00000000-0005-0000-0000-000091370000}"/>
    <cellStyle name="Normal 14 2 3 2 3 2 3 3" xfId="50325" xr:uid="{00000000-0005-0000-0000-000092370000}"/>
    <cellStyle name="Normal 14 2 3 2 3 2 4" xfId="9925" xr:uid="{00000000-0005-0000-0000-000093370000}"/>
    <cellStyle name="Normal 14 2 3 2 3 2 4 2" xfId="50326" xr:uid="{00000000-0005-0000-0000-000094370000}"/>
    <cellStyle name="Normal 14 2 3 2 3 2 5" xfId="9926" xr:uid="{00000000-0005-0000-0000-000095370000}"/>
    <cellStyle name="Normal 14 2 3 2 3 2 6" xfId="9927" xr:uid="{00000000-0005-0000-0000-000096370000}"/>
    <cellStyle name="Normal 14 2 3 2 3 2 7" xfId="9928" xr:uid="{00000000-0005-0000-0000-000097370000}"/>
    <cellStyle name="Normal 14 2 3 2 3 3" xfId="9929" xr:uid="{00000000-0005-0000-0000-000098370000}"/>
    <cellStyle name="Normal 14 2 3 2 3 3 2" xfId="9930" xr:uid="{00000000-0005-0000-0000-000099370000}"/>
    <cellStyle name="Normal 14 2 3 2 3 3 2 2" xfId="50327" xr:uid="{00000000-0005-0000-0000-00009A370000}"/>
    <cellStyle name="Normal 14 2 3 2 3 3 2 3" xfId="50328" xr:uid="{00000000-0005-0000-0000-00009B370000}"/>
    <cellStyle name="Normal 14 2 3 2 3 3 3" xfId="9931" xr:uid="{00000000-0005-0000-0000-00009C370000}"/>
    <cellStyle name="Normal 14 2 3 2 3 3 3 2" xfId="50329" xr:uid="{00000000-0005-0000-0000-00009D370000}"/>
    <cellStyle name="Normal 14 2 3 2 3 3 4" xfId="9932" xr:uid="{00000000-0005-0000-0000-00009E370000}"/>
    <cellStyle name="Normal 14 2 3 2 3 3 5" xfId="9933" xr:uid="{00000000-0005-0000-0000-00009F370000}"/>
    <cellStyle name="Normal 14 2 3 2 3 3 6" xfId="9934" xr:uid="{00000000-0005-0000-0000-0000A0370000}"/>
    <cellStyle name="Normal 14 2 3 2 3 4" xfId="9935" xr:uid="{00000000-0005-0000-0000-0000A1370000}"/>
    <cellStyle name="Normal 14 2 3 2 3 4 2" xfId="50330" xr:uid="{00000000-0005-0000-0000-0000A2370000}"/>
    <cellStyle name="Normal 14 2 3 2 3 4 3" xfId="50331" xr:uid="{00000000-0005-0000-0000-0000A3370000}"/>
    <cellStyle name="Normal 14 2 3 2 3 5" xfId="9936" xr:uid="{00000000-0005-0000-0000-0000A4370000}"/>
    <cellStyle name="Normal 14 2 3 2 3 5 2" xfId="50332" xr:uid="{00000000-0005-0000-0000-0000A5370000}"/>
    <cellStyle name="Normal 14 2 3 2 3 6" xfId="9937" xr:uid="{00000000-0005-0000-0000-0000A6370000}"/>
    <cellStyle name="Normal 14 2 3 2 3 7" xfId="9938" xr:uid="{00000000-0005-0000-0000-0000A7370000}"/>
    <cellStyle name="Normal 14 2 3 2 3 8" xfId="9939" xr:uid="{00000000-0005-0000-0000-0000A8370000}"/>
    <cellStyle name="Normal 14 2 3 2 4" xfId="9940" xr:uid="{00000000-0005-0000-0000-0000A9370000}"/>
    <cellStyle name="Normal 14 2 3 2 4 2" xfId="9941" xr:uid="{00000000-0005-0000-0000-0000AA370000}"/>
    <cellStyle name="Normal 14 2 3 2 4 2 2" xfId="9942" xr:uid="{00000000-0005-0000-0000-0000AB370000}"/>
    <cellStyle name="Normal 14 2 3 2 4 2 2 2" xfId="50333" xr:uid="{00000000-0005-0000-0000-0000AC370000}"/>
    <cellStyle name="Normal 14 2 3 2 4 2 2 3" xfId="50334" xr:uid="{00000000-0005-0000-0000-0000AD370000}"/>
    <cellStyle name="Normal 14 2 3 2 4 2 3" xfId="9943" xr:uid="{00000000-0005-0000-0000-0000AE370000}"/>
    <cellStyle name="Normal 14 2 3 2 4 2 3 2" xfId="50335" xr:uid="{00000000-0005-0000-0000-0000AF370000}"/>
    <cellStyle name="Normal 14 2 3 2 4 2 4" xfId="9944" xr:uid="{00000000-0005-0000-0000-0000B0370000}"/>
    <cellStyle name="Normal 14 2 3 2 4 2 5" xfId="9945" xr:uid="{00000000-0005-0000-0000-0000B1370000}"/>
    <cellStyle name="Normal 14 2 3 2 4 2 6" xfId="9946" xr:uid="{00000000-0005-0000-0000-0000B2370000}"/>
    <cellStyle name="Normal 14 2 3 2 4 3" xfId="9947" xr:uid="{00000000-0005-0000-0000-0000B3370000}"/>
    <cellStyle name="Normal 14 2 3 2 4 3 2" xfId="50336" xr:uid="{00000000-0005-0000-0000-0000B4370000}"/>
    <cellStyle name="Normal 14 2 3 2 4 3 3" xfId="50337" xr:uid="{00000000-0005-0000-0000-0000B5370000}"/>
    <cellStyle name="Normal 14 2 3 2 4 4" xfId="9948" xr:uid="{00000000-0005-0000-0000-0000B6370000}"/>
    <cellStyle name="Normal 14 2 3 2 4 4 2" xfId="50338" xr:uid="{00000000-0005-0000-0000-0000B7370000}"/>
    <cellStyle name="Normal 14 2 3 2 4 5" xfId="9949" xr:uid="{00000000-0005-0000-0000-0000B8370000}"/>
    <cellStyle name="Normal 14 2 3 2 4 6" xfId="9950" xr:uid="{00000000-0005-0000-0000-0000B9370000}"/>
    <cellStyle name="Normal 14 2 3 2 4 7" xfId="9951" xr:uid="{00000000-0005-0000-0000-0000BA370000}"/>
    <cellStyle name="Normal 14 2 3 2 5" xfId="9952" xr:uid="{00000000-0005-0000-0000-0000BB370000}"/>
    <cellStyle name="Normal 14 2 3 2 5 2" xfId="9953" xr:uid="{00000000-0005-0000-0000-0000BC370000}"/>
    <cellStyle name="Normal 14 2 3 2 5 2 2" xfId="50339" xr:uid="{00000000-0005-0000-0000-0000BD370000}"/>
    <cellStyle name="Normal 14 2 3 2 5 2 3" xfId="50340" xr:uid="{00000000-0005-0000-0000-0000BE370000}"/>
    <cellStyle name="Normal 14 2 3 2 5 3" xfId="9954" xr:uid="{00000000-0005-0000-0000-0000BF370000}"/>
    <cellStyle name="Normal 14 2 3 2 5 3 2" xfId="50341" xr:uid="{00000000-0005-0000-0000-0000C0370000}"/>
    <cellStyle name="Normal 14 2 3 2 5 4" xfId="9955" xr:uid="{00000000-0005-0000-0000-0000C1370000}"/>
    <cellStyle name="Normal 14 2 3 2 5 5" xfId="9956" xr:uid="{00000000-0005-0000-0000-0000C2370000}"/>
    <cellStyle name="Normal 14 2 3 2 5 6" xfId="9957" xr:uid="{00000000-0005-0000-0000-0000C3370000}"/>
    <cellStyle name="Normal 14 2 3 2 6" xfId="9958" xr:uid="{00000000-0005-0000-0000-0000C4370000}"/>
    <cellStyle name="Normal 14 2 3 2 6 2" xfId="50342" xr:uid="{00000000-0005-0000-0000-0000C5370000}"/>
    <cellStyle name="Normal 14 2 3 2 6 3" xfId="50343" xr:uid="{00000000-0005-0000-0000-0000C6370000}"/>
    <cellStyle name="Normal 14 2 3 2 7" xfId="9959" xr:uid="{00000000-0005-0000-0000-0000C7370000}"/>
    <cellStyle name="Normal 14 2 3 2 7 2" xfId="50344" xr:uid="{00000000-0005-0000-0000-0000C8370000}"/>
    <cellStyle name="Normal 14 2 3 2 8" xfId="9960" xr:uid="{00000000-0005-0000-0000-0000C9370000}"/>
    <cellStyle name="Normal 14 2 3 2 9" xfId="9961" xr:uid="{00000000-0005-0000-0000-0000CA370000}"/>
    <cellStyle name="Normal 14 2 3 3" xfId="9962" xr:uid="{00000000-0005-0000-0000-0000CB370000}"/>
    <cellStyle name="Normal 14 2 3 3 2" xfId="9963" xr:uid="{00000000-0005-0000-0000-0000CC370000}"/>
    <cellStyle name="Normal 14 2 3 3 2 2" xfId="9964" xr:uid="{00000000-0005-0000-0000-0000CD370000}"/>
    <cellStyle name="Normal 14 2 3 3 2 2 2" xfId="9965" xr:uid="{00000000-0005-0000-0000-0000CE370000}"/>
    <cellStyle name="Normal 14 2 3 3 2 2 2 2" xfId="50345" xr:uid="{00000000-0005-0000-0000-0000CF370000}"/>
    <cellStyle name="Normal 14 2 3 3 2 2 2 3" xfId="50346" xr:uid="{00000000-0005-0000-0000-0000D0370000}"/>
    <cellStyle name="Normal 14 2 3 3 2 2 3" xfId="9966" xr:uid="{00000000-0005-0000-0000-0000D1370000}"/>
    <cellStyle name="Normal 14 2 3 3 2 2 3 2" xfId="50347" xr:uid="{00000000-0005-0000-0000-0000D2370000}"/>
    <cellStyle name="Normal 14 2 3 3 2 2 4" xfId="9967" xr:uid="{00000000-0005-0000-0000-0000D3370000}"/>
    <cellStyle name="Normal 14 2 3 3 2 2 5" xfId="9968" xr:uid="{00000000-0005-0000-0000-0000D4370000}"/>
    <cellStyle name="Normal 14 2 3 3 2 2 6" xfId="9969" xr:uid="{00000000-0005-0000-0000-0000D5370000}"/>
    <cellStyle name="Normal 14 2 3 3 2 3" xfId="9970" xr:uid="{00000000-0005-0000-0000-0000D6370000}"/>
    <cellStyle name="Normal 14 2 3 3 2 3 2" xfId="50348" xr:uid="{00000000-0005-0000-0000-0000D7370000}"/>
    <cellStyle name="Normal 14 2 3 3 2 3 3" xfId="50349" xr:uid="{00000000-0005-0000-0000-0000D8370000}"/>
    <cellStyle name="Normal 14 2 3 3 2 4" xfId="9971" xr:uid="{00000000-0005-0000-0000-0000D9370000}"/>
    <cellStyle name="Normal 14 2 3 3 2 4 2" xfId="50350" xr:uid="{00000000-0005-0000-0000-0000DA370000}"/>
    <cellStyle name="Normal 14 2 3 3 2 5" xfId="9972" xr:uid="{00000000-0005-0000-0000-0000DB370000}"/>
    <cellStyle name="Normal 14 2 3 3 2 6" xfId="9973" xr:uid="{00000000-0005-0000-0000-0000DC370000}"/>
    <cellStyle name="Normal 14 2 3 3 2 7" xfId="9974" xr:uid="{00000000-0005-0000-0000-0000DD370000}"/>
    <cellStyle name="Normal 14 2 3 3 3" xfId="9975" xr:uid="{00000000-0005-0000-0000-0000DE370000}"/>
    <cellStyle name="Normal 14 2 3 3 3 2" xfId="9976" xr:uid="{00000000-0005-0000-0000-0000DF370000}"/>
    <cellStyle name="Normal 14 2 3 3 3 2 2" xfId="50351" xr:uid="{00000000-0005-0000-0000-0000E0370000}"/>
    <cellStyle name="Normal 14 2 3 3 3 2 3" xfId="50352" xr:uid="{00000000-0005-0000-0000-0000E1370000}"/>
    <cellStyle name="Normal 14 2 3 3 3 3" xfId="9977" xr:uid="{00000000-0005-0000-0000-0000E2370000}"/>
    <cellStyle name="Normal 14 2 3 3 3 3 2" xfId="50353" xr:uid="{00000000-0005-0000-0000-0000E3370000}"/>
    <cellStyle name="Normal 14 2 3 3 3 4" xfId="9978" xr:uid="{00000000-0005-0000-0000-0000E4370000}"/>
    <cellStyle name="Normal 14 2 3 3 3 5" xfId="9979" xr:uid="{00000000-0005-0000-0000-0000E5370000}"/>
    <cellStyle name="Normal 14 2 3 3 3 6" xfId="9980" xr:uid="{00000000-0005-0000-0000-0000E6370000}"/>
    <cellStyle name="Normal 14 2 3 3 4" xfId="9981" xr:uid="{00000000-0005-0000-0000-0000E7370000}"/>
    <cellStyle name="Normal 14 2 3 3 4 2" xfId="50354" xr:uid="{00000000-0005-0000-0000-0000E8370000}"/>
    <cellStyle name="Normal 14 2 3 3 4 3" xfId="50355" xr:uid="{00000000-0005-0000-0000-0000E9370000}"/>
    <cellStyle name="Normal 14 2 3 3 5" xfId="9982" xr:uid="{00000000-0005-0000-0000-0000EA370000}"/>
    <cellStyle name="Normal 14 2 3 3 5 2" xfId="50356" xr:uid="{00000000-0005-0000-0000-0000EB370000}"/>
    <cellStyle name="Normal 14 2 3 3 6" xfId="9983" xr:uid="{00000000-0005-0000-0000-0000EC370000}"/>
    <cellStyle name="Normal 14 2 3 3 7" xfId="9984" xr:uid="{00000000-0005-0000-0000-0000ED370000}"/>
    <cellStyle name="Normal 14 2 3 3 8" xfId="9985" xr:uid="{00000000-0005-0000-0000-0000EE370000}"/>
    <cellStyle name="Normal 14 2 3 3 9" xfId="9986" xr:uid="{00000000-0005-0000-0000-0000EF370000}"/>
    <cellStyle name="Normal 14 2 3 4" xfId="9987" xr:uid="{00000000-0005-0000-0000-0000F0370000}"/>
    <cellStyle name="Normal 14 2 3 4 2" xfId="9988" xr:uid="{00000000-0005-0000-0000-0000F1370000}"/>
    <cellStyle name="Normal 14 2 3 4 2 2" xfId="9989" xr:uid="{00000000-0005-0000-0000-0000F2370000}"/>
    <cellStyle name="Normal 14 2 3 4 2 2 2" xfId="9990" xr:uid="{00000000-0005-0000-0000-0000F3370000}"/>
    <cellStyle name="Normal 14 2 3 4 2 2 2 2" xfId="50357" xr:uid="{00000000-0005-0000-0000-0000F4370000}"/>
    <cellStyle name="Normal 14 2 3 4 2 2 2 3" xfId="50358" xr:uid="{00000000-0005-0000-0000-0000F5370000}"/>
    <cellStyle name="Normal 14 2 3 4 2 2 3" xfId="9991" xr:uid="{00000000-0005-0000-0000-0000F6370000}"/>
    <cellStyle name="Normal 14 2 3 4 2 2 3 2" xfId="50359" xr:uid="{00000000-0005-0000-0000-0000F7370000}"/>
    <cellStyle name="Normal 14 2 3 4 2 2 4" xfId="9992" xr:uid="{00000000-0005-0000-0000-0000F8370000}"/>
    <cellStyle name="Normal 14 2 3 4 2 2 5" xfId="9993" xr:uid="{00000000-0005-0000-0000-0000F9370000}"/>
    <cellStyle name="Normal 14 2 3 4 2 2 6" xfId="9994" xr:uid="{00000000-0005-0000-0000-0000FA370000}"/>
    <cellStyle name="Normal 14 2 3 4 2 3" xfId="9995" xr:uid="{00000000-0005-0000-0000-0000FB370000}"/>
    <cellStyle name="Normal 14 2 3 4 2 3 2" xfId="50360" xr:uid="{00000000-0005-0000-0000-0000FC370000}"/>
    <cellStyle name="Normal 14 2 3 4 2 3 3" xfId="50361" xr:uid="{00000000-0005-0000-0000-0000FD370000}"/>
    <cellStyle name="Normal 14 2 3 4 2 4" xfId="9996" xr:uid="{00000000-0005-0000-0000-0000FE370000}"/>
    <cellStyle name="Normal 14 2 3 4 2 4 2" xfId="50362" xr:uid="{00000000-0005-0000-0000-0000FF370000}"/>
    <cellStyle name="Normal 14 2 3 4 2 5" xfId="9997" xr:uid="{00000000-0005-0000-0000-000000380000}"/>
    <cellStyle name="Normal 14 2 3 4 2 6" xfId="9998" xr:uid="{00000000-0005-0000-0000-000001380000}"/>
    <cellStyle name="Normal 14 2 3 4 2 7" xfId="9999" xr:uid="{00000000-0005-0000-0000-000002380000}"/>
    <cellStyle name="Normal 14 2 3 4 3" xfId="10000" xr:uid="{00000000-0005-0000-0000-000003380000}"/>
    <cellStyle name="Normal 14 2 3 4 3 2" xfId="10001" xr:uid="{00000000-0005-0000-0000-000004380000}"/>
    <cellStyle name="Normal 14 2 3 4 3 2 2" xfId="50363" xr:uid="{00000000-0005-0000-0000-000005380000}"/>
    <cellStyle name="Normal 14 2 3 4 3 2 3" xfId="50364" xr:uid="{00000000-0005-0000-0000-000006380000}"/>
    <cellStyle name="Normal 14 2 3 4 3 3" xfId="10002" xr:uid="{00000000-0005-0000-0000-000007380000}"/>
    <cellStyle name="Normal 14 2 3 4 3 3 2" xfId="50365" xr:uid="{00000000-0005-0000-0000-000008380000}"/>
    <cellStyle name="Normal 14 2 3 4 3 4" xfId="10003" xr:uid="{00000000-0005-0000-0000-000009380000}"/>
    <cellStyle name="Normal 14 2 3 4 3 5" xfId="10004" xr:uid="{00000000-0005-0000-0000-00000A380000}"/>
    <cellStyle name="Normal 14 2 3 4 3 6" xfId="10005" xr:uid="{00000000-0005-0000-0000-00000B380000}"/>
    <cellStyle name="Normal 14 2 3 4 4" xfId="10006" xr:uid="{00000000-0005-0000-0000-00000C380000}"/>
    <cellStyle name="Normal 14 2 3 4 4 2" xfId="50366" xr:uid="{00000000-0005-0000-0000-00000D380000}"/>
    <cellStyle name="Normal 14 2 3 4 4 3" xfId="50367" xr:uid="{00000000-0005-0000-0000-00000E380000}"/>
    <cellStyle name="Normal 14 2 3 4 5" xfId="10007" xr:uid="{00000000-0005-0000-0000-00000F380000}"/>
    <cellStyle name="Normal 14 2 3 4 5 2" xfId="50368" xr:uid="{00000000-0005-0000-0000-000010380000}"/>
    <cellStyle name="Normal 14 2 3 4 6" xfId="10008" xr:uid="{00000000-0005-0000-0000-000011380000}"/>
    <cellStyle name="Normal 14 2 3 4 7" xfId="10009" xr:uid="{00000000-0005-0000-0000-000012380000}"/>
    <cellStyle name="Normal 14 2 3 4 8" xfId="10010" xr:uid="{00000000-0005-0000-0000-000013380000}"/>
    <cellStyle name="Normal 14 2 3 5" xfId="10011" xr:uid="{00000000-0005-0000-0000-000014380000}"/>
    <cellStyle name="Normal 14 2 3 5 2" xfId="10012" xr:uid="{00000000-0005-0000-0000-000015380000}"/>
    <cellStyle name="Normal 14 2 3 5 2 2" xfId="10013" xr:uid="{00000000-0005-0000-0000-000016380000}"/>
    <cellStyle name="Normal 14 2 3 5 2 2 2" xfId="50369" xr:uid="{00000000-0005-0000-0000-000017380000}"/>
    <cellStyle name="Normal 14 2 3 5 2 2 3" xfId="50370" xr:uid="{00000000-0005-0000-0000-000018380000}"/>
    <cellStyle name="Normal 14 2 3 5 2 3" xfId="10014" xr:uid="{00000000-0005-0000-0000-000019380000}"/>
    <cellStyle name="Normal 14 2 3 5 2 3 2" xfId="50371" xr:uid="{00000000-0005-0000-0000-00001A380000}"/>
    <cellStyle name="Normal 14 2 3 5 2 4" xfId="10015" xr:uid="{00000000-0005-0000-0000-00001B380000}"/>
    <cellStyle name="Normal 14 2 3 5 2 5" xfId="10016" xr:uid="{00000000-0005-0000-0000-00001C380000}"/>
    <cellStyle name="Normal 14 2 3 5 2 6" xfId="10017" xr:uid="{00000000-0005-0000-0000-00001D380000}"/>
    <cellStyle name="Normal 14 2 3 5 3" xfId="10018" xr:uid="{00000000-0005-0000-0000-00001E380000}"/>
    <cellStyle name="Normal 14 2 3 5 3 2" xfId="50372" xr:uid="{00000000-0005-0000-0000-00001F380000}"/>
    <cellStyle name="Normal 14 2 3 5 3 3" xfId="50373" xr:uid="{00000000-0005-0000-0000-000020380000}"/>
    <cellStyle name="Normal 14 2 3 5 4" xfId="10019" xr:uid="{00000000-0005-0000-0000-000021380000}"/>
    <cellStyle name="Normal 14 2 3 5 4 2" xfId="50374" xr:uid="{00000000-0005-0000-0000-000022380000}"/>
    <cellStyle name="Normal 14 2 3 5 5" xfId="10020" xr:uid="{00000000-0005-0000-0000-000023380000}"/>
    <cellStyle name="Normal 14 2 3 5 6" xfId="10021" xr:uid="{00000000-0005-0000-0000-000024380000}"/>
    <cellStyle name="Normal 14 2 3 5 7" xfId="10022" xr:uid="{00000000-0005-0000-0000-000025380000}"/>
    <cellStyle name="Normal 14 2 3 6" xfId="10023" xr:uid="{00000000-0005-0000-0000-000026380000}"/>
    <cellStyle name="Normal 14 2 3 6 2" xfId="10024" xr:uid="{00000000-0005-0000-0000-000027380000}"/>
    <cellStyle name="Normal 14 2 3 6 2 2" xfId="50375" xr:uid="{00000000-0005-0000-0000-000028380000}"/>
    <cellStyle name="Normal 14 2 3 6 2 3" xfId="50376" xr:uid="{00000000-0005-0000-0000-000029380000}"/>
    <cellStyle name="Normal 14 2 3 6 3" xfId="10025" xr:uid="{00000000-0005-0000-0000-00002A380000}"/>
    <cellStyle name="Normal 14 2 3 6 3 2" xfId="50377" xr:uid="{00000000-0005-0000-0000-00002B380000}"/>
    <cellStyle name="Normal 14 2 3 6 4" xfId="10026" xr:uid="{00000000-0005-0000-0000-00002C380000}"/>
    <cellStyle name="Normal 14 2 3 6 5" xfId="10027" xr:uid="{00000000-0005-0000-0000-00002D380000}"/>
    <cellStyle name="Normal 14 2 3 6 6" xfId="10028" xr:uid="{00000000-0005-0000-0000-00002E380000}"/>
    <cellStyle name="Normal 14 2 3 7" xfId="10029" xr:uid="{00000000-0005-0000-0000-00002F380000}"/>
    <cellStyle name="Normal 14 2 3 7 2" xfId="50378" xr:uid="{00000000-0005-0000-0000-000030380000}"/>
    <cellStyle name="Normal 14 2 3 7 3" xfId="50379" xr:uid="{00000000-0005-0000-0000-000031380000}"/>
    <cellStyle name="Normal 14 2 3 8" xfId="10030" xr:uid="{00000000-0005-0000-0000-000032380000}"/>
    <cellStyle name="Normal 14 2 3 8 2" xfId="50380" xr:uid="{00000000-0005-0000-0000-000033380000}"/>
    <cellStyle name="Normal 14 2 3 9" xfId="10031" xr:uid="{00000000-0005-0000-0000-000034380000}"/>
    <cellStyle name="Normal 14 2 4" xfId="10032" xr:uid="{00000000-0005-0000-0000-000035380000}"/>
    <cellStyle name="Normal 14 2 4 10" xfId="10033" xr:uid="{00000000-0005-0000-0000-000036380000}"/>
    <cellStyle name="Normal 14 2 4 11" xfId="10034" xr:uid="{00000000-0005-0000-0000-000037380000}"/>
    <cellStyle name="Normal 14 2 4 12" xfId="10035" xr:uid="{00000000-0005-0000-0000-000038380000}"/>
    <cellStyle name="Normal 14 2 4 13" xfId="10036" xr:uid="{00000000-0005-0000-0000-000039380000}"/>
    <cellStyle name="Normal 14 2 4 14" xfId="10037" xr:uid="{00000000-0005-0000-0000-00003A380000}"/>
    <cellStyle name="Normal 14 2 4 2" xfId="10038" xr:uid="{00000000-0005-0000-0000-00003B380000}"/>
    <cellStyle name="Normal 14 2 4 2 2" xfId="10039" xr:uid="{00000000-0005-0000-0000-00003C380000}"/>
    <cellStyle name="Normal 14 2 4 2 2 2" xfId="10040" xr:uid="{00000000-0005-0000-0000-00003D380000}"/>
    <cellStyle name="Normal 14 2 4 2 2 2 2" xfId="10041" xr:uid="{00000000-0005-0000-0000-00003E380000}"/>
    <cellStyle name="Normal 14 2 4 2 2 2 2 2" xfId="50381" xr:uid="{00000000-0005-0000-0000-00003F380000}"/>
    <cellStyle name="Normal 14 2 4 2 2 2 2 3" xfId="50382" xr:uid="{00000000-0005-0000-0000-000040380000}"/>
    <cellStyle name="Normal 14 2 4 2 2 2 3" xfId="10042" xr:uid="{00000000-0005-0000-0000-000041380000}"/>
    <cellStyle name="Normal 14 2 4 2 2 2 3 2" xfId="50383" xr:uid="{00000000-0005-0000-0000-000042380000}"/>
    <cellStyle name="Normal 14 2 4 2 2 2 4" xfId="10043" xr:uid="{00000000-0005-0000-0000-000043380000}"/>
    <cellStyle name="Normal 14 2 4 2 2 2 5" xfId="10044" xr:uid="{00000000-0005-0000-0000-000044380000}"/>
    <cellStyle name="Normal 14 2 4 2 2 2 6" xfId="10045" xr:uid="{00000000-0005-0000-0000-000045380000}"/>
    <cellStyle name="Normal 14 2 4 2 2 3" xfId="10046" xr:uid="{00000000-0005-0000-0000-000046380000}"/>
    <cellStyle name="Normal 14 2 4 2 2 3 2" xfId="50384" xr:uid="{00000000-0005-0000-0000-000047380000}"/>
    <cellStyle name="Normal 14 2 4 2 2 3 3" xfId="50385" xr:uid="{00000000-0005-0000-0000-000048380000}"/>
    <cellStyle name="Normal 14 2 4 2 2 4" xfId="10047" xr:uid="{00000000-0005-0000-0000-000049380000}"/>
    <cellStyle name="Normal 14 2 4 2 2 4 2" xfId="50386" xr:uid="{00000000-0005-0000-0000-00004A380000}"/>
    <cellStyle name="Normal 14 2 4 2 2 5" xfId="10048" xr:uid="{00000000-0005-0000-0000-00004B380000}"/>
    <cellStyle name="Normal 14 2 4 2 2 6" xfId="10049" xr:uid="{00000000-0005-0000-0000-00004C380000}"/>
    <cellStyle name="Normal 14 2 4 2 2 7" xfId="10050" xr:uid="{00000000-0005-0000-0000-00004D380000}"/>
    <cellStyle name="Normal 14 2 4 2 3" xfId="10051" xr:uid="{00000000-0005-0000-0000-00004E380000}"/>
    <cellStyle name="Normal 14 2 4 2 3 2" xfId="10052" xr:uid="{00000000-0005-0000-0000-00004F380000}"/>
    <cellStyle name="Normal 14 2 4 2 3 2 2" xfId="50387" xr:uid="{00000000-0005-0000-0000-000050380000}"/>
    <cellStyle name="Normal 14 2 4 2 3 2 3" xfId="50388" xr:uid="{00000000-0005-0000-0000-000051380000}"/>
    <cellStyle name="Normal 14 2 4 2 3 3" xfId="10053" xr:uid="{00000000-0005-0000-0000-000052380000}"/>
    <cellStyle name="Normal 14 2 4 2 3 3 2" xfId="50389" xr:uid="{00000000-0005-0000-0000-000053380000}"/>
    <cellStyle name="Normal 14 2 4 2 3 4" xfId="10054" xr:uid="{00000000-0005-0000-0000-000054380000}"/>
    <cellStyle name="Normal 14 2 4 2 3 5" xfId="10055" xr:uid="{00000000-0005-0000-0000-000055380000}"/>
    <cellStyle name="Normal 14 2 4 2 3 6" xfId="10056" xr:uid="{00000000-0005-0000-0000-000056380000}"/>
    <cellStyle name="Normal 14 2 4 2 4" xfId="10057" xr:uid="{00000000-0005-0000-0000-000057380000}"/>
    <cellStyle name="Normal 14 2 4 2 4 2" xfId="50390" xr:uid="{00000000-0005-0000-0000-000058380000}"/>
    <cellStyle name="Normal 14 2 4 2 4 3" xfId="50391" xr:uid="{00000000-0005-0000-0000-000059380000}"/>
    <cellStyle name="Normal 14 2 4 2 5" xfId="10058" xr:uid="{00000000-0005-0000-0000-00005A380000}"/>
    <cellStyle name="Normal 14 2 4 2 5 2" xfId="50392" xr:uid="{00000000-0005-0000-0000-00005B380000}"/>
    <cellStyle name="Normal 14 2 4 2 6" xfId="10059" xr:uid="{00000000-0005-0000-0000-00005C380000}"/>
    <cellStyle name="Normal 14 2 4 2 7" xfId="10060" xr:uid="{00000000-0005-0000-0000-00005D380000}"/>
    <cellStyle name="Normal 14 2 4 2 8" xfId="10061" xr:uid="{00000000-0005-0000-0000-00005E380000}"/>
    <cellStyle name="Normal 14 2 4 2 9" xfId="10062" xr:uid="{00000000-0005-0000-0000-00005F380000}"/>
    <cellStyle name="Normal 14 2 4 3" xfId="10063" xr:uid="{00000000-0005-0000-0000-000060380000}"/>
    <cellStyle name="Normal 14 2 4 3 2" xfId="10064" xr:uid="{00000000-0005-0000-0000-000061380000}"/>
    <cellStyle name="Normal 14 2 4 3 2 2" xfId="10065" xr:uid="{00000000-0005-0000-0000-000062380000}"/>
    <cellStyle name="Normal 14 2 4 3 2 2 2" xfId="10066" xr:uid="{00000000-0005-0000-0000-000063380000}"/>
    <cellStyle name="Normal 14 2 4 3 2 2 2 2" xfId="50393" xr:uid="{00000000-0005-0000-0000-000064380000}"/>
    <cellStyle name="Normal 14 2 4 3 2 2 2 3" xfId="50394" xr:uid="{00000000-0005-0000-0000-000065380000}"/>
    <cellStyle name="Normal 14 2 4 3 2 2 3" xfId="10067" xr:uid="{00000000-0005-0000-0000-000066380000}"/>
    <cellStyle name="Normal 14 2 4 3 2 2 3 2" xfId="50395" xr:uid="{00000000-0005-0000-0000-000067380000}"/>
    <cellStyle name="Normal 14 2 4 3 2 2 4" xfId="10068" xr:uid="{00000000-0005-0000-0000-000068380000}"/>
    <cellStyle name="Normal 14 2 4 3 2 2 5" xfId="10069" xr:uid="{00000000-0005-0000-0000-000069380000}"/>
    <cellStyle name="Normal 14 2 4 3 2 2 6" xfId="10070" xr:uid="{00000000-0005-0000-0000-00006A380000}"/>
    <cellStyle name="Normal 14 2 4 3 2 3" xfId="10071" xr:uid="{00000000-0005-0000-0000-00006B380000}"/>
    <cellStyle name="Normal 14 2 4 3 2 3 2" xfId="50396" xr:uid="{00000000-0005-0000-0000-00006C380000}"/>
    <cellStyle name="Normal 14 2 4 3 2 3 3" xfId="50397" xr:uid="{00000000-0005-0000-0000-00006D380000}"/>
    <cellStyle name="Normal 14 2 4 3 2 4" xfId="10072" xr:uid="{00000000-0005-0000-0000-00006E380000}"/>
    <cellStyle name="Normal 14 2 4 3 2 4 2" xfId="50398" xr:uid="{00000000-0005-0000-0000-00006F380000}"/>
    <cellStyle name="Normal 14 2 4 3 2 5" xfId="10073" xr:uid="{00000000-0005-0000-0000-000070380000}"/>
    <cellStyle name="Normal 14 2 4 3 2 6" xfId="10074" xr:uid="{00000000-0005-0000-0000-000071380000}"/>
    <cellStyle name="Normal 14 2 4 3 2 7" xfId="10075" xr:uid="{00000000-0005-0000-0000-000072380000}"/>
    <cellStyle name="Normal 14 2 4 3 3" xfId="10076" xr:uid="{00000000-0005-0000-0000-000073380000}"/>
    <cellStyle name="Normal 14 2 4 3 3 2" xfId="10077" xr:uid="{00000000-0005-0000-0000-000074380000}"/>
    <cellStyle name="Normal 14 2 4 3 3 2 2" xfId="50399" xr:uid="{00000000-0005-0000-0000-000075380000}"/>
    <cellStyle name="Normal 14 2 4 3 3 2 3" xfId="50400" xr:uid="{00000000-0005-0000-0000-000076380000}"/>
    <cellStyle name="Normal 14 2 4 3 3 3" xfId="10078" xr:uid="{00000000-0005-0000-0000-000077380000}"/>
    <cellStyle name="Normal 14 2 4 3 3 3 2" xfId="50401" xr:uid="{00000000-0005-0000-0000-000078380000}"/>
    <cellStyle name="Normal 14 2 4 3 3 4" xfId="10079" xr:uid="{00000000-0005-0000-0000-000079380000}"/>
    <cellStyle name="Normal 14 2 4 3 3 5" xfId="10080" xr:uid="{00000000-0005-0000-0000-00007A380000}"/>
    <cellStyle name="Normal 14 2 4 3 3 6" xfId="10081" xr:uid="{00000000-0005-0000-0000-00007B380000}"/>
    <cellStyle name="Normal 14 2 4 3 4" xfId="10082" xr:uid="{00000000-0005-0000-0000-00007C380000}"/>
    <cellStyle name="Normal 14 2 4 3 4 2" xfId="50402" xr:uid="{00000000-0005-0000-0000-00007D380000}"/>
    <cellStyle name="Normal 14 2 4 3 4 3" xfId="50403" xr:uid="{00000000-0005-0000-0000-00007E380000}"/>
    <cellStyle name="Normal 14 2 4 3 5" xfId="10083" xr:uid="{00000000-0005-0000-0000-00007F380000}"/>
    <cellStyle name="Normal 14 2 4 3 5 2" xfId="50404" xr:uid="{00000000-0005-0000-0000-000080380000}"/>
    <cellStyle name="Normal 14 2 4 3 6" xfId="10084" xr:uid="{00000000-0005-0000-0000-000081380000}"/>
    <cellStyle name="Normal 14 2 4 3 7" xfId="10085" xr:uid="{00000000-0005-0000-0000-000082380000}"/>
    <cellStyle name="Normal 14 2 4 3 8" xfId="10086" xr:uid="{00000000-0005-0000-0000-000083380000}"/>
    <cellStyle name="Normal 14 2 4 4" xfId="10087" xr:uid="{00000000-0005-0000-0000-000084380000}"/>
    <cellStyle name="Normal 14 2 4 4 2" xfId="10088" xr:uid="{00000000-0005-0000-0000-000085380000}"/>
    <cellStyle name="Normal 14 2 4 4 2 2" xfId="10089" xr:uid="{00000000-0005-0000-0000-000086380000}"/>
    <cellStyle name="Normal 14 2 4 4 2 2 2" xfId="50405" xr:uid="{00000000-0005-0000-0000-000087380000}"/>
    <cellStyle name="Normal 14 2 4 4 2 2 3" xfId="50406" xr:uid="{00000000-0005-0000-0000-000088380000}"/>
    <cellStyle name="Normal 14 2 4 4 2 3" xfId="10090" xr:uid="{00000000-0005-0000-0000-000089380000}"/>
    <cellStyle name="Normal 14 2 4 4 2 3 2" xfId="50407" xr:uid="{00000000-0005-0000-0000-00008A380000}"/>
    <cellStyle name="Normal 14 2 4 4 2 4" xfId="10091" xr:uid="{00000000-0005-0000-0000-00008B380000}"/>
    <cellStyle name="Normal 14 2 4 4 2 5" xfId="10092" xr:uid="{00000000-0005-0000-0000-00008C380000}"/>
    <cellStyle name="Normal 14 2 4 4 2 6" xfId="10093" xr:uid="{00000000-0005-0000-0000-00008D380000}"/>
    <cellStyle name="Normal 14 2 4 4 3" xfId="10094" xr:uid="{00000000-0005-0000-0000-00008E380000}"/>
    <cellStyle name="Normal 14 2 4 4 3 2" xfId="50408" xr:uid="{00000000-0005-0000-0000-00008F380000}"/>
    <cellStyle name="Normal 14 2 4 4 3 3" xfId="50409" xr:uid="{00000000-0005-0000-0000-000090380000}"/>
    <cellStyle name="Normal 14 2 4 4 4" xfId="10095" xr:uid="{00000000-0005-0000-0000-000091380000}"/>
    <cellStyle name="Normal 14 2 4 4 4 2" xfId="50410" xr:uid="{00000000-0005-0000-0000-000092380000}"/>
    <cellStyle name="Normal 14 2 4 4 5" xfId="10096" xr:uid="{00000000-0005-0000-0000-000093380000}"/>
    <cellStyle name="Normal 14 2 4 4 6" xfId="10097" xr:uid="{00000000-0005-0000-0000-000094380000}"/>
    <cellStyle name="Normal 14 2 4 4 7" xfId="10098" xr:uid="{00000000-0005-0000-0000-000095380000}"/>
    <cellStyle name="Normal 14 2 4 5" xfId="10099" xr:uid="{00000000-0005-0000-0000-000096380000}"/>
    <cellStyle name="Normal 14 2 4 5 2" xfId="10100" xr:uid="{00000000-0005-0000-0000-000097380000}"/>
    <cellStyle name="Normal 14 2 4 5 2 2" xfId="50411" xr:uid="{00000000-0005-0000-0000-000098380000}"/>
    <cellStyle name="Normal 14 2 4 5 2 3" xfId="50412" xr:uid="{00000000-0005-0000-0000-000099380000}"/>
    <cellStyle name="Normal 14 2 4 5 3" xfId="10101" xr:uid="{00000000-0005-0000-0000-00009A380000}"/>
    <cellStyle name="Normal 14 2 4 5 3 2" xfId="50413" xr:uid="{00000000-0005-0000-0000-00009B380000}"/>
    <cellStyle name="Normal 14 2 4 5 4" xfId="10102" xr:uid="{00000000-0005-0000-0000-00009C380000}"/>
    <cellStyle name="Normal 14 2 4 5 5" xfId="10103" xr:uid="{00000000-0005-0000-0000-00009D380000}"/>
    <cellStyle name="Normal 14 2 4 5 6" xfId="10104" xr:uid="{00000000-0005-0000-0000-00009E380000}"/>
    <cellStyle name="Normal 14 2 4 6" xfId="10105" xr:uid="{00000000-0005-0000-0000-00009F380000}"/>
    <cellStyle name="Normal 14 2 4 6 2" xfId="50414" xr:uid="{00000000-0005-0000-0000-0000A0380000}"/>
    <cellStyle name="Normal 14 2 4 6 3" xfId="50415" xr:uid="{00000000-0005-0000-0000-0000A1380000}"/>
    <cellStyle name="Normal 14 2 4 7" xfId="10106" xr:uid="{00000000-0005-0000-0000-0000A2380000}"/>
    <cellStyle name="Normal 14 2 4 7 2" xfId="50416" xr:uid="{00000000-0005-0000-0000-0000A3380000}"/>
    <cellStyle name="Normal 14 2 4 8" xfId="10107" xr:uid="{00000000-0005-0000-0000-0000A4380000}"/>
    <cellStyle name="Normal 14 2 4 9" xfId="10108" xr:uid="{00000000-0005-0000-0000-0000A5380000}"/>
    <cellStyle name="Normal 14 2 5" xfId="10109" xr:uid="{00000000-0005-0000-0000-0000A6380000}"/>
    <cellStyle name="Normal 14 2 5 10" xfId="10110" xr:uid="{00000000-0005-0000-0000-0000A7380000}"/>
    <cellStyle name="Normal 14 2 5 11" xfId="10111" xr:uid="{00000000-0005-0000-0000-0000A8380000}"/>
    <cellStyle name="Normal 14 2 5 12" xfId="10112" xr:uid="{00000000-0005-0000-0000-0000A9380000}"/>
    <cellStyle name="Normal 14 2 5 13" xfId="10113" xr:uid="{00000000-0005-0000-0000-0000AA380000}"/>
    <cellStyle name="Normal 14 2 5 14" xfId="10114" xr:uid="{00000000-0005-0000-0000-0000AB380000}"/>
    <cellStyle name="Normal 14 2 5 2" xfId="10115" xr:uid="{00000000-0005-0000-0000-0000AC380000}"/>
    <cellStyle name="Normal 14 2 5 2 2" xfId="10116" xr:uid="{00000000-0005-0000-0000-0000AD380000}"/>
    <cellStyle name="Normal 14 2 5 2 2 2" xfId="10117" xr:uid="{00000000-0005-0000-0000-0000AE380000}"/>
    <cellStyle name="Normal 14 2 5 2 2 2 2" xfId="10118" xr:uid="{00000000-0005-0000-0000-0000AF380000}"/>
    <cellStyle name="Normal 14 2 5 2 2 2 2 2" xfId="50417" xr:uid="{00000000-0005-0000-0000-0000B0380000}"/>
    <cellStyle name="Normal 14 2 5 2 2 2 2 3" xfId="50418" xr:uid="{00000000-0005-0000-0000-0000B1380000}"/>
    <cellStyle name="Normal 14 2 5 2 2 2 3" xfId="10119" xr:uid="{00000000-0005-0000-0000-0000B2380000}"/>
    <cellStyle name="Normal 14 2 5 2 2 2 3 2" xfId="50419" xr:uid="{00000000-0005-0000-0000-0000B3380000}"/>
    <cellStyle name="Normal 14 2 5 2 2 2 4" xfId="10120" xr:uid="{00000000-0005-0000-0000-0000B4380000}"/>
    <cellStyle name="Normal 14 2 5 2 2 2 5" xfId="10121" xr:uid="{00000000-0005-0000-0000-0000B5380000}"/>
    <cellStyle name="Normal 14 2 5 2 2 2 6" xfId="10122" xr:uid="{00000000-0005-0000-0000-0000B6380000}"/>
    <cellStyle name="Normal 14 2 5 2 2 3" xfId="10123" xr:uid="{00000000-0005-0000-0000-0000B7380000}"/>
    <cellStyle name="Normal 14 2 5 2 2 3 2" xfId="50420" xr:uid="{00000000-0005-0000-0000-0000B8380000}"/>
    <cellStyle name="Normal 14 2 5 2 2 3 3" xfId="50421" xr:uid="{00000000-0005-0000-0000-0000B9380000}"/>
    <cellStyle name="Normal 14 2 5 2 2 4" xfId="10124" xr:uid="{00000000-0005-0000-0000-0000BA380000}"/>
    <cellStyle name="Normal 14 2 5 2 2 4 2" xfId="50422" xr:uid="{00000000-0005-0000-0000-0000BB380000}"/>
    <cellStyle name="Normal 14 2 5 2 2 5" xfId="10125" xr:uid="{00000000-0005-0000-0000-0000BC380000}"/>
    <cellStyle name="Normal 14 2 5 2 2 6" xfId="10126" xr:uid="{00000000-0005-0000-0000-0000BD380000}"/>
    <cellStyle name="Normal 14 2 5 2 2 7" xfId="10127" xr:uid="{00000000-0005-0000-0000-0000BE380000}"/>
    <cellStyle name="Normal 14 2 5 2 3" xfId="10128" xr:uid="{00000000-0005-0000-0000-0000BF380000}"/>
    <cellStyle name="Normal 14 2 5 2 3 2" xfId="10129" xr:uid="{00000000-0005-0000-0000-0000C0380000}"/>
    <cellStyle name="Normal 14 2 5 2 3 2 2" xfId="50423" xr:uid="{00000000-0005-0000-0000-0000C1380000}"/>
    <cellStyle name="Normal 14 2 5 2 3 2 3" xfId="50424" xr:uid="{00000000-0005-0000-0000-0000C2380000}"/>
    <cellStyle name="Normal 14 2 5 2 3 3" xfId="10130" xr:uid="{00000000-0005-0000-0000-0000C3380000}"/>
    <cellStyle name="Normal 14 2 5 2 3 3 2" xfId="50425" xr:uid="{00000000-0005-0000-0000-0000C4380000}"/>
    <cellStyle name="Normal 14 2 5 2 3 4" xfId="10131" xr:uid="{00000000-0005-0000-0000-0000C5380000}"/>
    <cellStyle name="Normal 14 2 5 2 3 5" xfId="10132" xr:uid="{00000000-0005-0000-0000-0000C6380000}"/>
    <cellStyle name="Normal 14 2 5 2 3 6" xfId="10133" xr:uid="{00000000-0005-0000-0000-0000C7380000}"/>
    <cellStyle name="Normal 14 2 5 2 4" xfId="10134" xr:uid="{00000000-0005-0000-0000-0000C8380000}"/>
    <cellStyle name="Normal 14 2 5 2 4 2" xfId="50426" xr:uid="{00000000-0005-0000-0000-0000C9380000}"/>
    <cellStyle name="Normal 14 2 5 2 4 3" xfId="50427" xr:uid="{00000000-0005-0000-0000-0000CA380000}"/>
    <cellStyle name="Normal 14 2 5 2 5" xfId="10135" xr:uid="{00000000-0005-0000-0000-0000CB380000}"/>
    <cellStyle name="Normal 14 2 5 2 5 2" xfId="50428" xr:uid="{00000000-0005-0000-0000-0000CC380000}"/>
    <cellStyle name="Normal 14 2 5 2 6" xfId="10136" xr:uid="{00000000-0005-0000-0000-0000CD380000}"/>
    <cellStyle name="Normal 14 2 5 2 7" xfId="10137" xr:uid="{00000000-0005-0000-0000-0000CE380000}"/>
    <cellStyle name="Normal 14 2 5 2 8" xfId="10138" xr:uid="{00000000-0005-0000-0000-0000CF380000}"/>
    <cellStyle name="Normal 14 2 5 2 9" xfId="10139" xr:uid="{00000000-0005-0000-0000-0000D0380000}"/>
    <cellStyle name="Normal 14 2 5 3" xfId="10140" xr:uid="{00000000-0005-0000-0000-0000D1380000}"/>
    <cellStyle name="Normal 14 2 5 3 2" xfId="10141" xr:uid="{00000000-0005-0000-0000-0000D2380000}"/>
    <cellStyle name="Normal 14 2 5 3 2 2" xfId="10142" xr:uid="{00000000-0005-0000-0000-0000D3380000}"/>
    <cellStyle name="Normal 14 2 5 3 2 2 2" xfId="10143" xr:uid="{00000000-0005-0000-0000-0000D4380000}"/>
    <cellStyle name="Normal 14 2 5 3 2 2 2 2" xfId="50429" xr:uid="{00000000-0005-0000-0000-0000D5380000}"/>
    <cellStyle name="Normal 14 2 5 3 2 2 2 3" xfId="50430" xr:uid="{00000000-0005-0000-0000-0000D6380000}"/>
    <cellStyle name="Normal 14 2 5 3 2 2 3" xfId="10144" xr:uid="{00000000-0005-0000-0000-0000D7380000}"/>
    <cellStyle name="Normal 14 2 5 3 2 2 3 2" xfId="50431" xr:uid="{00000000-0005-0000-0000-0000D8380000}"/>
    <cellStyle name="Normal 14 2 5 3 2 2 4" xfId="10145" xr:uid="{00000000-0005-0000-0000-0000D9380000}"/>
    <cellStyle name="Normal 14 2 5 3 2 2 5" xfId="10146" xr:uid="{00000000-0005-0000-0000-0000DA380000}"/>
    <cellStyle name="Normal 14 2 5 3 2 2 6" xfId="10147" xr:uid="{00000000-0005-0000-0000-0000DB380000}"/>
    <cellStyle name="Normal 14 2 5 3 2 3" xfId="10148" xr:uid="{00000000-0005-0000-0000-0000DC380000}"/>
    <cellStyle name="Normal 14 2 5 3 2 3 2" xfId="50432" xr:uid="{00000000-0005-0000-0000-0000DD380000}"/>
    <cellStyle name="Normal 14 2 5 3 2 3 3" xfId="50433" xr:uid="{00000000-0005-0000-0000-0000DE380000}"/>
    <cellStyle name="Normal 14 2 5 3 2 4" xfId="10149" xr:uid="{00000000-0005-0000-0000-0000DF380000}"/>
    <cellStyle name="Normal 14 2 5 3 2 4 2" xfId="50434" xr:uid="{00000000-0005-0000-0000-0000E0380000}"/>
    <cellStyle name="Normal 14 2 5 3 2 5" xfId="10150" xr:uid="{00000000-0005-0000-0000-0000E1380000}"/>
    <cellStyle name="Normal 14 2 5 3 2 6" xfId="10151" xr:uid="{00000000-0005-0000-0000-0000E2380000}"/>
    <cellStyle name="Normal 14 2 5 3 2 7" xfId="10152" xr:uid="{00000000-0005-0000-0000-0000E3380000}"/>
    <cellStyle name="Normal 14 2 5 3 3" xfId="10153" xr:uid="{00000000-0005-0000-0000-0000E4380000}"/>
    <cellStyle name="Normal 14 2 5 3 3 2" xfId="10154" xr:uid="{00000000-0005-0000-0000-0000E5380000}"/>
    <cellStyle name="Normal 14 2 5 3 3 2 2" xfId="50435" xr:uid="{00000000-0005-0000-0000-0000E6380000}"/>
    <cellStyle name="Normal 14 2 5 3 3 2 3" xfId="50436" xr:uid="{00000000-0005-0000-0000-0000E7380000}"/>
    <cellStyle name="Normal 14 2 5 3 3 3" xfId="10155" xr:uid="{00000000-0005-0000-0000-0000E8380000}"/>
    <cellStyle name="Normal 14 2 5 3 3 3 2" xfId="50437" xr:uid="{00000000-0005-0000-0000-0000E9380000}"/>
    <cellStyle name="Normal 14 2 5 3 3 4" xfId="10156" xr:uid="{00000000-0005-0000-0000-0000EA380000}"/>
    <cellStyle name="Normal 14 2 5 3 3 5" xfId="10157" xr:uid="{00000000-0005-0000-0000-0000EB380000}"/>
    <cellStyle name="Normal 14 2 5 3 3 6" xfId="10158" xr:uid="{00000000-0005-0000-0000-0000EC380000}"/>
    <cellStyle name="Normal 14 2 5 3 4" xfId="10159" xr:uid="{00000000-0005-0000-0000-0000ED380000}"/>
    <cellStyle name="Normal 14 2 5 3 4 2" xfId="50438" xr:uid="{00000000-0005-0000-0000-0000EE380000}"/>
    <cellStyle name="Normal 14 2 5 3 4 3" xfId="50439" xr:uid="{00000000-0005-0000-0000-0000EF380000}"/>
    <cellStyle name="Normal 14 2 5 3 5" xfId="10160" xr:uid="{00000000-0005-0000-0000-0000F0380000}"/>
    <cellStyle name="Normal 14 2 5 3 5 2" xfId="50440" xr:uid="{00000000-0005-0000-0000-0000F1380000}"/>
    <cellStyle name="Normal 14 2 5 3 6" xfId="10161" xr:uid="{00000000-0005-0000-0000-0000F2380000}"/>
    <cellStyle name="Normal 14 2 5 3 7" xfId="10162" xr:uid="{00000000-0005-0000-0000-0000F3380000}"/>
    <cellStyle name="Normal 14 2 5 3 8" xfId="10163" xr:uid="{00000000-0005-0000-0000-0000F4380000}"/>
    <cellStyle name="Normal 14 2 5 4" xfId="10164" xr:uid="{00000000-0005-0000-0000-0000F5380000}"/>
    <cellStyle name="Normal 14 2 5 4 2" xfId="10165" xr:uid="{00000000-0005-0000-0000-0000F6380000}"/>
    <cellStyle name="Normal 14 2 5 4 2 2" xfId="10166" xr:uid="{00000000-0005-0000-0000-0000F7380000}"/>
    <cellStyle name="Normal 14 2 5 4 2 2 2" xfId="50441" xr:uid="{00000000-0005-0000-0000-0000F8380000}"/>
    <cellStyle name="Normal 14 2 5 4 2 2 3" xfId="50442" xr:uid="{00000000-0005-0000-0000-0000F9380000}"/>
    <cellStyle name="Normal 14 2 5 4 2 3" xfId="10167" xr:uid="{00000000-0005-0000-0000-0000FA380000}"/>
    <cellStyle name="Normal 14 2 5 4 2 3 2" xfId="50443" xr:uid="{00000000-0005-0000-0000-0000FB380000}"/>
    <cellStyle name="Normal 14 2 5 4 2 4" xfId="10168" xr:uid="{00000000-0005-0000-0000-0000FC380000}"/>
    <cellStyle name="Normal 14 2 5 4 2 5" xfId="10169" xr:uid="{00000000-0005-0000-0000-0000FD380000}"/>
    <cellStyle name="Normal 14 2 5 4 2 6" xfId="10170" xr:uid="{00000000-0005-0000-0000-0000FE380000}"/>
    <cellStyle name="Normal 14 2 5 4 3" xfId="10171" xr:uid="{00000000-0005-0000-0000-0000FF380000}"/>
    <cellStyle name="Normal 14 2 5 4 3 2" xfId="50444" xr:uid="{00000000-0005-0000-0000-000000390000}"/>
    <cellStyle name="Normal 14 2 5 4 3 3" xfId="50445" xr:uid="{00000000-0005-0000-0000-000001390000}"/>
    <cellStyle name="Normal 14 2 5 4 4" xfId="10172" xr:uid="{00000000-0005-0000-0000-000002390000}"/>
    <cellStyle name="Normal 14 2 5 4 4 2" xfId="50446" xr:uid="{00000000-0005-0000-0000-000003390000}"/>
    <cellStyle name="Normal 14 2 5 4 5" xfId="10173" xr:uid="{00000000-0005-0000-0000-000004390000}"/>
    <cellStyle name="Normal 14 2 5 4 6" xfId="10174" xr:uid="{00000000-0005-0000-0000-000005390000}"/>
    <cellStyle name="Normal 14 2 5 4 7" xfId="10175" xr:uid="{00000000-0005-0000-0000-000006390000}"/>
    <cellStyle name="Normal 14 2 5 5" xfId="10176" xr:uid="{00000000-0005-0000-0000-000007390000}"/>
    <cellStyle name="Normal 14 2 5 5 2" xfId="10177" xr:uid="{00000000-0005-0000-0000-000008390000}"/>
    <cellStyle name="Normal 14 2 5 5 2 2" xfId="50447" xr:uid="{00000000-0005-0000-0000-000009390000}"/>
    <cellStyle name="Normal 14 2 5 5 2 3" xfId="50448" xr:uid="{00000000-0005-0000-0000-00000A390000}"/>
    <cellStyle name="Normal 14 2 5 5 3" xfId="10178" xr:uid="{00000000-0005-0000-0000-00000B390000}"/>
    <cellStyle name="Normal 14 2 5 5 3 2" xfId="50449" xr:uid="{00000000-0005-0000-0000-00000C390000}"/>
    <cellStyle name="Normal 14 2 5 5 4" xfId="10179" xr:uid="{00000000-0005-0000-0000-00000D390000}"/>
    <cellStyle name="Normal 14 2 5 5 5" xfId="10180" xr:uid="{00000000-0005-0000-0000-00000E390000}"/>
    <cellStyle name="Normal 14 2 5 5 6" xfId="10181" xr:uid="{00000000-0005-0000-0000-00000F390000}"/>
    <cellStyle name="Normal 14 2 5 6" xfId="10182" xr:uid="{00000000-0005-0000-0000-000010390000}"/>
    <cellStyle name="Normal 14 2 5 6 2" xfId="50450" xr:uid="{00000000-0005-0000-0000-000011390000}"/>
    <cellStyle name="Normal 14 2 5 6 3" xfId="50451" xr:uid="{00000000-0005-0000-0000-000012390000}"/>
    <cellStyle name="Normal 14 2 5 7" xfId="10183" xr:uid="{00000000-0005-0000-0000-000013390000}"/>
    <cellStyle name="Normal 14 2 5 7 2" xfId="50452" xr:uid="{00000000-0005-0000-0000-000014390000}"/>
    <cellStyle name="Normal 14 2 5 8" xfId="10184" xr:uid="{00000000-0005-0000-0000-000015390000}"/>
    <cellStyle name="Normal 14 2 5 9" xfId="10185" xr:uid="{00000000-0005-0000-0000-000016390000}"/>
    <cellStyle name="Normal 14 2 6" xfId="10186" xr:uid="{00000000-0005-0000-0000-000017390000}"/>
    <cellStyle name="Normal 14 2 6 10" xfId="10187" xr:uid="{00000000-0005-0000-0000-000018390000}"/>
    <cellStyle name="Normal 14 2 6 11" xfId="10188" xr:uid="{00000000-0005-0000-0000-000019390000}"/>
    <cellStyle name="Normal 14 2 6 12" xfId="10189" xr:uid="{00000000-0005-0000-0000-00001A390000}"/>
    <cellStyle name="Normal 14 2 6 13" xfId="10190" xr:uid="{00000000-0005-0000-0000-00001B390000}"/>
    <cellStyle name="Normal 14 2 6 2" xfId="10191" xr:uid="{00000000-0005-0000-0000-00001C390000}"/>
    <cellStyle name="Normal 14 2 6 2 2" xfId="10192" xr:uid="{00000000-0005-0000-0000-00001D390000}"/>
    <cellStyle name="Normal 14 2 6 2 2 2" xfId="10193" xr:uid="{00000000-0005-0000-0000-00001E390000}"/>
    <cellStyle name="Normal 14 2 6 2 2 2 2" xfId="10194" xr:uid="{00000000-0005-0000-0000-00001F390000}"/>
    <cellStyle name="Normal 14 2 6 2 2 2 2 2" xfId="50453" xr:uid="{00000000-0005-0000-0000-000020390000}"/>
    <cellStyle name="Normal 14 2 6 2 2 2 2 3" xfId="50454" xr:uid="{00000000-0005-0000-0000-000021390000}"/>
    <cellStyle name="Normal 14 2 6 2 2 2 3" xfId="10195" xr:uid="{00000000-0005-0000-0000-000022390000}"/>
    <cellStyle name="Normal 14 2 6 2 2 2 3 2" xfId="50455" xr:uid="{00000000-0005-0000-0000-000023390000}"/>
    <cellStyle name="Normal 14 2 6 2 2 2 4" xfId="10196" xr:uid="{00000000-0005-0000-0000-000024390000}"/>
    <cellStyle name="Normal 14 2 6 2 2 2 5" xfId="10197" xr:uid="{00000000-0005-0000-0000-000025390000}"/>
    <cellStyle name="Normal 14 2 6 2 2 2 6" xfId="10198" xr:uid="{00000000-0005-0000-0000-000026390000}"/>
    <cellStyle name="Normal 14 2 6 2 2 3" xfId="10199" xr:uid="{00000000-0005-0000-0000-000027390000}"/>
    <cellStyle name="Normal 14 2 6 2 2 3 2" xfId="50456" xr:uid="{00000000-0005-0000-0000-000028390000}"/>
    <cellStyle name="Normal 14 2 6 2 2 3 3" xfId="50457" xr:uid="{00000000-0005-0000-0000-000029390000}"/>
    <cellStyle name="Normal 14 2 6 2 2 4" xfId="10200" xr:uid="{00000000-0005-0000-0000-00002A390000}"/>
    <cellStyle name="Normal 14 2 6 2 2 4 2" xfId="50458" xr:uid="{00000000-0005-0000-0000-00002B390000}"/>
    <cellStyle name="Normal 14 2 6 2 2 5" xfId="10201" xr:uid="{00000000-0005-0000-0000-00002C390000}"/>
    <cellStyle name="Normal 14 2 6 2 2 6" xfId="10202" xr:uid="{00000000-0005-0000-0000-00002D390000}"/>
    <cellStyle name="Normal 14 2 6 2 2 7" xfId="10203" xr:uid="{00000000-0005-0000-0000-00002E390000}"/>
    <cellStyle name="Normal 14 2 6 2 3" xfId="10204" xr:uid="{00000000-0005-0000-0000-00002F390000}"/>
    <cellStyle name="Normal 14 2 6 2 3 2" xfId="10205" xr:uid="{00000000-0005-0000-0000-000030390000}"/>
    <cellStyle name="Normal 14 2 6 2 3 2 2" xfId="50459" xr:uid="{00000000-0005-0000-0000-000031390000}"/>
    <cellStyle name="Normal 14 2 6 2 3 2 3" xfId="50460" xr:uid="{00000000-0005-0000-0000-000032390000}"/>
    <cellStyle name="Normal 14 2 6 2 3 3" xfId="10206" xr:uid="{00000000-0005-0000-0000-000033390000}"/>
    <cellStyle name="Normal 14 2 6 2 3 3 2" xfId="50461" xr:uid="{00000000-0005-0000-0000-000034390000}"/>
    <cellStyle name="Normal 14 2 6 2 3 4" xfId="10207" xr:uid="{00000000-0005-0000-0000-000035390000}"/>
    <cellStyle name="Normal 14 2 6 2 3 5" xfId="10208" xr:uid="{00000000-0005-0000-0000-000036390000}"/>
    <cellStyle name="Normal 14 2 6 2 3 6" xfId="10209" xr:uid="{00000000-0005-0000-0000-000037390000}"/>
    <cellStyle name="Normal 14 2 6 2 4" xfId="10210" xr:uid="{00000000-0005-0000-0000-000038390000}"/>
    <cellStyle name="Normal 14 2 6 2 4 2" xfId="50462" xr:uid="{00000000-0005-0000-0000-000039390000}"/>
    <cellStyle name="Normal 14 2 6 2 4 3" xfId="50463" xr:uid="{00000000-0005-0000-0000-00003A390000}"/>
    <cellStyle name="Normal 14 2 6 2 5" xfId="10211" xr:uid="{00000000-0005-0000-0000-00003B390000}"/>
    <cellStyle name="Normal 14 2 6 2 5 2" xfId="50464" xr:uid="{00000000-0005-0000-0000-00003C390000}"/>
    <cellStyle name="Normal 14 2 6 2 6" xfId="10212" xr:uid="{00000000-0005-0000-0000-00003D390000}"/>
    <cellStyle name="Normal 14 2 6 2 7" xfId="10213" xr:uid="{00000000-0005-0000-0000-00003E390000}"/>
    <cellStyle name="Normal 14 2 6 2 8" xfId="10214" xr:uid="{00000000-0005-0000-0000-00003F390000}"/>
    <cellStyle name="Normal 14 2 6 2 9" xfId="10215" xr:uid="{00000000-0005-0000-0000-000040390000}"/>
    <cellStyle name="Normal 14 2 6 3" xfId="10216" xr:uid="{00000000-0005-0000-0000-000041390000}"/>
    <cellStyle name="Normal 14 2 6 3 2" xfId="10217" xr:uid="{00000000-0005-0000-0000-000042390000}"/>
    <cellStyle name="Normal 14 2 6 3 2 2" xfId="10218" xr:uid="{00000000-0005-0000-0000-000043390000}"/>
    <cellStyle name="Normal 14 2 6 3 2 2 2" xfId="50465" xr:uid="{00000000-0005-0000-0000-000044390000}"/>
    <cellStyle name="Normal 14 2 6 3 2 2 3" xfId="50466" xr:uid="{00000000-0005-0000-0000-000045390000}"/>
    <cellStyle name="Normal 14 2 6 3 2 3" xfId="10219" xr:uid="{00000000-0005-0000-0000-000046390000}"/>
    <cellStyle name="Normal 14 2 6 3 2 3 2" xfId="50467" xr:uid="{00000000-0005-0000-0000-000047390000}"/>
    <cellStyle name="Normal 14 2 6 3 2 4" xfId="10220" xr:uid="{00000000-0005-0000-0000-000048390000}"/>
    <cellStyle name="Normal 14 2 6 3 2 5" xfId="10221" xr:uid="{00000000-0005-0000-0000-000049390000}"/>
    <cellStyle name="Normal 14 2 6 3 2 6" xfId="10222" xr:uid="{00000000-0005-0000-0000-00004A390000}"/>
    <cellStyle name="Normal 14 2 6 3 3" xfId="10223" xr:uid="{00000000-0005-0000-0000-00004B390000}"/>
    <cellStyle name="Normal 14 2 6 3 3 2" xfId="50468" xr:uid="{00000000-0005-0000-0000-00004C390000}"/>
    <cellStyle name="Normal 14 2 6 3 3 3" xfId="50469" xr:uid="{00000000-0005-0000-0000-00004D390000}"/>
    <cellStyle name="Normal 14 2 6 3 4" xfId="10224" xr:uid="{00000000-0005-0000-0000-00004E390000}"/>
    <cellStyle name="Normal 14 2 6 3 4 2" xfId="50470" xr:uid="{00000000-0005-0000-0000-00004F390000}"/>
    <cellStyle name="Normal 14 2 6 3 5" xfId="10225" xr:uid="{00000000-0005-0000-0000-000050390000}"/>
    <cellStyle name="Normal 14 2 6 3 6" xfId="10226" xr:uid="{00000000-0005-0000-0000-000051390000}"/>
    <cellStyle name="Normal 14 2 6 3 7" xfId="10227" xr:uid="{00000000-0005-0000-0000-000052390000}"/>
    <cellStyle name="Normal 14 2 6 4" xfId="10228" xr:uid="{00000000-0005-0000-0000-000053390000}"/>
    <cellStyle name="Normal 14 2 6 4 2" xfId="10229" xr:uid="{00000000-0005-0000-0000-000054390000}"/>
    <cellStyle name="Normal 14 2 6 4 2 2" xfId="50471" xr:uid="{00000000-0005-0000-0000-000055390000}"/>
    <cellStyle name="Normal 14 2 6 4 2 3" xfId="50472" xr:uid="{00000000-0005-0000-0000-000056390000}"/>
    <cellStyle name="Normal 14 2 6 4 3" xfId="10230" xr:uid="{00000000-0005-0000-0000-000057390000}"/>
    <cellStyle name="Normal 14 2 6 4 3 2" xfId="50473" xr:uid="{00000000-0005-0000-0000-000058390000}"/>
    <cellStyle name="Normal 14 2 6 4 4" xfId="10231" xr:uid="{00000000-0005-0000-0000-000059390000}"/>
    <cellStyle name="Normal 14 2 6 4 5" xfId="10232" xr:uid="{00000000-0005-0000-0000-00005A390000}"/>
    <cellStyle name="Normal 14 2 6 4 6" xfId="10233" xr:uid="{00000000-0005-0000-0000-00005B390000}"/>
    <cellStyle name="Normal 14 2 6 5" xfId="10234" xr:uid="{00000000-0005-0000-0000-00005C390000}"/>
    <cellStyle name="Normal 14 2 6 5 2" xfId="50474" xr:uid="{00000000-0005-0000-0000-00005D390000}"/>
    <cellStyle name="Normal 14 2 6 5 3" xfId="50475" xr:uid="{00000000-0005-0000-0000-00005E390000}"/>
    <cellStyle name="Normal 14 2 6 6" xfId="10235" xr:uid="{00000000-0005-0000-0000-00005F390000}"/>
    <cellStyle name="Normal 14 2 6 6 2" xfId="50476" xr:uid="{00000000-0005-0000-0000-000060390000}"/>
    <cellStyle name="Normal 14 2 6 7" xfId="10236" xr:uid="{00000000-0005-0000-0000-000061390000}"/>
    <cellStyle name="Normal 14 2 6 8" xfId="10237" xr:uid="{00000000-0005-0000-0000-000062390000}"/>
    <cellStyle name="Normal 14 2 6 9" xfId="10238" xr:uid="{00000000-0005-0000-0000-000063390000}"/>
    <cellStyle name="Normal 14 2 7" xfId="10239" xr:uid="{00000000-0005-0000-0000-000064390000}"/>
    <cellStyle name="Normal 14 2 7 2" xfId="10240" xr:uid="{00000000-0005-0000-0000-000065390000}"/>
    <cellStyle name="Normal 14 2 7 2 2" xfId="10241" xr:uid="{00000000-0005-0000-0000-000066390000}"/>
    <cellStyle name="Normal 14 2 7 2 2 2" xfId="10242" xr:uid="{00000000-0005-0000-0000-000067390000}"/>
    <cellStyle name="Normal 14 2 7 2 2 2 2" xfId="50477" xr:uid="{00000000-0005-0000-0000-000068390000}"/>
    <cellStyle name="Normal 14 2 7 2 2 2 3" xfId="50478" xr:uid="{00000000-0005-0000-0000-000069390000}"/>
    <cellStyle name="Normal 14 2 7 2 2 3" xfId="10243" xr:uid="{00000000-0005-0000-0000-00006A390000}"/>
    <cellStyle name="Normal 14 2 7 2 2 3 2" xfId="50479" xr:uid="{00000000-0005-0000-0000-00006B390000}"/>
    <cellStyle name="Normal 14 2 7 2 2 4" xfId="10244" xr:uid="{00000000-0005-0000-0000-00006C390000}"/>
    <cellStyle name="Normal 14 2 7 2 2 5" xfId="10245" xr:uid="{00000000-0005-0000-0000-00006D390000}"/>
    <cellStyle name="Normal 14 2 7 2 2 6" xfId="10246" xr:uid="{00000000-0005-0000-0000-00006E390000}"/>
    <cellStyle name="Normal 14 2 7 2 3" xfId="10247" xr:uid="{00000000-0005-0000-0000-00006F390000}"/>
    <cellStyle name="Normal 14 2 7 2 3 2" xfId="50480" xr:uid="{00000000-0005-0000-0000-000070390000}"/>
    <cellStyle name="Normal 14 2 7 2 3 3" xfId="50481" xr:uid="{00000000-0005-0000-0000-000071390000}"/>
    <cellStyle name="Normal 14 2 7 2 4" xfId="10248" xr:uid="{00000000-0005-0000-0000-000072390000}"/>
    <cellStyle name="Normal 14 2 7 2 4 2" xfId="50482" xr:uid="{00000000-0005-0000-0000-000073390000}"/>
    <cellStyle name="Normal 14 2 7 2 5" xfId="10249" xr:uid="{00000000-0005-0000-0000-000074390000}"/>
    <cellStyle name="Normal 14 2 7 2 6" xfId="10250" xr:uid="{00000000-0005-0000-0000-000075390000}"/>
    <cellStyle name="Normal 14 2 7 2 7" xfId="10251" xr:uid="{00000000-0005-0000-0000-000076390000}"/>
    <cellStyle name="Normal 14 2 7 3" xfId="10252" xr:uid="{00000000-0005-0000-0000-000077390000}"/>
    <cellStyle name="Normal 14 2 7 3 2" xfId="10253" xr:uid="{00000000-0005-0000-0000-000078390000}"/>
    <cellStyle name="Normal 14 2 7 3 2 2" xfId="50483" xr:uid="{00000000-0005-0000-0000-000079390000}"/>
    <cellStyle name="Normal 14 2 7 3 2 3" xfId="50484" xr:uid="{00000000-0005-0000-0000-00007A390000}"/>
    <cellStyle name="Normal 14 2 7 3 3" xfId="10254" xr:uid="{00000000-0005-0000-0000-00007B390000}"/>
    <cellStyle name="Normal 14 2 7 3 3 2" xfId="50485" xr:uid="{00000000-0005-0000-0000-00007C390000}"/>
    <cellStyle name="Normal 14 2 7 3 4" xfId="10255" xr:uid="{00000000-0005-0000-0000-00007D390000}"/>
    <cellStyle name="Normal 14 2 7 3 5" xfId="10256" xr:uid="{00000000-0005-0000-0000-00007E390000}"/>
    <cellStyle name="Normal 14 2 7 3 6" xfId="10257" xr:uid="{00000000-0005-0000-0000-00007F390000}"/>
    <cellStyle name="Normal 14 2 7 4" xfId="10258" xr:uid="{00000000-0005-0000-0000-000080390000}"/>
    <cellStyle name="Normal 14 2 7 4 2" xfId="50486" xr:uid="{00000000-0005-0000-0000-000081390000}"/>
    <cellStyle name="Normal 14 2 7 4 3" xfId="50487" xr:uid="{00000000-0005-0000-0000-000082390000}"/>
    <cellStyle name="Normal 14 2 7 5" xfId="10259" xr:uid="{00000000-0005-0000-0000-000083390000}"/>
    <cellStyle name="Normal 14 2 7 5 2" xfId="50488" xr:uid="{00000000-0005-0000-0000-000084390000}"/>
    <cellStyle name="Normal 14 2 7 6" xfId="10260" xr:uid="{00000000-0005-0000-0000-000085390000}"/>
    <cellStyle name="Normal 14 2 7 7" xfId="10261" xr:uid="{00000000-0005-0000-0000-000086390000}"/>
    <cellStyle name="Normal 14 2 7 8" xfId="10262" xr:uid="{00000000-0005-0000-0000-000087390000}"/>
    <cellStyle name="Normal 14 2 7 9" xfId="10263" xr:uid="{00000000-0005-0000-0000-000088390000}"/>
    <cellStyle name="Normal 14 2 8" xfId="10264" xr:uid="{00000000-0005-0000-0000-000089390000}"/>
    <cellStyle name="Normal 14 2 8 2" xfId="10265" xr:uid="{00000000-0005-0000-0000-00008A390000}"/>
    <cellStyle name="Normal 14 2 8 2 2" xfId="10266" xr:uid="{00000000-0005-0000-0000-00008B390000}"/>
    <cellStyle name="Normal 14 2 8 2 2 2" xfId="10267" xr:uid="{00000000-0005-0000-0000-00008C390000}"/>
    <cellStyle name="Normal 14 2 8 2 2 2 2" xfId="50489" xr:uid="{00000000-0005-0000-0000-00008D390000}"/>
    <cellStyle name="Normal 14 2 8 2 2 2 3" xfId="50490" xr:uid="{00000000-0005-0000-0000-00008E390000}"/>
    <cellStyle name="Normal 14 2 8 2 2 3" xfId="10268" xr:uid="{00000000-0005-0000-0000-00008F390000}"/>
    <cellStyle name="Normal 14 2 8 2 2 3 2" xfId="50491" xr:uid="{00000000-0005-0000-0000-000090390000}"/>
    <cellStyle name="Normal 14 2 8 2 2 4" xfId="10269" xr:uid="{00000000-0005-0000-0000-000091390000}"/>
    <cellStyle name="Normal 14 2 8 2 2 5" xfId="10270" xr:uid="{00000000-0005-0000-0000-000092390000}"/>
    <cellStyle name="Normal 14 2 8 2 2 6" xfId="10271" xr:uid="{00000000-0005-0000-0000-000093390000}"/>
    <cellStyle name="Normal 14 2 8 2 3" xfId="10272" xr:uid="{00000000-0005-0000-0000-000094390000}"/>
    <cellStyle name="Normal 14 2 8 2 3 2" xfId="50492" xr:uid="{00000000-0005-0000-0000-000095390000}"/>
    <cellStyle name="Normal 14 2 8 2 3 3" xfId="50493" xr:uid="{00000000-0005-0000-0000-000096390000}"/>
    <cellStyle name="Normal 14 2 8 2 4" xfId="10273" xr:uid="{00000000-0005-0000-0000-000097390000}"/>
    <cellStyle name="Normal 14 2 8 2 4 2" xfId="50494" xr:uid="{00000000-0005-0000-0000-000098390000}"/>
    <cellStyle name="Normal 14 2 8 2 5" xfId="10274" xr:uid="{00000000-0005-0000-0000-000099390000}"/>
    <cellStyle name="Normal 14 2 8 2 6" xfId="10275" xr:uid="{00000000-0005-0000-0000-00009A390000}"/>
    <cellStyle name="Normal 14 2 8 2 7" xfId="10276" xr:uid="{00000000-0005-0000-0000-00009B390000}"/>
    <cellStyle name="Normal 14 2 8 3" xfId="10277" xr:uid="{00000000-0005-0000-0000-00009C390000}"/>
    <cellStyle name="Normal 14 2 8 3 2" xfId="10278" xr:uid="{00000000-0005-0000-0000-00009D390000}"/>
    <cellStyle name="Normal 14 2 8 3 2 2" xfId="50495" xr:uid="{00000000-0005-0000-0000-00009E390000}"/>
    <cellStyle name="Normal 14 2 8 3 2 3" xfId="50496" xr:uid="{00000000-0005-0000-0000-00009F390000}"/>
    <cellStyle name="Normal 14 2 8 3 3" xfId="10279" xr:uid="{00000000-0005-0000-0000-0000A0390000}"/>
    <cellStyle name="Normal 14 2 8 3 3 2" xfId="50497" xr:uid="{00000000-0005-0000-0000-0000A1390000}"/>
    <cellStyle name="Normal 14 2 8 3 4" xfId="10280" xr:uid="{00000000-0005-0000-0000-0000A2390000}"/>
    <cellStyle name="Normal 14 2 8 3 5" xfId="10281" xr:uid="{00000000-0005-0000-0000-0000A3390000}"/>
    <cellStyle name="Normal 14 2 8 3 6" xfId="10282" xr:uid="{00000000-0005-0000-0000-0000A4390000}"/>
    <cellStyle name="Normal 14 2 8 4" xfId="10283" xr:uid="{00000000-0005-0000-0000-0000A5390000}"/>
    <cellStyle name="Normal 14 2 8 4 2" xfId="50498" xr:uid="{00000000-0005-0000-0000-0000A6390000}"/>
    <cellStyle name="Normal 14 2 8 4 3" xfId="50499" xr:uid="{00000000-0005-0000-0000-0000A7390000}"/>
    <cellStyle name="Normal 14 2 8 5" xfId="10284" xr:uid="{00000000-0005-0000-0000-0000A8390000}"/>
    <cellStyle name="Normal 14 2 8 5 2" xfId="50500" xr:uid="{00000000-0005-0000-0000-0000A9390000}"/>
    <cellStyle name="Normal 14 2 8 6" xfId="10285" xr:uid="{00000000-0005-0000-0000-0000AA390000}"/>
    <cellStyle name="Normal 14 2 8 7" xfId="10286" xr:uid="{00000000-0005-0000-0000-0000AB390000}"/>
    <cellStyle name="Normal 14 2 8 8" xfId="10287" xr:uid="{00000000-0005-0000-0000-0000AC390000}"/>
    <cellStyle name="Normal 14 2 9" xfId="10288" xr:uid="{00000000-0005-0000-0000-0000AD390000}"/>
    <cellStyle name="Normal 14 2 9 2" xfId="10289" xr:uid="{00000000-0005-0000-0000-0000AE390000}"/>
    <cellStyle name="Normal 14 2 9 2 2" xfId="10290" xr:uid="{00000000-0005-0000-0000-0000AF390000}"/>
    <cellStyle name="Normal 14 2 9 2 2 2" xfId="10291" xr:uid="{00000000-0005-0000-0000-0000B0390000}"/>
    <cellStyle name="Normal 14 2 9 2 2 2 2" xfId="50501" xr:uid="{00000000-0005-0000-0000-0000B1390000}"/>
    <cellStyle name="Normal 14 2 9 2 2 2 3" xfId="50502" xr:uid="{00000000-0005-0000-0000-0000B2390000}"/>
    <cellStyle name="Normal 14 2 9 2 2 3" xfId="10292" xr:uid="{00000000-0005-0000-0000-0000B3390000}"/>
    <cellStyle name="Normal 14 2 9 2 2 3 2" xfId="50503" xr:uid="{00000000-0005-0000-0000-0000B4390000}"/>
    <cellStyle name="Normal 14 2 9 2 2 4" xfId="10293" xr:uid="{00000000-0005-0000-0000-0000B5390000}"/>
    <cellStyle name="Normal 14 2 9 2 2 5" xfId="10294" xr:uid="{00000000-0005-0000-0000-0000B6390000}"/>
    <cellStyle name="Normal 14 2 9 2 2 6" xfId="10295" xr:uid="{00000000-0005-0000-0000-0000B7390000}"/>
    <cellStyle name="Normal 14 2 9 2 3" xfId="10296" xr:uid="{00000000-0005-0000-0000-0000B8390000}"/>
    <cellStyle name="Normal 14 2 9 2 3 2" xfId="50504" xr:uid="{00000000-0005-0000-0000-0000B9390000}"/>
    <cellStyle name="Normal 14 2 9 2 3 3" xfId="50505" xr:uid="{00000000-0005-0000-0000-0000BA390000}"/>
    <cellStyle name="Normal 14 2 9 2 4" xfId="10297" xr:uid="{00000000-0005-0000-0000-0000BB390000}"/>
    <cellStyle name="Normal 14 2 9 2 4 2" xfId="50506" xr:uid="{00000000-0005-0000-0000-0000BC390000}"/>
    <cellStyle name="Normal 14 2 9 2 5" xfId="10298" xr:uid="{00000000-0005-0000-0000-0000BD390000}"/>
    <cellStyle name="Normal 14 2 9 2 6" xfId="10299" xr:uid="{00000000-0005-0000-0000-0000BE390000}"/>
    <cellStyle name="Normal 14 2 9 2 7" xfId="10300" xr:uid="{00000000-0005-0000-0000-0000BF390000}"/>
    <cellStyle name="Normal 14 2 9 3" xfId="10301" xr:uid="{00000000-0005-0000-0000-0000C0390000}"/>
    <cellStyle name="Normal 14 2 9 3 2" xfId="10302" xr:uid="{00000000-0005-0000-0000-0000C1390000}"/>
    <cellStyle name="Normal 14 2 9 3 2 2" xfId="50507" xr:uid="{00000000-0005-0000-0000-0000C2390000}"/>
    <cellStyle name="Normal 14 2 9 3 2 3" xfId="50508" xr:uid="{00000000-0005-0000-0000-0000C3390000}"/>
    <cellStyle name="Normal 14 2 9 3 3" xfId="10303" xr:uid="{00000000-0005-0000-0000-0000C4390000}"/>
    <cellStyle name="Normal 14 2 9 3 3 2" xfId="50509" xr:uid="{00000000-0005-0000-0000-0000C5390000}"/>
    <cellStyle name="Normal 14 2 9 3 4" xfId="10304" xr:uid="{00000000-0005-0000-0000-0000C6390000}"/>
    <cellStyle name="Normal 14 2 9 3 5" xfId="10305" xr:uid="{00000000-0005-0000-0000-0000C7390000}"/>
    <cellStyle name="Normal 14 2 9 3 6" xfId="10306" xr:uid="{00000000-0005-0000-0000-0000C8390000}"/>
    <cellStyle name="Normal 14 2 9 4" xfId="10307" xr:uid="{00000000-0005-0000-0000-0000C9390000}"/>
    <cellStyle name="Normal 14 2 9 4 2" xfId="50510" xr:uid="{00000000-0005-0000-0000-0000CA390000}"/>
    <cellStyle name="Normal 14 2 9 4 3" xfId="50511" xr:uid="{00000000-0005-0000-0000-0000CB390000}"/>
    <cellStyle name="Normal 14 2 9 5" xfId="10308" xr:uid="{00000000-0005-0000-0000-0000CC390000}"/>
    <cellStyle name="Normal 14 2 9 5 2" xfId="50512" xr:uid="{00000000-0005-0000-0000-0000CD390000}"/>
    <cellStyle name="Normal 14 2 9 6" xfId="10309" xr:uid="{00000000-0005-0000-0000-0000CE390000}"/>
    <cellStyle name="Normal 14 2 9 7" xfId="10310" xr:uid="{00000000-0005-0000-0000-0000CF390000}"/>
    <cellStyle name="Normal 14 2 9 8" xfId="10311" xr:uid="{00000000-0005-0000-0000-0000D0390000}"/>
    <cellStyle name="Normal 14 20" xfId="10312" xr:uid="{00000000-0005-0000-0000-0000D1390000}"/>
    <cellStyle name="Normal 14 21" xfId="10313" xr:uid="{00000000-0005-0000-0000-0000D2390000}"/>
    <cellStyle name="Normal 14 22" xfId="10314" xr:uid="{00000000-0005-0000-0000-0000D3390000}"/>
    <cellStyle name="Normal 14 3" xfId="10315" xr:uid="{00000000-0005-0000-0000-0000D4390000}"/>
    <cellStyle name="Normal 14 3 10" xfId="10316" xr:uid="{00000000-0005-0000-0000-0000D5390000}"/>
    <cellStyle name="Normal 14 3 10 2" xfId="10317" xr:uid="{00000000-0005-0000-0000-0000D6390000}"/>
    <cellStyle name="Normal 14 3 10 2 2" xfId="10318" xr:uid="{00000000-0005-0000-0000-0000D7390000}"/>
    <cellStyle name="Normal 14 3 10 2 2 2" xfId="50513" xr:uid="{00000000-0005-0000-0000-0000D8390000}"/>
    <cellStyle name="Normal 14 3 10 2 2 3" xfId="50514" xr:uid="{00000000-0005-0000-0000-0000D9390000}"/>
    <cellStyle name="Normal 14 3 10 2 3" xfId="10319" xr:uid="{00000000-0005-0000-0000-0000DA390000}"/>
    <cellStyle name="Normal 14 3 10 2 3 2" xfId="50515" xr:uid="{00000000-0005-0000-0000-0000DB390000}"/>
    <cellStyle name="Normal 14 3 10 2 4" xfId="10320" xr:uid="{00000000-0005-0000-0000-0000DC390000}"/>
    <cellStyle name="Normal 14 3 10 2 5" xfId="10321" xr:uid="{00000000-0005-0000-0000-0000DD390000}"/>
    <cellStyle name="Normal 14 3 10 2 6" xfId="10322" xr:uid="{00000000-0005-0000-0000-0000DE390000}"/>
    <cellStyle name="Normal 14 3 10 3" xfId="10323" xr:uid="{00000000-0005-0000-0000-0000DF390000}"/>
    <cellStyle name="Normal 14 3 10 3 2" xfId="50516" xr:uid="{00000000-0005-0000-0000-0000E0390000}"/>
    <cellStyle name="Normal 14 3 10 3 3" xfId="50517" xr:uid="{00000000-0005-0000-0000-0000E1390000}"/>
    <cellStyle name="Normal 14 3 10 4" xfId="10324" xr:uid="{00000000-0005-0000-0000-0000E2390000}"/>
    <cellStyle name="Normal 14 3 10 4 2" xfId="50518" xr:uid="{00000000-0005-0000-0000-0000E3390000}"/>
    <cellStyle name="Normal 14 3 10 5" xfId="10325" xr:uid="{00000000-0005-0000-0000-0000E4390000}"/>
    <cellStyle name="Normal 14 3 10 6" xfId="10326" xr:uid="{00000000-0005-0000-0000-0000E5390000}"/>
    <cellStyle name="Normal 14 3 10 7" xfId="10327" xr:uid="{00000000-0005-0000-0000-0000E6390000}"/>
    <cellStyle name="Normal 14 3 11" xfId="10328" xr:uid="{00000000-0005-0000-0000-0000E7390000}"/>
    <cellStyle name="Normal 14 3 11 2" xfId="10329" xr:uid="{00000000-0005-0000-0000-0000E8390000}"/>
    <cellStyle name="Normal 14 3 11 2 2" xfId="50519" xr:uid="{00000000-0005-0000-0000-0000E9390000}"/>
    <cellStyle name="Normal 14 3 11 2 3" xfId="50520" xr:uid="{00000000-0005-0000-0000-0000EA390000}"/>
    <cellStyle name="Normal 14 3 11 3" xfId="10330" xr:uid="{00000000-0005-0000-0000-0000EB390000}"/>
    <cellStyle name="Normal 14 3 11 3 2" xfId="50521" xr:uid="{00000000-0005-0000-0000-0000EC390000}"/>
    <cellStyle name="Normal 14 3 11 4" xfId="10331" xr:uid="{00000000-0005-0000-0000-0000ED390000}"/>
    <cellStyle name="Normal 14 3 11 5" xfId="10332" xr:uid="{00000000-0005-0000-0000-0000EE390000}"/>
    <cellStyle name="Normal 14 3 11 6" xfId="10333" xr:uid="{00000000-0005-0000-0000-0000EF390000}"/>
    <cellStyle name="Normal 14 3 12" xfId="10334" xr:uid="{00000000-0005-0000-0000-0000F0390000}"/>
    <cellStyle name="Normal 14 3 12 2" xfId="50522" xr:uid="{00000000-0005-0000-0000-0000F1390000}"/>
    <cellStyle name="Normal 14 3 12 3" xfId="50523" xr:uid="{00000000-0005-0000-0000-0000F2390000}"/>
    <cellStyle name="Normal 14 3 13" xfId="10335" xr:uid="{00000000-0005-0000-0000-0000F3390000}"/>
    <cellStyle name="Normal 14 3 13 2" xfId="50524" xr:uid="{00000000-0005-0000-0000-0000F4390000}"/>
    <cellStyle name="Normal 14 3 14" xfId="10336" xr:uid="{00000000-0005-0000-0000-0000F5390000}"/>
    <cellStyle name="Normal 14 3 14 2" xfId="50525" xr:uid="{00000000-0005-0000-0000-0000F6390000}"/>
    <cellStyle name="Normal 14 3 15" xfId="10337" xr:uid="{00000000-0005-0000-0000-0000F7390000}"/>
    <cellStyle name="Normal 14 3 16" xfId="10338" xr:uid="{00000000-0005-0000-0000-0000F8390000}"/>
    <cellStyle name="Normal 14 3 17" xfId="10339" xr:uid="{00000000-0005-0000-0000-0000F9390000}"/>
    <cellStyle name="Normal 14 3 18" xfId="10340" xr:uid="{00000000-0005-0000-0000-0000FA390000}"/>
    <cellStyle name="Normal 14 3 19" xfId="10341" xr:uid="{00000000-0005-0000-0000-0000FB390000}"/>
    <cellStyle name="Normal 14 3 2" xfId="10342" xr:uid="{00000000-0005-0000-0000-0000FC390000}"/>
    <cellStyle name="Normal 14 3 2 10" xfId="10343" xr:uid="{00000000-0005-0000-0000-0000FD390000}"/>
    <cellStyle name="Normal 14 3 2 11" xfId="10344" xr:uid="{00000000-0005-0000-0000-0000FE390000}"/>
    <cellStyle name="Normal 14 3 2 12" xfId="10345" xr:uid="{00000000-0005-0000-0000-0000FF390000}"/>
    <cellStyle name="Normal 14 3 2 13" xfId="10346" xr:uid="{00000000-0005-0000-0000-0000003A0000}"/>
    <cellStyle name="Normal 14 3 2 14" xfId="10347" xr:uid="{00000000-0005-0000-0000-0000013A0000}"/>
    <cellStyle name="Normal 14 3 2 15" xfId="10348" xr:uid="{00000000-0005-0000-0000-0000023A0000}"/>
    <cellStyle name="Normal 14 3 2 2" xfId="10349" xr:uid="{00000000-0005-0000-0000-0000033A0000}"/>
    <cellStyle name="Normal 14 3 2 2 10" xfId="10350" xr:uid="{00000000-0005-0000-0000-0000043A0000}"/>
    <cellStyle name="Normal 14 3 2 2 11" xfId="10351" xr:uid="{00000000-0005-0000-0000-0000053A0000}"/>
    <cellStyle name="Normal 14 3 2 2 12" xfId="10352" xr:uid="{00000000-0005-0000-0000-0000063A0000}"/>
    <cellStyle name="Normal 14 3 2 2 13" xfId="10353" xr:uid="{00000000-0005-0000-0000-0000073A0000}"/>
    <cellStyle name="Normal 14 3 2 2 14" xfId="10354" xr:uid="{00000000-0005-0000-0000-0000083A0000}"/>
    <cellStyle name="Normal 14 3 2 2 2" xfId="10355" xr:uid="{00000000-0005-0000-0000-0000093A0000}"/>
    <cellStyle name="Normal 14 3 2 2 2 2" xfId="10356" xr:uid="{00000000-0005-0000-0000-00000A3A0000}"/>
    <cellStyle name="Normal 14 3 2 2 2 2 2" xfId="10357" xr:uid="{00000000-0005-0000-0000-00000B3A0000}"/>
    <cellStyle name="Normal 14 3 2 2 2 2 2 2" xfId="10358" xr:uid="{00000000-0005-0000-0000-00000C3A0000}"/>
    <cellStyle name="Normal 14 3 2 2 2 2 2 2 2" xfId="50526" xr:uid="{00000000-0005-0000-0000-00000D3A0000}"/>
    <cellStyle name="Normal 14 3 2 2 2 2 2 2 3" xfId="50527" xr:uid="{00000000-0005-0000-0000-00000E3A0000}"/>
    <cellStyle name="Normal 14 3 2 2 2 2 2 3" xfId="10359" xr:uid="{00000000-0005-0000-0000-00000F3A0000}"/>
    <cellStyle name="Normal 14 3 2 2 2 2 2 3 2" xfId="50528" xr:uid="{00000000-0005-0000-0000-0000103A0000}"/>
    <cellStyle name="Normal 14 3 2 2 2 2 2 4" xfId="10360" xr:uid="{00000000-0005-0000-0000-0000113A0000}"/>
    <cellStyle name="Normal 14 3 2 2 2 2 2 5" xfId="10361" xr:uid="{00000000-0005-0000-0000-0000123A0000}"/>
    <cellStyle name="Normal 14 3 2 2 2 2 2 6" xfId="10362" xr:uid="{00000000-0005-0000-0000-0000133A0000}"/>
    <cellStyle name="Normal 14 3 2 2 2 2 3" xfId="10363" xr:uid="{00000000-0005-0000-0000-0000143A0000}"/>
    <cellStyle name="Normal 14 3 2 2 2 2 3 2" xfId="50529" xr:uid="{00000000-0005-0000-0000-0000153A0000}"/>
    <cellStyle name="Normal 14 3 2 2 2 2 3 3" xfId="50530" xr:uid="{00000000-0005-0000-0000-0000163A0000}"/>
    <cellStyle name="Normal 14 3 2 2 2 2 4" xfId="10364" xr:uid="{00000000-0005-0000-0000-0000173A0000}"/>
    <cellStyle name="Normal 14 3 2 2 2 2 4 2" xfId="50531" xr:uid="{00000000-0005-0000-0000-0000183A0000}"/>
    <cellStyle name="Normal 14 3 2 2 2 2 5" xfId="10365" xr:uid="{00000000-0005-0000-0000-0000193A0000}"/>
    <cellStyle name="Normal 14 3 2 2 2 2 6" xfId="10366" xr:uid="{00000000-0005-0000-0000-00001A3A0000}"/>
    <cellStyle name="Normal 14 3 2 2 2 2 7" xfId="10367" xr:uid="{00000000-0005-0000-0000-00001B3A0000}"/>
    <cellStyle name="Normal 14 3 2 2 2 3" xfId="10368" xr:uid="{00000000-0005-0000-0000-00001C3A0000}"/>
    <cellStyle name="Normal 14 3 2 2 2 3 2" xfId="10369" xr:uid="{00000000-0005-0000-0000-00001D3A0000}"/>
    <cellStyle name="Normal 14 3 2 2 2 3 2 2" xfId="50532" xr:uid="{00000000-0005-0000-0000-00001E3A0000}"/>
    <cellStyle name="Normal 14 3 2 2 2 3 2 3" xfId="50533" xr:uid="{00000000-0005-0000-0000-00001F3A0000}"/>
    <cellStyle name="Normal 14 3 2 2 2 3 3" xfId="10370" xr:uid="{00000000-0005-0000-0000-0000203A0000}"/>
    <cellStyle name="Normal 14 3 2 2 2 3 3 2" xfId="50534" xr:uid="{00000000-0005-0000-0000-0000213A0000}"/>
    <cellStyle name="Normal 14 3 2 2 2 3 4" xfId="10371" xr:uid="{00000000-0005-0000-0000-0000223A0000}"/>
    <cellStyle name="Normal 14 3 2 2 2 3 5" xfId="10372" xr:uid="{00000000-0005-0000-0000-0000233A0000}"/>
    <cellStyle name="Normal 14 3 2 2 2 3 6" xfId="10373" xr:uid="{00000000-0005-0000-0000-0000243A0000}"/>
    <cellStyle name="Normal 14 3 2 2 2 4" xfId="10374" xr:uid="{00000000-0005-0000-0000-0000253A0000}"/>
    <cellStyle name="Normal 14 3 2 2 2 4 2" xfId="50535" xr:uid="{00000000-0005-0000-0000-0000263A0000}"/>
    <cellStyle name="Normal 14 3 2 2 2 4 3" xfId="50536" xr:uid="{00000000-0005-0000-0000-0000273A0000}"/>
    <cellStyle name="Normal 14 3 2 2 2 5" xfId="10375" xr:uid="{00000000-0005-0000-0000-0000283A0000}"/>
    <cellStyle name="Normal 14 3 2 2 2 5 2" xfId="50537" xr:uid="{00000000-0005-0000-0000-0000293A0000}"/>
    <cellStyle name="Normal 14 3 2 2 2 6" xfId="10376" xr:uid="{00000000-0005-0000-0000-00002A3A0000}"/>
    <cellStyle name="Normal 14 3 2 2 2 7" xfId="10377" xr:uid="{00000000-0005-0000-0000-00002B3A0000}"/>
    <cellStyle name="Normal 14 3 2 2 2 8" xfId="10378" xr:uid="{00000000-0005-0000-0000-00002C3A0000}"/>
    <cellStyle name="Normal 14 3 2 2 2 9" xfId="10379" xr:uid="{00000000-0005-0000-0000-00002D3A0000}"/>
    <cellStyle name="Normal 14 3 2 2 3" xfId="10380" xr:uid="{00000000-0005-0000-0000-00002E3A0000}"/>
    <cellStyle name="Normal 14 3 2 2 3 2" xfId="10381" xr:uid="{00000000-0005-0000-0000-00002F3A0000}"/>
    <cellStyle name="Normal 14 3 2 2 3 2 2" xfId="10382" xr:uid="{00000000-0005-0000-0000-0000303A0000}"/>
    <cellStyle name="Normal 14 3 2 2 3 2 2 2" xfId="10383" xr:uid="{00000000-0005-0000-0000-0000313A0000}"/>
    <cellStyle name="Normal 14 3 2 2 3 2 2 2 2" xfId="50538" xr:uid="{00000000-0005-0000-0000-0000323A0000}"/>
    <cellStyle name="Normal 14 3 2 2 3 2 2 2 3" xfId="50539" xr:uid="{00000000-0005-0000-0000-0000333A0000}"/>
    <cellStyle name="Normal 14 3 2 2 3 2 2 3" xfId="10384" xr:uid="{00000000-0005-0000-0000-0000343A0000}"/>
    <cellStyle name="Normal 14 3 2 2 3 2 2 3 2" xfId="50540" xr:uid="{00000000-0005-0000-0000-0000353A0000}"/>
    <cellStyle name="Normal 14 3 2 2 3 2 2 4" xfId="10385" xr:uid="{00000000-0005-0000-0000-0000363A0000}"/>
    <cellStyle name="Normal 14 3 2 2 3 2 2 5" xfId="10386" xr:uid="{00000000-0005-0000-0000-0000373A0000}"/>
    <cellStyle name="Normal 14 3 2 2 3 2 2 6" xfId="10387" xr:uid="{00000000-0005-0000-0000-0000383A0000}"/>
    <cellStyle name="Normal 14 3 2 2 3 2 3" xfId="10388" xr:uid="{00000000-0005-0000-0000-0000393A0000}"/>
    <cellStyle name="Normal 14 3 2 2 3 2 3 2" xfId="50541" xr:uid="{00000000-0005-0000-0000-00003A3A0000}"/>
    <cellStyle name="Normal 14 3 2 2 3 2 3 3" xfId="50542" xr:uid="{00000000-0005-0000-0000-00003B3A0000}"/>
    <cellStyle name="Normal 14 3 2 2 3 2 4" xfId="10389" xr:uid="{00000000-0005-0000-0000-00003C3A0000}"/>
    <cellStyle name="Normal 14 3 2 2 3 2 4 2" xfId="50543" xr:uid="{00000000-0005-0000-0000-00003D3A0000}"/>
    <cellStyle name="Normal 14 3 2 2 3 2 5" xfId="10390" xr:uid="{00000000-0005-0000-0000-00003E3A0000}"/>
    <cellStyle name="Normal 14 3 2 2 3 2 6" xfId="10391" xr:uid="{00000000-0005-0000-0000-00003F3A0000}"/>
    <cellStyle name="Normal 14 3 2 2 3 2 7" xfId="10392" xr:uid="{00000000-0005-0000-0000-0000403A0000}"/>
    <cellStyle name="Normal 14 3 2 2 3 3" xfId="10393" xr:uid="{00000000-0005-0000-0000-0000413A0000}"/>
    <cellStyle name="Normal 14 3 2 2 3 3 2" xfId="10394" xr:uid="{00000000-0005-0000-0000-0000423A0000}"/>
    <cellStyle name="Normal 14 3 2 2 3 3 2 2" xfId="50544" xr:uid="{00000000-0005-0000-0000-0000433A0000}"/>
    <cellStyle name="Normal 14 3 2 2 3 3 2 3" xfId="50545" xr:uid="{00000000-0005-0000-0000-0000443A0000}"/>
    <cellStyle name="Normal 14 3 2 2 3 3 3" xfId="10395" xr:uid="{00000000-0005-0000-0000-0000453A0000}"/>
    <cellStyle name="Normal 14 3 2 2 3 3 3 2" xfId="50546" xr:uid="{00000000-0005-0000-0000-0000463A0000}"/>
    <cellStyle name="Normal 14 3 2 2 3 3 4" xfId="10396" xr:uid="{00000000-0005-0000-0000-0000473A0000}"/>
    <cellStyle name="Normal 14 3 2 2 3 3 5" xfId="10397" xr:uid="{00000000-0005-0000-0000-0000483A0000}"/>
    <cellStyle name="Normal 14 3 2 2 3 3 6" xfId="10398" xr:uid="{00000000-0005-0000-0000-0000493A0000}"/>
    <cellStyle name="Normal 14 3 2 2 3 4" xfId="10399" xr:uid="{00000000-0005-0000-0000-00004A3A0000}"/>
    <cellStyle name="Normal 14 3 2 2 3 4 2" xfId="50547" xr:uid="{00000000-0005-0000-0000-00004B3A0000}"/>
    <cellStyle name="Normal 14 3 2 2 3 4 3" xfId="50548" xr:uid="{00000000-0005-0000-0000-00004C3A0000}"/>
    <cellStyle name="Normal 14 3 2 2 3 5" xfId="10400" xr:uid="{00000000-0005-0000-0000-00004D3A0000}"/>
    <cellStyle name="Normal 14 3 2 2 3 5 2" xfId="50549" xr:uid="{00000000-0005-0000-0000-00004E3A0000}"/>
    <cellStyle name="Normal 14 3 2 2 3 6" xfId="10401" xr:uid="{00000000-0005-0000-0000-00004F3A0000}"/>
    <cellStyle name="Normal 14 3 2 2 3 7" xfId="10402" xr:uid="{00000000-0005-0000-0000-0000503A0000}"/>
    <cellStyle name="Normal 14 3 2 2 3 8" xfId="10403" xr:uid="{00000000-0005-0000-0000-0000513A0000}"/>
    <cellStyle name="Normal 14 3 2 2 4" xfId="10404" xr:uid="{00000000-0005-0000-0000-0000523A0000}"/>
    <cellStyle name="Normal 14 3 2 2 4 2" xfId="10405" xr:uid="{00000000-0005-0000-0000-0000533A0000}"/>
    <cellStyle name="Normal 14 3 2 2 4 2 2" xfId="10406" xr:uid="{00000000-0005-0000-0000-0000543A0000}"/>
    <cellStyle name="Normal 14 3 2 2 4 2 2 2" xfId="50550" xr:uid="{00000000-0005-0000-0000-0000553A0000}"/>
    <cellStyle name="Normal 14 3 2 2 4 2 2 3" xfId="50551" xr:uid="{00000000-0005-0000-0000-0000563A0000}"/>
    <cellStyle name="Normal 14 3 2 2 4 2 3" xfId="10407" xr:uid="{00000000-0005-0000-0000-0000573A0000}"/>
    <cellStyle name="Normal 14 3 2 2 4 2 3 2" xfId="50552" xr:uid="{00000000-0005-0000-0000-0000583A0000}"/>
    <cellStyle name="Normal 14 3 2 2 4 2 4" xfId="10408" xr:uid="{00000000-0005-0000-0000-0000593A0000}"/>
    <cellStyle name="Normal 14 3 2 2 4 2 5" xfId="10409" xr:uid="{00000000-0005-0000-0000-00005A3A0000}"/>
    <cellStyle name="Normal 14 3 2 2 4 2 6" xfId="10410" xr:uid="{00000000-0005-0000-0000-00005B3A0000}"/>
    <cellStyle name="Normal 14 3 2 2 4 3" xfId="10411" xr:uid="{00000000-0005-0000-0000-00005C3A0000}"/>
    <cellStyle name="Normal 14 3 2 2 4 3 2" xfId="50553" xr:uid="{00000000-0005-0000-0000-00005D3A0000}"/>
    <cellStyle name="Normal 14 3 2 2 4 3 3" xfId="50554" xr:uid="{00000000-0005-0000-0000-00005E3A0000}"/>
    <cellStyle name="Normal 14 3 2 2 4 4" xfId="10412" xr:uid="{00000000-0005-0000-0000-00005F3A0000}"/>
    <cellStyle name="Normal 14 3 2 2 4 4 2" xfId="50555" xr:uid="{00000000-0005-0000-0000-0000603A0000}"/>
    <cellStyle name="Normal 14 3 2 2 4 5" xfId="10413" xr:uid="{00000000-0005-0000-0000-0000613A0000}"/>
    <cellStyle name="Normal 14 3 2 2 4 6" xfId="10414" xr:uid="{00000000-0005-0000-0000-0000623A0000}"/>
    <cellStyle name="Normal 14 3 2 2 4 7" xfId="10415" xr:uid="{00000000-0005-0000-0000-0000633A0000}"/>
    <cellStyle name="Normal 14 3 2 2 5" xfId="10416" xr:uid="{00000000-0005-0000-0000-0000643A0000}"/>
    <cellStyle name="Normal 14 3 2 2 5 2" xfId="10417" xr:uid="{00000000-0005-0000-0000-0000653A0000}"/>
    <cellStyle name="Normal 14 3 2 2 5 2 2" xfId="50556" xr:uid="{00000000-0005-0000-0000-0000663A0000}"/>
    <cellStyle name="Normal 14 3 2 2 5 2 3" xfId="50557" xr:uid="{00000000-0005-0000-0000-0000673A0000}"/>
    <cellStyle name="Normal 14 3 2 2 5 3" xfId="10418" xr:uid="{00000000-0005-0000-0000-0000683A0000}"/>
    <cellStyle name="Normal 14 3 2 2 5 3 2" xfId="50558" xr:uid="{00000000-0005-0000-0000-0000693A0000}"/>
    <cellStyle name="Normal 14 3 2 2 5 4" xfId="10419" xr:uid="{00000000-0005-0000-0000-00006A3A0000}"/>
    <cellStyle name="Normal 14 3 2 2 5 5" xfId="10420" xr:uid="{00000000-0005-0000-0000-00006B3A0000}"/>
    <cellStyle name="Normal 14 3 2 2 5 6" xfId="10421" xr:uid="{00000000-0005-0000-0000-00006C3A0000}"/>
    <cellStyle name="Normal 14 3 2 2 6" xfId="10422" xr:uid="{00000000-0005-0000-0000-00006D3A0000}"/>
    <cellStyle name="Normal 14 3 2 2 6 2" xfId="50559" xr:uid="{00000000-0005-0000-0000-00006E3A0000}"/>
    <cellStyle name="Normal 14 3 2 2 6 3" xfId="50560" xr:uid="{00000000-0005-0000-0000-00006F3A0000}"/>
    <cellStyle name="Normal 14 3 2 2 7" xfId="10423" xr:uid="{00000000-0005-0000-0000-0000703A0000}"/>
    <cellStyle name="Normal 14 3 2 2 7 2" xfId="50561" xr:uid="{00000000-0005-0000-0000-0000713A0000}"/>
    <cellStyle name="Normal 14 3 2 2 8" xfId="10424" xr:uid="{00000000-0005-0000-0000-0000723A0000}"/>
    <cellStyle name="Normal 14 3 2 2 9" xfId="10425" xr:uid="{00000000-0005-0000-0000-0000733A0000}"/>
    <cellStyle name="Normal 14 3 2 3" xfId="10426" xr:uid="{00000000-0005-0000-0000-0000743A0000}"/>
    <cellStyle name="Normal 14 3 2 3 2" xfId="10427" xr:uid="{00000000-0005-0000-0000-0000753A0000}"/>
    <cellStyle name="Normal 14 3 2 3 2 2" xfId="10428" xr:uid="{00000000-0005-0000-0000-0000763A0000}"/>
    <cellStyle name="Normal 14 3 2 3 2 2 2" xfId="10429" xr:uid="{00000000-0005-0000-0000-0000773A0000}"/>
    <cellStyle name="Normal 14 3 2 3 2 2 2 2" xfId="50562" xr:uid="{00000000-0005-0000-0000-0000783A0000}"/>
    <cellStyle name="Normal 14 3 2 3 2 2 2 3" xfId="50563" xr:uid="{00000000-0005-0000-0000-0000793A0000}"/>
    <cellStyle name="Normal 14 3 2 3 2 2 3" xfId="10430" xr:uid="{00000000-0005-0000-0000-00007A3A0000}"/>
    <cellStyle name="Normal 14 3 2 3 2 2 3 2" xfId="50564" xr:uid="{00000000-0005-0000-0000-00007B3A0000}"/>
    <cellStyle name="Normal 14 3 2 3 2 2 4" xfId="10431" xr:uid="{00000000-0005-0000-0000-00007C3A0000}"/>
    <cellStyle name="Normal 14 3 2 3 2 2 5" xfId="10432" xr:uid="{00000000-0005-0000-0000-00007D3A0000}"/>
    <cellStyle name="Normal 14 3 2 3 2 2 6" xfId="10433" xr:uid="{00000000-0005-0000-0000-00007E3A0000}"/>
    <cellStyle name="Normal 14 3 2 3 2 3" xfId="10434" xr:uid="{00000000-0005-0000-0000-00007F3A0000}"/>
    <cellStyle name="Normal 14 3 2 3 2 3 2" xfId="50565" xr:uid="{00000000-0005-0000-0000-0000803A0000}"/>
    <cellStyle name="Normal 14 3 2 3 2 3 3" xfId="50566" xr:uid="{00000000-0005-0000-0000-0000813A0000}"/>
    <cellStyle name="Normal 14 3 2 3 2 4" xfId="10435" xr:uid="{00000000-0005-0000-0000-0000823A0000}"/>
    <cellStyle name="Normal 14 3 2 3 2 4 2" xfId="50567" xr:uid="{00000000-0005-0000-0000-0000833A0000}"/>
    <cellStyle name="Normal 14 3 2 3 2 5" xfId="10436" xr:uid="{00000000-0005-0000-0000-0000843A0000}"/>
    <cellStyle name="Normal 14 3 2 3 2 6" xfId="10437" xr:uid="{00000000-0005-0000-0000-0000853A0000}"/>
    <cellStyle name="Normal 14 3 2 3 2 7" xfId="10438" xr:uid="{00000000-0005-0000-0000-0000863A0000}"/>
    <cellStyle name="Normal 14 3 2 3 3" xfId="10439" xr:uid="{00000000-0005-0000-0000-0000873A0000}"/>
    <cellStyle name="Normal 14 3 2 3 3 2" xfId="10440" xr:uid="{00000000-0005-0000-0000-0000883A0000}"/>
    <cellStyle name="Normal 14 3 2 3 3 2 2" xfId="50568" xr:uid="{00000000-0005-0000-0000-0000893A0000}"/>
    <cellStyle name="Normal 14 3 2 3 3 2 3" xfId="50569" xr:uid="{00000000-0005-0000-0000-00008A3A0000}"/>
    <cellStyle name="Normal 14 3 2 3 3 3" xfId="10441" xr:uid="{00000000-0005-0000-0000-00008B3A0000}"/>
    <cellStyle name="Normal 14 3 2 3 3 3 2" xfId="50570" xr:uid="{00000000-0005-0000-0000-00008C3A0000}"/>
    <cellStyle name="Normal 14 3 2 3 3 4" xfId="10442" xr:uid="{00000000-0005-0000-0000-00008D3A0000}"/>
    <cellStyle name="Normal 14 3 2 3 3 5" xfId="10443" xr:uid="{00000000-0005-0000-0000-00008E3A0000}"/>
    <cellStyle name="Normal 14 3 2 3 3 6" xfId="10444" xr:uid="{00000000-0005-0000-0000-00008F3A0000}"/>
    <cellStyle name="Normal 14 3 2 3 4" xfId="10445" xr:uid="{00000000-0005-0000-0000-0000903A0000}"/>
    <cellStyle name="Normal 14 3 2 3 4 2" xfId="50571" xr:uid="{00000000-0005-0000-0000-0000913A0000}"/>
    <cellStyle name="Normal 14 3 2 3 4 3" xfId="50572" xr:uid="{00000000-0005-0000-0000-0000923A0000}"/>
    <cellStyle name="Normal 14 3 2 3 5" xfId="10446" xr:uid="{00000000-0005-0000-0000-0000933A0000}"/>
    <cellStyle name="Normal 14 3 2 3 5 2" xfId="50573" xr:uid="{00000000-0005-0000-0000-0000943A0000}"/>
    <cellStyle name="Normal 14 3 2 3 6" xfId="10447" xr:uid="{00000000-0005-0000-0000-0000953A0000}"/>
    <cellStyle name="Normal 14 3 2 3 7" xfId="10448" xr:uid="{00000000-0005-0000-0000-0000963A0000}"/>
    <cellStyle name="Normal 14 3 2 3 8" xfId="10449" xr:uid="{00000000-0005-0000-0000-0000973A0000}"/>
    <cellStyle name="Normal 14 3 2 3 9" xfId="10450" xr:uid="{00000000-0005-0000-0000-0000983A0000}"/>
    <cellStyle name="Normal 14 3 2 4" xfId="10451" xr:uid="{00000000-0005-0000-0000-0000993A0000}"/>
    <cellStyle name="Normal 14 3 2 4 2" xfId="10452" xr:uid="{00000000-0005-0000-0000-00009A3A0000}"/>
    <cellStyle name="Normal 14 3 2 4 2 2" xfId="10453" xr:uid="{00000000-0005-0000-0000-00009B3A0000}"/>
    <cellStyle name="Normal 14 3 2 4 2 2 2" xfId="10454" xr:uid="{00000000-0005-0000-0000-00009C3A0000}"/>
    <cellStyle name="Normal 14 3 2 4 2 2 2 2" xfId="50574" xr:uid="{00000000-0005-0000-0000-00009D3A0000}"/>
    <cellStyle name="Normal 14 3 2 4 2 2 2 3" xfId="50575" xr:uid="{00000000-0005-0000-0000-00009E3A0000}"/>
    <cellStyle name="Normal 14 3 2 4 2 2 3" xfId="10455" xr:uid="{00000000-0005-0000-0000-00009F3A0000}"/>
    <cellStyle name="Normal 14 3 2 4 2 2 3 2" xfId="50576" xr:uid="{00000000-0005-0000-0000-0000A03A0000}"/>
    <cellStyle name="Normal 14 3 2 4 2 2 4" xfId="10456" xr:uid="{00000000-0005-0000-0000-0000A13A0000}"/>
    <cellStyle name="Normal 14 3 2 4 2 2 5" xfId="10457" xr:uid="{00000000-0005-0000-0000-0000A23A0000}"/>
    <cellStyle name="Normal 14 3 2 4 2 2 6" xfId="10458" xr:uid="{00000000-0005-0000-0000-0000A33A0000}"/>
    <cellStyle name="Normal 14 3 2 4 2 3" xfId="10459" xr:uid="{00000000-0005-0000-0000-0000A43A0000}"/>
    <cellStyle name="Normal 14 3 2 4 2 3 2" xfId="50577" xr:uid="{00000000-0005-0000-0000-0000A53A0000}"/>
    <cellStyle name="Normal 14 3 2 4 2 3 3" xfId="50578" xr:uid="{00000000-0005-0000-0000-0000A63A0000}"/>
    <cellStyle name="Normal 14 3 2 4 2 4" xfId="10460" xr:uid="{00000000-0005-0000-0000-0000A73A0000}"/>
    <cellStyle name="Normal 14 3 2 4 2 4 2" xfId="50579" xr:uid="{00000000-0005-0000-0000-0000A83A0000}"/>
    <cellStyle name="Normal 14 3 2 4 2 5" xfId="10461" xr:uid="{00000000-0005-0000-0000-0000A93A0000}"/>
    <cellStyle name="Normal 14 3 2 4 2 6" xfId="10462" xr:uid="{00000000-0005-0000-0000-0000AA3A0000}"/>
    <cellStyle name="Normal 14 3 2 4 2 7" xfId="10463" xr:uid="{00000000-0005-0000-0000-0000AB3A0000}"/>
    <cellStyle name="Normal 14 3 2 4 3" xfId="10464" xr:uid="{00000000-0005-0000-0000-0000AC3A0000}"/>
    <cellStyle name="Normal 14 3 2 4 3 2" xfId="10465" xr:uid="{00000000-0005-0000-0000-0000AD3A0000}"/>
    <cellStyle name="Normal 14 3 2 4 3 2 2" xfId="50580" xr:uid="{00000000-0005-0000-0000-0000AE3A0000}"/>
    <cellStyle name="Normal 14 3 2 4 3 2 3" xfId="50581" xr:uid="{00000000-0005-0000-0000-0000AF3A0000}"/>
    <cellStyle name="Normal 14 3 2 4 3 3" xfId="10466" xr:uid="{00000000-0005-0000-0000-0000B03A0000}"/>
    <cellStyle name="Normal 14 3 2 4 3 3 2" xfId="50582" xr:uid="{00000000-0005-0000-0000-0000B13A0000}"/>
    <cellStyle name="Normal 14 3 2 4 3 4" xfId="10467" xr:uid="{00000000-0005-0000-0000-0000B23A0000}"/>
    <cellStyle name="Normal 14 3 2 4 3 5" xfId="10468" xr:uid="{00000000-0005-0000-0000-0000B33A0000}"/>
    <cellStyle name="Normal 14 3 2 4 3 6" xfId="10469" xr:uid="{00000000-0005-0000-0000-0000B43A0000}"/>
    <cellStyle name="Normal 14 3 2 4 4" xfId="10470" xr:uid="{00000000-0005-0000-0000-0000B53A0000}"/>
    <cellStyle name="Normal 14 3 2 4 4 2" xfId="50583" xr:uid="{00000000-0005-0000-0000-0000B63A0000}"/>
    <cellStyle name="Normal 14 3 2 4 4 3" xfId="50584" xr:uid="{00000000-0005-0000-0000-0000B73A0000}"/>
    <cellStyle name="Normal 14 3 2 4 5" xfId="10471" xr:uid="{00000000-0005-0000-0000-0000B83A0000}"/>
    <cellStyle name="Normal 14 3 2 4 5 2" xfId="50585" xr:uid="{00000000-0005-0000-0000-0000B93A0000}"/>
    <cellStyle name="Normal 14 3 2 4 6" xfId="10472" xr:uid="{00000000-0005-0000-0000-0000BA3A0000}"/>
    <cellStyle name="Normal 14 3 2 4 7" xfId="10473" xr:uid="{00000000-0005-0000-0000-0000BB3A0000}"/>
    <cellStyle name="Normal 14 3 2 4 8" xfId="10474" xr:uid="{00000000-0005-0000-0000-0000BC3A0000}"/>
    <cellStyle name="Normal 14 3 2 5" xfId="10475" xr:uid="{00000000-0005-0000-0000-0000BD3A0000}"/>
    <cellStyle name="Normal 14 3 2 5 2" xfId="10476" xr:uid="{00000000-0005-0000-0000-0000BE3A0000}"/>
    <cellStyle name="Normal 14 3 2 5 2 2" xfId="10477" xr:uid="{00000000-0005-0000-0000-0000BF3A0000}"/>
    <cellStyle name="Normal 14 3 2 5 2 2 2" xfId="50586" xr:uid="{00000000-0005-0000-0000-0000C03A0000}"/>
    <cellStyle name="Normal 14 3 2 5 2 2 3" xfId="50587" xr:uid="{00000000-0005-0000-0000-0000C13A0000}"/>
    <cellStyle name="Normal 14 3 2 5 2 3" xfId="10478" xr:uid="{00000000-0005-0000-0000-0000C23A0000}"/>
    <cellStyle name="Normal 14 3 2 5 2 3 2" xfId="50588" xr:uid="{00000000-0005-0000-0000-0000C33A0000}"/>
    <cellStyle name="Normal 14 3 2 5 2 4" xfId="10479" xr:uid="{00000000-0005-0000-0000-0000C43A0000}"/>
    <cellStyle name="Normal 14 3 2 5 2 5" xfId="10480" xr:uid="{00000000-0005-0000-0000-0000C53A0000}"/>
    <cellStyle name="Normal 14 3 2 5 2 6" xfId="10481" xr:uid="{00000000-0005-0000-0000-0000C63A0000}"/>
    <cellStyle name="Normal 14 3 2 5 3" xfId="10482" xr:uid="{00000000-0005-0000-0000-0000C73A0000}"/>
    <cellStyle name="Normal 14 3 2 5 3 2" xfId="50589" xr:uid="{00000000-0005-0000-0000-0000C83A0000}"/>
    <cellStyle name="Normal 14 3 2 5 3 3" xfId="50590" xr:uid="{00000000-0005-0000-0000-0000C93A0000}"/>
    <cellStyle name="Normal 14 3 2 5 4" xfId="10483" xr:uid="{00000000-0005-0000-0000-0000CA3A0000}"/>
    <cellStyle name="Normal 14 3 2 5 4 2" xfId="50591" xr:uid="{00000000-0005-0000-0000-0000CB3A0000}"/>
    <cellStyle name="Normal 14 3 2 5 5" xfId="10484" xr:uid="{00000000-0005-0000-0000-0000CC3A0000}"/>
    <cellStyle name="Normal 14 3 2 5 6" xfId="10485" xr:uid="{00000000-0005-0000-0000-0000CD3A0000}"/>
    <cellStyle name="Normal 14 3 2 5 7" xfId="10486" xr:uid="{00000000-0005-0000-0000-0000CE3A0000}"/>
    <cellStyle name="Normal 14 3 2 6" xfId="10487" xr:uid="{00000000-0005-0000-0000-0000CF3A0000}"/>
    <cellStyle name="Normal 14 3 2 6 2" xfId="10488" xr:uid="{00000000-0005-0000-0000-0000D03A0000}"/>
    <cellStyle name="Normal 14 3 2 6 2 2" xfId="50592" xr:uid="{00000000-0005-0000-0000-0000D13A0000}"/>
    <cellStyle name="Normal 14 3 2 6 2 3" xfId="50593" xr:uid="{00000000-0005-0000-0000-0000D23A0000}"/>
    <cellStyle name="Normal 14 3 2 6 3" xfId="10489" xr:uid="{00000000-0005-0000-0000-0000D33A0000}"/>
    <cellStyle name="Normal 14 3 2 6 3 2" xfId="50594" xr:uid="{00000000-0005-0000-0000-0000D43A0000}"/>
    <cellStyle name="Normal 14 3 2 6 4" xfId="10490" xr:uid="{00000000-0005-0000-0000-0000D53A0000}"/>
    <cellStyle name="Normal 14 3 2 6 5" xfId="10491" xr:uid="{00000000-0005-0000-0000-0000D63A0000}"/>
    <cellStyle name="Normal 14 3 2 6 6" xfId="10492" xr:uid="{00000000-0005-0000-0000-0000D73A0000}"/>
    <cellStyle name="Normal 14 3 2 7" xfId="10493" xr:uid="{00000000-0005-0000-0000-0000D83A0000}"/>
    <cellStyle name="Normal 14 3 2 7 2" xfId="50595" xr:uid="{00000000-0005-0000-0000-0000D93A0000}"/>
    <cellStyle name="Normal 14 3 2 7 3" xfId="50596" xr:uid="{00000000-0005-0000-0000-0000DA3A0000}"/>
    <cellStyle name="Normal 14 3 2 8" xfId="10494" xr:uid="{00000000-0005-0000-0000-0000DB3A0000}"/>
    <cellStyle name="Normal 14 3 2 8 2" xfId="50597" xr:uid="{00000000-0005-0000-0000-0000DC3A0000}"/>
    <cellStyle name="Normal 14 3 2 9" xfId="10495" xr:uid="{00000000-0005-0000-0000-0000DD3A0000}"/>
    <cellStyle name="Normal 14 3 2 9 2" xfId="50598" xr:uid="{00000000-0005-0000-0000-0000DE3A0000}"/>
    <cellStyle name="Normal 14 3 20" xfId="10496" xr:uid="{00000000-0005-0000-0000-0000DF3A0000}"/>
    <cellStyle name="Normal 14 3 21" xfId="10497" xr:uid="{00000000-0005-0000-0000-0000E03A0000}"/>
    <cellStyle name="Normal 14 3 3" xfId="10498" xr:uid="{00000000-0005-0000-0000-0000E13A0000}"/>
    <cellStyle name="Normal 14 3 3 10" xfId="10499" xr:uid="{00000000-0005-0000-0000-0000E23A0000}"/>
    <cellStyle name="Normal 14 3 3 11" xfId="10500" xr:uid="{00000000-0005-0000-0000-0000E33A0000}"/>
    <cellStyle name="Normal 14 3 3 12" xfId="10501" xr:uid="{00000000-0005-0000-0000-0000E43A0000}"/>
    <cellStyle name="Normal 14 3 3 13" xfId="10502" xr:uid="{00000000-0005-0000-0000-0000E53A0000}"/>
    <cellStyle name="Normal 14 3 3 14" xfId="10503" xr:uid="{00000000-0005-0000-0000-0000E63A0000}"/>
    <cellStyle name="Normal 14 3 3 15" xfId="10504" xr:uid="{00000000-0005-0000-0000-0000E73A0000}"/>
    <cellStyle name="Normal 14 3 3 2" xfId="10505" xr:uid="{00000000-0005-0000-0000-0000E83A0000}"/>
    <cellStyle name="Normal 14 3 3 2 10" xfId="10506" xr:uid="{00000000-0005-0000-0000-0000E93A0000}"/>
    <cellStyle name="Normal 14 3 3 2 11" xfId="10507" xr:uid="{00000000-0005-0000-0000-0000EA3A0000}"/>
    <cellStyle name="Normal 14 3 3 2 12" xfId="10508" xr:uid="{00000000-0005-0000-0000-0000EB3A0000}"/>
    <cellStyle name="Normal 14 3 3 2 13" xfId="10509" xr:uid="{00000000-0005-0000-0000-0000EC3A0000}"/>
    <cellStyle name="Normal 14 3 3 2 14" xfId="10510" xr:uid="{00000000-0005-0000-0000-0000ED3A0000}"/>
    <cellStyle name="Normal 14 3 3 2 2" xfId="10511" xr:uid="{00000000-0005-0000-0000-0000EE3A0000}"/>
    <cellStyle name="Normal 14 3 3 2 2 2" xfId="10512" xr:uid="{00000000-0005-0000-0000-0000EF3A0000}"/>
    <cellStyle name="Normal 14 3 3 2 2 2 2" xfId="10513" xr:uid="{00000000-0005-0000-0000-0000F03A0000}"/>
    <cellStyle name="Normal 14 3 3 2 2 2 2 2" xfId="10514" xr:uid="{00000000-0005-0000-0000-0000F13A0000}"/>
    <cellStyle name="Normal 14 3 3 2 2 2 2 2 2" xfId="50599" xr:uid="{00000000-0005-0000-0000-0000F23A0000}"/>
    <cellStyle name="Normal 14 3 3 2 2 2 2 2 3" xfId="50600" xr:uid="{00000000-0005-0000-0000-0000F33A0000}"/>
    <cellStyle name="Normal 14 3 3 2 2 2 2 3" xfId="10515" xr:uid="{00000000-0005-0000-0000-0000F43A0000}"/>
    <cellStyle name="Normal 14 3 3 2 2 2 2 3 2" xfId="50601" xr:uid="{00000000-0005-0000-0000-0000F53A0000}"/>
    <cellStyle name="Normal 14 3 3 2 2 2 2 4" xfId="10516" xr:uid="{00000000-0005-0000-0000-0000F63A0000}"/>
    <cellStyle name="Normal 14 3 3 2 2 2 2 5" xfId="10517" xr:uid="{00000000-0005-0000-0000-0000F73A0000}"/>
    <cellStyle name="Normal 14 3 3 2 2 2 2 6" xfId="10518" xr:uid="{00000000-0005-0000-0000-0000F83A0000}"/>
    <cellStyle name="Normal 14 3 3 2 2 2 3" xfId="10519" xr:uid="{00000000-0005-0000-0000-0000F93A0000}"/>
    <cellStyle name="Normal 14 3 3 2 2 2 3 2" xfId="50602" xr:uid="{00000000-0005-0000-0000-0000FA3A0000}"/>
    <cellStyle name="Normal 14 3 3 2 2 2 3 3" xfId="50603" xr:uid="{00000000-0005-0000-0000-0000FB3A0000}"/>
    <cellStyle name="Normal 14 3 3 2 2 2 4" xfId="10520" xr:uid="{00000000-0005-0000-0000-0000FC3A0000}"/>
    <cellStyle name="Normal 14 3 3 2 2 2 4 2" xfId="50604" xr:uid="{00000000-0005-0000-0000-0000FD3A0000}"/>
    <cellStyle name="Normal 14 3 3 2 2 2 5" xfId="10521" xr:uid="{00000000-0005-0000-0000-0000FE3A0000}"/>
    <cellStyle name="Normal 14 3 3 2 2 2 6" xfId="10522" xr:uid="{00000000-0005-0000-0000-0000FF3A0000}"/>
    <cellStyle name="Normal 14 3 3 2 2 2 7" xfId="10523" xr:uid="{00000000-0005-0000-0000-0000003B0000}"/>
    <cellStyle name="Normal 14 3 3 2 2 3" xfId="10524" xr:uid="{00000000-0005-0000-0000-0000013B0000}"/>
    <cellStyle name="Normal 14 3 3 2 2 3 2" xfId="10525" xr:uid="{00000000-0005-0000-0000-0000023B0000}"/>
    <cellStyle name="Normal 14 3 3 2 2 3 2 2" xfId="50605" xr:uid="{00000000-0005-0000-0000-0000033B0000}"/>
    <cellStyle name="Normal 14 3 3 2 2 3 2 3" xfId="50606" xr:uid="{00000000-0005-0000-0000-0000043B0000}"/>
    <cellStyle name="Normal 14 3 3 2 2 3 3" xfId="10526" xr:uid="{00000000-0005-0000-0000-0000053B0000}"/>
    <cellStyle name="Normal 14 3 3 2 2 3 3 2" xfId="50607" xr:uid="{00000000-0005-0000-0000-0000063B0000}"/>
    <cellStyle name="Normal 14 3 3 2 2 3 4" xfId="10527" xr:uid="{00000000-0005-0000-0000-0000073B0000}"/>
    <cellStyle name="Normal 14 3 3 2 2 3 5" xfId="10528" xr:uid="{00000000-0005-0000-0000-0000083B0000}"/>
    <cellStyle name="Normal 14 3 3 2 2 3 6" xfId="10529" xr:uid="{00000000-0005-0000-0000-0000093B0000}"/>
    <cellStyle name="Normal 14 3 3 2 2 4" xfId="10530" xr:uid="{00000000-0005-0000-0000-00000A3B0000}"/>
    <cellStyle name="Normal 14 3 3 2 2 4 2" xfId="50608" xr:uid="{00000000-0005-0000-0000-00000B3B0000}"/>
    <cellStyle name="Normal 14 3 3 2 2 4 3" xfId="50609" xr:uid="{00000000-0005-0000-0000-00000C3B0000}"/>
    <cellStyle name="Normal 14 3 3 2 2 5" xfId="10531" xr:uid="{00000000-0005-0000-0000-00000D3B0000}"/>
    <cellStyle name="Normal 14 3 3 2 2 5 2" xfId="50610" xr:uid="{00000000-0005-0000-0000-00000E3B0000}"/>
    <cellStyle name="Normal 14 3 3 2 2 6" xfId="10532" xr:uid="{00000000-0005-0000-0000-00000F3B0000}"/>
    <cellStyle name="Normal 14 3 3 2 2 7" xfId="10533" xr:uid="{00000000-0005-0000-0000-0000103B0000}"/>
    <cellStyle name="Normal 14 3 3 2 2 8" xfId="10534" xr:uid="{00000000-0005-0000-0000-0000113B0000}"/>
    <cellStyle name="Normal 14 3 3 2 2 9" xfId="10535" xr:uid="{00000000-0005-0000-0000-0000123B0000}"/>
    <cellStyle name="Normal 14 3 3 2 3" xfId="10536" xr:uid="{00000000-0005-0000-0000-0000133B0000}"/>
    <cellStyle name="Normal 14 3 3 2 3 2" xfId="10537" xr:uid="{00000000-0005-0000-0000-0000143B0000}"/>
    <cellStyle name="Normal 14 3 3 2 3 2 2" xfId="10538" xr:uid="{00000000-0005-0000-0000-0000153B0000}"/>
    <cellStyle name="Normal 14 3 3 2 3 2 2 2" xfId="10539" xr:uid="{00000000-0005-0000-0000-0000163B0000}"/>
    <cellStyle name="Normal 14 3 3 2 3 2 2 2 2" xfId="50611" xr:uid="{00000000-0005-0000-0000-0000173B0000}"/>
    <cellStyle name="Normal 14 3 3 2 3 2 2 2 3" xfId="50612" xr:uid="{00000000-0005-0000-0000-0000183B0000}"/>
    <cellStyle name="Normal 14 3 3 2 3 2 2 3" xfId="10540" xr:uid="{00000000-0005-0000-0000-0000193B0000}"/>
    <cellStyle name="Normal 14 3 3 2 3 2 2 3 2" xfId="50613" xr:uid="{00000000-0005-0000-0000-00001A3B0000}"/>
    <cellStyle name="Normal 14 3 3 2 3 2 2 4" xfId="10541" xr:uid="{00000000-0005-0000-0000-00001B3B0000}"/>
    <cellStyle name="Normal 14 3 3 2 3 2 2 5" xfId="10542" xr:uid="{00000000-0005-0000-0000-00001C3B0000}"/>
    <cellStyle name="Normal 14 3 3 2 3 2 2 6" xfId="10543" xr:uid="{00000000-0005-0000-0000-00001D3B0000}"/>
    <cellStyle name="Normal 14 3 3 2 3 2 3" xfId="10544" xr:uid="{00000000-0005-0000-0000-00001E3B0000}"/>
    <cellStyle name="Normal 14 3 3 2 3 2 3 2" xfId="50614" xr:uid="{00000000-0005-0000-0000-00001F3B0000}"/>
    <cellStyle name="Normal 14 3 3 2 3 2 3 3" xfId="50615" xr:uid="{00000000-0005-0000-0000-0000203B0000}"/>
    <cellStyle name="Normal 14 3 3 2 3 2 4" xfId="10545" xr:uid="{00000000-0005-0000-0000-0000213B0000}"/>
    <cellStyle name="Normal 14 3 3 2 3 2 4 2" xfId="50616" xr:uid="{00000000-0005-0000-0000-0000223B0000}"/>
    <cellStyle name="Normal 14 3 3 2 3 2 5" xfId="10546" xr:uid="{00000000-0005-0000-0000-0000233B0000}"/>
    <cellStyle name="Normal 14 3 3 2 3 2 6" xfId="10547" xr:uid="{00000000-0005-0000-0000-0000243B0000}"/>
    <cellStyle name="Normal 14 3 3 2 3 2 7" xfId="10548" xr:uid="{00000000-0005-0000-0000-0000253B0000}"/>
    <cellStyle name="Normal 14 3 3 2 3 3" xfId="10549" xr:uid="{00000000-0005-0000-0000-0000263B0000}"/>
    <cellStyle name="Normal 14 3 3 2 3 3 2" xfId="10550" xr:uid="{00000000-0005-0000-0000-0000273B0000}"/>
    <cellStyle name="Normal 14 3 3 2 3 3 2 2" xfId="50617" xr:uid="{00000000-0005-0000-0000-0000283B0000}"/>
    <cellStyle name="Normal 14 3 3 2 3 3 2 3" xfId="50618" xr:uid="{00000000-0005-0000-0000-0000293B0000}"/>
    <cellStyle name="Normal 14 3 3 2 3 3 3" xfId="10551" xr:uid="{00000000-0005-0000-0000-00002A3B0000}"/>
    <cellStyle name="Normal 14 3 3 2 3 3 3 2" xfId="50619" xr:uid="{00000000-0005-0000-0000-00002B3B0000}"/>
    <cellStyle name="Normal 14 3 3 2 3 3 4" xfId="10552" xr:uid="{00000000-0005-0000-0000-00002C3B0000}"/>
    <cellStyle name="Normal 14 3 3 2 3 3 5" xfId="10553" xr:uid="{00000000-0005-0000-0000-00002D3B0000}"/>
    <cellStyle name="Normal 14 3 3 2 3 3 6" xfId="10554" xr:uid="{00000000-0005-0000-0000-00002E3B0000}"/>
    <cellStyle name="Normal 14 3 3 2 3 4" xfId="10555" xr:uid="{00000000-0005-0000-0000-00002F3B0000}"/>
    <cellStyle name="Normal 14 3 3 2 3 4 2" xfId="50620" xr:uid="{00000000-0005-0000-0000-0000303B0000}"/>
    <cellStyle name="Normal 14 3 3 2 3 4 3" xfId="50621" xr:uid="{00000000-0005-0000-0000-0000313B0000}"/>
    <cellStyle name="Normal 14 3 3 2 3 5" xfId="10556" xr:uid="{00000000-0005-0000-0000-0000323B0000}"/>
    <cellStyle name="Normal 14 3 3 2 3 5 2" xfId="50622" xr:uid="{00000000-0005-0000-0000-0000333B0000}"/>
    <cellStyle name="Normal 14 3 3 2 3 6" xfId="10557" xr:uid="{00000000-0005-0000-0000-0000343B0000}"/>
    <cellStyle name="Normal 14 3 3 2 3 7" xfId="10558" xr:uid="{00000000-0005-0000-0000-0000353B0000}"/>
    <cellStyle name="Normal 14 3 3 2 3 8" xfId="10559" xr:uid="{00000000-0005-0000-0000-0000363B0000}"/>
    <cellStyle name="Normal 14 3 3 2 4" xfId="10560" xr:uid="{00000000-0005-0000-0000-0000373B0000}"/>
    <cellStyle name="Normal 14 3 3 2 4 2" xfId="10561" xr:uid="{00000000-0005-0000-0000-0000383B0000}"/>
    <cellStyle name="Normal 14 3 3 2 4 2 2" xfId="10562" xr:uid="{00000000-0005-0000-0000-0000393B0000}"/>
    <cellStyle name="Normal 14 3 3 2 4 2 2 2" xfId="50623" xr:uid="{00000000-0005-0000-0000-00003A3B0000}"/>
    <cellStyle name="Normal 14 3 3 2 4 2 2 3" xfId="50624" xr:uid="{00000000-0005-0000-0000-00003B3B0000}"/>
    <cellStyle name="Normal 14 3 3 2 4 2 3" xfId="10563" xr:uid="{00000000-0005-0000-0000-00003C3B0000}"/>
    <cellStyle name="Normal 14 3 3 2 4 2 3 2" xfId="50625" xr:uid="{00000000-0005-0000-0000-00003D3B0000}"/>
    <cellStyle name="Normal 14 3 3 2 4 2 4" xfId="10564" xr:uid="{00000000-0005-0000-0000-00003E3B0000}"/>
    <cellStyle name="Normal 14 3 3 2 4 2 5" xfId="10565" xr:uid="{00000000-0005-0000-0000-00003F3B0000}"/>
    <cellStyle name="Normal 14 3 3 2 4 2 6" xfId="10566" xr:uid="{00000000-0005-0000-0000-0000403B0000}"/>
    <cellStyle name="Normal 14 3 3 2 4 3" xfId="10567" xr:uid="{00000000-0005-0000-0000-0000413B0000}"/>
    <cellStyle name="Normal 14 3 3 2 4 3 2" xfId="50626" xr:uid="{00000000-0005-0000-0000-0000423B0000}"/>
    <cellStyle name="Normal 14 3 3 2 4 3 3" xfId="50627" xr:uid="{00000000-0005-0000-0000-0000433B0000}"/>
    <cellStyle name="Normal 14 3 3 2 4 4" xfId="10568" xr:uid="{00000000-0005-0000-0000-0000443B0000}"/>
    <cellStyle name="Normal 14 3 3 2 4 4 2" xfId="50628" xr:uid="{00000000-0005-0000-0000-0000453B0000}"/>
    <cellStyle name="Normal 14 3 3 2 4 5" xfId="10569" xr:uid="{00000000-0005-0000-0000-0000463B0000}"/>
    <cellStyle name="Normal 14 3 3 2 4 6" xfId="10570" xr:uid="{00000000-0005-0000-0000-0000473B0000}"/>
    <cellStyle name="Normal 14 3 3 2 4 7" xfId="10571" xr:uid="{00000000-0005-0000-0000-0000483B0000}"/>
    <cellStyle name="Normal 14 3 3 2 5" xfId="10572" xr:uid="{00000000-0005-0000-0000-0000493B0000}"/>
    <cellStyle name="Normal 14 3 3 2 5 2" xfId="10573" xr:uid="{00000000-0005-0000-0000-00004A3B0000}"/>
    <cellStyle name="Normal 14 3 3 2 5 2 2" xfId="50629" xr:uid="{00000000-0005-0000-0000-00004B3B0000}"/>
    <cellStyle name="Normal 14 3 3 2 5 2 3" xfId="50630" xr:uid="{00000000-0005-0000-0000-00004C3B0000}"/>
    <cellStyle name="Normal 14 3 3 2 5 3" xfId="10574" xr:uid="{00000000-0005-0000-0000-00004D3B0000}"/>
    <cellStyle name="Normal 14 3 3 2 5 3 2" xfId="50631" xr:uid="{00000000-0005-0000-0000-00004E3B0000}"/>
    <cellStyle name="Normal 14 3 3 2 5 4" xfId="10575" xr:uid="{00000000-0005-0000-0000-00004F3B0000}"/>
    <cellStyle name="Normal 14 3 3 2 5 5" xfId="10576" xr:uid="{00000000-0005-0000-0000-0000503B0000}"/>
    <cellStyle name="Normal 14 3 3 2 5 6" xfId="10577" xr:uid="{00000000-0005-0000-0000-0000513B0000}"/>
    <cellStyle name="Normal 14 3 3 2 6" xfId="10578" xr:uid="{00000000-0005-0000-0000-0000523B0000}"/>
    <cellStyle name="Normal 14 3 3 2 6 2" xfId="50632" xr:uid="{00000000-0005-0000-0000-0000533B0000}"/>
    <cellStyle name="Normal 14 3 3 2 6 3" xfId="50633" xr:uid="{00000000-0005-0000-0000-0000543B0000}"/>
    <cellStyle name="Normal 14 3 3 2 7" xfId="10579" xr:uid="{00000000-0005-0000-0000-0000553B0000}"/>
    <cellStyle name="Normal 14 3 3 2 7 2" xfId="50634" xr:uid="{00000000-0005-0000-0000-0000563B0000}"/>
    <cellStyle name="Normal 14 3 3 2 8" xfId="10580" xr:uid="{00000000-0005-0000-0000-0000573B0000}"/>
    <cellStyle name="Normal 14 3 3 2 9" xfId="10581" xr:uid="{00000000-0005-0000-0000-0000583B0000}"/>
    <cellStyle name="Normal 14 3 3 3" xfId="10582" xr:uid="{00000000-0005-0000-0000-0000593B0000}"/>
    <cellStyle name="Normal 14 3 3 3 2" xfId="10583" xr:uid="{00000000-0005-0000-0000-00005A3B0000}"/>
    <cellStyle name="Normal 14 3 3 3 2 2" xfId="10584" xr:uid="{00000000-0005-0000-0000-00005B3B0000}"/>
    <cellStyle name="Normal 14 3 3 3 2 2 2" xfId="10585" xr:uid="{00000000-0005-0000-0000-00005C3B0000}"/>
    <cellStyle name="Normal 14 3 3 3 2 2 2 2" xfId="50635" xr:uid="{00000000-0005-0000-0000-00005D3B0000}"/>
    <cellStyle name="Normal 14 3 3 3 2 2 2 3" xfId="50636" xr:uid="{00000000-0005-0000-0000-00005E3B0000}"/>
    <cellStyle name="Normal 14 3 3 3 2 2 3" xfId="10586" xr:uid="{00000000-0005-0000-0000-00005F3B0000}"/>
    <cellStyle name="Normal 14 3 3 3 2 2 3 2" xfId="50637" xr:uid="{00000000-0005-0000-0000-0000603B0000}"/>
    <cellStyle name="Normal 14 3 3 3 2 2 4" xfId="10587" xr:uid="{00000000-0005-0000-0000-0000613B0000}"/>
    <cellStyle name="Normal 14 3 3 3 2 2 5" xfId="10588" xr:uid="{00000000-0005-0000-0000-0000623B0000}"/>
    <cellStyle name="Normal 14 3 3 3 2 2 6" xfId="10589" xr:uid="{00000000-0005-0000-0000-0000633B0000}"/>
    <cellStyle name="Normal 14 3 3 3 2 3" xfId="10590" xr:uid="{00000000-0005-0000-0000-0000643B0000}"/>
    <cellStyle name="Normal 14 3 3 3 2 3 2" xfId="50638" xr:uid="{00000000-0005-0000-0000-0000653B0000}"/>
    <cellStyle name="Normal 14 3 3 3 2 3 3" xfId="50639" xr:uid="{00000000-0005-0000-0000-0000663B0000}"/>
    <cellStyle name="Normal 14 3 3 3 2 4" xfId="10591" xr:uid="{00000000-0005-0000-0000-0000673B0000}"/>
    <cellStyle name="Normal 14 3 3 3 2 4 2" xfId="50640" xr:uid="{00000000-0005-0000-0000-0000683B0000}"/>
    <cellStyle name="Normal 14 3 3 3 2 5" xfId="10592" xr:uid="{00000000-0005-0000-0000-0000693B0000}"/>
    <cellStyle name="Normal 14 3 3 3 2 6" xfId="10593" xr:uid="{00000000-0005-0000-0000-00006A3B0000}"/>
    <cellStyle name="Normal 14 3 3 3 2 7" xfId="10594" xr:uid="{00000000-0005-0000-0000-00006B3B0000}"/>
    <cellStyle name="Normal 14 3 3 3 3" xfId="10595" xr:uid="{00000000-0005-0000-0000-00006C3B0000}"/>
    <cellStyle name="Normal 14 3 3 3 3 2" xfId="10596" xr:uid="{00000000-0005-0000-0000-00006D3B0000}"/>
    <cellStyle name="Normal 14 3 3 3 3 2 2" xfId="50641" xr:uid="{00000000-0005-0000-0000-00006E3B0000}"/>
    <cellStyle name="Normal 14 3 3 3 3 2 3" xfId="50642" xr:uid="{00000000-0005-0000-0000-00006F3B0000}"/>
    <cellStyle name="Normal 14 3 3 3 3 3" xfId="10597" xr:uid="{00000000-0005-0000-0000-0000703B0000}"/>
    <cellStyle name="Normal 14 3 3 3 3 3 2" xfId="50643" xr:uid="{00000000-0005-0000-0000-0000713B0000}"/>
    <cellStyle name="Normal 14 3 3 3 3 4" xfId="10598" xr:uid="{00000000-0005-0000-0000-0000723B0000}"/>
    <cellStyle name="Normal 14 3 3 3 3 5" xfId="10599" xr:uid="{00000000-0005-0000-0000-0000733B0000}"/>
    <cellStyle name="Normal 14 3 3 3 3 6" xfId="10600" xr:uid="{00000000-0005-0000-0000-0000743B0000}"/>
    <cellStyle name="Normal 14 3 3 3 4" xfId="10601" xr:uid="{00000000-0005-0000-0000-0000753B0000}"/>
    <cellStyle name="Normal 14 3 3 3 4 2" xfId="50644" xr:uid="{00000000-0005-0000-0000-0000763B0000}"/>
    <cellStyle name="Normal 14 3 3 3 4 3" xfId="50645" xr:uid="{00000000-0005-0000-0000-0000773B0000}"/>
    <cellStyle name="Normal 14 3 3 3 5" xfId="10602" xr:uid="{00000000-0005-0000-0000-0000783B0000}"/>
    <cellStyle name="Normal 14 3 3 3 5 2" xfId="50646" xr:uid="{00000000-0005-0000-0000-0000793B0000}"/>
    <cellStyle name="Normal 14 3 3 3 6" xfId="10603" xr:uid="{00000000-0005-0000-0000-00007A3B0000}"/>
    <cellStyle name="Normal 14 3 3 3 7" xfId="10604" xr:uid="{00000000-0005-0000-0000-00007B3B0000}"/>
    <cellStyle name="Normal 14 3 3 3 8" xfId="10605" xr:uid="{00000000-0005-0000-0000-00007C3B0000}"/>
    <cellStyle name="Normal 14 3 3 3 9" xfId="10606" xr:uid="{00000000-0005-0000-0000-00007D3B0000}"/>
    <cellStyle name="Normal 14 3 3 4" xfId="10607" xr:uid="{00000000-0005-0000-0000-00007E3B0000}"/>
    <cellStyle name="Normal 14 3 3 4 2" xfId="10608" xr:uid="{00000000-0005-0000-0000-00007F3B0000}"/>
    <cellStyle name="Normal 14 3 3 4 2 2" xfId="10609" xr:uid="{00000000-0005-0000-0000-0000803B0000}"/>
    <cellStyle name="Normal 14 3 3 4 2 2 2" xfId="10610" xr:uid="{00000000-0005-0000-0000-0000813B0000}"/>
    <cellStyle name="Normal 14 3 3 4 2 2 2 2" xfId="50647" xr:uid="{00000000-0005-0000-0000-0000823B0000}"/>
    <cellStyle name="Normal 14 3 3 4 2 2 2 3" xfId="50648" xr:uid="{00000000-0005-0000-0000-0000833B0000}"/>
    <cellStyle name="Normal 14 3 3 4 2 2 3" xfId="10611" xr:uid="{00000000-0005-0000-0000-0000843B0000}"/>
    <cellStyle name="Normal 14 3 3 4 2 2 3 2" xfId="50649" xr:uid="{00000000-0005-0000-0000-0000853B0000}"/>
    <cellStyle name="Normal 14 3 3 4 2 2 4" xfId="10612" xr:uid="{00000000-0005-0000-0000-0000863B0000}"/>
    <cellStyle name="Normal 14 3 3 4 2 2 5" xfId="10613" xr:uid="{00000000-0005-0000-0000-0000873B0000}"/>
    <cellStyle name="Normal 14 3 3 4 2 2 6" xfId="10614" xr:uid="{00000000-0005-0000-0000-0000883B0000}"/>
    <cellStyle name="Normal 14 3 3 4 2 3" xfId="10615" xr:uid="{00000000-0005-0000-0000-0000893B0000}"/>
    <cellStyle name="Normal 14 3 3 4 2 3 2" xfId="50650" xr:uid="{00000000-0005-0000-0000-00008A3B0000}"/>
    <cellStyle name="Normal 14 3 3 4 2 3 3" xfId="50651" xr:uid="{00000000-0005-0000-0000-00008B3B0000}"/>
    <cellStyle name="Normal 14 3 3 4 2 4" xfId="10616" xr:uid="{00000000-0005-0000-0000-00008C3B0000}"/>
    <cellStyle name="Normal 14 3 3 4 2 4 2" xfId="50652" xr:uid="{00000000-0005-0000-0000-00008D3B0000}"/>
    <cellStyle name="Normal 14 3 3 4 2 5" xfId="10617" xr:uid="{00000000-0005-0000-0000-00008E3B0000}"/>
    <cellStyle name="Normal 14 3 3 4 2 6" xfId="10618" xr:uid="{00000000-0005-0000-0000-00008F3B0000}"/>
    <cellStyle name="Normal 14 3 3 4 2 7" xfId="10619" xr:uid="{00000000-0005-0000-0000-0000903B0000}"/>
    <cellStyle name="Normal 14 3 3 4 3" xfId="10620" xr:uid="{00000000-0005-0000-0000-0000913B0000}"/>
    <cellStyle name="Normal 14 3 3 4 3 2" xfId="10621" xr:uid="{00000000-0005-0000-0000-0000923B0000}"/>
    <cellStyle name="Normal 14 3 3 4 3 2 2" xfId="50653" xr:uid="{00000000-0005-0000-0000-0000933B0000}"/>
    <cellStyle name="Normal 14 3 3 4 3 2 3" xfId="50654" xr:uid="{00000000-0005-0000-0000-0000943B0000}"/>
    <cellStyle name="Normal 14 3 3 4 3 3" xfId="10622" xr:uid="{00000000-0005-0000-0000-0000953B0000}"/>
    <cellStyle name="Normal 14 3 3 4 3 3 2" xfId="50655" xr:uid="{00000000-0005-0000-0000-0000963B0000}"/>
    <cellStyle name="Normal 14 3 3 4 3 4" xfId="10623" xr:uid="{00000000-0005-0000-0000-0000973B0000}"/>
    <cellStyle name="Normal 14 3 3 4 3 5" xfId="10624" xr:uid="{00000000-0005-0000-0000-0000983B0000}"/>
    <cellStyle name="Normal 14 3 3 4 3 6" xfId="10625" xr:uid="{00000000-0005-0000-0000-0000993B0000}"/>
    <cellStyle name="Normal 14 3 3 4 4" xfId="10626" xr:uid="{00000000-0005-0000-0000-00009A3B0000}"/>
    <cellStyle name="Normal 14 3 3 4 4 2" xfId="50656" xr:uid="{00000000-0005-0000-0000-00009B3B0000}"/>
    <cellStyle name="Normal 14 3 3 4 4 3" xfId="50657" xr:uid="{00000000-0005-0000-0000-00009C3B0000}"/>
    <cellStyle name="Normal 14 3 3 4 5" xfId="10627" xr:uid="{00000000-0005-0000-0000-00009D3B0000}"/>
    <cellStyle name="Normal 14 3 3 4 5 2" xfId="50658" xr:uid="{00000000-0005-0000-0000-00009E3B0000}"/>
    <cellStyle name="Normal 14 3 3 4 6" xfId="10628" xr:uid="{00000000-0005-0000-0000-00009F3B0000}"/>
    <cellStyle name="Normal 14 3 3 4 7" xfId="10629" xr:uid="{00000000-0005-0000-0000-0000A03B0000}"/>
    <cellStyle name="Normal 14 3 3 4 8" xfId="10630" xr:uid="{00000000-0005-0000-0000-0000A13B0000}"/>
    <cellStyle name="Normal 14 3 3 5" xfId="10631" xr:uid="{00000000-0005-0000-0000-0000A23B0000}"/>
    <cellStyle name="Normal 14 3 3 5 2" xfId="10632" xr:uid="{00000000-0005-0000-0000-0000A33B0000}"/>
    <cellStyle name="Normal 14 3 3 5 2 2" xfId="10633" xr:uid="{00000000-0005-0000-0000-0000A43B0000}"/>
    <cellStyle name="Normal 14 3 3 5 2 2 2" xfId="50659" xr:uid="{00000000-0005-0000-0000-0000A53B0000}"/>
    <cellStyle name="Normal 14 3 3 5 2 2 3" xfId="50660" xr:uid="{00000000-0005-0000-0000-0000A63B0000}"/>
    <cellStyle name="Normal 14 3 3 5 2 3" xfId="10634" xr:uid="{00000000-0005-0000-0000-0000A73B0000}"/>
    <cellStyle name="Normal 14 3 3 5 2 3 2" xfId="50661" xr:uid="{00000000-0005-0000-0000-0000A83B0000}"/>
    <cellStyle name="Normal 14 3 3 5 2 4" xfId="10635" xr:uid="{00000000-0005-0000-0000-0000A93B0000}"/>
    <cellStyle name="Normal 14 3 3 5 2 5" xfId="10636" xr:uid="{00000000-0005-0000-0000-0000AA3B0000}"/>
    <cellStyle name="Normal 14 3 3 5 2 6" xfId="10637" xr:uid="{00000000-0005-0000-0000-0000AB3B0000}"/>
    <cellStyle name="Normal 14 3 3 5 3" xfId="10638" xr:uid="{00000000-0005-0000-0000-0000AC3B0000}"/>
    <cellStyle name="Normal 14 3 3 5 3 2" xfId="50662" xr:uid="{00000000-0005-0000-0000-0000AD3B0000}"/>
    <cellStyle name="Normal 14 3 3 5 3 3" xfId="50663" xr:uid="{00000000-0005-0000-0000-0000AE3B0000}"/>
    <cellStyle name="Normal 14 3 3 5 4" xfId="10639" xr:uid="{00000000-0005-0000-0000-0000AF3B0000}"/>
    <cellStyle name="Normal 14 3 3 5 4 2" xfId="50664" xr:uid="{00000000-0005-0000-0000-0000B03B0000}"/>
    <cellStyle name="Normal 14 3 3 5 5" xfId="10640" xr:uid="{00000000-0005-0000-0000-0000B13B0000}"/>
    <cellStyle name="Normal 14 3 3 5 6" xfId="10641" xr:uid="{00000000-0005-0000-0000-0000B23B0000}"/>
    <cellStyle name="Normal 14 3 3 5 7" xfId="10642" xr:uid="{00000000-0005-0000-0000-0000B33B0000}"/>
    <cellStyle name="Normal 14 3 3 6" xfId="10643" xr:uid="{00000000-0005-0000-0000-0000B43B0000}"/>
    <cellStyle name="Normal 14 3 3 6 2" xfId="10644" xr:uid="{00000000-0005-0000-0000-0000B53B0000}"/>
    <cellStyle name="Normal 14 3 3 6 2 2" xfId="50665" xr:uid="{00000000-0005-0000-0000-0000B63B0000}"/>
    <cellStyle name="Normal 14 3 3 6 2 3" xfId="50666" xr:uid="{00000000-0005-0000-0000-0000B73B0000}"/>
    <cellStyle name="Normal 14 3 3 6 3" xfId="10645" xr:uid="{00000000-0005-0000-0000-0000B83B0000}"/>
    <cellStyle name="Normal 14 3 3 6 3 2" xfId="50667" xr:uid="{00000000-0005-0000-0000-0000B93B0000}"/>
    <cellStyle name="Normal 14 3 3 6 4" xfId="10646" xr:uid="{00000000-0005-0000-0000-0000BA3B0000}"/>
    <cellStyle name="Normal 14 3 3 6 5" xfId="10647" xr:uid="{00000000-0005-0000-0000-0000BB3B0000}"/>
    <cellStyle name="Normal 14 3 3 6 6" xfId="10648" xr:uid="{00000000-0005-0000-0000-0000BC3B0000}"/>
    <cellStyle name="Normal 14 3 3 7" xfId="10649" xr:uid="{00000000-0005-0000-0000-0000BD3B0000}"/>
    <cellStyle name="Normal 14 3 3 7 2" xfId="50668" xr:uid="{00000000-0005-0000-0000-0000BE3B0000}"/>
    <cellStyle name="Normal 14 3 3 7 3" xfId="50669" xr:uid="{00000000-0005-0000-0000-0000BF3B0000}"/>
    <cellStyle name="Normal 14 3 3 8" xfId="10650" xr:uid="{00000000-0005-0000-0000-0000C03B0000}"/>
    <cellStyle name="Normal 14 3 3 8 2" xfId="50670" xr:uid="{00000000-0005-0000-0000-0000C13B0000}"/>
    <cellStyle name="Normal 14 3 3 9" xfId="10651" xr:uid="{00000000-0005-0000-0000-0000C23B0000}"/>
    <cellStyle name="Normal 14 3 4" xfId="10652" xr:uid="{00000000-0005-0000-0000-0000C33B0000}"/>
    <cellStyle name="Normal 14 3 4 10" xfId="10653" xr:uid="{00000000-0005-0000-0000-0000C43B0000}"/>
    <cellStyle name="Normal 14 3 4 11" xfId="10654" xr:uid="{00000000-0005-0000-0000-0000C53B0000}"/>
    <cellStyle name="Normal 14 3 4 12" xfId="10655" xr:uid="{00000000-0005-0000-0000-0000C63B0000}"/>
    <cellStyle name="Normal 14 3 4 13" xfId="10656" xr:uid="{00000000-0005-0000-0000-0000C73B0000}"/>
    <cellStyle name="Normal 14 3 4 14" xfId="10657" xr:uid="{00000000-0005-0000-0000-0000C83B0000}"/>
    <cellStyle name="Normal 14 3 4 2" xfId="10658" xr:uid="{00000000-0005-0000-0000-0000C93B0000}"/>
    <cellStyle name="Normal 14 3 4 2 2" xfId="10659" xr:uid="{00000000-0005-0000-0000-0000CA3B0000}"/>
    <cellStyle name="Normal 14 3 4 2 2 2" xfId="10660" xr:uid="{00000000-0005-0000-0000-0000CB3B0000}"/>
    <cellStyle name="Normal 14 3 4 2 2 2 2" xfId="10661" xr:uid="{00000000-0005-0000-0000-0000CC3B0000}"/>
    <cellStyle name="Normal 14 3 4 2 2 2 2 2" xfId="50671" xr:uid="{00000000-0005-0000-0000-0000CD3B0000}"/>
    <cellStyle name="Normal 14 3 4 2 2 2 2 3" xfId="50672" xr:uid="{00000000-0005-0000-0000-0000CE3B0000}"/>
    <cellStyle name="Normal 14 3 4 2 2 2 3" xfId="10662" xr:uid="{00000000-0005-0000-0000-0000CF3B0000}"/>
    <cellStyle name="Normal 14 3 4 2 2 2 3 2" xfId="50673" xr:uid="{00000000-0005-0000-0000-0000D03B0000}"/>
    <cellStyle name="Normal 14 3 4 2 2 2 4" xfId="10663" xr:uid="{00000000-0005-0000-0000-0000D13B0000}"/>
    <cellStyle name="Normal 14 3 4 2 2 2 5" xfId="10664" xr:uid="{00000000-0005-0000-0000-0000D23B0000}"/>
    <cellStyle name="Normal 14 3 4 2 2 2 6" xfId="10665" xr:uid="{00000000-0005-0000-0000-0000D33B0000}"/>
    <cellStyle name="Normal 14 3 4 2 2 3" xfId="10666" xr:uid="{00000000-0005-0000-0000-0000D43B0000}"/>
    <cellStyle name="Normal 14 3 4 2 2 3 2" xfId="50674" xr:uid="{00000000-0005-0000-0000-0000D53B0000}"/>
    <cellStyle name="Normal 14 3 4 2 2 3 3" xfId="50675" xr:uid="{00000000-0005-0000-0000-0000D63B0000}"/>
    <cellStyle name="Normal 14 3 4 2 2 4" xfId="10667" xr:uid="{00000000-0005-0000-0000-0000D73B0000}"/>
    <cellStyle name="Normal 14 3 4 2 2 4 2" xfId="50676" xr:uid="{00000000-0005-0000-0000-0000D83B0000}"/>
    <cellStyle name="Normal 14 3 4 2 2 5" xfId="10668" xr:uid="{00000000-0005-0000-0000-0000D93B0000}"/>
    <cellStyle name="Normal 14 3 4 2 2 6" xfId="10669" xr:uid="{00000000-0005-0000-0000-0000DA3B0000}"/>
    <cellStyle name="Normal 14 3 4 2 2 7" xfId="10670" xr:uid="{00000000-0005-0000-0000-0000DB3B0000}"/>
    <cellStyle name="Normal 14 3 4 2 3" xfId="10671" xr:uid="{00000000-0005-0000-0000-0000DC3B0000}"/>
    <cellStyle name="Normal 14 3 4 2 3 2" xfId="10672" xr:uid="{00000000-0005-0000-0000-0000DD3B0000}"/>
    <cellStyle name="Normal 14 3 4 2 3 2 2" xfId="50677" xr:uid="{00000000-0005-0000-0000-0000DE3B0000}"/>
    <cellStyle name="Normal 14 3 4 2 3 2 3" xfId="50678" xr:uid="{00000000-0005-0000-0000-0000DF3B0000}"/>
    <cellStyle name="Normal 14 3 4 2 3 3" xfId="10673" xr:uid="{00000000-0005-0000-0000-0000E03B0000}"/>
    <cellStyle name="Normal 14 3 4 2 3 3 2" xfId="50679" xr:uid="{00000000-0005-0000-0000-0000E13B0000}"/>
    <cellStyle name="Normal 14 3 4 2 3 4" xfId="10674" xr:uid="{00000000-0005-0000-0000-0000E23B0000}"/>
    <cellStyle name="Normal 14 3 4 2 3 5" xfId="10675" xr:uid="{00000000-0005-0000-0000-0000E33B0000}"/>
    <cellStyle name="Normal 14 3 4 2 3 6" xfId="10676" xr:uid="{00000000-0005-0000-0000-0000E43B0000}"/>
    <cellStyle name="Normal 14 3 4 2 4" xfId="10677" xr:uid="{00000000-0005-0000-0000-0000E53B0000}"/>
    <cellStyle name="Normal 14 3 4 2 4 2" xfId="50680" xr:uid="{00000000-0005-0000-0000-0000E63B0000}"/>
    <cellStyle name="Normal 14 3 4 2 4 3" xfId="50681" xr:uid="{00000000-0005-0000-0000-0000E73B0000}"/>
    <cellStyle name="Normal 14 3 4 2 5" xfId="10678" xr:uid="{00000000-0005-0000-0000-0000E83B0000}"/>
    <cellStyle name="Normal 14 3 4 2 5 2" xfId="50682" xr:uid="{00000000-0005-0000-0000-0000E93B0000}"/>
    <cellStyle name="Normal 14 3 4 2 6" xfId="10679" xr:uid="{00000000-0005-0000-0000-0000EA3B0000}"/>
    <cellStyle name="Normal 14 3 4 2 7" xfId="10680" xr:uid="{00000000-0005-0000-0000-0000EB3B0000}"/>
    <cellStyle name="Normal 14 3 4 2 8" xfId="10681" xr:uid="{00000000-0005-0000-0000-0000EC3B0000}"/>
    <cellStyle name="Normal 14 3 4 2 9" xfId="10682" xr:uid="{00000000-0005-0000-0000-0000ED3B0000}"/>
    <cellStyle name="Normal 14 3 4 3" xfId="10683" xr:uid="{00000000-0005-0000-0000-0000EE3B0000}"/>
    <cellStyle name="Normal 14 3 4 3 2" xfId="10684" xr:uid="{00000000-0005-0000-0000-0000EF3B0000}"/>
    <cellStyle name="Normal 14 3 4 3 2 2" xfId="10685" xr:uid="{00000000-0005-0000-0000-0000F03B0000}"/>
    <cellStyle name="Normal 14 3 4 3 2 2 2" xfId="10686" xr:uid="{00000000-0005-0000-0000-0000F13B0000}"/>
    <cellStyle name="Normal 14 3 4 3 2 2 2 2" xfId="50683" xr:uid="{00000000-0005-0000-0000-0000F23B0000}"/>
    <cellStyle name="Normal 14 3 4 3 2 2 2 3" xfId="50684" xr:uid="{00000000-0005-0000-0000-0000F33B0000}"/>
    <cellStyle name="Normal 14 3 4 3 2 2 3" xfId="10687" xr:uid="{00000000-0005-0000-0000-0000F43B0000}"/>
    <cellStyle name="Normal 14 3 4 3 2 2 3 2" xfId="50685" xr:uid="{00000000-0005-0000-0000-0000F53B0000}"/>
    <cellStyle name="Normal 14 3 4 3 2 2 4" xfId="10688" xr:uid="{00000000-0005-0000-0000-0000F63B0000}"/>
    <cellStyle name="Normal 14 3 4 3 2 2 5" xfId="10689" xr:uid="{00000000-0005-0000-0000-0000F73B0000}"/>
    <cellStyle name="Normal 14 3 4 3 2 2 6" xfId="10690" xr:uid="{00000000-0005-0000-0000-0000F83B0000}"/>
    <cellStyle name="Normal 14 3 4 3 2 3" xfId="10691" xr:uid="{00000000-0005-0000-0000-0000F93B0000}"/>
    <cellStyle name="Normal 14 3 4 3 2 3 2" xfId="50686" xr:uid="{00000000-0005-0000-0000-0000FA3B0000}"/>
    <cellStyle name="Normal 14 3 4 3 2 3 3" xfId="50687" xr:uid="{00000000-0005-0000-0000-0000FB3B0000}"/>
    <cellStyle name="Normal 14 3 4 3 2 4" xfId="10692" xr:uid="{00000000-0005-0000-0000-0000FC3B0000}"/>
    <cellStyle name="Normal 14 3 4 3 2 4 2" xfId="50688" xr:uid="{00000000-0005-0000-0000-0000FD3B0000}"/>
    <cellStyle name="Normal 14 3 4 3 2 5" xfId="10693" xr:uid="{00000000-0005-0000-0000-0000FE3B0000}"/>
    <cellStyle name="Normal 14 3 4 3 2 6" xfId="10694" xr:uid="{00000000-0005-0000-0000-0000FF3B0000}"/>
    <cellStyle name="Normal 14 3 4 3 2 7" xfId="10695" xr:uid="{00000000-0005-0000-0000-0000003C0000}"/>
    <cellStyle name="Normal 14 3 4 3 3" xfId="10696" xr:uid="{00000000-0005-0000-0000-0000013C0000}"/>
    <cellStyle name="Normal 14 3 4 3 3 2" xfId="10697" xr:uid="{00000000-0005-0000-0000-0000023C0000}"/>
    <cellStyle name="Normal 14 3 4 3 3 2 2" xfId="50689" xr:uid="{00000000-0005-0000-0000-0000033C0000}"/>
    <cellStyle name="Normal 14 3 4 3 3 2 3" xfId="50690" xr:uid="{00000000-0005-0000-0000-0000043C0000}"/>
    <cellStyle name="Normal 14 3 4 3 3 3" xfId="10698" xr:uid="{00000000-0005-0000-0000-0000053C0000}"/>
    <cellStyle name="Normal 14 3 4 3 3 3 2" xfId="50691" xr:uid="{00000000-0005-0000-0000-0000063C0000}"/>
    <cellStyle name="Normal 14 3 4 3 3 4" xfId="10699" xr:uid="{00000000-0005-0000-0000-0000073C0000}"/>
    <cellStyle name="Normal 14 3 4 3 3 5" xfId="10700" xr:uid="{00000000-0005-0000-0000-0000083C0000}"/>
    <cellStyle name="Normal 14 3 4 3 3 6" xfId="10701" xr:uid="{00000000-0005-0000-0000-0000093C0000}"/>
    <cellStyle name="Normal 14 3 4 3 4" xfId="10702" xr:uid="{00000000-0005-0000-0000-00000A3C0000}"/>
    <cellStyle name="Normal 14 3 4 3 4 2" xfId="50692" xr:uid="{00000000-0005-0000-0000-00000B3C0000}"/>
    <cellStyle name="Normal 14 3 4 3 4 3" xfId="50693" xr:uid="{00000000-0005-0000-0000-00000C3C0000}"/>
    <cellStyle name="Normal 14 3 4 3 5" xfId="10703" xr:uid="{00000000-0005-0000-0000-00000D3C0000}"/>
    <cellStyle name="Normal 14 3 4 3 5 2" xfId="50694" xr:uid="{00000000-0005-0000-0000-00000E3C0000}"/>
    <cellStyle name="Normal 14 3 4 3 6" xfId="10704" xr:uid="{00000000-0005-0000-0000-00000F3C0000}"/>
    <cellStyle name="Normal 14 3 4 3 7" xfId="10705" xr:uid="{00000000-0005-0000-0000-0000103C0000}"/>
    <cellStyle name="Normal 14 3 4 3 8" xfId="10706" xr:uid="{00000000-0005-0000-0000-0000113C0000}"/>
    <cellStyle name="Normal 14 3 4 4" xfId="10707" xr:uid="{00000000-0005-0000-0000-0000123C0000}"/>
    <cellStyle name="Normal 14 3 4 4 2" xfId="10708" xr:uid="{00000000-0005-0000-0000-0000133C0000}"/>
    <cellStyle name="Normal 14 3 4 4 2 2" xfId="10709" xr:uid="{00000000-0005-0000-0000-0000143C0000}"/>
    <cellStyle name="Normal 14 3 4 4 2 2 2" xfId="50695" xr:uid="{00000000-0005-0000-0000-0000153C0000}"/>
    <cellStyle name="Normal 14 3 4 4 2 2 3" xfId="50696" xr:uid="{00000000-0005-0000-0000-0000163C0000}"/>
    <cellStyle name="Normal 14 3 4 4 2 3" xfId="10710" xr:uid="{00000000-0005-0000-0000-0000173C0000}"/>
    <cellStyle name="Normal 14 3 4 4 2 3 2" xfId="50697" xr:uid="{00000000-0005-0000-0000-0000183C0000}"/>
    <cellStyle name="Normal 14 3 4 4 2 4" xfId="10711" xr:uid="{00000000-0005-0000-0000-0000193C0000}"/>
    <cellStyle name="Normal 14 3 4 4 2 5" xfId="10712" xr:uid="{00000000-0005-0000-0000-00001A3C0000}"/>
    <cellStyle name="Normal 14 3 4 4 2 6" xfId="10713" xr:uid="{00000000-0005-0000-0000-00001B3C0000}"/>
    <cellStyle name="Normal 14 3 4 4 3" xfId="10714" xr:uid="{00000000-0005-0000-0000-00001C3C0000}"/>
    <cellStyle name="Normal 14 3 4 4 3 2" xfId="50698" xr:uid="{00000000-0005-0000-0000-00001D3C0000}"/>
    <cellStyle name="Normal 14 3 4 4 3 3" xfId="50699" xr:uid="{00000000-0005-0000-0000-00001E3C0000}"/>
    <cellStyle name="Normal 14 3 4 4 4" xfId="10715" xr:uid="{00000000-0005-0000-0000-00001F3C0000}"/>
    <cellStyle name="Normal 14 3 4 4 4 2" xfId="50700" xr:uid="{00000000-0005-0000-0000-0000203C0000}"/>
    <cellStyle name="Normal 14 3 4 4 5" xfId="10716" xr:uid="{00000000-0005-0000-0000-0000213C0000}"/>
    <cellStyle name="Normal 14 3 4 4 6" xfId="10717" xr:uid="{00000000-0005-0000-0000-0000223C0000}"/>
    <cellStyle name="Normal 14 3 4 4 7" xfId="10718" xr:uid="{00000000-0005-0000-0000-0000233C0000}"/>
    <cellStyle name="Normal 14 3 4 5" xfId="10719" xr:uid="{00000000-0005-0000-0000-0000243C0000}"/>
    <cellStyle name="Normal 14 3 4 5 2" xfId="10720" xr:uid="{00000000-0005-0000-0000-0000253C0000}"/>
    <cellStyle name="Normal 14 3 4 5 2 2" xfId="50701" xr:uid="{00000000-0005-0000-0000-0000263C0000}"/>
    <cellStyle name="Normal 14 3 4 5 2 3" xfId="50702" xr:uid="{00000000-0005-0000-0000-0000273C0000}"/>
    <cellStyle name="Normal 14 3 4 5 3" xfId="10721" xr:uid="{00000000-0005-0000-0000-0000283C0000}"/>
    <cellStyle name="Normal 14 3 4 5 3 2" xfId="50703" xr:uid="{00000000-0005-0000-0000-0000293C0000}"/>
    <cellStyle name="Normal 14 3 4 5 4" xfId="10722" xr:uid="{00000000-0005-0000-0000-00002A3C0000}"/>
    <cellStyle name="Normal 14 3 4 5 5" xfId="10723" xr:uid="{00000000-0005-0000-0000-00002B3C0000}"/>
    <cellStyle name="Normal 14 3 4 5 6" xfId="10724" xr:uid="{00000000-0005-0000-0000-00002C3C0000}"/>
    <cellStyle name="Normal 14 3 4 6" xfId="10725" xr:uid="{00000000-0005-0000-0000-00002D3C0000}"/>
    <cellStyle name="Normal 14 3 4 6 2" xfId="50704" xr:uid="{00000000-0005-0000-0000-00002E3C0000}"/>
    <cellStyle name="Normal 14 3 4 6 3" xfId="50705" xr:uid="{00000000-0005-0000-0000-00002F3C0000}"/>
    <cellStyle name="Normal 14 3 4 7" xfId="10726" xr:uid="{00000000-0005-0000-0000-0000303C0000}"/>
    <cellStyle name="Normal 14 3 4 7 2" xfId="50706" xr:uid="{00000000-0005-0000-0000-0000313C0000}"/>
    <cellStyle name="Normal 14 3 4 8" xfId="10727" xr:uid="{00000000-0005-0000-0000-0000323C0000}"/>
    <cellStyle name="Normal 14 3 4 9" xfId="10728" xr:uid="{00000000-0005-0000-0000-0000333C0000}"/>
    <cellStyle name="Normal 14 3 5" xfId="10729" xr:uid="{00000000-0005-0000-0000-0000343C0000}"/>
    <cellStyle name="Normal 14 3 5 10" xfId="10730" xr:uid="{00000000-0005-0000-0000-0000353C0000}"/>
    <cellStyle name="Normal 14 3 5 11" xfId="10731" xr:uid="{00000000-0005-0000-0000-0000363C0000}"/>
    <cellStyle name="Normal 14 3 5 12" xfId="10732" xr:uid="{00000000-0005-0000-0000-0000373C0000}"/>
    <cellStyle name="Normal 14 3 5 13" xfId="10733" xr:uid="{00000000-0005-0000-0000-0000383C0000}"/>
    <cellStyle name="Normal 14 3 5 14" xfId="10734" xr:uid="{00000000-0005-0000-0000-0000393C0000}"/>
    <cellStyle name="Normal 14 3 5 2" xfId="10735" xr:uid="{00000000-0005-0000-0000-00003A3C0000}"/>
    <cellStyle name="Normal 14 3 5 2 2" xfId="10736" xr:uid="{00000000-0005-0000-0000-00003B3C0000}"/>
    <cellStyle name="Normal 14 3 5 2 2 2" xfId="10737" xr:uid="{00000000-0005-0000-0000-00003C3C0000}"/>
    <cellStyle name="Normal 14 3 5 2 2 2 2" xfId="10738" xr:uid="{00000000-0005-0000-0000-00003D3C0000}"/>
    <cellStyle name="Normal 14 3 5 2 2 2 2 2" xfId="50707" xr:uid="{00000000-0005-0000-0000-00003E3C0000}"/>
    <cellStyle name="Normal 14 3 5 2 2 2 2 3" xfId="50708" xr:uid="{00000000-0005-0000-0000-00003F3C0000}"/>
    <cellStyle name="Normal 14 3 5 2 2 2 3" xfId="10739" xr:uid="{00000000-0005-0000-0000-0000403C0000}"/>
    <cellStyle name="Normal 14 3 5 2 2 2 3 2" xfId="50709" xr:uid="{00000000-0005-0000-0000-0000413C0000}"/>
    <cellStyle name="Normal 14 3 5 2 2 2 4" xfId="10740" xr:uid="{00000000-0005-0000-0000-0000423C0000}"/>
    <cellStyle name="Normal 14 3 5 2 2 2 5" xfId="10741" xr:uid="{00000000-0005-0000-0000-0000433C0000}"/>
    <cellStyle name="Normal 14 3 5 2 2 2 6" xfId="10742" xr:uid="{00000000-0005-0000-0000-0000443C0000}"/>
    <cellStyle name="Normal 14 3 5 2 2 3" xfId="10743" xr:uid="{00000000-0005-0000-0000-0000453C0000}"/>
    <cellStyle name="Normal 14 3 5 2 2 3 2" xfId="50710" xr:uid="{00000000-0005-0000-0000-0000463C0000}"/>
    <cellStyle name="Normal 14 3 5 2 2 3 3" xfId="50711" xr:uid="{00000000-0005-0000-0000-0000473C0000}"/>
    <cellStyle name="Normal 14 3 5 2 2 4" xfId="10744" xr:uid="{00000000-0005-0000-0000-0000483C0000}"/>
    <cellStyle name="Normal 14 3 5 2 2 4 2" xfId="50712" xr:uid="{00000000-0005-0000-0000-0000493C0000}"/>
    <cellStyle name="Normal 14 3 5 2 2 5" xfId="10745" xr:uid="{00000000-0005-0000-0000-00004A3C0000}"/>
    <cellStyle name="Normal 14 3 5 2 2 6" xfId="10746" xr:uid="{00000000-0005-0000-0000-00004B3C0000}"/>
    <cellStyle name="Normal 14 3 5 2 2 7" xfId="10747" xr:uid="{00000000-0005-0000-0000-00004C3C0000}"/>
    <cellStyle name="Normal 14 3 5 2 3" xfId="10748" xr:uid="{00000000-0005-0000-0000-00004D3C0000}"/>
    <cellStyle name="Normal 14 3 5 2 3 2" xfId="10749" xr:uid="{00000000-0005-0000-0000-00004E3C0000}"/>
    <cellStyle name="Normal 14 3 5 2 3 2 2" xfId="50713" xr:uid="{00000000-0005-0000-0000-00004F3C0000}"/>
    <cellStyle name="Normal 14 3 5 2 3 2 3" xfId="50714" xr:uid="{00000000-0005-0000-0000-0000503C0000}"/>
    <cellStyle name="Normal 14 3 5 2 3 3" xfId="10750" xr:uid="{00000000-0005-0000-0000-0000513C0000}"/>
    <cellStyle name="Normal 14 3 5 2 3 3 2" xfId="50715" xr:uid="{00000000-0005-0000-0000-0000523C0000}"/>
    <cellStyle name="Normal 14 3 5 2 3 4" xfId="10751" xr:uid="{00000000-0005-0000-0000-0000533C0000}"/>
    <cellStyle name="Normal 14 3 5 2 3 5" xfId="10752" xr:uid="{00000000-0005-0000-0000-0000543C0000}"/>
    <cellStyle name="Normal 14 3 5 2 3 6" xfId="10753" xr:uid="{00000000-0005-0000-0000-0000553C0000}"/>
    <cellStyle name="Normal 14 3 5 2 4" xfId="10754" xr:uid="{00000000-0005-0000-0000-0000563C0000}"/>
    <cellStyle name="Normal 14 3 5 2 4 2" xfId="50716" xr:uid="{00000000-0005-0000-0000-0000573C0000}"/>
    <cellStyle name="Normal 14 3 5 2 4 3" xfId="50717" xr:uid="{00000000-0005-0000-0000-0000583C0000}"/>
    <cellStyle name="Normal 14 3 5 2 5" xfId="10755" xr:uid="{00000000-0005-0000-0000-0000593C0000}"/>
    <cellStyle name="Normal 14 3 5 2 5 2" xfId="50718" xr:uid="{00000000-0005-0000-0000-00005A3C0000}"/>
    <cellStyle name="Normal 14 3 5 2 6" xfId="10756" xr:uid="{00000000-0005-0000-0000-00005B3C0000}"/>
    <cellStyle name="Normal 14 3 5 2 7" xfId="10757" xr:uid="{00000000-0005-0000-0000-00005C3C0000}"/>
    <cellStyle name="Normal 14 3 5 2 8" xfId="10758" xr:uid="{00000000-0005-0000-0000-00005D3C0000}"/>
    <cellStyle name="Normal 14 3 5 2 9" xfId="10759" xr:uid="{00000000-0005-0000-0000-00005E3C0000}"/>
    <cellStyle name="Normal 14 3 5 3" xfId="10760" xr:uid="{00000000-0005-0000-0000-00005F3C0000}"/>
    <cellStyle name="Normal 14 3 5 3 2" xfId="10761" xr:uid="{00000000-0005-0000-0000-0000603C0000}"/>
    <cellStyle name="Normal 14 3 5 3 2 2" xfId="10762" xr:uid="{00000000-0005-0000-0000-0000613C0000}"/>
    <cellStyle name="Normal 14 3 5 3 2 2 2" xfId="10763" xr:uid="{00000000-0005-0000-0000-0000623C0000}"/>
    <cellStyle name="Normal 14 3 5 3 2 2 2 2" xfId="50719" xr:uid="{00000000-0005-0000-0000-0000633C0000}"/>
    <cellStyle name="Normal 14 3 5 3 2 2 2 3" xfId="50720" xr:uid="{00000000-0005-0000-0000-0000643C0000}"/>
    <cellStyle name="Normal 14 3 5 3 2 2 3" xfId="10764" xr:uid="{00000000-0005-0000-0000-0000653C0000}"/>
    <cellStyle name="Normal 14 3 5 3 2 2 3 2" xfId="50721" xr:uid="{00000000-0005-0000-0000-0000663C0000}"/>
    <cellStyle name="Normal 14 3 5 3 2 2 4" xfId="10765" xr:uid="{00000000-0005-0000-0000-0000673C0000}"/>
    <cellStyle name="Normal 14 3 5 3 2 2 5" xfId="10766" xr:uid="{00000000-0005-0000-0000-0000683C0000}"/>
    <cellStyle name="Normal 14 3 5 3 2 2 6" xfId="10767" xr:uid="{00000000-0005-0000-0000-0000693C0000}"/>
    <cellStyle name="Normal 14 3 5 3 2 3" xfId="10768" xr:uid="{00000000-0005-0000-0000-00006A3C0000}"/>
    <cellStyle name="Normal 14 3 5 3 2 3 2" xfId="50722" xr:uid="{00000000-0005-0000-0000-00006B3C0000}"/>
    <cellStyle name="Normal 14 3 5 3 2 3 3" xfId="50723" xr:uid="{00000000-0005-0000-0000-00006C3C0000}"/>
    <cellStyle name="Normal 14 3 5 3 2 4" xfId="10769" xr:uid="{00000000-0005-0000-0000-00006D3C0000}"/>
    <cellStyle name="Normal 14 3 5 3 2 4 2" xfId="50724" xr:uid="{00000000-0005-0000-0000-00006E3C0000}"/>
    <cellStyle name="Normal 14 3 5 3 2 5" xfId="10770" xr:uid="{00000000-0005-0000-0000-00006F3C0000}"/>
    <cellStyle name="Normal 14 3 5 3 2 6" xfId="10771" xr:uid="{00000000-0005-0000-0000-0000703C0000}"/>
    <cellStyle name="Normal 14 3 5 3 2 7" xfId="10772" xr:uid="{00000000-0005-0000-0000-0000713C0000}"/>
    <cellStyle name="Normal 14 3 5 3 3" xfId="10773" xr:uid="{00000000-0005-0000-0000-0000723C0000}"/>
    <cellStyle name="Normal 14 3 5 3 3 2" xfId="10774" xr:uid="{00000000-0005-0000-0000-0000733C0000}"/>
    <cellStyle name="Normal 14 3 5 3 3 2 2" xfId="50725" xr:uid="{00000000-0005-0000-0000-0000743C0000}"/>
    <cellStyle name="Normal 14 3 5 3 3 2 3" xfId="50726" xr:uid="{00000000-0005-0000-0000-0000753C0000}"/>
    <cellStyle name="Normal 14 3 5 3 3 3" xfId="10775" xr:uid="{00000000-0005-0000-0000-0000763C0000}"/>
    <cellStyle name="Normal 14 3 5 3 3 3 2" xfId="50727" xr:uid="{00000000-0005-0000-0000-0000773C0000}"/>
    <cellStyle name="Normal 14 3 5 3 3 4" xfId="10776" xr:uid="{00000000-0005-0000-0000-0000783C0000}"/>
    <cellStyle name="Normal 14 3 5 3 3 5" xfId="10777" xr:uid="{00000000-0005-0000-0000-0000793C0000}"/>
    <cellStyle name="Normal 14 3 5 3 3 6" xfId="10778" xr:uid="{00000000-0005-0000-0000-00007A3C0000}"/>
    <cellStyle name="Normal 14 3 5 3 4" xfId="10779" xr:uid="{00000000-0005-0000-0000-00007B3C0000}"/>
    <cellStyle name="Normal 14 3 5 3 4 2" xfId="50728" xr:uid="{00000000-0005-0000-0000-00007C3C0000}"/>
    <cellStyle name="Normal 14 3 5 3 4 3" xfId="50729" xr:uid="{00000000-0005-0000-0000-00007D3C0000}"/>
    <cellStyle name="Normal 14 3 5 3 5" xfId="10780" xr:uid="{00000000-0005-0000-0000-00007E3C0000}"/>
    <cellStyle name="Normal 14 3 5 3 5 2" xfId="50730" xr:uid="{00000000-0005-0000-0000-00007F3C0000}"/>
    <cellStyle name="Normal 14 3 5 3 6" xfId="10781" xr:uid="{00000000-0005-0000-0000-0000803C0000}"/>
    <cellStyle name="Normal 14 3 5 3 7" xfId="10782" xr:uid="{00000000-0005-0000-0000-0000813C0000}"/>
    <cellStyle name="Normal 14 3 5 3 8" xfId="10783" xr:uid="{00000000-0005-0000-0000-0000823C0000}"/>
    <cellStyle name="Normal 14 3 5 4" xfId="10784" xr:uid="{00000000-0005-0000-0000-0000833C0000}"/>
    <cellStyle name="Normal 14 3 5 4 2" xfId="10785" xr:uid="{00000000-0005-0000-0000-0000843C0000}"/>
    <cellStyle name="Normal 14 3 5 4 2 2" xfId="10786" xr:uid="{00000000-0005-0000-0000-0000853C0000}"/>
    <cellStyle name="Normal 14 3 5 4 2 2 2" xfId="50731" xr:uid="{00000000-0005-0000-0000-0000863C0000}"/>
    <cellStyle name="Normal 14 3 5 4 2 2 3" xfId="50732" xr:uid="{00000000-0005-0000-0000-0000873C0000}"/>
    <cellStyle name="Normal 14 3 5 4 2 3" xfId="10787" xr:uid="{00000000-0005-0000-0000-0000883C0000}"/>
    <cellStyle name="Normal 14 3 5 4 2 3 2" xfId="50733" xr:uid="{00000000-0005-0000-0000-0000893C0000}"/>
    <cellStyle name="Normal 14 3 5 4 2 4" xfId="10788" xr:uid="{00000000-0005-0000-0000-00008A3C0000}"/>
    <cellStyle name="Normal 14 3 5 4 2 5" xfId="10789" xr:uid="{00000000-0005-0000-0000-00008B3C0000}"/>
    <cellStyle name="Normal 14 3 5 4 2 6" xfId="10790" xr:uid="{00000000-0005-0000-0000-00008C3C0000}"/>
    <cellStyle name="Normal 14 3 5 4 3" xfId="10791" xr:uid="{00000000-0005-0000-0000-00008D3C0000}"/>
    <cellStyle name="Normal 14 3 5 4 3 2" xfId="50734" xr:uid="{00000000-0005-0000-0000-00008E3C0000}"/>
    <cellStyle name="Normal 14 3 5 4 3 3" xfId="50735" xr:uid="{00000000-0005-0000-0000-00008F3C0000}"/>
    <cellStyle name="Normal 14 3 5 4 4" xfId="10792" xr:uid="{00000000-0005-0000-0000-0000903C0000}"/>
    <cellStyle name="Normal 14 3 5 4 4 2" xfId="50736" xr:uid="{00000000-0005-0000-0000-0000913C0000}"/>
    <cellStyle name="Normal 14 3 5 4 5" xfId="10793" xr:uid="{00000000-0005-0000-0000-0000923C0000}"/>
    <cellStyle name="Normal 14 3 5 4 6" xfId="10794" xr:uid="{00000000-0005-0000-0000-0000933C0000}"/>
    <cellStyle name="Normal 14 3 5 4 7" xfId="10795" xr:uid="{00000000-0005-0000-0000-0000943C0000}"/>
    <cellStyle name="Normal 14 3 5 5" xfId="10796" xr:uid="{00000000-0005-0000-0000-0000953C0000}"/>
    <cellStyle name="Normal 14 3 5 5 2" xfId="10797" xr:uid="{00000000-0005-0000-0000-0000963C0000}"/>
    <cellStyle name="Normal 14 3 5 5 2 2" xfId="50737" xr:uid="{00000000-0005-0000-0000-0000973C0000}"/>
    <cellStyle name="Normal 14 3 5 5 2 3" xfId="50738" xr:uid="{00000000-0005-0000-0000-0000983C0000}"/>
    <cellStyle name="Normal 14 3 5 5 3" xfId="10798" xr:uid="{00000000-0005-0000-0000-0000993C0000}"/>
    <cellStyle name="Normal 14 3 5 5 3 2" xfId="50739" xr:uid="{00000000-0005-0000-0000-00009A3C0000}"/>
    <cellStyle name="Normal 14 3 5 5 4" xfId="10799" xr:uid="{00000000-0005-0000-0000-00009B3C0000}"/>
    <cellStyle name="Normal 14 3 5 5 5" xfId="10800" xr:uid="{00000000-0005-0000-0000-00009C3C0000}"/>
    <cellStyle name="Normal 14 3 5 5 6" xfId="10801" xr:uid="{00000000-0005-0000-0000-00009D3C0000}"/>
    <cellStyle name="Normal 14 3 5 6" xfId="10802" xr:uid="{00000000-0005-0000-0000-00009E3C0000}"/>
    <cellStyle name="Normal 14 3 5 6 2" xfId="50740" xr:uid="{00000000-0005-0000-0000-00009F3C0000}"/>
    <cellStyle name="Normal 14 3 5 6 3" xfId="50741" xr:uid="{00000000-0005-0000-0000-0000A03C0000}"/>
    <cellStyle name="Normal 14 3 5 7" xfId="10803" xr:uid="{00000000-0005-0000-0000-0000A13C0000}"/>
    <cellStyle name="Normal 14 3 5 7 2" xfId="50742" xr:uid="{00000000-0005-0000-0000-0000A23C0000}"/>
    <cellStyle name="Normal 14 3 5 8" xfId="10804" xr:uid="{00000000-0005-0000-0000-0000A33C0000}"/>
    <cellStyle name="Normal 14 3 5 9" xfId="10805" xr:uid="{00000000-0005-0000-0000-0000A43C0000}"/>
    <cellStyle name="Normal 14 3 6" xfId="10806" xr:uid="{00000000-0005-0000-0000-0000A53C0000}"/>
    <cellStyle name="Normal 14 3 6 10" xfId="10807" xr:uid="{00000000-0005-0000-0000-0000A63C0000}"/>
    <cellStyle name="Normal 14 3 6 11" xfId="10808" xr:uid="{00000000-0005-0000-0000-0000A73C0000}"/>
    <cellStyle name="Normal 14 3 6 12" xfId="10809" xr:uid="{00000000-0005-0000-0000-0000A83C0000}"/>
    <cellStyle name="Normal 14 3 6 13" xfId="10810" xr:uid="{00000000-0005-0000-0000-0000A93C0000}"/>
    <cellStyle name="Normal 14 3 6 2" xfId="10811" xr:uid="{00000000-0005-0000-0000-0000AA3C0000}"/>
    <cellStyle name="Normal 14 3 6 2 2" xfId="10812" xr:uid="{00000000-0005-0000-0000-0000AB3C0000}"/>
    <cellStyle name="Normal 14 3 6 2 2 2" xfId="10813" xr:uid="{00000000-0005-0000-0000-0000AC3C0000}"/>
    <cellStyle name="Normal 14 3 6 2 2 2 2" xfId="10814" xr:uid="{00000000-0005-0000-0000-0000AD3C0000}"/>
    <cellStyle name="Normal 14 3 6 2 2 2 2 2" xfId="50743" xr:uid="{00000000-0005-0000-0000-0000AE3C0000}"/>
    <cellStyle name="Normal 14 3 6 2 2 2 2 3" xfId="50744" xr:uid="{00000000-0005-0000-0000-0000AF3C0000}"/>
    <cellStyle name="Normal 14 3 6 2 2 2 3" xfId="10815" xr:uid="{00000000-0005-0000-0000-0000B03C0000}"/>
    <cellStyle name="Normal 14 3 6 2 2 2 3 2" xfId="50745" xr:uid="{00000000-0005-0000-0000-0000B13C0000}"/>
    <cellStyle name="Normal 14 3 6 2 2 2 4" xfId="10816" xr:uid="{00000000-0005-0000-0000-0000B23C0000}"/>
    <cellStyle name="Normal 14 3 6 2 2 2 5" xfId="10817" xr:uid="{00000000-0005-0000-0000-0000B33C0000}"/>
    <cellStyle name="Normal 14 3 6 2 2 2 6" xfId="10818" xr:uid="{00000000-0005-0000-0000-0000B43C0000}"/>
    <cellStyle name="Normal 14 3 6 2 2 3" xfId="10819" xr:uid="{00000000-0005-0000-0000-0000B53C0000}"/>
    <cellStyle name="Normal 14 3 6 2 2 3 2" xfId="50746" xr:uid="{00000000-0005-0000-0000-0000B63C0000}"/>
    <cellStyle name="Normal 14 3 6 2 2 3 3" xfId="50747" xr:uid="{00000000-0005-0000-0000-0000B73C0000}"/>
    <cellStyle name="Normal 14 3 6 2 2 4" xfId="10820" xr:uid="{00000000-0005-0000-0000-0000B83C0000}"/>
    <cellStyle name="Normal 14 3 6 2 2 4 2" xfId="50748" xr:uid="{00000000-0005-0000-0000-0000B93C0000}"/>
    <cellStyle name="Normal 14 3 6 2 2 5" xfId="10821" xr:uid="{00000000-0005-0000-0000-0000BA3C0000}"/>
    <cellStyle name="Normal 14 3 6 2 2 6" xfId="10822" xr:uid="{00000000-0005-0000-0000-0000BB3C0000}"/>
    <cellStyle name="Normal 14 3 6 2 2 7" xfId="10823" xr:uid="{00000000-0005-0000-0000-0000BC3C0000}"/>
    <cellStyle name="Normal 14 3 6 2 3" xfId="10824" xr:uid="{00000000-0005-0000-0000-0000BD3C0000}"/>
    <cellStyle name="Normal 14 3 6 2 3 2" xfId="10825" xr:uid="{00000000-0005-0000-0000-0000BE3C0000}"/>
    <cellStyle name="Normal 14 3 6 2 3 2 2" xfId="50749" xr:uid="{00000000-0005-0000-0000-0000BF3C0000}"/>
    <cellStyle name="Normal 14 3 6 2 3 2 3" xfId="50750" xr:uid="{00000000-0005-0000-0000-0000C03C0000}"/>
    <cellStyle name="Normal 14 3 6 2 3 3" xfId="10826" xr:uid="{00000000-0005-0000-0000-0000C13C0000}"/>
    <cellStyle name="Normal 14 3 6 2 3 3 2" xfId="50751" xr:uid="{00000000-0005-0000-0000-0000C23C0000}"/>
    <cellStyle name="Normal 14 3 6 2 3 4" xfId="10827" xr:uid="{00000000-0005-0000-0000-0000C33C0000}"/>
    <cellStyle name="Normal 14 3 6 2 3 5" xfId="10828" xr:uid="{00000000-0005-0000-0000-0000C43C0000}"/>
    <cellStyle name="Normal 14 3 6 2 3 6" xfId="10829" xr:uid="{00000000-0005-0000-0000-0000C53C0000}"/>
    <cellStyle name="Normal 14 3 6 2 4" xfId="10830" xr:uid="{00000000-0005-0000-0000-0000C63C0000}"/>
    <cellStyle name="Normal 14 3 6 2 4 2" xfId="50752" xr:uid="{00000000-0005-0000-0000-0000C73C0000}"/>
    <cellStyle name="Normal 14 3 6 2 4 3" xfId="50753" xr:uid="{00000000-0005-0000-0000-0000C83C0000}"/>
    <cellStyle name="Normal 14 3 6 2 5" xfId="10831" xr:uid="{00000000-0005-0000-0000-0000C93C0000}"/>
    <cellStyle name="Normal 14 3 6 2 5 2" xfId="50754" xr:uid="{00000000-0005-0000-0000-0000CA3C0000}"/>
    <cellStyle name="Normal 14 3 6 2 6" xfId="10832" xr:uid="{00000000-0005-0000-0000-0000CB3C0000}"/>
    <cellStyle name="Normal 14 3 6 2 7" xfId="10833" xr:uid="{00000000-0005-0000-0000-0000CC3C0000}"/>
    <cellStyle name="Normal 14 3 6 2 8" xfId="10834" xr:uid="{00000000-0005-0000-0000-0000CD3C0000}"/>
    <cellStyle name="Normal 14 3 6 2 9" xfId="10835" xr:uid="{00000000-0005-0000-0000-0000CE3C0000}"/>
    <cellStyle name="Normal 14 3 6 3" xfId="10836" xr:uid="{00000000-0005-0000-0000-0000CF3C0000}"/>
    <cellStyle name="Normal 14 3 6 3 2" xfId="10837" xr:uid="{00000000-0005-0000-0000-0000D03C0000}"/>
    <cellStyle name="Normal 14 3 6 3 2 2" xfId="10838" xr:uid="{00000000-0005-0000-0000-0000D13C0000}"/>
    <cellStyle name="Normal 14 3 6 3 2 2 2" xfId="50755" xr:uid="{00000000-0005-0000-0000-0000D23C0000}"/>
    <cellStyle name="Normal 14 3 6 3 2 2 3" xfId="50756" xr:uid="{00000000-0005-0000-0000-0000D33C0000}"/>
    <cellStyle name="Normal 14 3 6 3 2 3" xfId="10839" xr:uid="{00000000-0005-0000-0000-0000D43C0000}"/>
    <cellStyle name="Normal 14 3 6 3 2 3 2" xfId="50757" xr:uid="{00000000-0005-0000-0000-0000D53C0000}"/>
    <cellStyle name="Normal 14 3 6 3 2 4" xfId="10840" xr:uid="{00000000-0005-0000-0000-0000D63C0000}"/>
    <cellStyle name="Normal 14 3 6 3 2 5" xfId="10841" xr:uid="{00000000-0005-0000-0000-0000D73C0000}"/>
    <cellStyle name="Normal 14 3 6 3 2 6" xfId="10842" xr:uid="{00000000-0005-0000-0000-0000D83C0000}"/>
    <cellStyle name="Normal 14 3 6 3 3" xfId="10843" xr:uid="{00000000-0005-0000-0000-0000D93C0000}"/>
    <cellStyle name="Normal 14 3 6 3 3 2" xfId="50758" xr:uid="{00000000-0005-0000-0000-0000DA3C0000}"/>
    <cellStyle name="Normal 14 3 6 3 3 3" xfId="50759" xr:uid="{00000000-0005-0000-0000-0000DB3C0000}"/>
    <cellStyle name="Normal 14 3 6 3 4" xfId="10844" xr:uid="{00000000-0005-0000-0000-0000DC3C0000}"/>
    <cellStyle name="Normal 14 3 6 3 4 2" xfId="50760" xr:uid="{00000000-0005-0000-0000-0000DD3C0000}"/>
    <cellStyle name="Normal 14 3 6 3 5" xfId="10845" xr:uid="{00000000-0005-0000-0000-0000DE3C0000}"/>
    <cellStyle name="Normal 14 3 6 3 6" xfId="10846" xr:uid="{00000000-0005-0000-0000-0000DF3C0000}"/>
    <cellStyle name="Normal 14 3 6 3 7" xfId="10847" xr:uid="{00000000-0005-0000-0000-0000E03C0000}"/>
    <cellStyle name="Normal 14 3 6 4" xfId="10848" xr:uid="{00000000-0005-0000-0000-0000E13C0000}"/>
    <cellStyle name="Normal 14 3 6 4 2" xfId="10849" xr:uid="{00000000-0005-0000-0000-0000E23C0000}"/>
    <cellStyle name="Normal 14 3 6 4 2 2" xfId="50761" xr:uid="{00000000-0005-0000-0000-0000E33C0000}"/>
    <cellStyle name="Normal 14 3 6 4 2 3" xfId="50762" xr:uid="{00000000-0005-0000-0000-0000E43C0000}"/>
    <cellStyle name="Normal 14 3 6 4 3" xfId="10850" xr:uid="{00000000-0005-0000-0000-0000E53C0000}"/>
    <cellStyle name="Normal 14 3 6 4 3 2" xfId="50763" xr:uid="{00000000-0005-0000-0000-0000E63C0000}"/>
    <cellStyle name="Normal 14 3 6 4 4" xfId="10851" xr:uid="{00000000-0005-0000-0000-0000E73C0000}"/>
    <cellStyle name="Normal 14 3 6 4 5" xfId="10852" xr:uid="{00000000-0005-0000-0000-0000E83C0000}"/>
    <cellStyle name="Normal 14 3 6 4 6" xfId="10853" xr:uid="{00000000-0005-0000-0000-0000E93C0000}"/>
    <cellStyle name="Normal 14 3 6 5" xfId="10854" xr:uid="{00000000-0005-0000-0000-0000EA3C0000}"/>
    <cellStyle name="Normal 14 3 6 5 2" xfId="50764" xr:uid="{00000000-0005-0000-0000-0000EB3C0000}"/>
    <cellStyle name="Normal 14 3 6 5 3" xfId="50765" xr:uid="{00000000-0005-0000-0000-0000EC3C0000}"/>
    <cellStyle name="Normal 14 3 6 6" xfId="10855" xr:uid="{00000000-0005-0000-0000-0000ED3C0000}"/>
    <cellStyle name="Normal 14 3 6 6 2" xfId="50766" xr:uid="{00000000-0005-0000-0000-0000EE3C0000}"/>
    <cellStyle name="Normal 14 3 6 7" xfId="10856" xr:uid="{00000000-0005-0000-0000-0000EF3C0000}"/>
    <cellStyle name="Normal 14 3 6 8" xfId="10857" xr:uid="{00000000-0005-0000-0000-0000F03C0000}"/>
    <cellStyle name="Normal 14 3 6 9" xfId="10858" xr:uid="{00000000-0005-0000-0000-0000F13C0000}"/>
    <cellStyle name="Normal 14 3 7" xfId="10859" xr:uid="{00000000-0005-0000-0000-0000F23C0000}"/>
    <cellStyle name="Normal 14 3 7 2" xfId="10860" xr:uid="{00000000-0005-0000-0000-0000F33C0000}"/>
    <cellStyle name="Normal 14 3 7 2 2" xfId="10861" xr:uid="{00000000-0005-0000-0000-0000F43C0000}"/>
    <cellStyle name="Normal 14 3 7 2 2 2" xfId="10862" xr:uid="{00000000-0005-0000-0000-0000F53C0000}"/>
    <cellStyle name="Normal 14 3 7 2 2 2 2" xfId="50767" xr:uid="{00000000-0005-0000-0000-0000F63C0000}"/>
    <cellStyle name="Normal 14 3 7 2 2 2 3" xfId="50768" xr:uid="{00000000-0005-0000-0000-0000F73C0000}"/>
    <cellStyle name="Normal 14 3 7 2 2 3" xfId="10863" xr:uid="{00000000-0005-0000-0000-0000F83C0000}"/>
    <cellStyle name="Normal 14 3 7 2 2 3 2" xfId="50769" xr:uid="{00000000-0005-0000-0000-0000F93C0000}"/>
    <cellStyle name="Normal 14 3 7 2 2 4" xfId="10864" xr:uid="{00000000-0005-0000-0000-0000FA3C0000}"/>
    <cellStyle name="Normal 14 3 7 2 2 5" xfId="10865" xr:uid="{00000000-0005-0000-0000-0000FB3C0000}"/>
    <cellStyle name="Normal 14 3 7 2 2 6" xfId="10866" xr:uid="{00000000-0005-0000-0000-0000FC3C0000}"/>
    <cellStyle name="Normal 14 3 7 2 3" xfId="10867" xr:uid="{00000000-0005-0000-0000-0000FD3C0000}"/>
    <cellStyle name="Normal 14 3 7 2 3 2" xfId="50770" xr:uid="{00000000-0005-0000-0000-0000FE3C0000}"/>
    <cellStyle name="Normal 14 3 7 2 3 3" xfId="50771" xr:uid="{00000000-0005-0000-0000-0000FF3C0000}"/>
    <cellStyle name="Normal 14 3 7 2 4" xfId="10868" xr:uid="{00000000-0005-0000-0000-0000003D0000}"/>
    <cellStyle name="Normal 14 3 7 2 4 2" xfId="50772" xr:uid="{00000000-0005-0000-0000-0000013D0000}"/>
    <cellStyle name="Normal 14 3 7 2 5" xfId="10869" xr:uid="{00000000-0005-0000-0000-0000023D0000}"/>
    <cellStyle name="Normal 14 3 7 2 6" xfId="10870" xr:uid="{00000000-0005-0000-0000-0000033D0000}"/>
    <cellStyle name="Normal 14 3 7 2 7" xfId="10871" xr:uid="{00000000-0005-0000-0000-0000043D0000}"/>
    <cellStyle name="Normal 14 3 7 3" xfId="10872" xr:uid="{00000000-0005-0000-0000-0000053D0000}"/>
    <cellStyle name="Normal 14 3 7 3 2" xfId="10873" xr:uid="{00000000-0005-0000-0000-0000063D0000}"/>
    <cellStyle name="Normal 14 3 7 3 2 2" xfId="50773" xr:uid="{00000000-0005-0000-0000-0000073D0000}"/>
    <cellStyle name="Normal 14 3 7 3 2 3" xfId="50774" xr:uid="{00000000-0005-0000-0000-0000083D0000}"/>
    <cellStyle name="Normal 14 3 7 3 3" xfId="10874" xr:uid="{00000000-0005-0000-0000-0000093D0000}"/>
    <cellStyle name="Normal 14 3 7 3 3 2" xfId="50775" xr:uid="{00000000-0005-0000-0000-00000A3D0000}"/>
    <cellStyle name="Normal 14 3 7 3 4" xfId="10875" xr:uid="{00000000-0005-0000-0000-00000B3D0000}"/>
    <cellStyle name="Normal 14 3 7 3 5" xfId="10876" xr:uid="{00000000-0005-0000-0000-00000C3D0000}"/>
    <cellStyle name="Normal 14 3 7 3 6" xfId="10877" xr:uid="{00000000-0005-0000-0000-00000D3D0000}"/>
    <cellStyle name="Normal 14 3 7 4" xfId="10878" xr:uid="{00000000-0005-0000-0000-00000E3D0000}"/>
    <cellStyle name="Normal 14 3 7 4 2" xfId="50776" xr:uid="{00000000-0005-0000-0000-00000F3D0000}"/>
    <cellStyle name="Normal 14 3 7 4 3" xfId="50777" xr:uid="{00000000-0005-0000-0000-0000103D0000}"/>
    <cellStyle name="Normal 14 3 7 5" xfId="10879" xr:uid="{00000000-0005-0000-0000-0000113D0000}"/>
    <cellStyle name="Normal 14 3 7 5 2" xfId="50778" xr:uid="{00000000-0005-0000-0000-0000123D0000}"/>
    <cellStyle name="Normal 14 3 7 6" xfId="10880" xr:uid="{00000000-0005-0000-0000-0000133D0000}"/>
    <cellStyle name="Normal 14 3 7 7" xfId="10881" xr:uid="{00000000-0005-0000-0000-0000143D0000}"/>
    <cellStyle name="Normal 14 3 7 8" xfId="10882" xr:uid="{00000000-0005-0000-0000-0000153D0000}"/>
    <cellStyle name="Normal 14 3 7 9" xfId="10883" xr:uid="{00000000-0005-0000-0000-0000163D0000}"/>
    <cellStyle name="Normal 14 3 8" xfId="10884" xr:uid="{00000000-0005-0000-0000-0000173D0000}"/>
    <cellStyle name="Normal 14 3 8 2" xfId="10885" xr:uid="{00000000-0005-0000-0000-0000183D0000}"/>
    <cellStyle name="Normal 14 3 8 2 2" xfId="10886" xr:uid="{00000000-0005-0000-0000-0000193D0000}"/>
    <cellStyle name="Normal 14 3 8 2 2 2" xfId="10887" xr:uid="{00000000-0005-0000-0000-00001A3D0000}"/>
    <cellStyle name="Normal 14 3 8 2 2 2 2" xfId="50779" xr:uid="{00000000-0005-0000-0000-00001B3D0000}"/>
    <cellStyle name="Normal 14 3 8 2 2 2 3" xfId="50780" xr:uid="{00000000-0005-0000-0000-00001C3D0000}"/>
    <cellStyle name="Normal 14 3 8 2 2 3" xfId="10888" xr:uid="{00000000-0005-0000-0000-00001D3D0000}"/>
    <cellStyle name="Normal 14 3 8 2 2 3 2" xfId="50781" xr:uid="{00000000-0005-0000-0000-00001E3D0000}"/>
    <cellStyle name="Normal 14 3 8 2 2 4" xfId="10889" xr:uid="{00000000-0005-0000-0000-00001F3D0000}"/>
    <cellStyle name="Normal 14 3 8 2 2 5" xfId="10890" xr:uid="{00000000-0005-0000-0000-0000203D0000}"/>
    <cellStyle name="Normal 14 3 8 2 2 6" xfId="10891" xr:uid="{00000000-0005-0000-0000-0000213D0000}"/>
    <cellStyle name="Normal 14 3 8 2 3" xfId="10892" xr:uid="{00000000-0005-0000-0000-0000223D0000}"/>
    <cellStyle name="Normal 14 3 8 2 3 2" xfId="50782" xr:uid="{00000000-0005-0000-0000-0000233D0000}"/>
    <cellStyle name="Normal 14 3 8 2 3 3" xfId="50783" xr:uid="{00000000-0005-0000-0000-0000243D0000}"/>
    <cellStyle name="Normal 14 3 8 2 4" xfId="10893" xr:uid="{00000000-0005-0000-0000-0000253D0000}"/>
    <cellStyle name="Normal 14 3 8 2 4 2" xfId="50784" xr:uid="{00000000-0005-0000-0000-0000263D0000}"/>
    <cellStyle name="Normal 14 3 8 2 5" xfId="10894" xr:uid="{00000000-0005-0000-0000-0000273D0000}"/>
    <cellStyle name="Normal 14 3 8 2 6" xfId="10895" xr:uid="{00000000-0005-0000-0000-0000283D0000}"/>
    <cellStyle name="Normal 14 3 8 2 7" xfId="10896" xr:uid="{00000000-0005-0000-0000-0000293D0000}"/>
    <cellStyle name="Normal 14 3 8 3" xfId="10897" xr:uid="{00000000-0005-0000-0000-00002A3D0000}"/>
    <cellStyle name="Normal 14 3 8 3 2" xfId="10898" xr:uid="{00000000-0005-0000-0000-00002B3D0000}"/>
    <cellStyle name="Normal 14 3 8 3 2 2" xfId="50785" xr:uid="{00000000-0005-0000-0000-00002C3D0000}"/>
    <cellStyle name="Normal 14 3 8 3 2 3" xfId="50786" xr:uid="{00000000-0005-0000-0000-00002D3D0000}"/>
    <cellStyle name="Normal 14 3 8 3 3" xfId="10899" xr:uid="{00000000-0005-0000-0000-00002E3D0000}"/>
    <cellStyle name="Normal 14 3 8 3 3 2" xfId="50787" xr:uid="{00000000-0005-0000-0000-00002F3D0000}"/>
    <cellStyle name="Normal 14 3 8 3 4" xfId="10900" xr:uid="{00000000-0005-0000-0000-0000303D0000}"/>
    <cellStyle name="Normal 14 3 8 3 5" xfId="10901" xr:uid="{00000000-0005-0000-0000-0000313D0000}"/>
    <cellStyle name="Normal 14 3 8 3 6" xfId="10902" xr:uid="{00000000-0005-0000-0000-0000323D0000}"/>
    <cellStyle name="Normal 14 3 8 4" xfId="10903" xr:uid="{00000000-0005-0000-0000-0000333D0000}"/>
    <cellStyle name="Normal 14 3 8 4 2" xfId="50788" xr:uid="{00000000-0005-0000-0000-0000343D0000}"/>
    <cellStyle name="Normal 14 3 8 4 3" xfId="50789" xr:uid="{00000000-0005-0000-0000-0000353D0000}"/>
    <cellStyle name="Normal 14 3 8 5" xfId="10904" xr:uid="{00000000-0005-0000-0000-0000363D0000}"/>
    <cellStyle name="Normal 14 3 8 5 2" xfId="50790" xr:uid="{00000000-0005-0000-0000-0000373D0000}"/>
    <cellStyle name="Normal 14 3 8 6" xfId="10905" xr:uid="{00000000-0005-0000-0000-0000383D0000}"/>
    <cellStyle name="Normal 14 3 8 7" xfId="10906" xr:uid="{00000000-0005-0000-0000-0000393D0000}"/>
    <cellStyle name="Normal 14 3 8 8" xfId="10907" xr:uid="{00000000-0005-0000-0000-00003A3D0000}"/>
    <cellStyle name="Normal 14 3 9" xfId="10908" xr:uid="{00000000-0005-0000-0000-00003B3D0000}"/>
    <cellStyle name="Normal 14 3 9 2" xfId="10909" xr:uid="{00000000-0005-0000-0000-00003C3D0000}"/>
    <cellStyle name="Normal 14 3 9 2 2" xfId="10910" xr:uid="{00000000-0005-0000-0000-00003D3D0000}"/>
    <cellStyle name="Normal 14 3 9 2 2 2" xfId="10911" xr:uid="{00000000-0005-0000-0000-00003E3D0000}"/>
    <cellStyle name="Normal 14 3 9 2 2 2 2" xfId="50791" xr:uid="{00000000-0005-0000-0000-00003F3D0000}"/>
    <cellStyle name="Normal 14 3 9 2 2 2 3" xfId="50792" xr:uid="{00000000-0005-0000-0000-0000403D0000}"/>
    <cellStyle name="Normal 14 3 9 2 2 3" xfId="10912" xr:uid="{00000000-0005-0000-0000-0000413D0000}"/>
    <cellStyle name="Normal 14 3 9 2 2 3 2" xfId="50793" xr:uid="{00000000-0005-0000-0000-0000423D0000}"/>
    <cellStyle name="Normal 14 3 9 2 2 4" xfId="10913" xr:uid="{00000000-0005-0000-0000-0000433D0000}"/>
    <cellStyle name="Normal 14 3 9 2 2 5" xfId="10914" xr:uid="{00000000-0005-0000-0000-0000443D0000}"/>
    <cellStyle name="Normal 14 3 9 2 2 6" xfId="10915" xr:uid="{00000000-0005-0000-0000-0000453D0000}"/>
    <cellStyle name="Normal 14 3 9 2 3" xfId="10916" xr:uid="{00000000-0005-0000-0000-0000463D0000}"/>
    <cellStyle name="Normal 14 3 9 2 3 2" xfId="50794" xr:uid="{00000000-0005-0000-0000-0000473D0000}"/>
    <cellStyle name="Normal 14 3 9 2 3 3" xfId="50795" xr:uid="{00000000-0005-0000-0000-0000483D0000}"/>
    <cellStyle name="Normal 14 3 9 2 4" xfId="10917" xr:uid="{00000000-0005-0000-0000-0000493D0000}"/>
    <cellStyle name="Normal 14 3 9 2 4 2" xfId="50796" xr:uid="{00000000-0005-0000-0000-00004A3D0000}"/>
    <cellStyle name="Normal 14 3 9 2 5" xfId="10918" xr:uid="{00000000-0005-0000-0000-00004B3D0000}"/>
    <cellStyle name="Normal 14 3 9 2 6" xfId="10919" xr:uid="{00000000-0005-0000-0000-00004C3D0000}"/>
    <cellStyle name="Normal 14 3 9 2 7" xfId="10920" xr:uid="{00000000-0005-0000-0000-00004D3D0000}"/>
    <cellStyle name="Normal 14 3 9 3" xfId="10921" xr:uid="{00000000-0005-0000-0000-00004E3D0000}"/>
    <cellStyle name="Normal 14 3 9 3 2" xfId="10922" xr:uid="{00000000-0005-0000-0000-00004F3D0000}"/>
    <cellStyle name="Normal 14 3 9 3 2 2" xfId="50797" xr:uid="{00000000-0005-0000-0000-0000503D0000}"/>
    <cellStyle name="Normal 14 3 9 3 2 3" xfId="50798" xr:uid="{00000000-0005-0000-0000-0000513D0000}"/>
    <cellStyle name="Normal 14 3 9 3 3" xfId="10923" xr:uid="{00000000-0005-0000-0000-0000523D0000}"/>
    <cellStyle name="Normal 14 3 9 3 3 2" xfId="50799" xr:uid="{00000000-0005-0000-0000-0000533D0000}"/>
    <cellStyle name="Normal 14 3 9 3 4" xfId="10924" xr:uid="{00000000-0005-0000-0000-0000543D0000}"/>
    <cellStyle name="Normal 14 3 9 3 5" xfId="10925" xr:uid="{00000000-0005-0000-0000-0000553D0000}"/>
    <cellStyle name="Normal 14 3 9 3 6" xfId="10926" xr:uid="{00000000-0005-0000-0000-0000563D0000}"/>
    <cellStyle name="Normal 14 3 9 4" xfId="10927" xr:uid="{00000000-0005-0000-0000-0000573D0000}"/>
    <cellStyle name="Normal 14 3 9 4 2" xfId="50800" xr:uid="{00000000-0005-0000-0000-0000583D0000}"/>
    <cellStyle name="Normal 14 3 9 4 3" xfId="50801" xr:uid="{00000000-0005-0000-0000-0000593D0000}"/>
    <cellStyle name="Normal 14 3 9 5" xfId="10928" xr:uid="{00000000-0005-0000-0000-00005A3D0000}"/>
    <cellStyle name="Normal 14 3 9 5 2" xfId="50802" xr:uid="{00000000-0005-0000-0000-00005B3D0000}"/>
    <cellStyle name="Normal 14 3 9 6" xfId="10929" xr:uid="{00000000-0005-0000-0000-00005C3D0000}"/>
    <cellStyle name="Normal 14 3 9 7" xfId="10930" xr:uid="{00000000-0005-0000-0000-00005D3D0000}"/>
    <cellStyle name="Normal 14 3 9 8" xfId="10931" xr:uid="{00000000-0005-0000-0000-00005E3D0000}"/>
    <cellStyle name="Normal 14 4" xfId="10932" xr:uid="{00000000-0005-0000-0000-00005F3D0000}"/>
    <cellStyle name="Normal 14 4 10" xfId="10933" xr:uid="{00000000-0005-0000-0000-0000603D0000}"/>
    <cellStyle name="Normal 14 4 11" xfId="10934" xr:uid="{00000000-0005-0000-0000-0000613D0000}"/>
    <cellStyle name="Normal 14 4 12" xfId="10935" xr:uid="{00000000-0005-0000-0000-0000623D0000}"/>
    <cellStyle name="Normal 14 4 13" xfId="10936" xr:uid="{00000000-0005-0000-0000-0000633D0000}"/>
    <cellStyle name="Normal 14 4 14" xfId="10937" xr:uid="{00000000-0005-0000-0000-0000643D0000}"/>
    <cellStyle name="Normal 14 4 15" xfId="10938" xr:uid="{00000000-0005-0000-0000-0000653D0000}"/>
    <cellStyle name="Normal 14 4 2" xfId="10939" xr:uid="{00000000-0005-0000-0000-0000663D0000}"/>
    <cellStyle name="Normal 14 4 2 10" xfId="10940" xr:uid="{00000000-0005-0000-0000-0000673D0000}"/>
    <cellStyle name="Normal 14 4 2 11" xfId="10941" xr:uid="{00000000-0005-0000-0000-0000683D0000}"/>
    <cellStyle name="Normal 14 4 2 12" xfId="10942" xr:uid="{00000000-0005-0000-0000-0000693D0000}"/>
    <cellStyle name="Normal 14 4 2 13" xfId="10943" xr:uid="{00000000-0005-0000-0000-00006A3D0000}"/>
    <cellStyle name="Normal 14 4 2 14" xfId="10944" xr:uid="{00000000-0005-0000-0000-00006B3D0000}"/>
    <cellStyle name="Normal 14 4 2 2" xfId="10945" xr:uid="{00000000-0005-0000-0000-00006C3D0000}"/>
    <cellStyle name="Normal 14 4 2 2 2" xfId="10946" xr:uid="{00000000-0005-0000-0000-00006D3D0000}"/>
    <cellStyle name="Normal 14 4 2 2 2 2" xfId="10947" xr:uid="{00000000-0005-0000-0000-00006E3D0000}"/>
    <cellStyle name="Normal 14 4 2 2 2 2 2" xfId="10948" xr:uid="{00000000-0005-0000-0000-00006F3D0000}"/>
    <cellStyle name="Normal 14 4 2 2 2 2 2 2" xfId="50803" xr:uid="{00000000-0005-0000-0000-0000703D0000}"/>
    <cellStyle name="Normal 14 4 2 2 2 2 2 3" xfId="50804" xr:uid="{00000000-0005-0000-0000-0000713D0000}"/>
    <cellStyle name="Normal 14 4 2 2 2 2 3" xfId="10949" xr:uid="{00000000-0005-0000-0000-0000723D0000}"/>
    <cellStyle name="Normal 14 4 2 2 2 2 3 2" xfId="50805" xr:uid="{00000000-0005-0000-0000-0000733D0000}"/>
    <cellStyle name="Normal 14 4 2 2 2 2 4" xfId="10950" xr:uid="{00000000-0005-0000-0000-0000743D0000}"/>
    <cellStyle name="Normal 14 4 2 2 2 2 5" xfId="10951" xr:uid="{00000000-0005-0000-0000-0000753D0000}"/>
    <cellStyle name="Normal 14 4 2 2 2 2 6" xfId="10952" xr:uid="{00000000-0005-0000-0000-0000763D0000}"/>
    <cellStyle name="Normal 14 4 2 2 2 3" xfId="10953" xr:uid="{00000000-0005-0000-0000-0000773D0000}"/>
    <cellStyle name="Normal 14 4 2 2 2 3 2" xfId="50806" xr:uid="{00000000-0005-0000-0000-0000783D0000}"/>
    <cellStyle name="Normal 14 4 2 2 2 3 3" xfId="50807" xr:uid="{00000000-0005-0000-0000-0000793D0000}"/>
    <cellStyle name="Normal 14 4 2 2 2 4" xfId="10954" xr:uid="{00000000-0005-0000-0000-00007A3D0000}"/>
    <cellStyle name="Normal 14 4 2 2 2 4 2" xfId="50808" xr:uid="{00000000-0005-0000-0000-00007B3D0000}"/>
    <cellStyle name="Normal 14 4 2 2 2 5" xfId="10955" xr:uid="{00000000-0005-0000-0000-00007C3D0000}"/>
    <cellStyle name="Normal 14 4 2 2 2 6" xfId="10956" xr:uid="{00000000-0005-0000-0000-00007D3D0000}"/>
    <cellStyle name="Normal 14 4 2 2 2 7" xfId="10957" xr:uid="{00000000-0005-0000-0000-00007E3D0000}"/>
    <cellStyle name="Normal 14 4 2 2 3" xfId="10958" xr:uid="{00000000-0005-0000-0000-00007F3D0000}"/>
    <cellStyle name="Normal 14 4 2 2 3 2" xfId="10959" xr:uid="{00000000-0005-0000-0000-0000803D0000}"/>
    <cellStyle name="Normal 14 4 2 2 3 2 2" xfId="50809" xr:uid="{00000000-0005-0000-0000-0000813D0000}"/>
    <cellStyle name="Normal 14 4 2 2 3 2 3" xfId="50810" xr:uid="{00000000-0005-0000-0000-0000823D0000}"/>
    <cellStyle name="Normal 14 4 2 2 3 3" xfId="10960" xr:uid="{00000000-0005-0000-0000-0000833D0000}"/>
    <cellStyle name="Normal 14 4 2 2 3 3 2" xfId="50811" xr:uid="{00000000-0005-0000-0000-0000843D0000}"/>
    <cellStyle name="Normal 14 4 2 2 3 4" xfId="10961" xr:uid="{00000000-0005-0000-0000-0000853D0000}"/>
    <cellStyle name="Normal 14 4 2 2 3 5" xfId="10962" xr:uid="{00000000-0005-0000-0000-0000863D0000}"/>
    <cellStyle name="Normal 14 4 2 2 3 6" xfId="10963" xr:uid="{00000000-0005-0000-0000-0000873D0000}"/>
    <cellStyle name="Normal 14 4 2 2 4" xfId="10964" xr:uid="{00000000-0005-0000-0000-0000883D0000}"/>
    <cellStyle name="Normal 14 4 2 2 4 2" xfId="50812" xr:uid="{00000000-0005-0000-0000-0000893D0000}"/>
    <cellStyle name="Normal 14 4 2 2 4 3" xfId="50813" xr:uid="{00000000-0005-0000-0000-00008A3D0000}"/>
    <cellStyle name="Normal 14 4 2 2 5" xfId="10965" xr:uid="{00000000-0005-0000-0000-00008B3D0000}"/>
    <cellStyle name="Normal 14 4 2 2 5 2" xfId="50814" xr:uid="{00000000-0005-0000-0000-00008C3D0000}"/>
    <cellStyle name="Normal 14 4 2 2 6" xfId="10966" xr:uid="{00000000-0005-0000-0000-00008D3D0000}"/>
    <cellStyle name="Normal 14 4 2 2 7" xfId="10967" xr:uid="{00000000-0005-0000-0000-00008E3D0000}"/>
    <cellStyle name="Normal 14 4 2 2 8" xfId="10968" xr:uid="{00000000-0005-0000-0000-00008F3D0000}"/>
    <cellStyle name="Normal 14 4 2 2 9" xfId="10969" xr:uid="{00000000-0005-0000-0000-0000903D0000}"/>
    <cellStyle name="Normal 14 4 2 3" xfId="10970" xr:uid="{00000000-0005-0000-0000-0000913D0000}"/>
    <cellStyle name="Normal 14 4 2 3 2" xfId="10971" xr:uid="{00000000-0005-0000-0000-0000923D0000}"/>
    <cellStyle name="Normal 14 4 2 3 2 2" xfId="10972" xr:uid="{00000000-0005-0000-0000-0000933D0000}"/>
    <cellStyle name="Normal 14 4 2 3 2 2 2" xfId="10973" xr:uid="{00000000-0005-0000-0000-0000943D0000}"/>
    <cellStyle name="Normal 14 4 2 3 2 2 2 2" xfId="50815" xr:uid="{00000000-0005-0000-0000-0000953D0000}"/>
    <cellStyle name="Normal 14 4 2 3 2 2 2 3" xfId="50816" xr:uid="{00000000-0005-0000-0000-0000963D0000}"/>
    <cellStyle name="Normal 14 4 2 3 2 2 3" xfId="10974" xr:uid="{00000000-0005-0000-0000-0000973D0000}"/>
    <cellStyle name="Normal 14 4 2 3 2 2 3 2" xfId="50817" xr:uid="{00000000-0005-0000-0000-0000983D0000}"/>
    <cellStyle name="Normal 14 4 2 3 2 2 4" xfId="10975" xr:uid="{00000000-0005-0000-0000-0000993D0000}"/>
    <cellStyle name="Normal 14 4 2 3 2 2 5" xfId="10976" xr:uid="{00000000-0005-0000-0000-00009A3D0000}"/>
    <cellStyle name="Normal 14 4 2 3 2 2 6" xfId="10977" xr:uid="{00000000-0005-0000-0000-00009B3D0000}"/>
    <cellStyle name="Normal 14 4 2 3 2 3" xfId="10978" xr:uid="{00000000-0005-0000-0000-00009C3D0000}"/>
    <cellStyle name="Normal 14 4 2 3 2 3 2" xfId="50818" xr:uid="{00000000-0005-0000-0000-00009D3D0000}"/>
    <cellStyle name="Normal 14 4 2 3 2 3 3" xfId="50819" xr:uid="{00000000-0005-0000-0000-00009E3D0000}"/>
    <cellStyle name="Normal 14 4 2 3 2 4" xfId="10979" xr:uid="{00000000-0005-0000-0000-00009F3D0000}"/>
    <cellStyle name="Normal 14 4 2 3 2 4 2" xfId="50820" xr:uid="{00000000-0005-0000-0000-0000A03D0000}"/>
    <cellStyle name="Normal 14 4 2 3 2 5" xfId="10980" xr:uid="{00000000-0005-0000-0000-0000A13D0000}"/>
    <cellStyle name="Normal 14 4 2 3 2 6" xfId="10981" xr:uid="{00000000-0005-0000-0000-0000A23D0000}"/>
    <cellStyle name="Normal 14 4 2 3 2 7" xfId="10982" xr:uid="{00000000-0005-0000-0000-0000A33D0000}"/>
    <cellStyle name="Normal 14 4 2 3 3" xfId="10983" xr:uid="{00000000-0005-0000-0000-0000A43D0000}"/>
    <cellStyle name="Normal 14 4 2 3 3 2" xfId="10984" xr:uid="{00000000-0005-0000-0000-0000A53D0000}"/>
    <cellStyle name="Normal 14 4 2 3 3 2 2" xfId="50821" xr:uid="{00000000-0005-0000-0000-0000A63D0000}"/>
    <cellStyle name="Normal 14 4 2 3 3 2 3" xfId="50822" xr:uid="{00000000-0005-0000-0000-0000A73D0000}"/>
    <cellStyle name="Normal 14 4 2 3 3 3" xfId="10985" xr:uid="{00000000-0005-0000-0000-0000A83D0000}"/>
    <cellStyle name="Normal 14 4 2 3 3 3 2" xfId="50823" xr:uid="{00000000-0005-0000-0000-0000A93D0000}"/>
    <cellStyle name="Normal 14 4 2 3 3 4" xfId="10986" xr:uid="{00000000-0005-0000-0000-0000AA3D0000}"/>
    <cellStyle name="Normal 14 4 2 3 3 5" xfId="10987" xr:uid="{00000000-0005-0000-0000-0000AB3D0000}"/>
    <cellStyle name="Normal 14 4 2 3 3 6" xfId="10988" xr:uid="{00000000-0005-0000-0000-0000AC3D0000}"/>
    <cellStyle name="Normal 14 4 2 3 4" xfId="10989" xr:uid="{00000000-0005-0000-0000-0000AD3D0000}"/>
    <cellStyle name="Normal 14 4 2 3 4 2" xfId="50824" xr:uid="{00000000-0005-0000-0000-0000AE3D0000}"/>
    <cellStyle name="Normal 14 4 2 3 4 3" xfId="50825" xr:uid="{00000000-0005-0000-0000-0000AF3D0000}"/>
    <cellStyle name="Normal 14 4 2 3 5" xfId="10990" xr:uid="{00000000-0005-0000-0000-0000B03D0000}"/>
    <cellStyle name="Normal 14 4 2 3 5 2" xfId="50826" xr:uid="{00000000-0005-0000-0000-0000B13D0000}"/>
    <cellStyle name="Normal 14 4 2 3 6" xfId="10991" xr:uid="{00000000-0005-0000-0000-0000B23D0000}"/>
    <cellStyle name="Normal 14 4 2 3 7" xfId="10992" xr:uid="{00000000-0005-0000-0000-0000B33D0000}"/>
    <cellStyle name="Normal 14 4 2 3 8" xfId="10993" xr:uid="{00000000-0005-0000-0000-0000B43D0000}"/>
    <cellStyle name="Normal 14 4 2 4" xfId="10994" xr:uid="{00000000-0005-0000-0000-0000B53D0000}"/>
    <cellStyle name="Normal 14 4 2 4 2" xfId="10995" xr:uid="{00000000-0005-0000-0000-0000B63D0000}"/>
    <cellStyle name="Normal 14 4 2 4 2 2" xfId="10996" xr:uid="{00000000-0005-0000-0000-0000B73D0000}"/>
    <cellStyle name="Normal 14 4 2 4 2 2 2" xfId="50827" xr:uid="{00000000-0005-0000-0000-0000B83D0000}"/>
    <cellStyle name="Normal 14 4 2 4 2 2 3" xfId="50828" xr:uid="{00000000-0005-0000-0000-0000B93D0000}"/>
    <cellStyle name="Normal 14 4 2 4 2 3" xfId="10997" xr:uid="{00000000-0005-0000-0000-0000BA3D0000}"/>
    <cellStyle name="Normal 14 4 2 4 2 3 2" xfId="50829" xr:uid="{00000000-0005-0000-0000-0000BB3D0000}"/>
    <cellStyle name="Normal 14 4 2 4 2 4" xfId="10998" xr:uid="{00000000-0005-0000-0000-0000BC3D0000}"/>
    <cellStyle name="Normal 14 4 2 4 2 5" xfId="10999" xr:uid="{00000000-0005-0000-0000-0000BD3D0000}"/>
    <cellStyle name="Normal 14 4 2 4 2 6" xfId="11000" xr:uid="{00000000-0005-0000-0000-0000BE3D0000}"/>
    <cellStyle name="Normal 14 4 2 4 3" xfId="11001" xr:uid="{00000000-0005-0000-0000-0000BF3D0000}"/>
    <cellStyle name="Normal 14 4 2 4 3 2" xfId="50830" xr:uid="{00000000-0005-0000-0000-0000C03D0000}"/>
    <cellStyle name="Normal 14 4 2 4 3 3" xfId="50831" xr:uid="{00000000-0005-0000-0000-0000C13D0000}"/>
    <cellStyle name="Normal 14 4 2 4 4" xfId="11002" xr:uid="{00000000-0005-0000-0000-0000C23D0000}"/>
    <cellStyle name="Normal 14 4 2 4 4 2" xfId="50832" xr:uid="{00000000-0005-0000-0000-0000C33D0000}"/>
    <cellStyle name="Normal 14 4 2 4 5" xfId="11003" xr:uid="{00000000-0005-0000-0000-0000C43D0000}"/>
    <cellStyle name="Normal 14 4 2 4 6" xfId="11004" xr:uid="{00000000-0005-0000-0000-0000C53D0000}"/>
    <cellStyle name="Normal 14 4 2 4 7" xfId="11005" xr:uid="{00000000-0005-0000-0000-0000C63D0000}"/>
    <cellStyle name="Normal 14 4 2 5" xfId="11006" xr:uid="{00000000-0005-0000-0000-0000C73D0000}"/>
    <cellStyle name="Normal 14 4 2 5 2" xfId="11007" xr:uid="{00000000-0005-0000-0000-0000C83D0000}"/>
    <cellStyle name="Normal 14 4 2 5 2 2" xfId="50833" xr:uid="{00000000-0005-0000-0000-0000C93D0000}"/>
    <cellStyle name="Normal 14 4 2 5 2 3" xfId="50834" xr:uid="{00000000-0005-0000-0000-0000CA3D0000}"/>
    <cellStyle name="Normal 14 4 2 5 3" xfId="11008" xr:uid="{00000000-0005-0000-0000-0000CB3D0000}"/>
    <cellStyle name="Normal 14 4 2 5 3 2" xfId="50835" xr:uid="{00000000-0005-0000-0000-0000CC3D0000}"/>
    <cellStyle name="Normal 14 4 2 5 4" xfId="11009" xr:uid="{00000000-0005-0000-0000-0000CD3D0000}"/>
    <cellStyle name="Normal 14 4 2 5 5" xfId="11010" xr:uid="{00000000-0005-0000-0000-0000CE3D0000}"/>
    <cellStyle name="Normal 14 4 2 5 6" xfId="11011" xr:uid="{00000000-0005-0000-0000-0000CF3D0000}"/>
    <cellStyle name="Normal 14 4 2 6" xfId="11012" xr:uid="{00000000-0005-0000-0000-0000D03D0000}"/>
    <cellStyle name="Normal 14 4 2 6 2" xfId="50836" xr:uid="{00000000-0005-0000-0000-0000D13D0000}"/>
    <cellStyle name="Normal 14 4 2 6 3" xfId="50837" xr:uid="{00000000-0005-0000-0000-0000D23D0000}"/>
    <cellStyle name="Normal 14 4 2 7" xfId="11013" xr:uid="{00000000-0005-0000-0000-0000D33D0000}"/>
    <cellStyle name="Normal 14 4 2 7 2" xfId="50838" xr:uid="{00000000-0005-0000-0000-0000D43D0000}"/>
    <cellStyle name="Normal 14 4 2 8" xfId="11014" xr:uid="{00000000-0005-0000-0000-0000D53D0000}"/>
    <cellStyle name="Normal 14 4 2 8 2" xfId="50839" xr:uid="{00000000-0005-0000-0000-0000D63D0000}"/>
    <cellStyle name="Normal 14 4 2 9" xfId="11015" xr:uid="{00000000-0005-0000-0000-0000D73D0000}"/>
    <cellStyle name="Normal 14 4 3" xfId="11016" xr:uid="{00000000-0005-0000-0000-0000D83D0000}"/>
    <cellStyle name="Normal 14 4 3 2" xfId="11017" xr:uid="{00000000-0005-0000-0000-0000D93D0000}"/>
    <cellStyle name="Normal 14 4 3 2 2" xfId="11018" xr:uid="{00000000-0005-0000-0000-0000DA3D0000}"/>
    <cellStyle name="Normal 14 4 3 2 2 2" xfId="11019" xr:uid="{00000000-0005-0000-0000-0000DB3D0000}"/>
    <cellStyle name="Normal 14 4 3 2 2 2 2" xfId="50840" xr:uid="{00000000-0005-0000-0000-0000DC3D0000}"/>
    <cellStyle name="Normal 14 4 3 2 2 2 3" xfId="50841" xr:uid="{00000000-0005-0000-0000-0000DD3D0000}"/>
    <cellStyle name="Normal 14 4 3 2 2 3" xfId="11020" xr:uid="{00000000-0005-0000-0000-0000DE3D0000}"/>
    <cellStyle name="Normal 14 4 3 2 2 3 2" xfId="50842" xr:uid="{00000000-0005-0000-0000-0000DF3D0000}"/>
    <cellStyle name="Normal 14 4 3 2 2 4" xfId="11021" xr:uid="{00000000-0005-0000-0000-0000E03D0000}"/>
    <cellStyle name="Normal 14 4 3 2 2 5" xfId="11022" xr:uid="{00000000-0005-0000-0000-0000E13D0000}"/>
    <cellStyle name="Normal 14 4 3 2 2 6" xfId="11023" xr:uid="{00000000-0005-0000-0000-0000E23D0000}"/>
    <cellStyle name="Normal 14 4 3 2 3" xfId="11024" xr:uid="{00000000-0005-0000-0000-0000E33D0000}"/>
    <cellStyle name="Normal 14 4 3 2 3 2" xfId="50843" xr:uid="{00000000-0005-0000-0000-0000E43D0000}"/>
    <cellStyle name="Normal 14 4 3 2 3 3" xfId="50844" xr:uid="{00000000-0005-0000-0000-0000E53D0000}"/>
    <cellStyle name="Normal 14 4 3 2 4" xfId="11025" xr:uid="{00000000-0005-0000-0000-0000E63D0000}"/>
    <cellStyle name="Normal 14 4 3 2 4 2" xfId="50845" xr:uid="{00000000-0005-0000-0000-0000E73D0000}"/>
    <cellStyle name="Normal 14 4 3 2 5" xfId="11026" xr:uid="{00000000-0005-0000-0000-0000E83D0000}"/>
    <cellStyle name="Normal 14 4 3 2 6" xfId="11027" xr:uid="{00000000-0005-0000-0000-0000E93D0000}"/>
    <cellStyle name="Normal 14 4 3 2 7" xfId="11028" xr:uid="{00000000-0005-0000-0000-0000EA3D0000}"/>
    <cellStyle name="Normal 14 4 3 3" xfId="11029" xr:uid="{00000000-0005-0000-0000-0000EB3D0000}"/>
    <cellStyle name="Normal 14 4 3 3 2" xfId="11030" xr:uid="{00000000-0005-0000-0000-0000EC3D0000}"/>
    <cellStyle name="Normal 14 4 3 3 2 2" xfId="50846" xr:uid="{00000000-0005-0000-0000-0000ED3D0000}"/>
    <cellStyle name="Normal 14 4 3 3 2 3" xfId="50847" xr:uid="{00000000-0005-0000-0000-0000EE3D0000}"/>
    <cellStyle name="Normal 14 4 3 3 3" xfId="11031" xr:uid="{00000000-0005-0000-0000-0000EF3D0000}"/>
    <cellStyle name="Normal 14 4 3 3 3 2" xfId="50848" xr:uid="{00000000-0005-0000-0000-0000F03D0000}"/>
    <cellStyle name="Normal 14 4 3 3 4" xfId="11032" xr:uid="{00000000-0005-0000-0000-0000F13D0000}"/>
    <cellStyle name="Normal 14 4 3 3 5" xfId="11033" xr:uid="{00000000-0005-0000-0000-0000F23D0000}"/>
    <cellStyle name="Normal 14 4 3 3 6" xfId="11034" xr:uid="{00000000-0005-0000-0000-0000F33D0000}"/>
    <cellStyle name="Normal 14 4 3 4" xfId="11035" xr:uid="{00000000-0005-0000-0000-0000F43D0000}"/>
    <cellStyle name="Normal 14 4 3 4 2" xfId="50849" xr:uid="{00000000-0005-0000-0000-0000F53D0000}"/>
    <cellStyle name="Normal 14 4 3 4 3" xfId="50850" xr:uid="{00000000-0005-0000-0000-0000F63D0000}"/>
    <cellStyle name="Normal 14 4 3 5" xfId="11036" xr:uid="{00000000-0005-0000-0000-0000F73D0000}"/>
    <cellStyle name="Normal 14 4 3 5 2" xfId="50851" xr:uid="{00000000-0005-0000-0000-0000F83D0000}"/>
    <cellStyle name="Normal 14 4 3 6" xfId="11037" xr:uid="{00000000-0005-0000-0000-0000F93D0000}"/>
    <cellStyle name="Normal 14 4 3 7" xfId="11038" xr:uid="{00000000-0005-0000-0000-0000FA3D0000}"/>
    <cellStyle name="Normal 14 4 3 8" xfId="11039" xr:uid="{00000000-0005-0000-0000-0000FB3D0000}"/>
    <cellStyle name="Normal 14 4 3 9" xfId="11040" xr:uid="{00000000-0005-0000-0000-0000FC3D0000}"/>
    <cellStyle name="Normal 14 4 4" xfId="11041" xr:uid="{00000000-0005-0000-0000-0000FD3D0000}"/>
    <cellStyle name="Normal 14 4 4 2" xfId="11042" xr:uid="{00000000-0005-0000-0000-0000FE3D0000}"/>
    <cellStyle name="Normal 14 4 4 2 2" xfId="11043" xr:uid="{00000000-0005-0000-0000-0000FF3D0000}"/>
    <cellStyle name="Normal 14 4 4 2 2 2" xfId="11044" xr:uid="{00000000-0005-0000-0000-0000003E0000}"/>
    <cellStyle name="Normal 14 4 4 2 2 2 2" xfId="50852" xr:uid="{00000000-0005-0000-0000-0000013E0000}"/>
    <cellStyle name="Normal 14 4 4 2 2 2 3" xfId="50853" xr:uid="{00000000-0005-0000-0000-0000023E0000}"/>
    <cellStyle name="Normal 14 4 4 2 2 3" xfId="11045" xr:uid="{00000000-0005-0000-0000-0000033E0000}"/>
    <cellStyle name="Normal 14 4 4 2 2 3 2" xfId="50854" xr:uid="{00000000-0005-0000-0000-0000043E0000}"/>
    <cellStyle name="Normal 14 4 4 2 2 4" xfId="11046" xr:uid="{00000000-0005-0000-0000-0000053E0000}"/>
    <cellStyle name="Normal 14 4 4 2 2 5" xfId="11047" xr:uid="{00000000-0005-0000-0000-0000063E0000}"/>
    <cellStyle name="Normal 14 4 4 2 2 6" xfId="11048" xr:uid="{00000000-0005-0000-0000-0000073E0000}"/>
    <cellStyle name="Normal 14 4 4 2 3" xfId="11049" xr:uid="{00000000-0005-0000-0000-0000083E0000}"/>
    <cellStyle name="Normal 14 4 4 2 3 2" xfId="50855" xr:uid="{00000000-0005-0000-0000-0000093E0000}"/>
    <cellStyle name="Normal 14 4 4 2 3 3" xfId="50856" xr:uid="{00000000-0005-0000-0000-00000A3E0000}"/>
    <cellStyle name="Normal 14 4 4 2 4" xfId="11050" xr:uid="{00000000-0005-0000-0000-00000B3E0000}"/>
    <cellStyle name="Normal 14 4 4 2 4 2" xfId="50857" xr:uid="{00000000-0005-0000-0000-00000C3E0000}"/>
    <cellStyle name="Normal 14 4 4 2 5" xfId="11051" xr:uid="{00000000-0005-0000-0000-00000D3E0000}"/>
    <cellStyle name="Normal 14 4 4 2 6" xfId="11052" xr:uid="{00000000-0005-0000-0000-00000E3E0000}"/>
    <cellStyle name="Normal 14 4 4 2 7" xfId="11053" xr:uid="{00000000-0005-0000-0000-00000F3E0000}"/>
    <cellStyle name="Normal 14 4 4 3" xfId="11054" xr:uid="{00000000-0005-0000-0000-0000103E0000}"/>
    <cellStyle name="Normal 14 4 4 3 2" xfId="11055" xr:uid="{00000000-0005-0000-0000-0000113E0000}"/>
    <cellStyle name="Normal 14 4 4 3 2 2" xfId="50858" xr:uid="{00000000-0005-0000-0000-0000123E0000}"/>
    <cellStyle name="Normal 14 4 4 3 2 3" xfId="50859" xr:uid="{00000000-0005-0000-0000-0000133E0000}"/>
    <cellStyle name="Normal 14 4 4 3 3" xfId="11056" xr:uid="{00000000-0005-0000-0000-0000143E0000}"/>
    <cellStyle name="Normal 14 4 4 3 3 2" xfId="50860" xr:uid="{00000000-0005-0000-0000-0000153E0000}"/>
    <cellStyle name="Normal 14 4 4 3 4" xfId="11057" xr:uid="{00000000-0005-0000-0000-0000163E0000}"/>
    <cellStyle name="Normal 14 4 4 3 5" xfId="11058" xr:uid="{00000000-0005-0000-0000-0000173E0000}"/>
    <cellStyle name="Normal 14 4 4 3 6" xfId="11059" xr:uid="{00000000-0005-0000-0000-0000183E0000}"/>
    <cellStyle name="Normal 14 4 4 4" xfId="11060" xr:uid="{00000000-0005-0000-0000-0000193E0000}"/>
    <cellStyle name="Normal 14 4 4 4 2" xfId="50861" xr:uid="{00000000-0005-0000-0000-00001A3E0000}"/>
    <cellStyle name="Normal 14 4 4 4 3" xfId="50862" xr:uid="{00000000-0005-0000-0000-00001B3E0000}"/>
    <cellStyle name="Normal 14 4 4 5" xfId="11061" xr:uid="{00000000-0005-0000-0000-00001C3E0000}"/>
    <cellStyle name="Normal 14 4 4 5 2" xfId="50863" xr:uid="{00000000-0005-0000-0000-00001D3E0000}"/>
    <cellStyle name="Normal 14 4 4 6" xfId="11062" xr:uid="{00000000-0005-0000-0000-00001E3E0000}"/>
    <cellStyle name="Normal 14 4 4 7" xfId="11063" xr:uid="{00000000-0005-0000-0000-00001F3E0000}"/>
    <cellStyle name="Normal 14 4 4 8" xfId="11064" xr:uid="{00000000-0005-0000-0000-0000203E0000}"/>
    <cellStyle name="Normal 14 4 5" xfId="11065" xr:uid="{00000000-0005-0000-0000-0000213E0000}"/>
    <cellStyle name="Normal 14 4 5 2" xfId="11066" xr:uid="{00000000-0005-0000-0000-0000223E0000}"/>
    <cellStyle name="Normal 14 4 5 2 2" xfId="11067" xr:uid="{00000000-0005-0000-0000-0000233E0000}"/>
    <cellStyle name="Normal 14 4 5 2 2 2" xfId="50864" xr:uid="{00000000-0005-0000-0000-0000243E0000}"/>
    <cellStyle name="Normal 14 4 5 2 2 3" xfId="50865" xr:uid="{00000000-0005-0000-0000-0000253E0000}"/>
    <cellStyle name="Normal 14 4 5 2 3" xfId="11068" xr:uid="{00000000-0005-0000-0000-0000263E0000}"/>
    <cellStyle name="Normal 14 4 5 2 3 2" xfId="50866" xr:uid="{00000000-0005-0000-0000-0000273E0000}"/>
    <cellStyle name="Normal 14 4 5 2 4" xfId="11069" xr:uid="{00000000-0005-0000-0000-0000283E0000}"/>
    <cellStyle name="Normal 14 4 5 2 5" xfId="11070" xr:uid="{00000000-0005-0000-0000-0000293E0000}"/>
    <cellStyle name="Normal 14 4 5 2 6" xfId="11071" xr:uid="{00000000-0005-0000-0000-00002A3E0000}"/>
    <cellStyle name="Normal 14 4 5 3" xfId="11072" xr:uid="{00000000-0005-0000-0000-00002B3E0000}"/>
    <cellStyle name="Normal 14 4 5 3 2" xfId="50867" xr:uid="{00000000-0005-0000-0000-00002C3E0000}"/>
    <cellStyle name="Normal 14 4 5 3 3" xfId="50868" xr:uid="{00000000-0005-0000-0000-00002D3E0000}"/>
    <cellStyle name="Normal 14 4 5 4" xfId="11073" xr:uid="{00000000-0005-0000-0000-00002E3E0000}"/>
    <cellStyle name="Normal 14 4 5 4 2" xfId="50869" xr:uid="{00000000-0005-0000-0000-00002F3E0000}"/>
    <cellStyle name="Normal 14 4 5 5" xfId="11074" xr:uid="{00000000-0005-0000-0000-0000303E0000}"/>
    <cellStyle name="Normal 14 4 5 6" xfId="11075" xr:uid="{00000000-0005-0000-0000-0000313E0000}"/>
    <cellStyle name="Normal 14 4 5 7" xfId="11076" xr:uid="{00000000-0005-0000-0000-0000323E0000}"/>
    <cellStyle name="Normal 14 4 6" xfId="11077" xr:uid="{00000000-0005-0000-0000-0000333E0000}"/>
    <cellStyle name="Normal 14 4 6 2" xfId="11078" xr:uid="{00000000-0005-0000-0000-0000343E0000}"/>
    <cellStyle name="Normal 14 4 6 2 2" xfId="50870" xr:uid="{00000000-0005-0000-0000-0000353E0000}"/>
    <cellStyle name="Normal 14 4 6 2 3" xfId="50871" xr:uid="{00000000-0005-0000-0000-0000363E0000}"/>
    <cellStyle name="Normal 14 4 6 3" xfId="11079" xr:uid="{00000000-0005-0000-0000-0000373E0000}"/>
    <cellStyle name="Normal 14 4 6 3 2" xfId="50872" xr:uid="{00000000-0005-0000-0000-0000383E0000}"/>
    <cellStyle name="Normal 14 4 6 4" xfId="11080" xr:uid="{00000000-0005-0000-0000-0000393E0000}"/>
    <cellStyle name="Normal 14 4 6 5" xfId="11081" xr:uid="{00000000-0005-0000-0000-00003A3E0000}"/>
    <cellStyle name="Normal 14 4 6 6" xfId="11082" xr:uid="{00000000-0005-0000-0000-00003B3E0000}"/>
    <cellStyle name="Normal 14 4 7" xfId="11083" xr:uid="{00000000-0005-0000-0000-00003C3E0000}"/>
    <cellStyle name="Normal 14 4 7 2" xfId="50873" xr:uid="{00000000-0005-0000-0000-00003D3E0000}"/>
    <cellStyle name="Normal 14 4 7 3" xfId="50874" xr:uid="{00000000-0005-0000-0000-00003E3E0000}"/>
    <cellStyle name="Normal 14 4 8" xfId="11084" xr:uid="{00000000-0005-0000-0000-00003F3E0000}"/>
    <cellStyle name="Normal 14 4 8 2" xfId="50875" xr:uid="{00000000-0005-0000-0000-0000403E0000}"/>
    <cellStyle name="Normal 14 4 9" xfId="11085" xr:uid="{00000000-0005-0000-0000-0000413E0000}"/>
    <cellStyle name="Normal 14 4 9 2" xfId="50876" xr:uid="{00000000-0005-0000-0000-0000423E0000}"/>
    <cellStyle name="Normal 14 5" xfId="11086" xr:uid="{00000000-0005-0000-0000-0000433E0000}"/>
    <cellStyle name="Normal 14 5 10" xfId="11087" xr:uid="{00000000-0005-0000-0000-0000443E0000}"/>
    <cellStyle name="Normal 14 5 11" xfId="11088" xr:uid="{00000000-0005-0000-0000-0000453E0000}"/>
    <cellStyle name="Normal 14 5 12" xfId="11089" xr:uid="{00000000-0005-0000-0000-0000463E0000}"/>
    <cellStyle name="Normal 14 5 13" xfId="11090" xr:uid="{00000000-0005-0000-0000-0000473E0000}"/>
    <cellStyle name="Normal 14 5 14" xfId="11091" xr:uid="{00000000-0005-0000-0000-0000483E0000}"/>
    <cellStyle name="Normal 14 5 15" xfId="11092" xr:uid="{00000000-0005-0000-0000-0000493E0000}"/>
    <cellStyle name="Normal 14 5 16" xfId="11093" xr:uid="{00000000-0005-0000-0000-00004A3E0000}"/>
    <cellStyle name="Normal 14 5 2" xfId="11094" xr:uid="{00000000-0005-0000-0000-00004B3E0000}"/>
    <cellStyle name="Normal 14 5 2 10" xfId="11095" xr:uid="{00000000-0005-0000-0000-00004C3E0000}"/>
    <cellStyle name="Normal 14 5 2 11" xfId="11096" xr:uid="{00000000-0005-0000-0000-00004D3E0000}"/>
    <cellStyle name="Normal 14 5 2 12" xfId="11097" xr:uid="{00000000-0005-0000-0000-00004E3E0000}"/>
    <cellStyle name="Normal 14 5 2 13" xfId="11098" xr:uid="{00000000-0005-0000-0000-00004F3E0000}"/>
    <cellStyle name="Normal 14 5 2 14" xfId="11099" xr:uid="{00000000-0005-0000-0000-0000503E0000}"/>
    <cellStyle name="Normal 14 5 2 2" xfId="11100" xr:uid="{00000000-0005-0000-0000-0000513E0000}"/>
    <cellStyle name="Normal 14 5 2 2 2" xfId="11101" xr:uid="{00000000-0005-0000-0000-0000523E0000}"/>
    <cellStyle name="Normal 14 5 2 2 2 2" xfId="11102" xr:uid="{00000000-0005-0000-0000-0000533E0000}"/>
    <cellStyle name="Normal 14 5 2 2 2 2 2" xfId="11103" xr:uid="{00000000-0005-0000-0000-0000543E0000}"/>
    <cellStyle name="Normal 14 5 2 2 2 2 2 2" xfId="50877" xr:uid="{00000000-0005-0000-0000-0000553E0000}"/>
    <cellStyle name="Normal 14 5 2 2 2 2 2 3" xfId="50878" xr:uid="{00000000-0005-0000-0000-0000563E0000}"/>
    <cellStyle name="Normal 14 5 2 2 2 2 3" xfId="11104" xr:uid="{00000000-0005-0000-0000-0000573E0000}"/>
    <cellStyle name="Normal 14 5 2 2 2 2 3 2" xfId="50879" xr:uid="{00000000-0005-0000-0000-0000583E0000}"/>
    <cellStyle name="Normal 14 5 2 2 2 2 4" xfId="11105" xr:uid="{00000000-0005-0000-0000-0000593E0000}"/>
    <cellStyle name="Normal 14 5 2 2 2 2 5" xfId="11106" xr:uid="{00000000-0005-0000-0000-00005A3E0000}"/>
    <cellStyle name="Normal 14 5 2 2 2 2 6" xfId="11107" xr:uid="{00000000-0005-0000-0000-00005B3E0000}"/>
    <cellStyle name="Normal 14 5 2 2 2 3" xfId="11108" xr:uid="{00000000-0005-0000-0000-00005C3E0000}"/>
    <cellStyle name="Normal 14 5 2 2 2 3 2" xfId="50880" xr:uid="{00000000-0005-0000-0000-00005D3E0000}"/>
    <cellStyle name="Normal 14 5 2 2 2 3 3" xfId="50881" xr:uid="{00000000-0005-0000-0000-00005E3E0000}"/>
    <cellStyle name="Normal 14 5 2 2 2 4" xfId="11109" xr:uid="{00000000-0005-0000-0000-00005F3E0000}"/>
    <cellStyle name="Normal 14 5 2 2 2 4 2" xfId="50882" xr:uid="{00000000-0005-0000-0000-0000603E0000}"/>
    <cellStyle name="Normal 14 5 2 2 2 5" xfId="11110" xr:uid="{00000000-0005-0000-0000-0000613E0000}"/>
    <cellStyle name="Normal 14 5 2 2 2 6" xfId="11111" xr:uid="{00000000-0005-0000-0000-0000623E0000}"/>
    <cellStyle name="Normal 14 5 2 2 2 7" xfId="11112" xr:uid="{00000000-0005-0000-0000-0000633E0000}"/>
    <cellStyle name="Normal 14 5 2 2 3" xfId="11113" xr:uid="{00000000-0005-0000-0000-0000643E0000}"/>
    <cellStyle name="Normal 14 5 2 2 3 2" xfId="11114" xr:uid="{00000000-0005-0000-0000-0000653E0000}"/>
    <cellStyle name="Normal 14 5 2 2 3 2 2" xfId="50883" xr:uid="{00000000-0005-0000-0000-0000663E0000}"/>
    <cellStyle name="Normal 14 5 2 2 3 2 3" xfId="50884" xr:uid="{00000000-0005-0000-0000-0000673E0000}"/>
    <cellStyle name="Normal 14 5 2 2 3 3" xfId="11115" xr:uid="{00000000-0005-0000-0000-0000683E0000}"/>
    <cellStyle name="Normal 14 5 2 2 3 3 2" xfId="50885" xr:uid="{00000000-0005-0000-0000-0000693E0000}"/>
    <cellStyle name="Normal 14 5 2 2 3 4" xfId="11116" xr:uid="{00000000-0005-0000-0000-00006A3E0000}"/>
    <cellStyle name="Normal 14 5 2 2 3 5" xfId="11117" xr:uid="{00000000-0005-0000-0000-00006B3E0000}"/>
    <cellStyle name="Normal 14 5 2 2 3 6" xfId="11118" xr:uid="{00000000-0005-0000-0000-00006C3E0000}"/>
    <cellStyle name="Normal 14 5 2 2 4" xfId="11119" xr:uid="{00000000-0005-0000-0000-00006D3E0000}"/>
    <cellStyle name="Normal 14 5 2 2 4 2" xfId="50886" xr:uid="{00000000-0005-0000-0000-00006E3E0000}"/>
    <cellStyle name="Normal 14 5 2 2 4 3" xfId="50887" xr:uid="{00000000-0005-0000-0000-00006F3E0000}"/>
    <cellStyle name="Normal 14 5 2 2 5" xfId="11120" xr:uid="{00000000-0005-0000-0000-0000703E0000}"/>
    <cellStyle name="Normal 14 5 2 2 5 2" xfId="50888" xr:uid="{00000000-0005-0000-0000-0000713E0000}"/>
    <cellStyle name="Normal 14 5 2 2 6" xfId="11121" xr:uid="{00000000-0005-0000-0000-0000723E0000}"/>
    <cellStyle name="Normal 14 5 2 2 7" xfId="11122" xr:uid="{00000000-0005-0000-0000-0000733E0000}"/>
    <cellStyle name="Normal 14 5 2 2 8" xfId="11123" xr:uid="{00000000-0005-0000-0000-0000743E0000}"/>
    <cellStyle name="Normal 14 5 2 2 9" xfId="11124" xr:uid="{00000000-0005-0000-0000-0000753E0000}"/>
    <cellStyle name="Normal 14 5 2 3" xfId="11125" xr:uid="{00000000-0005-0000-0000-0000763E0000}"/>
    <cellStyle name="Normal 14 5 2 3 2" xfId="11126" xr:uid="{00000000-0005-0000-0000-0000773E0000}"/>
    <cellStyle name="Normal 14 5 2 3 2 2" xfId="11127" xr:uid="{00000000-0005-0000-0000-0000783E0000}"/>
    <cellStyle name="Normal 14 5 2 3 2 2 2" xfId="11128" xr:uid="{00000000-0005-0000-0000-0000793E0000}"/>
    <cellStyle name="Normal 14 5 2 3 2 2 2 2" xfId="50889" xr:uid="{00000000-0005-0000-0000-00007A3E0000}"/>
    <cellStyle name="Normal 14 5 2 3 2 2 2 3" xfId="50890" xr:uid="{00000000-0005-0000-0000-00007B3E0000}"/>
    <cellStyle name="Normal 14 5 2 3 2 2 3" xfId="11129" xr:uid="{00000000-0005-0000-0000-00007C3E0000}"/>
    <cellStyle name="Normal 14 5 2 3 2 2 3 2" xfId="50891" xr:uid="{00000000-0005-0000-0000-00007D3E0000}"/>
    <cellStyle name="Normal 14 5 2 3 2 2 4" xfId="11130" xr:uid="{00000000-0005-0000-0000-00007E3E0000}"/>
    <cellStyle name="Normal 14 5 2 3 2 2 5" xfId="11131" xr:uid="{00000000-0005-0000-0000-00007F3E0000}"/>
    <cellStyle name="Normal 14 5 2 3 2 2 6" xfId="11132" xr:uid="{00000000-0005-0000-0000-0000803E0000}"/>
    <cellStyle name="Normal 14 5 2 3 2 3" xfId="11133" xr:uid="{00000000-0005-0000-0000-0000813E0000}"/>
    <cellStyle name="Normal 14 5 2 3 2 3 2" xfId="50892" xr:uid="{00000000-0005-0000-0000-0000823E0000}"/>
    <cellStyle name="Normal 14 5 2 3 2 3 3" xfId="50893" xr:uid="{00000000-0005-0000-0000-0000833E0000}"/>
    <cellStyle name="Normal 14 5 2 3 2 4" xfId="11134" xr:uid="{00000000-0005-0000-0000-0000843E0000}"/>
    <cellStyle name="Normal 14 5 2 3 2 4 2" xfId="50894" xr:uid="{00000000-0005-0000-0000-0000853E0000}"/>
    <cellStyle name="Normal 14 5 2 3 2 5" xfId="11135" xr:uid="{00000000-0005-0000-0000-0000863E0000}"/>
    <cellStyle name="Normal 14 5 2 3 2 6" xfId="11136" xr:uid="{00000000-0005-0000-0000-0000873E0000}"/>
    <cellStyle name="Normal 14 5 2 3 2 7" xfId="11137" xr:uid="{00000000-0005-0000-0000-0000883E0000}"/>
    <cellStyle name="Normal 14 5 2 3 3" xfId="11138" xr:uid="{00000000-0005-0000-0000-0000893E0000}"/>
    <cellStyle name="Normal 14 5 2 3 3 2" xfId="11139" xr:uid="{00000000-0005-0000-0000-00008A3E0000}"/>
    <cellStyle name="Normal 14 5 2 3 3 2 2" xfId="50895" xr:uid="{00000000-0005-0000-0000-00008B3E0000}"/>
    <cellStyle name="Normal 14 5 2 3 3 2 3" xfId="50896" xr:uid="{00000000-0005-0000-0000-00008C3E0000}"/>
    <cellStyle name="Normal 14 5 2 3 3 3" xfId="11140" xr:uid="{00000000-0005-0000-0000-00008D3E0000}"/>
    <cellStyle name="Normal 14 5 2 3 3 3 2" xfId="50897" xr:uid="{00000000-0005-0000-0000-00008E3E0000}"/>
    <cellStyle name="Normal 14 5 2 3 3 4" xfId="11141" xr:uid="{00000000-0005-0000-0000-00008F3E0000}"/>
    <cellStyle name="Normal 14 5 2 3 3 5" xfId="11142" xr:uid="{00000000-0005-0000-0000-0000903E0000}"/>
    <cellStyle name="Normal 14 5 2 3 3 6" xfId="11143" xr:uid="{00000000-0005-0000-0000-0000913E0000}"/>
    <cellStyle name="Normal 14 5 2 3 4" xfId="11144" xr:uid="{00000000-0005-0000-0000-0000923E0000}"/>
    <cellStyle name="Normal 14 5 2 3 4 2" xfId="50898" xr:uid="{00000000-0005-0000-0000-0000933E0000}"/>
    <cellStyle name="Normal 14 5 2 3 4 3" xfId="50899" xr:uid="{00000000-0005-0000-0000-0000943E0000}"/>
    <cellStyle name="Normal 14 5 2 3 5" xfId="11145" xr:uid="{00000000-0005-0000-0000-0000953E0000}"/>
    <cellStyle name="Normal 14 5 2 3 5 2" xfId="50900" xr:uid="{00000000-0005-0000-0000-0000963E0000}"/>
    <cellStyle name="Normal 14 5 2 3 6" xfId="11146" xr:uid="{00000000-0005-0000-0000-0000973E0000}"/>
    <cellStyle name="Normal 14 5 2 3 7" xfId="11147" xr:uid="{00000000-0005-0000-0000-0000983E0000}"/>
    <cellStyle name="Normal 14 5 2 3 8" xfId="11148" xr:uid="{00000000-0005-0000-0000-0000993E0000}"/>
    <cellStyle name="Normal 14 5 2 4" xfId="11149" xr:uid="{00000000-0005-0000-0000-00009A3E0000}"/>
    <cellStyle name="Normal 14 5 2 4 2" xfId="11150" xr:uid="{00000000-0005-0000-0000-00009B3E0000}"/>
    <cellStyle name="Normal 14 5 2 4 2 2" xfId="11151" xr:uid="{00000000-0005-0000-0000-00009C3E0000}"/>
    <cellStyle name="Normal 14 5 2 4 2 2 2" xfId="50901" xr:uid="{00000000-0005-0000-0000-00009D3E0000}"/>
    <cellStyle name="Normal 14 5 2 4 2 2 3" xfId="50902" xr:uid="{00000000-0005-0000-0000-00009E3E0000}"/>
    <cellStyle name="Normal 14 5 2 4 2 3" xfId="11152" xr:uid="{00000000-0005-0000-0000-00009F3E0000}"/>
    <cellStyle name="Normal 14 5 2 4 2 3 2" xfId="50903" xr:uid="{00000000-0005-0000-0000-0000A03E0000}"/>
    <cellStyle name="Normal 14 5 2 4 2 4" xfId="11153" xr:uid="{00000000-0005-0000-0000-0000A13E0000}"/>
    <cellStyle name="Normal 14 5 2 4 2 5" xfId="11154" xr:uid="{00000000-0005-0000-0000-0000A23E0000}"/>
    <cellStyle name="Normal 14 5 2 4 2 6" xfId="11155" xr:uid="{00000000-0005-0000-0000-0000A33E0000}"/>
    <cellStyle name="Normal 14 5 2 4 3" xfId="11156" xr:uid="{00000000-0005-0000-0000-0000A43E0000}"/>
    <cellStyle name="Normal 14 5 2 4 3 2" xfId="50904" xr:uid="{00000000-0005-0000-0000-0000A53E0000}"/>
    <cellStyle name="Normal 14 5 2 4 3 3" xfId="50905" xr:uid="{00000000-0005-0000-0000-0000A63E0000}"/>
    <cellStyle name="Normal 14 5 2 4 4" xfId="11157" xr:uid="{00000000-0005-0000-0000-0000A73E0000}"/>
    <cellStyle name="Normal 14 5 2 4 4 2" xfId="50906" xr:uid="{00000000-0005-0000-0000-0000A83E0000}"/>
    <cellStyle name="Normal 14 5 2 4 5" xfId="11158" xr:uid="{00000000-0005-0000-0000-0000A93E0000}"/>
    <cellStyle name="Normal 14 5 2 4 6" xfId="11159" xr:uid="{00000000-0005-0000-0000-0000AA3E0000}"/>
    <cellStyle name="Normal 14 5 2 4 7" xfId="11160" xr:uid="{00000000-0005-0000-0000-0000AB3E0000}"/>
    <cellStyle name="Normal 14 5 2 5" xfId="11161" xr:uid="{00000000-0005-0000-0000-0000AC3E0000}"/>
    <cellStyle name="Normal 14 5 2 5 2" xfId="11162" xr:uid="{00000000-0005-0000-0000-0000AD3E0000}"/>
    <cellStyle name="Normal 14 5 2 5 2 2" xfId="50907" xr:uid="{00000000-0005-0000-0000-0000AE3E0000}"/>
    <cellStyle name="Normal 14 5 2 5 2 3" xfId="50908" xr:uid="{00000000-0005-0000-0000-0000AF3E0000}"/>
    <cellStyle name="Normal 14 5 2 5 3" xfId="11163" xr:uid="{00000000-0005-0000-0000-0000B03E0000}"/>
    <cellStyle name="Normal 14 5 2 5 3 2" xfId="50909" xr:uid="{00000000-0005-0000-0000-0000B13E0000}"/>
    <cellStyle name="Normal 14 5 2 5 4" xfId="11164" xr:uid="{00000000-0005-0000-0000-0000B23E0000}"/>
    <cellStyle name="Normal 14 5 2 5 5" xfId="11165" xr:uid="{00000000-0005-0000-0000-0000B33E0000}"/>
    <cellStyle name="Normal 14 5 2 5 6" xfId="11166" xr:uid="{00000000-0005-0000-0000-0000B43E0000}"/>
    <cellStyle name="Normal 14 5 2 6" xfId="11167" xr:uid="{00000000-0005-0000-0000-0000B53E0000}"/>
    <cellStyle name="Normal 14 5 2 6 2" xfId="50910" xr:uid="{00000000-0005-0000-0000-0000B63E0000}"/>
    <cellStyle name="Normal 14 5 2 6 3" xfId="50911" xr:uid="{00000000-0005-0000-0000-0000B73E0000}"/>
    <cellStyle name="Normal 14 5 2 7" xfId="11168" xr:uid="{00000000-0005-0000-0000-0000B83E0000}"/>
    <cellStyle name="Normal 14 5 2 7 2" xfId="50912" xr:uid="{00000000-0005-0000-0000-0000B93E0000}"/>
    <cellStyle name="Normal 14 5 2 8" xfId="11169" xr:uid="{00000000-0005-0000-0000-0000BA3E0000}"/>
    <cellStyle name="Normal 14 5 2 9" xfId="11170" xr:uid="{00000000-0005-0000-0000-0000BB3E0000}"/>
    <cellStyle name="Normal 14 5 3" xfId="11171" xr:uid="{00000000-0005-0000-0000-0000BC3E0000}"/>
    <cellStyle name="Normal 14 5 3 2" xfId="11172" xr:uid="{00000000-0005-0000-0000-0000BD3E0000}"/>
    <cellStyle name="Normal 14 5 3 2 2" xfId="11173" xr:uid="{00000000-0005-0000-0000-0000BE3E0000}"/>
    <cellStyle name="Normal 14 5 3 2 2 2" xfId="11174" xr:uid="{00000000-0005-0000-0000-0000BF3E0000}"/>
    <cellStyle name="Normal 14 5 3 2 2 2 2" xfId="50913" xr:uid="{00000000-0005-0000-0000-0000C03E0000}"/>
    <cellStyle name="Normal 14 5 3 2 2 2 3" xfId="50914" xr:uid="{00000000-0005-0000-0000-0000C13E0000}"/>
    <cellStyle name="Normal 14 5 3 2 2 3" xfId="11175" xr:uid="{00000000-0005-0000-0000-0000C23E0000}"/>
    <cellStyle name="Normal 14 5 3 2 2 3 2" xfId="50915" xr:uid="{00000000-0005-0000-0000-0000C33E0000}"/>
    <cellStyle name="Normal 14 5 3 2 2 4" xfId="11176" xr:uid="{00000000-0005-0000-0000-0000C43E0000}"/>
    <cellStyle name="Normal 14 5 3 2 2 5" xfId="11177" xr:uid="{00000000-0005-0000-0000-0000C53E0000}"/>
    <cellStyle name="Normal 14 5 3 2 2 6" xfId="11178" xr:uid="{00000000-0005-0000-0000-0000C63E0000}"/>
    <cellStyle name="Normal 14 5 3 2 3" xfId="11179" xr:uid="{00000000-0005-0000-0000-0000C73E0000}"/>
    <cellStyle name="Normal 14 5 3 2 3 2" xfId="50916" xr:uid="{00000000-0005-0000-0000-0000C83E0000}"/>
    <cellStyle name="Normal 14 5 3 2 3 3" xfId="50917" xr:uid="{00000000-0005-0000-0000-0000C93E0000}"/>
    <cellStyle name="Normal 14 5 3 2 4" xfId="11180" xr:uid="{00000000-0005-0000-0000-0000CA3E0000}"/>
    <cellStyle name="Normal 14 5 3 2 4 2" xfId="50918" xr:uid="{00000000-0005-0000-0000-0000CB3E0000}"/>
    <cellStyle name="Normal 14 5 3 2 5" xfId="11181" xr:uid="{00000000-0005-0000-0000-0000CC3E0000}"/>
    <cellStyle name="Normal 14 5 3 2 6" xfId="11182" xr:uid="{00000000-0005-0000-0000-0000CD3E0000}"/>
    <cellStyle name="Normal 14 5 3 2 7" xfId="11183" xr:uid="{00000000-0005-0000-0000-0000CE3E0000}"/>
    <cellStyle name="Normal 14 5 3 3" xfId="11184" xr:uid="{00000000-0005-0000-0000-0000CF3E0000}"/>
    <cellStyle name="Normal 14 5 3 3 2" xfId="11185" xr:uid="{00000000-0005-0000-0000-0000D03E0000}"/>
    <cellStyle name="Normal 14 5 3 3 2 2" xfId="50919" xr:uid="{00000000-0005-0000-0000-0000D13E0000}"/>
    <cellStyle name="Normal 14 5 3 3 2 3" xfId="50920" xr:uid="{00000000-0005-0000-0000-0000D23E0000}"/>
    <cellStyle name="Normal 14 5 3 3 3" xfId="11186" xr:uid="{00000000-0005-0000-0000-0000D33E0000}"/>
    <cellStyle name="Normal 14 5 3 3 3 2" xfId="50921" xr:uid="{00000000-0005-0000-0000-0000D43E0000}"/>
    <cellStyle name="Normal 14 5 3 3 4" xfId="11187" xr:uid="{00000000-0005-0000-0000-0000D53E0000}"/>
    <cellStyle name="Normal 14 5 3 3 5" xfId="11188" xr:uid="{00000000-0005-0000-0000-0000D63E0000}"/>
    <cellStyle name="Normal 14 5 3 3 6" xfId="11189" xr:uid="{00000000-0005-0000-0000-0000D73E0000}"/>
    <cellStyle name="Normal 14 5 3 4" xfId="11190" xr:uid="{00000000-0005-0000-0000-0000D83E0000}"/>
    <cellStyle name="Normal 14 5 3 4 2" xfId="50922" xr:uid="{00000000-0005-0000-0000-0000D93E0000}"/>
    <cellStyle name="Normal 14 5 3 4 3" xfId="50923" xr:uid="{00000000-0005-0000-0000-0000DA3E0000}"/>
    <cellStyle name="Normal 14 5 3 5" xfId="11191" xr:uid="{00000000-0005-0000-0000-0000DB3E0000}"/>
    <cellStyle name="Normal 14 5 3 5 2" xfId="50924" xr:uid="{00000000-0005-0000-0000-0000DC3E0000}"/>
    <cellStyle name="Normal 14 5 3 6" xfId="11192" xr:uid="{00000000-0005-0000-0000-0000DD3E0000}"/>
    <cellStyle name="Normal 14 5 3 7" xfId="11193" xr:uid="{00000000-0005-0000-0000-0000DE3E0000}"/>
    <cellStyle name="Normal 14 5 3 8" xfId="11194" xr:uid="{00000000-0005-0000-0000-0000DF3E0000}"/>
    <cellStyle name="Normal 14 5 3 9" xfId="11195" xr:uid="{00000000-0005-0000-0000-0000E03E0000}"/>
    <cellStyle name="Normal 14 5 4" xfId="11196" xr:uid="{00000000-0005-0000-0000-0000E13E0000}"/>
    <cellStyle name="Normal 14 5 4 2" xfId="11197" xr:uid="{00000000-0005-0000-0000-0000E23E0000}"/>
    <cellStyle name="Normal 14 5 4 2 2" xfId="11198" xr:uid="{00000000-0005-0000-0000-0000E33E0000}"/>
    <cellStyle name="Normal 14 5 4 2 2 2" xfId="11199" xr:uid="{00000000-0005-0000-0000-0000E43E0000}"/>
    <cellStyle name="Normal 14 5 4 2 2 2 2" xfId="50925" xr:uid="{00000000-0005-0000-0000-0000E53E0000}"/>
    <cellStyle name="Normal 14 5 4 2 2 2 3" xfId="50926" xr:uid="{00000000-0005-0000-0000-0000E63E0000}"/>
    <cellStyle name="Normal 14 5 4 2 2 3" xfId="11200" xr:uid="{00000000-0005-0000-0000-0000E73E0000}"/>
    <cellStyle name="Normal 14 5 4 2 2 3 2" xfId="50927" xr:uid="{00000000-0005-0000-0000-0000E83E0000}"/>
    <cellStyle name="Normal 14 5 4 2 2 4" xfId="11201" xr:uid="{00000000-0005-0000-0000-0000E93E0000}"/>
    <cellStyle name="Normal 14 5 4 2 2 5" xfId="11202" xr:uid="{00000000-0005-0000-0000-0000EA3E0000}"/>
    <cellStyle name="Normal 14 5 4 2 2 6" xfId="11203" xr:uid="{00000000-0005-0000-0000-0000EB3E0000}"/>
    <cellStyle name="Normal 14 5 4 2 3" xfId="11204" xr:uid="{00000000-0005-0000-0000-0000EC3E0000}"/>
    <cellStyle name="Normal 14 5 4 2 3 2" xfId="50928" xr:uid="{00000000-0005-0000-0000-0000ED3E0000}"/>
    <cellStyle name="Normal 14 5 4 2 3 3" xfId="50929" xr:uid="{00000000-0005-0000-0000-0000EE3E0000}"/>
    <cellStyle name="Normal 14 5 4 2 4" xfId="11205" xr:uid="{00000000-0005-0000-0000-0000EF3E0000}"/>
    <cellStyle name="Normal 14 5 4 2 4 2" xfId="50930" xr:uid="{00000000-0005-0000-0000-0000F03E0000}"/>
    <cellStyle name="Normal 14 5 4 2 5" xfId="11206" xr:uid="{00000000-0005-0000-0000-0000F13E0000}"/>
    <cellStyle name="Normal 14 5 4 2 6" xfId="11207" xr:uid="{00000000-0005-0000-0000-0000F23E0000}"/>
    <cellStyle name="Normal 14 5 4 2 7" xfId="11208" xr:uid="{00000000-0005-0000-0000-0000F33E0000}"/>
    <cellStyle name="Normal 14 5 4 3" xfId="11209" xr:uid="{00000000-0005-0000-0000-0000F43E0000}"/>
    <cellStyle name="Normal 14 5 4 3 2" xfId="11210" xr:uid="{00000000-0005-0000-0000-0000F53E0000}"/>
    <cellStyle name="Normal 14 5 4 3 2 2" xfId="50931" xr:uid="{00000000-0005-0000-0000-0000F63E0000}"/>
    <cellStyle name="Normal 14 5 4 3 2 3" xfId="50932" xr:uid="{00000000-0005-0000-0000-0000F73E0000}"/>
    <cellStyle name="Normal 14 5 4 3 3" xfId="11211" xr:uid="{00000000-0005-0000-0000-0000F83E0000}"/>
    <cellStyle name="Normal 14 5 4 3 3 2" xfId="50933" xr:uid="{00000000-0005-0000-0000-0000F93E0000}"/>
    <cellStyle name="Normal 14 5 4 3 4" xfId="11212" xr:uid="{00000000-0005-0000-0000-0000FA3E0000}"/>
    <cellStyle name="Normal 14 5 4 3 5" xfId="11213" xr:uid="{00000000-0005-0000-0000-0000FB3E0000}"/>
    <cellStyle name="Normal 14 5 4 3 6" xfId="11214" xr:uid="{00000000-0005-0000-0000-0000FC3E0000}"/>
    <cellStyle name="Normal 14 5 4 4" xfId="11215" xr:uid="{00000000-0005-0000-0000-0000FD3E0000}"/>
    <cellStyle name="Normal 14 5 4 4 2" xfId="50934" xr:uid="{00000000-0005-0000-0000-0000FE3E0000}"/>
    <cellStyle name="Normal 14 5 4 4 3" xfId="50935" xr:uid="{00000000-0005-0000-0000-0000FF3E0000}"/>
    <cellStyle name="Normal 14 5 4 5" xfId="11216" xr:uid="{00000000-0005-0000-0000-0000003F0000}"/>
    <cellStyle name="Normal 14 5 4 5 2" xfId="50936" xr:uid="{00000000-0005-0000-0000-0000013F0000}"/>
    <cellStyle name="Normal 14 5 4 6" xfId="11217" xr:uid="{00000000-0005-0000-0000-0000023F0000}"/>
    <cellStyle name="Normal 14 5 4 7" xfId="11218" xr:uid="{00000000-0005-0000-0000-0000033F0000}"/>
    <cellStyle name="Normal 14 5 4 8" xfId="11219" xr:uid="{00000000-0005-0000-0000-0000043F0000}"/>
    <cellStyle name="Normal 14 5 5" xfId="11220" xr:uid="{00000000-0005-0000-0000-0000053F0000}"/>
    <cellStyle name="Normal 14 5 5 2" xfId="11221" xr:uid="{00000000-0005-0000-0000-0000063F0000}"/>
    <cellStyle name="Normal 14 5 5 2 2" xfId="11222" xr:uid="{00000000-0005-0000-0000-0000073F0000}"/>
    <cellStyle name="Normal 14 5 5 2 2 2" xfId="50937" xr:uid="{00000000-0005-0000-0000-0000083F0000}"/>
    <cellStyle name="Normal 14 5 5 2 2 3" xfId="50938" xr:uid="{00000000-0005-0000-0000-0000093F0000}"/>
    <cellStyle name="Normal 14 5 5 2 3" xfId="11223" xr:uid="{00000000-0005-0000-0000-00000A3F0000}"/>
    <cellStyle name="Normal 14 5 5 2 3 2" xfId="50939" xr:uid="{00000000-0005-0000-0000-00000B3F0000}"/>
    <cellStyle name="Normal 14 5 5 2 4" xfId="11224" xr:uid="{00000000-0005-0000-0000-00000C3F0000}"/>
    <cellStyle name="Normal 14 5 5 2 5" xfId="11225" xr:uid="{00000000-0005-0000-0000-00000D3F0000}"/>
    <cellStyle name="Normal 14 5 5 2 6" xfId="11226" xr:uid="{00000000-0005-0000-0000-00000E3F0000}"/>
    <cellStyle name="Normal 14 5 5 3" xfId="11227" xr:uid="{00000000-0005-0000-0000-00000F3F0000}"/>
    <cellStyle name="Normal 14 5 5 3 2" xfId="50940" xr:uid="{00000000-0005-0000-0000-0000103F0000}"/>
    <cellStyle name="Normal 14 5 5 3 3" xfId="50941" xr:uid="{00000000-0005-0000-0000-0000113F0000}"/>
    <cellStyle name="Normal 14 5 5 4" xfId="11228" xr:uid="{00000000-0005-0000-0000-0000123F0000}"/>
    <cellStyle name="Normal 14 5 5 4 2" xfId="50942" xr:uid="{00000000-0005-0000-0000-0000133F0000}"/>
    <cellStyle name="Normal 14 5 5 5" xfId="11229" xr:uid="{00000000-0005-0000-0000-0000143F0000}"/>
    <cellStyle name="Normal 14 5 5 6" xfId="11230" xr:uid="{00000000-0005-0000-0000-0000153F0000}"/>
    <cellStyle name="Normal 14 5 5 7" xfId="11231" xr:uid="{00000000-0005-0000-0000-0000163F0000}"/>
    <cellStyle name="Normal 14 5 6" xfId="11232" xr:uid="{00000000-0005-0000-0000-0000173F0000}"/>
    <cellStyle name="Normal 14 5 6 2" xfId="11233" xr:uid="{00000000-0005-0000-0000-0000183F0000}"/>
    <cellStyle name="Normal 14 5 6 2 2" xfId="50943" xr:uid="{00000000-0005-0000-0000-0000193F0000}"/>
    <cellStyle name="Normal 14 5 6 2 3" xfId="50944" xr:uid="{00000000-0005-0000-0000-00001A3F0000}"/>
    <cellStyle name="Normal 14 5 6 3" xfId="11234" xr:uid="{00000000-0005-0000-0000-00001B3F0000}"/>
    <cellStyle name="Normal 14 5 6 3 2" xfId="50945" xr:uid="{00000000-0005-0000-0000-00001C3F0000}"/>
    <cellStyle name="Normal 14 5 6 4" xfId="11235" xr:uid="{00000000-0005-0000-0000-00001D3F0000}"/>
    <cellStyle name="Normal 14 5 6 5" xfId="11236" xr:uid="{00000000-0005-0000-0000-00001E3F0000}"/>
    <cellStyle name="Normal 14 5 6 6" xfId="11237" xr:uid="{00000000-0005-0000-0000-00001F3F0000}"/>
    <cellStyle name="Normal 14 5 7" xfId="11238" xr:uid="{00000000-0005-0000-0000-0000203F0000}"/>
    <cellStyle name="Normal 14 5 7 2" xfId="50946" xr:uid="{00000000-0005-0000-0000-0000213F0000}"/>
    <cellStyle name="Normal 14 5 7 3" xfId="50947" xr:uid="{00000000-0005-0000-0000-0000223F0000}"/>
    <cellStyle name="Normal 14 5 8" xfId="11239" xr:uid="{00000000-0005-0000-0000-0000233F0000}"/>
    <cellStyle name="Normal 14 5 8 2" xfId="50948" xr:uid="{00000000-0005-0000-0000-0000243F0000}"/>
    <cellStyle name="Normal 14 5 9" xfId="11240" xr:uid="{00000000-0005-0000-0000-0000253F0000}"/>
    <cellStyle name="Normal 14 5 9 2" xfId="50949" xr:uid="{00000000-0005-0000-0000-0000263F0000}"/>
    <cellStyle name="Normal 14 6" xfId="11241" xr:uid="{00000000-0005-0000-0000-0000273F0000}"/>
    <cellStyle name="Normal 14 6 10" xfId="11242" xr:uid="{00000000-0005-0000-0000-0000283F0000}"/>
    <cellStyle name="Normal 14 6 11" xfId="11243" xr:uid="{00000000-0005-0000-0000-0000293F0000}"/>
    <cellStyle name="Normal 14 6 12" xfId="11244" xr:uid="{00000000-0005-0000-0000-00002A3F0000}"/>
    <cellStyle name="Normal 14 6 13" xfId="11245" xr:uid="{00000000-0005-0000-0000-00002B3F0000}"/>
    <cellStyle name="Normal 14 6 14" xfId="11246" xr:uid="{00000000-0005-0000-0000-00002C3F0000}"/>
    <cellStyle name="Normal 14 6 2" xfId="11247" xr:uid="{00000000-0005-0000-0000-00002D3F0000}"/>
    <cellStyle name="Normal 14 6 2 2" xfId="11248" xr:uid="{00000000-0005-0000-0000-00002E3F0000}"/>
    <cellStyle name="Normal 14 6 2 2 2" xfId="11249" xr:uid="{00000000-0005-0000-0000-00002F3F0000}"/>
    <cellStyle name="Normal 14 6 2 2 2 2" xfId="11250" xr:uid="{00000000-0005-0000-0000-0000303F0000}"/>
    <cellStyle name="Normal 14 6 2 2 2 2 2" xfId="50950" xr:uid="{00000000-0005-0000-0000-0000313F0000}"/>
    <cellStyle name="Normal 14 6 2 2 2 2 3" xfId="50951" xr:uid="{00000000-0005-0000-0000-0000323F0000}"/>
    <cellStyle name="Normal 14 6 2 2 2 3" xfId="11251" xr:uid="{00000000-0005-0000-0000-0000333F0000}"/>
    <cellStyle name="Normal 14 6 2 2 2 3 2" xfId="50952" xr:uid="{00000000-0005-0000-0000-0000343F0000}"/>
    <cellStyle name="Normal 14 6 2 2 2 4" xfId="11252" xr:uid="{00000000-0005-0000-0000-0000353F0000}"/>
    <cellStyle name="Normal 14 6 2 2 2 5" xfId="11253" xr:uid="{00000000-0005-0000-0000-0000363F0000}"/>
    <cellStyle name="Normal 14 6 2 2 2 6" xfId="11254" xr:uid="{00000000-0005-0000-0000-0000373F0000}"/>
    <cellStyle name="Normal 14 6 2 2 3" xfId="11255" xr:uid="{00000000-0005-0000-0000-0000383F0000}"/>
    <cellStyle name="Normal 14 6 2 2 3 2" xfId="50953" xr:uid="{00000000-0005-0000-0000-0000393F0000}"/>
    <cellStyle name="Normal 14 6 2 2 3 3" xfId="50954" xr:uid="{00000000-0005-0000-0000-00003A3F0000}"/>
    <cellStyle name="Normal 14 6 2 2 4" xfId="11256" xr:uid="{00000000-0005-0000-0000-00003B3F0000}"/>
    <cellStyle name="Normal 14 6 2 2 4 2" xfId="50955" xr:uid="{00000000-0005-0000-0000-00003C3F0000}"/>
    <cellStyle name="Normal 14 6 2 2 5" xfId="11257" xr:uid="{00000000-0005-0000-0000-00003D3F0000}"/>
    <cellStyle name="Normal 14 6 2 2 6" xfId="11258" xr:uid="{00000000-0005-0000-0000-00003E3F0000}"/>
    <cellStyle name="Normal 14 6 2 2 7" xfId="11259" xr:uid="{00000000-0005-0000-0000-00003F3F0000}"/>
    <cellStyle name="Normal 14 6 2 3" xfId="11260" xr:uid="{00000000-0005-0000-0000-0000403F0000}"/>
    <cellStyle name="Normal 14 6 2 3 2" xfId="11261" xr:uid="{00000000-0005-0000-0000-0000413F0000}"/>
    <cellStyle name="Normal 14 6 2 3 2 2" xfId="50956" xr:uid="{00000000-0005-0000-0000-0000423F0000}"/>
    <cellStyle name="Normal 14 6 2 3 2 3" xfId="50957" xr:uid="{00000000-0005-0000-0000-0000433F0000}"/>
    <cellStyle name="Normal 14 6 2 3 3" xfId="11262" xr:uid="{00000000-0005-0000-0000-0000443F0000}"/>
    <cellStyle name="Normal 14 6 2 3 3 2" xfId="50958" xr:uid="{00000000-0005-0000-0000-0000453F0000}"/>
    <cellStyle name="Normal 14 6 2 3 4" xfId="11263" xr:uid="{00000000-0005-0000-0000-0000463F0000}"/>
    <cellStyle name="Normal 14 6 2 3 5" xfId="11264" xr:uid="{00000000-0005-0000-0000-0000473F0000}"/>
    <cellStyle name="Normal 14 6 2 3 6" xfId="11265" xr:uid="{00000000-0005-0000-0000-0000483F0000}"/>
    <cellStyle name="Normal 14 6 2 4" xfId="11266" xr:uid="{00000000-0005-0000-0000-0000493F0000}"/>
    <cellStyle name="Normal 14 6 2 4 2" xfId="50959" xr:uid="{00000000-0005-0000-0000-00004A3F0000}"/>
    <cellStyle name="Normal 14 6 2 4 3" xfId="50960" xr:uid="{00000000-0005-0000-0000-00004B3F0000}"/>
    <cellStyle name="Normal 14 6 2 5" xfId="11267" xr:uid="{00000000-0005-0000-0000-00004C3F0000}"/>
    <cellStyle name="Normal 14 6 2 5 2" xfId="50961" xr:uid="{00000000-0005-0000-0000-00004D3F0000}"/>
    <cellStyle name="Normal 14 6 2 6" xfId="11268" xr:uid="{00000000-0005-0000-0000-00004E3F0000}"/>
    <cellStyle name="Normal 14 6 2 7" xfId="11269" xr:uid="{00000000-0005-0000-0000-00004F3F0000}"/>
    <cellStyle name="Normal 14 6 2 8" xfId="11270" xr:uid="{00000000-0005-0000-0000-0000503F0000}"/>
    <cellStyle name="Normal 14 6 2 9" xfId="11271" xr:uid="{00000000-0005-0000-0000-0000513F0000}"/>
    <cellStyle name="Normal 14 6 3" xfId="11272" xr:uid="{00000000-0005-0000-0000-0000523F0000}"/>
    <cellStyle name="Normal 14 6 3 2" xfId="11273" xr:uid="{00000000-0005-0000-0000-0000533F0000}"/>
    <cellStyle name="Normal 14 6 3 2 2" xfId="11274" xr:uid="{00000000-0005-0000-0000-0000543F0000}"/>
    <cellStyle name="Normal 14 6 3 2 2 2" xfId="11275" xr:uid="{00000000-0005-0000-0000-0000553F0000}"/>
    <cellStyle name="Normal 14 6 3 2 2 2 2" xfId="50962" xr:uid="{00000000-0005-0000-0000-0000563F0000}"/>
    <cellStyle name="Normal 14 6 3 2 2 2 3" xfId="50963" xr:uid="{00000000-0005-0000-0000-0000573F0000}"/>
    <cellStyle name="Normal 14 6 3 2 2 3" xfId="11276" xr:uid="{00000000-0005-0000-0000-0000583F0000}"/>
    <cellStyle name="Normal 14 6 3 2 2 3 2" xfId="50964" xr:uid="{00000000-0005-0000-0000-0000593F0000}"/>
    <cellStyle name="Normal 14 6 3 2 2 4" xfId="11277" xr:uid="{00000000-0005-0000-0000-00005A3F0000}"/>
    <cellStyle name="Normal 14 6 3 2 2 5" xfId="11278" xr:uid="{00000000-0005-0000-0000-00005B3F0000}"/>
    <cellStyle name="Normal 14 6 3 2 2 6" xfId="11279" xr:uid="{00000000-0005-0000-0000-00005C3F0000}"/>
    <cellStyle name="Normal 14 6 3 2 3" xfId="11280" xr:uid="{00000000-0005-0000-0000-00005D3F0000}"/>
    <cellStyle name="Normal 14 6 3 2 3 2" xfId="50965" xr:uid="{00000000-0005-0000-0000-00005E3F0000}"/>
    <cellStyle name="Normal 14 6 3 2 3 3" xfId="50966" xr:uid="{00000000-0005-0000-0000-00005F3F0000}"/>
    <cellStyle name="Normal 14 6 3 2 4" xfId="11281" xr:uid="{00000000-0005-0000-0000-0000603F0000}"/>
    <cellStyle name="Normal 14 6 3 2 4 2" xfId="50967" xr:uid="{00000000-0005-0000-0000-0000613F0000}"/>
    <cellStyle name="Normal 14 6 3 2 5" xfId="11282" xr:uid="{00000000-0005-0000-0000-0000623F0000}"/>
    <cellStyle name="Normal 14 6 3 2 6" xfId="11283" xr:uid="{00000000-0005-0000-0000-0000633F0000}"/>
    <cellStyle name="Normal 14 6 3 2 7" xfId="11284" xr:uid="{00000000-0005-0000-0000-0000643F0000}"/>
    <cellStyle name="Normal 14 6 3 3" xfId="11285" xr:uid="{00000000-0005-0000-0000-0000653F0000}"/>
    <cellStyle name="Normal 14 6 3 3 2" xfId="11286" xr:uid="{00000000-0005-0000-0000-0000663F0000}"/>
    <cellStyle name="Normal 14 6 3 3 2 2" xfId="50968" xr:uid="{00000000-0005-0000-0000-0000673F0000}"/>
    <cellStyle name="Normal 14 6 3 3 2 3" xfId="50969" xr:uid="{00000000-0005-0000-0000-0000683F0000}"/>
    <cellStyle name="Normal 14 6 3 3 3" xfId="11287" xr:uid="{00000000-0005-0000-0000-0000693F0000}"/>
    <cellStyle name="Normal 14 6 3 3 3 2" xfId="50970" xr:uid="{00000000-0005-0000-0000-00006A3F0000}"/>
    <cellStyle name="Normal 14 6 3 3 4" xfId="11288" xr:uid="{00000000-0005-0000-0000-00006B3F0000}"/>
    <cellStyle name="Normal 14 6 3 3 5" xfId="11289" xr:uid="{00000000-0005-0000-0000-00006C3F0000}"/>
    <cellStyle name="Normal 14 6 3 3 6" xfId="11290" xr:uid="{00000000-0005-0000-0000-00006D3F0000}"/>
    <cellStyle name="Normal 14 6 3 4" xfId="11291" xr:uid="{00000000-0005-0000-0000-00006E3F0000}"/>
    <cellStyle name="Normal 14 6 3 4 2" xfId="50971" xr:uid="{00000000-0005-0000-0000-00006F3F0000}"/>
    <cellStyle name="Normal 14 6 3 4 3" xfId="50972" xr:uid="{00000000-0005-0000-0000-0000703F0000}"/>
    <cellStyle name="Normal 14 6 3 5" xfId="11292" xr:uid="{00000000-0005-0000-0000-0000713F0000}"/>
    <cellStyle name="Normal 14 6 3 5 2" xfId="50973" xr:uid="{00000000-0005-0000-0000-0000723F0000}"/>
    <cellStyle name="Normal 14 6 3 6" xfId="11293" xr:uid="{00000000-0005-0000-0000-0000733F0000}"/>
    <cellStyle name="Normal 14 6 3 7" xfId="11294" xr:uid="{00000000-0005-0000-0000-0000743F0000}"/>
    <cellStyle name="Normal 14 6 3 8" xfId="11295" xr:uid="{00000000-0005-0000-0000-0000753F0000}"/>
    <cellStyle name="Normal 14 6 4" xfId="11296" xr:uid="{00000000-0005-0000-0000-0000763F0000}"/>
    <cellStyle name="Normal 14 6 4 2" xfId="11297" xr:uid="{00000000-0005-0000-0000-0000773F0000}"/>
    <cellStyle name="Normal 14 6 4 2 2" xfId="11298" xr:uid="{00000000-0005-0000-0000-0000783F0000}"/>
    <cellStyle name="Normal 14 6 4 2 2 2" xfId="50974" xr:uid="{00000000-0005-0000-0000-0000793F0000}"/>
    <cellStyle name="Normal 14 6 4 2 2 3" xfId="50975" xr:uid="{00000000-0005-0000-0000-00007A3F0000}"/>
    <cellStyle name="Normal 14 6 4 2 3" xfId="11299" xr:uid="{00000000-0005-0000-0000-00007B3F0000}"/>
    <cellStyle name="Normal 14 6 4 2 3 2" xfId="50976" xr:uid="{00000000-0005-0000-0000-00007C3F0000}"/>
    <cellStyle name="Normal 14 6 4 2 4" xfId="11300" xr:uid="{00000000-0005-0000-0000-00007D3F0000}"/>
    <cellStyle name="Normal 14 6 4 2 5" xfId="11301" xr:uid="{00000000-0005-0000-0000-00007E3F0000}"/>
    <cellStyle name="Normal 14 6 4 2 6" xfId="11302" xr:uid="{00000000-0005-0000-0000-00007F3F0000}"/>
    <cellStyle name="Normal 14 6 4 3" xfId="11303" xr:uid="{00000000-0005-0000-0000-0000803F0000}"/>
    <cellStyle name="Normal 14 6 4 3 2" xfId="50977" xr:uid="{00000000-0005-0000-0000-0000813F0000}"/>
    <cellStyle name="Normal 14 6 4 3 3" xfId="50978" xr:uid="{00000000-0005-0000-0000-0000823F0000}"/>
    <cellStyle name="Normal 14 6 4 4" xfId="11304" xr:uid="{00000000-0005-0000-0000-0000833F0000}"/>
    <cellStyle name="Normal 14 6 4 4 2" xfId="50979" xr:uid="{00000000-0005-0000-0000-0000843F0000}"/>
    <cellStyle name="Normal 14 6 4 5" xfId="11305" xr:uid="{00000000-0005-0000-0000-0000853F0000}"/>
    <cellStyle name="Normal 14 6 4 6" xfId="11306" xr:uid="{00000000-0005-0000-0000-0000863F0000}"/>
    <cellStyle name="Normal 14 6 4 7" xfId="11307" xr:uid="{00000000-0005-0000-0000-0000873F0000}"/>
    <cellStyle name="Normal 14 6 5" xfId="11308" xr:uid="{00000000-0005-0000-0000-0000883F0000}"/>
    <cellStyle name="Normal 14 6 5 2" xfId="11309" xr:uid="{00000000-0005-0000-0000-0000893F0000}"/>
    <cellStyle name="Normal 14 6 5 2 2" xfId="50980" xr:uid="{00000000-0005-0000-0000-00008A3F0000}"/>
    <cellStyle name="Normal 14 6 5 2 3" xfId="50981" xr:uid="{00000000-0005-0000-0000-00008B3F0000}"/>
    <cellStyle name="Normal 14 6 5 3" xfId="11310" xr:uid="{00000000-0005-0000-0000-00008C3F0000}"/>
    <cellStyle name="Normal 14 6 5 3 2" xfId="50982" xr:uid="{00000000-0005-0000-0000-00008D3F0000}"/>
    <cellStyle name="Normal 14 6 5 4" xfId="11311" xr:uid="{00000000-0005-0000-0000-00008E3F0000}"/>
    <cellStyle name="Normal 14 6 5 5" xfId="11312" xr:uid="{00000000-0005-0000-0000-00008F3F0000}"/>
    <cellStyle name="Normal 14 6 5 6" xfId="11313" xr:uid="{00000000-0005-0000-0000-0000903F0000}"/>
    <cellStyle name="Normal 14 6 6" xfId="11314" xr:uid="{00000000-0005-0000-0000-0000913F0000}"/>
    <cellStyle name="Normal 14 6 6 2" xfId="50983" xr:uid="{00000000-0005-0000-0000-0000923F0000}"/>
    <cellStyle name="Normal 14 6 6 3" xfId="50984" xr:uid="{00000000-0005-0000-0000-0000933F0000}"/>
    <cellStyle name="Normal 14 6 7" xfId="11315" xr:uid="{00000000-0005-0000-0000-0000943F0000}"/>
    <cellStyle name="Normal 14 6 7 2" xfId="50985" xr:uid="{00000000-0005-0000-0000-0000953F0000}"/>
    <cellStyle name="Normal 14 6 8" xfId="11316" xr:uid="{00000000-0005-0000-0000-0000963F0000}"/>
    <cellStyle name="Normal 14 6 9" xfId="11317" xr:uid="{00000000-0005-0000-0000-0000973F0000}"/>
    <cellStyle name="Normal 14 7" xfId="11318" xr:uid="{00000000-0005-0000-0000-0000983F0000}"/>
    <cellStyle name="Normal 14 7 10" xfId="11319" xr:uid="{00000000-0005-0000-0000-0000993F0000}"/>
    <cellStyle name="Normal 14 7 11" xfId="11320" xr:uid="{00000000-0005-0000-0000-00009A3F0000}"/>
    <cellStyle name="Normal 14 7 12" xfId="11321" xr:uid="{00000000-0005-0000-0000-00009B3F0000}"/>
    <cellStyle name="Normal 14 7 13" xfId="11322" xr:uid="{00000000-0005-0000-0000-00009C3F0000}"/>
    <cellStyle name="Normal 14 7 14" xfId="11323" xr:uid="{00000000-0005-0000-0000-00009D3F0000}"/>
    <cellStyle name="Normal 14 7 2" xfId="11324" xr:uid="{00000000-0005-0000-0000-00009E3F0000}"/>
    <cellStyle name="Normal 14 7 2 2" xfId="11325" xr:uid="{00000000-0005-0000-0000-00009F3F0000}"/>
    <cellStyle name="Normal 14 7 2 2 2" xfId="11326" xr:uid="{00000000-0005-0000-0000-0000A03F0000}"/>
    <cellStyle name="Normal 14 7 2 2 2 2" xfId="11327" xr:uid="{00000000-0005-0000-0000-0000A13F0000}"/>
    <cellStyle name="Normal 14 7 2 2 2 2 2" xfId="50986" xr:uid="{00000000-0005-0000-0000-0000A23F0000}"/>
    <cellStyle name="Normal 14 7 2 2 2 2 3" xfId="50987" xr:uid="{00000000-0005-0000-0000-0000A33F0000}"/>
    <cellStyle name="Normal 14 7 2 2 2 3" xfId="11328" xr:uid="{00000000-0005-0000-0000-0000A43F0000}"/>
    <cellStyle name="Normal 14 7 2 2 2 3 2" xfId="50988" xr:uid="{00000000-0005-0000-0000-0000A53F0000}"/>
    <cellStyle name="Normal 14 7 2 2 2 4" xfId="11329" xr:uid="{00000000-0005-0000-0000-0000A63F0000}"/>
    <cellStyle name="Normal 14 7 2 2 2 5" xfId="11330" xr:uid="{00000000-0005-0000-0000-0000A73F0000}"/>
    <cellStyle name="Normal 14 7 2 2 2 6" xfId="11331" xr:uid="{00000000-0005-0000-0000-0000A83F0000}"/>
    <cellStyle name="Normal 14 7 2 2 3" xfId="11332" xr:uid="{00000000-0005-0000-0000-0000A93F0000}"/>
    <cellStyle name="Normal 14 7 2 2 3 2" xfId="50989" xr:uid="{00000000-0005-0000-0000-0000AA3F0000}"/>
    <cellStyle name="Normal 14 7 2 2 3 3" xfId="50990" xr:uid="{00000000-0005-0000-0000-0000AB3F0000}"/>
    <cellStyle name="Normal 14 7 2 2 4" xfId="11333" xr:uid="{00000000-0005-0000-0000-0000AC3F0000}"/>
    <cellStyle name="Normal 14 7 2 2 4 2" xfId="50991" xr:uid="{00000000-0005-0000-0000-0000AD3F0000}"/>
    <cellStyle name="Normal 14 7 2 2 5" xfId="11334" xr:uid="{00000000-0005-0000-0000-0000AE3F0000}"/>
    <cellStyle name="Normal 14 7 2 2 6" xfId="11335" xr:uid="{00000000-0005-0000-0000-0000AF3F0000}"/>
    <cellStyle name="Normal 14 7 2 2 7" xfId="11336" xr:uid="{00000000-0005-0000-0000-0000B03F0000}"/>
    <cellStyle name="Normal 14 7 2 3" xfId="11337" xr:uid="{00000000-0005-0000-0000-0000B13F0000}"/>
    <cellStyle name="Normal 14 7 2 3 2" xfId="11338" xr:uid="{00000000-0005-0000-0000-0000B23F0000}"/>
    <cellStyle name="Normal 14 7 2 3 2 2" xfId="50992" xr:uid="{00000000-0005-0000-0000-0000B33F0000}"/>
    <cellStyle name="Normal 14 7 2 3 2 3" xfId="50993" xr:uid="{00000000-0005-0000-0000-0000B43F0000}"/>
    <cellStyle name="Normal 14 7 2 3 3" xfId="11339" xr:uid="{00000000-0005-0000-0000-0000B53F0000}"/>
    <cellStyle name="Normal 14 7 2 3 3 2" xfId="50994" xr:uid="{00000000-0005-0000-0000-0000B63F0000}"/>
    <cellStyle name="Normal 14 7 2 3 4" xfId="11340" xr:uid="{00000000-0005-0000-0000-0000B73F0000}"/>
    <cellStyle name="Normal 14 7 2 3 5" xfId="11341" xr:uid="{00000000-0005-0000-0000-0000B83F0000}"/>
    <cellStyle name="Normal 14 7 2 3 6" xfId="11342" xr:uid="{00000000-0005-0000-0000-0000B93F0000}"/>
    <cellStyle name="Normal 14 7 2 4" xfId="11343" xr:uid="{00000000-0005-0000-0000-0000BA3F0000}"/>
    <cellStyle name="Normal 14 7 2 4 2" xfId="50995" xr:uid="{00000000-0005-0000-0000-0000BB3F0000}"/>
    <cellStyle name="Normal 14 7 2 4 3" xfId="50996" xr:uid="{00000000-0005-0000-0000-0000BC3F0000}"/>
    <cellStyle name="Normal 14 7 2 5" xfId="11344" xr:uid="{00000000-0005-0000-0000-0000BD3F0000}"/>
    <cellStyle name="Normal 14 7 2 5 2" xfId="50997" xr:uid="{00000000-0005-0000-0000-0000BE3F0000}"/>
    <cellStyle name="Normal 14 7 2 6" xfId="11345" xr:uid="{00000000-0005-0000-0000-0000BF3F0000}"/>
    <cellStyle name="Normal 14 7 2 7" xfId="11346" xr:uid="{00000000-0005-0000-0000-0000C03F0000}"/>
    <cellStyle name="Normal 14 7 2 8" xfId="11347" xr:uid="{00000000-0005-0000-0000-0000C13F0000}"/>
    <cellStyle name="Normal 14 7 2 9" xfId="11348" xr:uid="{00000000-0005-0000-0000-0000C23F0000}"/>
    <cellStyle name="Normal 14 7 3" xfId="11349" xr:uid="{00000000-0005-0000-0000-0000C33F0000}"/>
    <cellStyle name="Normal 14 7 3 2" xfId="11350" xr:uid="{00000000-0005-0000-0000-0000C43F0000}"/>
    <cellStyle name="Normal 14 7 3 2 2" xfId="11351" xr:uid="{00000000-0005-0000-0000-0000C53F0000}"/>
    <cellStyle name="Normal 14 7 3 2 2 2" xfId="11352" xr:uid="{00000000-0005-0000-0000-0000C63F0000}"/>
    <cellStyle name="Normal 14 7 3 2 2 2 2" xfId="50998" xr:uid="{00000000-0005-0000-0000-0000C73F0000}"/>
    <cellStyle name="Normal 14 7 3 2 2 2 3" xfId="50999" xr:uid="{00000000-0005-0000-0000-0000C83F0000}"/>
    <cellStyle name="Normal 14 7 3 2 2 3" xfId="11353" xr:uid="{00000000-0005-0000-0000-0000C93F0000}"/>
    <cellStyle name="Normal 14 7 3 2 2 3 2" xfId="51000" xr:uid="{00000000-0005-0000-0000-0000CA3F0000}"/>
    <cellStyle name="Normal 14 7 3 2 2 4" xfId="11354" xr:uid="{00000000-0005-0000-0000-0000CB3F0000}"/>
    <cellStyle name="Normal 14 7 3 2 2 5" xfId="11355" xr:uid="{00000000-0005-0000-0000-0000CC3F0000}"/>
    <cellStyle name="Normal 14 7 3 2 2 6" xfId="11356" xr:uid="{00000000-0005-0000-0000-0000CD3F0000}"/>
    <cellStyle name="Normal 14 7 3 2 3" xfId="11357" xr:uid="{00000000-0005-0000-0000-0000CE3F0000}"/>
    <cellStyle name="Normal 14 7 3 2 3 2" xfId="51001" xr:uid="{00000000-0005-0000-0000-0000CF3F0000}"/>
    <cellStyle name="Normal 14 7 3 2 3 3" xfId="51002" xr:uid="{00000000-0005-0000-0000-0000D03F0000}"/>
    <cellStyle name="Normal 14 7 3 2 4" xfId="11358" xr:uid="{00000000-0005-0000-0000-0000D13F0000}"/>
    <cellStyle name="Normal 14 7 3 2 4 2" xfId="51003" xr:uid="{00000000-0005-0000-0000-0000D23F0000}"/>
    <cellStyle name="Normal 14 7 3 2 5" xfId="11359" xr:uid="{00000000-0005-0000-0000-0000D33F0000}"/>
    <cellStyle name="Normal 14 7 3 2 6" xfId="11360" xr:uid="{00000000-0005-0000-0000-0000D43F0000}"/>
    <cellStyle name="Normal 14 7 3 2 7" xfId="11361" xr:uid="{00000000-0005-0000-0000-0000D53F0000}"/>
    <cellStyle name="Normal 14 7 3 3" xfId="11362" xr:uid="{00000000-0005-0000-0000-0000D63F0000}"/>
    <cellStyle name="Normal 14 7 3 3 2" xfId="11363" xr:uid="{00000000-0005-0000-0000-0000D73F0000}"/>
    <cellStyle name="Normal 14 7 3 3 2 2" xfId="51004" xr:uid="{00000000-0005-0000-0000-0000D83F0000}"/>
    <cellStyle name="Normal 14 7 3 3 2 3" xfId="51005" xr:uid="{00000000-0005-0000-0000-0000D93F0000}"/>
    <cellStyle name="Normal 14 7 3 3 3" xfId="11364" xr:uid="{00000000-0005-0000-0000-0000DA3F0000}"/>
    <cellStyle name="Normal 14 7 3 3 3 2" xfId="51006" xr:uid="{00000000-0005-0000-0000-0000DB3F0000}"/>
    <cellStyle name="Normal 14 7 3 3 4" xfId="11365" xr:uid="{00000000-0005-0000-0000-0000DC3F0000}"/>
    <cellStyle name="Normal 14 7 3 3 5" xfId="11366" xr:uid="{00000000-0005-0000-0000-0000DD3F0000}"/>
    <cellStyle name="Normal 14 7 3 3 6" xfId="11367" xr:uid="{00000000-0005-0000-0000-0000DE3F0000}"/>
    <cellStyle name="Normal 14 7 3 4" xfId="11368" xr:uid="{00000000-0005-0000-0000-0000DF3F0000}"/>
    <cellStyle name="Normal 14 7 3 4 2" xfId="51007" xr:uid="{00000000-0005-0000-0000-0000E03F0000}"/>
    <cellStyle name="Normal 14 7 3 4 3" xfId="51008" xr:uid="{00000000-0005-0000-0000-0000E13F0000}"/>
    <cellStyle name="Normal 14 7 3 5" xfId="11369" xr:uid="{00000000-0005-0000-0000-0000E23F0000}"/>
    <cellStyle name="Normal 14 7 3 5 2" xfId="51009" xr:uid="{00000000-0005-0000-0000-0000E33F0000}"/>
    <cellStyle name="Normal 14 7 3 6" xfId="11370" xr:uid="{00000000-0005-0000-0000-0000E43F0000}"/>
    <cellStyle name="Normal 14 7 3 7" xfId="11371" xr:uid="{00000000-0005-0000-0000-0000E53F0000}"/>
    <cellStyle name="Normal 14 7 3 8" xfId="11372" xr:uid="{00000000-0005-0000-0000-0000E63F0000}"/>
    <cellStyle name="Normal 14 7 4" xfId="11373" xr:uid="{00000000-0005-0000-0000-0000E73F0000}"/>
    <cellStyle name="Normal 14 7 4 2" xfId="11374" xr:uid="{00000000-0005-0000-0000-0000E83F0000}"/>
    <cellStyle name="Normal 14 7 4 2 2" xfId="11375" xr:uid="{00000000-0005-0000-0000-0000E93F0000}"/>
    <cellStyle name="Normal 14 7 4 2 2 2" xfId="51010" xr:uid="{00000000-0005-0000-0000-0000EA3F0000}"/>
    <cellStyle name="Normal 14 7 4 2 2 3" xfId="51011" xr:uid="{00000000-0005-0000-0000-0000EB3F0000}"/>
    <cellStyle name="Normal 14 7 4 2 3" xfId="11376" xr:uid="{00000000-0005-0000-0000-0000EC3F0000}"/>
    <cellStyle name="Normal 14 7 4 2 3 2" xfId="51012" xr:uid="{00000000-0005-0000-0000-0000ED3F0000}"/>
    <cellStyle name="Normal 14 7 4 2 4" xfId="11377" xr:uid="{00000000-0005-0000-0000-0000EE3F0000}"/>
    <cellStyle name="Normal 14 7 4 2 5" xfId="11378" xr:uid="{00000000-0005-0000-0000-0000EF3F0000}"/>
    <cellStyle name="Normal 14 7 4 2 6" xfId="11379" xr:uid="{00000000-0005-0000-0000-0000F03F0000}"/>
    <cellStyle name="Normal 14 7 4 3" xfId="11380" xr:uid="{00000000-0005-0000-0000-0000F13F0000}"/>
    <cellStyle name="Normal 14 7 4 3 2" xfId="51013" xr:uid="{00000000-0005-0000-0000-0000F23F0000}"/>
    <cellStyle name="Normal 14 7 4 3 3" xfId="51014" xr:uid="{00000000-0005-0000-0000-0000F33F0000}"/>
    <cellStyle name="Normal 14 7 4 4" xfId="11381" xr:uid="{00000000-0005-0000-0000-0000F43F0000}"/>
    <cellStyle name="Normal 14 7 4 4 2" xfId="51015" xr:uid="{00000000-0005-0000-0000-0000F53F0000}"/>
    <cellStyle name="Normal 14 7 4 5" xfId="11382" xr:uid="{00000000-0005-0000-0000-0000F63F0000}"/>
    <cellStyle name="Normal 14 7 4 6" xfId="11383" xr:uid="{00000000-0005-0000-0000-0000F73F0000}"/>
    <cellStyle name="Normal 14 7 4 7" xfId="11384" xr:uid="{00000000-0005-0000-0000-0000F83F0000}"/>
    <cellStyle name="Normal 14 7 5" xfId="11385" xr:uid="{00000000-0005-0000-0000-0000F93F0000}"/>
    <cellStyle name="Normal 14 7 5 2" xfId="11386" xr:uid="{00000000-0005-0000-0000-0000FA3F0000}"/>
    <cellStyle name="Normal 14 7 5 2 2" xfId="51016" xr:uid="{00000000-0005-0000-0000-0000FB3F0000}"/>
    <cellStyle name="Normal 14 7 5 2 3" xfId="51017" xr:uid="{00000000-0005-0000-0000-0000FC3F0000}"/>
    <cellStyle name="Normal 14 7 5 3" xfId="11387" xr:uid="{00000000-0005-0000-0000-0000FD3F0000}"/>
    <cellStyle name="Normal 14 7 5 3 2" xfId="51018" xr:uid="{00000000-0005-0000-0000-0000FE3F0000}"/>
    <cellStyle name="Normal 14 7 5 4" xfId="11388" xr:uid="{00000000-0005-0000-0000-0000FF3F0000}"/>
    <cellStyle name="Normal 14 7 5 5" xfId="11389" xr:uid="{00000000-0005-0000-0000-000000400000}"/>
    <cellStyle name="Normal 14 7 5 6" xfId="11390" xr:uid="{00000000-0005-0000-0000-000001400000}"/>
    <cellStyle name="Normal 14 7 6" xfId="11391" xr:uid="{00000000-0005-0000-0000-000002400000}"/>
    <cellStyle name="Normal 14 7 6 2" xfId="51019" xr:uid="{00000000-0005-0000-0000-000003400000}"/>
    <cellStyle name="Normal 14 7 6 3" xfId="51020" xr:uid="{00000000-0005-0000-0000-000004400000}"/>
    <cellStyle name="Normal 14 7 7" xfId="11392" xr:uid="{00000000-0005-0000-0000-000005400000}"/>
    <cellStyle name="Normal 14 7 7 2" xfId="51021" xr:uid="{00000000-0005-0000-0000-000006400000}"/>
    <cellStyle name="Normal 14 7 8" xfId="11393" xr:uid="{00000000-0005-0000-0000-000007400000}"/>
    <cellStyle name="Normal 14 7 9" xfId="11394" xr:uid="{00000000-0005-0000-0000-000008400000}"/>
    <cellStyle name="Normal 14 8" xfId="11395" xr:uid="{00000000-0005-0000-0000-000009400000}"/>
    <cellStyle name="Normal 14 8 10" xfId="11396" xr:uid="{00000000-0005-0000-0000-00000A400000}"/>
    <cellStyle name="Normal 14 8 11" xfId="11397" xr:uid="{00000000-0005-0000-0000-00000B400000}"/>
    <cellStyle name="Normal 14 8 12" xfId="11398" xr:uid="{00000000-0005-0000-0000-00000C400000}"/>
    <cellStyle name="Normal 14 8 13" xfId="11399" xr:uid="{00000000-0005-0000-0000-00000D400000}"/>
    <cellStyle name="Normal 14 8 2" xfId="11400" xr:uid="{00000000-0005-0000-0000-00000E400000}"/>
    <cellStyle name="Normal 14 8 2 2" xfId="11401" xr:uid="{00000000-0005-0000-0000-00000F400000}"/>
    <cellStyle name="Normal 14 8 2 2 2" xfId="11402" xr:uid="{00000000-0005-0000-0000-000010400000}"/>
    <cellStyle name="Normal 14 8 2 2 2 2" xfId="11403" xr:uid="{00000000-0005-0000-0000-000011400000}"/>
    <cellStyle name="Normal 14 8 2 2 2 2 2" xfId="51022" xr:uid="{00000000-0005-0000-0000-000012400000}"/>
    <cellStyle name="Normal 14 8 2 2 2 2 3" xfId="51023" xr:uid="{00000000-0005-0000-0000-000013400000}"/>
    <cellStyle name="Normal 14 8 2 2 2 3" xfId="11404" xr:uid="{00000000-0005-0000-0000-000014400000}"/>
    <cellStyle name="Normal 14 8 2 2 2 3 2" xfId="51024" xr:uid="{00000000-0005-0000-0000-000015400000}"/>
    <cellStyle name="Normal 14 8 2 2 2 4" xfId="11405" xr:uid="{00000000-0005-0000-0000-000016400000}"/>
    <cellStyle name="Normal 14 8 2 2 2 5" xfId="11406" xr:uid="{00000000-0005-0000-0000-000017400000}"/>
    <cellStyle name="Normal 14 8 2 2 2 6" xfId="11407" xr:uid="{00000000-0005-0000-0000-000018400000}"/>
    <cellStyle name="Normal 14 8 2 2 3" xfId="11408" xr:uid="{00000000-0005-0000-0000-000019400000}"/>
    <cellStyle name="Normal 14 8 2 2 3 2" xfId="51025" xr:uid="{00000000-0005-0000-0000-00001A400000}"/>
    <cellStyle name="Normal 14 8 2 2 3 3" xfId="51026" xr:uid="{00000000-0005-0000-0000-00001B400000}"/>
    <cellStyle name="Normal 14 8 2 2 4" xfId="11409" xr:uid="{00000000-0005-0000-0000-00001C400000}"/>
    <cellStyle name="Normal 14 8 2 2 4 2" xfId="51027" xr:uid="{00000000-0005-0000-0000-00001D400000}"/>
    <cellStyle name="Normal 14 8 2 2 5" xfId="11410" xr:uid="{00000000-0005-0000-0000-00001E400000}"/>
    <cellStyle name="Normal 14 8 2 2 6" xfId="11411" xr:uid="{00000000-0005-0000-0000-00001F400000}"/>
    <cellStyle name="Normal 14 8 2 2 7" xfId="11412" xr:uid="{00000000-0005-0000-0000-000020400000}"/>
    <cellStyle name="Normal 14 8 2 3" xfId="11413" xr:uid="{00000000-0005-0000-0000-000021400000}"/>
    <cellStyle name="Normal 14 8 2 3 2" xfId="11414" xr:uid="{00000000-0005-0000-0000-000022400000}"/>
    <cellStyle name="Normal 14 8 2 3 2 2" xfId="51028" xr:uid="{00000000-0005-0000-0000-000023400000}"/>
    <cellStyle name="Normal 14 8 2 3 2 3" xfId="51029" xr:uid="{00000000-0005-0000-0000-000024400000}"/>
    <cellStyle name="Normal 14 8 2 3 3" xfId="11415" xr:uid="{00000000-0005-0000-0000-000025400000}"/>
    <cellStyle name="Normal 14 8 2 3 3 2" xfId="51030" xr:uid="{00000000-0005-0000-0000-000026400000}"/>
    <cellStyle name="Normal 14 8 2 3 4" xfId="11416" xr:uid="{00000000-0005-0000-0000-000027400000}"/>
    <cellStyle name="Normal 14 8 2 3 5" xfId="11417" xr:uid="{00000000-0005-0000-0000-000028400000}"/>
    <cellStyle name="Normal 14 8 2 3 6" xfId="11418" xr:uid="{00000000-0005-0000-0000-000029400000}"/>
    <cellStyle name="Normal 14 8 2 4" xfId="11419" xr:uid="{00000000-0005-0000-0000-00002A400000}"/>
    <cellStyle name="Normal 14 8 2 4 2" xfId="51031" xr:uid="{00000000-0005-0000-0000-00002B400000}"/>
    <cellStyle name="Normal 14 8 2 4 3" xfId="51032" xr:uid="{00000000-0005-0000-0000-00002C400000}"/>
    <cellStyle name="Normal 14 8 2 5" xfId="11420" xr:uid="{00000000-0005-0000-0000-00002D400000}"/>
    <cellStyle name="Normal 14 8 2 5 2" xfId="51033" xr:uid="{00000000-0005-0000-0000-00002E400000}"/>
    <cellStyle name="Normal 14 8 2 6" xfId="11421" xr:uid="{00000000-0005-0000-0000-00002F400000}"/>
    <cellStyle name="Normal 14 8 2 7" xfId="11422" xr:uid="{00000000-0005-0000-0000-000030400000}"/>
    <cellStyle name="Normal 14 8 2 8" xfId="11423" xr:uid="{00000000-0005-0000-0000-000031400000}"/>
    <cellStyle name="Normal 14 8 2 9" xfId="11424" xr:uid="{00000000-0005-0000-0000-000032400000}"/>
    <cellStyle name="Normal 14 8 3" xfId="11425" xr:uid="{00000000-0005-0000-0000-000033400000}"/>
    <cellStyle name="Normal 14 8 3 2" xfId="11426" xr:uid="{00000000-0005-0000-0000-000034400000}"/>
    <cellStyle name="Normal 14 8 3 2 2" xfId="11427" xr:uid="{00000000-0005-0000-0000-000035400000}"/>
    <cellStyle name="Normal 14 8 3 2 2 2" xfId="51034" xr:uid="{00000000-0005-0000-0000-000036400000}"/>
    <cellStyle name="Normal 14 8 3 2 2 3" xfId="51035" xr:uid="{00000000-0005-0000-0000-000037400000}"/>
    <cellStyle name="Normal 14 8 3 2 3" xfId="11428" xr:uid="{00000000-0005-0000-0000-000038400000}"/>
    <cellStyle name="Normal 14 8 3 2 3 2" xfId="51036" xr:uid="{00000000-0005-0000-0000-000039400000}"/>
    <cellStyle name="Normal 14 8 3 2 4" xfId="11429" xr:uid="{00000000-0005-0000-0000-00003A400000}"/>
    <cellStyle name="Normal 14 8 3 2 5" xfId="11430" xr:uid="{00000000-0005-0000-0000-00003B400000}"/>
    <cellStyle name="Normal 14 8 3 2 6" xfId="11431" xr:uid="{00000000-0005-0000-0000-00003C400000}"/>
    <cellStyle name="Normal 14 8 3 3" xfId="11432" xr:uid="{00000000-0005-0000-0000-00003D400000}"/>
    <cellStyle name="Normal 14 8 3 3 2" xfId="51037" xr:uid="{00000000-0005-0000-0000-00003E400000}"/>
    <cellStyle name="Normal 14 8 3 3 3" xfId="51038" xr:uid="{00000000-0005-0000-0000-00003F400000}"/>
    <cellStyle name="Normal 14 8 3 4" xfId="11433" xr:uid="{00000000-0005-0000-0000-000040400000}"/>
    <cellStyle name="Normal 14 8 3 4 2" xfId="51039" xr:uid="{00000000-0005-0000-0000-000041400000}"/>
    <cellStyle name="Normal 14 8 3 5" xfId="11434" xr:uid="{00000000-0005-0000-0000-000042400000}"/>
    <cellStyle name="Normal 14 8 3 6" xfId="11435" xr:uid="{00000000-0005-0000-0000-000043400000}"/>
    <cellStyle name="Normal 14 8 3 7" xfId="11436" xr:uid="{00000000-0005-0000-0000-000044400000}"/>
    <cellStyle name="Normal 14 8 4" xfId="11437" xr:uid="{00000000-0005-0000-0000-000045400000}"/>
    <cellStyle name="Normal 14 8 4 2" xfId="11438" xr:uid="{00000000-0005-0000-0000-000046400000}"/>
    <cellStyle name="Normal 14 8 4 2 2" xfId="51040" xr:uid="{00000000-0005-0000-0000-000047400000}"/>
    <cellStyle name="Normal 14 8 4 2 3" xfId="51041" xr:uid="{00000000-0005-0000-0000-000048400000}"/>
    <cellStyle name="Normal 14 8 4 3" xfId="11439" xr:uid="{00000000-0005-0000-0000-000049400000}"/>
    <cellStyle name="Normal 14 8 4 3 2" xfId="51042" xr:uid="{00000000-0005-0000-0000-00004A400000}"/>
    <cellStyle name="Normal 14 8 4 4" xfId="11440" xr:uid="{00000000-0005-0000-0000-00004B400000}"/>
    <cellStyle name="Normal 14 8 4 5" xfId="11441" xr:uid="{00000000-0005-0000-0000-00004C400000}"/>
    <cellStyle name="Normal 14 8 4 6" xfId="11442" xr:uid="{00000000-0005-0000-0000-00004D400000}"/>
    <cellStyle name="Normal 14 8 5" xfId="11443" xr:uid="{00000000-0005-0000-0000-00004E400000}"/>
    <cellStyle name="Normal 14 8 5 2" xfId="51043" xr:uid="{00000000-0005-0000-0000-00004F400000}"/>
    <cellStyle name="Normal 14 8 5 3" xfId="51044" xr:uid="{00000000-0005-0000-0000-000050400000}"/>
    <cellStyle name="Normal 14 8 6" xfId="11444" xr:uid="{00000000-0005-0000-0000-000051400000}"/>
    <cellStyle name="Normal 14 8 6 2" xfId="51045" xr:uid="{00000000-0005-0000-0000-000052400000}"/>
    <cellStyle name="Normal 14 8 7" xfId="11445" xr:uid="{00000000-0005-0000-0000-000053400000}"/>
    <cellStyle name="Normal 14 8 8" xfId="11446" xr:uid="{00000000-0005-0000-0000-000054400000}"/>
    <cellStyle name="Normal 14 8 9" xfId="11447" xr:uid="{00000000-0005-0000-0000-000055400000}"/>
    <cellStyle name="Normal 14 9" xfId="11448" xr:uid="{00000000-0005-0000-0000-000056400000}"/>
    <cellStyle name="Normal 14 9 2" xfId="11449" xr:uid="{00000000-0005-0000-0000-000057400000}"/>
    <cellStyle name="Normal 14 9 2 2" xfId="11450" xr:uid="{00000000-0005-0000-0000-000058400000}"/>
    <cellStyle name="Normal 14 9 2 2 2" xfId="11451" xr:uid="{00000000-0005-0000-0000-000059400000}"/>
    <cellStyle name="Normal 14 9 2 2 2 2" xfId="51046" xr:uid="{00000000-0005-0000-0000-00005A400000}"/>
    <cellStyle name="Normal 14 9 2 2 2 3" xfId="51047" xr:uid="{00000000-0005-0000-0000-00005B400000}"/>
    <cellStyle name="Normal 14 9 2 2 3" xfId="11452" xr:uid="{00000000-0005-0000-0000-00005C400000}"/>
    <cellStyle name="Normal 14 9 2 2 3 2" xfId="51048" xr:uid="{00000000-0005-0000-0000-00005D400000}"/>
    <cellStyle name="Normal 14 9 2 2 4" xfId="11453" xr:uid="{00000000-0005-0000-0000-00005E400000}"/>
    <cellStyle name="Normal 14 9 2 2 5" xfId="11454" xr:uid="{00000000-0005-0000-0000-00005F400000}"/>
    <cellStyle name="Normal 14 9 2 2 6" xfId="11455" xr:uid="{00000000-0005-0000-0000-000060400000}"/>
    <cellStyle name="Normal 14 9 2 3" xfId="11456" xr:uid="{00000000-0005-0000-0000-000061400000}"/>
    <cellStyle name="Normal 14 9 2 3 2" xfId="51049" xr:uid="{00000000-0005-0000-0000-000062400000}"/>
    <cellStyle name="Normal 14 9 2 3 3" xfId="51050" xr:uid="{00000000-0005-0000-0000-000063400000}"/>
    <cellStyle name="Normal 14 9 2 4" xfId="11457" xr:uid="{00000000-0005-0000-0000-000064400000}"/>
    <cellStyle name="Normal 14 9 2 4 2" xfId="51051" xr:uid="{00000000-0005-0000-0000-000065400000}"/>
    <cellStyle name="Normal 14 9 2 5" xfId="11458" xr:uid="{00000000-0005-0000-0000-000066400000}"/>
    <cellStyle name="Normal 14 9 2 6" xfId="11459" xr:uid="{00000000-0005-0000-0000-000067400000}"/>
    <cellStyle name="Normal 14 9 2 7" xfId="11460" xr:uid="{00000000-0005-0000-0000-000068400000}"/>
    <cellStyle name="Normal 14 9 3" xfId="11461" xr:uid="{00000000-0005-0000-0000-000069400000}"/>
    <cellStyle name="Normal 14 9 3 2" xfId="11462" xr:uid="{00000000-0005-0000-0000-00006A400000}"/>
    <cellStyle name="Normal 14 9 3 2 2" xfId="51052" xr:uid="{00000000-0005-0000-0000-00006B400000}"/>
    <cellStyle name="Normal 14 9 3 2 3" xfId="51053" xr:uid="{00000000-0005-0000-0000-00006C400000}"/>
    <cellStyle name="Normal 14 9 3 3" xfId="11463" xr:uid="{00000000-0005-0000-0000-00006D400000}"/>
    <cellStyle name="Normal 14 9 3 3 2" xfId="51054" xr:uid="{00000000-0005-0000-0000-00006E400000}"/>
    <cellStyle name="Normal 14 9 3 4" xfId="11464" xr:uid="{00000000-0005-0000-0000-00006F400000}"/>
    <cellStyle name="Normal 14 9 3 5" xfId="11465" xr:uid="{00000000-0005-0000-0000-000070400000}"/>
    <cellStyle name="Normal 14 9 3 6" xfId="11466" xr:uid="{00000000-0005-0000-0000-000071400000}"/>
    <cellStyle name="Normal 14 9 4" xfId="11467" xr:uid="{00000000-0005-0000-0000-000072400000}"/>
    <cellStyle name="Normal 14 9 4 2" xfId="51055" xr:uid="{00000000-0005-0000-0000-000073400000}"/>
    <cellStyle name="Normal 14 9 4 3" xfId="51056" xr:uid="{00000000-0005-0000-0000-000074400000}"/>
    <cellStyle name="Normal 14 9 5" xfId="11468" xr:uid="{00000000-0005-0000-0000-000075400000}"/>
    <cellStyle name="Normal 14 9 5 2" xfId="51057" xr:uid="{00000000-0005-0000-0000-000076400000}"/>
    <cellStyle name="Normal 14 9 6" xfId="11469" xr:uid="{00000000-0005-0000-0000-000077400000}"/>
    <cellStyle name="Normal 14 9 7" xfId="11470" xr:uid="{00000000-0005-0000-0000-000078400000}"/>
    <cellStyle name="Normal 14 9 8" xfId="11471" xr:uid="{00000000-0005-0000-0000-000079400000}"/>
    <cellStyle name="Normal 14 9 9" xfId="11472" xr:uid="{00000000-0005-0000-0000-00007A400000}"/>
    <cellStyle name="Normal 15" xfId="11473" xr:uid="{00000000-0005-0000-0000-00007B400000}"/>
    <cellStyle name="Normal 15 10" xfId="11474" xr:uid="{00000000-0005-0000-0000-00007C400000}"/>
    <cellStyle name="Normal 15 10 2" xfId="11475" xr:uid="{00000000-0005-0000-0000-00007D400000}"/>
    <cellStyle name="Normal 15 10 2 2" xfId="11476" xr:uid="{00000000-0005-0000-0000-00007E400000}"/>
    <cellStyle name="Normal 15 10 2 2 2" xfId="11477" xr:uid="{00000000-0005-0000-0000-00007F400000}"/>
    <cellStyle name="Normal 15 10 2 2 2 2" xfId="51058" xr:uid="{00000000-0005-0000-0000-000080400000}"/>
    <cellStyle name="Normal 15 10 2 2 2 3" xfId="51059" xr:uid="{00000000-0005-0000-0000-000081400000}"/>
    <cellStyle name="Normal 15 10 2 2 3" xfId="11478" xr:uid="{00000000-0005-0000-0000-000082400000}"/>
    <cellStyle name="Normal 15 10 2 2 3 2" xfId="51060" xr:uid="{00000000-0005-0000-0000-000083400000}"/>
    <cellStyle name="Normal 15 10 2 2 4" xfId="11479" xr:uid="{00000000-0005-0000-0000-000084400000}"/>
    <cellStyle name="Normal 15 10 2 2 5" xfId="11480" xr:uid="{00000000-0005-0000-0000-000085400000}"/>
    <cellStyle name="Normal 15 10 2 2 6" xfId="11481" xr:uid="{00000000-0005-0000-0000-000086400000}"/>
    <cellStyle name="Normal 15 10 2 3" xfId="11482" xr:uid="{00000000-0005-0000-0000-000087400000}"/>
    <cellStyle name="Normal 15 10 2 3 2" xfId="51061" xr:uid="{00000000-0005-0000-0000-000088400000}"/>
    <cellStyle name="Normal 15 10 2 3 3" xfId="51062" xr:uid="{00000000-0005-0000-0000-000089400000}"/>
    <cellStyle name="Normal 15 10 2 4" xfId="11483" xr:uid="{00000000-0005-0000-0000-00008A400000}"/>
    <cellStyle name="Normal 15 10 2 4 2" xfId="51063" xr:uid="{00000000-0005-0000-0000-00008B400000}"/>
    <cellStyle name="Normal 15 10 2 5" xfId="11484" xr:uid="{00000000-0005-0000-0000-00008C400000}"/>
    <cellStyle name="Normal 15 10 2 6" xfId="11485" xr:uid="{00000000-0005-0000-0000-00008D400000}"/>
    <cellStyle name="Normal 15 10 2 7" xfId="11486" xr:uid="{00000000-0005-0000-0000-00008E400000}"/>
    <cellStyle name="Normal 15 10 3" xfId="11487" xr:uid="{00000000-0005-0000-0000-00008F400000}"/>
    <cellStyle name="Normal 15 10 3 2" xfId="11488" xr:uid="{00000000-0005-0000-0000-000090400000}"/>
    <cellStyle name="Normal 15 10 3 2 2" xfId="51064" xr:uid="{00000000-0005-0000-0000-000091400000}"/>
    <cellStyle name="Normal 15 10 3 2 3" xfId="51065" xr:uid="{00000000-0005-0000-0000-000092400000}"/>
    <cellStyle name="Normal 15 10 3 3" xfId="11489" xr:uid="{00000000-0005-0000-0000-000093400000}"/>
    <cellStyle name="Normal 15 10 3 3 2" xfId="51066" xr:uid="{00000000-0005-0000-0000-000094400000}"/>
    <cellStyle name="Normal 15 10 3 4" xfId="11490" xr:uid="{00000000-0005-0000-0000-000095400000}"/>
    <cellStyle name="Normal 15 10 3 5" xfId="11491" xr:uid="{00000000-0005-0000-0000-000096400000}"/>
    <cellStyle name="Normal 15 10 3 6" xfId="11492" xr:uid="{00000000-0005-0000-0000-000097400000}"/>
    <cellStyle name="Normal 15 10 4" xfId="11493" xr:uid="{00000000-0005-0000-0000-000098400000}"/>
    <cellStyle name="Normal 15 10 4 2" xfId="51067" xr:uid="{00000000-0005-0000-0000-000099400000}"/>
    <cellStyle name="Normal 15 10 4 3" xfId="51068" xr:uid="{00000000-0005-0000-0000-00009A400000}"/>
    <cellStyle name="Normal 15 10 5" xfId="11494" xr:uid="{00000000-0005-0000-0000-00009B400000}"/>
    <cellStyle name="Normal 15 10 5 2" xfId="51069" xr:uid="{00000000-0005-0000-0000-00009C400000}"/>
    <cellStyle name="Normal 15 10 6" xfId="11495" xr:uid="{00000000-0005-0000-0000-00009D400000}"/>
    <cellStyle name="Normal 15 10 7" xfId="11496" xr:uid="{00000000-0005-0000-0000-00009E400000}"/>
    <cellStyle name="Normal 15 10 8" xfId="11497" xr:uid="{00000000-0005-0000-0000-00009F400000}"/>
    <cellStyle name="Normal 15 11" xfId="11498" xr:uid="{00000000-0005-0000-0000-0000A0400000}"/>
    <cellStyle name="Normal 15 11 2" xfId="11499" xr:uid="{00000000-0005-0000-0000-0000A1400000}"/>
    <cellStyle name="Normal 15 11 2 2" xfId="11500" xr:uid="{00000000-0005-0000-0000-0000A2400000}"/>
    <cellStyle name="Normal 15 11 2 2 2" xfId="11501" xr:uid="{00000000-0005-0000-0000-0000A3400000}"/>
    <cellStyle name="Normal 15 11 2 2 2 2" xfId="51070" xr:uid="{00000000-0005-0000-0000-0000A4400000}"/>
    <cellStyle name="Normal 15 11 2 2 2 3" xfId="51071" xr:uid="{00000000-0005-0000-0000-0000A5400000}"/>
    <cellStyle name="Normal 15 11 2 2 3" xfId="11502" xr:uid="{00000000-0005-0000-0000-0000A6400000}"/>
    <cellStyle name="Normal 15 11 2 2 3 2" xfId="51072" xr:uid="{00000000-0005-0000-0000-0000A7400000}"/>
    <cellStyle name="Normal 15 11 2 2 4" xfId="11503" xr:uid="{00000000-0005-0000-0000-0000A8400000}"/>
    <cellStyle name="Normal 15 11 2 2 5" xfId="11504" xr:uid="{00000000-0005-0000-0000-0000A9400000}"/>
    <cellStyle name="Normal 15 11 2 2 6" xfId="11505" xr:uid="{00000000-0005-0000-0000-0000AA400000}"/>
    <cellStyle name="Normal 15 11 2 3" xfId="11506" xr:uid="{00000000-0005-0000-0000-0000AB400000}"/>
    <cellStyle name="Normal 15 11 2 3 2" xfId="51073" xr:uid="{00000000-0005-0000-0000-0000AC400000}"/>
    <cellStyle name="Normal 15 11 2 3 3" xfId="51074" xr:uid="{00000000-0005-0000-0000-0000AD400000}"/>
    <cellStyle name="Normal 15 11 2 4" xfId="11507" xr:uid="{00000000-0005-0000-0000-0000AE400000}"/>
    <cellStyle name="Normal 15 11 2 4 2" xfId="51075" xr:uid="{00000000-0005-0000-0000-0000AF400000}"/>
    <cellStyle name="Normal 15 11 2 5" xfId="11508" xr:uid="{00000000-0005-0000-0000-0000B0400000}"/>
    <cellStyle name="Normal 15 11 2 6" xfId="11509" xr:uid="{00000000-0005-0000-0000-0000B1400000}"/>
    <cellStyle name="Normal 15 11 2 7" xfId="11510" xr:uid="{00000000-0005-0000-0000-0000B2400000}"/>
    <cellStyle name="Normal 15 11 3" xfId="11511" xr:uid="{00000000-0005-0000-0000-0000B3400000}"/>
    <cellStyle name="Normal 15 11 3 2" xfId="11512" xr:uid="{00000000-0005-0000-0000-0000B4400000}"/>
    <cellStyle name="Normal 15 11 3 2 2" xfId="51076" xr:uid="{00000000-0005-0000-0000-0000B5400000}"/>
    <cellStyle name="Normal 15 11 3 2 3" xfId="51077" xr:uid="{00000000-0005-0000-0000-0000B6400000}"/>
    <cellStyle name="Normal 15 11 3 3" xfId="11513" xr:uid="{00000000-0005-0000-0000-0000B7400000}"/>
    <cellStyle name="Normal 15 11 3 3 2" xfId="51078" xr:uid="{00000000-0005-0000-0000-0000B8400000}"/>
    <cellStyle name="Normal 15 11 3 4" xfId="11514" xr:uid="{00000000-0005-0000-0000-0000B9400000}"/>
    <cellStyle name="Normal 15 11 3 5" xfId="11515" xr:uid="{00000000-0005-0000-0000-0000BA400000}"/>
    <cellStyle name="Normal 15 11 3 6" xfId="11516" xr:uid="{00000000-0005-0000-0000-0000BB400000}"/>
    <cellStyle name="Normal 15 11 4" xfId="11517" xr:uid="{00000000-0005-0000-0000-0000BC400000}"/>
    <cellStyle name="Normal 15 11 4 2" xfId="51079" xr:uid="{00000000-0005-0000-0000-0000BD400000}"/>
    <cellStyle name="Normal 15 11 4 3" xfId="51080" xr:uid="{00000000-0005-0000-0000-0000BE400000}"/>
    <cellStyle name="Normal 15 11 5" xfId="11518" xr:uid="{00000000-0005-0000-0000-0000BF400000}"/>
    <cellStyle name="Normal 15 11 5 2" xfId="51081" xr:uid="{00000000-0005-0000-0000-0000C0400000}"/>
    <cellStyle name="Normal 15 11 6" xfId="11519" xr:uid="{00000000-0005-0000-0000-0000C1400000}"/>
    <cellStyle name="Normal 15 11 7" xfId="11520" xr:uid="{00000000-0005-0000-0000-0000C2400000}"/>
    <cellStyle name="Normal 15 11 8" xfId="11521" xr:uid="{00000000-0005-0000-0000-0000C3400000}"/>
    <cellStyle name="Normal 15 12" xfId="11522" xr:uid="{00000000-0005-0000-0000-0000C4400000}"/>
    <cellStyle name="Normal 15 12 2" xfId="11523" xr:uid="{00000000-0005-0000-0000-0000C5400000}"/>
    <cellStyle name="Normal 15 12 2 2" xfId="11524" xr:uid="{00000000-0005-0000-0000-0000C6400000}"/>
    <cellStyle name="Normal 15 12 2 2 2" xfId="51082" xr:uid="{00000000-0005-0000-0000-0000C7400000}"/>
    <cellStyle name="Normal 15 12 2 2 3" xfId="51083" xr:uid="{00000000-0005-0000-0000-0000C8400000}"/>
    <cellStyle name="Normal 15 12 2 3" xfId="11525" xr:uid="{00000000-0005-0000-0000-0000C9400000}"/>
    <cellStyle name="Normal 15 12 2 3 2" xfId="51084" xr:uid="{00000000-0005-0000-0000-0000CA400000}"/>
    <cellStyle name="Normal 15 12 2 4" xfId="11526" xr:uid="{00000000-0005-0000-0000-0000CB400000}"/>
    <cellStyle name="Normal 15 12 2 5" xfId="11527" xr:uid="{00000000-0005-0000-0000-0000CC400000}"/>
    <cellStyle name="Normal 15 12 2 6" xfId="11528" xr:uid="{00000000-0005-0000-0000-0000CD400000}"/>
    <cellStyle name="Normal 15 12 3" xfId="11529" xr:uid="{00000000-0005-0000-0000-0000CE400000}"/>
    <cellStyle name="Normal 15 12 3 2" xfId="51085" xr:uid="{00000000-0005-0000-0000-0000CF400000}"/>
    <cellStyle name="Normal 15 12 3 3" xfId="51086" xr:uid="{00000000-0005-0000-0000-0000D0400000}"/>
    <cellStyle name="Normal 15 12 4" xfId="11530" xr:uid="{00000000-0005-0000-0000-0000D1400000}"/>
    <cellStyle name="Normal 15 12 4 2" xfId="51087" xr:uid="{00000000-0005-0000-0000-0000D2400000}"/>
    <cellStyle name="Normal 15 12 5" xfId="11531" xr:uid="{00000000-0005-0000-0000-0000D3400000}"/>
    <cellStyle name="Normal 15 12 6" xfId="11532" xr:uid="{00000000-0005-0000-0000-0000D4400000}"/>
    <cellStyle name="Normal 15 12 7" xfId="11533" xr:uid="{00000000-0005-0000-0000-0000D5400000}"/>
    <cellStyle name="Normal 15 13" xfId="11534" xr:uid="{00000000-0005-0000-0000-0000D6400000}"/>
    <cellStyle name="Normal 15 13 2" xfId="11535" xr:uid="{00000000-0005-0000-0000-0000D7400000}"/>
    <cellStyle name="Normal 15 13 2 2" xfId="51088" xr:uid="{00000000-0005-0000-0000-0000D8400000}"/>
    <cellStyle name="Normal 15 13 2 3" xfId="51089" xr:uid="{00000000-0005-0000-0000-0000D9400000}"/>
    <cellStyle name="Normal 15 13 3" xfId="11536" xr:uid="{00000000-0005-0000-0000-0000DA400000}"/>
    <cellStyle name="Normal 15 13 3 2" xfId="51090" xr:uid="{00000000-0005-0000-0000-0000DB400000}"/>
    <cellStyle name="Normal 15 13 4" xfId="11537" xr:uid="{00000000-0005-0000-0000-0000DC400000}"/>
    <cellStyle name="Normal 15 13 5" xfId="11538" xr:uid="{00000000-0005-0000-0000-0000DD400000}"/>
    <cellStyle name="Normal 15 13 6" xfId="11539" xr:uid="{00000000-0005-0000-0000-0000DE400000}"/>
    <cellStyle name="Normal 15 14" xfId="11540" xr:uid="{00000000-0005-0000-0000-0000DF400000}"/>
    <cellStyle name="Normal 15 14 2" xfId="51091" xr:uid="{00000000-0005-0000-0000-0000E0400000}"/>
    <cellStyle name="Normal 15 14 3" xfId="51092" xr:uid="{00000000-0005-0000-0000-0000E1400000}"/>
    <cellStyle name="Normal 15 15" xfId="11541" xr:uid="{00000000-0005-0000-0000-0000E2400000}"/>
    <cellStyle name="Normal 15 15 2" xfId="51093" xr:uid="{00000000-0005-0000-0000-0000E3400000}"/>
    <cellStyle name="Normal 15 16" xfId="11542" xr:uid="{00000000-0005-0000-0000-0000E4400000}"/>
    <cellStyle name="Normal 15 16 2" xfId="51094" xr:uid="{00000000-0005-0000-0000-0000E5400000}"/>
    <cellStyle name="Normal 15 17" xfId="11543" xr:uid="{00000000-0005-0000-0000-0000E6400000}"/>
    <cellStyle name="Normal 15 18" xfId="11544" xr:uid="{00000000-0005-0000-0000-0000E7400000}"/>
    <cellStyle name="Normal 15 19" xfId="11545" xr:uid="{00000000-0005-0000-0000-0000E8400000}"/>
    <cellStyle name="Normal 15 2" xfId="11546" xr:uid="{00000000-0005-0000-0000-0000E9400000}"/>
    <cellStyle name="Normal 15 2 10" xfId="11547" xr:uid="{00000000-0005-0000-0000-0000EA400000}"/>
    <cellStyle name="Normal 15 2 10 2" xfId="11548" xr:uid="{00000000-0005-0000-0000-0000EB400000}"/>
    <cellStyle name="Normal 15 2 10 2 2" xfId="11549" xr:uid="{00000000-0005-0000-0000-0000EC400000}"/>
    <cellStyle name="Normal 15 2 10 2 2 2" xfId="51095" xr:uid="{00000000-0005-0000-0000-0000ED400000}"/>
    <cellStyle name="Normal 15 2 10 2 2 3" xfId="51096" xr:uid="{00000000-0005-0000-0000-0000EE400000}"/>
    <cellStyle name="Normal 15 2 10 2 3" xfId="11550" xr:uid="{00000000-0005-0000-0000-0000EF400000}"/>
    <cellStyle name="Normal 15 2 10 2 3 2" xfId="51097" xr:uid="{00000000-0005-0000-0000-0000F0400000}"/>
    <cellStyle name="Normal 15 2 10 2 4" xfId="11551" xr:uid="{00000000-0005-0000-0000-0000F1400000}"/>
    <cellStyle name="Normal 15 2 10 2 5" xfId="11552" xr:uid="{00000000-0005-0000-0000-0000F2400000}"/>
    <cellStyle name="Normal 15 2 10 2 6" xfId="11553" xr:uid="{00000000-0005-0000-0000-0000F3400000}"/>
    <cellStyle name="Normal 15 2 10 3" xfId="11554" xr:uid="{00000000-0005-0000-0000-0000F4400000}"/>
    <cellStyle name="Normal 15 2 10 3 2" xfId="51098" xr:uid="{00000000-0005-0000-0000-0000F5400000}"/>
    <cellStyle name="Normal 15 2 10 3 3" xfId="51099" xr:uid="{00000000-0005-0000-0000-0000F6400000}"/>
    <cellStyle name="Normal 15 2 10 4" xfId="11555" xr:uid="{00000000-0005-0000-0000-0000F7400000}"/>
    <cellStyle name="Normal 15 2 10 4 2" xfId="51100" xr:uid="{00000000-0005-0000-0000-0000F8400000}"/>
    <cellStyle name="Normal 15 2 10 5" xfId="11556" xr:uid="{00000000-0005-0000-0000-0000F9400000}"/>
    <cellStyle name="Normal 15 2 10 6" xfId="11557" xr:uid="{00000000-0005-0000-0000-0000FA400000}"/>
    <cellStyle name="Normal 15 2 10 7" xfId="11558" xr:uid="{00000000-0005-0000-0000-0000FB400000}"/>
    <cellStyle name="Normal 15 2 11" xfId="11559" xr:uid="{00000000-0005-0000-0000-0000FC400000}"/>
    <cellStyle name="Normal 15 2 11 2" xfId="11560" xr:uid="{00000000-0005-0000-0000-0000FD400000}"/>
    <cellStyle name="Normal 15 2 11 2 2" xfId="51101" xr:uid="{00000000-0005-0000-0000-0000FE400000}"/>
    <cellStyle name="Normal 15 2 11 2 3" xfId="51102" xr:uid="{00000000-0005-0000-0000-0000FF400000}"/>
    <cellStyle name="Normal 15 2 11 3" xfId="11561" xr:uid="{00000000-0005-0000-0000-000000410000}"/>
    <cellStyle name="Normal 15 2 11 3 2" xfId="51103" xr:uid="{00000000-0005-0000-0000-000001410000}"/>
    <cellStyle name="Normal 15 2 11 4" xfId="11562" xr:uid="{00000000-0005-0000-0000-000002410000}"/>
    <cellStyle name="Normal 15 2 11 5" xfId="11563" xr:uid="{00000000-0005-0000-0000-000003410000}"/>
    <cellStyle name="Normal 15 2 11 6" xfId="11564" xr:uid="{00000000-0005-0000-0000-000004410000}"/>
    <cellStyle name="Normal 15 2 12" xfId="11565" xr:uid="{00000000-0005-0000-0000-000005410000}"/>
    <cellStyle name="Normal 15 2 12 2" xfId="51104" xr:uid="{00000000-0005-0000-0000-000006410000}"/>
    <cellStyle name="Normal 15 2 12 3" xfId="51105" xr:uid="{00000000-0005-0000-0000-000007410000}"/>
    <cellStyle name="Normal 15 2 13" xfId="11566" xr:uid="{00000000-0005-0000-0000-000008410000}"/>
    <cellStyle name="Normal 15 2 13 2" xfId="51106" xr:uid="{00000000-0005-0000-0000-000009410000}"/>
    <cellStyle name="Normal 15 2 14" xfId="11567" xr:uid="{00000000-0005-0000-0000-00000A410000}"/>
    <cellStyle name="Normal 15 2 14 2" xfId="11568" xr:uid="{00000000-0005-0000-0000-00000B410000}"/>
    <cellStyle name="Normal 15 2 15" xfId="11569" xr:uid="{00000000-0005-0000-0000-00000C410000}"/>
    <cellStyle name="Normal 15 2 15 2" xfId="51107" xr:uid="{00000000-0005-0000-0000-00000D410000}"/>
    <cellStyle name="Normal 15 2 16" xfId="11570" xr:uid="{00000000-0005-0000-0000-00000E410000}"/>
    <cellStyle name="Normal 15 2 17" xfId="11571" xr:uid="{00000000-0005-0000-0000-00000F410000}"/>
    <cellStyle name="Normal 15 2 18" xfId="11572" xr:uid="{00000000-0005-0000-0000-000010410000}"/>
    <cellStyle name="Normal 15 2 19" xfId="11573" xr:uid="{00000000-0005-0000-0000-000011410000}"/>
    <cellStyle name="Normal 15 2 2" xfId="11574" xr:uid="{00000000-0005-0000-0000-000012410000}"/>
    <cellStyle name="Normal 15 2 2 10" xfId="11575" xr:uid="{00000000-0005-0000-0000-000013410000}"/>
    <cellStyle name="Normal 15 2 2 11" xfId="11576" xr:uid="{00000000-0005-0000-0000-000014410000}"/>
    <cellStyle name="Normal 15 2 2 12" xfId="11577" xr:uid="{00000000-0005-0000-0000-000015410000}"/>
    <cellStyle name="Normal 15 2 2 13" xfId="11578" xr:uid="{00000000-0005-0000-0000-000016410000}"/>
    <cellStyle name="Normal 15 2 2 14" xfId="11579" xr:uid="{00000000-0005-0000-0000-000017410000}"/>
    <cellStyle name="Normal 15 2 2 15" xfId="11580" xr:uid="{00000000-0005-0000-0000-000018410000}"/>
    <cellStyle name="Normal 15 2 2 16" xfId="11581" xr:uid="{00000000-0005-0000-0000-000019410000}"/>
    <cellStyle name="Normal 15 2 2 2" xfId="11582" xr:uid="{00000000-0005-0000-0000-00001A410000}"/>
    <cellStyle name="Normal 15 2 2 2 10" xfId="11583" xr:uid="{00000000-0005-0000-0000-00001B410000}"/>
    <cellStyle name="Normal 15 2 2 2 11" xfId="11584" xr:uid="{00000000-0005-0000-0000-00001C410000}"/>
    <cellStyle name="Normal 15 2 2 2 12" xfId="11585" xr:uid="{00000000-0005-0000-0000-00001D410000}"/>
    <cellStyle name="Normal 15 2 2 2 13" xfId="11586" xr:uid="{00000000-0005-0000-0000-00001E410000}"/>
    <cellStyle name="Normal 15 2 2 2 14" xfId="11587" xr:uid="{00000000-0005-0000-0000-00001F410000}"/>
    <cellStyle name="Normal 15 2 2 2 15" xfId="11588" xr:uid="{00000000-0005-0000-0000-000020410000}"/>
    <cellStyle name="Normal 15 2 2 2 2" xfId="11589" xr:uid="{00000000-0005-0000-0000-000021410000}"/>
    <cellStyle name="Normal 15 2 2 2 2 2" xfId="11590" xr:uid="{00000000-0005-0000-0000-000022410000}"/>
    <cellStyle name="Normal 15 2 2 2 2 2 2" xfId="11591" xr:uid="{00000000-0005-0000-0000-000023410000}"/>
    <cellStyle name="Normal 15 2 2 2 2 2 2 2" xfId="11592" xr:uid="{00000000-0005-0000-0000-000024410000}"/>
    <cellStyle name="Normal 15 2 2 2 2 2 2 2 2" xfId="51108" xr:uid="{00000000-0005-0000-0000-000025410000}"/>
    <cellStyle name="Normal 15 2 2 2 2 2 2 2 3" xfId="51109" xr:uid="{00000000-0005-0000-0000-000026410000}"/>
    <cellStyle name="Normal 15 2 2 2 2 2 2 3" xfId="11593" xr:uid="{00000000-0005-0000-0000-000027410000}"/>
    <cellStyle name="Normal 15 2 2 2 2 2 2 3 2" xfId="51110" xr:uid="{00000000-0005-0000-0000-000028410000}"/>
    <cellStyle name="Normal 15 2 2 2 2 2 2 4" xfId="11594" xr:uid="{00000000-0005-0000-0000-000029410000}"/>
    <cellStyle name="Normal 15 2 2 2 2 2 2 5" xfId="11595" xr:uid="{00000000-0005-0000-0000-00002A410000}"/>
    <cellStyle name="Normal 15 2 2 2 2 2 2 6" xfId="11596" xr:uid="{00000000-0005-0000-0000-00002B410000}"/>
    <cellStyle name="Normal 15 2 2 2 2 2 3" xfId="11597" xr:uid="{00000000-0005-0000-0000-00002C410000}"/>
    <cellStyle name="Normal 15 2 2 2 2 2 3 2" xfId="51111" xr:uid="{00000000-0005-0000-0000-00002D410000}"/>
    <cellStyle name="Normal 15 2 2 2 2 2 3 3" xfId="51112" xr:uid="{00000000-0005-0000-0000-00002E410000}"/>
    <cellStyle name="Normal 15 2 2 2 2 2 4" xfId="11598" xr:uid="{00000000-0005-0000-0000-00002F410000}"/>
    <cellStyle name="Normal 15 2 2 2 2 2 4 2" xfId="51113" xr:uid="{00000000-0005-0000-0000-000030410000}"/>
    <cellStyle name="Normal 15 2 2 2 2 2 5" xfId="11599" xr:uid="{00000000-0005-0000-0000-000031410000}"/>
    <cellStyle name="Normal 15 2 2 2 2 2 6" xfId="11600" xr:uid="{00000000-0005-0000-0000-000032410000}"/>
    <cellStyle name="Normal 15 2 2 2 2 2 7" xfId="11601" xr:uid="{00000000-0005-0000-0000-000033410000}"/>
    <cellStyle name="Normal 15 2 2 2 2 3" xfId="11602" xr:uid="{00000000-0005-0000-0000-000034410000}"/>
    <cellStyle name="Normal 15 2 2 2 2 3 2" xfId="11603" xr:uid="{00000000-0005-0000-0000-000035410000}"/>
    <cellStyle name="Normal 15 2 2 2 2 3 2 2" xfId="51114" xr:uid="{00000000-0005-0000-0000-000036410000}"/>
    <cellStyle name="Normal 15 2 2 2 2 3 2 3" xfId="51115" xr:uid="{00000000-0005-0000-0000-000037410000}"/>
    <cellStyle name="Normal 15 2 2 2 2 3 3" xfId="11604" xr:uid="{00000000-0005-0000-0000-000038410000}"/>
    <cellStyle name="Normal 15 2 2 2 2 3 3 2" xfId="51116" xr:uid="{00000000-0005-0000-0000-000039410000}"/>
    <cellStyle name="Normal 15 2 2 2 2 3 4" xfId="11605" xr:uid="{00000000-0005-0000-0000-00003A410000}"/>
    <cellStyle name="Normal 15 2 2 2 2 3 5" xfId="11606" xr:uid="{00000000-0005-0000-0000-00003B410000}"/>
    <cellStyle name="Normal 15 2 2 2 2 3 6" xfId="11607" xr:uid="{00000000-0005-0000-0000-00003C410000}"/>
    <cellStyle name="Normal 15 2 2 2 2 4" xfId="11608" xr:uid="{00000000-0005-0000-0000-00003D410000}"/>
    <cellStyle name="Normal 15 2 2 2 2 4 2" xfId="51117" xr:uid="{00000000-0005-0000-0000-00003E410000}"/>
    <cellStyle name="Normal 15 2 2 2 2 4 3" xfId="51118" xr:uid="{00000000-0005-0000-0000-00003F410000}"/>
    <cellStyle name="Normal 15 2 2 2 2 5" xfId="11609" xr:uid="{00000000-0005-0000-0000-000040410000}"/>
    <cellStyle name="Normal 15 2 2 2 2 5 2" xfId="51119" xr:uid="{00000000-0005-0000-0000-000041410000}"/>
    <cellStyle name="Normal 15 2 2 2 2 6" xfId="11610" xr:uid="{00000000-0005-0000-0000-000042410000}"/>
    <cellStyle name="Normal 15 2 2 2 2 7" xfId="11611" xr:uid="{00000000-0005-0000-0000-000043410000}"/>
    <cellStyle name="Normal 15 2 2 2 2 8" xfId="11612" xr:uid="{00000000-0005-0000-0000-000044410000}"/>
    <cellStyle name="Normal 15 2 2 2 2 9" xfId="11613" xr:uid="{00000000-0005-0000-0000-000045410000}"/>
    <cellStyle name="Normal 15 2 2 2 3" xfId="11614" xr:uid="{00000000-0005-0000-0000-000046410000}"/>
    <cellStyle name="Normal 15 2 2 2 3 2" xfId="11615" xr:uid="{00000000-0005-0000-0000-000047410000}"/>
    <cellStyle name="Normal 15 2 2 2 3 2 2" xfId="11616" xr:uid="{00000000-0005-0000-0000-000048410000}"/>
    <cellStyle name="Normal 15 2 2 2 3 2 2 2" xfId="11617" xr:uid="{00000000-0005-0000-0000-000049410000}"/>
    <cellStyle name="Normal 15 2 2 2 3 2 2 2 2" xfId="51120" xr:uid="{00000000-0005-0000-0000-00004A410000}"/>
    <cellStyle name="Normal 15 2 2 2 3 2 2 2 3" xfId="51121" xr:uid="{00000000-0005-0000-0000-00004B410000}"/>
    <cellStyle name="Normal 15 2 2 2 3 2 2 3" xfId="11618" xr:uid="{00000000-0005-0000-0000-00004C410000}"/>
    <cellStyle name="Normal 15 2 2 2 3 2 2 3 2" xfId="51122" xr:uid="{00000000-0005-0000-0000-00004D410000}"/>
    <cellStyle name="Normal 15 2 2 2 3 2 2 4" xfId="11619" xr:uid="{00000000-0005-0000-0000-00004E410000}"/>
    <cellStyle name="Normal 15 2 2 2 3 2 2 5" xfId="11620" xr:uid="{00000000-0005-0000-0000-00004F410000}"/>
    <cellStyle name="Normal 15 2 2 2 3 2 2 6" xfId="11621" xr:uid="{00000000-0005-0000-0000-000050410000}"/>
    <cellStyle name="Normal 15 2 2 2 3 2 3" xfId="11622" xr:uid="{00000000-0005-0000-0000-000051410000}"/>
    <cellStyle name="Normal 15 2 2 2 3 2 3 2" xfId="51123" xr:uid="{00000000-0005-0000-0000-000052410000}"/>
    <cellStyle name="Normal 15 2 2 2 3 2 3 3" xfId="51124" xr:uid="{00000000-0005-0000-0000-000053410000}"/>
    <cellStyle name="Normal 15 2 2 2 3 2 4" xfId="11623" xr:uid="{00000000-0005-0000-0000-000054410000}"/>
    <cellStyle name="Normal 15 2 2 2 3 2 4 2" xfId="51125" xr:uid="{00000000-0005-0000-0000-000055410000}"/>
    <cellStyle name="Normal 15 2 2 2 3 2 5" xfId="11624" xr:uid="{00000000-0005-0000-0000-000056410000}"/>
    <cellStyle name="Normal 15 2 2 2 3 2 6" xfId="11625" xr:uid="{00000000-0005-0000-0000-000057410000}"/>
    <cellStyle name="Normal 15 2 2 2 3 2 7" xfId="11626" xr:uid="{00000000-0005-0000-0000-000058410000}"/>
    <cellStyle name="Normal 15 2 2 2 3 3" xfId="11627" xr:uid="{00000000-0005-0000-0000-000059410000}"/>
    <cellStyle name="Normal 15 2 2 2 3 3 2" xfId="11628" xr:uid="{00000000-0005-0000-0000-00005A410000}"/>
    <cellStyle name="Normal 15 2 2 2 3 3 2 2" xfId="51126" xr:uid="{00000000-0005-0000-0000-00005B410000}"/>
    <cellStyle name="Normal 15 2 2 2 3 3 2 3" xfId="51127" xr:uid="{00000000-0005-0000-0000-00005C410000}"/>
    <cellStyle name="Normal 15 2 2 2 3 3 3" xfId="11629" xr:uid="{00000000-0005-0000-0000-00005D410000}"/>
    <cellStyle name="Normal 15 2 2 2 3 3 3 2" xfId="51128" xr:uid="{00000000-0005-0000-0000-00005E410000}"/>
    <cellStyle name="Normal 15 2 2 2 3 3 4" xfId="11630" xr:uid="{00000000-0005-0000-0000-00005F410000}"/>
    <cellStyle name="Normal 15 2 2 2 3 3 5" xfId="11631" xr:uid="{00000000-0005-0000-0000-000060410000}"/>
    <cellStyle name="Normal 15 2 2 2 3 3 6" xfId="11632" xr:uid="{00000000-0005-0000-0000-000061410000}"/>
    <cellStyle name="Normal 15 2 2 2 3 4" xfId="11633" xr:uid="{00000000-0005-0000-0000-000062410000}"/>
    <cellStyle name="Normal 15 2 2 2 3 4 2" xfId="51129" xr:uid="{00000000-0005-0000-0000-000063410000}"/>
    <cellStyle name="Normal 15 2 2 2 3 4 3" xfId="51130" xr:uid="{00000000-0005-0000-0000-000064410000}"/>
    <cellStyle name="Normal 15 2 2 2 3 5" xfId="11634" xr:uid="{00000000-0005-0000-0000-000065410000}"/>
    <cellStyle name="Normal 15 2 2 2 3 5 2" xfId="51131" xr:uid="{00000000-0005-0000-0000-000066410000}"/>
    <cellStyle name="Normal 15 2 2 2 3 6" xfId="11635" xr:uid="{00000000-0005-0000-0000-000067410000}"/>
    <cellStyle name="Normal 15 2 2 2 3 7" xfId="11636" xr:uid="{00000000-0005-0000-0000-000068410000}"/>
    <cellStyle name="Normal 15 2 2 2 3 8" xfId="11637" xr:uid="{00000000-0005-0000-0000-000069410000}"/>
    <cellStyle name="Normal 15 2 2 2 4" xfId="11638" xr:uid="{00000000-0005-0000-0000-00006A410000}"/>
    <cellStyle name="Normal 15 2 2 2 4 2" xfId="11639" xr:uid="{00000000-0005-0000-0000-00006B410000}"/>
    <cellStyle name="Normal 15 2 2 2 4 2 2" xfId="11640" xr:uid="{00000000-0005-0000-0000-00006C410000}"/>
    <cellStyle name="Normal 15 2 2 2 4 2 2 2" xfId="51132" xr:uid="{00000000-0005-0000-0000-00006D410000}"/>
    <cellStyle name="Normal 15 2 2 2 4 2 2 3" xfId="51133" xr:uid="{00000000-0005-0000-0000-00006E410000}"/>
    <cellStyle name="Normal 15 2 2 2 4 2 3" xfId="11641" xr:uid="{00000000-0005-0000-0000-00006F410000}"/>
    <cellStyle name="Normal 15 2 2 2 4 2 3 2" xfId="51134" xr:uid="{00000000-0005-0000-0000-000070410000}"/>
    <cellStyle name="Normal 15 2 2 2 4 2 4" xfId="11642" xr:uid="{00000000-0005-0000-0000-000071410000}"/>
    <cellStyle name="Normal 15 2 2 2 4 2 5" xfId="11643" xr:uid="{00000000-0005-0000-0000-000072410000}"/>
    <cellStyle name="Normal 15 2 2 2 4 2 6" xfId="11644" xr:uid="{00000000-0005-0000-0000-000073410000}"/>
    <cellStyle name="Normal 15 2 2 2 4 3" xfId="11645" xr:uid="{00000000-0005-0000-0000-000074410000}"/>
    <cellStyle name="Normal 15 2 2 2 4 3 2" xfId="51135" xr:uid="{00000000-0005-0000-0000-000075410000}"/>
    <cellStyle name="Normal 15 2 2 2 4 3 3" xfId="51136" xr:uid="{00000000-0005-0000-0000-000076410000}"/>
    <cellStyle name="Normal 15 2 2 2 4 4" xfId="11646" xr:uid="{00000000-0005-0000-0000-000077410000}"/>
    <cellStyle name="Normal 15 2 2 2 4 4 2" xfId="51137" xr:uid="{00000000-0005-0000-0000-000078410000}"/>
    <cellStyle name="Normal 15 2 2 2 4 5" xfId="11647" xr:uid="{00000000-0005-0000-0000-000079410000}"/>
    <cellStyle name="Normal 15 2 2 2 4 6" xfId="11648" xr:uid="{00000000-0005-0000-0000-00007A410000}"/>
    <cellStyle name="Normal 15 2 2 2 4 7" xfId="11649" xr:uid="{00000000-0005-0000-0000-00007B410000}"/>
    <cellStyle name="Normal 15 2 2 2 5" xfId="11650" xr:uid="{00000000-0005-0000-0000-00007C410000}"/>
    <cellStyle name="Normal 15 2 2 2 5 2" xfId="11651" xr:uid="{00000000-0005-0000-0000-00007D410000}"/>
    <cellStyle name="Normal 15 2 2 2 5 2 2" xfId="51138" xr:uid="{00000000-0005-0000-0000-00007E410000}"/>
    <cellStyle name="Normal 15 2 2 2 5 2 3" xfId="51139" xr:uid="{00000000-0005-0000-0000-00007F410000}"/>
    <cellStyle name="Normal 15 2 2 2 5 3" xfId="11652" xr:uid="{00000000-0005-0000-0000-000080410000}"/>
    <cellStyle name="Normal 15 2 2 2 5 3 2" xfId="51140" xr:uid="{00000000-0005-0000-0000-000081410000}"/>
    <cellStyle name="Normal 15 2 2 2 5 4" xfId="11653" xr:uid="{00000000-0005-0000-0000-000082410000}"/>
    <cellStyle name="Normal 15 2 2 2 5 5" xfId="11654" xr:uid="{00000000-0005-0000-0000-000083410000}"/>
    <cellStyle name="Normal 15 2 2 2 5 6" xfId="11655" xr:uid="{00000000-0005-0000-0000-000084410000}"/>
    <cellStyle name="Normal 15 2 2 2 6" xfId="11656" xr:uid="{00000000-0005-0000-0000-000085410000}"/>
    <cellStyle name="Normal 15 2 2 2 6 2" xfId="51141" xr:uid="{00000000-0005-0000-0000-000086410000}"/>
    <cellStyle name="Normal 15 2 2 2 6 3" xfId="51142" xr:uid="{00000000-0005-0000-0000-000087410000}"/>
    <cellStyle name="Normal 15 2 2 2 7" xfId="11657" xr:uid="{00000000-0005-0000-0000-000088410000}"/>
    <cellStyle name="Normal 15 2 2 2 7 2" xfId="51143" xr:uid="{00000000-0005-0000-0000-000089410000}"/>
    <cellStyle name="Normal 15 2 2 2 8" xfId="11658" xr:uid="{00000000-0005-0000-0000-00008A410000}"/>
    <cellStyle name="Normal 15 2 2 2 9" xfId="11659" xr:uid="{00000000-0005-0000-0000-00008B410000}"/>
    <cellStyle name="Normal 15 2 2 3" xfId="11660" xr:uid="{00000000-0005-0000-0000-00008C410000}"/>
    <cellStyle name="Normal 15 2 2 3 2" xfId="11661" xr:uid="{00000000-0005-0000-0000-00008D410000}"/>
    <cellStyle name="Normal 15 2 2 3 2 2" xfId="11662" xr:uid="{00000000-0005-0000-0000-00008E410000}"/>
    <cellStyle name="Normal 15 2 2 3 2 2 2" xfId="11663" xr:uid="{00000000-0005-0000-0000-00008F410000}"/>
    <cellStyle name="Normal 15 2 2 3 2 2 2 2" xfId="51144" xr:uid="{00000000-0005-0000-0000-000090410000}"/>
    <cellStyle name="Normal 15 2 2 3 2 2 2 3" xfId="51145" xr:uid="{00000000-0005-0000-0000-000091410000}"/>
    <cellStyle name="Normal 15 2 2 3 2 2 3" xfId="11664" xr:uid="{00000000-0005-0000-0000-000092410000}"/>
    <cellStyle name="Normal 15 2 2 3 2 2 3 2" xfId="51146" xr:uid="{00000000-0005-0000-0000-000093410000}"/>
    <cellStyle name="Normal 15 2 2 3 2 2 4" xfId="11665" xr:uid="{00000000-0005-0000-0000-000094410000}"/>
    <cellStyle name="Normal 15 2 2 3 2 2 5" xfId="11666" xr:uid="{00000000-0005-0000-0000-000095410000}"/>
    <cellStyle name="Normal 15 2 2 3 2 2 6" xfId="11667" xr:uid="{00000000-0005-0000-0000-000096410000}"/>
    <cellStyle name="Normal 15 2 2 3 2 3" xfId="11668" xr:uid="{00000000-0005-0000-0000-000097410000}"/>
    <cellStyle name="Normal 15 2 2 3 2 3 2" xfId="51147" xr:uid="{00000000-0005-0000-0000-000098410000}"/>
    <cellStyle name="Normal 15 2 2 3 2 3 3" xfId="51148" xr:uid="{00000000-0005-0000-0000-000099410000}"/>
    <cellStyle name="Normal 15 2 2 3 2 4" xfId="11669" xr:uid="{00000000-0005-0000-0000-00009A410000}"/>
    <cellStyle name="Normal 15 2 2 3 2 4 2" xfId="51149" xr:uid="{00000000-0005-0000-0000-00009B410000}"/>
    <cellStyle name="Normal 15 2 2 3 2 5" xfId="11670" xr:uid="{00000000-0005-0000-0000-00009C410000}"/>
    <cellStyle name="Normal 15 2 2 3 2 6" xfId="11671" xr:uid="{00000000-0005-0000-0000-00009D410000}"/>
    <cellStyle name="Normal 15 2 2 3 2 7" xfId="11672" xr:uid="{00000000-0005-0000-0000-00009E410000}"/>
    <cellStyle name="Normal 15 2 2 3 3" xfId="11673" xr:uid="{00000000-0005-0000-0000-00009F410000}"/>
    <cellStyle name="Normal 15 2 2 3 3 2" xfId="11674" xr:uid="{00000000-0005-0000-0000-0000A0410000}"/>
    <cellStyle name="Normal 15 2 2 3 3 2 2" xfId="51150" xr:uid="{00000000-0005-0000-0000-0000A1410000}"/>
    <cellStyle name="Normal 15 2 2 3 3 2 3" xfId="51151" xr:uid="{00000000-0005-0000-0000-0000A2410000}"/>
    <cellStyle name="Normal 15 2 2 3 3 3" xfId="11675" xr:uid="{00000000-0005-0000-0000-0000A3410000}"/>
    <cellStyle name="Normal 15 2 2 3 3 3 2" xfId="51152" xr:uid="{00000000-0005-0000-0000-0000A4410000}"/>
    <cellStyle name="Normal 15 2 2 3 3 4" xfId="11676" xr:uid="{00000000-0005-0000-0000-0000A5410000}"/>
    <cellStyle name="Normal 15 2 2 3 3 5" xfId="11677" xr:uid="{00000000-0005-0000-0000-0000A6410000}"/>
    <cellStyle name="Normal 15 2 2 3 3 6" xfId="11678" xr:uid="{00000000-0005-0000-0000-0000A7410000}"/>
    <cellStyle name="Normal 15 2 2 3 4" xfId="11679" xr:uid="{00000000-0005-0000-0000-0000A8410000}"/>
    <cellStyle name="Normal 15 2 2 3 4 2" xfId="51153" xr:uid="{00000000-0005-0000-0000-0000A9410000}"/>
    <cellStyle name="Normal 15 2 2 3 4 3" xfId="51154" xr:uid="{00000000-0005-0000-0000-0000AA410000}"/>
    <cellStyle name="Normal 15 2 2 3 5" xfId="11680" xr:uid="{00000000-0005-0000-0000-0000AB410000}"/>
    <cellStyle name="Normal 15 2 2 3 5 2" xfId="51155" xr:uid="{00000000-0005-0000-0000-0000AC410000}"/>
    <cellStyle name="Normal 15 2 2 3 6" xfId="11681" xr:uid="{00000000-0005-0000-0000-0000AD410000}"/>
    <cellStyle name="Normal 15 2 2 3 7" xfId="11682" xr:uid="{00000000-0005-0000-0000-0000AE410000}"/>
    <cellStyle name="Normal 15 2 2 3 8" xfId="11683" xr:uid="{00000000-0005-0000-0000-0000AF410000}"/>
    <cellStyle name="Normal 15 2 2 3 9" xfId="11684" xr:uid="{00000000-0005-0000-0000-0000B0410000}"/>
    <cellStyle name="Normal 15 2 2 4" xfId="11685" xr:uid="{00000000-0005-0000-0000-0000B1410000}"/>
    <cellStyle name="Normal 15 2 2 4 2" xfId="11686" xr:uid="{00000000-0005-0000-0000-0000B2410000}"/>
    <cellStyle name="Normal 15 2 2 4 2 2" xfId="11687" xr:uid="{00000000-0005-0000-0000-0000B3410000}"/>
    <cellStyle name="Normal 15 2 2 4 2 2 2" xfId="11688" xr:uid="{00000000-0005-0000-0000-0000B4410000}"/>
    <cellStyle name="Normal 15 2 2 4 2 2 2 2" xfId="51156" xr:uid="{00000000-0005-0000-0000-0000B5410000}"/>
    <cellStyle name="Normal 15 2 2 4 2 2 2 3" xfId="51157" xr:uid="{00000000-0005-0000-0000-0000B6410000}"/>
    <cellStyle name="Normal 15 2 2 4 2 2 3" xfId="11689" xr:uid="{00000000-0005-0000-0000-0000B7410000}"/>
    <cellStyle name="Normal 15 2 2 4 2 2 3 2" xfId="51158" xr:uid="{00000000-0005-0000-0000-0000B8410000}"/>
    <cellStyle name="Normal 15 2 2 4 2 2 4" xfId="11690" xr:uid="{00000000-0005-0000-0000-0000B9410000}"/>
    <cellStyle name="Normal 15 2 2 4 2 2 5" xfId="11691" xr:uid="{00000000-0005-0000-0000-0000BA410000}"/>
    <cellStyle name="Normal 15 2 2 4 2 2 6" xfId="11692" xr:uid="{00000000-0005-0000-0000-0000BB410000}"/>
    <cellStyle name="Normal 15 2 2 4 2 3" xfId="11693" xr:uid="{00000000-0005-0000-0000-0000BC410000}"/>
    <cellStyle name="Normal 15 2 2 4 2 3 2" xfId="51159" xr:uid="{00000000-0005-0000-0000-0000BD410000}"/>
    <cellStyle name="Normal 15 2 2 4 2 3 3" xfId="51160" xr:uid="{00000000-0005-0000-0000-0000BE410000}"/>
    <cellStyle name="Normal 15 2 2 4 2 4" xfId="11694" xr:uid="{00000000-0005-0000-0000-0000BF410000}"/>
    <cellStyle name="Normal 15 2 2 4 2 4 2" xfId="51161" xr:uid="{00000000-0005-0000-0000-0000C0410000}"/>
    <cellStyle name="Normal 15 2 2 4 2 5" xfId="11695" xr:uid="{00000000-0005-0000-0000-0000C1410000}"/>
    <cellStyle name="Normal 15 2 2 4 2 6" xfId="11696" xr:uid="{00000000-0005-0000-0000-0000C2410000}"/>
    <cellStyle name="Normal 15 2 2 4 2 7" xfId="11697" xr:uid="{00000000-0005-0000-0000-0000C3410000}"/>
    <cellStyle name="Normal 15 2 2 4 3" xfId="11698" xr:uid="{00000000-0005-0000-0000-0000C4410000}"/>
    <cellStyle name="Normal 15 2 2 4 3 2" xfId="11699" xr:uid="{00000000-0005-0000-0000-0000C5410000}"/>
    <cellStyle name="Normal 15 2 2 4 3 2 2" xfId="51162" xr:uid="{00000000-0005-0000-0000-0000C6410000}"/>
    <cellStyle name="Normal 15 2 2 4 3 2 3" xfId="51163" xr:uid="{00000000-0005-0000-0000-0000C7410000}"/>
    <cellStyle name="Normal 15 2 2 4 3 3" xfId="11700" xr:uid="{00000000-0005-0000-0000-0000C8410000}"/>
    <cellStyle name="Normal 15 2 2 4 3 3 2" xfId="51164" xr:uid="{00000000-0005-0000-0000-0000C9410000}"/>
    <cellStyle name="Normal 15 2 2 4 3 4" xfId="11701" xr:uid="{00000000-0005-0000-0000-0000CA410000}"/>
    <cellStyle name="Normal 15 2 2 4 3 5" xfId="11702" xr:uid="{00000000-0005-0000-0000-0000CB410000}"/>
    <cellStyle name="Normal 15 2 2 4 3 6" xfId="11703" xr:uid="{00000000-0005-0000-0000-0000CC410000}"/>
    <cellStyle name="Normal 15 2 2 4 4" xfId="11704" xr:uid="{00000000-0005-0000-0000-0000CD410000}"/>
    <cellStyle name="Normal 15 2 2 4 4 2" xfId="51165" xr:uid="{00000000-0005-0000-0000-0000CE410000}"/>
    <cellStyle name="Normal 15 2 2 4 4 3" xfId="51166" xr:uid="{00000000-0005-0000-0000-0000CF410000}"/>
    <cellStyle name="Normal 15 2 2 4 5" xfId="11705" xr:uid="{00000000-0005-0000-0000-0000D0410000}"/>
    <cellStyle name="Normal 15 2 2 4 5 2" xfId="51167" xr:uid="{00000000-0005-0000-0000-0000D1410000}"/>
    <cellStyle name="Normal 15 2 2 4 6" xfId="11706" xr:uid="{00000000-0005-0000-0000-0000D2410000}"/>
    <cellStyle name="Normal 15 2 2 4 7" xfId="11707" xr:uid="{00000000-0005-0000-0000-0000D3410000}"/>
    <cellStyle name="Normal 15 2 2 4 8" xfId="11708" xr:uid="{00000000-0005-0000-0000-0000D4410000}"/>
    <cellStyle name="Normal 15 2 2 5" xfId="11709" xr:uid="{00000000-0005-0000-0000-0000D5410000}"/>
    <cellStyle name="Normal 15 2 2 5 2" xfId="11710" xr:uid="{00000000-0005-0000-0000-0000D6410000}"/>
    <cellStyle name="Normal 15 2 2 5 2 2" xfId="11711" xr:uid="{00000000-0005-0000-0000-0000D7410000}"/>
    <cellStyle name="Normal 15 2 2 5 2 2 2" xfId="51168" xr:uid="{00000000-0005-0000-0000-0000D8410000}"/>
    <cellStyle name="Normal 15 2 2 5 2 2 3" xfId="51169" xr:uid="{00000000-0005-0000-0000-0000D9410000}"/>
    <cellStyle name="Normal 15 2 2 5 2 3" xfId="11712" xr:uid="{00000000-0005-0000-0000-0000DA410000}"/>
    <cellStyle name="Normal 15 2 2 5 2 3 2" xfId="51170" xr:uid="{00000000-0005-0000-0000-0000DB410000}"/>
    <cellStyle name="Normal 15 2 2 5 2 4" xfId="11713" xr:uid="{00000000-0005-0000-0000-0000DC410000}"/>
    <cellStyle name="Normal 15 2 2 5 2 5" xfId="11714" xr:uid="{00000000-0005-0000-0000-0000DD410000}"/>
    <cellStyle name="Normal 15 2 2 5 2 6" xfId="11715" xr:uid="{00000000-0005-0000-0000-0000DE410000}"/>
    <cellStyle name="Normal 15 2 2 5 3" xfId="11716" xr:uid="{00000000-0005-0000-0000-0000DF410000}"/>
    <cellStyle name="Normal 15 2 2 5 3 2" xfId="51171" xr:uid="{00000000-0005-0000-0000-0000E0410000}"/>
    <cellStyle name="Normal 15 2 2 5 3 3" xfId="51172" xr:uid="{00000000-0005-0000-0000-0000E1410000}"/>
    <cellStyle name="Normal 15 2 2 5 4" xfId="11717" xr:uid="{00000000-0005-0000-0000-0000E2410000}"/>
    <cellStyle name="Normal 15 2 2 5 4 2" xfId="51173" xr:uid="{00000000-0005-0000-0000-0000E3410000}"/>
    <cellStyle name="Normal 15 2 2 5 5" xfId="11718" xr:uid="{00000000-0005-0000-0000-0000E4410000}"/>
    <cellStyle name="Normal 15 2 2 5 6" xfId="11719" xr:uid="{00000000-0005-0000-0000-0000E5410000}"/>
    <cellStyle name="Normal 15 2 2 5 7" xfId="11720" xr:uid="{00000000-0005-0000-0000-0000E6410000}"/>
    <cellStyle name="Normal 15 2 2 6" xfId="11721" xr:uid="{00000000-0005-0000-0000-0000E7410000}"/>
    <cellStyle name="Normal 15 2 2 6 2" xfId="11722" xr:uid="{00000000-0005-0000-0000-0000E8410000}"/>
    <cellStyle name="Normal 15 2 2 6 2 2" xfId="51174" xr:uid="{00000000-0005-0000-0000-0000E9410000}"/>
    <cellStyle name="Normal 15 2 2 6 2 3" xfId="51175" xr:uid="{00000000-0005-0000-0000-0000EA410000}"/>
    <cellStyle name="Normal 15 2 2 6 3" xfId="11723" xr:uid="{00000000-0005-0000-0000-0000EB410000}"/>
    <cellStyle name="Normal 15 2 2 6 3 2" xfId="51176" xr:uid="{00000000-0005-0000-0000-0000EC410000}"/>
    <cellStyle name="Normal 15 2 2 6 4" xfId="11724" xr:uid="{00000000-0005-0000-0000-0000ED410000}"/>
    <cellStyle name="Normal 15 2 2 6 5" xfId="11725" xr:uid="{00000000-0005-0000-0000-0000EE410000}"/>
    <cellStyle name="Normal 15 2 2 6 6" xfId="11726" xr:uid="{00000000-0005-0000-0000-0000EF410000}"/>
    <cellStyle name="Normal 15 2 2 7" xfId="11727" xr:uid="{00000000-0005-0000-0000-0000F0410000}"/>
    <cellStyle name="Normal 15 2 2 7 2" xfId="51177" xr:uid="{00000000-0005-0000-0000-0000F1410000}"/>
    <cellStyle name="Normal 15 2 2 7 3" xfId="51178" xr:uid="{00000000-0005-0000-0000-0000F2410000}"/>
    <cellStyle name="Normal 15 2 2 8" xfId="11728" xr:uid="{00000000-0005-0000-0000-0000F3410000}"/>
    <cellStyle name="Normal 15 2 2 8 2" xfId="51179" xr:uid="{00000000-0005-0000-0000-0000F4410000}"/>
    <cellStyle name="Normal 15 2 2 9" xfId="11729" xr:uid="{00000000-0005-0000-0000-0000F5410000}"/>
    <cellStyle name="Normal 15 2 2 9 2" xfId="51180" xr:uid="{00000000-0005-0000-0000-0000F6410000}"/>
    <cellStyle name="Normal 15 2 20" xfId="11730" xr:uid="{00000000-0005-0000-0000-0000F7410000}"/>
    <cellStyle name="Normal 15 2 3" xfId="11731" xr:uid="{00000000-0005-0000-0000-0000F8410000}"/>
    <cellStyle name="Normal 15 2 3 10" xfId="11732" xr:uid="{00000000-0005-0000-0000-0000F9410000}"/>
    <cellStyle name="Normal 15 2 3 11" xfId="11733" xr:uid="{00000000-0005-0000-0000-0000FA410000}"/>
    <cellStyle name="Normal 15 2 3 12" xfId="11734" xr:uid="{00000000-0005-0000-0000-0000FB410000}"/>
    <cellStyle name="Normal 15 2 3 13" xfId="11735" xr:uid="{00000000-0005-0000-0000-0000FC410000}"/>
    <cellStyle name="Normal 15 2 3 14" xfId="11736" xr:uid="{00000000-0005-0000-0000-0000FD410000}"/>
    <cellStyle name="Normal 15 2 3 15" xfId="11737" xr:uid="{00000000-0005-0000-0000-0000FE410000}"/>
    <cellStyle name="Normal 15 2 3 16" xfId="11738" xr:uid="{00000000-0005-0000-0000-0000FF410000}"/>
    <cellStyle name="Normal 15 2 3 2" xfId="11739" xr:uid="{00000000-0005-0000-0000-000000420000}"/>
    <cellStyle name="Normal 15 2 3 2 10" xfId="11740" xr:uid="{00000000-0005-0000-0000-000001420000}"/>
    <cellStyle name="Normal 15 2 3 2 11" xfId="11741" xr:uid="{00000000-0005-0000-0000-000002420000}"/>
    <cellStyle name="Normal 15 2 3 2 12" xfId="11742" xr:uid="{00000000-0005-0000-0000-000003420000}"/>
    <cellStyle name="Normal 15 2 3 2 13" xfId="11743" xr:uid="{00000000-0005-0000-0000-000004420000}"/>
    <cellStyle name="Normal 15 2 3 2 14" xfId="11744" xr:uid="{00000000-0005-0000-0000-000005420000}"/>
    <cellStyle name="Normal 15 2 3 2 2" xfId="11745" xr:uid="{00000000-0005-0000-0000-000006420000}"/>
    <cellStyle name="Normal 15 2 3 2 2 2" xfId="11746" xr:uid="{00000000-0005-0000-0000-000007420000}"/>
    <cellStyle name="Normal 15 2 3 2 2 2 2" xfId="11747" xr:uid="{00000000-0005-0000-0000-000008420000}"/>
    <cellStyle name="Normal 15 2 3 2 2 2 2 2" xfId="11748" xr:uid="{00000000-0005-0000-0000-000009420000}"/>
    <cellStyle name="Normal 15 2 3 2 2 2 2 2 2" xfId="51181" xr:uid="{00000000-0005-0000-0000-00000A420000}"/>
    <cellStyle name="Normal 15 2 3 2 2 2 2 2 3" xfId="51182" xr:uid="{00000000-0005-0000-0000-00000B420000}"/>
    <cellStyle name="Normal 15 2 3 2 2 2 2 3" xfId="11749" xr:uid="{00000000-0005-0000-0000-00000C420000}"/>
    <cellStyle name="Normal 15 2 3 2 2 2 2 3 2" xfId="51183" xr:uid="{00000000-0005-0000-0000-00000D420000}"/>
    <cellStyle name="Normal 15 2 3 2 2 2 2 4" xfId="11750" xr:uid="{00000000-0005-0000-0000-00000E420000}"/>
    <cellStyle name="Normal 15 2 3 2 2 2 2 5" xfId="11751" xr:uid="{00000000-0005-0000-0000-00000F420000}"/>
    <cellStyle name="Normal 15 2 3 2 2 2 2 6" xfId="11752" xr:uid="{00000000-0005-0000-0000-000010420000}"/>
    <cellStyle name="Normal 15 2 3 2 2 2 3" xfId="11753" xr:uid="{00000000-0005-0000-0000-000011420000}"/>
    <cellStyle name="Normal 15 2 3 2 2 2 3 2" xfId="51184" xr:uid="{00000000-0005-0000-0000-000012420000}"/>
    <cellStyle name="Normal 15 2 3 2 2 2 3 3" xfId="51185" xr:uid="{00000000-0005-0000-0000-000013420000}"/>
    <cellStyle name="Normal 15 2 3 2 2 2 4" xfId="11754" xr:uid="{00000000-0005-0000-0000-000014420000}"/>
    <cellStyle name="Normal 15 2 3 2 2 2 4 2" xfId="51186" xr:uid="{00000000-0005-0000-0000-000015420000}"/>
    <cellStyle name="Normal 15 2 3 2 2 2 5" xfId="11755" xr:uid="{00000000-0005-0000-0000-000016420000}"/>
    <cellStyle name="Normal 15 2 3 2 2 2 6" xfId="11756" xr:uid="{00000000-0005-0000-0000-000017420000}"/>
    <cellStyle name="Normal 15 2 3 2 2 2 7" xfId="11757" xr:uid="{00000000-0005-0000-0000-000018420000}"/>
    <cellStyle name="Normal 15 2 3 2 2 3" xfId="11758" xr:uid="{00000000-0005-0000-0000-000019420000}"/>
    <cellStyle name="Normal 15 2 3 2 2 3 2" xfId="11759" xr:uid="{00000000-0005-0000-0000-00001A420000}"/>
    <cellStyle name="Normal 15 2 3 2 2 3 2 2" xfId="51187" xr:uid="{00000000-0005-0000-0000-00001B420000}"/>
    <cellStyle name="Normal 15 2 3 2 2 3 2 3" xfId="51188" xr:uid="{00000000-0005-0000-0000-00001C420000}"/>
    <cellStyle name="Normal 15 2 3 2 2 3 3" xfId="11760" xr:uid="{00000000-0005-0000-0000-00001D420000}"/>
    <cellStyle name="Normal 15 2 3 2 2 3 3 2" xfId="51189" xr:uid="{00000000-0005-0000-0000-00001E420000}"/>
    <cellStyle name="Normal 15 2 3 2 2 3 4" xfId="11761" xr:uid="{00000000-0005-0000-0000-00001F420000}"/>
    <cellStyle name="Normal 15 2 3 2 2 3 5" xfId="11762" xr:uid="{00000000-0005-0000-0000-000020420000}"/>
    <cellStyle name="Normal 15 2 3 2 2 3 6" xfId="11763" xr:uid="{00000000-0005-0000-0000-000021420000}"/>
    <cellStyle name="Normal 15 2 3 2 2 4" xfId="11764" xr:uid="{00000000-0005-0000-0000-000022420000}"/>
    <cellStyle name="Normal 15 2 3 2 2 4 2" xfId="51190" xr:uid="{00000000-0005-0000-0000-000023420000}"/>
    <cellStyle name="Normal 15 2 3 2 2 4 3" xfId="51191" xr:uid="{00000000-0005-0000-0000-000024420000}"/>
    <cellStyle name="Normal 15 2 3 2 2 5" xfId="11765" xr:uid="{00000000-0005-0000-0000-000025420000}"/>
    <cellStyle name="Normal 15 2 3 2 2 5 2" xfId="51192" xr:uid="{00000000-0005-0000-0000-000026420000}"/>
    <cellStyle name="Normal 15 2 3 2 2 6" xfId="11766" xr:uid="{00000000-0005-0000-0000-000027420000}"/>
    <cellStyle name="Normal 15 2 3 2 2 7" xfId="11767" xr:uid="{00000000-0005-0000-0000-000028420000}"/>
    <cellStyle name="Normal 15 2 3 2 2 8" xfId="11768" xr:uid="{00000000-0005-0000-0000-000029420000}"/>
    <cellStyle name="Normal 15 2 3 2 2 9" xfId="11769" xr:uid="{00000000-0005-0000-0000-00002A420000}"/>
    <cellStyle name="Normal 15 2 3 2 3" xfId="11770" xr:uid="{00000000-0005-0000-0000-00002B420000}"/>
    <cellStyle name="Normal 15 2 3 2 3 2" xfId="11771" xr:uid="{00000000-0005-0000-0000-00002C420000}"/>
    <cellStyle name="Normal 15 2 3 2 3 2 2" xfId="11772" xr:uid="{00000000-0005-0000-0000-00002D420000}"/>
    <cellStyle name="Normal 15 2 3 2 3 2 2 2" xfId="11773" xr:uid="{00000000-0005-0000-0000-00002E420000}"/>
    <cellStyle name="Normal 15 2 3 2 3 2 2 2 2" xfId="51193" xr:uid="{00000000-0005-0000-0000-00002F420000}"/>
    <cellStyle name="Normal 15 2 3 2 3 2 2 2 3" xfId="51194" xr:uid="{00000000-0005-0000-0000-000030420000}"/>
    <cellStyle name="Normal 15 2 3 2 3 2 2 3" xfId="11774" xr:uid="{00000000-0005-0000-0000-000031420000}"/>
    <cellStyle name="Normal 15 2 3 2 3 2 2 3 2" xfId="51195" xr:uid="{00000000-0005-0000-0000-000032420000}"/>
    <cellStyle name="Normal 15 2 3 2 3 2 2 4" xfId="11775" xr:uid="{00000000-0005-0000-0000-000033420000}"/>
    <cellStyle name="Normal 15 2 3 2 3 2 2 5" xfId="11776" xr:uid="{00000000-0005-0000-0000-000034420000}"/>
    <cellStyle name="Normal 15 2 3 2 3 2 2 6" xfId="11777" xr:uid="{00000000-0005-0000-0000-000035420000}"/>
    <cellStyle name="Normal 15 2 3 2 3 2 3" xfId="11778" xr:uid="{00000000-0005-0000-0000-000036420000}"/>
    <cellStyle name="Normal 15 2 3 2 3 2 3 2" xfId="51196" xr:uid="{00000000-0005-0000-0000-000037420000}"/>
    <cellStyle name="Normal 15 2 3 2 3 2 3 3" xfId="51197" xr:uid="{00000000-0005-0000-0000-000038420000}"/>
    <cellStyle name="Normal 15 2 3 2 3 2 4" xfId="11779" xr:uid="{00000000-0005-0000-0000-000039420000}"/>
    <cellStyle name="Normal 15 2 3 2 3 2 4 2" xfId="51198" xr:uid="{00000000-0005-0000-0000-00003A420000}"/>
    <cellStyle name="Normal 15 2 3 2 3 2 5" xfId="11780" xr:uid="{00000000-0005-0000-0000-00003B420000}"/>
    <cellStyle name="Normal 15 2 3 2 3 2 6" xfId="11781" xr:uid="{00000000-0005-0000-0000-00003C420000}"/>
    <cellStyle name="Normal 15 2 3 2 3 2 7" xfId="11782" xr:uid="{00000000-0005-0000-0000-00003D420000}"/>
    <cellStyle name="Normal 15 2 3 2 3 3" xfId="11783" xr:uid="{00000000-0005-0000-0000-00003E420000}"/>
    <cellStyle name="Normal 15 2 3 2 3 3 2" xfId="11784" xr:uid="{00000000-0005-0000-0000-00003F420000}"/>
    <cellStyle name="Normal 15 2 3 2 3 3 2 2" xfId="51199" xr:uid="{00000000-0005-0000-0000-000040420000}"/>
    <cellStyle name="Normal 15 2 3 2 3 3 2 3" xfId="51200" xr:uid="{00000000-0005-0000-0000-000041420000}"/>
    <cellStyle name="Normal 15 2 3 2 3 3 3" xfId="11785" xr:uid="{00000000-0005-0000-0000-000042420000}"/>
    <cellStyle name="Normal 15 2 3 2 3 3 3 2" xfId="51201" xr:uid="{00000000-0005-0000-0000-000043420000}"/>
    <cellStyle name="Normal 15 2 3 2 3 3 4" xfId="11786" xr:uid="{00000000-0005-0000-0000-000044420000}"/>
    <cellStyle name="Normal 15 2 3 2 3 3 5" xfId="11787" xr:uid="{00000000-0005-0000-0000-000045420000}"/>
    <cellStyle name="Normal 15 2 3 2 3 3 6" xfId="11788" xr:uid="{00000000-0005-0000-0000-000046420000}"/>
    <cellStyle name="Normal 15 2 3 2 3 4" xfId="11789" xr:uid="{00000000-0005-0000-0000-000047420000}"/>
    <cellStyle name="Normal 15 2 3 2 3 4 2" xfId="51202" xr:uid="{00000000-0005-0000-0000-000048420000}"/>
    <cellStyle name="Normal 15 2 3 2 3 4 3" xfId="51203" xr:uid="{00000000-0005-0000-0000-000049420000}"/>
    <cellStyle name="Normal 15 2 3 2 3 5" xfId="11790" xr:uid="{00000000-0005-0000-0000-00004A420000}"/>
    <cellStyle name="Normal 15 2 3 2 3 5 2" xfId="51204" xr:uid="{00000000-0005-0000-0000-00004B420000}"/>
    <cellStyle name="Normal 15 2 3 2 3 6" xfId="11791" xr:uid="{00000000-0005-0000-0000-00004C420000}"/>
    <cellStyle name="Normal 15 2 3 2 3 7" xfId="11792" xr:uid="{00000000-0005-0000-0000-00004D420000}"/>
    <cellStyle name="Normal 15 2 3 2 3 8" xfId="11793" xr:uid="{00000000-0005-0000-0000-00004E420000}"/>
    <cellStyle name="Normal 15 2 3 2 4" xfId="11794" xr:uid="{00000000-0005-0000-0000-00004F420000}"/>
    <cellStyle name="Normal 15 2 3 2 4 2" xfId="11795" xr:uid="{00000000-0005-0000-0000-000050420000}"/>
    <cellStyle name="Normal 15 2 3 2 4 2 2" xfId="11796" xr:uid="{00000000-0005-0000-0000-000051420000}"/>
    <cellStyle name="Normal 15 2 3 2 4 2 2 2" xfId="51205" xr:uid="{00000000-0005-0000-0000-000052420000}"/>
    <cellStyle name="Normal 15 2 3 2 4 2 2 3" xfId="51206" xr:uid="{00000000-0005-0000-0000-000053420000}"/>
    <cellStyle name="Normal 15 2 3 2 4 2 3" xfId="11797" xr:uid="{00000000-0005-0000-0000-000054420000}"/>
    <cellStyle name="Normal 15 2 3 2 4 2 3 2" xfId="51207" xr:uid="{00000000-0005-0000-0000-000055420000}"/>
    <cellStyle name="Normal 15 2 3 2 4 2 4" xfId="11798" xr:uid="{00000000-0005-0000-0000-000056420000}"/>
    <cellStyle name="Normal 15 2 3 2 4 2 5" xfId="11799" xr:uid="{00000000-0005-0000-0000-000057420000}"/>
    <cellStyle name="Normal 15 2 3 2 4 2 6" xfId="11800" xr:uid="{00000000-0005-0000-0000-000058420000}"/>
    <cellStyle name="Normal 15 2 3 2 4 3" xfId="11801" xr:uid="{00000000-0005-0000-0000-000059420000}"/>
    <cellStyle name="Normal 15 2 3 2 4 3 2" xfId="51208" xr:uid="{00000000-0005-0000-0000-00005A420000}"/>
    <cellStyle name="Normal 15 2 3 2 4 3 3" xfId="51209" xr:uid="{00000000-0005-0000-0000-00005B420000}"/>
    <cellStyle name="Normal 15 2 3 2 4 4" xfId="11802" xr:uid="{00000000-0005-0000-0000-00005C420000}"/>
    <cellStyle name="Normal 15 2 3 2 4 4 2" xfId="51210" xr:uid="{00000000-0005-0000-0000-00005D420000}"/>
    <cellStyle name="Normal 15 2 3 2 4 5" xfId="11803" xr:uid="{00000000-0005-0000-0000-00005E420000}"/>
    <cellStyle name="Normal 15 2 3 2 4 6" xfId="11804" xr:uid="{00000000-0005-0000-0000-00005F420000}"/>
    <cellStyle name="Normal 15 2 3 2 4 7" xfId="11805" xr:uid="{00000000-0005-0000-0000-000060420000}"/>
    <cellStyle name="Normal 15 2 3 2 5" xfId="11806" xr:uid="{00000000-0005-0000-0000-000061420000}"/>
    <cellStyle name="Normal 15 2 3 2 5 2" xfId="11807" xr:uid="{00000000-0005-0000-0000-000062420000}"/>
    <cellStyle name="Normal 15 2 3 2 5 2 2" xfId="51211" xr:uid="{00000000-0005-0000-0000-000063420000}"/>
    <cellStyle name="Normal 15 2 3 2 5 2 3" xfId="51212" xr:uid="{00000000-0005-0000-0000-000064420000}"/>
    <cellStyle name="Normal 15 2 3 2 5 3" xfId="11808" xr:uid="{00000000-0005-0000-0000-000065420000}"/>
    <cellStyle name="Normal 15 2 3 2 5 3 2" xfId="51213" xr:uid="{00000000-0005-0000-0000-000066420000}"/>
    <cellStyle name="Normal 15 2 3 2 5 4" xfId="11809" xr:uid="{00000000-0005-0000-0000-000067420000}"/>
    <cellStyle name="Normal 15 2 3 2 5 5" xfId="11810" xr:uid="{00000000-0005-0000-0000-000068420000}"/>
    <cellStyle name="Normal 15 2 3 2 5 6" xfId="11811" xr:uid="{00000000-0005-0000-0000-000069420000}"/>
    <cellStyle name="Normal 15 2 3 2 6" xfId="11812" xr:uid="{00000000-0005-0000-0000-00006A420000}"/>
    <cellStyle name="Normal 15 2 3 2 6 2" xfId="51214" xr:uid="{00000000-0005-0000-0000-00006B420000}"/>
    <cellStyle name="Normal 15 2 3 2 6 3" xfId="51215" xr:uid="{00000000-0005-0000-0000-00006C420000}"/>
    <cellStyle name="Normal 15 2 3 2 7" xfId="11813" xr:uid="{00000000-0005-0000-0000-00006D420000}"/>
    <cellStyle name="Normal 15 2 3 2 7 2" xfId="51216" xr:uid="{00000000-0005-0000-0000-00006E420000}"/>
    <cellStyle name="Normal 15 2 3 2 8" xfId="11814" xr:uid="{00000000-0005-0000-0000-00006F420000}"/>
    <cellStyle name="Normal 15 2 3 2 9" xfId="11815" xr:uid="{00000000-0005-0000-0000-000070420000}"/>
    <cellStyle name="Normal 15 2 3 3" xfId="11816" xr:uid="{00000000-0005-0000-0000-000071420000}"/>
    <cellStyle name="Normal 15 2 3 3 2" xfId="11817" xr:uid="{00000000-0005-0000-0000-000072420000}"/>
    <cellStyle name="Normal 15 2 3 3 2 2" xfId="11818" xr:uid="{00000000-0005-0000-0000-000073420000}"/>
    <cellStyle name="Normal 15 2 3 3 2 2 2" xfId="11819" xr:uid="{00000000-0005-0000-0000-000074420000}"/>
    <cellStyle name="Normal 15 2 3 3 2 2 2 2" xfId="51217" xr:uid="{00000000-0005-0000-0000-000075420000}"/>
    <cellStyle name="Normal 15 2 3 3 2 2 2 3" xfId="51218" xr:uid="{00000000-0005-0000-0000-000076420000}"/>
    <cellStyle name="Normal 15 2 3 3 2 2 3" xfId="11820" xr:uid="{00000000-0005-0000-0000-000077420000}"/>
    <cellStyle name="Normal 15 2 3 3 2 2 3 2" xfId="51219" xr:uid="{00000000-0005-0000-0000-000078420000}"/>
    <cellStyle name="Normal 15 2 3 3 2 2 4" xfId="11821" xr:uid="{00000000-0005-0000-0000-000079420000}"/>
    <cellStyle name="Normal 15 2 3 3 2 2 5" xfId="11822" xr:uid="{00000000-0005-0000-0000-00007A420000}"/>
    <cellStyle name="Normal 15 2 3 3 2 2 6" xfId="11823" xr:uid="{00000000-0005-0000-0000-00007B420000}"/>
    <cellStyle name="Normal 15 2 3 3 2 3" xfId="11824" xr:uid="{00000000-0005-0000-0000-00007C420000}"/>
    <cellStyle name="Normal 15 2 3 3 2 3 2" xfId="51220" xr:uid="{00000000-0005-0000-0000-00007D420000}"/>
    <cellStyle name="Normal 15 2 3 3 2 3 3" xfId="51221" xr:uid="{00000000-0005-0000-0000-00007E420000}"/>
    <cellStyle name="Normal 15 2 3 3 2 4" xfId="11825" xr:uid="{00000000-0005-0000-0000-00007F420000}"/>
    <cellStyle name="Normal 15 2 3 3 2 4 2" xfId="51222" xr:uid="{00000000-0005-0000-0000-000080420000}"/>
    <cellStyle name="Normal 15 2 3 3 2 5" xfId="11826" xr:uid="{00000000-0005-0000-0000-000081420000}"/>
    <cellStyle name="Normal 15 2 3 3 2 6" xfId="11827" xr:uid="{00000000-0005-0000-0000-000082420000}"/>
    <cellStyle name="Normal 15 2 3 3 2 7" xfId="11828" xr:uid="{00000000-0005-0000-0000-000083420000}"/>
    <cellStyle name="Normal 15 2 3 3 3" xfId="11829" xr:uid="{00000000-0005-0000-0000-000084420000}"/>
    <cellStyle name="Normal 15 2 3 3 3 2" xfId="11830" xr:uid="{00000000-0005-0000-0000-000085420000}"/>
    <cellStyle name="Normal 15 2 3 3 3 2 2" xfId="51223" xr:uid="{00000000-0005-0000-0000-000086420000}"/>
    <cellStyle name="Normal 15 2 3 3 3 2 3" xfId="51224" xr:uid="{00000000-0005-0000-0000-000087420000}"/>
    <cellStyle name="Normal 15 2 3 3 3 3" xfId="11831" xr:uid="{00000000-0005-0000-0000-000088420000}"/>
    <cellStyle name="Normal 15 2 3 3 3 3 2" xfId="51225" xr:uid="{00000000-0005-0000-0000-000089420000}"/>
    <cellStyle name="Normal 15 2 3 3 3 4" xfId="11832" xr:uid="{00000000-0005-0000-0000-00008A420000}"/>
    <cellStyle name="Normal 15 2 3 3 3 5" xfId="11833" xr:uid="{00000000-0005-0000-0000-00008B420000}"/>
    <cellStyle name="Normal 15 2 3 3 3 6" xfId="11834" xr:uid="{00000000-0005-0000-0000-00008C420000}"/>
    <cellStyle name="Normal 15 2 3 3 4" xfId="11835" xr:uid="{00000000-0005-0000-0000-00008D420000}"/>
    <cellStyle name="Normal 15 2 3 3 4 2" xfId="51226" xr:uid="{00000000-0005-0000-0000-00008E420000}"/>
    <cellStyle name="Normal 15 2 3 3 4 3" xfId="51227" xr:uid="{00000000-0005-0000-0000-00008F420000}"/>
    <cellStyle name="Normal 15 2 3 3 5" xfId="11836" xr:uid="{00000000-0005-0000-0000-000090420000}"/>
    <cellStyle name="Normal 15 2 3 3 5 2" xfId="51228" xr:uid="{00000000-0005-0000-0000-000091420000}"/>
    <cellStyle name="Normal 15 2 3 3 6" xfId="11837" xr:uid="{00000000-0005-0000-0000-000092420000}"/>
    <cellStyle name="Normal 15 2 3 3 7" xfId="11838" xr:uid="{00000000-0005-0000-0000-000093420000}"/>
    <cellStyle name="Normal 15 2 3 3 8" xfId="11839" xr:uid="{00000000-0005-0000-0000-000094420000}"/>
    <cellStyle name="Normal 15 2 3 3 9" xfId="11840" xr:uid="{00000000-0005-0000-0000-000095420000}"/>
    <cellStyle name="Normal 15 2 3 4" xfId="11841" xr:uid="{00000000-0005-0000-0000-000096420000}"/>
    <cellStyle name="Normal 15 2 3 4 2" xfId="11842" xr:uid="{00000000-0005-0000-0000-000097420000}"/>
    <cellStyle name="Normal 15 2 3 4 2 2" xfId="11843" xr:uid="{00000000-0005-0000-0000-000098420000}"/>
    <cellStyle name="Normal 15 2 3 4 2 2 2" xfId="11844" xr:uid="{00000000-0005-0000-0000-000099420000}"/>
    <cellStyle name="Normal 15 2 3 4 2 2 2 2" xfId="51229" xr:uid="{00000000-0005-0000-0000-00009A420000}"/>
    <cellStyle name="Normal 15 2 3 4 2 2 2 3" xfId="51230" xr:uid="{00000000-0005-0000-0000-00009B420000}"/>
    <cellStyle name="Normal 15 2 3 4 2 2 3" xfId="11845" xr:uid="{00000000-0005-0000-0000-00009C420000}"/>
    <cellStyle name="Normal 15 2 3 4 2 2 3 2" xfId="51231" xr:uid="{00000000-0005-0000-0000-00009D420000}"/>
    <cellStyle name="Normal 15 2 3 4 2 2 4" xfId="11846" xr:uid="{00000000-0005-0000-0000-00009E420000}"/>
    <cellStyle name="Normal 15 2 3 4 2 2 5" xfId="11847" xr:uid="{00000000-0005-0000-0000-00009F420000}"/>
    <cellStyle name="Normal 15 2 3 4 2 2 6" xfId="11848" xr:uid="{00000000-0005-0000-0000-0000A0420000}"/>
    <cellStyle name="Normal 15 2 3 4 2 3" xfId="11849" xr:uid="{00000000-0005-0000-0000-0000A1420000}"/>
    <cellStyle name="Normal 15 2 3 4 2 3 2" xfId="51232" xr:uid="{00000000-0005-0000-0000-0000A2420000}"/>
    <cellStyle name="Normal 15 2 3 4 2 3 3" xfId="51233" xr:uid="{00000000-0005-0000-0000-0000A3420000}"/>
    <cellStyle name="Normal 15 2 3 4 2 4" xfId="11850" xr:uid="{00000000-0005-0000-0000-0000A4420000}"/>
    <cellStyle name="Normal 15 2 3 4 2 4 2" xfId="51234" xr:uid="{00000000-0005-0000-0000-0000A5420000}"/>
    <cellStyle name="Normal 15 2 3 4 2 5" xfId="11851" xr:uid="{00000000-0005-0000-0000-0000A6420000}"/>
    <cellStyle name="Normal 15 2 3 4 2 6" xfId="11852" xr:uid="{00000000-0005-0000-0000-0000A7420000}"/>
    <cellStyle name="Normal 15 2 3 4 2 7" xfId="11853" xr:uid="{00000000-0005-0000-0000-0000A8420000}"/>
    <cellStyle name="Normal 15 2 3 4 3" xfId="11854" xr:uid="{00000000-0005-0000-0000-0000A9420000}"/>
    <cellStyle name="Normal 15 2 3 4 3 2" xfId="11855" xr:uid="{00000000-0005-0000-0000-0000AA420000}"/>
    <cellStyle name="Normal 15 2 3 4 3 2 2" xfId="51235" xr:uid="{00000000-0005-0000-0000-0000AB420000}"/>
    <cellStyle name="Normal 15 2 3 4 3 2 3" xfId="51236" xr:uid="{00000000-0005-0000-0000-0000AC420000}"/>
    <cellStyle name="Normal 15 2 3 4 3 3" xfId="11856" xr:uid="{00000000-0005-0000-0000-0000AD420000}"/>
    <cellStyle name="Normal 15 2 3 4 3 3 2" xfId="51237" xr:uid="{00000000-0005-0000-0000-0000AE420000}"/>
    <cellStyle name="Normal 15 2 3 4 3 4" xfId="11857" xr:uid="{00000000-0005-0000-0000-0000AF420000}"/>
    <cellStyle name="Normal 15 2 3 4 3 5" xfId="11858" xr:uid="{00000000-0005-0000-0000-0000B0420000}"/>
    <cellStyle name="Normal 15 2 3 4 3 6" xfId="11859" xr:uid="{00000000-0005-0000-0000-0000B1420000}"/>
    <cellStyle name="Normal 15 2 3 4 4" xfId="11860" xr:uid="{00000000-0005-0000-0000-0000B2420000}"/>
    <cellStyle name="Normal 15 2 3 4 4 2" xfId="51238" xr:uid="{00000000-0005-0000-0000-0000B3420000}"/>
    <cellStyle name="Normal 15 2 3 4 4 3" xfId="51239" xr:uid="{00000000-0005-0000-0000-0000B4420000}"/>
    <cellStyle name="Normal 15 2 3 4 5" xfId="11861" xr:uid="{00000000-0005-0000-0000-0000B5420000}"/>
    <cellStyle name="Normal 15 2 3 4 5 2" xfId="51240" xr:uid="{00000000-0005-0000-0000-0000B6420000}"/>
    <cellStyle name="Normal 15 2 3 4 6" xfId="11862" xr:uid="{00000000-0005-0000-0000-0000B7420000}"/>
    <cellStyle name="Normal 15 2 3 4 7" xfId="11863" xr:uid="{00000000-0005-0000-0000-0000B8420000}"/>
    <cellStyle name="Normal 15 2 3 4 8" xfId="11864" xr:uid="{00000000-0005-0000-0000-0000B9420000}"/>
    <cellStyle name="Normal 15 2 3 5" xfId="11865" xr:uid="{00000000-0005-0000-0000-0000BA420000}"/>
    <cellStyle name="Normal 15 2 3 5 2" xfId="11866" xr:uid="{00000000-0005-0000-0000-0000BB420000}"/>
    <cellStyle name="Normal 15 2 3 5 2 2" xfId="11867" xr:uid="{00000000-0005-0000-0000-0000BC420000}"/>
    <cellStyle name="Normal 15 2 3 5 2 2 2" xfId="51241" xr:uid="{00000000-0005-0000-0000-0000BD420000}"/>
    <cellStyle name="Normal 15 2 3 5 2 2 3" xfId="51242" xr:uid="{00000000-0005-0000-0000-0000BE420000}"/>
    <cellStyle name="Normal 15 2 3 5 2 3" xfId="11868" xr:uid="{00000000-0005-0000-0000-0000BF420000}"/>
    <cellStyle name="Normal 15 2 3 5 2 3 2" xfId="51243" xr:uid="{00000000-0005-0000-0000-0000C0420000}"/>
    <cellStyle name="Normal 15 2 3 5 2 4" xfId="11869" xr:uid="{00000000-0005-0000-0000-0000C1420000}"/>
    <cellStyle name="Normal 15 2 3 5 2 5" xfId="11870" xr:uid="{00000000-0005-0000-0000-0000C2420000}"/>
    <cellStyle name="Normal 15 2 3 5 2 6" xfId="11871" xr:uid="{00000000-0005-0000-0000-0000C3420000}"/>
    <cellStyle name="Normal 15 2 3 5 3" xfId="11872" xr:uid="{00000000-0005-0000-0000-0000C4420000}"/>
    <cellStyle name="Normal 15 2 3 5 3 2" xfId="51244" xr:uid="{00000000-0005-0000-0000-0000C5420000}"/>
    <cellStyle name="Normal 15 2 3 5 3 3" xfId="51245" xr:uid="{00000000-0005-0000-0000-0000C6420000}"/>
    <cellStyle name="Normal 15 2 3 5 4" xfId="11873" xr:uid="{00000000-0005-0000-0000-0000C7420000}"/>
    <cellStyle name="Normal 15 2 3 5 4 2" xfId="51246" xr:uid="{00000000-0005-0000-0000-0000C8420000}"/>
    <cellStyle name="Normal 15 2 3 5 5" xfId="11874" xr:uid="{00000000-0005-0000-0000-0000C9420000}"/>
    <cellStyle name="Normal 15 2 3 5 6" xfId="11875" xr:uid="{00000000-0005-0000-0000-0000CA420000}"/>
    <cellStyle name="Normal 15 2 3 5 7" xfId="11876" xr:uid="{00000000-0005-0000-0000-0000CB420000}"/>
    <cellStyle name="Normal 15 2 3 6" xfId="11877" xr:uid="{00000000-0005-0000-0000-0000CC420000}"/>
    <cellStyle name="Normal 15 2 3 6 2" xfId="11878" xr:uid="{00000000-0005-0000-0000-0000CD420000}"/>
    <cellStyle name="Normal 15 2 3 6 2 2" xfId="51247" xr:uid="{00000000-0005-0000-0000-0000CE420000}"/>
    <cellStyle name="Normal 15 2 3 6 2 3" xfId="51248" xr:uid="{00000000-0005-0000-0000-0000CF420000}"/>
    <cellStyle name="Normal 15 2 3 6 3" xfId="11879" xr:uid="{00000000-0005-0000-0000-0000D0420000}"/>
    <cellStyle name="Normal 15 2 3 6 3 2" xfId="51249" xr:uid="{00000000-0005-0000-0000-0000D1420000}"/>
    <cellStyle name="Normal 15 2 3 6 4" xfId="11880" xr:uid="{00000000-0005-0000-0000-0000D2420000}"/>
    <cellStyle name="Normal 15 2 3 6 5" xfId="11881" xr:uid="{00000000-0005-0000-0000-0000D3420000}"/>
    <cellStyle name="Normal 15 2 3 6 6" xfId="11882" xr:uid="{00000000-0005-0000-0000-0000D4420000}"/>
    <cellStyle name="Normal 15 2 3 7" xfId="11883" xr:uid="{00000000-0005-0000-0000-0000D5420000}"/>
    <cellStyle name="Normal 15 2 3 7 2" xfId="51250" xr:uid="{00000000-0005-0000-0000-0000D6420000}"/>
    <cellStyle name="Normal 15 2 3 7 3" xfId="51251" xr:uid="{00000000-0005-0000-0000-0000D7420000}"/>
    <cellStyle name="Normal 15 2 3 8" xfId="11884" xr:uid="{00000000-0005-0000-0000-0000D8420000}"/>
    <cellStyle name="Normal 15 2 3 8 2" xfId="51252" xr:uid="{00000000-0005-0000-0000-0000D9420000}"/>
    <cellStyle name="Normal 15 2 3 9" xfId="11885" xr:uid="{00000000-0005-0000-0000-0000DA420000}"/>
    <cellStyle name="Normal 15 2 4" xfId="11886" xr:uid="{00000000-0005-0000-0000-0000DB420000}"/>
    <cellStyle name="Normal 15 2 4 10" xfId="11887" xr:uid="{00000000-0005-0000-0000-0000DC420000}"/>
    <cellStyle name="Normal 15 2 4 11" xfId="11888" xr:uid="{00000000-0005-0000-0000-0000DD420000}"/>
    <cellStyle name="Normal 15 2 4 12" xfId="11889" xr:uid="{00000000-0005-0000-0000-0000DE420000}"/>
    <cellStyle name="Normal 15 2 4 13" xfId="11890" xr:uid="{00000000-0005-0000-0000-0000DF420000}"/>
    <cellStyle name="Normal 15 2 4 14" xfId="11891" xr:uid="{00000000-0005-0000-0000-0000E0420000}"/>
    <cellStyle name="Normal 15 2 4 2" xfId="11892" xr:uid="{00000000-0005-0000-0000-0000E1420000}"/>
    <cellStyle name="Normal 15 2 4 2 2" xfId="11893" xr:uid="{00000000-0005-0000-0000-0000E2420000}"/>
    <cellStyle name="Normal 15 2 4 2 2 2" xfId="11894" xr:uid="{00000000-0005-0000-0000-0000E3420000}"/>
    <cellStyle name="Normal 15 2 4 2 2 2 2" xfId="11895" xr:uid="{00000000-0005-0000-0000-0000E4420000}"/>
    <cellStyle name="Normal 15 2 4 2 2 2 2 2" xfId="51253" xr:uid="{00000000-0005-0000-0000-0000E5420000}"/>
    <cellStyle name="Normal 15 2 4 2 2 2 2 3" xfId="51254" xr:uid="{00000000-0005-0000-0000-0000E6420000}"/>
    <cellStyle name="Normal 15 2 4 2 2 2 3" xfId="11896" xr:uid="{00000000-0005-0000-0000-0000E7420000}"/>
    <cellStyle name="Normal 15 2 4 2 2 2 3 2" xfId="51255" xr:uid="{00000000-0005-0000-0000-0000E8420000}"/>
    <cellStyle name="Normal 15 2 4 2 2 2 4" xfId="11897" xr:uid="{00000000-0005-0000-0000-0000E9420000}"/>
    <cellStyle name="Normal 15 2 4 2 2 2 5" xfId="11898" xr:uid="{00000000-0005-0000-0000-0000EA420000}"/>
    <cellStyle name="Normal 15 2 4 2 2 2 6" xfId="11899" xr:uid="{00000000-0005-0000-0000-0000EB420000}"/>
    <cellStyle name="Normal 15 2 4 2 2 3" xfId="11900" xr:uid="{00000000-0005-0000-0000-0000EC420000}"/>
    <cellStyle name="Normal 15 2 4 2 2 3 2" xfId="51256" xr:uid="{00000000-0005-0000-0000-0000ED420000}"/>
    <cellStyle name="Normal 15 2 4 2 2 3 3" xfId="51257" xr:uid="{00000000-0005-0000-0000-0000EE420000}"/>
    <cellStyle name="Normal 15 2 4 2 2 4" xfId="11901" xr:uid="{00000000-0005-0000-0000-0000EF420000}"/>
    <cellStyle name="Normal 15 2 4 2 2 4 2" xfId="51258" xr:uid="{00000000-0005-0000-0000-0000F0420000}"/>
    <cellStyle name="Normal 15 2 4 2 2 5" xfId="11902" xr:uid="{00000000-0005-0000-0000-0000F1420000}"/>
    <cellStyle name="Normal 15 2 4 2 2 6" xfId="11903" xr:uid="{00000000-0005-0000-0000-0000F2420000}"/>
    <cellStyle name="Normal 15 2 4 2 2 7" xfId="11904" xr:uid="{00000000-0005-0000-0000-0000F3420000}"/>
    <cellStyle name="Normal 15 2 4 2 3" xfId="11905" xr:uid="{00000000-0005-0000-0000-0000F4420000}"/>
    <cellStyle name="Normal 15 2 4 2 3 2" xfId="11906" xr:uid="{00000000-0005-0000-0000-0000F5420000}"/>
    <cellStyle name="Normal 15 2 4 2 3 2 2" xfId="51259" xr:uid="{00000000-0005-0000-0000-0000F6420000}"/>
    <cellStyle name="Normal 15 2 4 2 3 2 3" xfId="51260" xr:uid="{00000000-0005-0000-0000-0000F7420000}"/>
    <cellStyle name="Normal 15 2 4 2 3 3" xfId="11907" xr:uid="{00000000-0005-0000-0000-0000F8420000}"/>
    <cellStyle name="Normal 15 2 4 2 3 3 2" xfId="51261" xr:uid="{00000000-0005-0000-0000-0000F9420000}"/>
    <cellStyle name="Normal 15 2 4 2 3 4" xfId="11908" xr:uid="{00000000-0005-0000-0000-0000FA420000}"/>
    <cellStyle name="Normal 15 2 4 2 3 5" xfId="11909" xr:uid="{00000000-0005-0000-0000-0000FB420000}"/>
    <cellStyle name="Normal 15 2 4 2 3 6" xfId="11910" xr:uid="{00000000-0005-0000-0000-0000FC420000}"/>
    <cellStyle name="Normal 15 2 4 2 4" xfId="11911" xr:uid="{00000000-0005-0000-0000-0000FD420000}"/>
    <cellStyle name="Normal 15 2 4 2 4 2" xfId="51262" xr:uid="{00000000-0005-0000-0000-0000FE420000}"/>
    <cellStyle name="Normal 15 2 4 2 4 3" xfId="51263" xr:uid="{00000000-0005-0000-0000-0000FF420000}"/>
    <cellStyle name="Normal 15 2 4 2 5" xfId="11912" xr:uid="{00000000-0005-0000-0000-000000430000}"/>
    <cellStyle name="Normal 15 2 4 2 5 2" xfId="51264" xr:uid="{00000000-0005-0000-0000-000001430000}"/>
    <cellStyle name="Normal 15 2 4 2 6" xfId="11913" xr:uid="{00000000-0005-0000-0000-000002430000}"/>
    <cellStyle name="Normal 15 2 4 2 7" xfId="11914" xr:uid="{00000000-0005-0000-0000-000003430000}"/>
    <cellStyle name="Normal 15 2 4 2 8" xfId="11915" xr:uid="{00000000-0005-0000-0000-000004430000}"/>
    <cellStyle name="Normal 15 2 4 2 9" xfId="11916" xr:uid="{00000000-0005-0000-0000-000005430000}"/>
    <cellStyle name="Normal 15 2 4 3" xfId="11917" xr:uid="{00000000-0005-0000-0000-000006430000}"/>
    <cellStyle name="Normal 15 2 4 3 2" xfId="11918" xr:uid="{00000000-0005-0000-0000-000007430000}"/>
    <cellStyle name="Normal 15 2 4 3 2 2" xfId="11919" xr:uid="{00000000-0005-0000-0000-000008430000}"/>
    <cellStyle name="Normal 15 2 4 3 2 2 2" xfId="11920" xr:uid="{00000000-0005-0000-0000-000009430000}"/>
    <cellStyle name="Normal 15 2 4 3 2 2 2 2" xfId="51265" xr:uid="{00000000-0005-0000-0000-00000A430000}"/>
    <cellStyle name="Normal 15 2 4 3 2 2 2 3" xfId="51266" xr:uid="{00000000-0005-0000-0000-00000B430000}"/>
    <cellStyle name="Normal 15 2 4 3 2 2 3" xfId="11921" xr:uid="{00000000-0005-0000-0000-00000C430000}"/>
    <cellStyle name="Normal 15 2 4 3 2 2 3 2" xfId="51267" xr:uid="{00000000-0005-0000-0000-00000D430000}"/>
    <cellStyle name="Normal 15 2 4 3 2 2 4" xfId="11922" xr:uid="{00000000-0005-0000-0000-00000E430000}"/>
    <cellStyle name="Normal 15 2 4 3 2 2 5" xfId="11923" xr:uid="{00000000-0005-0000-0000-00000F430000}"/>
    <cellStyle name="Normal 15 2 4 3 2 2 6" xfId="11924" xr:uid="{00000000-0005-0000-0000-000010430000}"/>
    <cellStyle name="Normal 15 2 4 3 2 3" xfId="11925" xr:uid="{00000000-0005-0000-0000-000011430000}"/>
    <cellStyle name="Normal 15 2 4 3 2 3 2" xfId="51268" xr:uid="{00000000-0005-0000-0000-000012430000}"/>
    <cellStyle name="Normal 15 2 4 3 2 3 3" xfId="51269" xr:uid="{00000000-0005-0000-0000-000013430000}"/>
    <cellStyle name="Normal 15 2 4 3 2 4" xfId="11926" xr:uid="{00000000-0005-0000-0000-000014430000}"/>
    <cellStyle name="Normal 15 2 4 3 2 4 2" xfId="51270" xr:uid="{00000000-0005-0000-0000-000015430000}"/>
    <cellStyle name="Normal 15 2 4 3 2 5" xfId="11927" xr:uid="{00000000-0005-0000-0000-000016430000}"/>
    <cellStyle name="Normal 15 2 4 3 2 6" xfId="11928" xr:uid="{00000000-0005-0000-0000-000017430000}"/>
    <cellStyle name="Normal 15 2 4 3 2 7" xfId="11929" xr:uid="{00000000-0005-0000-0000-000018430000}"/>
    <cellStyle name="Normal 15 2 4 3 3" xfId="11930" xr:uid="{00000000-0005-0000-0000-000019430000}"/>
    <cellStyle name="Normal 15 2 4 3 3 2" xfId="11931" xr:uid="{00000000-0005-0000-0000-00001A430000}"/>
    <cellStyle name="Normal 15 2 4 3 3 2 2" xfId="51271" xr:uid="{00000000-0005-0000-0000-00001B430000}"/>
    <cellStyle name="Normal 15 2 4 3 3 2 3" xfId="51272" xr:uid="{00000000-0005-0000-0000-00001C430000}"/>
    <cellStyle name="Normal 15 2 4 3 3 3" xfId="11932" xr:uid="{00000000-0005-0000-0000-00001D430000}"/>
    <cellStyle name="Normal 15 2 4 3 3 3 2" xfId="51273" xr:uid="{00000000-0005-0000-0000-00001E430000}"/>
    <cellStyle name="Normal 15 2 4 3 3 4" xfId="11933" xr:uid="{00000000-0005-0000-0000-00001F430000}"/>
    <cellStyle name="Normal 15 2 4 3 3 5" xfId="11934" xr:uid="{00000000-0005-0000-0000-000020430000}"/>
    <cellStyle name="Normal 15 2 4 3 3 6" xfId="11935" xr:uid="{00000000-0005-0000-0000-000021430000}"/>
    <cellStyle name="Normal 15 2 4 3 4" xfId="11936" xr:uid="{00000000-0005-0000-0000-000022430000}"/>
    <cellStyle name="Normal 15 2 4 3 4 2" xfId="51274" xr:uid="{00000000-0005-0000-0000-000023430000}"/>
    <cellStyle name="Normal 15 2 4 3 4 3" xfId="51275" xr:uid="{00000000-0005-0000-0000-000024430000}"/>
    <cellStyle name="Normal 15 2 4 3 5" xfId="11937" xr:uid="{00000000-0005-0000-0000-000025430000}"/>
    <cellStyle name="Normal 15 2 4 3 5 2" xfId="51276" xr:uid="{00000000-0005-0000-0000-000026430000}"/>
    <cellStyle name="Normal 15 2 4 3 6" xfId="11938" xr:uid="{00000000-0005-0000-0000-000027430000}"/>
    <cellStyle name="Normal 15 2 4 3 7" xfId="11939" xr:uid="{00000000-0005-0000-0000-000028430000}"/>
    <cellStyle name="Normal 15 2 4 3 8" xfId="11940" xr:uid="{00000000-0005-0000-0000-000029430000}"/>
    <cellStyle name="Normal 15 2 4 4" xfId="11941" xr:uid="{00000000-0005-0000-0000-00002A430000}"/>
    <cellStyle name="Normal 15 2 4 4 2" xfId="11942" xr:uid="{00000000-0005-0000-0000-00002B430000}"/>
    <cellStyle name="Normal 15 2 4 4 2 2" xfId="11943" xr:uid="{00000000-0005-0000-0000-00002C430000}"/>
    <cellStyle name="Normal 15 2 4 4 2 2 2" xfId="51277" xr:uid="{00000000-0005-0000-0000-00002D430000}"/>
    <cellStyle name="Normal 15 2 4 4 2 2 3" xfId="51278" xr:uid="{00000000-0005-0000-0000-00002E430000}"/>
    <cellStyle name="Normal 15 2 4 4 2 3" xfId="11944" xr:uid="{00000000-0005-0000-0000-00002F430000}"/>
    <cellStyle name="Normal 15 2 4 4 2 3 2" xfId="51279" xr:uid="{00000000-0005-0000-0000-000030430000}"/>
    <cellStyle name="Normal 15 2 4 4 2 4" xfId="11945" xr:uid="{00000000-0005-0000-0000-000031430000}"/>
    <cellStyle name="Normal 15 2 4 4 2 5" xfId="11946" xr:uid="{00000000-0005-0000-0000-000032430000}"/>
    <cellStyle name="Normal 15 2 4 4 2 6" xfId="11947" xr:uid="{00000000-0005-0000-0000-000033430000}"/>
    <cellStyle name="Normal 15 2 4 4 3" xfId="11948" xr:uid="{00000000-0005-0000-0000-000034430000}"/>
    <cellStyle name="Normal 15 2 4 4 3 2" xfId="51280" xr:uid="{00000000-0005-0000-0000-000035430000}"/>
    <cellStyle name="Normal 15 2 4 4 3 3" xfId="51281" xr:uid="{00000000-0005-0000-0000-000036430000}"/>
    <cellStyle name="Normal 15 2 4 4 4" xfId="11949" xr:uid="{00000000-0005-0000-0000-000037430000}"/>
    <cellStyle name="Normal 15 2 4 4 4 2" xfId="51282" xr:uid="{00000000-0005-0000-0000-000038430000}"/>
    <cellStyle name="Normal 15 2 4 4 5" xfId="11950" xr:uid="{00000000-0005-0000-0000-000039430000}"/>
    <cellStyle name="Normal 15 2 4 4 6" xfId="11951" xr:uid="{00000000-0005-0000-0000-00003A430000}"/>
    <cellStyle name="Normal 15 2 4 4 7" xfId="11952" xr:uid="{00000000-0005-0000-0000-00003B430000}"/>
    <cellStyle name="Normal 15 2 4 5" xfId="11953" xr:uid="{00000000-0005-0000-0000-00003C430000}"/>
    <cellStyle name="Normal 15 2 4 5 2" xfId="11954" xr:uid="{00000000-0005-0000-0000-00003D430000}"/>
    <cellStyle name="Normal 15 2 4 5 2 2" xfId="51283" xr:uid="{00000000-0005-0000-0000-00003E430000}"/>
    <cellStyle name="Normal 15 2 4 5 2 3" xfId="51284" xr:uid="{00000000-0005-0000-0000-00003F430000}"/>
    <cellStyle name="Normal 15 2 4 5 3" xfId="11955" xr:uid="{00000000-0005-0000-0000-000040430000}"/>
    <cellStyle name="Normal 15 2 4 5 3 2" xfId="51285" xr:uid="{00000000-0005-0000-0000-000041430000}"/>
    <cellStyle name="Normal 15 2 4 5 4" xfId="11956" xr:uid="{00000000-0005-0000-0000-000042430000}"/>
    <cellStyle name="Normal 15 2 4 5 5" xfId="11957" xr:uid="{00000000-0005-0000-0000-000043430000}"/>
    <cellStyle name="Normal 15 2 4 5 6" xfId="11958" xr:uid="{00000000-0005-0000-0000-000044430000}"/>
    <cellStyle name="Normal 15 2 4 6" xfId="11959" xr:uid="{00000000-0005-0000-0000-000045430000}"/>
    <cellStyle name="Normal 15 2 4 6 2" xfId="51286" xr:uid="{00000000-0005-0000-0000-000046430000}"/>
    <cellStyle name="Normal 15 2 4 6 3" xfId="51287" xr:uid="{00000000-0005-0000-0000-000047430000}"/>
    <cellStyle name="Normal 15 2 4 7" xfId="11960" xr:uid="{00000000-0005-0000-0000-000048430000}"/>
    <cellStyle name="Normal 15 2 4 7 2" xfId="51288" xr:uid="{00000000-0005-0000-0000-000049430000}"/>
    <cellStyle name="Normal 15 2 4 8" xfId="11961" xr:uid="{00000000-0005-0000-0000-00004A430000}"/>
    <cellStyle name="Normal 15 2 4 9" xfId="11962" xr:uid="{00000000-0005-0000-0000-00004B430000}"/>
    <cellStyle name="Normal 15 2 5" xfId="11963" xr:uid="{00000000-0005-0000-0000-00004C430000}"/>
    <cellStyle name="Normal 15 2 5 10" xfId="11964" xr:uid="{00000000-0005-0000-0000-00004D430000}"/>
    <cellStyle name="Normal 15 2 5 11" xfId="11965" xr:uid="{00000000-0005-0000-0000-00004E430000}"/>
    <cellStyle name="Normal 15 2 5 12" xfId="11966" xr:uid="{00000000-0005-0000-0000-00004F430000}"/>
    <cellStyle name="Normal 15 2 5 13" xfId="11967" xr:uid="{00000000-0005-0000-0000-000050430000}"/>
    <cellStyle name="Normal 15 2 5 14" xfId="11968" xr:uid="{00000000-0005-0000-0000-000051430000}"/>
    <cellStyle name="Normal 15 2 5 2" xfId="11969" xr:uid="{00000000-0005-0000-0000-000052430000}"/>
    <cellStyle name="Normal 15 2 5 2 2" xfId="11970" xr:uid="{00000000-0005-0000-0000-000053430000}"/>
    <cellStyle name="Normal 15 2 5 2 2 2" xfId="11971" xr:uid="{00000000-0005-0000-0000-000054430000}"/>
    <cellStyle name="Normal 15 2 5 2 2 2 2" xfId="11972" xr:uid="{00000000-0005-0000-0000-000055430000}"/>
    <cellStyle name="Normal 15 2 5 2 2 2 2 2" xfId="51289" xr:uid="{00000000-0005-0000-0000-000056430000}"/>
    <cellStyle name="Normal 15 2 5 2 2 2 2 3" xfId="51290" xr:uid="{00000000-0005-0000-0000-000057430000}"/>
    <cellStyle name="Normal 15 2 5 2 2 2 3" xfId="11973" xr:uid="{00000000-0005-0000-0000-000058430000}"/>
    <cellStyle name="Normal 15 2 5 2 2 2 3 2" xfId="51291" xr:uid="{00000000-0005-0000-0000-000059430000}"/>
    <cellStyle name="Normal 15 2 5 2 2 2 4" xfId="11974" xr:uid="{00000000-0005-0000-0000-00005A430000}"/>
    <cellStyle name="Normal 15 2 5 2 2 2 5" xfId="11975" xr:uid="{00000000-0005-0000-0000-00005B430000}"/>
    <cellStyle name="Normal 15 2 5 2 2 2 6" xfId="11976" xr:uid="{00000000-0005-0000-0000-00005C430000}"/>
    <cellStyle name="Normal 15 2 5 2 2 3" xfId="11977" xr:uid="{00000000-0005-0000-0000-00005D430000}"/>
    <cellStyle name="Normal 15 2 5 2 2 3 2" xfId="51292" xr:uid="{00000000-0005-0000-0000-00005E430000}"/>
    <cellStyle name="Normal 15 2 5 2 2 3 3" xfId="51293" xr:uid="{00000000-0005-0000-0000-00005F430000}"/>
    <cellStyle name="Normal 15 2 5 2 2 4" xfId="11978" xr:uid="{00000000-0005-0000-0000-000060430000}"/>
    <cellStyle name="Normal 15 2 5 2 2 4 2" xfId="51294" xr:uid="{00000000-0005-0000-0000-000061430000}"/>
    <cellStyle name="Normal 15 2 5 2 2 5" xfId="11979" xr:uid="{00000000-0005-0000-0000-000062430000}"/>
    <cellStyle name="Normal 15 2 5 2 2 6" xfId="11980" xr:uid="{00000000-0005-0000-0000-000063430000}"/>
    <cellStyle name="Normal 15 2 5 2 2 7" xfId="11981" xr:uid="{00000000-0005-0000-0000-000064430000}"/>
    <cellStyle name="Normal 15 2 5 2 3" xfId="11982" xr:uid="{00000000-0005-0000-0000-000065430000}"/>
    <cellStyle name="Normal 15 2 5 2 3 2" xfId="11983" xr:uid="{00000000-0005-0000-0000-000066430000}"/>
    <cellStyle name="Normal 15 2 5 2 3 2 2" xfId="51295" xr:uid="{00000000-0005-0000-0000-000067430000}"/>
    <cellStyle name="Normal 15 2 5 2 3 2 3" xfId="51296" xr:uid="{00000000-0005-0000-0000-000068430000}"/>
    <cellStyle name="Normal 15 2 5 2 3 3" xfId="11984" xr:uid="{00000000-0005-0000-0000-000069430000}"/>
    <cellStyle name="Normal 15 2 5 2 3 3 2" xfId="51297" xr:uid="{00000000-0005-0000-0000-00006A430000}"/>
    <cellStyle name="Normal 15 2 5 2 3 4" xfId="11985" xr:uid="{00000000-0005-0000-0000-00006B430000}"/>
    <cellStyle name="Normal 15 2 5 2 3 5" xfId="11986" xr:uid="{00000000-0005-0000-0000-00006C430000}"/>
    <cellStyle name="Normal 15 2 5 2 3 6" xfId="11987" xr:uid="{00000000-0005-0000-0000-00006D430000}"/>
    <cellStyle name="Normal 15 2 5 2 4" xfId="11988" xr:uid="{00000000-0005-0000-0000-00006E430000}"/>
    <cellStyle name="Normal 15 2 5 2 4 2" xfId="51298" xr:uid="{00000000-0005-0000-0000-00006F430000}"/>
    <cellStyle name="Normal 15 2 5 2 4 3" xfId="51299" xr:uid="{00000000-0005-0000-0000-000070430000}"/>
    <cellStyle name="Normal 15 2 5 2 5" xfId="11989" xr:uid="{00000000-0005-0000-0000-000071430000}"/>
    <cellStyle name="Normal 15 2 5 2 5 2" xfId="51300" xr:uid="{00000000-0005-0000-0000-000072430000}"/>
    <cellStyle name="Normal 15 2 5 2 6" xfId="11990" xr:uid="{00000000-0005-0000-0000-000073430000}"/>
    <cellStyle name="Normal 15 2 5 2 7" xfId="11991" xr:uid="{00000000-0005-0000-0000-000074430000}"/>
    <cellStyle name="Normal 15 2 5 2 8" xfId="11992" xr:uid="{00000000-0005-0000-0000-000075430000}"/>
    <cellStyle name="Normal 15 2 5 2 9" xfId="11993" xr:uid="{00000000-0005-0000-0000-000076430000}"/>
    <cellStyle name="Normal 15 2 5 3" xfId="11994" xr:uid="{00000000-0005-0000-0000-000077430000}"/>
    <cellStyle name="Normal 15 2 5 3 2" xfId="11995" xr:uid="{00000000-0005-0000-0000-000078430000}"/>
    <cellStyle name="Normal 15 2 5 3 2 2" xfId="11996" xr:uid="{00000000-0005-0000-0000-000079430000}"/>
    <cellStyle name="Normal 15 2 5 3 2 2 2" xfId="11997" xr:uid="{00000000-0005-0000-0000-00007A430000}"/>
    <cellStyle name="Normal 15 2 5 3 2 2 2 2" xfId="51301" xr:uid="{00000000-0005-0000-0000-00007B430000}"/>
    <cellStyle name="Normal 15 2 5 3 2 2 2 3" xfId="51302" xr:uid="{00000000-0005-0000-0000-00007C430000}"/>
    <cellStyle name="Normal 15 2 5 3 2 2 3" xfId="11998" xr:uid="{00000000-0005-0000-0000-00007D430000}"/>
    <cellStyle name="Normal 15 2 5 3 2 2 3 2" xfId="51303" xr:uid="{00000000-0005-0000-0000-00007E430000}"/>
    <cellStyle name="Normal 15 2 5 3 2 2 4" xfId="11999" xr:uid="{00000000-0005-0000-0000-00007F430000}"/>
    <cellStyle name="Normal 15 2 5 3 2 2 5" xfId="12000" xr:uid="{00000000-0005-0000-0000-000080430000}"/>
    <cellStyle name="Normal 15 2 5 3 2 2 6" xfId="12001" xr:uid="{00000000-0005-0000-0000-000081430000}"/>
    <cellStyle name="Normal 15 2 5 3 2 3" xfId="12002" xr:uid="{00000000-0005-0000-0000-000082430000}"/>
    <cellStyle name="Normal 15 2 5 3 2 3 2" xfId="51304" xr:uid="{00000000-0005-0000-0000-000083430000}"/>
    <cellStyle name="Normal 15 2 5 3 2 3 3" xfId="51305" xr:uid="{00000000-0005-0000-0000-000084430000}"/>
    <cellStyle name="Normal 15 2 5 3 2 4" xfId="12003" xr:uid="{00000000-0005-0000-0000-000085430000}"/>
    <cellStyle name="Normal 15 2 5 3 2 4 2" xfId="51306" xr:uid="{00000000-0005-0000-0000-000086430000}"/>
    <cellStyle name="Normal 15 2 5 3 2 5" xfId="12004" xr:uid="{00000000-0005-0000-0000-000087430000}"/>
    <cellStyle name="Normal 15 2 5 3 2 6" xfId="12005" xr:uid="{00000000-0005-0000-0000-000088430000}"/>
    <cellStyle name="Normal 15 2 5 3 2 7" xfId="12006" xr:uid="{00000000-0005-0000-0000-000089430000}"/>
    <cellStyle name="Normal 15 2 5 3 3" xfId="12007" xr:uid="{00000000-0005-0000-0000-00008A430000}"/>
    <cellStyle name="Normal 15 2 5 3 3 2" xfId="12008" xr:uid="{00000000-0005-0000-0000-00008B430000}"/>
    <cellStyle name="Normal 15 2 5 3 3 2 2" xfId="51307" xr:uid="{00000000-0005-0000-0000-00008C430000}"/>
    <cellStyle name="Normal 15 2 5 3 3 2 3" xfId="51308" xr:uid="{00000000-0005-0000-0000-00008D430000}"/>
    <cellStyle name="Normal 15 2 5 3 3 3" xfId="12009" xr:uid="{00000000-0005-0000-0000-00008E430000}"/>
    <cellStyle name="Normal 15 2 5 3 3 3 2" xfId="51309" xr:uid="{00000000-0005-0000-0000-00008F430000}"/>
    <cellStyle name="Normal 15 2 5 3 3 4" xfId="12010" xr:uid="{00000000-0005-0000-0000-000090430000}"/>
    <cellStyle name="Normal 15 2 5 3 3 5" xfId="12011" xr:uid="{00000000-0005-0000-0000-000091430000}"/>
    <cellStyle name="Normal 15 2 5 3 3 6" xfId="12012" xr:uid="{00000000-0005-0000-0000-000092430000}"/>
    <cellStyle name="Normal 15 2 5 3 4" xfId="12013" xr:uid="{00000000-0005-0000-0000-000093430000}"/>
    <cellStyle name="Normal 15 2 5 3 4 2" xfId="51310" xr:uid="{00000000-0005-0000-0000-000094430000}"/>
    <cellStyle name="Normal 15 2 5 3 4 3" xfId="51311" xr:uid="{00000000-0005-0000-0000-000095430000}"/>
    <cellStyle name="Normal 15 2 5 3 5" xfId="12014" xr:uid="{00000000-0005-0000-0000-000096430000}"/>
    <cellStyle name="Normal 15 2 5 3 5 2" xfId="51312" xr:uid="{00000000-0005-0000-0000-000097430000}"/>
    <cellStyle name="Normal 15 2 5 3 6" xfId="12015" xr:uid="{00000000-0005-0000-0000-000098430000}"/>
    <cellStyle name="Normal 15 2 5 3 7" xfId="12016" xr:uid="{00000000-0005-0000-0000-000099430000}"/>
    <cellStyle name="Normal 15 2 5 3 8" xfId="12017" xr:uid="{00000000-0005-0000-0000-00009A430000}"/>
    <cellStyle name="Normal 15 2 5 4" xfId="12018" xr:uid="{00000000-0005-0000-0000-00009B430000}"/>
    <cellStyle name="Normal 15 2 5 4 2" xfId="12019" xr:uid="{00000000-0005-0000-0000-00009C430000}"/>
    <cellStyle name="Normal 15 2 5 4 2 2" xfId="12020" xr:uid="{00000000-0005-0000-0000-00009D430000}"/>
    <cellStyle name="Normal 15 2 5 4 2 2 2" xfId="51313" xr:uid="{00000000-0005-0000-0000-00009E430000}"/>
    <cellStyle name="Normal 15 2 5 4 2 2 3" xfId="51314" xr:uid="{00000000-0005-0000-0000-00009F430000}"/>
    <cellStyle name="Normal 15 2 5 4 2 3" xfId="12021" xr:uid="{00000000-0005-0000-0000-0000A0430000}"/>
    <cellStyle name="Normal 15 2 5 4 2 3 2" xfId="51315" xr:uid="{00000000-0005-0000-0000-0000A1430000}"/>
    <cellStyle name="Normal 15 2 5 4 2 4" xfId="12022" xr:uid="{00000000-0005-0000-0000-0000A2430000}"/>
    <cellStyle name="Normal 15 2 5 4 2 5" xfId="12023" xr:uid="{00000000-0005-0000-0000-0000A3430000}"/>
    <cellStyle name="Normal 15 2 5 4 2 6" xfId="12024" xr:uid="{00000000-0005-0000-0000-0000A4430000}"/>
    <cellStyle name="Normal 15 2 5 4 3" xfId="12025" xr:uid="{00000000-0005-0000-0000-0000A5430000}"/>
    <cellStyle name="Normal 15 2 5 4 3 2" xfId="51316" xr:uid="{00000000-0005-0000-0000-0000A6430000}"/>
    <cellStyle name="Normal 15 2 5 4 3 3" xfId="51317" xr:uid="{00000000-0005-0000-0000-0000A7430000}"/>
    <cellStyle name="Normal 15 2 5 4 4" xfId="12026" xr:uid="{00000000-0005-0000-0000-0000A8430000}"/>
    <cellStyle name="Normal 15 2 5 4 4 2" xfId="51318" xr:uid="{00000000-0005-0000-0000-0000A9430000}"/>
    <cellStyle name="Normal 15 2 5 4 5" xfId="12027" xr:uid="{00000000-0005-0000-0000-0000AA430000}"/>
    <cellStyle name="Normal 15 2 5 4 6" xfId="12028" xr:uid="{00000000-0005-0000-0000-0000AB430000}"/>
    <cellStyle name="Normal 15 2 5 4 7" xfId="12029" xr:uid="{00000000-0005-0000-0000-0000AC430000}"/>
    <cellStyle name="Normal 15 2 5 5" xfId="12030" xr:uid="{00000000-0005-0000-0000-0000AD430000}"/>
    <cellStyle name="Normal 15 2 5 5 2" xfId="12031" xr:uid="{00000000-0005-0000-0000-0000AE430000}"/>
    <cellStyle name="Normal 15 2 5 5 2 2" xfId="51319" xr:uid="{00000000-0005-0000-0000-0000AF430000}"/>
    <cellStyle name="Normal 15 2 5 5 2 3" xfId="51320" xr:uid="{00000000-0005-0000-0000-0000B0430000}"/>
    <cellStyle name="Normal 15 2 5 5 3" xfId="12032" xr:uid="{00000000-0005-0000-0000-0000B1430000}"/>
    <cellStyle name="Normal 15 2 5 5 3 2" xfId="51321" xr:uid="{00000000-0005-0000-0000-0000B2430000}"/>
    <cellStyle name="Normal 15 2 5 5 4" xfId="12033" xr:uid="{00000000-0005-0000-0000-0000B3430000}"/>
    <cellStyle name="Normal 15 2 5 5 5" xfId="12034" xr:uid="{00000000-0005-0000-0000-0000B4430000}"/>
    <cellStyle name="Normal 15 2 5 5 6" xfId="12035" xr:uid="{00000000-0005-0000-0000-0000B5430000}"/>
    <cellStyle name="Normal 15 2 5 6" xfId="12036" xr:uid="{00000000-0005-0000-0000-0000B6430000}"/>
    <cellStyle name="Normal 15 2 5 6 2" xfId="51322" xr:uid="{00000000-0005-0000-0000-0000B7430000}"/>
    <cellStyle name="Normal 15 2 5 6 3" xfId="51323" xr:uid="{00000000-0005-0000-0000-0000B8430000}"/>
    <cellStyle name="Normal 15 2 5 7" xfId="12037" xr:uid="{00000000-0005-0000-0000-0000B9430000}"/>
    <cellStyle name="Normal 15 2 5 7 2" xfId="51324" xr:uid="{00000000-0005-0000-0000-0000BA430000}"/>
    <cellStyle name="Normal 15 2 5 8" xfId="12038" xr:uid="{00000000-0005-0000-0000-0000BB430000}"/>
    <cellStyle name="Normal 15 2 5 9" xfId="12039" xr:uid="{00000000-0005-0000-0000-0000BC430000}"/>
    <cellStyle name="Normal 15 2 6" xfId="12040" xr:uid="{00000000-0005-0000-0000-0000BD430000}"/>
    <cellStyle name="Normal 15 2 6 10" xfId="12041" xr:uid="{00000000-0005-0000-0000-0000BE430000}"/>
    <cellStyle name="Normal 15 2 6 11" xfId="12042" xr:uid="{00000000-0005-0000-0000-0000BF430000}"/>
    <cellStyle name="Normal 15 2 6 12" xfId="12043" xr:uid="{00000000-0005-0000-0000-0000C0430000}"/>
    <cellStyle name="Normal 15 2 6 13" xfId="12044" xr:uid="{00000000-0005-0000-0000-0000C1430000}"/>
    <cellStyle name="Normal 15 2 6 2" xfId="12045" xr:uid="{00000000-0005-0000-0000-0000C2430000}"/>
    <cellStyle name="Normal 15 2 6 2 2" xfId="12046" xr:uid="{00000000-0005-0000-0000-0000C3430000}"/>
    <cellStyle name="Normal 15 2 6 2 2 2" xfId="12047" xr:uid="{00000000-0005-0000-0000-0000C4430000}"/>
    <cellStyle name="Normal 15 2 6 2 2 2 2" xfId="12048" xr:uid="{00000000-0005-0000-0000-0000C5430000}"/>
    <cellStyle name="Normal 15 2 6 2 2 2 2 2" xfId="51325" xr:uid="{00000000-0005-0000-0000-0000C6430000}"/>
    <cellStyle name="Normal 15 2 6 2 2 2 2 3" xfId="51326" xr:uid="{00000000-0005-0000-0000-0000C7430000}"/>
    <cellStyle name="Normal 15 2 6 2 2 2 3" xfId="12049" xr:uid="{00000000-0005-0000-0000-0000C8430000}"/>
    <cellStyle name="Normal 15 2 6 2 2 2 3 2" xfId="51327" xr:uid="{00000000-0005-0000-0000-0000C9430000}"/>
    <cellStyle name="Normal 15 2 6 2 2 2 4" xfId="12050" xr:uid="{00000000-0005-0000-0000-0000CA430000}"/>
    <cellStyle name="Normal 15 2 6 2 2 2 5" xfId="12051" xr:uid="{00000000-0005-0000-0000-0000CB430000}"/>
    <cellStyle name="Normal 15 2 6 2 2 2 6" xfId="12052" xr:uid="{00000000-0005-0000-0000-0000CC430000}"/>
    <cellStyle name="Normal 15 2 6 2 2 3" xfId="12053" xr:uid="{00000000-0005-0000-0000-0000CD430000}"/>
    <cellStyle name="Normal 15 2 6 2 2 3 2" xfId="51328" xr:uid="{00000000-0005-0000-0000-0000CE430000}"/>
    <cellStyle name="Normal 15 2 6 2 2 3 3" xfId="51329" xr:uid="{00000000-0005-0000-0000-0000CF430000}"/>
    <cellStyle name="Normal 15 2 6 2 2 4" xfId="12054" xr:uid="{00000000-0005-0000-0000-0000D0430000}"/>
    <cellStyle name="Normal 15 2 6 2 2 4 2" xfId="51330" xr:uid="{00000000-0005-0000-0000-0000D1430000}"/>
    <cellStyle name="Normal 15 2 6 2 2 5" xfId="12055" xr:uid="{00000000-0005-0000-0000-0000D2430000}"/>
    <cellStyle name="Normal 15 2 6 2 2 6" xfId="12056" xr:uid="{00000000-0005-0000-0000-0000D3430000}"/>
    <cellStyle name="Normal 15 2 6 2 2 7" xfId="12057" xr:uid="{00000000-0005-0000-0000-0000D4430000}"/>
    <cellStyle name="Normal 15 2 6 2 3" xfId="12058" xr:uid="{00000000-0005-0000-0000-0000D5430000}"/>
    <cellStyle name="Normal 15 2 6 2 3 2" xfId="12059" xr:uid="{00000000-0005-0000-0000-0000D6430000}"/>
    <cellStyle name="Normal 15 2 6 2 3 2 2" xfId="51331" xr:uid="{00000000-0005-0000-0000-0000D7430000}"/>
    <cellStyle name="Normal 15 2 6 2 3 2 3" xfId="51332" xr:uid="{00000000-0005-0000-0000-0000D8430000}"/>
    <cellStyle name="Normal 15 2 6 2 3 3" xfId="12060" xr:uid="{00000000-0005-0000-0000-0000D9430000}"/>
    <cellStyle name="Normal 15 2 6 2 3 3 2" xfId="51333" xr:uid="{00000000-0005-0000-0000-0000DA430000}"/>
    <cellStyle name="Normal 15 2 6 2 3 4" xfId="12061" xr:uid="{00000000-0005-0000-0000-0000DB430000}"/>
    <cellStyle name="Normal 15 2 6 2 3 5" xfId="12062" xr:uid="{00000000-0005-0000-0000-0000DC430000}"/>
    <cellStyle name="Normal 15 2 6 2 3 6" xfId="12063" xr:uid="{00000000-0005-0000-0000-0000DD430000}"/>
    <cellStyle name="Normal 15 2 6 2 4" xfId="12064" xr:uid="{00000000-0005-0000-0000-0000DE430000}"/>
    <cellStyle name="Normal 15 2 6 2 4 2" xfId="51334" xr:uid="{00000000-0005-0000-0000-0000DF430000}"/>
    <cellStyle name="Normal 15 2 6 2 4 3" xfId="51335" xr:uid="{00000000-0005-0000-0000-0000E0430000}"/>
    <cellStyle name="Normal 15 2 6 2 5" xfId="12065" xr:uid="{00000000-0005-0000-0000-0000E1430000}"/>
    <cellStyle name="Normal 15 2 6 2 5 2" xfId="51336" xr:uid="{00000000-0005-0000-0000-0000E2430000}"/>
    <cellStyle name="Normal 15 2 6 2 6" xfId="12066" xr:uid="{00000000-0005-0000-0000-0000E3430000}"/>
    <cellStyle name="Normal 15 2 6 2 7" xfId="12067" xr:uid="{00000000-0005-0000-0000-0000E4430000}"/>
    <cellStyle name="Normal 15 2 6 2 8" xfId="12068" xr:uid="{00000000-0005-0000-0000-0000E5430000}"/>
    <cellStyle name="Normal 15 2 6 2 9" xfId="12069" xr:uid="{00000000-0005-0000-0000-0000E6430000}"/>
    <cellStyle name="Normal 15 2 6 3" xfId="12070" xr:uid="{00000000-0005-0000-0000-0000E7430000}"/>
    <cellStyle name="Normal 15 2 6 3 2" xfId="12071" xr:uid="{00000000-0005-0000-0000-0000E8430000}"/>
    <cellStyle name="Normal 15 2 6 3 2 2" xfId="12072" xr:uid="{00000000-0005-0000-0000-0000E9430000}"/>
    <cellStyle name="Normal 15 2 6 3 2 2 2" xfId="51337" xr:uid="{00000000-0005-0000-0000-0000EA430000}"/>
    <cellStyle name="Normal 15 2 6 3 2 2 3" xfId="51338" xr:uid="{00000000-0005-0000-0000-0000EB430000}"/>
    <cellStyle name="Normal 15 2 6 3 2 3" xfId="12073" xr:uid="{00000000-0005-0000-0000-0000EC430000}"/>
    <cellStyle name="Normal 15 2 6 3 2 3 2" xfId="51339" xr:uid="{00000000-0005-0000-0000-0000ED430000}"/>
    <cellStyle name="Normal 15 2 6 3 2 4" xfId="12074" xr:uid="{00000000-0005-0000-0000-0000EE430000}"/>
    <cellStyle name="Normal 15 2 6 3 2 5" xfId="12075" xr:uid="{00000000-0005-0000-0000-0000EF430000}"/>
    <cellStyle name="Normal 15 2 6 3 2 6" xfId="12076" xr:uid="{00000000-0005-0000-0000-0000F0430000}"/>
    <cellStyle name="Normal 15 2 6 3 3" xfId="12077" xr:uid="{00000000-0005-0000-0000-0000F1430000}"/>
    <cellStyle name="Normal 15 2 6 3 3 2" xfId="51340" xr:uid="{00000000-0005-0000-0000-0000F2430000}"/>
    <cellStyle name="Normal 15 2 6 3 3 3" xfId="51341" xr:uid="{00000000-0005-0000-0000-0000F3430000}"/>
    <cellStyle name="Normal 15 2 6 3 4" xfId="12078" xr:uid="{00000000-0005-0000-0000-0000F4430000}"/>
    <cellStyle name="Normal 15 2 6 3 4 2" xfId="51342" xr:uid="{00000000-0005-0000-0000-0000F5430000}"/>
    <cellStyle name="Normal 15 2 6 3 5" xfId="12079" xr:uid="{00000000-0005-0000-0000-0000F6430000}"/>
    <cellStyle name="Normal 15 2 6 3 6" xfId="12080" xr:uid="{00000000-0005-0000-0000-0000F7430000}"/>
    <cellStyle name="Normal 15 2 6 3 7" xfId="12081" xr:uid="{00000000-0005-0000-0000-0000F8430000}"/>
    <cellStyle name="Normal 15 2 6 4" xfId="12082" xr:uid="{00000000-0005-0000-0000-0000F9430000}"/>
    <cellStyle name="Normal 15 2 6 4 2" xfId="12083" xr:uid="{00000000-0005-0000-0000-0000FA430000}"/>
    <cellStyle name="Normal 15 2 6 4 2 2" xfId="51343" xr:uid="{00000000-0005-0000-0000-0000FB430000}"/>
    <cellStyle name="Normal 15 2 6 4 2 3" xfId="51344" xr:uid="{00000000-0005-0000-0000-0000FC430000}"/>
    <cellStyle name="Normal 15 2 6 4 3" xfId="12084" xr:uid="{00000000-0005-0000-0000-0000FD430000}"/>
    <cellStyle name="Normal 15 2 6 4 3 2" xfId="51345" xr:uid="{00000000-0005-0000-0000-0000FE430000}"/>
    <cellStyle name="Normal 15 2 6 4 4" xfId="12085" xr:uid="{00000000-0005-0000-0000-0000FF430000}"/>
    <cellStyle name="Normal 15 2 6 4 5" xfId="12086" xr:uid="{00000000-0005-0000-0000-000000440000}"/>
    <cellStyle name="Normal 15 2 6 4 6" xfId="12087" xr:uid="{00000000-0005-0000-0000-000001440000}"/>
    <cellStyle name="Normal 15 2 6 5" xfId="12088" xr:uid="{00000000-0005-0000-0000-000002440000}"/>
    <cellStyle name="Normal 15 2 6 5 2" xfId="51346" xr:uid="{00000000-0005-0000-0000-000003440000}"/>
    <cellStyle name="Normal 15 2 6 5 3" xfId="51347" xr:uid="{00000000-0005-0000-0000-000004440000}"/>
    <cellStyle name="Normal 15 2 6 6" xfId="12089" xr:uid="{00000000-0005-0000-0000-000005440000}"/>
    <cellStyle name="Normal 15 2 6 6 2" xfId="51348" xr:uid="{00000000-0005-0000-0000-000006440000}"/>
    <cellStyle name="Normal 15 2 6 7" xfId="12090" xr:uid="{00000000-0005-0000-0000-000007440000}"/>
    <cellStyle name="Normal 15 2 6 8" xfId="12091" xr:uid="{00000000-0005-0000-0000-000008440000}"/>
    <cellStyle name="Normal 15 2 6 9" xfId="12092" xr:uid="{00000000-0005-0000-0000-000009440000}"/>
    <cellStyle name="Normal 15 2 7" xfId="12093" xr:uid="{00000000-0005-0000-0000-00000A440000}"/>
    <cellStyle name="Normal 15 2 7 2" xfId="12094" xr:uid="{00000000-0005-0000-0000-00000B440000}"/>
    <cellStyle name="Normal 15 2 7 2 2" xfId="12095" xr:uid="{00000000-0005-0000-0000-00000C440000}"/>
    <cellStyle name="Normal 15 2 7 2 2 2" xfId="12096" xr:uid="{00000000-0005-0000-0000-00000D440000}"/>
    <cellStyle name="Normal 15 2 7 2 2 2 2" xfId="51349" xr:uid="{00000000-0005-0000-0000-00000E440000}"/>
    <cellStyle name="Normal 15 2 7 2 2 2 3" xfId="51350" xr:uid="{00000000-0005-0000-0000-00000F440000}"/>
    <cellStyle name="Normal 15 2 7 2 2 3" xfId="12097" xr:uid="{00000000-0005-0000-0000-000010440000}"/>
    <cellStyle name="Normal 15 2 7 2 2 3 2" xfId="51351" xr:uid="{00000000-0005-0000-0000-000011440000}"/>
    <cellStyle name="Normal 15 2 7 2 2 4" xfId="12098" xr:uid="{00000000-0005-0000-0000-000012440000}"/>
    <cellStyle name="Normal 15 2 7 2 2 5" xfId="12099" xr:uid="{00000000-0005-0000-0000-000013440000}"/>
    <cellStyle name="Normal 15 2 7 2 2 6" xfId="12100" xr:uid="{00000000-0005-0000-0000-000014440000}"/>
    <cellStyle name="Normal 15 2 7 2 3" xfId="12101" xr:uid="{00000000-0005-0000-0000-000015440000}"/>
    <cellStyle name="Normal 15 2 7 2 3 2" xfId="51352" xr:uid="{00000000-0005-0000-0000-000016440000}"/>
    <cellStyle name="Normal 15 2 7 2 3 3" xfId="51353" xr:uid="{00000000-0005-0000-0000-000017440000}"/>
    <cellStyle name="Normal 15 2 7 2 4" xfId="12102" xr:uid="{00000000-0005-0000-0000-000018440000}"/>
    <cellStyle name="Normal 15 2 7 2 4 2" xfId="51354" xr:uid="{00000000-0005-0000-0000-000019440000}"/>
    <cellStyle name="Normal 15 2 7 2 5" xfId="12103" xr:uid="{00000000-0005-0000-0000-00001A440000}"/>
    <cellStyle name="Normal 15 2 7 2 6" xfId="12104" xr:uid="{00000000-0005-0000-0000-00001B440000}"/>
    <cellStyle name="Normal 15 2 7 2 7" xfId="12105" xr:uid="{00000000-0005-0000-0000-00001C440000}"/>
    <cellStyle name="Normal 15 2 7 3" xfId="12106" xr:uid="{00000000-0005-0000-0000-00001D440000}"/>
    <cellStyle name="Normal 15 2 7 3 2" xfId="12107" xr:uid="{00000000-0005-0000-0000-00001E440000}"/>
    <cellStyle name="Normal 15 2 7 3 2 2" xfId="51355" xr:uid="{00000000-0005-0000-0000-00001F440000}"/>
    <cellStyle name="Normal 15 2 7 3 2 3" xfId="51356" xr:uid="{00000000-0005-0000-0000-000020440000}"/>
    <cellStyle name="Normal 15 2 7 3 3" xfId="12108" xr:uid="{00000000-0005-0000-0000-000021440000}"/>
    <cellStyle name="Normal 15 2 7 3 3 2" xfId="51357" xr:uid="{00000000-0005-0000-0000-000022440000}"/>
    <cellStyle name="Normal 15 2 7 3 4" xfId="12109" xr:uid="{00000000-0005-0000-0000-000023440000}"/>
    <cellStyle name="Normal 15 2 7 3 5" xfId="12110" xr:uid="{00000000-0005-0000-0000-000024440000}"/>
    <cellStyle name="Normal 15 2 7 3 6" xfId="12111" xr:uid="{00000000-0005-0000-0000-000025440000}"/>
    <cellStyle name="Normal 15 2 7 4" xfId="12112" xr:uid="{00000000-0005-0000-0000-000026440000}"/>
    <cellStyle name="Normal 15 2 7 4 2" xfId="51358" xr:uid="{00000000-0005-0000-0000-000027440000}"/>
    <cellStyle name="Normal 15 2 7 4 3" xfId="51359" xr:uid="{00000000-0005-0000-0000-000028440000}"/>
    <cellStyle name="Normal 15 2 7 5" xfId="12113" xr:uid="{00000000-0005-0000-0000-000029440000}"/>
    <cellStyle name="Normal 15 2 7 5 2" xfId="51360" xr:uid="{00000000-0005-0000-0000-00002A440000}"/>
    <cellStyle name="Normal 15 2 7 6" xfId="12114" xr:uid="{00000000-0005-0000-0000-00002B440000}"/>
    <cellStyle name="Normal 15 2 7 7" xfId="12115" xr:uid="{00000000-0005-0000-0000-00002C440000}"/>
    <cellStyle name="Normal 15 2 7 8" xfId="12116" xr:uid="{00000000-0005-0000-0000-00002D440000}"/>
    <cellStyle name="Normal 15 2 7 9" xfId="12117" xr:uid="{00000000-0005-0000-0000-00002E440000}"/>
    <cellStyle name="Normal 15 2 8" xfId="12118" xr:uid="{00000000-0005-0000-0000-00002F440000}"/>
    <cellStyle name="Normal 15 2 8 2" xfId="12119" xr:uid="{00000000-0005-0000-0000-000030440000}"/>
    <cellStyle name="Normal 15 2 8 2 2" xfId="12120" xr:uid="{00000000-0005-0000-0000-000031440000}"/>
    <cellStyle name="Normal 15 2 8 2 2 2" xfId="12121" xr:uid="{00000000-0005-0000-0000-000032440000}"/>
    <cellStyle name="Normal 15 2 8 2 2 2 2" xfId="51361" xr:uid="{00000000-0005-0000-0000-000033440000}"/>
    <cellStyle name="Normal 15 2 8 2 2 2 3" xfId="51362" xr:uid="{00000000-0005-0000-0000-000034440000}"/>
    <cellStyle name="Normal 15 2 8 2 2 3" xfId="12122" xr:uid="{00000000-0005-0000-0000-000035440000}"/>
    <cellStyle name="Normal 15 2 8 2 2 3 2" xfId="51363" xr:uid="{00000000-0005-0000-0000-000036440000}"/>
    <cellStyle name="Normal 15 2 8 2 2 4" xfId="12123" xr:uid="{00000000-0005-0000-0000-000037440000}"/>
    <cellStyle name="Normal 15 2 8 2 2 5" xfId="12124" xr:uid="{00000000-0005-0000-0000-000038440000}"/>
    <cellStyle name="Normal 15 2 8 2 2 6" xfId="12125" xr:uid="{00000000-0005-0000-0000-000039440000}"/>
    <cellStyle name="Normal 15 2 8 2 3" xfId="12126" xr:uid="{00000000-0005-0000-0000-00003A440000}"/>
    <cellStyle name="Normal 15 2 8 2 3 2" xfId="51364" xr:uid="{00000000-0005-0000-0000-00003B440000}"/>
    <cellStyle name="Normal 15 2 8 2 3 3" xfId="51365" xr:uid="{00000000-0005-0000-0000-00003C440000}"/>
    <cellStyle name="Normal 15 2 8 2 4" xfId="12127" xr:uid="{00000000-0005-0000-0000-00003D440000}"/>
    <cellStyle name="Normal 15 2 8 2 4 2" xfId="51366" xr:uid="{00000000-0005-0000-0000-00003E440000}"/>
    <cellStyle name="Normal 15 2 8 2 5" xfId="12128" xr:uid="{00000000-0005-0000-0000-00003F440000}"/>
    <cellStyle name="Normal 15 2 8 2 6" xfId="12129" xr:uid="{00000000-0005-0000-0000-000040440000}"/>
    <cellStyle name="Normal 15 2 8 2 7" xfId="12130" xr:uid="{00000000-0005-0000-0000-000041440000}"/>
    <cellStyle name="Normal 15 2 8 3" xfId="12131" xr:uid="{00000000-0005-0000-0000-000042440000}"/>
    <cellStyle name="Normal 15 2 8 3 2" xfId="12132" xr:uid="{00000000-0005-0000-0000-000043440000}"/>
    <cellStyle name="Normal 15 2 8 3 2 2" xfId="51367" xr:uid="{00000000-0005-0000-0000-000044440000}"/>
    <cellStyle name="Normal 15 2 8 3 2 3" xfId="51368" xr:uid="{00000000-0005-0000-0000-000045440000}"/>
    <cellStyle name="Normal 15 2 8 3 3" xfId="12133" xr:uid="{00000000-0005-0000-0000-000046440000}"/>
    <cellStyle name="Normal 15 2 8 3 3 2" xfId="51369" xr:uid="{00000000-0005-0000-0000-000047440000}"/>
    <cellStyle name="Normal 15 2 8 3 4" xfId="12134" xr:uid="{00000000-0005-0000-0000-000048440000}"/>
    <cellStyle name="Normal 15 2 8 3 5" xfId="12135" xr:uid="{00000000-0005-0000-0000-000049440000}"/>
    <cellStyle name="Normal 15 2 8 3 6" xfId="12136" xr:uid="{00000000-0005-0000-0000-00004A440000}"/>
    <cellStyle name="Normal 15 2 8 4" xfId="12137" xr:uid="{00000000-0005-0000-0000-00004B440000}"/>
    <cellStyle name="Normal 15 2 8 4 2" xfId="51370" xr:uid="{00000000-0005-0000-0000-00004C440000}"/>
    <cellStyle name="Normal 15 2 8 4 3" xfId="51371" xr:uid="{00000000-0005-0000-0000-00004D440000}"/>
    <cellStyle name="Normal 15 2 8 5" xfId="12138" xr:uid="{00000000-0005-0000-0000-00004E440000}"/>
    <cellStyle name="Normal 15 2 8 5 2" xfId="51372" xr:uid="{00000000-0005-0000-0000-00004F440000}"/>
    <cellStyle name="Normal 15 2 8 6" xfId="12139" xr:uid="{00000000-0005-0000-0000-000050440000}"/>
    <cellStyle name="Normal 15 2 8 7" xfId="12140" xr:uid="{00000000-0005-0000-0000-000051440000}"/>
    <cellStyle name="Normal 15 2 8 8" xfId="12141" xr:uid="{00000000-0005-0000-0000-000052440000}"/>
    <cellStyle name="Normal 15 2 9" xfId="12142" xr:uid="{00000000-0005-0000-0000-000053440000}"/>
    <cellStyle name="Normal 15 2 9 2" xfId="12143" xr:uid="{00000000-0005-0000-0000-000054440000}"/>
    <cellStyle name="Normal 15 2 9 2 2" xfId="12144" xr:uid="{00000000-0005-0000-0000-000055440000}"/>
    <cellStyle name="Normal 15 2 9 2 2 2" xfId="12145" xr:uid="{00000000-0005-0000-0000-000056440000}"/>
    <cellStyle name="Normal 15 2 9 2 2 2 2" xfId="51373" xr:uid="{00000000-0005-0000-0000-000057440000}"/>
    <cellStyle name="Normal 15 2 9 2 2 2 3" xfId="51374" xr:uid="{00000000-0005-0000-0000-000058440000}"/>
    <cellStyle name="Normal 15 2 9 2 2 3" xfId="12146" xr:uid="{00000000-0005-0000-0000-000059440000}"/>
    <cellStyle name="Normal 15 2 9 2 2 3 2" xfId="51375" xr:uid="{00000000-0005-0000-0000-00005A440000}"/>
    <cellStyle name="Normal 15 2 9 2 2 4" xfId="12147" xr:uid="{00000000-0005-0000-0000-00005B440000}"/>
    <cellStyle name="Normal 15 2 9 2 2 5" xfId="12148" xr:uid="{00000000-0005-0000-0000-00005C440000}"/>
    <cellStyle name="Normal 15 2 9 2 2 6" xfId="12149" xr:uid="{00000000-0005-0000-0000-00005D440000}"/>
    <cellStyle name="Normal 15 2 9 2 3" xfId="12150" xr:uid="{00000000-0005-0000-0000-00005E440000}"/>
    <cellStyle name="Normal 15 2 9 2 3 2" xfId="51376" xr:uid="{00000000-0005-0000-0000-00005F440000}"/>
    <cellStyle name="Normal 15 2 9 2 3 3" xfId="51377" xr:uid="{00000000-0005-0000-0000-000060440000}"/>
    <cellStyle name="Normal 15 2 9 2 4" xfId="12151" xr:uid="{00000000-0005-0000-0000-000061440000}"/>
    <cellStyle name="Normal 15 2 9 2 4 2" xfId="51378" xr:uid="{00000000-0005-0000-0000-000062440000}"/>
    <cellStyle name="Normal 15 2 9 2 5" xfId="12152" xr:uid="{00000000-0005-0000-0000-000063440000}"/>
    <cellStyle name="Normal 15 2 9 2 6" xfId="12153" xr:uid="{00000000-0005-0000-0000-000064440000}"/>
    <cellStyle name="Normal 15 2 9 2 7" xfId="12154" xr:uid="{00000000-0005-0000-0000-000065440000}"/>
    <cellStyle name="Normal 15 2 9 3" xfId="12155" xr:uid="{00000000-0005-0000-0000-000066440000}"/>
    <cellStyle name="Normal 15 2 9 3 2" xfId="12156" xr:uid="{00000000-0005-0000-0000-000067440000}"/>
    <cellStyle name="Normal 15 2 9 3 2 2" xfId="51379" xr:uid="{00000000-0005-0000-0000-000068440000}"/>
    <cellStyle name="Normal 15 2 9 3 2 3" xfId="51380" xr:uid="{00000000-0005-0000-0000-000069440000}"/>
    <cellStyle name="Normal 15 2 9 3 3" xfId="12157" xr:uid="{00000000-0005-0000-0000-00006A440000}"/>
    <cellStyle name="Normal 15 2 9 3 3 2" xfId="51381" xr:uid="{00000000-0005-0000-0000-00006B440000}"/>
    <cellStyle name="Normal 15 2 9 3 4" xfId="12158" xr:uid="{00000000-0005-0000-0000-00006C440000}"/>
    <cellStyle name="Normal 15 2 9 3 5" xfId="12159" xr:uid="{00000000-0005-0000-0000-00006D440000}"/>
    <cellStyle name="Normal 15 2 9 3 6" xfId="12160" xr:uid="{00000000-0005-0000-0000-00006E440000}"/>
    <cellStyle name="Normal 15 2 9 4" xfId="12161" xr:uid="{00000000-0005-0000-0000-00006F440000}"/>
    <cellStyle name="Normal 15 2 9 4 2" xfId="51382" xr:uid="{00000000-0005-0000-0000-000070440000}"/>
    <cellStyle name="Normal 15 2 9 4 3" xfId="51383" xr:uid="{00000000-0005-0000-0000-000071440000}"/>
    <cellStyle name="Normal 15 2 9 5" xfId="12162" xr:uid="{00000000-0005-0000-0000-000072440000}"/>
    <cellStyle name="Normal 15 2 9 5 2" xfId="51384" xr:uid="{00000000-0005-0000-0000-000073440000}"/>
    <cellStyle name="Normal 15 2 9 6" xfId="12163" xr:uid="{00000000-0005-0000-0000-000074440000}"/>
    <cellStyle name="Normal 15 2 9 7" xfId="12164" xr:uid="{00000000-0005-0000-0000-000075440000}"/>
    <cellStyle name="Normal 15 2 9 8" xfId="12165" xr:uid="{00000000-0005-0000-0000-000076440000}"/>
    <cellStyle name="Normal 15 20" xfId="12166" xr:uid="{00000000-0005-0000-0000-000077440000}"/>
    <cellStyle name="Normal 15 21" xfId="12167" xr:uid="{00000000-0005-0000-0000-000078440000}"/>
    <cellStyle name="Normal 15 22" xfId="12168" xr:uid="{00000000-0005-0000-0000-000079440000}"/>
    <cellStyle name="Normal 15 3" xfId="12169" xr:uid="{00000000-0005-0000-0000-00007A440000}"/>
    <cellStyle name="Normal 15 3 10" xfId="12170" xr:uid="{00000000-0005-0000-0000-00007B440000}"/>
    <cellStyle name="Normal 15 3 10 2" xfId="12171" xr:uid="{00000000-0005-0000-0000-00007C440000}"/>
    <cellStyle name="Normal 15 3 10 2 2" xfId="12172" xr:uid="{00000000-0005-0000-0000-00007D440000}"/>
    <cellStyle name="Normal 15 3 10 2 2 2" xfId="51385" xr:uid="{00000000-0005-0000-0000-00007E440000}"/>
    <cellStyle name="Normal 15 3 10 2 2 3" xfId="51386" xr:uid="{00000000-0005-0000-0000-00007F440000}"/>
    <cellStyle name="Normal 15 3 10 2 3" xfId="12173" xr:uid="{00000000-0005-0000-0000-000080440000}"/>
    <cellStyle name="Normal 15 3 10 2 3 2" xfId="51387" xr:uid="{00000000-0005-0000-0000-000081440000}"/>
    <cellStyle name="Normal 15 3 10 2 4" xfId="12174" xr:uid="{00000000-0005-0000-0000-000082440000}"/>
    <cellStyle name="Normal 15 3 10 2 5" xfId="12175" xr:uid="{00000000-0005-0000-0000-000083440000}"/>
    <cellStyle name="Normal 15 3 10 2 6" xfId="12176" xr:uid="{00000000-0005-0000-0000-000084440000}"/>
    <cellStyle name="Normal 15 3 10 3" xfId="12177" xr:uid="{00000000-0005-0000-0000-000085440000}"/>
    <cellStyle name="Normal 15 3 10 3 2" xfId="51388" xr:uid="{00000000-0005-0000-0000-000086440000}"/>
    <cellStyle name="Normal 15 3 10 3 3" xfId="51389" xr:uid="{00000000-0005-0000-0000-000087440000}"/>
    <cellStyle name="Normal 15 3 10 4" xfId="12178" xr:uid="{00000000-0005-0000-0000-000088440000}"/>
    <cellStyle name="Normal 15 3 10 4 2" xfId="51390" xr:uid="{00000000-0005-0000-0000-000089440000}"/>
    <cellStyle name="Normal 15 3 10 5" xfId="12179" xr:uid="{00000000-0005-0000-0000-00008A440000}"/>
    <cellStyle name="Normal 15 3 10 6" xfId="12180" xr:uid="{00000000-0005-0000-0000-00008B440000}"/>
    <cellStyle name="Normal 15 3 10 7" xfId="12181" xr:uid="{00000000-0005-0000-0000-00008C440000}"/>
    <cellStyle name="Normal 15 3 11" xfId="12182" xr:uid="{00000000-0005-0000-0000-00008D440000}"/>
    <cellStyle name="Normal 15 3 11 2" xfId="12183" xr:uid="{00000000-0005-0000-0000-00008E440000}"/>
    <cellStyle name="Normal 15 3 11 2 2" xfId="51391" xr:uid="{00000000-0005-0000-0000-00008F440000}"/>
    <cellStyle name="Normal 15 3 11 2 3" xfId="51392" xr:uid="{00000000-0005-0000-0000-000090440000}"/>
    <cellStyle name="Normal 15 3 11 3" xfId="12184" xr:uid="{00000000-0005-0000-0000-000091440000}"/>
    <cellStyle name="Normal 15 3 11 3 2" xfId="51393" xr:uid="{00000000-0005-0000-0000-000092440000}"/>
    <cellStyle name="Normal 15 3 11 4" xfId="12185" xr:uid="{00000000-0005-0000-0000-000093440000}"/>
    <cellStyle name="Normal 15 3 11 5" xfId="12186" xr:uid="{00000000-0005-0000-0000-000094440000}"/>
    <cellStyle name="Normal 15 3 11 6" xfId="12187" xr:uid="{00000000-0005-0000-0000-000095440000}"/>
    <cellStyle name="Normal 15 3 12" xfId="12188" xr:uid="{00000000-0005-0000-0000-000096440000}"/>
    <cellStyle name="Normal 15 3 12 2" xfId="51394" xr:uid="{00000000-0005-0000-0000-000097440000}"/>
    <cellStyle name="Normal 15 3 12 3" xfId="51395" xr:uid="{00000000-0005-0000-0000-000098440000}"/>
    <cellStyle name="Normal 15 3 13" xfId="12189" xr:uid="{00000000-0005-0000-0000-000099440000}"/>
    <cellStyle name="Normal 15 3 13 2" xfId="51396" xr:uid="{00000000-0005-0000-0000-00009A440000}"/>
    <cellStyle name="Normal 15 3 14" xfId="12190" xr:uid="{00000000-0005-0000-0000-00009B440000}"/>
    <cellStyle name="Normal 15 3 14 2" xfId="51397" xr:uid="{00000000-0005-0000-0000-00009C440000}"/>
    <cellStyle name="Normal 15 3 15" xfId="12191" xr:uid="{00000000-0005-0000-0000-00009D440000}"/>
    <cellStyle name="Normal 15 3 16" xfId="12192" xr:uid="{00000000-0005-0000-0000-00009E440000}"/>
    <cellStyle name="Normal 15 3 17" xfId="12193" xr:uid="{00000000-0005-0000-0000-00009F440000}"/>
    <cellStyle name="Normal 15 3 18" xfId="12194" xr:uid="{00000000-0005-0000-0000-0000A0440000}"/>
    <cellStyle name="Normal 15 3 19" xfId="12195" xr:uid="{00000000-0005-0000-0000-0000A1440000}"/>
    <cellStyle name="Normal 15 3 2" xfId="12196" xr:uid="{00000000-0005-0000-0000-0000A2440000}"/>
    <cellStyle name="Normal 15 3 2 10" xfId="12197" xr:uid="{00000000-0005-0000-0000-0000A3440000}"/>
    <cellStyle name="Normal 15 3 2 11" xfId="12198" xr:uid="{00000000-0005-0000-0000-0000A4440000}"/>
    <cellStyle name="Normal 15 3 2 12" xfId="12199" xr:uid="{00000000-0005-0000-0000-0000A5440000}"/>
    <cellStyle name="Normal 15 3 2 13" xfId="12200" xr:uid="{00000000-0005-0000-0000-0000A6440000}"/>
    <cellStyle name="Normal 15 3 2 14" xfId="12201" xr:uid="{00000000-0005-0000-0000-0000A7440000}"/>
    <cellStyle name="Normal 15 3 2 15" xfId="12202" xr:uid="{00000000-0005-0000-0000-0000A8440000}"/>
    <cellStyle name="Normal 15 3 2 16" xfId="12203" xr:uid="{00000000-0005-0000-0000-0000A9440000}"/>
    <cellStyle name="Normal 15 3 2 2" xfId="12204" xr:uid="{00000000-0005-0000-0000-0000AA440000}"/>
    <cellStyle name="Normal 15 3 2 2 10" xfId="12205" xr:uid="{00000000-0005-0000-0000-0000AB440000}"/>
    <cellStyle name="Normal 15 3 2 2 11" xfId="12206" xr:uid="{00000000-0005-0000-0000-0000AC440000}"/>
    <cellStyle name="Normal 15 3 2 2 12" xfId="12207" xr:uid="{00000000-0005-0000-0000-0000AD440000}"/>
    <cellStyle name="Normal 15 3 2 2 13" xfId="12208" xr:uid="{00000000-0005-0000-0000-0000AE440000}"/>
    <cellStyle name="Normal 15 3 2 2 14" xfId="12209" xr:uid="{00000000-0005-0000-0000-0000AF440000}"/>
    <cellStyle name="Normal 15 3 2 2 2" xfId="12210" xr:uid="{00000000-0005-0000-0000-0000B0440000}"/>
    <cellStyle name="Normal 15 3 2 2 2 2" xfId="12211" xr:uid="{00000000-0005-0000-0000-0000B1440000}"/>
    <cellStyle name="Normal 15 3 2 2 2 2 2" xfId="12212" xr:uid="{00000000-0005-0000-0000-0000B2440000}"/>
    <cellStyle name="Normal 15 3 2 2 2 2 2 2" xfId="12213" xr:uid="{00000000-0005-0000-0000-0000B3440000}"/>
    <cellStyle name="Normal 15 3 2 2 2 2 2 2 2" xfId="51398" xr:uid="{00000000-0005-0000-0000-0000B4440000}"/>
    <cellStyle name="Normal 15 3 2 2 2 2 2 2 3" xfId="51399" xr:uid="{00000000-0005-0000-0000-0000B5440000}"/>
    <cellStyle name="Normal 15 3 2 2 2 2 2 3" xfId="12214" xr:uid="{00000000-0005-0000-0000-0000B6440000}"/>
    <cellStyle name="Normal 15 3 2 2 2 2 2 3 2" xfId="51400" xr:uid="{00000000-0005-0000-0000-0000B7440000}"/>
    <cellStyle name="Normal 15 3 2 2 2 2 2 4" xfId="12215" xr:uid="{00000000-0005-0000-0000-0000B8440000}"/>
    <cellStyle name="Normal 15 3 2 2 2 2 2 5" xfId="12216" xr:uid="{00000000-0005-0000-0000-0000B9440000}"/>
    <cellStyle name="Normal 15 3 2 2 2 2 2 6" xfId="12217" xr:uid="{00000000-0005-0000-0000-0000BA440000}"/>
    <cellStyle name="Normal 15 3 2 2 2 2 3" xfId="12218" xr:uid="{00000000-0005-0000-0000-0000BB440000}"/>
    <cellStyle name="Normal 15 3 2 2 2 2 3 2" xfId="51401" xr:uid="{00000000-0005-0000-0000-0000BC440000}"/>
    <cellStyle name="Normal 15 3 2 2 2 2 3 3" xfId="51402" xr:uid="{00000000-0005-0000-0000-0000BD440000}"/>
    <cellStyle name="Normal 15 3 2 2 2 2 4" xfId="12219" xr:uid="{00000000-0005-0000-0000-0000BE440000}"/>
    <cellStyle name="Normal 15 3 2 2 2 2 4 2" xfId="51403" xr:uid="{00000000-0005-0000-0000-0000BF440000}"/>
    <cellStyle name="Normal 15 3 2 2 2 2 5" xfId="12220" xr:uid="{00000000-0005-0000-0000-0000C0440000}"/>
    <cellStyle name="Normal 15 3 2 2 2 2 6" xfId="12221" xr:uid="{00000000-0005-0000-0000-0000C1440000}"/>
    <cellStyle name="Normal 15 3 2 2 2 2 7" xfId="12222" xr:uid="{00000000-0005-0000-0000-0000C2440000}"/>
    <cellStyle name="Normal 15 3 2 2 2 3" xfId="12223" xr:uid="{00000000-0005-0000-0000-0000C3440000}"/>
    <cellStyle name="Normal 15 3 2 2 2 3 2" xfId="12224" xr:uid="{00000000-0005-0000-0000-0000C4440000}"/>
    <cellStyle name="Normal 15 3 2 2 2 3 2 2" xfId="51404" xr:uid="{00000000-0005-0000-0000-0000C5440000}"/>
    <cellStyle name="Normal 15 3 2 2 2 3 2 3" xfId="51405" xr:uid="{00000000-0005-0000-0000-0000C6440000}"/>
    <cellStyle name="Normal 15 3 2 2 2 3 3" xfId="12225" xr:uid="{00000000-0005-0000-0000-0000C7440000}"/>
    <cellStyle name="Normal 15 3 2 2 2 3 3 2" xfId="51406" xr:uid="{00000000-0005-0000-0000-0000C8440000}"/>
    <cellStyle name="Normal 15 3 2 2 2 3 4" xfId="12226" xr:uid="{00000000-0005-0000-0000-0000C9440000}"/>
    <cellStyle name="Normal 15 3 2 2 2 3 5" xfId="12227" xr:uid="{00000000-0005-0000-0000-0000CA440000}"/>
    <cellStyle name="Normal 15 3 2 2 2 3 6" xfId="12228" xr:uid="{00000000-0005-0000-0000-0000CB440000}"/>
    <cellStyle name="Normal 15 3 2 2 2 4" xfId="12229" xr:uid="{00000000-0005-0000-0000-0000CC440000}"/>
    <cellStyle name="Normal 15 3 2 2 2 4 2" xfId="51407" xr:uid="{00000000-0005-0000-0000-0000CD440000}"/>
    <cellStyle name="Normal 15 3 2 2 2 4 3" xfId="51408" xr:uid="{00000000-0005-0000-0000-0000CE440000}"/>
    <cellStyle name="Normal 15 3 2 2 2 5" xfId="12230" xr:uid="{00000000-0005-0000-0000-0000CF440000}"/>
    <cellStyle name="Normal 15 3 2 2 2 5 2" xfId="51409" xr:uid="{00000000-0005-0000-0000-0000D0440000}"/>
    <cellStyle name="Normal 15 3 2 2 2 6" xfId="12231" xr:uid="{00000000-0005-0000-0000-0000D1440000}"/>
    <cellStyle name="Normal 15 3 2 2 2 7" xfId="12232" xr:uid="{00000000-0005-0000-0000-0000D2440000}"/>
    <cellStyle name="Normal 15 3 2 2 2 8" xfId="12233" xr:uid="{00000000-0005-0000-0000-0000D3440000}"/>
    <cellStyle name="Normal 15 3 2 2 2 9" xfId="12234" xr:uid="{00000000-0005-0000-0000-0000D4440000}"/>
    <cellStyle name="Normal 15 3 2 2 3" xfId="12235" xr:uid="{00000000-0005-0000-0000-0000D5440000}"/>
    <cellStyle name="Normal 15 3 2 2 3 2" xfId="12236" xr:uid="{00000000-0005-0000-0000-0000D6440000}"/>
    <cellStyle name="Normal 15 3 2 2 3 2 2" xfId="12237" xr:uid="{00000000-0005-0000-0000-0000D7440000}"/>
    <cellStyle name="Normal 15 3 2 2 3 2 2 2" xfId="12238" xr:uid="{00000000-0005-0000-0000-0000D8440000}"/>
    <cellStyle name="Normal 15 3 2 2 3 2 2 2 2" xfId="51410" xr:uid="{00000000-0005-0000-0000-0000D9440000}"/>
    <cellStyle name="Normal 15 3 2 2 3 2 2 2 3" xfId="51411" xr:uid="{00000000-0005-0000-0000-0000DA440000}"/>
    <cellStyle name="Normal 15 3 2 2 3 2 2 3" xfId="12239" xr:uid="{00000000-0005-0000-0000-0000DB440000}"/>
    <cellStyle name="Normal 15 3 2 2 3 2 2 3 2" xfId="51412" xr:uid="{00000000-0005-0000-0000-0000DC440000}"/>
    <cellStyle name="Normal 15 3 2 2 3 2 2 4" xfId="12240" xr:uid="{00000000-0005-0000-0000-0000DD440000}"/>
    <cellStyle name="Normal 15 3 2 2 3 2 2 5" xfId="12241" xr:uid="{00000000-0005-0000-0000-0000DE440000}"/>
    <cellStyle name="Normal 15 3 2 2 3 2 2 6" xfId="12242" xr:uid="{00000000-0005-0000-0000-0000DF440000}"/>
    <cellStyle name="Normal 15 3 2 2 3 2 3" xfId="12243" xr:uid="{00000000-0005-0000-0000-0000E0440000}"/>
    <cellStyle name="Normal 15 3 2 2 3 2 3 2" xfId="51413" xr:uid="{00000000-0005-0000-0000-0000E1440000}"/>
    <cellStyle name="Normal 15 3 2 2 3 2 3 3" xfId="51414" xr:uid="{00000000-0005-0000-0000-0000E2440000}"/>
    <cellStyle name="Normal 15 3 2 2 3 2 4" xfId="12244" xr:uid="{00000000-0005-0000-0000-0000E3440000}"/>
    <cellStyle name="Normal 15 3 2 2 3 2 4 2" xfId="51415" xr:uid="{00000000-0005-0000-0000-0000E4440000}"/>
    <cellStyle name="Normal 15 3 2 2 3 2 5" xfId="12245" xr:uid="{00000000-0005-0000-0000-0000E5440000}"/>
    <cellStyle name="Normal 15 3 2 2 3 2 6" xfId="12246" xr:uid="{00000000-0005-0000-0000-0000E6440000}"/>
    <cellStyle name="Normal 15 3 2 2 3 2 7" xfId="12247" xr:uid="{00000000-0005-0000-0000-0000E7440000}"/>
    <cellStyle name="Normal 15 3 2 2 3 3" xfId="12248" xr:uid="{00000000-0005-0000-0000-0000E8440000}"/>
    <cellStyle name="Normal 15 3 2 2 3 3 2" xfId="12249" xr:uid="{00000000-0005-0000-0000-0000E9440000}"/>
    <cellStyle name="Normal 15 3 2 2 3 3 2 2" xfId="51416" xr:uid="{00000000-0005-0000-0000-0000EA440000}"/>
    <cellStyle name="Normal 15 3 2 2 3 3 2 3" xfId="51417" xr:uid="{00000000-0005-0000-0000-0000EB440000}"/>
    <cellStyle name="Normal 15 3 2 2 3 3 3" xfId="12250" xr:uid="{00000000-0005-0000-0000-0000EC440000}"/>
    <cellStyle name="Normal 15 3 2 2 3 3 3 2" xfId="51418" xr:uid="{00000000-0005-0000-0000-0000ED440000}"/>
    <cellStyle name="Normal 15 3 2 2 3 3 4" xfId="12251" xr:uid="{00000000-0005-0000-0000-0000EE440000}"/>
    <cellStyle name="Normal 15 3 2 2 3 3 5" xfId="12252" xr:uid="{00000000-0005-0000-0000-0000EF440000}"/>
    <cellStyle name="Normal 15 3 2 2 3 3 6" xfId="12253" xr:uid="{00000000-0005-0000-0000-0000F0440000}"/>
    <cellStyle name="Normal 15 3 2 2 3 4" xfId="12254" xr:uid="{00000000-0005-0000-0000-0000F1440000}"/>
    <cellStyle name="Normal 15 3 2 2 3 4 2" xfId="51419" xr:uid="{00000000-0005-0000-0000-0000F2440000}"/>
    <cellStyle name="Normal 15 3 2 2 3 4 3" xfId="51420" xr:uid="{00000000-0005-0000-0000-0000F3440000}"/>
    <cellStyle name="Normal 15 3 2 2 3 5" xfId="12255" xr:uid="{00000000-0005-0000-0000-0000F4440000}"/>
    <cellStyle name="Normal 15 3 2 2 3 5 2" xfId="51421" xr:uid="{00000000-0005-0000-0000-0000F5440000}"/>
    <cellStyle name="Normal 15 3 2 2 3 6" xfId="12256" xr:uid="{00000000-0005-0000-0000-0000F6440000}"/>
    <cellStyle name="Normal 15 3 2 2 3 7" xfId="12257" xr:uid="{00000000-0005-0000-0000-0000F7440000}"/>
    <cellStyle name="Normal 15 3 2 2 3 8" xfId="12258" xr:uid="{00000000-0005-0000-0000-0000F8440000}"/>
    <cellStyle name="Normal 15 3 2 2 4" xfId="12259" xr:uid="{00000000-0005-0000-0000-0000F9440000}"/>
    <cellStyle name="Normal 15 3 2 2 4 2" xfId="12260" xr:uid="{00000000-0005-0000-0000-0000FA440000}"/>
    <cellStyle name="Normal 15 3 2 2 4 2 2" xfId="12261" xr:uid="{00000000-0005-0000-0000-0000FB440000}"/>
    <cellStyle name="Normal 15 3 2 2 4 2 2 2" xfId="51422" xr:uid="{00000000-0005-0000-0000-0000FC440000}"/>
    <cellStyle name="Normal 15 3 2 2 4 2 2 3" xfId="51423" xr:uid="{00000000-0005-0000-0000-0000FD440000}"/>
    <cellStyle name="Normal 15 3 2 2 4 2 3" xfId="12262" xr:uid="{00000000-0005-0000-0000-0000FE440000}"/>
    <cellStyle name="Normal 15 3 2 2 4 2 3 2" xfId="51424" xr:uid="{00000000-0005-0000-0000-0000FF440000}"/>
    <cellStyle name="Normal 15 3 2 2 4 2 4" xfId="12263" xr:uid="{00000000-0005-0000-0000-000000450000}"/>
    <cellStyle name="Normal 15 3 2 2 4 2 5" xfId="12264" xr:uid="{00000000-0005-0000-0000-000001450000}"/>
    <cellStyle name="Normal 15 3 2 2 4 2 6" xfId="12265" xr:uid="{00000000-0005-0000-0000-000002450000}"/>
    <cellStyle name="Normal 15 3 2 2 4 3" xfId="12266" xr:uid="{00000000-0005-0000-0000-000003450000}"/>
    <cellStyle name="Normal 15 3 2 2 4 3 2" xfId="51425" xr:uid="{00000000-0005-0000-0000-000004450000}"/>
    <cellStyle name="Normal 15 3 2 2 4 3 3" xfId="51426" xr:uid="{00000000-0005-0000-0000-000005450000}"/>
    <cellStyle name="Normal 15 3 2 2 4 4" xfId="12267" xr:uid="{00000000-0005-0000-0000-000006450000}"/>
    <cellStyle name="Normal 15 3 2 2 4 4 2" xfId="51427" xr:uid="{00000000-0005-0000-0000-000007450000}"/>
    <cellStyle name="Normal 15 3 2 2 4 5" xfId="12268" xr:uid="{00000000-0005-0000-0000-000008450000}"/>
    <cellStyle name="Normal 15 3 2 2 4 6" xfId="12269" xr:uid="{00000000-0005-0000-0000-000009450000}"/>
    <cellStyle name="Normal 15 3 2 2 4 7" xfId="12270" xr:uid="{00000000-0005-0000-0000-00000A450000}"/>
    <cellStyle name="Normal 15 3 2 2 5" xfId="12271" xr:uid="{00000000-0005-0000-0000-00000B450000}"/>
    <cellStyle name="Normal 15 3 2 2 5 2" xfId="12272" xr:uid="{00000000-0005-0000-0000-00000C450000}"/>
    <cellStyle name="Normal 15 3 2 2 5 2 2" xfId="51428" xr:uid="{00000000-0005-0000-0000-00000D450000}"/>
    <cellStyle name="Normal 15 3 2 2 5 2 3" xfId="51429" xr:uid="{00000000-0005-0000-0000-00000E450000}"/>
    <cellStyle name="Normal 15 3 2 2 5 3" xfId="12273" xr:uid="{00000000-0005-0000-0000-00000F450000}"/>
    <cellStyle name="Normal 15 3 2 2 5 3 2" xfId="51430" xr:uid="{00000000-0005-0000-0000-000010450000}"/>
    <cellStyle name="Normal 15 3 2 2 5 4" xfId="12274" xr:uid="{00000000-0005-0000-0000-000011450000}"/>
    <cellStyle name="Normal 15 3 2 2 5 5" xfId="12275" xr:uid="{00000000-0005-0000-0000-000012450000}"/>
    <cellStyle name="Normal 15 3 2 2 5 6" xfId="12276" xr:uid="{00000000-0005-0000-0000-000013450000}"/>
    <cellStyle name="Normal 15 3 2 2 6" xfId="12277" xr:uid="{00000000-0005-0000-0000-000014450000}"/>
    <cellStyle name="Normal 15 3 2 2 6 2" xfId="51431" xr:uid="{00000000-0005-0000-0000-000015450000}"/>
    <cellStyle name="Normal 15 3 2 2 6 3" xfId="51432" xr:uid="{00000000-0005-0000-0000-000016450000}"/>
    <cellStyle name="Normal 15 3 2 2 7" xfId="12278" xr:uid="{00000000-0005-0000-0000-000017450000}"/>
    <cellStyle name="Normal 15 3 2 2 7 2" xfId="51433" xr:uid="{00000000-0005-0000-0000-000018450000}"/>
    <cellStyle name="Normal 15 3 2 2 8" xfId="12279" xr:uid="{00000000-0005-0000-0000-000019450000}"/>
    <cellStyle name="Normal 15 3 2 2 9" xfId="12280" xr:uid="{00000000-0005-0000-0000-00001A450000}"/>
    <cellStyle name="Normal 15 3 2 3" xfId="12281" xr:uid="{00000000-0005-0000-0000-00001B450000}"/>
    <cellStyle name="Normal 15 3 2 3 2" xfId="12282" xr:uid="{00000000-0005-0000-0000-00001C450000}"/>
    <cellStyle name="Normal 15 3 2 3 2 2" xfId="12283" xr:uid="{00000000-0005-0000-0000-00001D450000}"/>
    <cellStyle name="Normal 15 3 2 3 2 2 2" xfId="12284" xr:uid="{00000000-0005-0000-0000-00001E450000}"/>
    <cellStyle name="Normal 15 3 2 3 2 2 2 2" xfId="51434" xr:uid="{00000000-0005-0000-0000-00001F450000}"/>
    <cellStyle name="Normal 15 3 2 3 2 2 2 3" xfId="51435" xr:uid="{00000000-0005-0000-0000-000020450000}"/>
    <cellStyle name="Normal 15 3 2 3 2 2 3" xfId="12285" xr:uid="{00000000-0005-0000-0000-000021450000}"/>
    <cellStyle name="Normal 15 3 2 3 2 2 3 2" xfId="51436" xr:uid="{00000000-0005-0000-0000-000022450000}"/>
    <cellStyle name="Normal 15 3 2 3 2 2 4" xfId="12286" xr:uid="{00000000-0005-0000-0000-000023450000}"/>
    <cellStyle name="Normal 15 3 2 3 2 2 5" xfId="12287" xr:uid="{00000000-0005-0000-0000-000024450000}"/>
    <cellStyle name="Normal 15 3 2 3 2 2 6" xfId="12288" xr:uid="{00000000-0005-0000-0000-000025450000}"/>
    <cellStyle name="Normal 15 3 2 3 2 3" xfId="12289" xr:uid="{00000000-0005-0000-0000-000026450000}"/>
    <cellStyle name="Normal 15 3 2 3 2 3 2" xfId="51437" xr:uid="{00000000-0005-0000-0000-000027450000}"/>
    <cellStyle name="Normal 15 3 2 3 2 3 3" xfId="51438" xr:uid="{00000000-0005-0000-0000-000028450000}"/>
    <cellStyle name="Normal 15 3 2 3 2 4" xfId="12290" xr:uid="{00000000-0005-0000-0000-000029450000}"/>
    <cellStyle name="Normal 15 3 2 3 2 4 2" xfId="51439" xr:uid="{00000000-0005-0000-0000-00002A450000}"/>
    <cellStyle name="Normal 15 3 2 3 2 5" xfId="12291" xr:uid="{00000000-0005-0000-0000-00002B450000}"/>
    <cellStyle name="Normal 15 3 2 3 2 6" xfId="12292" xr:uid="{00000000-0005-0000-0000-00002C450000}"/>
    <cellStyle name="Normal 15 3 2 3 2 7" xfId="12293" xr:uid="{00000000-0005-0000-0000-00002D450000}"/>
    <cellStyle name="Normal 15 3 2 3 3" xfId="12294" xr:uid="{00000000-0005-0000-0000-00002E450000}"/>
    <cellStyle name="Normal 15 3 2 3 3 2" xfId="12295" xr:uid="{00000000-0005-0000-0000-00002F450000}"/>
    <cellStyle name="Normal 15 3 2 3 3 2 2" xfId="51440" xr:uid="{00000000-0005-0000-0000-000030450000}"/>
    <cellStyle name="Normal 15 3 2 3 3 2 3" xfId="51441" xr:uid="{00000000-0005-0000-0000-000031450000}"/>
    <cellStyle name="Normal 15 3 2 3 3 3" xfId="12296" xr:uid="{00000000-0005-0000-0000-000032450000}"/>
    <cellStyle name="Normal 15 3 2 3 3 3 2" xfId="51442" xr:uid="{00000000-0005-0000-0000-000033450000}"/>
    <cellStyle name="Normal 15 3 2 3 3 4" xfId="12297" xr:uid="{00000000-0005-0000-0000-000034450000}"/>
    <cellStyle name="Normal 15 3 2 3 3 5" xfId="12298" xr:uid="{00000000-0005-0000-0000-000035450000}"/>
    <cellStyle name="Normal 15 3 2 3 3 6" xfId="12299" xr:uid="{00000000-0005-0000-0000-000036450000}"/>
    <cellStyle name="Normal 15 3 2 3 4" xfId="12300" xr:uid="{00000000-0005-0000-0000-000037450000}"/>
    <cellStyle name="Normal 15 3 2 3 4 2" xfId="51443" xr:uid="{00000000-0005-0000-0000-000038450000}"/>
    <cellStyle name="Normal 15 3 2 3 4 3" xfId="51444" xr:uid="{00000000-0005-0000-0000-000039450000}"/>
    <cellStyle name="Normal 15 3 2 3 5" xfId="12301" xr:uid="{00000000-0005-0000-0000-00003A450000}"/>
    <cellStyle name="Normal 15 3 2 3 5 2" xfId="51445" xr:uid="{00000000-0005-0000-0000-00003B450000}"/>
    <cellStyle name="Normal 15 3 2 3 6" xfId="12302" xr:uid="{00000000-0005-0000-0000-00003C450000}"/>
    <cellStyle name="Normal 15 3 2 3 7" xfId="12303" xr:uid="{00000000-0005-0000-0000-00003D450000}"/>
    <cellStyle name="Normal 15 3 2 3 8" xfId="12304" xr:uid="{00000000-0005-0000-0000-00003E450000}"/>
    <cellStyle name="Normal 15 3 2 3 9" xfId="12305" xr:uid="{00000000-0005-0000-0000-00003F450000}"/>
    <cellStyle name="Normal 15 3 2 4" xfId="12306" xr:uid="{00000000-0005-0000-0000-000040450000}"/>
    <cellStyle name="Normal 15 3 2 4 2" xfId="12307" xr:uid="{00000000-0005-0000-0000-000041450000}"/>
    <cellStyle name="Normal 15 3 2 4 2 2" xfId="12308" xr:uid="{00000000-0005-0000-0000-000042450000}"/>
    <cellStyle name="Normal 15 3 2 4 2 2 2" xfId="12309" xr:uid="{00000000-0005-0000-0000-000043450000}"/>
    <cellStyle name="Normal 15 3 2 4 2 2 2 2" xfId="51446" xr:uid="{00000000-0005-0000-0000-000044450000}"/>
    <cellStyle name="Normal 15 3 2 4 2 2 2 3" xfId="51447" xr:uid="{00000000-0005-0000-0000-000045450000}"/>
    <cellStyle name="Normal 15 3 2 4 2 2 3" xfId="12310" xr:uid="{00000000-0005-0000-0000-000046450000}"/>
    <cellStyle name="Normal 15 3 2 4 2 2 3 2" xfId="51448" xr:uid="{00000000-0005-0000-0000-000047450000}"/>
    <cellStyle name="Normal 15 3 2 4 2 2 4" xfId="12311" xr:uid="{00000000-0005-0000-0000-000048450000}"/>
    <cellStyle name="Normal 15 3 2 4 2 2 5" xfId="12312" xr:uid="{00000000-0005-0000-0000-000049450000}"/>
    <cellStyle name="Normal 15 3 2 4 2 2 6" xfId="12313" xr:uid="{00000000-0005-0000-0000-00004A450000}"/>
    <cellStyle name="Normal 15 3 2 4 2 3" xfId="12314" xr:uid="{00000000-0005-0000-0000-00004B450000}"/>
    <cellStyle name="Normal 15 3 2 4 2 3 2" xfId="51449" xr:uid="{00000000-0005-0000-0000-00004C450000}"/>
    <cellStyle name="Normal 15 3 2 4 2 3 3" xfId="51450" xr:uid="{00000000-0005-0000-0000-00004D450000}"/>
    <cellStyle name="Normal 15 3 2 4 2 4" xfId="12315" xr:uid="{00000000-0005-0000-0000-00004E450000}"/>
    <cellStyle name="Normal 15 3 2 4 2 4 2" xfId="51451" xr:uid="{00000000-0005-0000-0000-00004F450000}"/>
    <cellStyle name="Normal 15 3 2 4 2 5" xfId="12316" xr:uid="{00000000-0005-0000-0000-000050450000}"/>
    <cellStyle name="Normal 15 3 2 4 2 6" xfId="12317" xr:uid="{00000000-0005-0000-0000-000051450000}"/>
    <cellStyle name="Normal 15 3 2 4 2 7" xfId="12318" xr:uid="{00000000-0005-0000-0000-000052450000}"/>
    <cellStyle name="Normal 15 3 2 4 3" xfId="12319" xr:uid="{00000000-0005-0000-0000-000053450000}"/>
    <cellStyle name="Normal 15 3 2 4 3 2" xfId="12320" xr:uid="{00000000-0005-0000-0000-000054450000}"/>
    <cellStyle name="Normal 15 3 2 4 3 2 2" xfId="51452" xr:uid="{00000000-0005-0000-0000-000055450000}"/>
    <cellStyle name="Normal 15 3 2 4 3 2 3" xfId="51453" xr:uid="{00000000-0005-0000-0000-000056450000}"/>
    <cellStyle name="Normal 15 3 2 4 3 3" xfId="12321" xr:uid="{00000000-0005-0000-0000-000057450000}"/>
    <cellStyle name="Normal 15 3 2 4 3 3 2" xfId="51454" xr:uid="{00000000-0005-0000-0000-000058450000}"/>
    <cellStyle name="Normal 15 3 2 4 3 4" xfId="12322" xr:uid="{00000000-0005-0000-0000-000059450000}"/>
    <cellStyle name="Normal 15 3 2 4 3 5" xfId="12323" xr:uid="{00000000-0005-0000-0000-00005A450000}"/>
    <cellStyle name="Normal 15 3 2 4 3 6" xfId="12324" xr:uid="{00000000-0005-0000-0000-00005B450000}"/>
    <cellStyle name="Normal 15 3 2 4 4" xfId="12325" xr:uid="{00000000-0005-0000-0000-00005C450000}"/>
    <cellStyle name="Normal 15 3 2 4 4 2" xfId="51455" xr:uid="{00000000-0005-0000-0000-00005D450000}"/>
    <cellStyle name="Normal 15 3 2 4 4 3" xfId="51456" xr:uid="{00000000-0005-0000-0000-00005E450000}"/>
    <cellStyle name="Normal 15 3 2 4 5" xfId="12326" xr:uid="{00000000-0005-0000-0000-00005F450000}"/>
    <cellStyle name="Normal 15 3 2 4 5 2" xfId="51457" xr:uid="{00000000-0005-0000-0000-000060450000}"/>
    <cellStyle name="Normal 15 3 2 4 6" xfId="12327" xr:uid="{00000000-0005-0000-0000-000061450000}"/>
    <cellStyle name="Normal 15 3 2 4 7" xfId="12328" xr:uid="{00000000-0005-0000-0000-000062450000}"/>
    <cellStyle name="Normal 15 3 2 4 8" xfId="12329" xr:uid="{00000000-0005-0000-0000-000063450000}"/>
    <cellStyle name="Normal 15 3 2 5" xfId="12330" xr:uid="{00000000-0005-0000-0000-000064450000}"/>
    <cellStyle name="Normal 15 3 2 5 2" xfId="12331" xr:uid="{00000000-0005-0000-0000-000065450000}"/>
    <cellStyle name="Normal 15 3 2 5 2 2" xfId="12332" xr:uid="{00000000-0005-0000-0000-000066450000}"/>
    <cellStyle name="Normal 15 3 2 5 2 2 2" xfId="51458" xr:uid="{00000000-0005-0000-0000-000067450000}"/>
    <cellStyle name="Normal 15 3 2 5 2 2 3" xfId="51459" xr:uid="{00000000-0005-0000-0000-000068450000}"/>
    <cellStyle name="Normal 15 3 2 5 2 3" xfId="12333" xr:uid="{00000000-0005-0000-0000-000069450000}"/>
    <cellStyle name="Normal 15 3 2 5 2 3 2" xfId="51460" xr:uid="{00000000-0005-0000-0000-00006A450000}"/>
    <cellStyle name="Normal 15 3 2 5 2 4" xfId="12334" xr:uid="{00000000-0005-0000-0000-00006B450000}"/>
    <cellStyle name="Normal 15 3 2 5 2 5" xfId="12335" xr:uid="{00000000-0005-0000-0000-00006C450000}"/>
    <cellStyle name="Normal 15 3 2 5 2 6" xfId="12336" xr:uid="{00000000-0005-0000-0000-00006D450000}"/>
    <cellStyle name="Normal 15 3 2 5 3" xfId="12337" xr:uid="{00000000-0005-0000-0000-00006E450000}"/>
    <cellStyle name="Normal 15 3 2 5 3 2" xfId="51461" xr:uid="{00000000-0005-0000-0000-00006F450000}"/>
    <cellStyle name="Normal 15 3 2 5 3 3" xfId="51462" xr:uid="{00000000-0005-0000-0000-000070450000}"/>
    <cellStyle name="Normal 15 3 2 5 4" xfId="12338" xr:uid="{00000000-0005-0000-0000-000071450000}"/>
    <cellStyle name="Normal 15 3 2 5 4 2" xfId="51463" xr:uid="{00000000-0005-0000-0000-000072450000}"/>
    <cellStyle name="Normal 15 3 2 5 5" xfId="12339" xr:uid="{00000000-0005-0000-0000-000073450000}"/>
    <cellStyle name="Normal 15 3 2 5 6" xfId="12340" xr:uid="{00000000-0005-0000-0000-000074450000}"/>
    <cellStyle name="Normal 15 3 2 5 7" xfId="12341" xr:uid="{00000000-0005-0000-0000-000075450000}"/>
    <cellStyle name="Normal 15 3 2 6" xfId="12342" xr:uid="{00000000-0005-0000-0000-000076450000}"/>
    <cellStyle name="Normal 15 3 2 6 2" xfId="12343" xr:uid="{00000000-0005-0000-0000-000077450000}"/>
    <cellStyle name="Normal 15 3 2 6 2 2" xfId="51464" xr:uid="{00000000-0005-0000-0000-000078450000}"/>
    <cellStyle name="Normal 15 3 2 6 2 3" xfId="51465" xr:uid="{00000000-0005-0000-0000-000079450000}"/>
    <cellStyle name="Normal 15 3 2 6 3" xfId="12344" xr:uid="{00000000-0005-0000-0000-00007A450000}"/>
    <cellStyle name="Normal 15 3 2 6 3 2" xfId="51466" xr:uid="{00000000-0005-0000-0000-00007B450000}"/>
    <cellStyle name="Normal 15 3 2 6 4" xfId="12345" xr:uid="{00000000-0005-0000-0000-00007C450000}"/>
    <cellStyle name="Normal 15 3 2 6 5" xfId="12346" xr:uid="{00000000-0005-0000-0000-00007D450000}"/>
    <cellStyle name="Normal 15 3 2 6 6" xfId="12347" xr:uid="{00000000-0005-0000-0000-00007E450000}"/>
    <cellStyle name="Normal 15 3 2 7" xfId="12348" xr:uid="{00000000-0005-0000-0000-00007F450000}"/>
    <cellStyle name="Normal 15 3 2 7 2" xfId="51467" xr:uid="{00000000-0005-0000-0000-000080450000}"/>
    <cellStyle name="Normal 15 3 2 7 3" xfId="51468" xr:uid="{00000000-0005-0000-0000-000081450000}"/>
    <cellStyle name="Normal 15 3 2 8" xfId="12349" xr:uid="{00000000-0005-0000-0000-000082450000}"/>
    <cellStyle name="Normal 15 3 2 8 2" xfId="51469" xr:uid="{00000000-0005-0000-0000-000083450000}"/>
    <cellStyle name="Normal 15 3 2 9" xfId="12350" xr:uid="{00000000-0005-0000-0000-000084450000}"/>
    <cellStyle name="Normal 15 3 2 9 2" xfId="51470" xr:uid="{00000000-0005-0000-0000-000085450000}"/>
    <cellStyle name="Normal 15 3 20" xfId="12351" xr:uid="{00000000-0005-0000-0000-000086450000}"/>
    <cellStyle name="Normal 15 3 3" xfId="12352" xr:uid="{00000000-0005-0000-0000-000087450000}"/>
    <cellStyle name="Normal 15 3 3 10" xfId="12353" xr:uid="{00000000-0005-0000-0000-000088450000}"/>
    <cellStyle name="Normal 15 3 3 11" xfId="12354" xr:uid="{00000000-0005-0000-0000-000089450000}"/>
    <cellStyle name="Normal 15 3 3 12" xfId="12355" xr:uid="{00000000-0005-0000-0000-00008A450000}"/>
    <cellStyle name="Normal 15 3 3 13" xfId="12356" xr:uid="{00000000-0005-0000-0000-00008B450000}"/>
    <cellStyle name="Normal 15 3 3 14" xfId="12357" xr:uid="{00000000-0005-0000-0000-00008C450000}"/>
    <cellStyle name="Normal 15 3 3 15" xfId="12358" xr:uid="{00000000-0005-0000-0000-00008D450000}"/>
    <cellStyle name="Normal 15 3 3 2" xfId="12359" xr:uid="{00000000-0005-0000-0000-00008E450000}"/>
    <cellStyle name="Normal 15 3 3 2 10" xfId="12360" xr:uid="{00000000-0005-0000-0000-00008F450000}"/>
    <cellStyle name="Normal 15 3 3 2 11" xfId="12361" xr:uid="{00000000-0005-0000-0000-000090450000}"/>
    <cellStyle name="Normal 15 3 3 2 12" xfId="12362" xr:uid="{00000000-0005-0000-0000-000091450000}"/>
    <cellStyle name="Normal 15 3 3 2 13" xfId="12363" xr:uid="{00000000-0005-0000-0000-000092450000}"/>
    <cellStyle name="Normal 15 3 3 2 14" xfId="12364" xr:uid="{00000000-0005-0000-0000-000093450000}"/>
    <cellStyle name="Normal 15 3 3 2 2" xfId="12365" xr:uid="{00000000-0005-0000-0000-000094450000}"/>
    <cellStyle name="Normal 15 3 3 2 2 2" xfId="12366" xr:uid="{00000000-0005-0000-0000-000095450000}"/>
    <cellStyle name="Normal 15 3 3 2 2 2 2" xfId="12367" xr:uid="{00000000-0005-0000-0000-000096450000}"/>
    <cellStyle name="Normal 15 3 3 2 2 2 2 2" xfId="12368" xr:uid="{00000000-0005-0000-0000-000097450000}"/>
    <cellStyle name="Normal 15 3 3 2 2 2 2 2 2" xfId="51471" xr:uid="{00000000-0005-0000-0000-000098450000}"/>
    <cellStyle name="Normal 15 3 3 2 2 2 2 2 3" xfId="51472" xr:uid="{00000000-0005-0000-0000-000099450000}"/>
    <cellStyle name="Normal 15 3 3 2 2 2 2 3" xfId="12369" xr:uid="{00000000-0005-0000-0000-00009A450000}"/>
    <cellStyle name="Normal 15 3 3 2 2 2 2 3 2" xfId="51473" xr:uid="{00000000-0005-0000-0000-00009B450000}"/>
    <cellStyle name="Normal 15 3 3 2 2 2 2 4" xfId="12370" xr:uid="{00000000-0005-0000-0000-00009C450000}"/>
    <cellStyle name="Normal 15 3 3 2 2 2 2 5" xfId="12371" xr:uid="{00000000-0005-0000-0000-00009D450000}"/>
    <cellStyle name="Normal 15 3 3 2 2 2 2 6" xfId="12372" xr:uid="{00000000-0005-0000-0000-00009E450000}"/>
    <cellStyle name="Normal 15 3 3 2 2 2 3" xfId="12373" xr:uid="{00000000-0005-0000-0000-00009F450000}"/>
    <cellStyle name="Normal 15 3 3 2 2 2 3 2" xfId="51474" xr:uid="{00000000-0005-0000-0000-0000A0450000}"/>
    <cellStyle name="Normal 15 3 3 2 2 2 3 3" xfId="51475" xr:uid="{00000000-0005-0000-0000-0000A1450000}"/>
    <cellStyle name="Normal 15 3 3 2 2 2 4" xfId="12374" xr:uid="{00000000-0005-0000-0000-0000A2450000}"/>
    <cellStyle name="Normal 15 3 3 2 2 2 4 2" xfId="51476" xr:uid="{00000000-0005-0000-0000-0000A3450000}"/>
    <cellStyle name="Normal 15 3 3 2 2 2 5" xfId="12375" xr:uid="{00000000-0005-0000-0000-0000A4450000}"/>
    <cellStyle name="Normal 15 3 3 2 2 2 6" xfId="12376" xr:uid="{00000000-0005-0000-0000-0000A5450000}"/>
    <cellStyle name="Normal 15 3 3 2 2 2 7" xfId="12377" xr:uid="{00000000-0005-0000-0000-0000A6450000}"/>
    <cellStyle name="Normal 15 3 3 2 2 3" xfId="12378" xr:uid="{00000000-0005-0000-0000-0000A7450000}"/>
    <cellStyle name="Normal 15 3 3 2 2 3 2" xfId="12379" xr:uid="{00000000-0005-0000-0000-0000A8450000}"/>
    <cellStyle name="Normal 15 3 3 2 2 3 2 2" xfId="51477" xr:uid="{00000000-0005-0000-0000-0000A9450000}"/>
    <cellStyle name="Normal 15 3 3 2 2 3 2 3" xfId="51478" xr:uid="{00000000-0005-0000-0000-0000AA450000}"/>
    <cellStyle name="Normal 15 3 3 2 2 3 3" xfId="12380" xr:uid="{00000000-0005-0000-0000-0000AB450000}"/>
    <cellStyle name="Normal 15 3 3 2 2 3 3 2" xfId="51479" xr:uid="{00000000-0005-0000-0000-0000AC450000}"/>
    <cellStyle name="Normal 15 3 3 2 2 3 4" xfId="12381" xr:uid="{00000000-0005-0000-0000-0000AD450000}"/>
    <cellStyle name="Normal 15 3 3 2 2 3 5" xfId="12382" xr:uid="{00000000-0005-0000-0000-0000AE450000}"/>
    <cellStyle name="Normal 15 3 3 2 2 3 6" xfId="12383" xr:uid="{00000000-0005-0000-0000-0000AF450000}"/>
    <cellStyle name="Normal 15 3 3 2 2 4" xfId="12384" xr:uid="{00000000-0005-0000-0000-0000B0450000}"/>
    <cellStyle name="Normal 15 3 3 2 2 4 2" xfId="51480" xr:uid="{00000000-0005-0000-0000-0000B1450000}"/>
    <cellStyle name="Normal 15 3 3 2 2 4 3" xfId="51481" xr:uid="{00000000-0005-0000-0000-0000B2450000}"/>
    <cellStyle name="Normal 15 3 3 2 2 5" xfId="12385" xr:uid="{00000000-0005-0000-0000-0000B3450000}"/>
    <cellStyle name="Normal 15 3 3 2 2 5 2" xfId="51482" xr:uid="{00000000-0005-0000-0000-0000B4450000}"/>
    <cellStyle name="Normal 15 3 3 2 2 6" xfId="12386" xr:uid="{00000000-0005-0000-0000-0000B5450000}"/>
    <cellStyle name="Normal 15 3 3 2 2 7" xfId="12387" xr:uid="{00000000-0005-0000-0000-0000B6450000}"/>
    <cellStyle name="Normal 15 3 3 2 2 8" xfId="12388" xr:uid="{00000000-0005-0000-0000-0000B7450000}"/>
    <cellStyle name="Normal 15 3 3 2 2 9" xfId="12389" xr:uid="{00000000-0005-0000-0000-0000B8450000}"/>
    <cellStyle name="Normal 15 3 3 2 3" xfId="12390" xr:uid="{00000000-0005-0000-0000-0000B9450000}"/>
    <cellStyle name="Normal 15 3 3 2 3 2" xfId="12391" xr:uid="{00000000-0005-0000-0000-0000BA450000}"/>
    <cellStyle name="Normal 15 3 3 2 3 2 2" xfId="12392" xr:uid="{00000000-0005-0000-0000-0000BB450000}"/>
    <cellStyle name="Normal 15 3 3 2 3 2 2 2" xfId="12393" xr:uid="{00000000-0005-0000-0000-0000BC450000}"/>
    <cellStyle name="Normal 15 3 3 2 3 2 2 2 2" xfId="51483" xr:uid="{00000000-0005-0000-0000-0000BD450000}"/>
    <cellStyle name="Normal 15 3 3 2 3 2 2 2 3" xfId="51484" xr:uid="{00000000-0005-0000-0000-0000BE450000}"/>
    <cellStyle name="Normal 15 3 3 2 3 2 2 3" xfId="12394" xr:uid="{00000000-0005-0000-0000-0000BF450000}"/>
    <cellStyle name="Normal 15 3 3 2 3 2 2 3 2" xfId="51485" xr:uid="{00000000-0005-0000-0000-0000C0450000}"/>
    <cellStyle name="Normal 15 3 3 2 3 2 2 4" xfId="12395" xr:uid="{00000000-0005-0000-0000-0000C1450000}"/>
    <cellStyle name="Normal 15 3 3 2 3 2 2 5" xfId="12396" xr:uid="{00000000-0005-0000-0000-0000C2450000}"/>
    <cellStyle name="Normal 15 3 3 2 3 2 2 6" xfId="12397" xr:uid="{00000000-0005-0000-0000-0000C3450000}"/>
    <cellStyle name="Normal 15 3 3 2 3 2 3" xfId="12398" xr:uid="{00000000-0005-0000-0000-0000C4450000}"/>
    <cellStyle name="Normal 15 3 3 2 3 2 3 2" xfId="51486" xr:uid="{00000000-0005-0000-0000-0000C5450000}"/>
    <cellStyle name="Normal 15 3 3 2 3 2 3 3" xfId="51487" xr:uid="{00000000-0005-0000-0000-0000C6450000}"/>
    <cellStyle name="Normal 15 3 3 2 3 2 4" xfId="12399" xr:uid="{00000000-0005-0000-0000-0000C7450000}"/>
    <cellStyle name="Normal 15 3 3 2 3 2 4 2" xfId="51488" xr:uid="{00000000-0005-0000-0000-0000C8450000}"/>
    <cellStyle name="Normal 15 3 3 2 3 2 5" xfId="12400" xr:uid="{00000000-0005-0000-0000-0000C9450000}"/>
    <cellStyle name="Normal 15 3 3 2 3 2 6" xfId="12401" xr:uid="{00000000-0005-0000-0000-0000CA450000}"/>
    <cellStyle name="Normal 15 3 3 2 3 2 7" xfId="12402" xr:uid="{00000000-0005-0000-0000-0000CB450000}"/>
    <cellStyle name="Normal 15 3 3 2 3 3" xfId="12403" xr:uid="{00000000-0005-0000-0000-0000CC450000}"/>
    <cellStyle name="Normal 15 3 3 2 3 3 2" xfId="12404" xr:uid="{00000000-0005-0000-0000-0000CD450000}"/>
    <cellStyle name="Normal 15 3 3 2 3 3 2 2" xfId="51489" xr:uid="{00000000-0005-0000-0000-0000CE450000}"/>
    <cellStyle name="Normal 15 3 3 2 3 3 2 3" xfId="51490" xr:uid="{00000000-0005-0000-0000-0000CF450000}"/>
    <cellStyle name="Normal 15 3 3 2 3 3 3" xfId="12405" xr:uid="{00000000-0005-0000-0000-0000D0450000}"/>
    <cellStyle name="Normal 15 3 3 2 3 3 3 2" xfId="51491" xr:uid="{00000000-0005-0000-0000-0000D1450000}"/>
    <cellStyle name="Normal 15 3 3 2 3 3 4" xfId="12406" xr:uid="{00000000-0005-0000-0000-0000D2450000}"/>
    <cellStyle name="Normal 15 3 3 2 3 3 5" xfId="12407" xr:uid="{00000000-0005-0000-0000-0000D3450000}"/>
    <cellStyle name="Normal 15 3 3 2 3 3 6" xfId="12408" xr:uid="{00000000-0005-0000-0000-0000D4450000}"/>
    <cellStyle name="Normal 15 3 3 2 3 4" xfId="12409" xr:uid="{00000000-0005-0000-0000-0000D5450000}"/>
    <cellStyle name="Normal 15 3 3 2 3 4 2" xfId="51492" xr:uid="{00000000-0005-0000-0000-0000D6450000}"/>
    <cellStyle name="Normal 15 3 3 2 3 4 3" xfId="51493" xr:uid="{00000000-0005-0000-0000-0000D7450000}"/>
    <cellStyle name="Normal 15 3 3 2 3 5" xfId="12410" xr:uid="{00000000-0005-0000-0000-0000D8450000}"/>
    <cellStyle name="Normal 15 3 3 2 3 5 2" xfId="51494" xr:uid="{00000000-0005-0000-0000-0000D9450000}"/>
    <cellStyle name="Normal 15 3 3 2 3 6" xfId="12411" xr:uid="{00000000-0005-0000-0000-0000DA450000}"/>
    <cellStyle name="Normal 15 3 3 2 3 7" xfId="12412" xr:uid="{00000000-0005-0000-0000-0000DB450000}"/>
    <cellStyle name="Normal 15 3 3 2 3 8" xfId="12413" xr:uid="{00000000-0005-0000-0000-0000DC450000}"/>
    <cellStyle name="Normal 15 3 3 2 4" xfId="12414" xr:uid="{00000000-0005-0000-0000-0000DD450000}"/>
    <cellStyle name="Normal 15 3 3 2 4 2" xfId="12415" xr:uid="{00000000-0005-0000-0000-0000DE450000}"/>
    <cellStyle name="Normal 15 3 3 2 4 2 2" xfId="12416" xr:uid="{00000000-0005-0000-0000-0000DF450000}"/>
    <cellStyle name="Normal 15 3 3 2 4 2 2 2" xfId="51495" xr:uid="{00000000-0005-0000-0000-0000E0450000}"/>
    <cellStyle name="Normal 15 3 3 2 4 2 2 3" xfId="51496" xr:uid="{00000000-0005-0000-0000-0000E1450000}"/>
    <cellStyle name="Normal 15 3 3 2 4 2 3" xfId="12417" xr:uid="{00000000-0005-0000-0000-0000E2450000}"/>
    <cellStyle name="Normal 15 3 3 2 4 2 3 2" xfId="51497" xr:uid="{00000000-0005-0000-0000-0000E3450000}"/>
    <cellStyle name="Normal 15 3 3 2 4 2 4" xfId="12418" xr:uid="{00000000-0005-0000-0000-0000E4450000}"/>
    <cellStyle name="Normal 15 3 3 2 4 2 5" xfId="12419" xr:uid="{00000000-0005-0000-0000-0000E5450000}"/>
    <cellStyle name="Normal 15 3 3 2 4 2 6" xfId="12420" xr:uid="{00000000-0005-0000-0000-0000E6450000}"/>
    <cellStyle name="Normal 15 3 3 2 4 3" xfId="12421" xr:uid="{00000000-0005-0000-0000-0000E7450000}"/>
    <cellStyle name="Normal 15 3 3 2 4 3 2" xfId="51498" xr:uid="{00000000-0005-0000-0000-0000E8450000}"/>
    <cellStyle name="Normal 15 3 3 2 4 3 3" xfId="51499" xr:uid="{00000000-0005-0000-0000-0000E9450000}"/>
    <cellStyle name="Normal 15 3 3 2 4 4" xfId="12422" xr:uid="{00000000-0005-0000-0000-0000EA450000}"/>
    <cellStyle name="Normal 15 3 3 2 4 4 2" xfId="51500" xr:uid="{00000000-0005-0000-0000-0000EB450000}"/>
    <cellStyle name="Normal 15 3 3 2 4 5" xfId="12423" xr:uid="{00000000-0005-0000-0000-0000EC450000}"/>
    <cellStyle name="Normal 15 3 3 2 4 6" xfId="12424" xr:uid="{00000000-0005-0000-0000-0000ED450000}"/>
    <cellStyle name="Normal 15 3 3 2 4 7" xfId="12425" xr:uid="{00000000-0005-0000-0000-0000EE450000}"/>
    <cellStyle name="Normal 15 3 3 2 5" xfId="12426" xr:uid="{00000000-0005-0000-0000-0000EF450000}"/>
    <cellStyle name="Normal 15 3 3 2 5 2" xfId="12427" xr:uid="{00000000-0005-0000-0000-0000F0450000}"/>
    <cellStyle name="Normal 15 3 3 2 5 2 2" xfId="51501" xr:uid="{00000000-0005-0000-0000-0000F1450000}"/>
    <cellStyle name="Normal 15 3 3 2 5 2 3" xfId="51502" xr:uid="{00000000-0005-0000-0000-0000F2450000}"/>
    <cellStyle name="Normal 15 3 3 2 5 3" xfId="12428" xr:uid="{00000000-0005-0000-0000-0000F3450000}"/>
    <cellStyle name="Normal 15 3 3 2 5 3 2" xfId="51503" xr:uid="{00000000-0005-0000-0000-0000F4450000}"/>
    <cellStyle name="Normal 15 3 3 2 5 4" xfId="12429" xr:uid="{00000000-0005-0000-0000-0000F5450000}"/>
    <cellStyle name="Normal 15 3 3 2 5 5" xfId="12430" xr:uid="{00000000-0005-0000-0000-0000F6450000}"/>
    <cellStyle name="Normal 15 3 3 2 5 6" xfId="12431" xr:uid="{00000000-0005-0000-0000-0000F7450000}"/>
    <cellStyle name="Normal 15 3 3 2 6" xfId="12432" xr:uid="{00000000-0005-0000-0000-0000F8450000}"/>
    <cellStyle name="Normal 15 3 3 2 6 2" xfId="51504" xr:uid="{00000000-0005-0000-0000-0000F9450000}"/>
    <cellStyle name="Normal 15 3 3 2 6 3" xfId="51505" xr:uid="{00000000-0005-0000-0000-0000FA450000}"/>
    <cellStyle name="Normal 15 3 3 2 7" xfId="12433" xr:uid="{00000000-0005-0000-0000-0000FB450000}"/>
    <cellStyle name="Normal 15 3 3 2 7 2" xfId="51506" xr:uid="{00000000-0005-0000-0000-0000FC450000}"/>
    <cellStyle name="Normal 15 3 3 2 8" xfId="12434" xr:uid="{00000000-0005-0000-0000-0000FD450000}"/>
    <cellStyle name="Normal 15 3 3 2 9" xfId="12435" xr:uid="{00000000-0005-0000-0000-0000FE450000}"/>
    <cellStyle name="Normal 15 3 3 3" xfId="12436" xr:uid="{00000000-0005-0000-0000-0000FF450000}"/>
    <cellStyle name="Normal 15 3 3 3 2" xfId="12437" xr:uid="{00000000-0005-0000-0000-000000460000}"/>
    <cellStyle name="Normal 15 3 3 3 2 2" xfId="12438" xr:uid="{00000000-0005-0000-0000-000001460000}"/>
    <cellStyle name="Normal 15 3 3 3 2 2 2" xfId="12439" xr:uid="{00000000-0005-0000-0000-000002460000}"/>
    <cellStyle name="Normal 15 3 3 3 2 2 2 2" xfId="51507" xr:uid="{00000000-0005-0000-0000-000003460000}"/>
    <cellStyle name="Normal 15 3 3 3 2 2 2 3" xfId="51508" xr:uid="{00000000-0005-0000-0000-000004460000}"/>
    <cellStyle name="Normal 15 3 3 3 2 2 3" xfId="12440" xr:uid="{00000000-0005-0000-0000-000005460000}"/>
    <cellStyle name="Normal 15 3 3 3 2 2 3 2" xfId="51509" xr:uid="{00000000-0005-0000-0000-000006460000}"/>
    <cellStyle name="Normal 15 3 3 3 2 2 4" xfId="12441" xr:uid="{00000000-0005-0000-0000-000007460000}"/>
    <cellStyle name="Normal 15 3 3 3 2 2 5" xfId="12442" xr:uid="{00000000-0005-0000-0000-000008460000}"/>
    <cellStyle name="Normal 15 3 3 3 2 2 6" xfId="12443" xr:uid="{00000000-0005-0000-0000-000009460000}"/>
    <cellStyle name="Normal 15 3 3 3 2 3" xfId="12444" xr:uid="{00000000-0005-0000-0000-00000A460000}"/>
    <cellStyle name="Normal 15 3 3 3 2 3 2" xfId="51510" xr:uid="{00000000-0005-0000-0000-00000B460000}"/>
    <cellStyle name="Normal 15 3 3 3 2 3 3" xfId="51511" xr:uid="{00000000-0005-0000-0000-00000C460000}"/>
    <cellStyle name="Normal 15 3 3 3 2 4" xfId="12445" xr:uid="{00000000-0005-0000-0000-00000D460000}"/>
    <cellStyle name="Normal 15 3 3 3 2 4 2" xfId="51512" xr:uid="{00000000-0005-0000-0000-00000E460000}"/>
    <cellStyle name="Normal 15 3 3 3 2 5" xfId="12446" xr:uid="{00000000-0005-0000-0000-00000F460000}"/>
    <cellStyle name="Normal 15 3 3 3 2 6" xfId="12447" xr:uid="{00000000-0005-0000-0000-000010460000}"/>
    <cellStyle name="Normal 15 3 3 3 2 7" xfId="12448" xr:uid="{00000000-0005-0000-0000-000011460000}"/>
    <cellStyle name="Normal 15 3 3 3 3" xfId="12449" xr:uid="{00000000-0005-0000-0000-000012460000}"/>
    <cellStyle name="Normal 15 3 3 3 3 2" xfId="12450" xr:uid="{00000000-0005-0000-0000-000013460000}"/>
    <cellStyle name="Normal 15 3 3 3 3 2 2" xfId="51513" xr:uid="{00000000-0005-0000-0000-000014460000}"/>
    <cellStyle name="Normal 15 3 3 3 3 2 3" xfId="51514" xr:uid="{00000000-0005-0000-0000-000015460000}"/>
    <cellStyle name="Normal 15 3 3 3 3 3" xfId="12451" xr:uid="{00000000-0005-0000-0000-000016460000}"/>
    <cellStyle name="Normal 15 3 3 3 3 3 2" xfId="51515" xr:uid="{00000000-0005-0000-0000-000017460000}"/>
    <cellStyle name="Normal 15 3 3 3 3 4" xfId="12452" xr:uid="{00000000-0005-0000-0000-000018460000}"/>
    <cellStyle name="Normal 15 3 3 3 3 5" xfId="12453" xr:uid="{00000000-0005-0000-0000-000019460000}"/>
    <cellStyle name="Normal 15 3 3 3 3 6" xfId="12454" xr:uid="{00000000-0005-0000-0000-00001A460000}"/>
    <cellStyle name="Normal 15 3 3 3 4" xfId="12455" xr:uid="{00000000-0005-0000-0000-00001B460000}"/>
    <cellStyle name="Normal 15 3 3 3 4 2" xfId="51516" xr:uid="{00000000-0005-0000-0000-00001C460000}"/>
    <cellStyle name="Normal 15 3 3 3 4 3" xfId="51517" xr:uid="{00000000-0005-0000-0000-00001D460000}"/>
    <cellStyle name="Normal 15 3 3 3 5" xfId="12456" xr:uid="{00000000-0005-0000-0000-00001E460000}"/>
    <cellStyle name="Normal 15 3 3 3 5 2" xfId="51518" xr:uid="{00000000-0005-0000-0000-00001F460000}"/>
    <cellStyle name="Normal 15 3 3 3 6" xfId="12457" xr:uid="{00000000-0005-0000-0000-000020460000}"/>
    <cellStyle name="Normal 15 3 3 3 7" xfId="12458" xr:uid="{00000000-0005-0000-0000-000021460000}"/>
    <cellStyle name="Normal 15 3 3 3 8" xfId="12459" xr:uid="{00000000-0005-0000-0000-000022460000}"/>
    <cellStyle name="Normal 15 3 3 3 9" xfId="12460" xr:uid="{00000000-0005-0000-0000-000023460000}"/>
    <cellStyle name="Normal 15 3 3 4" xfId="12461" xr:uid="{00000000-0005-0000-0000-000024460000}"/>
    <cellStyle name="Normal 15 3 3 4 2" xfId="12462" xr:uid="{00000000-0005-0000-0000-000025460000}"/>
    <cellStyle name="Normal 15 3 3 4 2 2" xfId="12463" xr:uid="{00000000-0005-0000-0000-000026460000}"/>
    <cellStyle name="Normal 15 3 3 4 2 2 2" xfId="12464" xr:uid="{00000000-0005-0000-0000-000027460000}"/>
    <cellStyle name="Normal 15 3 3 4 2 2 2 2" xfId="51519" xr:uid="{00000000-0005-0000-0000-000028460000}"/>
    <cellStyle name="Normal 15 3 3 4 2 2 2 3" xfId="51520" xr:uid="{00000000-0005-0000-0000-000029460000}"/>
    <cellStyle name="Normal 15 3 3 4 2 2 3" xfId="12465" xr:uid="{00000000-0005-0000-0000-00002A460000}"/>
    <cellStyle name="Normal 15 3 3 4 2 2 3 2" xfId="51521" xr:uid="{00000000-0005-0000-0000-00002B460000}"/>
    <cellStyle name="Normal 15 3 3 4 2 2 4" xfId="12466" xr:uid="{00000000-0005-0000-0000-00002C460000}"/>
    <cellStyle name="Normal 15 3 3 4 2 2 5" xfId="12467" xr:uid="{00000000-0005-0000-0000-00002D460000}"/>
    <cellStyle name="Normal 15 3 3 4 2 2 6" xfId="12468" xr:uid="{00000000-0005-0000-0000-00002E460000}"/>
    <cellStyle name="Normal 15 3 3 4 2 3" xfId="12469" xr:uid="{00000000-0005-0000-0000-00002F460000}"/>
    <cellStyle name="Normal 15 3 3 4 2 3 2" xfId="51522" xr:uid="{00000000-0005-0000-0000-000030460000}"/>
    <cellStyle name="Normal 15 3 3 4 2 3 3" xfId="51523" xr:uid="{00000000-0005-0000-0000-000031460000}"/>
    <cellStyle name="Normal 15 3 3 4 2 4" xfId="12470" xr:uid="{00000000-0005-0000-0000-000032460000}"/>
    <cellStyle name="Normal 15 3 3 4 2 4 2" xfId="51524" xr:uid="{00000000-0005-0000-0000-000033460000}"/>
    <cellStyle name="Normal 15 3 3 4 2 5" xfId="12471" xr:uid="{00000000-0005-0000-0000-000034460000}"/>
    <cellStyle name="Normal 15 3 3 4 2 6" xfId="12472" xr:uid="{00000000-0005-0000-0000-000035460000}"/>
    <cellStyle name="Normal 15 3 3 4 2 7" xfId="12473" xr:uid="{00000000-0005-0000-0000-000036460000}"/>
    <cellStyle name="Normal 15 3 3 4 3" xfId="12474" xr:uid="{00000000-0005-0000-0000-000037460000}"/>
    <cellStyle name="Normal 15 3 3 4 3 2" xfId="12475" xr:uid="{00000000-0005-0000-0000-000038460000}"/>
    <cellStyle name="Normal 15 3 3 4 3 2 2" xfId="51525" xr:uid="{00000000-0005-0000-0000-000039460000}"/>
    <cellStyle name="Normal 15 3 3 4 3 2 3" xfId="51526" xr:uid="{00000000-0005-0000-0000-00003A460000}"/>
    <cellStyle name="Normal 15 3 3 4 3 3" xfId="12476" xr:uid="{00000000-0005-0000-0000-00003B460000}"/>
    <cellStyle name="Normal 15 3 3 4 3 3 2" xfId="51527" xr:uid="{00000000-0005-0000-0000-00003C460000}"/>
    <cellStyle name="Normal 15 3 3 4 3 4" xfId="12477" xr:uid="{00000000-0005-0000-0000-00003D460000}"/>
    <cellStyle name="Normal 15 3 3 4 3 5" xfId="12478" xr:uid="{00000000-0005-0000-0000-00003E460000}"/>
    <cellStyle name="Normal 15 3 3 4 3 6" xfId="12479" xr:uid="{00000000-0005-0000-0000-00003F460000}"/>
    <cellStyle name="Normal 15 3 3 4 4" xfId="12480" xr:uid="{00000000-0005-0000-0000-000040460000}"/>
    <cellStyle name="Normal 15 3 3 4 4 2" xfId="51528" xr:uid="{00000000-0005-0000-0000-000041460000}"/>
    <cellStyle name="Normal 15 3 3 4 4 3" xfId="51529" xr:uid="{00000000-0005-0000-0000-000042460000}"/>
    <cellStyle name="Normal 15 3 3 4 5" xfId="12481" xr:uid="{00000000-0005-0000-0000-000043460000}"/>
    <cellStyle name="Normal 15 3 3 4 5 2" xfId="51530" xr:uid="{00000000-0005-0000-0000-000044460000}"/>
    <cellStyle name="Normal 15 3 3 4 6" xfId="12482" xr:uid="{00000000-0005-0000-0000-000045460000}"/>
    <cellStyle name="Normal 15 3 3 4 7" xfId="12483" xr:uid="{00000000-0005-0000-0000-000046460000}"/>
    <cellStyle name="Normal 15 3 3 4 8" xfId="12484" xr:uid="{00000000-0005-0000-0000-000047460000}"/>
    <cellStyle name="Normal 15 3 3 5" xfId="12485" xr:uid="{00000000-0005-0000-0000-000048460000}"/>
    <cellStyle name="Normal 15 3 3 5 2" xfId="12486" xr:uid="{00000000-0005-0000-0000-000049460000}"/>
    <cellStyle name="Normal 15 3 3 5 2 2" xfId="12487" xr:uid="{00000000-0005-0000-0000-00004A460000}"/>
    <cellStyle name="Normal 15 3 3 5 2 2 2" xfId="51531" xr:uid="{00000000-0005-0000-0000-00004B460000}"/>
    <cellStyle name="Normal 15 3 3 5 2 2 3" xfId="51532" xr:uid="{00000000-0005-0000-0000-00004C460000}"/>
    <cellStyle name="Normal 15 3 3 5 2 3" xfId="12488" xr:uid="{00000000-0005-0000-0000-00004D460000}"/>
    <cellStyle name="Normal 15 3 3 5 2 3 2" xfId="51533" xr:uid="{00000000-0005-0000-0000-00004E460000}"/>
    <cellStyle name="Normal 15 3 3 5 2 4" xfId="12489" xr:uid="{00000000-0005-0000-0000-00004F460000}"/>
    <cellStyle name="Normal 15 3 3 5 2 5" xfId="12490" xr:uid="{00000000-0005-0000-0000-000050460000}"/>
    <cellStyle name="Normal 15 3 3 5 2 6" xfId="12491" xr:uid="{00000000-0005-0000-0000-000051460000}"/>
    <cellStyle name="Normal 15 3 3 5 3" xfId="12492" xr:uid="{00000000-0005-0000-0000-000052460000}"/>
    <cellStyle name="Normal 15 3 3 5 3 2" xfId="51534" xr:uid="{00000000-0005-0000-0000-000053460000}"/>
    <cellStyle name="Normal 15 3 3 5 3 3" xfId="51535" xr:uid="{00000000-0005-0000-0000-000054460000}"/>
    <cellStyle name="Normal 15 3 3 5 4" xfId="12493" xr:uid="{00000000-0005-0000-0000-000055460000}"/>
    <cellStyle name="Normal 15 3 3 5 4 2" xfId="51536" xr:uid="{00000000-0005-0000-0000-000056460000}"/>
    <cellStyle name="Normal 15 3 3 5 5" xfId="12494" xr:uid="{00000000-0005-0000-0000-000057460000}"/>
    <cellStyle name="Normal 15 3 3 5 6" xfId="12495" xr:uid="{00000000-0005-0000-0000-000058460000}"/>
    <cellStyle name="Normal 15 3 3 5 7" xfId="12496" xr:uid="{00000000-0005-0000-0000-000059460000}"/>
    <cellStyle name="Normal 15 3 3 6" xfId="12497" xr:uid="{00000000-0005-0000-0000-00005A460000}"/>
    <cellStyle name="Normal 15 3 3 6 2" xfId="12498" xr:uid="{00000000-0005-0000-0000-00005B460000}"/>
    <cellStyle name="Normal 15 3 3 6 2 2" xfId="51537" xr:uid="{00000000-0005-0000-0000-00005C460000}"/>
    <cellStyle name="Normal 15 3 3 6 2 3" xfId="51538" xr:uid="{00000000-0005-0000-0000-00005D460000}"/>
    <cellStyle name="Normal 15 3 3 6 3" xfId="12499" xr:uid="{00000000-0005-0000-0000-00005E460000}"/>
    <cellStyle name="Normal 15 3 3 6 3 2" xfId="51539" xr:uid="{00000000-0005-0000-0000-00005F460000}"/>
    <cellStyle name="Normal 15 3 3 6 4" xfId="12500" xr:uid="{00000000-0005-0000-0000-000060460000}"/>
    <cellStyle name="Normal 15 3 3 6 5" xfId="12501" xr:uid="{00000000-0005-0000-0000-000061460000}"/>
    <cellStyle name="Normal 15 3 3 6 6" xfId="12502" xr:uid="{00000000-0005-0000-0000-000062460000}"/>
    <cellStyle name="Normal 15 3 3 7" xfId="12503" xr:uid="{00000000-0005-0000-0000-000063460000}"/>
    <cellStyle name="Normal 15 3 3 7 2" xfId="51540" xr:uid="{00000000-0005-0000-0000-000064460000}"/>
    <cellStyle name="Normal 15 3 3 7 3" xfId="51541" xr:uid="{00000000-0005-0000-0000-000065460000}"/>
    <cellStyle name="Normal 15 3 3 8" xfId="12504" xr:uid="{00000000-0005-0000-0000-000066460000}"/>
    <cellStyle name="Normal 15 3 3 8 2" xfId="51542" xr:uid="{00000000-0005-0000-0000-000067460000}"/>
    <cellStyle name="Normal 15 3 3 9" xfId="12505" xr:uid="{00000000-0005-0000-0000-000068460000}"/>
    <cellStyle name="Normal 15 3 4" xfId="12506" xr:uid="{00000000-0005-0000-0000-000069460000}"/>
    <cellStyle name="Normal 15 3 4 10" xfId="12507" xr:uid="{00000000-0005-0000-0000-00006A460000}"/>
    <cellStyle name="Normal 15 3 4 11" xfId="12508" xr:uid="{00000000-0005-0000-0000-00006B460000}"/>
    <cellStyle name="Normal 15 3 4 12" xfId="12509" xr:uid="{00000000-0005-0000-0000-00006C460000}"/>
    <cellStyle name="Normal 15 3 4 13" xfId="12510" xr:uid="{00000000-0005-0000-0000-00006D460000}"/>
    <cellStyle name="Normal 15 3 4 14" xfId="12511" xr:uid="{00000000-0005-0000-0000-00006E460000}"/>
    <cellStyle name="Normal 15 3 4 2" xfId="12512" xr:uid="{00000000-0005-0000-0000-00006F460000}"/>
    <cellStyle name="Normal 15 3 4 2 2" xfId="12513" xr:uid="{00000000-0005-0000-0000-000070460000}"/>
    <cellStyle name="Normal 15 3 4 2 2 2" xfId="12514" xr:uid="{00000000-0005-0000-0000-000071460000}"/>
    <cellStyle name="Normal 15 3 4 2 2 2 2" xfId="12515" xr:uid="{00000000-0005-0000-0000-000072460000}"/>
    <cellStyle name="Normal 15 3 4 2 2 2 2 2" xfId="51543" xr:uid="{00000000-0005-0000-0000-000073460000}"/>
    <cellStyle name="Normal 15 3 4 2 2 2 2 3" xfId="51544" xr:uid="{00000000-0005-0000-0000-000074460000}"/>
    <cellStyle name="Normal 15 3 4 2 2 2 3" xfId="12516" xr:uid="{00000000-0005-0000-0000-000075460000}"/>
    <cellStyle name="Normal 15 3 4 2 2 2 3 2" xfId="51545" xr:uid="{00000000-0005-0000-0000-000076460000}"/>
    <cellStyle name="Normal 15 3 4 2 2 2 4" xfId="12517" xr:uid="{00000000-0005-0000-0000-000077460000}"/>
    <cellStyle name="Normal 15 3 4 2 2 2 5" xfId="12518" xr:uid="{00000000-0005-0000-0000-000078460000}"/>
    <cellStyle name="Normal 15 3 4 2 2 2 6" xfId="12519" xr:uid="{00000000-0005-0000-0000-000079460000}"/>
    <cellStyle name="Normal 15 3 4 2 2 3" xfId="12520" xr:uid="{00000000-0005-0000-0000-00007A460000}"/>
    <cellStyle name="Normal 15 3 4 2 2 3 2" xfId="51546" xr:uid="{00000000-0005-0000-0000-00007B460000}"/>
    <cellStyle name="Normal 15 3 4 2 2 3 3" xfId="51547" xr:uid="{00000000-0005-0000-0000-00007C460000}"/>
    <cellStyle name="Normal 15 3 4 2 2 4" xfId="12521" xr:uid="{00000000-0005-0000-0000-00007D460000}"/>
    <cellStyle name="Normal 15 3 4 2 2 4 2" xfId="51548" xr:uid="{00000000-0005-0000-0000-00007E460000}"/>
    <cellStyle name="Normal 15 3 4 2 2 5" xfId="12522" xr:uid="{00000000-0005-0000-0000-00007F460000}"/>
    <cellStyle name="Normal 15 3 4 2 2 6" xfId="12523" xr:uid="{00000000-0005-0000-0000-000080460000}"/>
    <cellStyle name="Normal 15 3 4 2 2 7" xfId="12524" xr:uid="{00000000-0005-0000-0000-000081460000}"/>
    <cellStyle name="Normal 15 3 4 2 3" xfId="12525" xr:uid="{00000000-0005-0000-0000-000082460000}"/>
    <cellStyle name="Normal 15 3 4 2 3 2" xfId="12526" xr:uid="{00000000-0005-0000-0000-000083460000}"/>
    <cellStyle name="Normal 15 3 4 2 3 2 2" xfId="51549" xr:uid="{00000000-0005-0000-0000-000084460000}"/>
    <cellStyle name="Normal 15 3 4 2 3 2 3" xfId="51550" xr:uid="{00000000-0005-0000-0000-000085460000}"/>
    <cellStyle name="Normal 15 3 4 2 3 3" xfId="12527" xr:uid="{00000000-0005-0000-0000-000086460000}"/>
    <cellStyle name="Normal 15 3 4 2 3 3 2" xfId="51551" xr:uid="{00000000-0005-0000-0000-000087460000}"/>
    <cellStyle name="Normal 15 3 4 2 3 4" xfId="12528" xr:uid="{00000000-0005-0000-0000-000088460000}"/>
    <cellStyle name="Normal 15 3 4 2 3 5" xfId="12529" xr:uid="{00000000-0005-0000-0000-000089460000}"/>
    <cellStyle name="Normal 15 3 4 2 3 6" xfId="12530" xr:uid="{00000000-0005-0000-0000-00008A460000}"/>
    <cellStyle name="Normal 15 3 4 2 4" xfId="12531" xr:uid="{00000000-0005-0000-0000-00008B460000}"/>
    <cellStyle name="Normal 15 3 4 2 4 2" xfId="51552" xr:uid="{00000000-0005-0000-0000-00008C460000}"/>
    <cellStyle name="Normal 15 3 4 2 4 3" xfId="51553" xr:uid="{00000000-0005-0000-0000-00008D460000}"/>
    <cellStyle name="Normal 15 3 4 2 5" xfId="12532" xr:uid="{00000000-0005-0000-0000-00008E460000}"/>
    <cellStyle name="Normal 15 3 4 2 5 2" xfId="51554" xr:uid="{00000000-0005-0000-0000-00008F460000}"/>
    <cellStyle name="Normal 15 3 4 2 6" xfId="12533" xr:uid="{00000000-0005-0000-0000-000090460000}"/>
    <cellStyle name="Normal 15 3 4 2 7" xfId="12534" xr:uid="{00000000-0005-0000-0000-000091460000}"/>
    <cellStyle name="Normal 15 3 4 2 8" xfId="12535" xr:uid="{00000000-0005-0000-0000-000092460000}"/>
    <cellStyle name="Normal 15 3 4 2 9" xfId="12536" xr:uid="{00000000-0005-0000-0000-000093460000}"/>
    <cellStyle name="Normal 15 3 4 3" xfId="12537" xr:uid="{00000000-0005-0000-0000-000094460000}"/>
    <cellStyle name="Normal 15 3 4 3 2" xfId="12538" xr:uid="{00000000-0005-0000-0000-000095460000}"/>
    <cellStyle name="Normal 15 3 4 3 2 2" xfId="12539" xr:uid="{00000000-0005-0000-0000-000096460000}"/>
    <cellStyle name="Normal 15 3 4 3 2 2 2" xfId="12540" xr:uid="{00000000-0005-0000-0000-000097460000}"/>
    <cellStyle name="Normal 15 3 4 3 2 2 2 2" xfId="51555" xr:uid="{00000000-0005-0000-0000-000098460000}"/>
    <cellStyle name="Normal 15 3 4 3 2 2 2 3" xfId="51556" xr:uid="{00000000-0005-0000-0000-000099460000}"/>
    <cellStyle name="Normal 15 3 4 3 2 2 3" xfId="12541" xr:uid="{00000000-0005-0000-0000-00009A460000}"/>
    <cellStyle name="Normal 15 3 4 3 2 2 3 2" xfId="51557" xr:uid="{00000000-0005-0000-0000-00009B460000}"/>
    <cellStyle name="Normal 15 3 4 3 2 2 4" xfId="12542" xr:uid="{00000000-0005-0000-0000-00009C460000}"/>
    <cellStyle name="Normal 15 3 4 3 2 2 5" xfId="12543" xr:uid="{00000000-0005-0000-0000-00009D460000}"/>
    <cellStyle name="Normal 15 3 4 3 2 2 6" xfId="12544" xr:uid="{00000000-0005-0000-0000-00009E460000}"/>
    <cellStyle name="Normal 15 3 4 3 2 3" xfId="12545" xr:uid="{00000000-0005-0000-0000-00009F460000}"/>
    <cellStyle name="Normal 15 3 4 3 2 3 2" xfId="51558" xr:uid="{00000000-0005-0000-0000-0000A0460000}"/>
    <cellStyle name="Normal 15 3 4 3 2 3 3" xfId="51559" xr:uid="{00000000-0005-0000-0000-0000A1460000}"/>
    <cellStyle name="Normal 15 3 4 3 2 4" xfId="12546" xr:uid="{00000000-0005-0000-0000-0000A2460000}"/>
    <cellStyle name="Normal 15 3 4 3 2 4 2" xfId="51560" xr:uid="{00000000-0005-0000-0000-0000A3460000}"/>
    <cellStyle name="Normal 15 3 4 3 2 5" xfId="12547" xr:uid="{00000000-0005-0000-0000-0000A4460000}"/>
    <cellStyle name="Normal 15 3 4 3 2 6" xfId="12548" xr:uid="{00000000-0005-0000-0000-0000A5460000}"/>
    <cellStyle name="Normal 15 3 4 3 2 7" xfId="12549" xr:uid="{00000000-0005-0000-0000-0000A6460000}"/>
    <cellStyle name="Normal 15 3 4 3 3" xfId="12550" xr:uid="{00000000-0005-0000-0000-0000A7460000}"/>
    <cellStyle name="Normal 15 3 4 3 3 2" xfId="12551" xr:uid="{00000000-0005-0000-0000-0000A8460000}"/>
    <cellStyle name="Normal 15 3 4 3 3 2 2" xfId="51561" xr:uid="{00000000-0005-0000-0000-0000A9460000}"/>
    <cellStyle name="Normal 15 3 4 3 3 2 3" xfId="51562" xr:uid="{00000000-0005-0000-0000-0000AA460000}"/>
    <cellStyle name="Normal 15 3 4 3 3 3" xfId="12552" xr:uid="{00000000-0005-0000-0000-0000AB460000}"/>
    <cellStyle name="Normal 15 3 4 3 3 3 2" xfId="51563" xr:uid="{00000000-0005-0000-0000-0000AC460000}"/>
    <cellStyle name="Normal 15 3 4 3 3 4" xfId="12553" xr:uid="{00000000-0005-0000-0000-0000AD460000}"/>
    <cellStyle name="Normal 15 3 4 3 3 5" xfId="12554" xr:uid="{00000000-0005-0000-0000-0000AE460000}"/>
    <cellStyle name="Normal 15 3 4 3 3 6" xfId="12555" xr:uid="{00000000-0005-0000-0000-0000AF460000}"/>
    <cellStyle name="Normal 15 3 4 3 4" xfId="12556" xr:uid="{00000000-0005-0000-0000-0000B0460000}"/>
    <cellStyle name="Normal 15 3 4 3 4 2" xfId="51564" xr:uid="{00000000-0005-0000-0000-0000B1460000}"/>
    <cellStyle name="Normal 15 3 4 3 4 3" xfId="51565" xr:uid="{00000000-0005-0000-0000-0000B2460000}"/>
    <cellStyle name="Normal 15 3 4 3 5" xfId="12557" xr:uid="{00000000-0005-0000-0000-0000B3460000}"/>
    <cellStyle name="Normal 15 3 4 3 5 2" xfId="51566" xr:uid="{00000000-0005-0000-0000-0000B4460000}"/>
    <cellStyle name="Normal 15 3 4 3 6" xfId="12558" xr:uid="{00000000-0005-0000-0000-0000B5460000}"/>
    <cellStyle name="Normal 15 3 4 3 7" xfId="12559" xr:uid="{00000000-0005-0000-0000-0000B6460000}"/>
    <cellStyle name="Normal 15 3 4 3 8" xfId="12560" xr:uid="{00000000-0005-0000-0000-0000B7460000}"/>
    <cellStyle name="Normal 15 3 4 4" xfId="12561" xr:uid="{00000000-0005-0000-0000-0000B8460000}"/>
    <cellStyle name="Normal 15 3 4 4 2" xfId="12562" xr:uid="{00000000-0005-0000-0000-0000B9460000}"/>
    <cellStyle name="Normal 15 3 4 4 2 2" xfId="12563" xr:uid="{00000000-0005-0000-0000-0000BA460000}"/>
    <cellStyle name="Normal 15 3 4 4 2 2 2" xfId="51567" xr:uid="{00000000-0005-0000-0000-0000BB460000}"/>
    <cellStyle name="Normal 15 3 4 4 2 2 3" xfId="51568" xr:uid="{00000000-0005-0000-0000-0000BC460000}"/>
    <cellStyle name="Normal 15 3 4 4 2 3" xfId="12564" xr:uid="{00000000-0005-0000-0000-0000BD460000}"/>
    <cellStyle name="Normal 15 3 4 4 2 3 2" xfId="51569" xr:uid="{00000000-0005-0000-0000-0000BE460000}"/>
    <cellStyle name="Normal 15 3 4 4 2 4" xfId="12565" xr:uid="{00000000-0005-0000-0000-0000BF460000}"/>
    <cellStyle name="Normal 15 3 4 4 2 5" xfId="12566" xr:uid="{00000000-0005-0000-0000-0000C0460000}"/>
    <cellStyle name="Normal 15 3 4 4 2 6" xfId="12567" xr:uid="{00000000-0005-0000-0000-0000C1460000}"/>
    <cellStyle name="Normal 15 3 4 4 3" xfId="12568" xr:uid="{00000000-0005-0000-0000-0000C2460000}"/>
    <cellStyle name="Normal 15 3 4 4 3 2" xfId="51570" xr:uid="{00000000-0005-0000-0000-0000C3460000}"/>
    <cellStyle name="Normal 15 3 4 4 3 3" xfId="51571" xr:uid="{00000000-0005-0000-0000-0000C4460000}"/>
    <cellStyle name="Normal 15 3 4 4 4" xfId="12569" xr:uid="{00000000-0005-0000-0000-0000C5460000}"/>
    <cellStyle name="Normal 15 3 4 4 4 2" xfId="51572" xr:uid="{00000000-0005-0000-0000-0000C6460000}"/>
    <cellStyle name="Normal 15 3 4 4 5" xfId="12570" xr:uid="{00000000-0005-0000-0000-0000C7460000}"/>
    <cellStyle name="Normal 15 3 4 4 6" xfId="12571" xr:uid="{00000000-0005-0000-0000-0000C8460000}"/>
    <cellStyle name="Normal 15 3 4 4 7" xfId="12572" xr:uid="{00000000-0005-0000-0000-0000C9460000}"/>
    <cellStyle name="Normal 15 3 4 5" xfId="12573" xr:uid="{00000000-0005-0000-0000-0000CA460000}"/>
    <cellStyle name="Normal 15 3 4 5 2" xfId="12574" xr:uid="{00000000-0005-0000-0000-0000CB460000}"/>
    <cellStyle name="Normal 15 3 4 5 2 2" xfId="51573" xr:uid="{00000000-0005-0000-0000-0000CC460000}"/>
    <cellStyle name="Normal 15 3 4 5 2 3" xfId="51574" xr:uid="{00000000-0005-0000-0000-0000CD460000}"/>
    <cellStyle name="Normal 15 3 4 5 3" xfId="12575" xr:uid="{00000000-0005-0000-0000-0000CE460000}"/>
    <cellStyle name="Normal 15 3 4 5 3 2" xfId="51575" xr:uid="{00000000-0005-0000-0000-0000CF460000}"/>
    <cellStyle name="Normal 15 3 4 5 4" xfId="12576" xr:uid="{00000000-0005-0000-0000-0000D0460000}"/>
    <cellStyle name="Normal 15 3 4 5 5" xfId="12577" xr:uid="{00000000-0005-0000-0000-0000D1460000}"/>
    <cellStyle name="Normal 15 3 4 5 6" xfId="12578" xr:uid="{00000000-0005-0000-0000-0000D2460000}"/>
    <cellStyle name="Normal 15 3 4 6" xfId="12579" xr:uid="{00000000-0005-0000-0000-0000D3460000}"/>
    <cellStyle name="Normal 15 3 4 6 2" xfId="51576" xr:uid="{00000000-0005-0000-0000-0000D4460000}"/>
    <cellStyle name="Normal 15 3 4 6 3" xfId="51577" xr:uid="{00000000-0005-0000-0000-0000D5460000}"/>
    <cellStyle name="Normal 15 3 4 7" xfId="12580" xr:uid="{00000000-0005-0000-0000-0000D6460000}"/>
    <cellStyle name="Normal 15 3 4 7 2" xfId="51578" xr:uid="{00000000-0005-0000-0000-0000D7460000}"/>
    <cellStyle name="Normal 15 3 4 8" xfId="12581" xr:uid="{00000000-0005-0000-0000-0000D8460000}"/>
    <cellStyle name="Normal 15 3 4 9" xfId="12582" xr:uid="{00000000-0005-0000-0000-0000D9460000}"/>
    <cellStyle name="Normal 15 3 5" xfId="12583" xr:uid="{00000000-0005-0000-0000-0000DA460000}"/>
    <cellStyle name="Normal 15 3 5 10" xfId="12584" xr:uid="{00000000-0005-0000-0000-0000DB460000}"/>
    <cellStyle name="Normal 15 3 5 11" xfId="12585" xr:uid="{00000000-0005-0000-0000-0000DC460000}"/>
    <cellStyle name="Normal 15 3 5 12" xfId="12586" xr:uid="{00000000-0005-0000-0000-0000DD460000}"/>
    <cellStyle name="Normal 15 3 5 13" xfId="12587" xr:uid="{00000000-0005-0000-0000-0000DE460000}"/>
    <cellStyle name="Normal 15 3 5 14" xfId="12588" xr:uid="{00000000-0005-0000-0000-0000DF460000}"/>
    <cellStyle name="Normal 15 3 5 2" xfId="12589" xr:uid="{00000000-0005-0000-0000-0000E0460000}"/>
    <cellStyle name="Normal 15 3 5 2 2" xfId="12590" xr:uid="{00000000-0005-0000-0000-0000E1460000}"/>
    <cellStyle name="Normal 15 3 5 2 2 2" xfId="12591" xr:uid="{00000000-0005-0000-0000-0000E2460000}"/>
    <cellStyle name="Normal 15 3 5 2 2 2 2" xfId="12592" xr:uid="{00000000-0005-0000-0000-0000E3460000}"/>
    <cellStyle name="Normal 15 3 5 2 2 2 2 2" xfId="51579" xr:uid="{00000000-0005-0000-0000-0000E4460000}"/>
    <cellStyle name="Normal 15 3 5 2 2 2 2 3" xfId="51580" xr:uid="{00000000-0005-0000-0000-0000E5460000}"/>
    <cellStyle name="Normal 15 3 5 2 2 2 3" xfId="12593" xr:uid="{00000000-0005-0000-0000-0000E6460000}"/>
    <cellStyle name="Normal 15 3 5 2 2 2 3 2" xfId="51581" xr:uid="{00000000-0005-0000-0000-0000E7460000}"/>
    <cellStyle name="Normal 15 3 5 2 2 2 4" xfId="12594" xr:uid="{00000000-0005-0000-0000-0000E8460000}"/>
    <cellStyle name="Normal 15 3 5 2 2 2 5" xfId="12595" xr:uid="{00000000-0005-0000-0000-0000E9460000}"/>
    <cellStyle name="Normal 15 3 5 2 2 2 6" xfId="12596" xr:uid="{00000000-0005-0000-0000-0000EA460000}"/>
    <cellStyle name="Normal 15 3 5 2 2 3" xfId="12597" xr:uid="{00000000-0005-0000-0000-0000EB460000}"/>
    <cellStyle name="Normal 15 3 5 2 2 3 2" xfId="51582" xr:uid="{00000000-0005-0000-0000-0000EC460000}"/>
    <cellStyle name="Normal 15 3 5 2 2 3 3" xfId="51583" xr:uid="{00000000-0005-0000-0000-0000ED460000}"/>
    <cellStyle name="Normal 15 3 5 2 2 4" xfId="12598" xr:uid="{00000000-0005-0000-0000-0000EE460000}"/>
    <cellStyle name="Normal 15 3 5 2 2 4 2" xfId="51584" xr:uid="{00000000-0005-0000-0000-0000EF460000}"/>
    <cellStyle name="Normal 15 3 5 2 2 5" xfId="12599" xr:uid="{00000000-0005-0000-0000-0000F0460000}"/>
    <cellStyle name="Normal 15 3 5 2 2 6" xfId="12600" xr:uid="{00000000-0005-0000-0000-0000F1460000}"/>
    <cellStyle name="Normal 15 3 5 2 2 7" xfId="12601" xr:uid="{00000000-0005-0000-0000-0000F2460000}"/>
    <cellStyle name="Normal 15 3 5 2 3" xfId="12602" xr:uid="{00000000-0005-0000-0000-0000F3460000}"/>
    <cellStyle name="Normal 15 3 5 2 3 2" xfId="12603" xr:uid="{00000000-0005-0000-0000-0000F4460000}"/>
    <cellStyle name="Normal 15 3 5 2 3 2 2" xfId="51585" xr:uid="{00000000-0005-0000-0000-0000F5460000}"/>
    <cellStyle name="Normal 15 3 5 2 3 2 3" xfId="51586" xr:uid="{00000000-0005-0000-0000-0000F6460000}"/>
    <cellStyle name="Normal 15 3 5 2 3 3" xfId="12604" xr:uid="{00000000-0005-0000-0000-0000F7460000}"/>
    <cellStyle name="Normal 15 3 5 2 3 3 2" xfId="51587" xr:uid="{00000000-0005-0000-0000-0000F8460000}"/>
    <cellStyle name="Normal 15 3 5 2 3 4" xfId="12605" xr:uid="{00000000-0005-0000-0000-0000F9460000}"/>
    <cellStyle name="Normal 15 3 5 2 3 5" xfId="12606" xr:uid="{00000000-0005-0000-0000-0000FA460000}"/>
    <cellStyle name="Normal 15 3 5 2 3 6" xfId="12607" xr:uid="{00000000-0005-0000-0000-0000FB460000}"/>
    <cellStyle name="Normal 15 3 5 2 4" xfId="12608" xr:uid="{00000000-0005-0000-0000-0000FC460000}"/>
    <cellStyle name="Normal 15 3 5 2 4 2" xfId="51588" xr:uid="{00000000-0005-0000-0000-0000FD460000}"/>
    <cellStyle name="Normal 15 3 5 2 4 3" xfId="51589" xr:uid="{00000000-0005-0000-0000-0000FE460000}"/>
    <cellStyle name="Normal 15 3 5 2 5" xfId="12609" xr:uid="{00000000-0005-0000-0000-0000FF460000}"/>
    <cellStyle name="Normal 15 3 5 2 5 2" xfId="51590" xr:uid="{00000000-0005-0000-0000-000000470000}"/>
    <cellStyle name="Normal 15 3 5 2 6" xfId="12610" xr:uid="{00000000-0005-0000-0000-000001470000}"/>
    <cellStyle name="Normal 15 3 5 2 7" xfId="12611" xr:uid="{00000000-0005-0000-0000-000002470000}"/>
    <cellStyle name="Normal 15 3 5 2 8" xfId="12612" xr:uid="{00000000-0005-0000-0000-000003470000}"/>
    <cellStyle name="Normal 15 3 5 2 9" xfId="12613" xr:uid="{00000000-0005-0000-0000-000004470000}"/>
    <cellStyle name="Normal 15 3 5 3" xfId="12614" xr:uid="{00000000-0005-0000-0000-000005470000}"/>
    <cellStyle name="Normal 15 3 5 3 2" xfId="12615" xr:uid="{00000000-0005-0000-0000-000006470000}"/>
    <cellStyle name="Normal 15 3 5 3 2 2" xfId="12616" xr:uid="{00000000-0005-0000-0000-000007470000}"/>
    <cellStyle name="Normal 15 3 5 3 2 2 2" xfId="12617" xr:uid="{00000000-0005-0000-0000-000008470000}"/>
    <cellStyle name="Normal 15 3 5 3 2 2 2 2" xfId="51591" xr:uid="{00000000-0005-0000-0000-000009470000}"/>
    <cellStyle name="Normal 15 3 5 3 2 2 2 3" xfId="51592" xr:uid="{00000000-0005-0000-0000-00000A470000}"/>
    <cellStyle name="Normal 15 3 5 3 2 2 3" xfId="12618" xr:uid="{00000000-0005-0000-0000-00000B470000}"/>
    <cellStyle name="Normal 15 3 5 3 2 2 3 2" xfId="51593" xr:uid="{00000000-0005-0000-0000-00000C470000}"/>
    <cellStyle name="Normal 15 3 5 3 2 2 4" xfId="12619" xr:uid="{00000000-0005-0000-0000-00000D470000}"/>
    <cellStyle name="Normal 15 3 5 3 2 2 5" xfId="12620" xr:uid="{00000000-0005-0000-0000-00000E470000}"/>
    <cellStyle name="Normal 15 3 5 3 2 2 6" xfId="12621" xr:uid="{00000000-0005-0000-0000-00000F470000}"/>
    <cellStyle name="Normal 15 3 5 3 2 3" xfId="12622" xr:uid="{00000000-0005-0000-0000-000010470000}"/>
    <cellStyle name="Normal 15 3 5 3 2 3 2" xfId="51594" xr:uid="{00000000-0005-0000-0000-000011470000}"/>
    <cellStyle name="Normal 15 3 5 3 2 3 3" xfId="51595" xr:uid="{00000000-0005-0000-0000-000012470000}"/>
    <cellStyle name="Normal 15 3 5 3 2 4" xfId="12623" xr:uid="{00000000-0005-0000-0000-000013470000}"/>
    <cellStyle name="Normal 15 3 5 3 2 4 2" xfId="51596" xr:uid="{00000000-0005-0000-0000-000014470000}"/>
    <cellStyle name="Normal 15 3 5 3 2 5" xfId="12624" xr:uid="{00000000-0005-0000-0000-000015470000}"/>
    <cellStyle name="Normal 15 3 5 3 2 6" xfId="12625" xr:uid="{00000000-0005-0000-0000-000016470000}"/>
    <cellStyle name="Normal 15 3 5 3 2 7" xfId="12626" xr:uid="{00000000-0005-0000-0000-000017470000}"/>
    <cellStyle name="Normal 15 3 5 3 3" xfId="12627" xr:uid="{00000000-0005-0000-0000-000018470000}"/>
    <cellStyle name="Normal 15 3 5 3 3 2" xfId="12628" xr:uid="{00000000-0005-0000-0000-000019470000}"/>
    <cellStyle name="Normal 15 3 5 3 3 2 2" xfId="51597" xr:uid="{00000000-0005-0000-0000-00001A470000}"/>
    <cellStyle name="Normal 15 3 5 3 3 2 3" xfId="51598" xr:uid="{00000000-0005-0000-0000-00001B470000}"/>
    <cellStyle name="Normal 15 3 5 3 3 3" xfId="12629" xr:uid="{00000000-0005-0000-0000-00001C470000}"/>
    <cellStyle name="Normal 15 3 5 3 3 3 2" xfId="51599" xr:uid="{00000000-0005-0000-0000-00001D470000}"/>
    <cellStyle name="Normal 15 3 5 3 3 4" xfId="12630" xr:uid="{00000000-0005-0000-0000-00001E470000}"/>
    <cellStyle name="Normal 15 3 5 3 3 5" xfId="12631" xr:uid="{00000000-0005-0000-0000-00001F470000}"/>
    <cellStyle name="Normal 15 3 5 3 3 6" xfId="12632" xr:uid="{00000000-0005-0000-0000-000020470000}"/>
    <cellStyle name="Normal 15 3 5 3 4" xfId="12633" xr:uid="{00000000-0005-0000-0000-000021470000}"/>
    <cellStyle name="Normal 15 3 5 3 4 2" xfId="51600" xr:uid="{00000000-0005-0000-0000-000022470000}"/>
    <cellStyle name="Normal 15 3 5 3 4 3" xfId="51601" xr:uid="{00000000-0005-0000-0000-000023470000}"/>
    <cellStyle name="Normal 15 3 5 3 5" xfId="12634" xr:uid="{00000000-0005-0000-0000-000024470000}"/>
    <cellStyle name="Normal 15 3 5 3 5 2" xfId="51602" xr:uid="{00000000-0005-0000-0000-000025470000}"/>
    <cellStyle name="Normal 15 3 5 3 6" xfId="12635" xr:uid="{00000000-0005-0000-0000-000026470000}"/>
    <cellStyle name="Normal 15 3 5 3 7" xfId="12636" xr:uid="{00000000-0005-0000-0000-000027470000}"/>
    <cellStyle name="Normal 15 3 5 3 8" xfId="12637" xr:uid="{00000000-0005-0000-0000-000028470000}"/>
    <cellStyle name="Normal 15 3 5 4" xfId="12638" xr:uid="{00000000-0005-0000-0000-000029470000}"/>
    <cellStyle name="Normal 15 3 5 4 2" xfId="12639" xr:uid="{00000000-0005-0000-0000-00002A470000}"/>
    <cellStyle name="Normal 15 3 5 4 2 2" xfId="12640" xr:uid="{00000000-0005-0000-0000-00002B470000}"/>
    <cellStyle name="Normal 15 3 5 4 2 2 2" xfId="51603" xr:uid="{00000000-0005-0000-0000-00002C470000}"/>
    <cellStyle name="Normal 15 3 5 4 2 2 3" xfId="51604" xr:uid="{00000000-0005-0000-0000-00002D470000}"/>
    <cellStyle name="Normal 15 3 5 4 2 3" xfId="12641" xr:uid="{00000000-0005-0000-0000-00002E470000}"/>
    <cellStyle name="Normal 15 3 5 4 2 3 2" xfId="51605" xr:uid="{00000000-0005-0000-0000-00002F470000}"/>
    <cellStyle name="Normal 15 3 5 4 2 4" xfId="12642" xr:uid="{00000000-0005-0000-0000-000030470000}"/>
    <cellStyle name="Normal 15 3 5 4 2 5" xfId="12643" xr:uid="{00000000-0005-0000-0000-000031470000}"/>
    <cellStyle name="Normal 15 3 5 4 2 6" xfId="12644" xr:uid="{00000000-0005-0000-0000-000032470000}"/>
    <cellStyle name="Normal 15 3 5 4 3" xfId="12645" xr:uid="{00000000-0005-0000-0000-000033470000}"/>
    <cellStyle name="Normal 15 3 5 4 3 2" xfId="51606" xr:uid="{00000000-0005-0000-0000-000034470000}"/>
    <cellStyle name="Normal 15 3 5 4 3 3" xfId="51607" xr:uid="{00000000-0005-0000-0000-000035470000}"/>
    <cellStyle name="Normal 15 3 5 4 4" xfId="12646" xr:uid="{00000000-0005-0000-0000-000036470000}"/>
    <cellStyle name="Normal 15 3 5 4 4 2" xfId="51608" xr:uid="{00000000-0005-0000-0000-000037470000}"/>
    <cellStyle name="Normal 15 3 5 4 5" xfId="12647" xr:uid="{00000000-0005-0000-0000-000038470000}"/>
    <cellStyle name="Normal 15 3 5 4 6" xfId="12648" xr:uid="{00000000-0005-0000-0000-000039470000}"/>
    <cellStyle name="Normal 15 3 5 4 7" xfId="12649" xr:uid="{00000000-0005-0000-0000-00003A470000}"/>
    <cellStyle name="Normal 15 3 5 5" xfId="12650" xr:uid="{00000000-0005-0000-0000-00003B470000}"/>
    <cellStyle name="Normal 15 3 5 5 2" xfId="12651" xr:uid="{00000000-0005-0000-0000-00003C470000}"/>
    <cellStyle name="Normal 15 3 5 5 2 2" xfId="51609" xr:uid="{00000000-0005-0000-0000-00003D470000}"/>
    <cellStyle name="Normal 15 3 5 5 2 3" xfId="51610" xr:uid="{00000000-0005-0000-0000-00003E470000}"/>
    <cellStyle name="Normal 15 3 5 5 3" xfId="12652" xr:uid="{00000000-0005-0000-0000-00003F470000}"/>
    <cellStyle name="Normal 15 3 5 5 3 2" xfId="51611" xr:uid="{00000000-0005-0000-0000-000040470000}"/>
    <cellStyle name="Normal 15 3 5 5 4" xfId="12653" xr:uid="{00000000-0005-0000-0000-000041470000}"/>
    <cellStyle name="Normal 15 3 5 5 5" xfId="12654" xr:uid="{00000000-0005-0000-0000-000042470000}"/>
    <cellStyle name="Normal 15 3 5 5 6" xfId="12655" xr:uid="{00000000-0005-0000-0000-000043470000}"/>
    <cellStyle name="Normal 15 3 5 6" xfId="12656" xr:uid="{00000000-0005-0000-0000-000044470000}"/>
    <cellStyle name="Normal 15 3 5 6 2" xfId="51612" xr:uid="{00000000-0005-0000-0000-000045470000}"/>
    <cellStyle name="Normal 15 3 5 6 3" xfId="51613" xr:uid="{00000000-0005-0000-0000-000046470000}"/>
    <cellStyle name="Normal 15 3 5 7" xfId="12657" xr:uid="{00000000-0005-0000-0000-000047470000}"/>
    <cellStyle name="Normal 15 3 5 7 2" xfId="51614" xr:uid="{00000000-0005-0000-0000-000048470000}"/>
    <cellStyle name="Normal 15 3 5 8" xfId="12658" xr:uid="{00000000-0005-0000-0000-000049470000}"/>
    <cellStyle name="Normal 15 3 5 9" xfId="12659" xr:uid="{00000000-0005-0000-0000-00004A470000}"/>
    <cellStyle name="Normal 15 3 6" xfId="12660" xr:uid="{00000000-0005-0000-0000-00004B470000}"/>
    <cellStyle name="Normal 15 3 6 10" xfId="12661" xr:uid="{00000000-0005-0000-0000-00004C470000}"/>
    <cellStyle name="Normal 15 3 6 11" xfId="12662" xr:uid="{00000000-0005-0000-0000-00004D470000}"/>
    <cellStyle name="Normal 15 3 6 12" xfId="12663" xr:uid="{00000000-0005-0000-0000-00004E470000}"/>
    <cellStyle name="Normal 15 3 6 13" xfId="12664" xr:uid="{00000000-0005-0000-0000-00004F470000}"/>
    <cellStyle name="Normal 15 3 6 2" xfId="12665" xr:uid="{00000000-0005-0000-0000-000050470000}"/>
    <cellStyle name="Normal 15 3 6 2 2" xfId="12666" xr:uid="{00000000-0005-0000-0000-000051470000}"/>
    <cellStyle name="Normal 15 3 6 2 2 2" xfId="12667" xr:uid="{00000000-0005-0000-0000-000052470000}"/>
    <cellStyle name="Normal 15 3 6 2 2 2 2" xfId="12668" xr:uid="{00000000-0005-0000-0000-000053470000}"/>
    <cellStyle name="Normal 15 3 6 2 2 2 2 2" xfId="51615" xr:uid="{00000000-0005-0000-0000-000054470000}"/>
    <cellStyle name="Normal 15 3 6 2 2 2 2 3" xfId="51616" xr:uid="{00000000-0005-0000-0000-000055470000}"/>
    <cellStyle name="Normal 15 3 6 2 2 2 3" xfId="12669" xr:uid="{00000000-0005-0000-0000-000056470000}"/>
    <cellStyle name="Normal 15 3 6 2 2 2 3 2" xfId="51617" xr:uid="{00000000-0005-0000-0000-000057470000}"/>
    <cellStyle name="Normal 15 3 6 2 2 2 4" xfId="12670" xr:uid="{00000000-0005-0000-0000-000058470000}"/>
    <cellStyle name="Normal 15 3 6 2 2 2 5" xfId="12671" xr:uid="{00000000-0005-0000-0000-000059470000}"/>
    <cellStyle name="Normal 15 3 6 2 2 2 6" xfId="12672" xr:uid="{00000000-0005-0000-0000-00005A470000}"/>
    <cellStyle name="Normal 15 3 6 2 2 3" xfId="12673" xr:uid="{00000000-0005-0000-0000-00005B470000}"/>
    <cellStyle name="Normal 15 3 6 2 2 3 2" xfId="51618" xr:uid="{00000000-0005-0000-0000-00005C470000}"/>
    <cellStyle name="Normal 15 3 6 2 2 3 3" xfId="51619" xr:uid="{00000000-0005-0000-0000-00005D470000}"/>
    <cellStyle name="Normal 15 3 6 2 2 4" xfId="12674" xr:uid="{00000000-0005-0000-0000-00005E470000}"/>
    <cellStyle name="Normal 15 3 6 2 2 4 2" xfId="51620" xr:uid="{00000000-0005-0000-0000-00005F470000}"/>
    <cellStyle name="Normal 15 3 6 2 2 5" xfId="12675" xr:uid="{00000000-0005-0000-0000-000060470000}"/>
    <cellStyle name="Normal 15 3 6 2 2 6" xfId="12676" xr:uid="{00000000-0005-0000-0000-000061470000}"/>
    <cellStyle name="Normal 15 3 6 2 2 7" xfId="12677" xr:uid="{00000000-0005-0000-0000-000062470000}"/>
    <cellStyle name="Normal 15 3 6 2 3" xfId="12678" xr:uid="{00000000-0005-0000-0000-000063470000}"/>
    <cellStyle name="Normal 15 3 6 2 3 2" xfId="12679" xr:uid="{00000000-0005-0000-0000-000064470000}"/>
    <cellStyle name="Normal 15 3 6 2 3 2 2" xfId="51621" xr:uid="{00000000-0005-0000-0000-000065470000}"/>
    <cellStyle name="Normal 15 3 6 2 3 2 3" xfId="51622" xr:uid="{00000000-0005-0000-0000-000066470000}"/>
    <cellStyle name="Normal 15 3 6 2 3 3" xfId="12680" xr:uid="{00000000-0005-0000-0000-000067470000}"/>
    <cellStyle name="Normal 15 3 6 2 3 3 2" xfId="51623" xr:uid="{00000000-0005-0000-0000-000068470000}"/>
    <cellStyle name="Normal 15 3 6 2 3 4" xfId="12681" xr:uid="{00000000-0005-0000-0000-000069470000}"/>
    <cellStyle name="Normal 15 3 6 2 3 5" xfId="12682" xr:uid="{00000000-0005-0000-0000-00006A470000}"/>
    <cellStyle name="Normal 15 3 6 2 3 6" xfId="12683" xr:uid="{00000000-0005-0000-0000-00006B470000}"/>
    <cellStyle name="Normal 15 3 6 2 4" xfId="12684" xr:uid="{00000000-0005-0000-0000-00006C470000}"/>
    <cellStyle name="Normal 15 3 6 2 4 2" xfId="51624" xr:uid="{00000000-0005-0000-0000-00006D470000}"/>
    <cellStyle name="Normal 15 3 6 2 4 3" xfId="51625" xr:uid="{00000000-0005-0000-0000-00006E470000}"/>
    <cellStyle name="Normal 15 3 6 2 5" xfId="12685" xr:uid="{00000000-0005-0000-0000-00006F470000}"/>
    <cellStyle name="Normal 15 3 6 2 5 2" xfId="51626" xr:uid="{00000000-0005-0000-0000-000070470000}"/>
    <cellStyle name="Normal 15 3 6 2 6" xfId="12686" xr:uid="{00000000-0005-0000-0000-000071470000}"/>
    <cellStyle name="Normal 15 3 6 2 7" xfId="12687" xr:uid="{00000000-0005-0000-0000-000072470000}"/>
    <cellStyle name="Normal 15 3 6 2 8" xfId="12688" xr:uid="{00000000-0005-0000-0000-000073470000}"/>
    <cellStyle name="Normal 15 3 6 2 9" xfId="12689" xr:uid="{00000000-0005-0000-0000-000074470000}"/>
    <cellStyle name="Normal 15 3 6 3" xfId="12690" xr:uid="{00000000-0005-0000-0000-000075470000}"/>
    <cellStyle name="Normal 15 3 6 3 2" xfId="12691" xr:uid="{00000000-0005-0000-0000-000076470000}"/>
    <cellStyle name="Normal 15 3 6 3 2 2" xfId="12692" xr:uid="{00000000-0005-0000-0000-000077470000}"/>
    <cellStyle name="Normal 15 3 6 3 2 2 2" xfId="51627" xr:uid="{00000000-0005-0000-0000-000078470000}"/>
    <cellStyle name="Normal 15 3 6 3 2 2 3" xfId="51628" xr:uid="{00000000-0005-0000-0000-000079470000}"/>
    <cellStyle name="Normal 15 3 6 3 2 3" xfId="12693" xr:uid="{00000000-0005-0000-0000-00007A470000}"/>
    <cellStyle name="Normal 15 3 6 3 2 3 2" xfId="51629" xr:uid="{00000000-0005-0000-0000-00007B470000}"/>
    <cellStyle name="Normal 15 3 6 3 2 4" xfId="12694" xr:uid="{00000000-0005-0000-0000-00007C470000}"/>
    <cellStyle name="Normal 15 3 6 3 2 5" xfId="12695" xr:uid="{00000000-0005-0000-0000-00007D470000}"/>
    <cellStyle name="Normal 15 3 6 3 2 6" xfId="12696" xr:uid="{00000000-0005-0000-0000-00007E470000}"/>
    <cellStyle name="Normal 15 3 6 3 3" xfId="12697" xr:uid="{00000000-0005-0000-0000-00007F470000}"/>
    <cellStyle name="Normal 15 3 6 3 3 2" xfId="51630" xr:uid="{00000000-0005-0000-0000-000080470000}"/>
    <cellStyle name="Normal 15 3 6 3 3 3" xfId="51631" xr:uid="{00000000-0005-0000-0000-000081470000}"/>
    <cellStyle name="Normal 15 3 6 3 4" xfId="12698" xr:uid="{00000000-0005-0000-0000-000082470000}"/>
    <cellStyle name="Normal 15 3 6 3 4 2" xfId="51632" xr:uid="{00000000-0005-0000-0000-000083470000}"/>
    <cellStyle name="Normal 15 3 6 3 5" xfId="12699" xr:uid="{00000000-0005-0000-0000-000084470000}"/>
    <cellStyle name="Normal 15 3 6 3 6" xfId="12700" xr:uid="{00000000-0005-0000-0000-000085470000}"/>
    <cellStyle name="Normal 15 3 6 3 7" xfId="12701" xr:uid="{00000000-0005-0000-0000-000086470000}"/>
    <cellStyle name="Normal 15 3 6 4" xfId="12702" xr:uid="{00000000-0005-0000-0000-000087470000}"/>
    <cellStyle name="Normal 15 3 6 4 2" xfId="12703" xr:uid="{00000000-0005-0000-0000-000088470000}"/>
    <cellStyle name="Normal 15 3 6 4 2 2" xfId="51633" xr:uid="{00000000-0005-0000-0000-000089470000}"/>
    <cellStyle name="Normal 15 3 6 4 2 3" xfId="51634" xr:uid="{00000000-0005-0000-0000-00008A470000}"/>
    <cellStyle name="Normal 15 3 6 4 3" xfId="12704" xr:uid="{00000000-0005-0000-0000-00008B470000}"/>
    <cellStyle name="Normal 15 3 6 4 3 2" xfId="51635" xr:uid="{00000000-0005-0000-0000-00008C470000}"/>
    <cellStyle name="Normal 15 3 6 4 4" xfId="12705" xr:uid="{00000000-0005-0000-0000-00008D470000}"/>
    <cellStyle name="Normal 15 3 6 4 5" xfId="12706" xr:uid="{00000000-0005-0000-0000-00008E470000}"/>
    <cellStyle name="Normal 15 3 6 4 6" xfId="12707" xr:uid="{00000000-0005-0000-0000-00008F470000}"/>
    <cellStyle name="Normal 15 3 6 5" xfId="12708" xr:uid="{00000000-0005-0000-0000-000090470000}"/>
    <cellStyle name="Normal 15 3 6 5 2" xfId="51636" xr:uid="{00000000-0005-0000-0000-000091470000}"/>
    <cellStyle name="Normal 15 3 6 5 3" xfId="51637" xr:uid="{00000000-0005-0000-0000-000092470000}"/>
    <cellStyle name="Normal 15 3 6 6" xfId="12709" xr:uid="{00000000-0005-0000-0000-000093470000}"/>
    <cellStyle name="Normal 15 3 6 6 2" xfId="51638" xr:uid="{00000000-0005-0000-0000-000094470000}"/>
    <cellStyle name="Normal 15 3 6 7" xfId="12710" xr:uid="{00000000-0005-0000-0000-000095470000}"/>
    <cellStyle name="Normal 15 3 6 8" xfId="12711" xr:uid="{00000000-0005-0000-0000-000096470000}"/>
    <cellStyle name="Normal 15 3 6 9" xfId="12712" xr:uid="{00000000-0005-0000-0000-000097470000}"/>
    <cellStyle name="Normal 15 3 7" xfId="12713" xr:uid="{00000000-0005-0000-0000-000098470000}"/>
    <cellStyle name="Normal 15 3 7 2" xfId="12714" xr:uid="{00000000-0005-0000-0000-000099470000}"/>
    <cellStyle name="Normal 15 3 7 2 2" xfId="12715" xr:uid="{00000000-0005-0000-0000-00009A470000}"/>
    <cellStyle name="Normal 15 3 7 2 2 2" xfId="12716" xr:uid="{00000000-0005-0000-0000-00009B470000}"/>
    <cellStyle name="Normal 15 3 7 2 2 2 2" xfId="51639" xr:uid="{00000000-0005-0000-0000-00009C470000}"/>
    <cellStyle name="Normal 15 3 7 2 2 2 3" xfId="51640" xr:uid="{00000000-0005-0000-0000-00009D470000}"/>
    <cellStyle name="Normal 15 3 7 2 2 3" xfId="12717" xr:uid="{00000000-0005-0000-0000-00009E470000}"/>
    <cellStyle name="Normal 15 3 7 2 2 3 2" xfId="51641" xr:uid="{00000000-0005-0000-0000-00009F470000}"/>
    <cellStyle name="Normal 15 3 7 2 2 4" xfId="12718" xr:uid="{00000000-0005-0000-0000-0000A0470000}"/>
    <cellStyle name="Normal 15 3 7 2 2 5" xfId="12719" xr:uid="{00000000-0005-0000-0000-0000A1470000}"/>
    <cellStyle name="Normal 15 3 7 2 2 6" xfId="12720" xr:uid="{00000000-0005-0000-0000-0000A2470000}"/>
    <cellStyle name="Normal 15 3 7 2 3" xfId="12721" xr:uid="{00000000-0005-0000-0000-0000A3470000}"/>
    <cellStyle name="Normal 15 3 7 2 3 2" xfId="51642" xr:uid="{00000000-0005-0000-0000-0000A4470000}"/>
    <cellStyle name="Normal 15 3 7 2 3 3" xfId="51643" xr:uid="{00000000-0005-0000-0000-0000A5470000}"/>
    <cellStyle name="Normal 15 3 7 2 4" xfId="12722" xr:uid="{00000000-0005-0000-0000-0000A6470000}"/>
    <cellStyle name="Normal 15 3 7 2 4 2" xfId="51644" xr:uid="{00000000-0005-0000-0000-0000A7470000}"/>
    <cellStyle name="Normal 15 3 7 2 5" xfId="12723" xr:uid="{00000000-0005-0000-0000-0000A8470000}"/>
    <cellStyle name="Normal 15 3 7 2 6" xfId="12724" xr:uid="{00000000-0005-0000-0000-0000A9470000}"/>
    <cellStyle name="Normal 15 3 7 2 7" xfId="12725" xr:uid="{00000000-0005-0000-0000-0000AA470000}"/>
    <cellStyle name="Normal 15 3 7 3" xfId="12726" xr:uid="{00000000-0005-0000-0000-0000AB470000}"/>
    <cellStyle name="Normal 15 3 7 3 2" xfId="12727" xr:uid="{00000000-0005-0000-0000-0000AC470000}"/>
    <cellStyle name="Normal 15 3 7 3 2 2" xfId="51645" xr:uid="{00000000-0005-0000-0000-0000AD470000}"/>
    <cellStyle name="Normal 15 3 7 3 2 3" xfId="51646" xr:uid="{00000000-0005-0000-0000-0000AE470000}"/>
    <cellStyle name="Normal 15 3 7 3 3" xfId="12728" xr:uid="{00000000-0005-0000-0000-0000AF470000}"/>
    <cellStyle name="Normal 15 3 7 3 3 2" xfId="51647" xr:uid="{00000000-0005-0000-0000-0000B0470000}"/>
    <cellStyle name="Normal 15 3 7 3 4" xfId="12729" xr:uid="{00000000-0005-0000-0000-0000B1470000}"/>
    <cellStyle name="Normal 15 3 7 3 5" xfId="12730" xr:uid="{00000000-0005-0000-0000-0000B2470000}"/>
    <cellStyle name="Normal 15 3 7 3 6" xfId="12731" xr:uid="{00000000-0005-0000-0000-0000B3470000}"/>
    <cellStyle name="Normal 15 3 7 4" xfId="12732" xr:uid="{00000000-0005-0000-0000-0000B4470000}"/>
    <cellStyle name="Normal 15 3 7 4 2" xfId="51648" xr:uid="{00000000-0005-0000-0000-0000B5470000}"/>
    <cellStyle name="Normal 15 3 7 4 3" xfId="51649" xr:uid="{00000000-0005-0000-0000-0000B6470000}"/>
    <cellStyle name="Normal 15 3 7 5" xfId="12733" xr:uid="{00000000-0005-0000-0000-0000B7470000}"/>
    <cellStyle name="Normal 15 3 7 5 2" xfId="51650" xr:uid="{00000000-0005-0000-0000-0000B8470000}"/>
    <cellStyle name="Normal 15 3 7 6" xfId="12734" xr:uid="{00000000-0005-0000-0000-0000B9470000}"/>
    <cellStyle name="Normal 15 3 7 7" xfId="12735" xr:uid="{00000000-0005-0000-0000-0000BA470000}"/>
    <cellStyle name="Normal 15 3 7 8" xfId="12736" xr:uid="{00000000-0005-0000-0000-0000BB470000}"/>
    <cellStyle name="Normal 15 3 7 9" xfId="12737" xr:uid="{00000000-0005-0000-0000-0000BC470000}"/>
    <cellStyle name="Normal 15 3 8" xfId="12738" xr:uid="{00000000-0005-0000-0000-0000BD470000}"/>
    <cellStyle name="Normal 15 3 8 2" xfId="12739" xr:uid="{00000000-0005-0000-0000-0000BE470000}"/>
    <cellStyle name="Normal 15 3 8 2 2" xfId="12740" xr:uid="{00000000-0005-0000-0000-0000BF470000}"/>
    <cellStyle name="Normal 15 3 8 2 2 2" xfId="12741" xr:uid="{00000000-0005-0000-0000-0000C0470000}"/>
    <cellStyle name="Normal 15 3 8 2 2 2 2" xfId="51651" xr:uid="{00000000-0005-0000-0000-0000C1470000}"/>
    <cellStyle name="Normal 15 3 8 2 2 2 3" xfId="51652" xr:uid="{00000000-0005-0000-0000-0000C2470000}"/>
    <cellStyle name="Normal 15 3 8 2 2 3" xfId="12742" xr:uid="{00000000-0005-0000-0000-0000C3470000}"/>
    <cellStyle name="Normal 15 3 8 2 2 3 2" xfId="51653" xr:uid="{00000000-0005-0000-0000-0000C4470000}"/>
    <cellStyle name="Normal 15 3 8 2 2 4" xfId="12743" xr:uid="{00000000-0005-0000-0000-0000C5470000}"/>
    <cellStyle name="Normal 15 3 8 2 2 5" xfId="12744" xr:uid="{00000000-0005-0000-0000-0000C6470000}"/>
    <cellStyle name="Normal 15 3 8 2 2 6" xfId="12745" xr:uid="{00000000-0005-0000-0000-0000C7470000}"/>
    <cellStyle name="Normal 15 3 8 2 3" xfId="12746" xr:uid="{00000000-0005-0000-0000-0000C8470000}"/>
    <cellStyle name="Normal 15 3 8 2 3 2" xfId="51654" xr:uid="{00000000-0005-0000-0000-0000C9470000}"/>
    <cellStyle name="Normal 15 3 8 2 3 3" xfId="51655" xr:uid="{00000000-0005-0000-0000-0000CA470000}"/>
    <cellStyle name="Normal 15 3 8 2 4" xfId="12747" xr:uid="{00000000-0005-0000-0000-0000CB470000}"/>
    <cellStyle name="Normal 15 3 8 2 4 2" xfId="51656" xr:uid="{00000000-0005-0000-0000-0000CC470000}"/>
    <cellStyle name="Normal 15 3 8 2 5" xfId="12748" xr:uid="{00000000-0005-0000-0000-0000CD470000}"/>
    <cellStyle name="Normal 15 3 8 2 6" xfId="12749" xr:uid="{00000000-0005-0000-0000-0000CE470000}"/>
    <cellStyle name="Normal 15 3 8 2 7" xfId="12750" xr:uid="{00000000-0005-0000-0000-0000CF470000}"/>
    <cellStyle name="Normal 15 3 8 3" xfId="12751" xr:uid="{00000000-0005-0000-0000-0000D0470000}"/>
    <cellStyle name="Normal 15 3 8 3 2" xfId="12752" xr:uid="{00000000-0005-0000-0000-0000D1470000}"/>
    <cellStyle name="Normal 15 3 8 3 2 2" xfId="51657" xr:uid="{00000000-0005-0000-0000-0000D2470000}"/>
    <cellStyle name="Normal 15 3 8 3 2 3" xfId="51658" xr:uid="{00000000-0005-0000-0000-0000D3470000}"/>
    <cellStyle name="Normal 15 3 8 3 3" xfId="12753" xr:uid="{00000000-0005-0000-0000-0000D4470000}"/>
    <cellStyle name="Normal 15 3 8 3 3 2" xfId="51659" xr:uid="{00000000-0005-0000-0000-0000D5470000}"/>
    <cellStyle name="Normal 15 3 8 3 4" xfId="12754" xr:uid="{00000000-0005-0000-0000-0000D6470000}"/>
    <cellStyle name="Normal 15 3 8 3 5" xfId="12755" xr:uid="{00000000-0005-0000-0000-0000D7470000}"/>
    <cellStyle name="Normal 15 3 8 3 6" xfId="12756" xr:uid="{00000000-0005-0000-0000-0000D8470000}"/>
    <cellStyle name="Normal 15 3 8 4" xfId="12757" xr:uid="{00000000-0005-0000-0000-0000D9470000}"/>
    <cellStyle name="Normal 15 3 8 4 2" xfId="51660" xr:uid="{00000000-0005-0000-0000-0000DA470000}"/>
    <cellStyle name="Normal 15 3 8 4 3" xfId="51661" xr:uid="{00000000-0005-0000-0000-0000DB470000}"/>
    <cellStyle name="Normal 15 3 8 5" xfId="12758" xr:uid="{00000000-0005-0000-0000-0000DC470000}"/>
    <cellStyle name="Normal 15 3 8 5 2" xfId="51662" xr:uid="{00000000-0005-0000-0000-0000DD470000}"/>
    <cellStyle name="Normal 15 3 8 6" xfId="12759" xr:uid="{00000000-0005-0000-0000-0000DE470000}"/>
    <cellStyle name="Normal 15 3 8 7" xfId="12760" xr:uid="{00000000-0005-0000-0000-0000DF470000}"/>
    <cellStyle name="Normal 15 3 8 8" xfId="12761" xr:uid="{00000000-0005-0000-0000-0000E0470000}"/>
    <cellStyle name="Normal 15 3 9" xfId="12762" xr:uid="{00000000-0005-0000-0000-0000E1470000}"/>
    <cellStyle name="Normal 15 3 9 2" xfId="12763" xr:uid="{00000000-0005-0000-0000-0000E2470000}"/>
    <cellStyle name="Normal 15 3 9 2 2" xfId="12764" xr:uid="{00000000-0005-0000-0000-0000E3470000}"/>
    <cellStyle name="Normal 15 3 9 2 2 2" xfId="12765" xr:uid="{00000000-0005-0000-0000-0000E4470000}"/>
    <cellStyle name="Normal 15 3 9 2 2 2 2" xfId="51663" xr:uid="{00000000-0005-0000-0000-0000E5470000}"/>
    <cellStyle name="Normal 15 3 9 2 2 2 3" xfId="51664" xr:uid="{00000000-0005-0000-0000-0000E6470000}"/>
    <cellStyle name="Normal 15 3 9 2 2 3" xfId="12766" xr:uid="{00000000-0005-0000-0000-0000E7470000}"/>
    <cellStyle name="Normal 15 3 9 2 2 3 2" xfId="51665" xr:uid="{00000000-0005-0000-0000-0000E8470000}"/>
    <cellStyle name="Normal 15 3 9 2 2 4" xfId="12767" xr:uid="{00000000-0005-0000-0000-0000E9470000}"/>
    <cellStyle name="Normal 15 3 9 2 2 5" xfId="12768" xr:uid="{00000000-0005-0000-0000-0000EA470000}"/>
    <cellStyle name="Normal 15 3 9 2 2 6" xfId="12769" xr:uid="{00000000-0005-0000-0000-0000EB470000}"/>
    <cellStyle name="Normal 15 3 9 2 3" xfId="12770" xr:uid="{00000000-0005-0000-0000-0000EC470000}"/>
    <cellStyle name="Normal 15 3 9 2 3 2" xfId="51666" xr:uid="{00000000-0005-0000-0000-0000ED470000}"/>
    <cellStyle name="Normal 15 3 9 2 3 3" xfId="51667" xr:uid="{00000000-0005-0000-0000-0000EE470000}"/>
    <cellStyle name="Normal 15 3 9 2 4" xfId="12771" xr:uid="{00000000-0005-0000-0000-0000EF470000}"/>
    <cellStyle name="Normal 15 3 9 2 4 2" xfId="51668" xr:uid="{00000000-0005-0000-0000-0000F0470000}"/>
    <cellStyle name="Normal 15 3 9 2 5" xfId="12772" xr:uid="{00000000-0005-0000-0000-0000F1470000}"/>
    <cellStyle name="Normal 15 3 9 2 6" xfId="12773" xr:uid="{00000000-0005-0000-0000-0000F2470000}"/>
    <cellStyle name="Normal 15 3 9 2 7" xfId="12774" xr:uid="{00000000-0005-0000-0000-0000F3470000}"/>
    <cellStyle name="Normal 15 3 9 3" xfId="12775" xr:uid="{00000000-0005-0000-0000-0000F4470000}"/>
    <cellStyle name="Normal 15 3 9 3 2" xfId="12776" xr:uid="{00000000-0005-0000-0000-0000F5470000}"/>
    <cellStyle name="Normal 15 3 9 3 2 2" xfId="51669" xr:uid="{00000000-0005-0000-0000-0000F6470000}"/>
    <cellStyle name="Normal 15 3 9 3 2 3" xfId="51670" xr:uid="{00000000-0005-0000-0000-0000F7470000}"/>
    <cellStyle name="Normal 15 3 9 3 3" xfId="12777" xr:uid="{00000000-0005-0000-0000-0000F8470000}"/>
    <cellStyle name="Normal 15 3 9 3 3 2" xfId="51671" xr:uid="{00000000-0005-0000-0000-0000F9470000}"/>
    <cellStyle name="Normal 15 3 9 3 4" xfId="12778" xr:uid="{00000000-0005-0000-0000-0000FA470000}"/>
    <cellStyle name="Normal 15 3 9 3 5" xfId="12779" xr:uid="{00000000-0005-0000-0000-0000FB470000}"/>
    <cellStyle name="Normal 15 3 9 3 6" xfId="12780" xr:uid="{00000000-0005-0000-0000-0000FC470000}"/>
    <cellStyle name="Normal 15 3 9 4" xfId="12781" xr:uid="{00000000-0005-0000-0000-0000FD470000}"/>
    <cellStyle name="Normal 15 3 9 4 2" xfId="51672" xr:uid="{00000000-0005-0000-0000-0000FE470000}"/>
    <cellStyle name="Normal 15 3 9 4 3" xfId="51673" xr:uid="{00000000-0005-0000-0000-0000FF470000}"/>
    <cellStyle name="Normal 15 3 9 5" xfId="12782" xr:uid="{00000000-0005-0000-0000-000000480000}"/>
    <cellStyle name="Normal 15 3 9 5 2" xfId="51674" xr:uid="{00000000-0005-0000-0000-000001480000}"/>
    <cellStyle name="Normal 15 3 9 6" xfId="12783" xr:uid="{00000000-0005-0000-0000-000002480000}"/>
    <cellStyle name="Normal 15 3 9 7" xfId="12784" xr:uid="{00000000-0005-0000-0000-000003480000}"/>
    <cellStyle name="Normal 15 3 9 8" xfId="12785" xr:uid="{00000000-0005-0000-0000-000004480000}"/>
    <cellStyle name="Normal 15 4" xfId="12786" xr:uid="{00000000-0005-0000-0000-000005480000}"/>
    <cellStyle name="Normal 15 4 10" xfId="12787" xr:uid="{00000000-0005-0000-0000-000006480000}"/>
    <cellStyle name="Normal 15 4 11" xfId="12788" xr:uid="{00000000-0005-0000-0000-000007480000}"/>
    <cellStyle name="Normal 15 4 12" xfId="12789" xr:uid="{00000000-0005-0000-0000-000008480000}"/>
    <cellStyle name="Normal 15 4 13" xfId="12790" xr:uid="{00000000-0005-0000-0000-000009480000}"/>
    <cellStyle name="Normal 15 4 14" xfId="12791" xr:uid="{00000000-0005-0000-0000-00000A480000}"/>
    <cellStyle name="Normal 15 4 15" xfId="12792" xr:uid="{00000000-0005-0000-0000-00000B480000}"/>
    <cellStyle name="Normal 15 4 16" xfId="12793" xr:uid="{00000000-0005-0000-0000-00000C480000}"/>
    <cellStyle name="Normal 15 4 2" xfId="12794" xr:uid="{00000000-0005-0000-0000-00000D480000}"/>
    <cellStyle name="Normal 15 4 2 10" xfId="12795" xr:uid="{00000000-0005-0000-0000-00000E480000}"/>
    <cellStyle name="Normal 15 4 2 11" xfId="12796" xr:uid="{00000000-0005-0000-0000-00000F480000}"/>
    <cellStyle name="Normal 15 4 2 12" xfId="12797" xr:uid="{00000000-0005-0000-0000-000010480000}"/>
    <cellStyle name="Normal 15 4 2 13" xfId="12798" xr:uid="{00000000-0005-0000-0000-000011480000}"/>
    <cellStyle name="Normal 15 4 2 14" xfId="12799" xr:uid="{00000000-0005-0000-0000-000012480000}"/>
    <cellStyle name="Normal 15 4 2 2" xfId="12800" xr:uid="{00000000-0005-0000-0000-000013480000}"/>
    <cellStyle name="Normal 15 4 2 2 2" xfId="12801" xr:uid="{00000000-0005-0000-0000-000014480000}"/>
    <cellStyle name="Normal 15 4 2 2 2 2" xfId="12802" xr:uid="{00000000-0005-0000-0000-000015480000}"/>
    <cellStyle name="Normal 15 4 2 2 2 2 2" xfId="12803" xr:uid="{00000000-0005-0000-0000-000016480000}"/>
    <cellStyle name="Normal 15 4 2 2 2 2 2 2" xfId="51675" xr:uid="{00000000-0005-0000-0000-000017480000}"/>
    <cellStyle name="Normal 15 4 2 2 2 2 2 3" xfId="51676" xr:uid="{00000000-0005-0000-0000-000018480000}"/>
    <cellStyle name="Normal 15 4 2 2 2 2 3" xfId="12804" xr:uid="{00000000-0005-0000-0000-000019480000}"/>
    <cellStyle name="Normal 15 4 2 2 2 2 3 2" xfId="51677" xr:uid="{00000000-0005-0000-0000-00001A480000}"/>
    <cellStyle name="Normal 15 4 2 2 2 2 4" xfId="12805" xr:uid="{00000000-0005-0000-0000-00001B480000}"/>
    <cellStyle name="Normal 15 4 2 2 2 2 5" xfId="12806" xr:uid="{00000000-0005-0000-0000-00001C480000}"/>
    <cellStyle name="Normal 15 4 2 2 2 2 6" xfId="12807" xr:uid="{00000000-0005-0000-0000-00001D480000}"/>
    <cellStyle name="Normal 15 4 2 2 2 3" xfId="12808" xr:uid="{00000000-0005-0000-0000-00001E480000}"/>
    <cellStyle name="Normal 15 4 2 2 2 3 2" xfId="51678" xr:uid="{00000000-0005-0000-0000-00001F480000}"/>
    <cellStyle name="Normal 15 4 2 2 2 3 3" xfId="51679" xr:uid="{00000000-0005-0000-0000-000020480000}"/>
    <cellStyle name="Normal 15 4 2 2 2 4" xfId="12809" xr:uid="{00000000-0005-0000-0000-000021480000}"/>
    <cellStyle name="Normal 15 4 2 2 2 4 2" xfId="51680" xr:uid="{00000000-0005-0000-0000-000022480000}"/>
    <cellStyle name="Normal 15 4 2 2 2 5" xfId="12810" xr:uid="{00000000-0005-0000-0000-000023480000}"/>
    <cellStyle name="Normal 15 4 2 2 2 6" xfId="12811" xr:uid="{00000000-0005-0000-0000-000024480000}"/>
    <cellStyle name="Normal 15 4 2 2 2 7" xfId="12812" xr:uid="{00000000-0005-0000-0000-000025480000}"/>
    <cellStyle name="Normal 15 4 2 2 3" xfId="12813" xr:uid="{00000000-0005-0000-0000-000026480000}"/>
    <cellStyle name="Normal 15 4 2 2 3 2" xfId="12814" xr:uid="{00000000-0005-0000-0000-000027480000}"/>
    <cellStyle name="Normal 15 4 2 2 3 2 2" xfId="51681" xr:uid="{00000000-0005-0000-0000-000028480000}"/>
    <cellStyle name="Normal 15 4 2 2 3 2 3" xfId="51682" xr:uid="{00000000-0005-0000-0000-000029480000}"/>
    <cellStyle name="Normal 15 4 2 2 3 3" xfId="12815" xr:uid="{00000000-0005-0000-0000-00002A480000}"/>
    <cellStyle name="Normal 15 4 2 2 3 3 2" xfId="51683" xr:uid="{00000000-0005-0000-0000-00002B480000}"/>
    <cellStyle name="Normal 15 4 2 2 3 4" xfId="12816" xr:uid="{00000000-0005-0000-0000-00002C480000}"/>
    <cellStyle name="Normal 15 4 2 2 3 5" xfId="12817" xr:uid="{00000000-0005-0000-0000-00002D480000}"/>
    <cellStyle name="Normal 15 4 2 2 3 6" xfId="12818" xr:uid="{00000000-0005-0000-0000-00002E480000}"/>
    <cellStyle name="Normal 15 4 2 2 4" xfId="12819" xr:uid="{00000000-0005-0000-0000-00002F480000}"/>
    <cellStyle name="Normal 15 4 2 2 4 2" xfId="51684" xr:uid="{00000000-0005-0000-0000-000030480000}"/>
    <cellStyle name="Normal 15 4 2 2 4 3" xfId="51685" xr:uid="{00000000-0005-0000-0000-000031480000}"/>
    <cellStyle name="Normal 15 4 2 2 5" xfId="12820" xr:uid="{00000000-0005-0000-0000-000032480000}"/>
    <cellStyle name="Normal 15 4 2 2 5 2" xfId="51686" xr:uid="{00000000-0005-0000-0000-000033480000}"/>
    <cellStyle name="Normal 15 4 2 2 6" xfId="12821" xr:uid="{00000000-0005-0000-0000-000034480000}"/>
    <cellStyle name="Normal 15 4 2 2 7" xfId="12822" xr:uid="{00000000-0005-0000-0000-000035480000}"/>
    <cellStyle name="Normal 15 4 2 2 8" xfId="12823" xr:uid="{00000000-0005-0000-0000-000036480000}"/>
    <cellStyle name="Normal 15 4 2 2 9" xfId="12824" xr:uid="{00000000-0005-0000-0000-000037480000}"/>
    <cellStyle name="Normal 15 4 2 3" xfId="12825" xr:uid="{00000000-0005-0000-0000-000038480000}"/>
    <cellStyle name="Normal 15 4 2 3 2" xfId="12826" xr:uid="{00000000-0005-0000-0000-000039480000}"/>
    <cellStyle name="Normal 15 4 2 3 2 2" xfId="12827" xr:uid="{00000000-0005-0000-0000-00003A480000}"/>
    <cellStyle name="Normal 15 4 2 3 2 2 2" xfId="12828" xr:uid="{00000000-0005-0000-0000-00003B480000}"/>
    <cellStyle name="Normal 15 4 2 3 2 2 2 2" xfId="51687" xr:uid="{00000000-0005-0000-0000-00003C480000}"/>
    <cellStyle name="Normal 15 4 2 3 2 2 2 3" xfId="51688" xr:uid="{00000000-0005-0000-0000-00003D480000}"/>
    <cellStyle name="Normal 15 4 2 3 2 2 3" xfId="12829" xr:uid="{00000000-0005-0000-0000-00003E480000}"/>
    <cellStyle name="Normal 15 4 2 3 2 2 3 2" xfId="51689" xr:uid="{00000000-0005-0000-0000-00003F480000}"/>
    <cellStyle name="Normal 15 4 2 3 2 2 4" xfId="12830" xr:uid="{00000000-0005-0000-0000-000040480000}"/>
    <cellStyle name="Normal 15 4 2 3 2 2 5" xfId="12831" xr:uid="{00000000-0005-0000-0000-000041480000}"/>
    <cellStyle name="Normal 15 4 2 3 2 2 6" xfId="12832" xr:uid="{00000000-0005-0000-0000-000042480000}"/>
    <cellStyle name="Normal 15 4 2 3 2 3" xfId="12833" xr:uid="{00000000-0005-0000-0000-000043480000}"/>
    <cellStyle name="Normal 15 4 2 3 2 3 2" xfId="51690" xr:uid="{00000000-0005-0000-0000-000044480000}"/>
    <cellStyle name="Normal 15 4 2 3 2 3 3" xfId="51691" xr:uid="{00000000-0005-0000-0000-000045480000}"/>
    <cellStyle name="Normal 15 4 2 3 2 4" xfId="12834" xr:uid="{00000000-0005-0000-0000-000046480000}"/>
    <cellStyle name="Normal 15 4 2 3 2 4 2" xfId="51692" xr:uid="{00000000-0005-0000-0000-000047480000}"/>
    <cellStyle name="Normal 15 4 2 3 2 5" xfId="12835" xr:uid="{00000000-0005-0000-0000-000048480000}"/>
    <cellStyle name="Normal 15 4 2 3 2 6" xfId="12836" xr:uid="{00000000-0005-0000-0000-000049480000}"/>
    <cellStyle name="Normal 15 4 2 3 2 7" xfId="12837" xr:uid="{00000000-0005-0000-0000-00004A480000}"/>
    <cellStyle name="Normal 15 4 2 3 3" xfId="12838" xr:uid="{00000000-0005-0000-0000-00004B480000}"/>
    <cellStyle name="Normal 15 4 2 3 3 2" xfId="12839" xr:uid="{00000000-0005-0000-0000-00004C480000}"/>
    <cellStyle name="Normal 15 4 2 3 3 2 2" xfId="51693" xr:uid="{00000000-0005-0000-0000-00004D480000}"/>
    <cellStyle name="Normal 15 4 2 3 3 2 3" xfId="51694" xr:uid="{00000000-0005-0000-0000-00004E480000}"/>
    <cellStyle name="Normal 15 4 2 3 3 3" xfId="12840" xr:uid="{00000000-0005-0000-0000-00004F480000}"/>
    <cellStyle name="Normal 15 4 2 3 3 3 2" xfId="51695" xr:uid="{00000000-0005-0000-0000-000050480000}"/>
    <cellStyle name="Normal 15 4 2 3 3 4" xfId="12841" xr:uid="{00000000-0005-0000-0000-000051480000}"/>
    <cellStyle name="Normal 15 4 2 3 3 5" xfId="12842" xr:uid="{00000000-0005-0000-0000-000052480000}"/>
    <cellStyle name="Normal 15 4 2 3 3 6" xfId="12843" xr:uid="{00000000-0005-0000-0000-000053480000}"/>
    <cellStyle name="Normal 15 4 2 3 4" xfId="12844" xr:uid="{00000000-0005-0000-0000-000054480000}"/>
    <cellStyle name="Normal 15 4 2 3 4 2" xfId="51696" xr:uid="{00000000-0005-0000-0000-000055480000}"/>
    <cellStyle name="Normal 15 4 2 3 4 3" xfId="51697" xr:uid="{00000000-0005-0000-0000-000056480000}"/>
    <cellStyle name="Normal 15 4 2 3 5" xfId="12845" xr:uid="{00000000-0005-0000-0000-000057480000}"/>
    <cellStyle name="Normal 15 4 2 3 5 2" xfId="51698" xr:uid="{00000000-0005-0000-0000-000058480000}"/>
    <cellStyle name="Normal 15 4 2 3 6" xfId="12846" xr:uid="{00000000-0005-0000-0000-000059480000}"/>
    <cellStyle name="Normal 15 4 2 3 7" xfId="12847" xr:uid="{00000000-0005-0000-0000-00005A480000}"/>
    <cellStyle name="Normal 15 4 2 3 8" xfId="12848" xr:uid="{00000000-0005-0000-0000-00005B480000}"/>
    <cellStyle name="Normal 15 4 2 4" xfId="12849" xr:uid="{00000000-0005-0000-0000-00005C480000}"/>
    <cellStyle name="Normal 15 4 2 4 2" xfId="12850" xr:uid="{00000000-0005-0000-0000-00005D480000}"/>
    <cellStyle name="Normal 15 4 2 4 2 2" xfId="12851" xr:uid="{00000000-0005-0000-0000-00005E480000}"/>
    <cellStyle name="Normal 15 4 2 4 2 2 2" xfId="51699" xr:uid="{00000000-0005-0000-0000-00005F480000}"/>
    <cellStyle name="Normal 15 4 2 4 2 2 3" xfId="51700" xr:uid="{00000000-0005-0000-0000-000060480000}"/>
    <cellStyle name="Normal 15 4 2 4 2 3" xfId="12852" xr:uid="{00000000-0005-0000-0000-000061480000}"/>
    <cellStyle name="Normal 15 4 2 4 2 3 2" xfId="51701" xr:uid="{00000000-0005-0000-0000-000062480000}"/>
    <cellStyle name="Normal 15 4 2 4 2 4" xfId="12853" xr:uid="{00000000-0005-0000-0000-000063480000}"/>
    <cellStyle name="Normal 15 4 2 4 2 5" xfId="12854" xr:uid="{00000000-0005-0000-0000-000064480000}"/>
    <cellStyle name="Normal 15 4 2 4 2 6" xfId="12855" xr:uid="{00000000-0005-0000-0000-000065480000}"/>
    <cellStyle name="Normal 15 4 2 4 3" xfId="12856" xr:uid="{00000000-0005-0000-0000-000066480000}"/>
    <cellStyle name="Normal 15 4 2 4 3 2" xfId="51702" xr:uid="{00000000-0005-0000-0000-000067480000}"/>
    <cellStyle name="Normal 15 4 2 4 3 3" xfId="51703" xr:uid="{00000000-0005-0000-0000-000068480000}"/>
    <cellStyle name="Normal 15 4 2 4 4" xfId="12857" xr:uid="{00000000-0005-0000-0000-000069480000}"/>
    <cellStyle name="Normal 15 4 2 4 4 2" xfId="51704" xr:uid="{00000000-0005-0000-0000-00006A480000}"/>
    <cellStyle name="Normal 15 4 2 4 5" xfId="12858" xr:uid="{00000000-0005-0000-0000-00006B480000}"/>
    <cellStyle name="Normal 15 4 2 4 6" xfId="12859" xr:uid="{00000000-0005-0000-0000-00006C480000}"/>
    <cellStyle name="Normal 15 4 2 4 7" xfId="12860" xr:uid="{00000000-0005-0000-0000-00006D480000}"/>
    <cellStyle name="Normal 15 4 2 5" xfId="12861" xr:uid="{00000000-0005-0000-0000-00006E480000}"/>
    <cellStyle name="Normal 15 4 2 5 2" xfId="12862" xr:uid="{00000000-0005-0000-0000-00006F480000}"/>
    <cellStyle name="Normal 15 4 2 5 2 2" xfId="51705" xr:uid="{00000000-0005-0000-0000-000070480000}"/>
    <cellStyle name="Normal 15 4 2 5 2 3" xfId="51706" xr:uid="{00000000-0005-0000-0000-000071480000}"/>
    <cellStyle name="Normal 15 4 2 5 3" xfId="12863" xr:uid="{00000000-0005-0000-0000-000072480000}"/>
    <cellStyle name="Normal 15 4 2 5 3 2" xfId="51707" xr:uid="{00000000-0005-0000-0000-000073480000}"/>
    <cellStyle name="Normal 15 4 2 5 4" xfId="12864" xr:uid="{00000000-0005-0000-0000-000074480000}"/>
    <cellStyle name="Normal 15 4 2 5 5" xfId="12865" xr:uid="{00000000-0005-0000-0000-000075480000}"/>
    <cellStyle name="Normal 15 4 2 5 6" xfId="12866" xr:uid="{00000000-0005-0000-0000-000076480000}"/>
    <cellStyle name="Normal 15 4 2 6" xfId="12867" xr:uid="{00000000-0005-0000-0000-000077480000}"/>
    <cellStyle name="Normal 15 4 2 6 2" xfId="51708" xr:uid="{00000000-0005-0000-0000-000078480000}"/>
    <cellStyle name="Normal 15 4 2 6 3" xfId="51709" xr:uid="{00000000-0005-0000-0000-000079480000}"/>
    <cellStyle name="Normal 15 4 2 7" xfId="12868" xr:uid="{00000000-0005-0000-0000-00007A480000}"/>
    <cellStyle name="Normal 15 4 2 7 2" xfId="51710" xr:uid="{00000000-0005-0000-0000-00007B480000}"/>
    <cellStyle name="Normal 15 4 2 8" xfId="12869" xr:uid="{00000000-0005-0000-0000-00007C480000}"/>
    <cellStyle name="Normal 15 4 2 8 2" xfId="51711" xr:uid="{00000000-0005-0000-0000-00007D480000}"/>
    <cellStyle name="Normal 15 4 2 9" xfId="12870" xr:uid="{00000000-0005-0000-0000-00007E480000}"/>
    <cellStyle name="Normal 15 4 3" xfId="12871" xr:uid="{00000000-0005-0000-0000-00007F480000}"/>
    <cellStyle name="Normal 15 4 3 2" xfId="12872" xr:uid="{00000000-0005-0000-0000-000080480000}"/>
    <cellStyle name="Normal 15 4 3 2 2" xfId="12873" xr:uid="{00000000-0005-0000-0000-000081480000}"/>
    <cellStyle name="Normal 15 4 3 2 2 2" xfId="12874" xr:uid="{00000000-0005-0000-0000-000082480000}"/>
    <cellStyle name="Normal 15 4 3 2 2 2 2" xfId="51712" xr:uid="{00000000-0005-0000-0000-000083480000}"/>
    <cellStyle name="Normal 15 4 3 2 2 2 3" xfId="51713" xr:uid="{00000000-0005-0000-0000-000084480000}"/>
    <cellStyle name="Normal 15 4 3 2 2 3" xfId="12875" xr:uid="{00000000-0005-0000-0000-000085480000}"/>
    <cellStyle name="Normal 15 4 3 2 2 3 2" xfId="51714" xr:uid="{00000000-0005-0000-0000-000086480000}"/>
    <cellStyle name="Normal 15 4 3 2 2 4" xfId="12876" xr:uid="{00000000-0005-0000-0000-000087480000}"/>
    <cellStyle name="Normal 15 4 3 2 2 5" xfId="12877" xr:uid="{00000000-0005-0000-0000-000088480000}"/>
    <cellStyle name="Normal 15 4 3 2 2 6" xfId="12878" xr:uid="{00000000-0005-0000-0000-000089480000}"/>
    <cellStyle name="Normal 15 4 3 2 3" xfId="12879" xr:uid="{00000000-0005-0000-0000-00008A480000}"/>
    <cellStyle name="Normal 15 4 3 2 3 2" xfId="51715" xr:uid="{00000000-0005-0000-0000-00008B480000}"/>
    <cellStyle name="Normal 15 4 3 2 3 3" xfId="51716" xr:uid="{00000000-0005-0000-0000-00008C480000}"/>
    <cellStyle name="Normal 15 4 3 2 4" xfId="12880" xr:uid="{00000000-0005-0000-0000-00008D480000}"/>
    <cellStyle name="Normal 15 4 3 2 4 2" xfId="51717" xr:uid="{00000000-0005-0000-0000-00008E480000}"/>
    <cellStyle name="Normal 15 4 3 2 5" xfId="12881" xr:uid="{00000000-0005-0000-0000-00008F480000}"/>
    <cellStyle name="Normal 15 4 3 2 6" xfId="12882" xr:uid="{00000000-0005-0000-0000-000090480000}"/>
    <cellStyle name="Normal 15 4 3 2 7" xfId="12883" xr:uid="{00000000-0005-0000-0000-000091480000}"/>
    <cellStyle name="Normal 15 4 3 3" xfId="12884" xr:uid="{00000000-0005-0000-0000-000092480000}"/>
    <cellStyle name="Normal 15 4 3 3 2" xfId="12885" xr:uid="{00000000-0005-0000-0000-000093480000}"/>
    <cellStyle name="Normal 15 4 3 3 2 2" xfId="51718" xr:uid="{00000000-0005-0000-0000-000094480000}"/>
    <cellStyle name="Normal 15 4 3 3 2 3" xfId="51719" xr:uid="{00000000-0005-0000-0000-000095480000}"/>
    <cellStyle name="Normal 15 4 3 3 3" xfId="12886" xr:uid="{00000000-0005-0000-0000-000096480000}"/>
    <cellStyle name="Normal 15 4 3 3 3 2" xfId="51720" xr:uid="{00000000-0005-0000-0000-000097480000}"/>
    <cellStyle name="Normal 15 4 3 3 4" xfId="12887" xr:uid="{00000000-0005-0000-0000-000098480000}"/>
    <cellStyle name="Normal 15 4 3 3 5" xfId="12888" xr:uid="{00000000-0005-0000-0000-000099480000}"/>
    <cellStyle name="Normal 15 4 3 3 6" xfId="12889" xr:uid="{00000000-0005-0000-0000-00009A480000}"/>
    <cellStyle name="Normal 15 4 3 4" xfId="12890" xr:uid="{00000000-0005-0000-0000-00009B480000}"/>
    <cellStyle name="Normal 15 4 3 4 2" xfId="51721" xr:uid="{00000000-0005-0000-0000-00009C480000}"/>
    <cellStyle name="Normal 15 4 3 4 3" xfId="51722" xr:uid="{00000000-0005-0000-0000-00009D480000}"/>
    <cellStyle name="Normal 15 4 3 5" xfId="12891" xr:uid="{00000000-0005-0000-0000-00009E480000}"/>
    <cellStyle name="Normal 15 4 3 5 2" xfId="51723" xr:uid="{00000000-0005-0000-0000-00009F480000}"/>
    <cellStyle name="Normal 15 4 3 6" xfId="12892" xr:uid="{00000000-0005-0000-0000-0000A0480000}"/>
    <cellStyle name="Normal 15 4 3 7" xfId="12893" xr:uid="{00000000-0005-0000-0000-0000A1480000}"/>
    <cellStyle name="Normal 15 4 3 8" xfId="12894" xr:uid="{00000000-0005-0000-0000-0000A2480000}"/>
    <cellStyle name="Normal 15 4 3 9" xfId="12895" xr:uid="{00000000-0005-0000-0000-0000A3480000}"/>
    <cellStyle name="Normal 15 4 4" xfId="12896" xr:uid="{00000000-0005-0000-0000-0000A4480000}"/>
    <cellStyle name="Normal 15 4 4 2" xfId="12897" xr:uid="{00000000-0005-0000-0000-0000A5480000}"/>
    <cellStyle name="Normal 15 4 4 2 2" xfId="12898" xr:uid="{00000000-0005-0000-0000-0000A6480000}"/>
    <cellStyle name="Normal 15 4 4 2 2 2" xfId="12899" xr:uid="{00000000-0005-0000-0000-0000A7480000}"/>
    <cellStyle name="Normal 15 4 4 2 2 2 2" xfId="51724" xr:uid="{00000000-0005-0000-0000-0000A8480000}"/>
    <cellStyle name="Normal 15 4 4 2 2 2 3" xfId="51725" xr:uid="{00000000-0005-0000-0000-0000A9480000}"/>
    <cellStyle name="Normal 15 4 4 2 2 3" xfId="12900" xr:uid="{00000000-0005-0000-0000-0000AA480000}"/>
    <cellStyle name="Normal 15 4 4 2 2 3 2" xfId="51726" xr:uid="{00000000-0005-0000-0000-0000AB480000}"/>
    <cellStyle name="Normal 15 4 4 2 2 4" xfId="12901" xr:uid="{00000000-0005-0000-0000-0000AC480000}"/>
    <cellStyle name="Normal 15 4 4 2 2 5" xfId="12902" xr:uid="{00000000-0005-0000-0000-0000AD480000}"/>
    <cellStyle name="Normal 15 4 4 2 2 6" xfId="12903" xr:uid="{00000000-0005-0000-0000-0000AE480000}"/>
    <cellStyle name="Normal 15 4 4 2 3" xfId="12904" xr:uid="{00000000-0005-0000-0000-0000AF480000}"/>
    <cellStyle name="Normal 15 4 4 2 3 2" xfId="51727" xr:uid="{00000000-0005-0000-0000-0000B0480000}"/>
    <cellStyle name="Normal 15 4 4 2 3 3" xfId="51728" xr:uid="{00000000-0005-0000-0000-0000B1480000}"/>
    <cellStyle name="Normal 15 4 4 2 4" xfId="12905" xr:uid="{00000000-0005-0000-0000-0000B2480000}"/>
    <cellStyle name="Normal 15 4 4 2 4 2" xfId="51729" xr:uid="{00000000-0005-0000-0000-0000B3480000}"/>
    <cellStyle name="Normal 15 4 4 2 5" xfId="12906" xr:uid="{00000000-0005-0000-0000-0000B4480000}"/>
    <cellStyle name="Normal 15 4 4 2 6" xfId="12907" xr:uid="{00000000-0005-0000-0000-0000B5480000}"/>
    <cellStyle name="Normal 15 4 4 2 7" xfId="12908" xr:uid="{00000000-0005-0000-0000-0000B6480000}"/>
    <cellStyle name="Normal 15 4 4 3" xfId="12909" xr:uid="{00000000-0005-0000-0000-0000B7480000}"/>
    <cellStyle name="Normal 15 4 4 3 2" xfId="12910" xr:uid="{00000000-0005-0000-0000-0000B8480000}"/>
    <cellStyle name="Normal 15 4 4 3 2 2" xfId="51730" xr:uid="{00000000-0005-0000-0000-0000B9480000}"/>
    <cellStyle name="Normal 15 4 4 3 2 3" xfId="51731" xr:uid="{00000000-0005-0000-0000-0000BA480000}"/>
    <cellStyle name="Normal 15 4 4 3 3" xfId="12911" xr:uid="{00000000-0005-0000-0000-0000BB480000}"/>
    <cellStyle name="Normal 15 4 4 3 3 2" xfId="51732" xr:uid="{00000000-0005-0000-0000-0000BC480000}"/>
    <cellStyle name="Normal 15 4 4 3 4" xfId="12912" xr:uid="{00000000-0005-0000-0000-0000BD480000}"/>
    <cellStyle name="Normal 15 4 4 3 5" xfId="12913" xr:uid="{00000000-0005-0000-0000-0000BE480000}"/>
    <cellStyle name="Normal 15 4 4 3 6" xfId="12914" xr:uid="{00000000-0005-0000-0000-0000BF480000}"/>
    <cellStyle name="Normal 15 4 4 4" xfId="12915" xr:uid="{00000000-0005-0000-0000-0000C0480000}"/>
    <cellStyle name="Normal 15 4 4 4 2" xfId="51733" xr:uid="{00000000-0005-0000-0000-0000C1480000}"/>
    <cellStyle name="Normal 15 4 4 4 3" xfId="51734" xr:uid="{00000000-0005-0000-0000-0000C2480000}"/>
    <cellStyle name="Normal 15 4 4 5" xfId="12916" xr:uid="{00000000-0005-0000-0000-0000C3480000}"/>
    <cellStyle name="Normal 15 4 4 5 2" xfId="51735" xr:uid="{00000000-0005-0000-0000-0000C4480000}"/>
    <cellStyle name="Normal 15 4 4 6" xfId="12917" xr:uid="{00000000-0005-0000-0000-0000C5480000}"/>
    <cellStyle name="Normal 15 4 4 7" xfId="12918" xr:uid="{00000000-0005-0000-0000-0000C6480000}"/>
    <cellStyle name="Normal 15 4 4 8" xfId="12919" xr:uid="{00000000-0005-0000-0000-0000C7480000}"/>
    <cellStyle name="Normal 15 4 5" xfId="12920" xr:uid="{00000000-0005-0000-0000-0000C8480000}"/>
    <cellStyle name="Normal 15 4 5 2" xfId="12921" xr:uid="{00000000-0005-0000-0000-0000C9480000}"/>
    <cellStyle name="Normal 15 4 5 2 2" xfId="12922" xr:uid="{00000000-0005-0000-0000-0000CA480000}"/>
    <cellStyle name="Normal 15 4 5 2 2 2" xfId="51736" xr:uid="{00000000-0005-0000-0000-0000CB480000}"/>
    <cellStyle name="Normal 15 4 5 2 2 3" xfId="51737" xr:uid="{00000000-0005-0000-0000-0000CC480000}"/>
    <cellStyle name="Normal 15 4 5 2 3" xfId="12923" xr:uid="{00000000-0005-0000-0000-0000CD480000}"/>
    <cellStyle name="Normal 15 4 5 2 3 2" xfId="51738" xr:uid="{00000000-0005-0000-0000-0000CE480000}"/>
    <cellStyle name="Normal 15 4 5 2 4" xfId="12924" xr:uid="{00000000-0005-0000-0000-0000CF480000}"/>
    <cellStyle name="Normal 15 4 5 2 5" xfId="12925" xr:uid="{00000000-0005-0000-0000-0000D0480000}"/>
    <cellStyle name="Normal 15 4 5 2 6" xfId="12926" xr:uid="{00000000-0005-0000-0000-0000D1480000}"/>
    <cellStyle name="Normal 15 4 5 3" xfId="12927" xr:uid="{00000000-0005-0000-0000-0000D2480000}"/>
    <cellStyle name="Normal 15 4 5 3 2" xfId="51739" xr:uid="{00000000-0005-0000-0000-0000D3480000}"/>
    <cellStyle name="Normal 15 4 5 3 3" xfId="51740" xr:uid="{00000000-0005-0000-0000-0000D4480000}"/>
    <cellStyle name="Normal 15 4 5 4" xfId="12928" xr:uid="{00000000-0005-0000-0000-0000D5480000}"/>
    <cellStyle name="Normal 15 4 5 4 2" xfId="51741" xr:uid="{00000000-0005-0000-0000-0000D6480000}"/>
    <cellStyle name="Normal 15 4 5 5" xfId="12929" xr:uid="{00000000-0005-0000-0000-0000D7480000}"/>
    <cellStyle name="Normal 15 4 5 6" xfId="12930" xr:uid="{00000000-0005-0000-0000-0000D8480000}"/>
    <cellStyle name="Normal 15 4 5 7" xfId="12931" xr:uid="{00000000-0005-0000-0000-0000D9480000}"/>
    <cellStyle name="Normal 15 4 6" xfId="12932" xr:uid="{00000000-0005-0000-0000-0000DA480000}"/>
    <cellStyle name="Normal 15 4 6 2" xfId="12933" xr:uid="{00000000-0005-0000-0000-0000DB480000}"/>
    <cellStyle name="Normal 15 4 6 2 2" xfId="51742" xr:uid="{00000000-0005-0000-0000-0000DC480000}"/>
    <cellStyle name="Normal 15 4 6 2 3" xfId="51743" xr:uid="{00000000-0005-0000-0000-0000DD480000}"/>
    <cellStyle name="Normal 15 4 6 3" xfId="12934" xr:uid="{00000000-0005-0000-0000-0000DE480000}"/>
    <cellStyle name="Normal 15 4 6 3 2" xfId="51744" xr:uid="{00000000-0005-0000-0000-0000DF480000}"/>
    <cellStyle name="Normal 15 4 6 4" xfId="12935" xr:uid="{00000000-0005-0000-0000-0000E0480000}"/>
    <cellStyle name="Normal 15 4 6 5" xfId="12936" xr:uid="{00000000-0005-0000-0000-0000E1480000}"/>
    <cellStyle name="Normal 15 4 6 6" xfId="12937" xr:uid="{00000000-0005-0000-0000-0000E2480000}"/>
    <cellStyle name="Normal 15 4 7" xfId="12938" xr:uid="{00000000-0005-0000-0000-0000E3480000}"/>
    <cellStyle name="Normal 15 4 7 2" xfId="51745" xr:uid="{00000000-0005-0000-0000-0000E4480000}"/>
    <cellStyle name="Normal 15 4 7 3" xfId="51746" xr:uid="{00000000-0005-0000-0000-0000E5480000}"/>
    <cellStyle name="Normal 15 4 8" xfId="12939" xr:uid="{00000000-0005-0000-0000-0000E6480000}"/>
    <cellStyle name="Normal 15 4 8 2" xfId="51747" xr:uid="{00000000-0005-0000-0000-0000E7480000}"/>
    <cellStyle name="Normal 15 4 9" xfId="12940" xr:uid="{00000000-0005-0000-0000-0000E8480000}"/>
    <cellStyle name="Normal 15 4 9 2" xfId="51748" xr:uid="{00000000-0005-0000-0000-0000E9480000}"/>
    <cellStyle name="Normal 15 5" xfId="12941" xr:uid="{00000000-0005-0000-0000-0000EA480000}"/>
    <cellStyle name="Normal 15 5 10" xfId="12942" xr:uid="{00000000-0005-0000-0000-0000EB480000}"/>
    <cellStyle name="Normal 15 5 11" xfId="12943" xr:uid="{00000000-0005-0000-0000-0000EC480000}"/>
    <cellStyle name="Normal 15 5 12" xfId="12944" xr:uid="{00000000-0005-0000-0000-0000ED480000}"/>
    <cellStyle name="Normal 15 5 13" xfId="12945" xr:uid="{00000000-0005-0000-0000-0000EE480000}"/>
    <cellStyle name="Normal 15 5 14" xfId="12946" xr:uid="{00000000-0005-0000-0000-0000EF480000}"/>
    <cellStyle name="Normal 15 5 15" xfId="12947" xr:uid="{00000000-0005-0000-0000-0000F0480000}"/>
    <cellStyle name="Normal 15 5 16" xfId="12948" xr:uid="{00000000-0005-0000-0000-0000F1480000}"/>
    <cellStyle name="Normal 15 5 2" xfId="12949" xr:uid="{00000000-0005-0000-0000-0000F2480000}"/>
    <cellStyle name="Normal 15 5 2 10" xfId="12950" xr:uid="{00000000-0005-0000-0000-0000F3480000}"/>
    <cellStyle name="Normal 15 5 2 11" xfId="12951" xr:uid="{00000000-0005-0000-0000-0000F4480000}"/>
    <cellStyle name="Normal 15 5 2 12" xfId="12952" xr:uid="{00000000-0005-0000-0000-0000F5480000}"/>
    <cellStyle name="Normal 15 5 2 13" xfId="12953" xr:uid="{00000000-0005-0000-0000-0000F6480000}"/>
    <cellStyle name="Normal 15 5 2 14" xfId="12954" xr:uid="{00000000-0005-0000-0000-0000F7480000}"/>
    <cellStyle name="Normal 15 5 2 2" xfId="12955" xr:uid="{00000000-0005-0000-0000-0000F8480000}"/>
    <cellStyle name="Normal 15 5 2 2 2" xfId="12956" xr:uid="{00000000-0005-0000-0000-0000F9480000}"/>
    <cellStyle name="Normal 15 5 2 2 2 2" xfId="12957" xr:uid="{00000000-0005-0000-0000-0000FA480000}"/>
    <cellStyle name="Normal 15 5 2 2 2 2 2" xfId="12958" xr:uid="{00000000-0005-0000-0000-0000FB480000}"/>
    <cellStyle name="Normal 15 5 2 2 2 2 2 2" xfId="51749" xr:uid="{00000000-0005-0000-0000-0000FC480000}"/>
    <cellStyle name="Normal 15 5 2 2 2 2 2 3" xfId="51750" xr:uid="{00000000-0005-0000-0000-0000FD480000}"/>
    <cellStyle name="Normal 15 5 2 2 2 2 3" xfId="12959" xr:uid="{00000000-0005-0000-0000-0000FE480000}"/>
    <cellStyle name="Normal 15 5 2 2 2 2 3 2" xfId="51751" xr:uid="{00000000-0005-0000-0000-0000FF480000}"/>
    <cellStyle name="Normal 15 5 2 2 2 2 4" xfId="12960" xr:uid="{00000000-0005-0000-0000-000000490000}"/>
    <cellStyle name="Normal 15 5 2 2 2 2 5" xfId="12961" xr:uid="{00000000-0005-0000-0000-000001490000}"/>
    <cellStyle name="Normal 15 5 2 2 2 2 6" xfId="12962" xr:uid="{00000000-0005-0000-0000-000002490000}"/>
    <cellStyle name="Normal 15 5 2 2 2 3" xfId="12963" xr:uid="{00000000-0005-0000-0000-000003490000}"/>
    <cellStyle name="Normal 15 5 2 2 2 3 2" xfId="51752" xr:uid="{00000000-0005-0000-0000-000004490000}"/>
    <cellStyle name="Normal 15 5 2 2 2 3 3" xfId="51753" xr:uid="{00000000-0005-0000-0000-000005490000}"/>
    <cellStyle name="Normal 15 5 2 2 2 4" xfId="12964" xr:uid="{00000000-0005-0000-0000-000006490000}"/>
    <cellStyle name="Normal 15 5 2 2 2 4 2" xfId="51754" xr:uid="{00000000-0005-0000-0000-000007490000}"/>
    <cellStyle name="Normal 15 5 2 2 2 5" xfId="12965" xr:uid="{00000000-0005-0000-0000-000008490000}"/>
    <cellStyle name="Normal 15 5 2 2 2 6" xfId="12966" xr:uid="{00000000-0005-0000-0000-000009490000}"/>
    <cellStyle name="Normal 15 5 2 2 2 7" xfId="12967" xr:uid="{00000000-0005-0000-0000-00000A490000}"/>
    <cellStyle name="Normal 15 5 2 2 3" xfId="12968" xr:uid="{00000000-0005-0000-0000-00000B490000}"/>
    <cellStyle name="Normal 15 5 2 2 3 2" xfId="12969" xr:uid="{00000000-0005-0000-0000-00000C490000}"/>
    <cellStyle name="Normal 15 5 2 2 3 2 2" xfId="51755" xr:uid="{00000000-0005-0000-0000-00000D490000}"/>
    <cellStyle name="Normal 15 5 2 2 3 2 3" xfId="51756" xr:uid="{00000000-0005-0000-0000-00000E490000}"/>
    <cellStyle name="Normal 15 5 2 2 3 3" xfId="12970" xr:uid="{00000000-0005-0000-0000-00000F490000}"/>
    <cellStyle name="Normal 15 5 2 2 3 3 2" xfId="51757" xr:uid="{00000000-0005-0000-0000-000010490000}"/>
    <cellStyle name="Normal 15 5 2 2 3 4" xfId="12971" xr:uid="{00000000-0005-0000-0000-000011490000}"/>
    <cellStyle name="Normal 15 5 2 2 3 5" xfId="12972" xr:uid="{00000000-0005-0000-0000-000012490000}"/>
    <cellStyle name="Normal 15 5 2 2 3 6" xfId="12973" xr:uid="{00000000-0005-0000-0000-000013490000}"/>
    <cellStyle name="Normal 15 5 2 2 4" xfId="12974" xr:uid="{00000000-0005-0000-0000-000014490000}"/>
    <cellStyle name="Normal 15 5 2 2 4 2" xfId="51758" xr:uid="{00000000-0005-0000-0000-000015490000}"/>
    <cellStyle name="Normal 15 5 2 2 4 3" xfId="51759" xr:uid="{00000000-0005-0000-0000-000016490000}"/>
    <cellStyle name="Normal 15 5 2 2 5" xfId="12975" xr:uid="{00000000-0005-0000-0000-000017490000}"/>
    <cellStyle name="Normal 15 5 2 2 5 2" xfId="51760" xr:uid="{00000000-0005-0000-0000-000018490000}"/>
    <cellStyle name="Normal 15 5 2 2 6" xfId="12976" xr:uid="{00000000-0005-0000-0000-000019490000}"/>
    <cellStyle name="Normal 15 5 2 2 7" xfId="12977" xr:uid="{00000000-0005-0000-0000-00001A490000}"/>
    <cellStyle name="Normal 15 5 2 2 8" xfId="12978" xr:uid="{00000000-0005-0000-0000-00001B490000}"/>
    <cellStyle name="Normal 15 5 2 2 9" xfId="12979" xr:uid="{00000000-0005-0000-0000-00001C490000}"/>
    <cellStyle name="Normal 15 5 2 3" xfId="12980" xr:uid="{00000000-0005-0000-0000-00001D490000}"/>
    <cellStyle name="Normal 15 5 2 3 2" xfId="12981" xr:uid="{00000000-0005-0000-0000-00001E490000}"/>
    <cellStyle name="Normal 15 5 2 3 2 2" xfId="12982" xr:uid="{00000000-0005-0000-0000-00001F490000}"/>
    <cellStyle name="Normal 15 5 2 3 2 2 2" xfId="12983" xr:uid="{00000000-0005-0000-0000-000020490000}"/>
    <cellStyle name="Normal 15 5 2 3 2 2 2 2" xfId="51761" xr:uid="{00000000-0005-0000-0000-000021490000}"/>
    <cellStyle name="Normal 15 5 2 3 2 2 2 3" xfId="51762" xr:uid="{00000000-0005-0000-0000-000022490000}"/>
    <cellStyle name="Normal 15 5 2 3 2 2 3" xfId="12984" xr:uid="{00000000-0005-0000-0000-000023490000}"/>
    <cellStyle name="Normal 15 5 2 3 2 2 3 2" xfId="51763" xr:uid="{00000000-0005-0000-0000-000024490000}"/>
    <cellStyle name="Normal 15 5 2 3 2 2 4" xfId="12985" xr:uid="{00000000-0005-0000-0000-000025490000}"/>
    <cellStyle name="Normal 15 5 2 3 2 2 5" xfId="12986" xr:uid="{00000000-0005-0000-0000-000026490000}"/>
    <cellStyle name="Normal 15 5 2 3 2 2 6" xfId="12987" xr:uid="{00000000-0005-0000-0000-000027490000}"/>
    <cellStyle name="Normal 15 5 2 3 2 3" xfId="12988" xr:uid="{00000000-0005-0000-0000-000028490000}"/>
    <cellStyle name="Normal 15 5 2 3 2 3 2" xfId="51764" xr:uid="{00000000-0005-0000-0000-000029490000}"/>
    <cellStyle name="Normal 15 5 2 3 2 3 3" xfId="51765" xr:uid="{00000000-0005-0000-0000-00002A490000}"/>
    <cellStyle name="Normal 15 5 2 3 2 4" xfId="12989" xr:uid="{00000000-0005-0000-0000-00002B490000}"/>
    <cellStyle name="Normal 15 5 2 3 2 4 2" xfId="51766" xr:uid="{00000000-0005-0000-0000-00002C490000}"/>
    <cellStyle name="Normal 15 5 2 3 2 5" xfId="12990" xr:uid="{00000000-0005-0000-0000-00002D490000}"/>
    <cellStyle name="Normal 15 5 2 3 2 6" xfId="12991" xr:uid="{00000000-0005-0000-0000-00002E490000}"/>
    <cellStyle name="Normal 15 5 2 3 2 7" xfId="12992" xr:uid="{00000000-0005-0000-0000-00002F490000}"/>
    <cellStyle name="Normal 15 5 2 3 3" xfId="12993" xr:uid="{00000000-0005-0000-0000-000030490000}"/>
    <cellStyle name="Normal 15 5 2 3 3 2" xfId="12994" xr:uid="{00000000-0005-0000-0000-000031490000}"/>
    <cellStyle name="Normal 15 5 2 3 3 2 2" xfId="51767" xr:uid="{00000000-0005-0000-0000-000032490000}"/>
    <cellStyle name="Normal 15 5 2 3 3 2 3" xfId="51768" xr:uid="{00000000-0005-0000-0000-000033490000}"/>
    <cellStyle name="Normal 15 5 2 3 3 3" xfId="12995" xr:uid="{00000000-0005-0000-0000-000034490000}"/>
    <cellStyle name="Normal 15 5 2 3 3 3 2" xfId="51769" xr:uid="{00000000-0005-0000-0000-000035490000}"/>
    <cellStyle name="Normal 15 5 2 3 3 4" xfId="12996" xr:uid="{00000000-0005-0000-0000-000036490000}"/>
    <cellStyle name="Normal 15 5 2 3 3 5" xfId="12997" xr:uid="{00000000-0005-0000-0000-000037490000}"/>
    <cellStyle name="Normal 15 5 2 3 3 6" xfId="12998" xr:uid="{00000000-0005-0000-0000-000038490000}"/>
    <cellStyle name="Normal 15 5 2 3 4" xfId="12999" xr:uid="{00000000-0005-0000-0000-000039490000}"/>
    <cellStyle name="Normal 15 5 2 3 4 2" xfId="51770" xr:uid="{00000000-0005-0000-0000-00003A490000}"/>
    <cellStyle name="Normal 15 5 2 3 4 3" xfId="51771" xr:uid="{00000000-0005-0000-0000-00003B490000}"/>
    <cellStyle name="Normal 15 5 2 3 5" xfId="13000" xr:uid="{00000000-0005-0000-0000-00003C490000}"/>
    <cellStyle name="Normal 15 5 2 3 5 2" xfId="51772" xr:uid="{00000000-0005-0000-0000-00003D490000}"/>
    <cellStyle name="Normal 15 5 2 3 6" xfId="13001" xr:uid="{00000000-0005-0000-0000-00003E490000}"/>
    <cellStyle name="Normal 15 5 2 3 7" xfId="13002" xr:uid="{00000000-0005-0000-0000-00003F490000}"/>
    <cellStyle name="Normal 15 5 2 3 8" xfId="13003" xr:uid="{00000000-0005-0000-0000-000040490000}"/>
    <cellStyle name="Normal 15 5 2 4" xfId="13004" xr:uid="{00000000-0005-0000-0000-000041490000}"/>
    <cellStyle name="Normal 15 5 2 4 2" xfId="13005" xr:uid="{00000000-0005-0000-0000-000042490000}"/>
    <cellStyle name="Normal 15 5 2 4 2 2" xfId="13006" xr:uid="{00000000-0005-0000-0000-000043490000}"/>
    <cellStyle name="Normal 15 5 2 4 2 2 2" xfId="51773" xr:uid="{00000000-0005-0000-0000-000044490000}"/>
    <cellStyle name="Normal 15 5 2 4 2 2 3" xfId="51774" xr:uid="{00000000-0005-0000-0000-000045490000}"/>
    <cellStyle name="Normal 15 5 2 4 2 3" xfId="13007" xr:uid="{00000000-0005-0000-0000-000046490000}"/>
    <cellStyle name="Normal 15 5 2 4 2 3 2" xfId="51775" xr:uid="{00000000-0005-0000-0000-000047490000}"/>
    <cellStyle name="Normal 15 5 2 4 2 4" xfId="13008" xr:uid="{00000000-0005-0000-0000-000048490000}"/>
    <cellStyle name="Normal 15 5 2 4 2 5" xfId="13009" xr:uid="{00000000-0005-0000-0000-000049490000}"/>
    <cellStyle name="Normal 15 5 2 4 2 6" xfId="13010" xr:uid="{00000000-0005-0000-0000-00004A490000}"/>
    <cellStyle name="Normal 15 5 2 4 3" xfId="13011" xr:uid="{00000000-0005-0000-0000-00004B490000}"/>
    <cellStyle name="Normal 15 5 2 4 3 2" xfId="51776" xr:uid="{00000000-0005-0000-0000-00004C490000}"/>
    <cellStyle name="Normal 15 5 2 4 3 3" xfId="51777" xr:uid="{00000000-0005-0000-0000-00004D490000}"/>
    <cellStyle name="Normal 15 5 2 4 4" xfId="13012" xr:uid="{00000000-0005-0000-0000-00004E490000}"/>
    <cellStyle name="Normal 15 5 2 4 4 2" xfId="51778" xr:uid="{00000000-0005-0000-0000-00004F490000}"/>
    <cellStyle name="Normal 15 5 2 4 5" xfId="13013" xr:uid="{00000000-0005-0000-0000-000050490000}"/>
    <cellStyle name="Normal 15 5 2 4 6" xfId="13014" xr:uid="{00000000-0005-0000-0000-000051490000}"/>
    <cellStyle name="Normal 15 5 2 4 7" xfId="13015" xr:uid="{00000000-0005-0000-0000-000052490000}"/>
    <cellStyle name="Normal 15 5 2 5" xfId="13016" xr:uid="{00000000-0005-0000-0000-000053490000}"/>
    <cellStyle name="Normal 15 5 2 5 2" xfId="13017" xr:uid="{00000000-0005-0000-0000-000054490000}"/>
    <cellStyle name="Normal 15 5 2 5 2 2" xfId="51779" xr:uid="{00000000-0005-0000-0000-000055490000}"/>
    <cellStyle name="Normal 15 5 2 5 2 3" xfId="51780" xr:uid="{00000000-0005-0000-0000-000056490000}"/>
    <cellStyle name="Normal 15 5 2 5 3" xfId="13018" xr:uid="{00000000-0005-0000-0000-000057490000}"/>
    <cellStyle name="Normal 15 5 2 5 3 2" xfId="51781" xr:uid="{00000000-0005-0000-0000-000058490000}"/>
    <cellStyle name="Normal 15 5 2 5 4" xfId="13019" xr:uid="{00000000-0005-0000-0000-000059490000}"/>
    <cellStyle name="Normal 15 5 2 5 5" xfId="13020" xr:uid="{00000000-0005-0000-0000-00005A490000}"/>
    <cellStyle name="Normal 15 5 2 5 6" xfId="13021" xr:uid="{00000000-0005-0000-0000-00005B490000}"/>
    <cellStyle name="Normal 15 5 2 6" xfId="13022" xr:uid="{00000000-0005-0000-0000-00005C490000}"/>
    <cellStyle name="Normal 15 5 2 6 2" xfId="51782" xr:uid="{00000000-0005-0000-0000-00005D490000}"/>
    <cellStyle name="Normal 15 5 2 6 3" xfId="51783" xr:uid="{00000000-0005-0000-0000-00005E490000}"/>
    <cellStyle name="Normal 15 5 2 7" xfId="13023" xr:uid="{00000000-0005-0000-0000-00005F490000}"/>
    <cellStyle name="Normal 15 5 2 7 2" xfId="51784" xr:uid="{00000000-0005-0000-0000-000060490000}"/>
    <cellStyle name="Normal 15 5 2 8" xfId="13024" xr:uid="{00000000-0005-0000-0000-000061490000}"/>
    <cellStyle name="Normal 15 5 2 9" xfId="13025" xr:uid="{00000000-0005-0000-0000-000062490000}"/>
    <cellStyle name="Normal 15 5 3" xfId="13026" xr:uid="{00000000-0005-0000-0000-000063490000}"/>
    <cellStyle name="Normal 15 5 3 2" xfId="13027" xr:uid="{00000000-0005-0000-0000-000064490000}"/>
    <cellStyle name="Normal 15 5 3 2 2" xfId="13028" xr:uid="{00000000-0005-0000-0000-000065490000}"/>
    <cellStyle name="Normal 15 5 3 2 2 2" xfId="13029" xr:uid="{00000000-0005-0000-0000-000066490000}"/>
    <cellStyle name="Normal 15 5 3 2 2 2 2" xfId="51785" xr:uid="{00000000-0005-0000-0000-000067490000}"/>
    <cellStyle name="Normal 15 5 3 2 2 2 3" xfId="51786" xr:uid="{00000000-0005-0000-0000-000068490000}"/>
    <cellStyle name="Normal 15 5 3 2 2 3" xfId="13030" xr:uid="{00000000-0005-0000-0000-000069490000}"/>
    <cellStyle name="Normal 15 5 3 2 2 3 2" xfId="51787" xr:uid="{00000000-0005-0000-0000-00006A490000}"/>
    <cellStyle name="Normal 15 5 3 2 2 4" xfId="13031" xr:uid="{00000000-0005-0000-0000-00006B490000}"/>
    <cellStyle name="Normal 15 5 3 2 2 5" xfId="13032" xr:uid="{00000000-0005-0000-0000-00006C490000}"/>
    <cellStyle name="Normal 15 5 3 2 2 6" xfId="13033" xr:uid="{00000000-0005-0000-0000-00006D490000}"/>
    <cellStyle name="Normal 15 5 3 2 3" xfId="13034" xr:uid="{00000000-0005-0000-0000-00006E490000}"/>
    <cellStyle name="Normal 15 5 3 2 3 2" xfId="51788" xr:uid="{00000000-0005-0000-0000-00006F490000}"/>
    <cellStyle name="Normal 15 5 3 2 3 3" xfId="51789" xr:uid="{00000000-0005-0000-0000-000070490000}"/>
    <cellStyle name="Normal 15 5 3 2 4" xfId="13035" xr:uid="{00000000-0005-0000-0000-000071490000}"/>
    <cellStyle name="Normal 15 5 3 2 4 2" xfId="51790" xr:uid="{00000000-0005-0000-0000-000072490000}"/>
    <cellStyle name="Normal 15 5 3 2 5" xfId="13036" xr:uid="{00000000-0005-0000-0000-000073490000}"/>
    <cellStyle name="Normal 15 5 3 2 6" xfId="13037" xr:uid="{00000000-0005-0000-0000-000074490000}"/>
    <cellStyle name="Normal 15 5 3 2 7" xfId="13038" xr:uid="{00000000-0005-0000-0000-000075490000}"/>
    <cellStyle name="Normal 15 5 3 3" xfId="13039" xr:uid="{00000000-0005-0000-0000-000076490000}"/>
    <cellStyle name="Normal 15 5 3 3 2" xfId="13040" xr:uid="{00000000-0005-0000-0000-000077490000}"/>
    <cellStyle name="Normal 15 5 3 3 2 2" xfId="51791" xr:uid="{00000000-0005-0000-0000-000078490000}"/>
    <cellStyle name="Normal 15 5 3 3 2 3" xfId="51792" xr:uid="{00000000-0005-0000-0000-000079490000}"/>
    <cellStyle name="Normal 15 5 3 3 3" xfId="13041" xr:uid="{00000000-0005-0000-0000-00007A490000}"/>
    <cellStyle name="Normal 15 5 3 3 3 2" xfId="51793" xr:uid="{00000000-0005-0000-0000-00007B490000}"/>
    <cellStyle name="Normal 15 5 3 3 4" xfId="13042" xr:uid="{00000000-0005-0000-0000-00007C490000}"/>
    <cellStyle name="Normal 15 5 3 3 5" xfId="13043" xr:uid="{00000000-0005-0000-0000-00007D490000}"/>
    <cellStyle name="Normal 15 5 3 3 6" xfId="13044" xr:uid="{00000000-0005-0000-0000-00007E490000}"/>
    <cellStyle name="Normal 15 5 3 4" xfId="13045" xr:uid="{00000000-0005-0000-0000-00007F490000}"/>
    <cellStyle name="Normal 15 5 3 4 2" xfId="51794" xr:uid="{00000000-0005-0000-0000-000080490000}"/>
    <cellStyle name="Normal 15 5 3 4 3" xfId="51795" xr:uid="{00000000-0005-0000-0000-000081490000}"/>
    <cellStyle name="Normal 15 5 3 5" xfId="13046" xr:uid="{00000000-0005-0000-0000-000082490000}"/>
    <cellStyle name="Normal 15 5 3 5 2" xfId="51796" xr:uid="{00000000-0005-0000-0000-000083490000}"/>
    <cellStyle name="Normal 15 5 3 6" xfId="13047" xr:uid="{00000000-0005-0000-0000-000084490000}"/>
    <cellStyle name="Normal 15 5 3 7" xfId="13048" xr:uid="{00000000-0005-0000-0000-000085490000}"/>
    <cellStyle name="Normal 15 5 3 8" xfId="13049" xr:uid="{00000000-0005-0000-0000-000086490000}"/>
    <cellStyle name="Normal 15 5 3 9" xfId="13050" xr:uid="{00000000-0005-0000-0000-000087490000}"/>
    <cellStyle name="Normal 15 5 4" xfId="13051" xr:uid="{00000000-0005-0000-0000-000088490000}"/>
    <cellStyle name="Normal 15 5 4 2" xfId="13052" xr:uid="{00000000-0005-0000-0000-000089490000}"/>
    <cellStyle name="Normal 15 5 4 2 2" xfId="13053" xr:uid="{00000000-0005-0000-0000-00008A490000}"/>
    <cellStyle name="Normal 15 5 4 2 2 2" xfId="13054" xr:uid="{00000000-0005-0000-0000-00008B490000}"/>
    <cellStyle name="Normal 15 5 4 2 2 2 2" xfId="51797" xr:uid="{00000000-0005-0000-0000-00008C490000}"/>
    <cellStyle name="Normal 15 5 4 2 2 2 3" xfId="51798" xr:uid="{00000000-0005-0000-0000-00008D490000}"/>
    <cellStyle name="Normal 15 5 4 2 2 3" xfId="13055" xr:uid="{00000000-0005-0000-0000-00008E490000}"/>
    <cellStyle name="Normal 15 5 4 2 2 3 2" xfId="51799" xr:uid="{00000000-0005-0000-0000-00008F490000}"/>
    <cellStyle name="Normal 15 5 4 2 2 4" xfId="13056" xr:uid="{00000000-0005-0000-0000-000090490000}"/>
    <cellStyle name="Normal 15 5 4 2 2 5" xfId="13057" xr:uid="{00000000-0005-0000-0000-000091490000}"/>
    <cellStyle name="Normal 15 5 4 2 2 6" xfId="13058" xr:uid="{00000000-0005-0000-0000-000092490000}"/>
    <cellStyle name="Normal 15 5 4 2 3" xfId="13059" xr:uid="{00000000-0005-0000-0000-000093490000}"/>
    <cellStyle name="Normal 15 5 4 2 3 2" xfId="51800" xr:uid="{00000000-0005-0000-0000-000094490000}"/>
    <cellStyle name="Normal 15 5 4 2 3 3" xfId="51801" xr:uid="{00000000-0005-0000-0000-000095490000}"/>
    <cellStyle name="Normal 15 5 4 2 4" xfId="13060" xr:uid="{00000000-0005-0000-0000-000096490000}"/>
    <cellStyle name="Normal 15 5 4 2 4 2" xfId="51802" xr:uid="{00000000-0005-0000-0000-000097490000}"/>
    <cellStyle name="Normal 15 5 4 2 5" xfId="13061" xr:uid="{00000000-0005-0000-0000-000098490000}"/>
    <cellStyle name="Normal 15 5 4 2 6" xfId="13062" xr:uid="{00000000-0005-0000-0000-000099490000}"/>
    <cellStyle name="Normal 15 5 4 2 7" xfId="13063" xr:uid="{00000000-0005-0000-0000-00009A490000}"/>
    <cellStyle name="Normal 15 5 4 3" xfId="13064" xr:uid="{00000000-0005-0000-0000-00009B490000}"/>
    <cellStyle name="Normal 15 5 4 3 2" xfId="13065" xr:uid="{00000000-0005-0000-0000-00009C490000}"/>
    <cellStyle name="Normal 15 5 4 3 2 2" xfId="51803" xr:uid="{00000000-0005-0000-0000-00009D490000}"/>
    <cellStyle name="Normal 15 5 4 3 2 3" xfId="51804" xr:uid="{00000000-0005-0000-0000-00009E490000}"/>
    <cellStyle name="Normal 15 5 4 3 3" xfId="13066" xr:uid="{00000000-0005-0000-0000-00009F490000}"/>
    <cellStyle name="Normal 15 5 4 3 3 2" xfId="51805" xr:uid="{00000000-0005-0000-0000-0000A0490000}"/>
    <cellStyle name="Normal 15 5 4 3 4" xfId="13067" xr:uid="{00000000-0005-0000-0000-0000A1490000}"/>
    <cellStyle name="Normal 15 5 4 3 5" xfId="13068" xr:uid="{00000000-0005-0000-0000-0000A2490000}"/>
    <cellStyle name="Normal 15 5 4 3 6" xfId="13069" xr:uid="{00000000-0005-0000-0000-0000A3490000}"/>
    <cellStyle name="Normal 15 5 4 4" xfId="13070" xr:uid="{00000000-0005-0000-0000-0000A4490000}"/>
    <cellStyle name="Normal 15 5 4 4 2" xfId="51806" xr:uid="{00000000-0005-0000-0000-0000A5490000}"/>
    <cellStyle name="Normal 15 5 4 4 3" xfId="51807" xr:uid="{00000000-0005-0000-0000-0000A6490000}"/>
    <cellStyle name="Normal 15 5 4 5" xfId="13071" xr:uid="{00000000-0005-0000-0000-0000A7490000}"/>
    <cellStyle name="Normal 15 5 4 5 2" xfId="51808" xr:uid="{00000000-0005-0000-0000-0000A8490000}"/>
    <cellStyle name="Normal 15 5 4 6" xfId="13072" xr:uid="{00000000-0005-0000-0000-0000A9490000}"/>
    <cellStyle name="Normal 15 5 4 7" xfId="13073" xr:uid="{00000000-0005-0000-0000-0000AA490000}"/>
    <cellStyle name="Normal 15 5 4 8" xfId="13074" xr:uid="{00000000-0005-0000-0000-0000AB490000}"/>
    <cellStyle name="Normal 15 5 5" xfId="13075" xr:uid="{00000000-0005-0000-0000-0000AC490000}"/>
    <cellStyle name="Normal 15 5 5 2" xfId="13076" xr:uid="{00000000-0005-0000-0000-0000AD490000}"/>
    <cellStyle name="Normal 15 5 5 2 2" xfId="13077" xr:uid="{00000000-0005-0000-0000-0000AE490000}"/>
    <cellStyle name="Normal 15 5 5 2 2 2" xfId="51809" xr:uid="{00000000-0005-0000-0000-0000AF490000}"/>
    <cellStyle name="Normal 15 5 5 2 2 3" xfId="51810" xr:uid="{00000000-0005-0000-0000-0000B0490000}"/>
    <cellStyle name="Normal 15 5 5 2 3" xfId="13078" xr:uid="{00000000-0005-0000-0000-0000B1490000}"/>
    <cellStyle name="Normal 15 5 5 2 3 2" xfId="51811" xr:uid="{00000000-0005-0000-0000-0000B2490000}"/>
    <cellStyle name="Normal 15 5 5 2 4" xfId="13079" xr:uid="{00000000-0005-0000-0000-0000B3490000}"/>
    <cellStyle name="Normal 15 5 5 2 5" xfId="13080" xr:uid="{00000000-0005-0000-0000-0000B4490000}"/>
    <cellStyle name="Normal 15 5 5 2 6" xfId="13081" xr:uid="{00000000-0005-0000-0000-0000B5490000}"/>
    <cellStyle name="Normal 15 5 5 3" xfId="13082" xr:uid="{00000000-0005-0000-0000-0000B6490000}"/>
    <cellStyle name="Normal 15 5 5 3 2" xfId="51812" xr:uid="{00000000-0005-0000-0000-0000B7490000}"/>
    <cellStyle name="Normal 15 5 5 3 3" xfId="51813" xr:uid="{00000000-0005-0000-0000-0000B8490000}"/>
    <cellStyle name="Normal 15 5 5 4" xfId="13083" xr:uid="{00000000-0005-0000-0000-0000B9490000}"/>
    <cellStyle name="Normal 15 5 5 4 2" xfId="51814" xr:uid="{00000000-0005-0000-0000-0000BA490000}"/>
    <cellStyle name="Normal 15 5 5 5" xfId="13084" xr:uid="{00000000-0005-0000-0000-0000BB490000}"/>
    <cellStyle name="Normal 15 5 5 6" xfId="13085" xr:uid="{00000000-0005-0000-0000-0000BC490000}"/>
    <cellStyle name="Normal 15 5 5 7" xfId="13086" xr:uid="{00000000-0005-0000-0000-0000BD490000}"/>
    <cellStyle name="Normal 15 5 6" xfId="13087" xr:uid="{00000000-0005-0000-0000-0000BE490000}"/>
    <cellStyle name="Normal 15 5 6 2" xfId="13088" xr:uid="{00000000-0005-0000-0000-0000BF490000}"/>
    <cellStyle name="Normal 15 5 6 2 2" xfId="51815" xr:uid="{00000000-0005-0000-0000-0000C0490000}"/>
    <cellStyle name="Normal 15 5 6 2 3" xfId="51816" xr:uid="{00000000-0005-0000-0000-0000C1490000}"/>
    <cellStyle name="Normal 15 5 6 3" xfId="13089" xr:uid="{00000000-0005-0000-0000-0000C2490000}"/>
    <cellStyle name="Normal 15 5 6 3 2" xfId="51817" xr:uid="{00000000-0005-0000-0000-0000C3490000}"/>
    <cellStyle name="Normal 15 5 6 4" xfId="13090" xr:uid="{00000000-0005-0000-0000-0000C4490000}"/>
    <cellStyle name="Normal 15 5 6 5" xfId="13091" xr:uid="{00000000-0005-0000-0000-0000C5490000}"/>
    <cellStyle name="Normal 15 5 6 6" xfId="13092" xr:uid="{00000000-0005-0000-0000-0000C6490000}"/>
    <cellStyle name="Normal 15 5 7" xfId="13093" xr:uid="{00000000-0005-0000-0000-0000C7490000}"/>
    <cellStyle name="Normal 15 5 7 2" xfId="51818" xr:uid="{00000000-0005-0000-0000-0000C8490000}"/>
    <cellStyle name="Normal 15 5 7 3" xfId="51819" xr:uid="{00000000-0005-0000-0000-0000C9490000}"/>
    <cellStyle name="Normal 15 5 8" xfId="13094" xr:uid="{00000000-0005-0000-0000-0000CA490000}"/>
    <cellStyle name="Normal 15 5 8 2" xfId="51820" xr:uid="{00000000-0005-0000-0000-0000CB490000}"/>
    <cellStyle name="Normal 15 5 9" xfId="13095" xr:uid="{00000000-0005-0000-0000-0000CC490000}"/>
    <cellStyle name="Normal 15 5 9 2" xfId="51821" xr:uid="{00000000-0005-0000-0000-0000CD490000}"/>
    <cellStyle name="Normal 15 6" xfId="13096" xr:uid="{00000000-0005-0000-0000-0000CE490000}"/>
    <cellStyle name="Normal 15 6 10" xfId="13097" xr:uid="{00000000-0005-0000-0000-0000CF490000}"/>
    <cellStyle name="Normal 15 6 11" xfId="13098" xr:uid="{00000000-0005-0000-0000-0000D0490000}"/>
    <cellStyle name="Normal 15 6 12" xfId="13099" xr:uid="{00000000-0005-0000-0000-0000D1490000}"/>
    <cellStyle name="Normal 15 6 13" xfId="13100" xr:uid="{00000000-0005-0000-0000-0000D2490000}"/>
    <cellStyle name="Normal 15 6 14" xfId="13101" xr:uid="{00000000-0005-0000-0000-0000D3490000}"/>
    <cellStyle name="Normal 15 6 15" xfId="13102" xr:uid="{00000000-0005-0000-0000-0000D4490000}"/>
    <cellStyle name="Normal 15 6 2" xfId="13103" xr:uid="{00000000-0005-0000-0000-0000D5490000}"/>
    <cellStyle name="Normal 15 6 2 2" xfId="13104" xr:uid="{00000000-0005-0000-0000-0000D6490000}"/>
    <cellStyle name="Normal 15 6 2 2 2" xfId="13105" xr:uid="{00000000-0005-0000-0000-0000D7490000}"/>
    <cellStyle name="Normal 15 6 2 2 2 2" xfId="13106" xr:uid="{00000000-0005-0000-0000-0000D8490000}"/>
    <cellStyle name="Normal 15 6 2 2 2 2 2" xfId="51822" xr:uid="{00000000-0005-0000-0000-0000D9490000}"/>
    <cellStyle name="Normal 15 6 2 2 2 2 3" xfId="51823" xr:uid="{00000000-0005-0000-0000-0000DA490000}"/>
    <cellStyle name="Normal 15 6 2 2 2 3" xfId="13107" xr:uid="{00000000-0005-0000-0000-0000DB490000}"/>
    <cellStyle name="Normal 15 6 2 2 2 3 2" xfId="51824" xr:uid="{00000000-0005-0000-0000-0000DC490000}"/>
    <cellStyle name="Normal 15 6 2 2 2 4" xfId="13108" xr:uid="{00000000-0005-0000-0000-0000DD490000}"/>
    <cellStyle name="Normal 15 6 2 2 2 5" xfId="13109" xr:uid="{00000000-0005-0000-0000-0000DE490000}"/>
    <cellStyle name="Normal 15 6 2 2 2 6" xfId="13110" xr:uid="{00000000-0005-0000-0000-0000DF490000}"/>
    <cellStyle name="Normal 15 6 2 2 3" xfId="13111" xr:uid="{00000000-0005-0000-0000-0000E0490000}"/>
    <cellStyle name="Normal 15 6 2 2 3 2" xfId="51825" xr:uid="{00000000-0005-0000-0000-0000E1490000}"/>
    <cellStyle name="Normal 15 6 2 2 3 3" xfId="51826" xr:uid="{00000000-0005-0000-0000-0000E2490000}"/>
    <cellStyle name="Normal 15 6 2 2 4" xfId="13112" xr:uid="{00000000-0005-0000-0000-0000E3490000}"/>
    <cellStyle name="Normal 15 6 2 2 4 2" xfId="51827" xr:uid="{00000000-0005-0000-0000-0000E4490000}"/>
    <cellStyle name="Normal 15 6 2 2 5" xfId="13113" xr:uid="{00000000-0005-0000-0000-0000E5490000}"/>
    <cellStyle name="Normal 15 6 2 2 6" xfId="13114" xr:uid="{00000000-0005-0000-0000-0000E6490000}"/>
    <cellStyle name="Normal 15 6 2 2 7" xfId="13115" xr:uid="{00000000-0005-0000-0000-0000E7490000}"/>
    <cellStyle name="Normal 15 6 2 3" xfId="13116" xr:uid="{00000000-0005-0000-0000-0000E8490000}"/>
    <cellStyle name="Normal 15 6 2 3 2" xfId="13117" xr:uid="{00000000-0005-0000-0000-0000E9490000}"/>
    <cellStyle name="Normal 15 6 2 3 2 2" xfId="51828" xr:uid="{00000000-0005-0000-0000-0000EA490000}"/>
    <cellStyle name="Normal 15 6 2 3 2 3" xfId="51829" xr:uid="{00000000-0005-0000-0000-0000EB490000}"/>
    <cellStyle name="Normal 15 6 2 3 3" xfId="13118" xr:uid="{00000000-0005-0000-0000-0000EC490000}"/>
    <cellStyle name="Normal 15 6 2 3 3 2" xfId="51830" xr:uid="{00000000-0005-0000-0000-0000ED490000}"/>
    <cellStyle name="Normal 15 6 2 3 4" xfId="13119" xr:uid="{00000000-0005-0000-0000-0000EE490000}"/>
    <cellStyle name="Normal 15 6 2 3 5" xfId="13120" xr:uid="{00000000-0005-0000-0000-0000EF490000}"/>
    <cellStyle name="Normal 15 6 2 3 6" xfId="13121" xr:uid="{00000000-0005-0000-0000-0000F0490000}"/>
    <cellStyle name="Normal 15 6 2 4" xfId="13122" xr:uid="{00000000-0005-0000-0000-0000F1490000}"/>
    <cellStyle name="Normal 15 6 2 4 2" xfId="51831" xr:uid="{00000000-0005-0000-0000-0000F2490000}"/>
    <cellStyle name="Normal 15 6 2 4 3" xfId="51832" xr:uid="{00000000-0005-0000-0000-0000F3490000}"/>
    <cellStyle name="Normal 15 6 2 5" xfId="13123" xr:uid="{00000000-0005-0000-0000-0000F4490000}"/>
    <cellStyle name="Normal 15 6 2 5 2" xfId="51833" xr:uid="{00000000-0005-0000-0000-0000F5490000}"/>
    <cellStyle name="Normal 15 6 2 6" xfId="13124" xr:uid="{00000000-0005-0000-0000-0000F6490000}"/>
    <cellStyle name="Normal 15 6 2 7" xfId="13125" xr:uid="{00000000-0005-0000-0000-0000F7490000}"/>
    <cellStyle name="Normal 15 6 2 8" xfId="13126" xr:uid="{00000000-0005-0000-0000-0000F8490000}"/>
    <cellStyle name="Normal 15 6 2 9" xfId="13127" xr:uid="{00000000-0005-0000-0000-0000F9490000}"/>
    <cellStyle name="Normal 15 6 3" xfId="13128" xr:uid="{00000000-0005-0000-0000-0000FA490000}"/>
    <cellStyle name="Normal 15 6 3 2" xfId="13129" xr:uid="{00000000-0005-0000-0000-0000FB490000}"/>
    <cellStyle name="Normal 15 6 3 2 2" xfId="13130" xr:uid="{00000000-0005-0000-0000-0000FC490000}"/>
    <cellStyle name="Normal 15 6 3 2 2 2" xfId="13131" xr:uid="{00000000-0005-0000-0000-0000FD490000}"/>
    <cellStyle name="Normal 15 6 3 2 2 2 2" xfId="51834" xr:uid="{00000000-0005-0000-0000-0000FE490000}"/>
    <cellStyle name="Normal 15 6 3 2 2 2 3" xfId="51835" xr:uid="{00000000-0005-0000-0000-0000FF490000}"/>
    <cellStyle name="Normal 15 6 3 2 2 3" xfId="13132" xr:uid="{00000000-0005-0000-0000-0000004A0000}"/>
    <cellStyle name="Normal 15 6 3 2 2 3 2" xfId="51836" xr:uid="{00000000-0005-0000-0000-0000014A0000}"/>
    <cellStyle name="Normal 15 6 3 2 2 4" xfId="13133" xr:uid="{00000000-0005-0000-0000-0000024A0000}"/>
    <cellStyle name="Normal 15 6 3 2 2 5" xfId="13134" xr:uid="{00000000-0005-0000-0000-0000034A0000}"/>
    <cellStyle name="Normal 15 6 3 2 2 6" xfId="13135" xr:uid="{00000000-0005-0000-0000-0000044A0000}"/>
    <cellStyle name="Normal 15 6 3 2 3" xfId="13136" xr:uid="{00000000-0005-0000-0000-0000054A0000}"/>
    <cellStyle name="Normal 15 6 3 2 3 2" xfId="51837" xr:uid="{00000000-0005-0000-0000-0000064A0000}"/>
    <cellStyle name="Normal 15 6 3 2 3 3" xfId="51838" xr:uid="{00000000-0005-0000-0000-0000074A0000}"/>
    <cellStyle name="Normal 15 6 3 2 4" xfId="13137" xr:uid="{00000000-0005-0000-0000-0000084A0000}"/>
    <cellStyle name="Normal 15 6 3 2 4 2" xfId="51839" xr:uid="{00000000-0005-0000-0000-0000094A0000}"/>
    <cellStyle name="Normal 15 6 3 2 5" xfId="13138" xr:uid="{00000000-0005-0000-0000-00000A4A0000}"/>
    <cellStyle name="Normal 15 6 3 2 6" xfId="13139" xr:uid="{00000000-0005-0000-0000-00000B4A0000}"/>
    <cellStyle name="Normal 15 6 3 2 7" xfId="13140" xr:uid="{00000000-0005-0000-0000-00000C4A0000}"/>
    <cellStyle name="Normal 15 6 3 3" xfId="13141" xr:uid="{00000000-0005-0000-0000-00000D4A0000}"/>
    <cellStyle name="Normal 15 6 3 3 2" xfId="13142" xr:uid="{00000000-0005-0000-0000-00000E4A0000}"/>
    <cellStyle name="Normal 15 6 3 3 2 2" xfId="51840" xr:uid="{00000000-0005-0000-0000-00000F4A0000}"/>
    <cellStyle name="Normal 15 6 3 3 2 3" xfId="51841" xr:uid="{00000000-0005-0000-0000-0000104A0000}"/>
    <cellStyle name="Normal 15 6 3 3 3" xfId="13143" xr:uid="{00000000-0005-0000-0000-0000114A0000}"/>
    <cellStyle name="Normal 15 6 3 3 3 2" xfId="51842" xr:uid="{00000000-0005-0000-0000-0000124A0000}"/>
    <cellStyle name="Normal 15 6 3 3 4" xfId="13144" xr:uid="{00000000-0005-0000-0000-0000134A0000}"/>
    <cellStyle name="Normal 15 6 3 3 5" xfId="13145" xr:uid="{00000000-0005-0000-0000-0000144A0000}"/>
    <cellStyle name="Normal 15 6 3 3 6" xfId="13146" xr:uid="{00000000-0005-0000-0000-0000154A0000}"/>
    <cellStyle name="Normal 15 6 3 4" xfId="13147" xr:uid="{00000000-0005-0000-0000-0000164A0000}"/>
    <cellStyle name="Normal 15 6 3 4 2" xfId="51843" xr:uid="{00000000-0005-0000-0000-0000174A0000}"/>
    <cellStyle name="Normal 15 6 3 4 3" xfId="51844" xr:uid="{00000000-0005-0000-0000-0000184A0000}"/>
    <cellStyle name="Normal 15 6 3 5" xfId="13148" xr:uid="{00000000-0005-0000-0000-0000194A0000}"/>
    <cellStyle name="Normal 15 6 3 5 2" xfId="51845" xr:uid="{00000000-0005-0000-0000-00001A4A0000}"/>
    <cellStyle name="Normal 15 6 3 6" xfId="13149" xr:uid="{00000000-0005-0000-0000-00001B4A0000}"/>
    <cellStyle name="Normal 15 6 3 7" xfId="13150" xr:uid="{00000000-0005-0000-0000-00001C4A0000}"/>
    <cellStyle name="Normal 15 6 3 8" xfId="13151" xr:uid="{00000000-0005-0000-0000-00001D4A0000}"/>
    <cellStyle name="Normal 15 6 4" xfId="13152" xr:uid="{00000000-0005-0000-0000-00001E4A0000}"/>
    <cellStyle name="Normal 15 6 4 2" xfId="13153" xr:uid="{00000000-0005-0000-0000-00001F4A0000}"/>
    <cellStyle name="Normal 15 6 4 2 2" xfId="13154" xr:uid="{00000000-0005-0000-0000-0000204A0000}"/>
    <cellStyle name="Normal 15 6 4 2 2 2" xfId="51846" xr:uid="{00000000-0005-0000-0000-0000214A0000}"/>
    <cellStyle name="Normal 15 6 4 2 2 3" xfId="51847" xr:uid="{00000000-0005-0000-0000-0000224A0000}"/>
    <cellStyle name="Normal 15 6 4 2 3" xfId="13155" xr:uid="{00000000-0005-0000-0000-0000234A0000}"/>
    <cellStyle name="Normal 15 6 4 2 3 2" xfId="51848" xr:uid="{00000000-0005-0000-0000-0000244A0000}"/>
    <cellStyle name="Normal 15 6 4 2 4" xfId="13156" xr:uid="{00000000-0005-0000-0000-0000254A0000}"/>
    <cellStyle name="Normal 15 6 4 2 5" xfId="13157" xr:uid="{00000000-0005-0000-0000-0000264A0000}"/>
    <cellStyle name="Normal 15 6 4 2 6" xfId="13158" xr:uid="{00000000-0005-0000-0000-0000274A0000}"/>
    <cellStyle name="Normal 15 6 4 3" xfId="13159" xr:uid="{00000000-0005-0000-0000-0000284A0000}"/>
    <cellStyle name="Normal 15 6 4 3 2" xfId="51849" xr:uid="{00000000-0005-0000-0000-0000294A0000}"/>
    <cellStyle name="Normal 15 6 4 3 3" xfId="51850" xr:uid="{00000000-0005-0000-0000-00002A4A0000}"/>
    <cellStyle name="Normal 15 6 4 4" xfId="13160" xr:uid="{00000000-0005-0000-0000-00002B4A0000}"/>
    <cellStyle name="Normal 15 6 4 4 2" xfId="51851" xr:uid="{00000000-0005-0000-0000-00002C4A0000}"/>
    <cellStyle name="Normal 15 6 4 5" xfId="13161" xr:uid="{00000000-0005-0000-0000-00002D4A0000}"/>
    <cellStyle name="Normal 15 6 4 6" xfId="13162" xr:uid="{00000000-0005-0000-0000-00002E4A0000}"/>
    <cellStyle name="Normal 15 6 4 7" xfId="13163" xr:uid="{00000000-0005-0000-0000-00002F4A0000}"/>
    <cellStyle name="Normal 15 6 5" xfId="13164" xr:uid="{00000000-0005-0000-0000-0000304A0000}"/>
    <cellStyle name="Normal 15 6 5 2" xfId="13165" xr:uid="{00000000-0005-0000-0000-0000314A0000}"/>
    <cellStyle name="Normal 15 6 5 2 2" xfId="51852" xr:uid="{00000000-0005-0000-0000-0000324A0000}"/>
    <cellStyle name="Normal 15 6 5 2 3" xfId="51853" xr:uid="{00000000-0005-0000-0000-0000334A0000}"/>
    <cellStyle name="Normal 15 6 5 3" xfId="13166" xr:uid="{00000000-0005-0000-0000-0000344A0000}"/>
    <cellStyle name="Normal 15 6 5 3 2" xfId="51854" xr:uid="{00000000-0005-0000-0000-0000354A0000}"/>
    <cellStyle name="Normal 15 6 5 4" xfId="13167" xr:uid="{00000000-0005-0000-0000-0000364A0000}"/>
    <cellStyle name="Normal 15 6 5 5" xfId="13168" xr:uid="{00000000-0005-0000-0000-0000374A0000}"/>
    <cellStyle name="Normal 15 6 5 6" xfId="13169" xr:uid="{00000000-0005-0000-0000-0000384A0000}"/>
    <cellStyle name="Normal 15 6 6" xfId="13170" xr:uid="{00000000-0005-0000-0000-0000394A0000}"/>
    <cellStyle name="Normal 15 6 6 2" xfId="51855" xr:uid="{00000000-0005-0000-0000-00003A4A0000}"/>
    <cellStyle name="Normal 15 6 6 3" xfId="51856" xr:uid="{00000000-0005-0000-0000-00003B4A0000}"/>
    <cellStyle name="Normal 15 6 7" xfId="13171" xr:uid="{00000000-0005-0000-0000-00003C4A0000}"/>
    <cellStyle name="Normal 15 6 7 2" xfId="51857" xr:uid="{00000000-0005-0000-0000-00003D4A0000}"/>
    <cellStyle name="Normal 15 6 8" xfId="13172" xr:uid="{00000000-0005-0000-0000-00003E4A0000}"/>
    <cellStyle name="Normal 15 6 9" xfId="13173" xr:uid="{00000000-0005-0000-0000-00003F4A0000}"/>
    <cellStyle name="Normal 15 7" xfId="13174" xr:uid="{00000000-0005-0000-0000-0000404A0000}"/>
    <cellStyle name="Normal 15 7 10" xfId="13175" xr:uid="{00000000-0005-0000-0000-0000414A0000}"/>
    <cellStyle name="Normal 15 7 11" xfId="13176" xr:uid="{00000000-0005-0000-0000-0000424A0000}"/>
    <cellStyle name="Normal 15 7 12" xfId="13177" xr:uid="{00000000-0005-0000-0000-0000434A0000}"/>
    <cellStyle name="Normal 15 7 13" xfId="13178" xr:uid="{00000000-0005-0000-0000-0000444A0000}"/>
    <cellStyle name="Normal 15 7 14" xfId="13179" xr:uid="{00000000-0005-0000-0000-0000454A0000}"/>
    <cellStyle name="Normal 15 7 2" xfId="13180" xr:uid="{00000000-0005-0000-0000-0000464A0000}"/>
    <cellStyle name="Normal 15 7 2 2" xfId="13181" xr:uid="{00000000-0005-0000-0000-0000474A0000}"/>
    <cellStyle name="Normal 15 7 2 2 2" xfId="13182" xr:uid="{00000000-0005-0000-0000-0000484A0000}"/>
    <cellStyle name="Normal 15 7 2 2 2 2" xfId="13183" xr:uid="{00000000-0005-0000-0000-0000494A0000}"/>
    <cellStyle name="Normal 15 7 2 2 2 2 2" xfId="51858" xr:uid="{00000000-0005-0000-0000-00004A4A0000}"/>
    <cellStyle name="Normal 15 7 2 2 2 2 3" xfId="51859" xr:uid="{00000000-0005-0000-0000-00004B4A0000}"/>
    <cellStyle name="Normal 15 7 2 2 2 3" xfId="13184" xr:uid="{00000000-0005-0000-0000-00004C4A0000}"/>
    <cellStyle name="Normal 15 7 2 2 2 3 2" xfId="51860" xr:uid="{00000000-0005-0000-0000-00004D4A0000}"/>
    <cellStyle name="Normal 15 7 2 2 2 4" xfId="13185" xr:uid="{00000000-0005-0000-0000-00004E4A0000}"/>
    <cellStyle name="Normal 15 7 2 2 2 5" xfId="13186" xr:uid="{00000000-0005-0000-0000-00004F4A0000}"/>
    <cellStyle name="Normal 15 7 2 2 2 6" xfId="13187" xr:uid="{00000000-0005-0000-0000-0000504A0000}"/>
    <cellStyle name="Normal 15 7 2 2 3" xfId="13188" xr:uid="{00000000-0005-0000-0000-0000514A0000}"/>
    <cellStyle name="Normal 15 7 2 2 3 2" xfId="51861" xr:uid="{00000000-0005-0000-0000-0000524A0000}"/>
    <cellStyle name="Normal 15 7 2 2 3 3" xfId="51862" xr:uid="{00000000-0005-0000-0000-0000534A0000}"/>
    <cellStyle name="Normal 15 7 2 2 4" xfId="13189" xr:uid="{00000000-0005-0000-0000-0000544A0000}"/>
    <cellStyle name="Normal 15 7 2 2 4 2" xfId="51863" xr:uid="{00000000-0005-0000-0000-0000554A0000}"/>
    <cellStyle name="Normal 15 7 2 2 5" xfId="13190" xr:uid="{00000000-0005-0000-0000-0000564A0000}"/>
    <cellStyle name="Normal 15 7 2 2 6" xfId="13191" xr:uid="{00000000-0005-0000-0000-0000574A0000}"/>
    <cellStyle name="Normal 15 7 2 2 7" xfId="13192" xr:uid="{00000000-0005-0000-0000-0000584A0000}"/>
    <cellStyle name="Normal 15 7 2 3" xfId="13193" xr:uid="{00000000-0005-0000-0000-0000594A0000}"/>
    <cellStyle name="Normal 15 7 2 3 2" xfId="13194" xr:uid="{00000000-0005-0000-0000-00005A4A0000}"/>
    <cellStyle name="Normal 15 7 2 3 2 2" xfId="51864" xr:uid="{00000000-0005-0000-0000-00005B4A0000}"/>
    <cellStyle name="Normal 15 7 2 3 2 3" xfId="51865" xr:uid="{00000000-0005-0000-0000-00005C4A0000}"/>
    <cellStyle name="Normal 15 7 2 3 3" xfId="13195" xr:uid="{00000000-0005-0000-0000-00005D4A0000}"/>
    <cellStyle name="Normal 15 7 2 3 3 2" xfId="51866" xr:uid="{00000000-0005-0000-0000-00005E4A0000}"/>
    <cellStyle name="Normal 15 7 2 3 4" xfId="13196" xr:uid="{00000000-0005-0000-0000-00005F4A0000}"/>
    <cellStyle name="Normal 15 7 2 3 5" xfId="13197" xr:uid="{00000000-0005-0000-0000-0000604A0000}"/>
    <cellStyle name="Normal 15 7 2 3 6" xfId="13198" xr:uid="{00000000-0005-0000-0000-0000614A0000}"/>
    <cellStyle name="Normal 15 7 2 4" xfId="13199" xr:uid="{00000000-0005-0000-0000-0000624A0000}"/>
    <cellStyle name="Normal 15 7 2 4 2" xfId="51867" xr:uid="{00000000-0005-0000-0000-0000634A0000}"/>
    <cellStyle name="Normal 15 7 2 4 3" xfId="51868" xr:uid="{00000000-0005-0000-0000-0000644A0000}"/>
    <cellStyle name="Normal 15 7 2 5" xfId="13200" xr:uid="{00000000-0005-0000-0000-0000654A0000}"/>
    <cellStyle name="Normal 15 7 2 5 2" xfId="51869" xr:uid="{00000000-0005-0000-0000-0000664A0000}"/>
    <cellStyle name="Normal 15 7 2 6" xfId="13201" xr:uid="{00000000-0005-0000-0000-0000674A0000}"/>
    <cellStyle name="Normal 15 7 2 7" xfId="13202" xr:uid="{00000000-0005-0000-0000-0000684A0000}"/>
    <cellStyle name="Normal 15 7 2 8" xfId="13203" xr:uid="{00000000-0005-0000-0000-0000694A0000}"/>
    <cellStyle name="Normal 15 7 2 9" xfId="13204" xr:uid="{00000000-0005-0000-0000-00006A4A0000}"/>
    <cellStyle name="Normal 15 7 3" xfId="13205" xr:uid="{00000000-0005-0000-0000-00006B4A0000}"/>
    <cellStyle name="Normal 15 7 3 2" xfId="13206" xr:uid="{00000000-0005-0000-0000-00006C4A0000}"/>
    <cellStyle name="Normal 15 7 3 2 2" xfId="13207" xr:uid="{00000000-0005-0000-0000-00006D4A0000}"/>
    <cellStyle name="Normal 15 7 3 2 2 2" xfId="13208" xr:uid="{00000000-0005-0000-0000-00006E4A0000}"/>
    <cellStyle name="Normal 15 7 3 2 2 2 2" xfId="51870" xr:uid="{00000000-0005-0000-0000-00006F4A0000}"/>
    <cellStyle name="Normal 15 7 3 2 2 2 3" xfId="51871" xr:uid="{00000000-0005-0000-0000-0000704A0000}"/>
    <cellStyle name="Normal 15 7 3 2 2 3" xfId="13209" xr:uid="{00000000-0005-0000-0000-0000714A0000}"/>
    <cellStyle name="Normal 15 7 3 2 2 3 2" xfId="51872" xr:uid="{00000000-0005-0000-0000-0000724A0000}"/>
    <cellStyle name="Normal 15 7 3 2 2 4" xfId="13210" xr:uid="{00000000-0005-0000-0000-0000734A0000}"/>
    <cellStyle name="Normal 15 7 3 2 2 5" xfId="13211" xr:uid="{00000000-0005-0000-0000-0000744A0000}"/>
    <cellStyle name="Normal 15 7 3 2 2 6" xfId="13212" xr:uid="{00000000-0005-0000-0000-0000754A0000}"/>
    <cellStyle name="Normal 15 7 3 2 3" xfId="13213" xr:uid="{00000000-0005-0000-0000-0000764A0000}"/>
    <cellStyle name="Normal 15 7 3 2 3 2" xfId="51873" xr:uid="{00000000-0005-0000-0000-0000774A0000}"/>
    <cellStyle name="Normal 15 7 3 2 3 3" xfId="51874" xr:uid="{00000000-0005-0000-0000-0000784A0000}"/>
    <cellStyle name="Normal 15 7 3 2 4" xfId="13214" xr:uid="{00000000-0005-0000-0000-0000794A0000}"/>
    <cellStyle name="Normal 15 7 3 2 4 2" xfId="51875" xr:uid="{00000000-0005-0000-0000-00007A4A0000}"/>
    <cellStyle name="Normal 15 7 3 2 5" xfId="13215" xr:uid="{00000000-0005-0000-0000-00007B4A0000}"/>
    <cellStyle name="Normal 15 7 3 2 6" xfId="13216" xr:uid="{00000000-0005-0000-0000-00007C4A0000}"/>
    <cellStyle name="Normal 15 7 3 2 7" xfId="13217" xr:uid="{00000000-0005-0000-0000-00007D4A0000}"/>
    <cellStyle name="Normal 15 7 3 3" xfId="13218" xr:uid="{00000000-0005-0000-0000-00007E4A0000}"/>
    <cellStyle name="Normal 15 7 3 3 2" xfId="13219" xr:uid="{00000000-0005-0000-0000-00007F4A0000}"/>
    <cellStyle name="Normal 15 7 3 3 2 2" xfId="51876" xr:uid="{00000000-0005-0000-0000-0000804A0000}"/>
    <cellStyle name="Normal 15 7 3 3 2 3" xfId="51877" xr:uid="{00000000-0005-0000-0000-0000814A0000}"/>
    <cellStyle name="Normal 15 7 3 3 3" xfId="13220" xr:uid="{00000000-0005-0000-0000-0000824A0000}"/>
    <cellStyle name="Normal 15 7 3 3 3 2" xfId="51878" xr:uid="{00000000-0005-0000-0000-0000834A0000}"/>
    <cellStyle name="Normal 15 7 3 3 4" xfId="13221" xr:uid="{00000000-0005-0000-0000-0000844A0000}"/>
    <cellStyle name="Normal 15 7 3 3 5" xfId="13222" xr:uid="{00000000-0005-0000-0000-0000854A0000}"/>
    <cellStyle name="Normal 15 7 3 3 6" xfId="13223" xr:uid="{00000000-0005-0000-0000-0000864A0000}"/>
    <cellStyle name="Normal 15 7 3 4" xfId="13224" xr:uid="{00000000-0005-0000-0000-0000874A0000}"/>
    <cellStyle name="Normal 15 7 3 4 2" xfId="51879" xr:uid="{00000000-0005-0000-0000-0000884A0000}"/>
    <cellStyle name="Normal 15 7 3 4 3" xfId="51880" xr:uid="{00000000-0005-0000-0000-0000894A0000}"/>
    <cellStyle name="Normal 15 7 3 5" xfId="13225" xr:uid="{00000000-0005-0000-0000-00008A4A0000}"/>
    <cellStyle name="Normal 15 7 3 5 2" xfId="51881" xr:uid="{00000000-0005-0000-0000-00008B4A0000}"/>
    <cellStyle name="Normal 15 7 3 6" xfId="13226" xr:uid="{00000000-0005-0000-0000-00008C4A0000}"/>
    <cellStyle name="Normal 15 7 3 7" xfId="13227" xr:uid="{00000000-0005-0000-0000-00008D4A0000}"/>
    <cellStyle name="Normal 15 7 3 8" xfId="13228" xr:uid="{00000000-0005-0000-0000-00008E4A0000}"/>
    <cellStyle name="Normal 15 7 4" xfId="13229" xr:uid="{00000000-0005-0000-0000-00008F4A0000}"/>
    <cellStyle name="Normal 15 7 4 2" xfId="13230" xr:uid="{00000000-0005-0000-0000-0000904A0000}"/>
    <cellStyle name="Normal 15 7 4 2 2" xfId="13231" xr:uid="{00000000-0005-0000-0000-0000914A0000}"/>
    <cellStyle name="Normal 15 7 4 2 2 2" xfId="51882" xr:uid="{00000000-0005-0000-0000-0000924A0000}"/>
    <cellStyle name="Normal 15 7 4 2 2 3" xfId="51883" xr:uid="{00000000-0005-0000-0000-0000934A0000}"/>
    <cellStyle name="Normal 15 7 4 2 3" xfId="13232" xr:uid="{00000000-0005-0000-0000-0000944A0000}"/>
    <cellStyle name="Normal 15 7 4 2 3 2" xfId="51884" xr:uid="{00000000-0005-0000-0000-0000954A0000}"/>
    <cellStyle name="Normal 15 7 4 2 4" xfId="13233" xr:uid="{00000000-0005-0000-0000-0000964A0000}"/>
    <cellStyle name="Normal 15 7 4 2 5" xfId="13234" xr:uid="{00000000-0005-0000-0000-0000974A0000}"/>
    <cellStyle name="Normal 15 7 4 2 6" xfId="13235" xr:uid="{00000000-0005-0000-0000-0000984A0000}"/>
    <cellStyle name="Normal 15 7 4 3" xfId="13236" xr:uid="{00000000-0005-0000-0000-0000994A0000}"/>
    <cellStyle name="Normal 15 7 4 3 2" xfId="51885" xr:uid="{00000000-0005-0000-0000-00009A4A0000}"/>
    <cellStyle name="Normal 15 7 4 3 3" xfId="51886" xr:uid="{00000000-0005-0000-0000-00009B4A0000}"/>
    <cellStyle name="Normal 15 7 4 4" xfId="13237" xr:uid="{00000000-0005-0000-0000-00009C4A0000}"/>
    <cellStyle name="Normal 15 7 4 4 2" xfId="51887" xr:uid="{00000000-0005-0000-0000-00009D4A0000}"/>
    <cellStyle name="Normal 15 7 4 5" xfId="13238" xr:uid="{00000000-0005-0000-0000-00009E4A0000}"/>
    <cellStyle name="Normal 15 7 4 6" xfId="13239" xr:uid="{00000000-0005-0000-0000-00009F4A0000}"/>
    <cellStyle name="Normal 15 7 4 7" xfId="13240" xr:uid="{00000000-0005-0000-0000-0000A04A0000}"/>
    <cellStyle name="Normal 15 7 5" xfId="13241" xr:uid="{00000000-0005-0000-0000-0000A14A0000}"/>
    <cellStyle name="Normal 15 7 5 2" xfId="13242" xr:uid="{00000000-0005-0000-0000-0000A24A0000}"/>
    <cellStyle name="Normal 15 7 5 2 2" xfId="51888" xr:uid="{00000000-0005-0000-0000-0000A34A0000}"/>
    <cellStyle name="Normal 15 7 5 2 3" xfId="51889" xr:uid="{00000000-0005-0000-0000-0000A44A0000}"/>
    <cellStyle name="Normal 15 7 5 3" xfId="13243" xr:uid="{00000000-0005-0000-0000-0000A54A0000}"/>
    <cellStyle name="Normal 15 7 5 3 2" xfId="51890" xr:uid="{00000000-0005-0000-0000-0000A64A0000}"/>
    <cellStyle name="Normal 15 7 5 4" xfId="13244" xr:uid="{00000000-0005-0000-0000-0000A74A0000}"/>
    <cellStyle name="Normal 15 7 5 5" xfId="13245" xr:uid="{00000000-0005-0000-0000-0000A84A0000}"/>
    <cellStyle name="Normal 15 7 5 6" xfId="13246" xr:uid="{00000000-0005-0000-0000-0000A94A0000}"/>
    <cellStyle name="Normal 15 7 6" xfId="13247" xr:uid="{00000000-0005-0000-0000-0000AA4A0000}"/>
    <cellStyle name="Normal 15 7 6 2" xfId="51891" xr:uid="{00000000-0005-0000-0000-0000AB4A0000}"/>
    <cellStyle name="Normal 15 7 6 3" xfId="51892" xr:uid="{00000000-0005-0000-0000-0000AC4A0000}"/>
    <cellStyle name="Normal 15 7 7" xfId="13248" xr:uid="{00000000-0005-0000-0000-0000AD4A0000}"/>
    <cellStyle name="Normal 15 7 7 2" xfId="51893" xr:uid="{00000000-0005-0000-0000-0000AE4A0000}"/>
    <cellStyle name="Normal 15 7 8" xfId="13249" xr:uid="{00000000-0005-0000-0000-0000AF4A0000}"/>
    <cellStyle name="Normal 15 7 9" xfId="13250" xr:uid="{00000000-0005-0000-0000-0000B04A0000}"/>
    <cellStyle name="Normal 15 8" xfId="13251" xr:uid="{00000000-0005-0000-0000-0000B14A0000}"/>
    <cellStyle name="Normal 15 8 10" xfId="13252" xr:uid="{00000000-0005-0000-0000-0000B24A0000}"/>
    <cellStyle name="Normal 15 8 11" xfId="13253" xr:uid="{00000000-0005-0000-0000-0000B34A0000}"/>
    <cellStyle name="Normal 15 8 12" xfId="13254" xr:uid="{00000000-0005-0000-0000-0000B44A0000}"/>
    <cellStyle name="Normal 15 8 13" xfId="13255" xr:uid="{00000000-0005-0000-0000-0000B54A0000}"/>
    <cellStyle name="Normal 15 8 2" xfId="13256" xr:uid="{00000000-0005-0000-0000-0000B64A0000}"/>
    <cellStyle name="Normal 15 8 2 2" xfId="13257" xr:uid="{00000000-0005-0000-0000-0000B74A0000}"/>
    <cellStyle name="Normal 15 8 2 2 2" xfId="13258" xr:uid="{00000000-0005-0000-0000-0000B84A0000}"/>
    <cellStyle name="Normal 15 8 2 2 2 2" xfId="13259" xr:uid="{00000000-0005-0000-0000-0000B94A0000}"/>
    <cellStyle name="Normal 15 8 2 2 2 2 2" xfId="51894" xr:uid="{00000000-0005-0000-0000-0000BA4A0000}"/>
    <cellStyle name="Normal 15 8 2 2 2 2 3" xfId="51895" xr:uid="{00000000-0005-0000-0000-0000BB4A0000}"/>
    <cellStyle name="Normal 15 8 2 2 2 3" xfId="13260" xr:uid="{00000000-0005-0000-0000-0000BC4A0000}"/>
    <cellStyle name="Normal 15 8 2 2 2 3 2" xfId="51896" xr:uid="{00000000-0005-0000-0000-0000BD4A0000}"/>
    <cellStyle name="Normal 15 8 2 2 2 4" xfId="13261" xr:uid="{00000000-0005-0000-0000-0000BE4A0000}"/>
    <cellStyle name="Normal 15 8 2 2 2 5" xfId="13262" xr:uid="{00000000-0005-0000-0000-0000BF4A0000}"/>
    <cellStyle name="Normal 15 8 2 2 2 6" xfId="13263" xr:uid="{00000000-0005-0000-0000-0000C04A0000}"/>
    <cellStyle name="Normal 15 8 2 2 3" xfId="13264" xr:uid="{00000000-0005-0000-0000-0000C14A0000}"/>
    <cellStyle name="Normal 15 8 2 2 3 2" xfId="51897" xr:uid="{00000000-0005-0000-0000-0000C24A0000}"/>
    <cellStyle name="Normal 15 8 2 2 3 3" xfId="51898" xr:uid="{00000000-0005-0000-0000-0000C34A0000}"/>
    <cellStyle name="Normal 15 8 2 2 4" xfId="13265" xr:uid="{00000000-0005-0000-0000-0000C44A0000}"/>
    <cellStyle name="Normal 15 8 2 2 4 2" xfId="51899" xr:uid="{00000000-0005-0000-0000-0000C54A0000}"/>
    <cellStyle name="Normal 15 8 2 2 5" xfId="13266" xr:uid="{00000000-0005-0000-0000-0000C64A0000}"/>
    <cellStyle name="Normal 15 8 2 2 6" xfId="13267" xr:uid="{00000000-0005-0000-0000-0000C74A0000}"/>
    <cellStyle name="Normal 15 8 2 2 7" xfId="13268" xr:uid="{00000000-0005-0000-0000-0000C84A0000}"/>
    <cellStyle name="Normal 15 8 2 3" xfId="13269" xr:uid="{00000000-0005-0000-0000-0000C94A0000}"/>
    <cellStyle name="Normal 15 8 2 3 2" xfId="13270" xr:uid="{00000000-0005-0000-0000-0000CA4A0000}"/>
    <cellStyle name="Normal 15 8 2 3 2 2" xfId="51900" xr:uid="{00000000-0005-0000-0000-0000CB4A0000}"/>
    <cellStyle name="Normal 15 8 2 3 2 3" xfId="51901" xr:uid="{00000000-0005-0000-0000-0000CC4A0000}"/>
    <cellStyle name="Normal 15 8 2 3 3" xfId="13271" xr:uid="{00000000-0005-0000-0000-0000CD4A0000}"/>
    <cellStyle name="Normal 15 8 2 3 3 2" xfId="51902" xr:uid="{00000000-0005-0000-0000-0000CE4A0000}"/>
    <cellStyle name="Normal 15 8 2 3 4" xfId="13272" xr:uid="{00000000-0005-0000-0000-0000CF4A0000}"/>
    <cellStyle name="Normal 15 8 2 3 5" xfId="13273" xr:uid="{00000000-0005-0000-0000-0000D04A0000}"/>
    <cellStyle name="Normal 15 8 2 3 6" xfId="13274" xr:uid="{00000000-0005-0000-0000-0000D14A0000}"/>
    <cellStyle name="Normal 15 8 2 4" xfId="13275" xr:uid="{00000000-0005-0000-0000-0000D24A0000}"/>
    <cellStyle name="Normal 15 8 2 4 2" xfId="51903" xr:uid="{00000000-0005-0000-0000-0000D34A0000}"/>
    <cellStyle name="Normal 15 8 2 4 3" xfId="51904" xr:uid="{00000000-0005-0000-0000-0000D44A0000}"/>
    <cellStyle name="Normal 15 8 2 5" xfId="13276" xr:uid="{00000000-0005-0000-0000-0000D54A0000}"/>
    <cellStyle name="Normal 15 8 2 5 2" xfId="51905" xr:uid="{00000000-0005-0000-0000-0000D64A0000}"/>
    <cellStyle name="Normal 15 8 2 6" xfId="13277" xr:uid="{00000000-0005-0000-0000-0000D74A0000}"/>
    <cellStyle name="Normal 15 8 2 7" xfId="13278" xr:uid="{00000000-0005-0000-0000-0000D84A0000}"/>
    <cellStyle name="Normal 15 8 2 8" xfId="13279" xr:uid="{00000000-0005-0000-0000-0000D94A0000}"/>
    <cellStyle name="Normal 15 8 2 9" xfId="13280" xr:uid="{00000000-0005-0000-0000-0000DA4A0000}"/>
    <cellStyle name="Normal 15 8 3" xfId="13281" xr:uid="{00000000-0005-0000-0000-0000DB4A0000}"/>
    <cellStyle name="Normal 15 8 3 2" xfId="13282" xr:uid="{00000000-0005-0000-0000-0000DC4A0000}"/>
    <cellStyle name="Normal 15 8 3 2 2" xfId="13283" xr:uid="{00000000-0005-0000-0000-0000DD4A0000}"/>
    <cellStyle name="Normal 15 8 3 2 2 2" xfId="51906" xr:uid="{00000000-0005-0000-0000-0000DE4A0000}"/>
    <cellStyle name="Normal 15 8 3 2 2 3" xfId="51907" xr:uid="{00000000-0005-0000-0000-0000DF4A0000}"/>
    <cellStyle name="Normal 15 8 3 2 3" xfId="13284" xr:uid="{00000000-0005-0000-0000-0000E04A0000}"/>
    <cellStyle name="Normal 15 8 3 2 3 2" xfId="51908" xr:uid="{00000000-0005-0000-0000-0000E14A0000}"/>
    <cellStyle name="Normal 15 8 3 2 4" xfId="13285" xr:uid="{00000000-0005-0000-0000-0000E24A0000}"/>
    <cellStyle name="Normal 15 8 3 2 5" xfId="13286" xr:uid="{00000000-0005-0000-0000-0000E34A0000}"/>
    <cellStyle name="Normal 15 8 3 2 6" xfId="13287" xr:uid="{00000000-0005-0000-0000-0000E44A0000}"/>
    <cellStyle name="Normal 15 8 3 3" xfId="13288" xr:uid="{00000000-0005-0000-0000-0000E54A0000}"/>
    <cellStyle name="Normal 15 8 3 3 2" xfId="51909" xr:uid="{00000000-0005-0000-0000-0000E64A0000}"/>
    <cellStyle name="Normal 15 8 3 3 3" xfId="51910" xr:uid="{00000000-0005-0000-0000-0000E74A0000}"/>
    <cellStyle name="Normal 15 8 3 4" xfId="13289" xr:uid="{00000000-0005-0000-0000-0000E84A0000}"/>
    <cellStyle name="Normal 15 8 3 4 2" xfId="51911" xr:uid="{00000000-0005-0000-0000-0000E94A0000}"/>
    <cellStyle name="Normal 15 8 3 5" xfId="13290" xr:uid="{00000000-0005-0000-0000-0000EA4A0000}"/>
    <cellStyle name="Normal 15 8 3 6" xfId="13291" xr:uid="{00000000-0005-0000-0000-0000EB4A0000}"/>
    <cellStyle name="Normal 15 8 3 7" xfId="13292" xr:uid="{00000000-0005-0000-0000-0000EC4A0000}"/>
    <cellStyle name="Normal 15 8 4" xfId="13293" xr:uid="{00000000-0005-0000-0000-0000ED4A0000}"/>
    <cellStyle name="Normal 15 8 4 2" xfId="13294" xr:uid="{00000000-0005-0000-0000-0000EE4A0000}"/>
    <cellStyle name="Normal 15 8 4 2 2" xfId="51912" xr:uid="{00000000-0005-0000-0000-0000EF4A0000}"/>
    <cellStyle name="Normal 15 8 4 2 3" xfId="51913" xr:uid="{00000000-0005-0000-0000-0000F04A0000}"/>
    <cellStyle name="Normal 15 8 4 3" xfId="13295" xr:uid="{00000000-0005-0000-0000-0000F14A0000}"/>
    <cellStyle name="Normal 15 8 4 3 2" xfId="51914" xr:uid="{00000000-0005-0000-0000-0000F24A0000}"/>
    <cellStyle name="Normal 15 8 4 4" xfId="13296" xr:uid="{00000000-0005-0000-0000-0000F34A0000}"/>
    <cellStyle name="Normal 15 8 4 5" xfId="13297" xr:uid="{00000000-0005-0000-0000-0000F44A0000}"/>
    <cellStyle name="Normal 15 8 4 6" xfId="13298" xr:uid="{00000000-0005-0000-0000-0000F54A0000}"/>
    <cellStyle name="Normal 15 8 5" xfId="13299" xr:uid="{00000000-0005-0000-0000-0000F64A0000}"/>
    <cellStyle name="Normal 15 8 5 2" xfId="51915" xr:uid="{00000000-0005-0000-0000-0000F74A0000}"/>
    <cellStyle name="Normal 15 8 5 3" xfId="51916" xr:uid="{00000000-0005-0000-0000-0000F84A0000}"/>
    <cellStyle name="Normal 15 8 6" xfId="13300" xr:uid="{00000000-0005-0000-0000-0000F94A0000}"/>
    <cellStyle name="Normal 15 8 6 2" xfId="51917" xr:uid="{00000000-0005-0000-0000-0000FA4A0000}"/>
    <cellStyle name="Normal 15 8 7" xfId="13301" xr:uid="{00000000-0005-0000-0000-0000FB4A0000}"/>
    <cellStyle name="Normal 15 8 8" xfId="13302" xr:uid="{00000000-0005-0000-0000-0000FC4A0000}"/>
    <cellStyle name="Normal 15 8 9" xfId="13303" xr:uid="{00000000-0005-0000-0000-0000FD4A0000}"/>
    <cellStyle name="Normal 15 9" xfId="13304" xr:uid="{00000000-0005-0000-0000-0000FE4A0000}"/>
    <cellStyle name="Normal 15 9 2" xfId="13305" xr:uid="{00000000-0005-0000-0000-0000FF4A0000}"/>
    <cellStyle name="Normal 15 9 2 2" xfId="13306" xr:uid="{00000000-0005-0000-0000-0000004B0000}"/>
    <cellStyle name="Normal 15 9 2 2 2" xfId="13307" xr:uid="{00000000-0005-0000-0000-0000014B0000}"/>
    <cellStyle name="Normal 15 9 2 2 2 2" xfId="51918" xr:uid="{00000000-0005-0000-0000-0000024B0000}"/>
    <cellStyle name="Normal 15 9 2 2 2 3" xfId="51919" xr:uid="{00000000-0005-0000-0000-0000034B0000}"/>
    <cellStyle name="Normal 15 9 2 2 3" xfId="13308" xr:uid="{00000000-0005-0000-0000-0000044B0000}"/>
    <cellStyle name="Normal 15 9 2 2 3 2" xfId="51920" xr:uid="{00000000-0005-0000-0000-0000054B0000}"/>
    <cellStyle name="Normal 15 9 2 2 4" xfId="13309" xr:uid="{00000000-0005-0000-0000-0000064B0000}"/>
    <cellStyle name="Normal 15 9 2 2 5" xfId="13310" xr:uid="{00000000-0005-0000-0000-0000074B0000}"/>
    <cellStyle name="Normal 15 9 2 2 6" xfId="13311" xr:uid="{00000000-0005-0000-0000-0000084B0000}"/>
    <cellStyle name="Normal 15 9 2 3" xfId="13312" xr:uid="{00000000-0005-0000-0000-0000094B0000}"/>
    <cellStyle name="Normal 15 9 2 3 2" xfId="51921" xr:uid="{00000000-0005-0000-0000-00000A4B0000}"/>
    <cellStyle name="Normal 15 9 2 3 3" xfId="51922" xr:uid="{00000000-0005-0000-0000-00000B4B0000}"/>
    <cellStyle name="Normal 15 9 2 4" xfId="13313" xr:uid="{00000000-0005-0000-0000-00000C4B0000}"/>
    <cellStyle name="Normal 15 9 2 4 2" xfId="51923" xr:uid="{00000000-0005-0000-0000-00000D4B0000}"/>
    <cellStyle name="Normal 15 9 2 5" xfId="13314" xr:uid="{00000000-0005-0000-0000-00000E4B0000}"/>
    <cellStyle name="Normal 15 9 2 6" xfId="13315" xr:uid="{00000000-0005-0000-0000-00000F4B0000}"/>
    <cellStyle name="Normal 15 9 2 7" xfId="13316" xr:uid="{00000000-0005-0000-0000-0000104B0000}"/>
    <cellStyle name="Normal 15 9 3" xfId="13317" xr:uid="{00000000-0005-0000-0000-0000114B0000}"/>
    <cellStyle name="Normal 15 9 3 2" xfId="13318" xr:uid="{00000000-0005-0000-0000-0000124B0000}"/>
    <cellStyle name="Normal 15 9 3 2 2" xfId="51924" xr:uid="{00000000-0005-0000-0000-0000134B0000}"/>
    <cellStyle name="Normal 15 9 3 2 3" xfId="51925" xr:uid="{00000000-0005-0000-0000-0000144B0000}"/>
    <cellStyle name="Normal 15 9 3 3" xfId="13319" xr:uid="{00000000-0005-0000-0000-0000154B0000}"/>
    <cellStyle name="Normal 15 9 3 3 2" xfId="51926" xr:uid="{00000000-0005-0000-0000-0000164B0000}"/>
    <cellStyle name="Normal 15 9 3 4" xfId="13320" xr:uid="{00000000-0005-0000-0000-0000174B0000}"/>
    <cellStyle name="Normal 15 9 3 5" xfId="13321" xr:uid="{00000000-0005-0000-0000-0000184B0000}"/>
    <cellStyle name="Normal 15 9 3 6" xfId="13322" xr:uid="{00000000-0005-0000-0000-0000194B0000}"/>
    <cellStyle name="Normal 15 9 4" xfId="13323" xr:uid="{00000000-0005-0000-0000-00001A4B0000}"/>
    <cellStyle name="Normal 15 9 4 2" xfId="51927" xr:uid="{00000000-0005-0000-0000-00001B4B0000}"/>
    <cellStyle name="Normal 15 9 4 3" xfId="51928" xr:uid="{00000000-0005-0000-0000-00001C4B0000}"/>
    <cellStyle name="Normal 15 9 5" xfId="13324" xr:uid="{00000000-0005-0000-0000-00001D4B0000}"/>
    <cellStyle name="Normal 15 9 5 2" xfId="51929" xr:uid="{00000000-0005-0000-0000-00001E4B0000}"/>
    <cellStyle name="Normal 15 9 6" xfId="13325" xr:uid="{00000000-0005-0000-0000-00001F4B0000}"/>
    <cellStyle name="Normal 15 9 7" xfId="13326" xr:uid="{00000000-0005-0000-0000-0000204B0000}"/>
    <cellStyle name="Normal 15 9 8" xfId="13327" xr:uid="{00000000-0005-0000-0000-0000214B0000}"/>
    <cellStyle name="Normal 15 9 9" xfId="13328" xr:uid="{00000000-0005-0000-0000-0000224B0000}"/>
    <cellStyle name="Normal 16" xfId="13329" xr:uid="{00000000-0005-0000-0000-0000234B0000}"/>
    <cellStyle name="Normal 16 2" xfId="13330" xr:uid="{00000000-0005-0000-0000-0000244B0000}"/>
    <cellStyle name="Normal 16 2 2" xfId="13331" xr:uid="{00000000-0005-0000-0000-0000254B0000}"/>
    <cellStyle name="Normal 16 2 3" xfId="13332" xr:uid="{00000000-0005-0000-0000-0000264B0000}"/>
    <cellStyle name="Normal 16 2 4" xfId="13333" xr:uid="{00000000-0005-0000-0000-0000274B0000}"/>
    <cellStyle name="Normal 16 3" xfId="13334" xr:uid="{00000000-0005-0000-0000-0000284B0000}"/>
    <cellStyle name="Normal 16 4" xfId="13335" xr:uid="{00000000-0005-0000-0000-0000294B0000}"/>
    <cellStyle name="Normal 16 5" xfId="13336" xr:uid="{00000000-0005-0000-0000-00002A4B0000}"/>
    <cellStyle name="Normal 17" xfId="13337" xr:uid="{00000000-0005-0000-0000-00002B4B0000}"/>
    <cellStyle name="Normal 17 2" xfId="13338" xr:uid="{00000000-0005-0000-0000-00002C4B0000}"/>
    <cellStyle name="Normal 17 2 2" xfId="13339" xr:uid="{00000000-0005-0000-0000-00002D4B0000}"/>
    <cellStyle name="Normal 17 2 3" xfId="13340" xr:uid="{00000000-0005-0000-0000-00002E4B0000}"/>
    <cellStyle name="Normal 17 2 4" xfId="13341" xr:uid="{00000000-0005-0000-0000-00002F4B0000}"/>
    <cellStyle name="Normal 17 3" xfId="13342" xr:uid="{00000000-0005-0000-0000-0000304B0000}"/>
    <cellStyle name="Normal 17 4" xfId="13343" xr:uid="{00000000-0005-0000-0000-0000314B0000}"/>
    <cellStyle name="Normal 17 5" xfId="13344" xr:uid="{00000000-0005-0000-0000-0000324B0000}"/>
    <cellStyle name="Normal 18" xfId="13345" xr:uid="{00000000-0005-0000-0000-0000334B0000}"/>
    <cellStyle name="Normal 18 2" xfId="13346" xr:uid="{00000000-0005-0000-0000-0000344B0000}"/>
    <cellStyle name="Normal 18 2 2" xfId="13347" xr:uid="{00000000-0005-0000-0000-0000354B0000}"/>
    <cellStyle name="Normal 18 2 3" xfId="13348" xr:uid="{00000000-0005-0000-0000-0000364B0000}"/>
    <cellStyle name="Normal 18 3" xfId="13349" xr:uid="{00000000-0005-0000-0000-0000374B0000}"/>
    <cellStyle name="Normal 18 3 2" xfId="13350" xr:uid="{00000000-0005-0000-0000-0000384B0000}"/>
    <cellStyle name="Normal 18 3 3" xfId="13351" xr:uid="{00000000-0005-0000-0000-0000394B0000}"/>
    <cellStyle name="Normal 18 3 3 2" xfId="13352" xr:uid="{00000000-0005-0000-0000-00003A4B0000}"/>
    <cellStyle name="Normal 18 3 4" xfId="13353" xr:uid="{00000000-0005-0000-0000-00003B4B0000}"/>
    <cellStyle name="Normal 18 3 5" xfId="13354" xr:uid="{00000000-0005-0000-0000-00003C4B0000}"/>
    <cellStyle name="Normal 18 4" xfId="13355" xr:uid="{00000000-0005-0000-0000-00003D4B0000}"/>
    <cellStyle name="Normal 18 5" xfId="13356" xr:uid="{00000000-0005-0000-0000-00003E4B0000}"/>
    <cellStyle name="Normal 19" xfId="13357" xr:uid="{00000000-0005-0000-0000-00003F4B0000}"/>
    <cellStyle name="Normal 19 2" xfId="13358" xr:uid="{00000000-0005-0000-0000-0000404B0000}"/>
    <cellStyle name="Normal 19 2 2" xfId="13359" xr:uid="{00000000-0005-0000-0000-0000414B0000}"/>
    <cellStyle name="Normal 19 2 3" xfId="13360" xr:uid="{00000000-0005-0000-0000-0000424B0000}"/>
    <cellStyle name="Normal 19 2 4" xfId="13361" xr:uid="{00000000-0005-0000-0000-0000434B0000}"/>
    <cellStyle name="Normal 19 3" xfId="13362" xr:uid="{00000000-0005-0000-0000-0000444B0000}"/>
    <cellStyle name="Normal 19 3 2" xfId="13363" xr:uid="{00000000-0005-0000-0000-0000454B0000}"/>
    <cellStyle name="Normal 19 3 3" xfId="13364" xr:uid="{00000000-0005-0000-0000-0000464B0000}"/>
    <cellStyle name="Normal 19 4" xfId="13365" xr:uid="{00000000-0005-0000-0000-0000474B0000}"/>
    <cellStyle name="Normal 19 4 2" xfId="13366" xr:uid="{00000000-0005-0000-0000-0000484B0000}"/>
    <cellStyle name="Normal 19 5" xfId="13367" xr:uid="{00000000-0005-0000-0000-0000494B0000}"/>
    <cellStyle name="Normal 2" xfId="13368" xr:uid="{00000000-0005-0000-0000-00004A4B0000}"/>
    <cellStyle name="Normal 2 10" xfId="13369" xr:uid="{00000000-0005-0000-0000-00004B4B0000}"/>
    <cellStyle name="Normal 2 10 2" xfId="13370" xr:uid="{00000000-0005-0000-0000-00004C4B0000}"/>
    <cellStyle name="Normal 2 10 3" xfId="13371" xr:uid="{00000000-0005-0000-0000-00004D4B0000}"/>
    <cellStyle name="Normal 2 11" xfId="13372" xr:uid="{00000000-0005-0000-0000-00004E4B0000}"/>
    <cellStyle name="Normal 2 11 2" xfId="13373" xr:uid="{00000000-0005-0000-0000-00004F4B0000}"/>
    <cellStyle name="Normal 2 12" xfId="13374" xr:uid="{00000000-0005-0000-0000-0000504B0000}"/>
    <cellStyle name="Normal 2 13" xfId="13375" xr:uid="{00000000-0005-0000-0000-0000514B0000}"/>
    <cellStyle name="Normal 2 13 2" xfId="13376" xr:uid="{00000000-0005-0000-0000-0000524B0000}"/>
    <cellStyle name="Normal 2 14" xfId="13377" xr:uid="{00000000-0005-0000-0000-0000534B0000}"/>
    <cellStyle name="Normal 2 14 2" xfId="13378" xr:uid="{00000000-0005-0000-0000-0000544B0000}"/>
    <cellStyle name="Normal 2 14 3" xfId="13379" xr:uid="{00000000-0005-0000-0000-0000554B0000}"/>
    <cellStyle name="Normal 2 15" xfId="13380" xr:uid="{00000000-0005-0000-0000-0000564B0000}"/>
    <cellStyle name="Normal 2 2" xfId="13381" xr:uid="{00000000-0005-0000-0000-0000574B0000}"/>
    <cellStyle name="Normal 2 2 10" xfId="13382" xr:uid="{00000000-0005-0000-0000-0000584B0000}"/>
    <cellStyle name="Normal 2 2 10 2" xfId="13383" xr:uid="{00000000-0005-0000-0000-0000594B0000}"/>
    <cellStyle name="Normal 2 2 10 2 2" xfId="51930" xr:uid="{00000000-0005-0000-0000-00005A4B0000}"/>
    <cellStyle name="Normal 2 2 10 2 3" xfId="51931" xr:uid="{00000000-0005-0000-0000-00005B4B0000}"/>
    <cellStyle name="Normal 2 2 10 3" xfId="13384" xr:uid="{00000000-0005-0000-0000-00005C4B0000}"/>
    <cellStyle name="Normal 2 2 10 3 2" xfId="51932" xr:uid="{00000000-0005-0000-0000-00005D4B0000}"/>
    <cellStyle name="Normal 2 2 10 4" xfId="13385" xr:uid="{00000000-0005-0000-0000-00005E4B0000}"/>
    <cellStyle name="Normal 2 2 10 5" xfId="13386" xr:uid="{00000000-0005-0000-0000-00005F4B0000}"/>
    <cellStyle name="Normal 2 2 10 6" xfId="13387" xr:uid="{00000000-0005-0000-0000-0000604B0000}"/>
    <cellStyle name="Normal 2 2 10 7" xfId="13388" xr:uid="{00000000-0005-0000-0000-0000614B0000}"/>
    <cellStyle name="Normal 2 2 11" xfId="13389" xr:uid="{00000000-0005-0000-0000-0000624B0000}"/>
    <cellStyle name="Normal 2 2 11 2" xfId="51933" xr:uid="{00000000-0005-0000-0000-0000634B0000}"/>
    <cellStyle name="Normal 2 2 11 3" xfId="51934" xr:uid="{00000000-0005-0000-0000-0000644B0000}"/>
    <cellStyle name="Normal 2 2 12" xfId="13390" xr:uid="{00000000-0005-0000-0000-0000654B0000}"/>
    <cellStyle name="Normal 2 2 12 2" xfId="51935" xr:uid="{00000000-0005-0000-0000-0000664B0000}"/>
    <cellStyle name="Normal 2 2 13" xfId="13391" xr:uid="{00000000-0005-0000-0000-0000674B0000}"/>
    <cellStyle name="Normal 2 2 13 2" xfId="51936" xr:uid="{00000000-0005-0000-0000-0000684B0000}"/>
    <cellStyle name="Normal 2 2 14" xfId="13392" xr:uid="{00000000-0005-0000-0000-0000694B0000}"/>
    <cellStyle name="Normal 2 2 15" xfId="13393" xr:uid="{00000000-0005-0000-0000-00006A4B0000}"/>
    <cellStyle name="Normal 2 2 16" xfId="13394" xr:uid="{00000000-0005-0000-0000-00006B4B0000}"/>
    <cellStyle name="Normal 2 2 17" xfId="13395" xr:uid="{00000000-0005-0000-0000-00006C4B0000}"/>
    <cellStyle name="Normal 2 2 18" xfId="13396" xr:uid="{00000000-0005-0000-0000-00006D4B0000}"/>
    <cellStyle name="Normal 2 2 2" xfId="13397" xr:uid="{00000000-0005-0000-0000-00006E4B0000}"/>
    <cellStyle name="Normal 2 2 2 2" xfId="13398" xr:uid="{00000000-0005-0000-0000-00006F4B0000}"/>
    <cellStyle name="Normal 2 2 2 2 2" xfId="13399" xr:uid="{00000000-0005-0000-0000-0000704B0000}"/>
    <cellStyle name="Normal 2 2 2 2 2 2" xfId="13400" xr:uid="{00000000-0005-0000-0000-0000714B0000}"/>
    <cellStyle name="Normal 2 2 2 2 2 3" xfId="13401" xr:uid="{00000000-0005-0000-0000-0000724B0000}"/>
    <cellStyle name="Normal 2 2 2 2 3" xfId="13402" xr:uid="{00000000-0005-0000-0000-0000734B0000}"/>
    <cellStyle name="Normal 2 2 2 2 3 2" xfId="13403" xr:uid="{00000000-0005-0000-0000-0000744B0000}"/>
    <cellStyle name="Normal 2 2 2 2 4" xfId="13404" xr:uid="{00000000-0005-0000-0000-0000754B0000}"/>
    <cellStyle name="Normal 2 2 2 2 4 2" xfId="13405" xr:uid="{00000000-0005-0000-0000-0000764B0000}"/>
    <cellStyle name="Normal 2 2 2 2 5" xfId="13406" xr:uid="{00000000-0005-0000-0000-0000774B0000}"/>
    <cellStyle name="Normal 2 2 2 2 6" xfId="13407" xr:uid="{00000000-0005-0000-0000-0000784B0000}"/>
    <cellStyle name="Normal 2 2 2 3" xfId="13408" xr:uid="{00000000-0005-0000-0000-0000794B0000}"/>
    <cellStyle name="Normal 2 2 2 3 2" xfId="13409" xr:uid="{00000000-0005-0000-0000-00007A4B0000}"/>
    <cellStyle name="Normal 2 2 2 3 2 2" xfId="13410" xr:uid="{00000000-0005-0000-0000-00007B4B0000}"/>
    <cellStyle name="Normal 2 2 2 3 3" xfId="13411" xr:uid="{00000000-0005-0000-0000-00007C4B0000}"/>
    <cellStyle name="Normal 2 2 2 3 3 2" xfId="13412" xr:uid="{00000000-0005-0000-0000-00007D4B0000}"/>
    <cellStyle name="Normal 2 2 2 3 4" xfId="13413" xr:uid="{00000000-0005-0000-0000-00007E4B0000}"/>
    <cellStyle name="Normal 2 2 2 3 4 2" xfId="13414" xr:uid="{00000000-0005-0000-0000-00007F4B0000}"/>
    <cellStyle name="Normal 2 2 2 3 5" xfId="13415" xr:uid="{00000000-0005-0000-0000-0000804B0000}"/>
    <cellStyle name="Normal 2 2 2 3 6" xfId="13416" xr:uid="{00000000-0005-0000-0000-0000814B0000}"/>
    <cellStyle name="Normal 2 2 2 4" xfId="13417" xr:uid="{00000000-0005-0000-0000-0000824B0000}"/>
    <cellStyle name="Normal 2 2 2 4 2" xfId="13418" xr:uid="{00000000-0005-0000-0000-0000834B0000}"/>
    <cellStyle name="Normal 2 2 2 5" xfId="13419" xr:uid="{00000000-0005-0000-0000-0000844B0000}"/>
    <cellStyle name="Normal 2 2 2 5 2" xfId="13420" xr:uid="{00000000-0005-0000-0000-0000854B0000}"/>
    <cellStyle name="Normal 2 2 2 6" xfId="13421" xr:uid="{00000000-0005-0000-0000-0000864B0000}"/>
    <cellStyle name="Normal 2 2 2 6 2" xfId="13422" xr:uid="{00000000-0005-0000-0000-0000874B0000}"/>
    <cellStyle name="Normal 2 2 2 7" xfId="13423" xr:uid="{00000000-0005-0000-0000-0000884B0000}"/>
    <cellStyle name="Normal 2 2 2 8" xfId="13424" xr:uid="{00000000-0005-0000-0000-0000894B0000}"/>
    <cellStyle name="Normal 2 2 2_Sheet2" xfId="13425" xr:uid="{00000000-0005-0000-0000-00008A4B0000}"/>
    <cellStyle name="Normal 2 2 3" xfId="13426" xr:uid="{00000000-0005-0000-0000-00008B4B0000}"/>
    <cellStyle name="Normal 2 2 3 2" xfId="13427" xr:uid="{00000000-0005-0000-0000-00008C4B0000}"/>
    <cellStyle name="Normal 2 2 3 2 2" xfId="13428" xr:uid="{00000000-0005-0000-0000-00008D4B0000}"/>
    <cellStyle name="Normal 2 2 3 2 2 2" xfId="13429" xr:uid="{00000000-0005-0000-0000-00008E4B0000}"/>
    <cellStyle name="Normal 2 2 3 2 2 2 2" xfId="51937" xr:uid="{00000000-0005-0000-0000-00008F4B0000}"/>
    <cellStyle name="Normal 2 2 3 2 2 3" xfId="51938" xr:uid="{00000000-0005-0000-0000-0000904B0000}"/>
    <cellStyle name="Normal 2 2 3 2 3" xfId="13430" xr:uid="{00000000-0005-0000-0000-0000914B0000}"/>
    <cellStyle name="Normal 2 2 3 2 3 2" xfId="13431" xr:uid="{00000000-0005-0000-0000-0000924B0000}"/>
    <cellStyle name="Normal 2 2 3 2 3 2 2" xfId="51939" xr:uid="{00000000-0005-0000-0000-0000934B0000}"/>
    <cellStyle name="Normal 2 2 3 2 3 3" xfId="51940" xr:uid="{00000000-0005-0000-0000-0000944B0000}"/>
    <cellStyle name="Normal 2 2 3 2 4" xfId="13432" xr:uid="{00000000-0005-0000-0000-0000954B0000}"/>
    <cellStyle name="Normal 2 2 3 2 4 2" xfId="51941" xr:uid="{00000000-0005-0000-0000-0000964B0000}"/>
    <cellStyle name="Normal 2 2 3 2 5" xfId="13433" xr:uid="{00000000-0005-0000-0000-0000974B0000}"/>
    <cellStyle name="Normal 2 2 3 2 5 2" xfId="51942" xr:uid="{00000000-0005-0000-0000-0000984B0000}"/>
    <cellStyle name="Normal 2 2 3 2 6" xfId="13434" xr:uid="{00000000-0005-0000-0000-0000994B0000}"/>
    <cellStyle name="Normal 2 2 3 3" xfId="13435" xr:uid="{00000000-0005-0000-0000-00009A4B0000}"/>
    <cellStyle name="Normal 2 2 3 3 2" xfId="13436" xr:uid="{00000000-0005-0000-0000-00009B4B0000}"/>
    <cellStyle name="Normal 2 2 3 3 2 2" xfId="13437" xr:uid="{00000000-0005-0000-0000-00009C4B0000}"/>
    <cellStyle name="Normal 2 2 3 3 2 2 2" xfId="51943" xr:uid="{00000000-0005-0000-0000-00009D4B0000}"/>
    <cellStyle name="Normal 2 2 3 3 2 2 3" xfId="51944" xr:uid="{00000000-0005-0000-0000-00009E4B0000}"/>
    <cellStyle name="Normal 2 2 3 3 2 3" xfId="51945" xr:uid="{00000000-0005-0000-0000-00009F4B0000}"/>
    <cellStyle name="Normal 2 2 3 3 2 4" xfId="51946" xr:uid="{00000000-0005-0000-0000-0000A04B0000}"/>
    <cellStyle name="Normal 2 2 3 3 3" xfId="13438" xr:uid="{00000000-0005-0000-0000-0000A14B0000}"/>
    <cellStyle name="Normal 2 2 3 3 3 2" xfId="51947" xr:uid="{00000000-0005-0000-0000-0000A24B0000}"/>
    <cellStyle name="Normal 2 2 3 3 3 3" xfId="51948" xr:uid="{00000000-0005-0000-0000-0000A34B0000}"/>
    <cellStyle name="Normal 2 2 3 3 4" xfId="13439" xr:uid="{00000000-0005-0000-0000-0000A44B0000}"/>
    <cellStyle name="Normal 2 2 3 3 4 2" xfId="51949" xr:uid="{00000000-0005-0000-0000-0000A54B0000}"/>
    <cellStyle name="Normal 2 2 3 3 5" xfId="51950" xr:uid="{00000000-0005-0000-0000-0000A64B0000}"/>
    <cellStyle name="Normal 2 2 3 3 6" xfId="51951" xr:uid="{00000000-0005-0000-0000-0000A74B0000}"/>
    <cellStyle name="Normal 2 2 3 4" xfId="13440" xr:uid="{00000000-0005-0000-0000-0000A84B0000}"/>
    <cellStyle name="Normal 2 2 3 4 2" xfId="13441" xr:uid="{00000000-0005-0000-0000-0000A94B0000}"/>
    <cellStyle name="Normal 2 2 3 4 2 2" xfId="13442" xr:uid="{00000000-0005-0000-0000-0000AA4B0000}"/>
    <cellStyle name="Normal 2 2 3 4 2 2 2" xfId="51952" xr:uid="{00000000-0005-0000-0000-0000AB4B0000}"/>
    <cellStyle name="Normal 2 2 3 4 2 2 3" xfId="51953" xr:uid="{00000000-0005-0000-0000-0000AC4B0000}"/>
    <cellStyle name="Normal 2 2 3 4 2 3" xfId="51954" xr:uid="{00000000-0005-0000-0000-0000AD4B0000}"/>
    <cellStyle name="Normal 2 2 3 4 2 4" xfId="51955" xr:uid="{00000000-0005-0000-0000-0000AE4B0000}"/>
    <cellStyle name="Normal 2 2 3 4 3" xfId="13443" xr:uid="{00000000-0005-0000-0000-0000AF4B0000}"/>
    <cellStyle name="Normal 2 2 3 4 3 2" xfId="51956" xr:uid="{00000000-0005-0000-0000-0000B04B0000}"/>
    <cellStyle name="Normal 2 2 3 4 3 3" xfId="51957" xr:uid="{00000000-0005-0000-0000-0000B14B0000}"/>
    <cellStyle name="Normal 2 2 3 4 4" xfId="51958" xr:uid="{00000000-0005-0000-0000-0000B24B0000}"/>
    <cellStyle name="Normal 2 2 3 4 5" xfId="51959" xr:uid="{00000000-0005-0000-0000-0000B34B0000}"/>
    <cellStyle name="Normal 2 2 3 5" xfId="13444" xr:uid="{00000000-0005-0000-0000-0000B44B0000}"/>
    <cellStyle name="Normal 2 2 3 5 2" xfId="13445" xr:uid="{00000000-0005-0000-0000-0000B54B0000}"/>
    <cellStyle name="Normal 2 2 3 5 2 2" xfId="51960" xr:uid="{00000000-0005-0000-0000-0000B64B0000}"/>
    <cellStyle name="Normal 2 2 3 5 2 3" xfId="51961" xr:uid="{00000000-0005-0000-0000-0000B74B0000}"/>
    <cellStyle name="Normal 2 2 3 5 3" xfId="51962" xr:uid="{00000000-0005-0000-0000-0000B84B0000}"/>
    <cellStyle name="Normal 2 2 3 5 4" xfId="51963" xr:uid="{00000000-0005-0000-0000-0000B94B0000}"/>
    <cellStyle name="Normal 2 2 3 6" xfId="13446" xr:uid="{00000000-0005-0000-0000-0000BA4B0000}"/>
    <cellStyle name="Normal 2 2 3 6 2" xfId="51964" xr:uid="{00000000-0005-0000-0000-0000BB4B0000}"/>
    <cellStyle name="Normal 2 2 3 6 3" xfId="51965" xr:uid="{00000000-0005-0000-0000-0000BC4B0000}"/>
    <cellStyle name="Normal 2 2 3 7" xfId="13447" xr:uid="{00000000-0005-0000-0000-0000BD4B0000}"/>
    <cellStyle name="Normal 2 2 3 7 2" xfId="51966" xr:uid="{00000000-0005-0000-0000-0000BE4B0000}"/>
    <cellStyle name="Normal 2 2 3 8" xfId="13448" xr:uid="{00000000-0005-0000-0000-0000BF4B0000}"/>
    <cellStyle name="Normal 2 2 3 9" xfId="51967" xr:uid="{00000000-0005-0000-0000-0000C04B0000}"/>
    <cellStyle name="Normal 2 2 4" xfId="13449" xr:uid="{00000000-0005-0000-0000-0000C14B0000}"/>
    <cellStyle name="Normal 2 2 4 10" xfId="13450" xr:uid="{00000000-0005-0000-0000-0000C24B0000}"/>
    <cellStyle name="Normal 2 2 4 10 2" xfId="13451" xr:uid="{00000000-0005-0000-0000-0000C34B0000}"/>
    <cellStyle name="Normal 2 2 4 10 2 2" xfId="13452" xr:uid="{00000000-0005-0000-0000-0000C44B0000}"/>
    <cellStyle name="Normal 2 2 4 10 2 2 2" xfId="51968" xr:uid="{00000000-0005-0000-0000-0000C54B0000}"/>
    <cellStyle name="Normal 2 2 4 10 2 2 3" xfId="51969" xr:uid="{00000000-0005-0000-0000-0000C64B0000}"/>
    <cellStyle name="Normal 2 2 4 10 2 3" xfId="13453" xr:uid="{00000000-0005-0000-0000-0000C74B0000}"/>
    <cellStyle name="Normal 2 2 4 10 2 3 2" xfId="51970" xr:uid="{00000000-0005-0000-0000-0000C84B0000}"/>
    <cellStyle name="Normal 2 2 4 10 2 4" xfId="13454" xr:uid="{00000000-0005-0000-0000-0000C94B0000}"/>
    <cellStyle name="Normal 2 2 4 10 2 5" xfId="13455" xr:uid="{00000000-0005-0000-0000-0000CA4B0000}"/>
    <cellStyle name="Normal 2 2 4 10 2 6" xfId="13456" xr:uid="{00000000-0005-0000-0000-0000CB4B0000}"/>
    <cellStyle name="Normal 2 2 4 10 3" xfId="13457" xr:uid="{00000000-0005-0000-0000-0000CC4B0000}"/>
    <cellStyle name="Normal 2 2 4 10 3 2" xfId="51971" xr:uid="{00000000-0005-0000-0000-0000CD4B0000}"/>
    <cellStyle name="Normal 2 2 4 10 3 3" xfId="51972" xr:uid="{00000000-0005-0000-0000-0000CE4B0000}"/>
    <cellStyle name="Normal 2 2 4 10 4" xfId="13458" xr:uid="{00000000-0005-0000-0000-0000CF4B0000}"/>
    <cellStyle name="Normal 2 2 4 10 4 2" xfId="51973" xr:uid="{00000000-0005-0000-0000-0000D04B0000}"/>
    <cellStyle name="Normal 2 2 4 10 5" xfId="13459" xr:uid="{00000000-0005-0000-0000-0000D14B0000}"/>
    <cellStyle name="Normal 2 2 4 10 6" xfId="13460" xr:uid="{00000000-0005-0000-0000-0000D24B0000}"/>
    <cellStyle name="Normal 2 2 4 10 7" xfId="13461" xr:uid="{00000000-0005-0000-0000-0000D34B0000}"/>
    <cellStyle name="Normal 2 2 4 11" xfId="13462" xr:uid="{00000000-0005-0000-0000-0000D44B0000}"/>
    <cellStyle name="Normal 2 2 4 11 2" xfId="13463" xr:uid="{00000000-0005-0000-0000-0000D54B0000}"/>
    <cellStyle name="Normal 2 2 4 11 2 2" xfId="51974" xr:uid="{00000000-0005-0000-0000-0000D64B0000}"/>
    <cellStyle name="Normal 2 2 4 11 2 3" xfId="51975" xr:uid="{00000000-0005-0000-0000-0000D74B0000}"/>
    <cellStyle name="Normal 2 2 4 11 3" xfId="13464" xr:uid="{00000000-0005-0000-0000-0000D84B0000}"/>
    <cellStyle name="Normal 2 2 4 11 3 2" xfId="51976" xr:uid="{00000000-0005-0000-0000-0000D94B0000}"/>
    <cellStyle name="Normal 2 2 4 11 4" xfId="13465" xr:uid="{00000000-0005-0000-0000-0000DA4B0000}"/>
    <cellStyle name="Normal 2 2 4 11 5" xfId="13466" xr:uid="{00000000-0005-0000-0000-0000DB4B0000}"/>
    <cellStyle name="Normal 2 2 4 11 6" xfId="13467" xr:uid="{00000000-0005-0000-0000-0000DC4B0000}"/>
    <cellStyle name="Normal 2 2 4 12" xfId="13468" xr:uid="{00000000-0005-0000-0000-0000DD4B0000}"/>
    <cellStyle name="Normal 2 2 4 12 2" xfId="51977" xr:uid="{00000000-0005-0000-0000-0000DE4B0000}"/>
    <cellStyle name="Normal 2 2 4 12 3" xfId="51978" xr:uid="{00000000-0005-0000-0000-0000DF4B0000}"/>
    <cellStyle name="Normal 2 2 4 13" xfId="13469" xr:uid="{00000000-0005-0000-0000-0000E04B0000}"/>
    <cellStyle name="Normal 2 2 4 13 2" xfId="51979" xr:uid="{00000000-0005-0000-0000-0000E14B0000}"/>
    <cellStyle name="Normal 2 2 4 14" xfId="13470" xr:uid="{00000000-0005-0000-0000-0000E24B0000}"/>
    <cellStyle name="Normal 2 2 4 14 2" xfId="51980" xr:uid="{00000000-0005-0000-0000-0000E34B0000}"/>
    <cellStyle name="Normal 2 2 4 15" xfId="13471" xr:uid="{00000000-0005-0000-0000-0000E44B0000}"/>
    <cellStyle name="Normal 2 2 4 16" xfId="13472" xr:uid="{00000000-0005-0000-0000-0000E54B0000}"/>
    <cellStyle name="Normal 2 2 4 17" xfId="13473" xr:uid="{00000000-0005-0000-0000-0000E64B0000}"/>
    <cellStyle name="Normal 2 2 4 18" xfId="13474" xr:uid="{00000000-0005-0000-0000-0000E74B0000}"/>
    <cellStyle name="Normal 2 2 4 19" xfId="13475" xr:uid="{00000000-0005-0000-0000-0000E84B0000}"/>
    <cellStyle name="Normal 2 2 4 2" xfId="13476" xr:uid="{00000000-0005-0000-0000-0000E94B0000}"/>
    <cellStyle name="Normal 2 2 4 2 10" xfId="13477" xr:uid="{00000000-0005-0000-0000-0000EA4B0000}"/>
    <cellStyle name="Normal 2 2 4 2 11" xfId="13478" xr:uid="{00000000-0005-0000-0000-0000EB4B0000}"/>
    <cellStyle name="Normal 2 2 4 2 12" xfId="13479" xr:uid="{00000000-0005-0000-0000-0000EC4B0000}"/>
    <cellStyle name="Normal 2 2 4 2 13" xfId="13480" xr:uid="{00000000-0005-0000-0000-0000ED4B0000}"/>
    <cellStyle name="Normal 2 2 4 2 14" xfId="13481" xr:uid="{00000000-0005-0000-0000-0000EE4B0000}"/>
    <cellStyle name="Normal 2 2 4 2 15" xfId="13482" xr:uid="{00000000-0005-0000-0000-0000EF4B0000}"/>
    <cellStyle name="Normal 2 2 4 2 2" xfId="13483" xr:uid="{00000000-0005-0000-0000-0000F04B0000}"/>
    <cellStyle name="Normal 2 2 4 2 2 10" xfId="13484" xr:uid="{00000000-0005-0000-0000-0000F14B0000}"/>
    <cellStyle name="Normal 2 2 4 2 2 11" xfId="13485" xr:uid="{00000000-0005-0000-0000-0000F24B0000}"/>
    <cellStyle name="Normal 2 2 4 2 2 12" xfId="13486" xr:uid="{00000000-0005-0000-0000-0000F34B0000}"/>
    <cellStyle name="Normal 2 2 4 2 2 13" xfId="13487" xr:uid="{00000000-0005-0000-0000-0000F44B0000}"/>
    <cellStyle name="Normal 2 2 4 2 2 14" xfId="13488" xr:uid="{00000000-0005-0000-0000-0000F54B0000}"/>
    <cellStyle name="Normal 2 2 4 2 2 2" xfId="13489" xr:uid="{00000000-0005-0000-0000-0000F64B0000}"/>
    <cellStyle name="Normal 2 2 4 2 2 2 2" xfId="13490" xr:uid="{00000000-0005-0000-0000-0000F74B0000}"/>
    <cellStyle name="Normal 2 2 4 2 2 2 2 2" xfId="13491" xr:uid="{00000000-0005-0000-0000-0000F84B0000}"/>
    <cellStyle name="Normal 2 2 4 2 2 2 2 2 2" xfId="13492" xr:uid="{00000000-0005-0000-0000-0000F94B0000}"/>
    <cellStyle name="Normal 2 2 4 2 2 2 2 2 2 2" xfId="51981" xr:uid="{00000000-0005-0000-0000-0000FA4B0000}"/>
    <cellStyle name="Normal 2 2 4 2 2 2 2 2 2 3" xfId="51982" xr:uid="{00000000-0005-0000-0000-0000FB4B0000}"/>
    <cellStyle name="Normal 2 2 4 2 2 2 2 2 3" xfId="13493" xr:uid="{00000000-0005-0000-0000-0000FC4B0000}"/>
    <cellStyle name="Normal 2 2 4 2 2 2 2 2 3 2" xfId="51983" xr:uid="{00000000-0005-0000-0000-0000FD4B0000}"/>
    <cellStyle name="Normal 2 2 4 2 2 2 2 2 4" xfId="13494" xr:uid="{00000000-0005-0000-0000-0000FE4B0000}"/>
    <cellStyle name="Normal 2 2 4 2 2 2 2 2 5" xfId="13495" xr:uid="{00000000-0005-0000-0000-0000FF4B0000}"/>
    <cellStyle name="Normal 2 2 4 2 2 2 2 2 6" xfId="13496" xr:uid="{00000000-0005-0000-0000-0000004C0000}"/>
    <cellStyle name="Normal 2 2 4 2 2 2 2 3" xfId="13497" xr:uid="{00000000-0005-0000-0000-0000014C0000}"/>
    <cellStyle name="Normal 2 2 4 2 2 2 2 3 2" xfId="51984" xr:uid="{00000000-0005-0000-0000-0000024C0000}"/>
    <cellStyle name="Normal 2 2 4 2 2 2 2 3 3" xfId="51985" xr:uid="{00000000-0005-0000-0000-0000034C0000}"/>
    <cellStyle name="Normal 2 2 4 2 2 2 2 4" xfId="13498" xr:uid="{00000000-0005-0000-0000-0000044C0000}"/>
    <cellStyle name="Normal 2 2 4 2 2 2 2 4 2" xfId="51986" xr:uid="{00000000-0005-0000-0000-0000054C0000}"/>
    <cellStyle name="Normal 2 2 4 2 2 2 2 5" xfId="13499" xr:uid="{00000000-0005-0000-0000-0000064C0000}"/>
    <cellStyle name="Normal 2 2 4 2 2 2 2 6" xfId="13500" xr:uid="{00000000-0005-0000-0000-0000074C0000}"/>
    <cellStyle name="Normal 2 2 4 2 2 2 2 7" xfId="13501" xr:uid="{00000000-0005-0000-0000-0000084C0000}"/>
    <cellStyle name="Normal 2 2 4 2 2 2 3" xfId="13502" xr:uid="{00000000-0005-0000-0000-0000094C0000}"/>
    <cellStyle name="Normal 2 2 4 2 2 2 3 2" xfId="13503" xr:uid="{00000000-0005-0000-0000-00000A4C0000}"/>
    <cellStyle name="Normal 2 2 4 2 2 2 3 2 2" xfId="51987" xr:uid="{00000000-0005-0000-0000-00000B4C0000}"/>
    <cellStyle name="Normal 2 2 4 2 2 2 3 2 3" xfId="51988" xr:uid="{00000000-0005-0000-0000-00000C4C0000}"/>
    <cellStyle name="Normal 2 2 4 2 2 2 3 3" xfId="13504" xr:uid="{00000000-0005-0000-0000-00000D4C0000}"/>
    <cellStyle name="Normal 2 2 4 2 2 2 3 3 2" xfId="51989" xr:uid="{00000000-0005-0000-0000-00000E4C0000}"/>
    <cellStyle name="Normal 2 2 4 2 2 2 3 4" xfId="13505" xr:uid="{00000000-0005-0000-0000-00000F4C0000}"/>
    <cellStyle name="Normal 2 2 4 2 2 2 3 5" xfId="13506" xr:uid="{00000000-0005-0000-0000-0000104C0000}"/>
    <cellStyle name="Normal 2 2 4 2 2 2 3 6" xfId="13507" xr:uid="{00000000-0005-0000-0000-0000114C0000}"/>
    <cellStyle name="Normal 2 2 4 2 2 2 4" xfId="13508" xr:uid="{00000000-0005-0000-0000-0000124C0000}"/>
    <cellStyle name="Normal 2 2 4 2 2 2 4 2" xfId="51990" xr:uid="{00000000-0005-0000-0000-0000134C0000}"/>
    <cellStyle name="Normal 2 2 4 2 2 2 4 3" xfId="51991" xr:uid="{00000000-0005-0000-0000-0000144C0000}"/>
    <cellStyle name="Normal 2 2 4 2 2 2 5" xfId="13509" xr:uid="{00000000-0005-0000-0000-0000154C0000}"/>
    <cellStyle name="Normal 2 2 4 2 2 2 5 2" xfId="51992" xr:uid="{00000000-0005-0000-0000-0000164C0000}"/>
    <cellStyle name="Normal 2 2 4 2 2 2 6" xfId="13510" xr:uid="{00000000-0005-0000-0000-0000174C0000}"/>
    <cellStyle name="Normal 2 2 4 2 2 2 7" xfId="13511" xr:uid="{00000000-0005-0000-0000-0000184C0000}"/>
    <cellStyle name="Normal 2 2 4 2 2 2 8" xfId="13512" xr:uid="{00000000-0005-0000-0000-0000194C0000}"/>
    <cellStyle name="Normal 2 2 4 2 2 2 9" xfId="13513" xr:uid="{00000000-0005-0000-0000-00001A4C0000}"/>
    <cellStyle name="Normal 2 2 4 2 2 3" xfId="13514" xr:uid="{00000000-0005-0000-0000-00001B4C0000}"/>
    <cellStyle name="Normal 2 2 4 2 2 3 2" xfId="13515" xr:uid="{00000000-0005-0000-0000-00001C4C0000}"/>
    <cellStyle name="Normal 2 2 4 2 2 3 2 2" xfId="13516" xr:uid="{00000000-0005-0000-0000-00001D4C0000}"/>
    <cellStyle name="Normal 2 2 4 2 2 3 2 2 2" xfId="13517" xr:uid="{00000000-0005-0000-0000-00001E4C0000}"/>
    <cellStyle name="Normal 2 2 4 2 2 3 2 2 2 2" xfId="51993" xr:uid="{00000000-0005-0000-0000-00001F4C0000}"/>
    <cellStyle name="Normal 2 2 4 2 2 3 2 2 2 3" xfId="51994" xr:uid="{00000000-0005-0000-0000-0000204C0000}"/>
    <cellStyle name="Normal 2 2 4 2 2 3 2 2 3" xfId="13518" xr:uid="{00000000-0005-0000-0000-0000214C0000}"/>
    <cellStyle name="Normal 2 2 4 2 2 3 2 2 3 2" xfId="51995" xr:uid="{00000000-0005-0000-0000-0000224C0000}"/>
    <cellStyle name="Normal 2 2 4 2 2 3 2 2 4" xfId="13519" xr:uid="{00000000-0005-0000-0000-0000234C0000}"/>
    <cellStyle name="Normal 2 2 4 2 2 3 2 2 5" xfId="13520" xr:uid="{00000000-0005-0000-0000-0000244C0000}"/>
    <cellStyle name="Normal 2 2 4 2 2 3 2 2 6" xfId="13521" xr:uid="{00000000-0005-0000-0000-0000254C0000}"/>
    <cellStyle name="Normal 2 2 4 2 2 3 2 3" xfId="13522" xr:uid="{00000000-0005-0000-0000-0000264C0000}"/>
    <cellStyle name="Normal 2 2 4 2 2 3 2 3 2" xfId="51996" xr:uid="{00000000-0005-0000-0000-0000274C0000}"/>
    <cellStyle name="Normal 2 2 4 2 2 3 2 3 3" xfId="51997" xr:uid="{00000000-0005-0000-0000-0000284C0000}"/>
    <cellStyle name="Normal 2 2 4 2 2 3 2 4" xfId="13523" xr:uid="{00000000-0005-0000-0000-0000294C0000}"/>
    <cellStyle name="Normal 2 2 4 2 2 3 2 4 2" xfId="51998" xr:uid="{00000000-0005-0000-0000-00002A4C0000}"/>
    <cellStyle name="Normal 2 2 4 2 2 3 2 5" xfId="13524" xr:uid="{00000000-0005-0000-0000-00002B4C0000}"/>
    <cellStyle name="Normal 2 2 4 2 2 3 2 6" xfId="13525" xr:uid="{00000000-0005-0000-0000-00002C4C0000}"/>
    <cellStyle name="Normal 2 2 4 2 2 3 2 7" xfId="13526" xr:uid="{00000000-0005-0000-0000-00002D4C0000}"/>
    <cellStyle name="Normal 2 2 4 2 2 3 3" xfId="13527" xr:uid="{00000000-0005-0000-0000-00002E4C0000}"/>
    <cellStyle name="Normal 2 2 4 2 2 3 3 2" xfId="13528" xr:uid="{00000000-0005-0000-0000-00002F4C0000}"/>
    <cellStyle name="Normal 2 2 4 2 2 3 3 2 2" xfId="51999" xr:uid="{00000000-0005-0000-0000-0000304C0000}"/>
    <cellStyle name="Normal 2 2 4 2 2 3 3 2 3" xfId="52000" xr:uid="{00000000-0005-0000-0000-0000314C0000}"/>
    <cellStyle name="Normal 2 2 4 2 2 3 3 3" xfId="13529" xr:uid="{00000000-0005-0000-0000-0000324C0000}"/>
    <cellStyle name="Normal 2 2 4 2 2 3 3 3 2" xfId="52001" xr:uid="{00000000-0005-0000-0000-0000334C0000}"/>
    <cellStyle name="Normal 2 2 4 2 2 3 3 4" xfId="13530" xr:uid="{00000000-0005-0000-0000-0000344C0000}"/>
    <cellStyle name="Normal 2 2 4 2 2 3 3 5" xfId="13531" xr:uid="{00000000-0005-0000-0000-0000354C0000}"/>
    <cellStyle name="Normal 2 2 4 2 2 3 3 6" xfId="13532" xr:uid="{00000000-0005-0000-0000-0000364C0000}"/>
    <cellStyle name="Normal 2 2 4 2 2 3 4" xfId="13533" xr:uid="{00000000-0005-0000-0000-0000374C0000}"/>
    <cellStyle name="Normal 2 2 4 2 2 3 4 2" xfId="52002" xr:uid="{00000000-0005-0000-0000-0000384C0000}"/>
    <cellStyle name="Normal 2 2 4 2 2 3 4 3" xfId="52003" xr:uid="{00000000-0005-0000-0000-0000394C0000}"/>
    <cellStyle name="Normal 2 2 4 2 2 3 5" xfId="13534" xr:uid="{00000000-0005-0000-0000-00003A4C0000}"/>
    <cellStyle name="Normal 2 2 4 2 2 3 5 2" xfId="52004" xr:uid="{00000000-0005-0000-0000-00003B4C0000}"/>
    <cellStyle name="Normal 2 2 4 2 2 3 6" xfId="13535" xr:uid="{00000000-0005-0000-0000-00003C4C0000}"/>
    <cellStyle name="Normal 2 2 4 2 2 3 7" xfId="13536" xr:uid="{00000000-0005-0000-0000-00003D4C0000}"/>
    <cellStyle name="Normal 2 2 4 2 2 3 8" xfId="13537" xr:uid="{00000000-0005-0000-0000-00003E4C0000}"/>
    <cellStyle name="Normal 2 2 4 2 2 4" xfId="13538" xr:uid="{00000000-0005-0000-0000-00003F4C0000}"/>
    <cellStyle name="Normal 2 2 4 2 2 4 2" xfId="13539" xr:uid="{00000000-0005-0000-0000-0000404C0000}"/>
    <cellStyle name="Normal 2 2 4 2 2 4 2 2" xfId="13540" xr:uid="{00000000-0005-0000-0000-0000414C0000}"/>
    <cellStyle name="Normal 2 2 4 2 2 4 2 2 2" xfId="52005" xr:uid="{00000000-0005-0000-0000-0000424C0000}"/>
    <cellStyle name="Normal 2 2 4 2 2 4 2 2 3" xfId="52006" xr:uid="{00000000-0005-0000-0000-0000434C0000}"/>
    <cellStyle name="Normal 2 2 4 2 2 4 2 3" xfId="13541" xr:uid="{00000000-0005-0000-0000-0000444C0000}"/>
    <cellStyle name="Normal 2 2 4 2 2 4 2 3 2" xfId="52007" xr:uid="{00000000-0005-0000-0000-0000454C0000}"/>
    <cellStyle name="Normal 2 2 4 2 2 4 2 4" xfId="13542" xr:uid="{00000000-0005-0000-0000-0000464C0000}"/>
    <cellStyle name="Normal 2 2 4 2 2 4 2 5" xfId="13543" xr:uid="{00000000-0005-0000-0000-0000474C0000}"/>
    <cellStyle name="Normal 2 2 4 2 2 4 2 6" xfId="13544" xr:uid="{00000000-0005-0000-0000-0000484C0000}"/>
    <cellStyle name="Normal 2 2 4 2 2 4 3" xfId="13545" xr:uid="{00000000-0005-0000-0000-0000494C0000}"/>
    <cellStyle name="Normal 2 2 4 2 2 4 3 2" xfId="52008" xr:uid="{00000000-0005-0000-0000-00004A4C0000}"/>
    <cellStyle name="Normal 2 2 4 2 2 4 3 3" xfId="52009" xr:uid="{00000000-0005-0000-0000-00004B4C0000}"/>
    <cellStyle name="Normal 2 2 4 2 2 4 4" xfId="13546" xr:uid="{00000000-0005-0000-0000-00004C4C0000}"/>
    <cellStyle name="Normal 2 2 4 2 2 4 4 2" xfId="52010" xr:uid="{00000000-0005-0000-0000-00004D4C0000}"/>
    <cellStyle name="Normal 2 2 4 2 2 4 5" xfId="13547" xr:uid="{00000000-0005-0000-0000-00004E4C0000}"/>
    <cellStyle name="Normal 2 2 4 2 2 4 6" xfId="13548" xr:uid="{00000000-0005-0000-0000-00004F4C0000}"/>
    <cellStyle name="Normal 2 2 4 2 2 4 7" xfId="13549" xr:uid="{00000000-0005-0000-0000-0000504C0000}"/>
    <cellStyle name="Normal 2 2 4 2 2 5" xfId="13550" xr:uid="{00000000-0005-0000-0000-0000514C0000}"/>
    <cellStyle name="Normal 2 2 4 2 2 5 2" xfId="13551" xr:uid="{00000000-0005-0000-0000-0000524C0000}"/>
    <cellStyle name="Normal 2 2 4 2 2 5 2 2" xfId="52011" xr:uid="{00000000-0005-0000-0000-0000534C0000}"/>
    <cellStyle name="Normal 2 2 4 2 2 5 2 3" xfId="52012" xr:uid="{00000000-0005-0000-0000-0000544C0000}"/>
    <cellStyle name="Normal 2 2 4 2 2 5 3" xfId="13552" xr:uid="{00000000-0005-0000-0000-0000554C0000}"/>
    <cellStyle name="Normal 2 2 4 2 2 5 3 2" xfId="52013" xr:uid="{00000000-0005-0000-0000-0000564C0000}"/>
    <cellStyle name="Normal 2 2 4 2 2 5 4" xfId="13553" xr:uid="{00000000-0005-0000-0000-0000574C0000}"/>
    <cellStyle name="Normal 2 2 4 2 2 5 5" xfId="13554" xr:uid="{00000000-0005-0000-0000-0000584C0000}"/>
    <cellStyle name="Normal 2 2 4 2 2 5 6" xfId="13555" xr:uid="{00000000-0005-0000-0000-0000594C0000}"/>
    <cellStyle name="Normal 2 2 4 2 2 6" xfId="13556" xr:uid="{00000000-0005-0000-0000-00005A4C0000}"/>
    <cellStyle name="Normal 2 2 4 2 2 6 2" xfId="52014" xr:uid="{00000000-0005-0000-0000-00005B4C0000}"/>
    <cellStyle name="Normal 2 2 4 2 2 6 3" xfId="52015" xr:uid="{00000000-0005-0000-0000-00005C4C0000}"/>
    <cellStyle name="Normal 2 2 4 2 2 7" xfId="13557" xr:uid="{00000000-0005-0000-0000-00005D4C0000}"/>
    <cellStyle name="Normal 2 2 4 2 2 7 2" xfId="52016" xr:uid="{00000000-0005-0000-0000-00005E4C0000}"/>
    <cellStyle name="Normal 2 2 4 2 2 8" xfId="13558" xr:uid="{00000000-0005-0000-0000-00005F4C0000}"/>
    <cellStyle name="Normal 2 2 4 2 2 9" xfId="13559" xr:uid="{00000000-0005-0000-0000-0000604C0000}"/>
    <cellStyle name="Normal 2 2 4 2 3" xfId="13560" xr:uid="{00000000-0005-0000-0000-0000614C0000}"/>
    <cellStyle name="Normal 2 2 4 2 3 2" xfId="13561" xr:uid="{00000000-0005-0000-0000-0000624C0000}"/>
    <cellStyle name="Normal 2 2 4 2 3 2 2" xfId="13562" xr:uid="{00000000-0005-0000-0000-0000634C0000}"/>
    <cellStyle name="Normal 2 2 4 2 3 2 2 2" xfId="13563" xr:uid="{00000000-0005-0000-0000-0000644C0000}"/>
    <cellStyle name="Normal 2 2 4 2 3 2 2 2 2" xfId="52017" xr:uid="{00000000-0005-0000-0000-0000654C0000}"/>
    <cellStyle name="Normal 2 2 4 2 3 2 2 2 3" xfId="52018" xr:uid="{00000000-0005-0000-0000-0000664C0000}"/>
    <cellStyle name="Normal 2 2 4 2 3 2 2 3" xfId="13564" xr:uid="{00000000-0005-0000-0000-0000674C0000}"/>
    <cellStyle name="Normal 2 2 4 2 3 2 2 3 2" xfId="52019" xr:uid="{00000000-0005-0000-0000-0000684C0000}"/>
    <cellStyle name="Normal 2 2 4 2 3 2 2 4" xfId="13565" xr:uid="{00000000-0005-0000-0000-0000694C0000}"/>
    <cellStyle name="Normal 2 2 4 2 3 2 2 5" xfId="13566" xr:uid="{00000000-0005-0000-0000-00006A4C0000}"/>
    <cellStyle name="Normal 2 2 4 2 3 2 2 6" xfId="13567" xr:uid="{00000000-0005-0000-0000-00006B4C0000}"/>
    <cellStyle name="Normal 2 2 4 2 3 2 3" xfId="13568" xr:uid="{00000000-0005-0000-0000-00006C4C0000}"/>
    <cellStyle name="Normal 2 2 4 2 3 2 3 2" xfId="52020" xr:uid="{00000000-0005-0000-0000-00006D4C0000}"/>
    <cellStyle name="Normal 2 2 4 2 3 2 3 3" xfId="52021" xr:uid="{00000000-0005-0000-0000-00006E4C0000}"/>
    <cellStyle name="Normal 2 2 4 2 3 2 4" xfId="13569" xr:uid="{00000000-0005-0000-0000-00006F4C0000}"/>
    <cellStyle name="Normal 2 2 4 2 3 2 4 2" xfId="52022" xr:uid="{00000000-0005-0000-0000-0000704C0000}"/>
    <cellStyle name="Normal 2 2 4 2 3 2 5" xfId="13570" xr:uid="{00000000-0005-0000-0000-0000714C0000}"/>
    <cellStyle name="Normal 2 2 4 2 3 2 6" xfId="13571" xr:uid="{00000000-0005-0000-0000-0000724C0000}"/>
    <cellStyle name="Normal 2 2 4 2 3 2 7" xfId="13572" xr:uid="{00000000-0005-0000-0000-0000734C0000}"/>
    <cellStyle name="Normal 2 2 4 2 3 3" xfId="13573" xr:uid="{00000000-0005-0000-0000-0000744C0000}"/>
    <cellStyle name="Normal 2 2 4 2 3 3 2" xfId="13574" xr:uid="{00000000-0005-0000-0000-0000754C0000}"/>
    <cellStyle name="Normal 2 2 4 2 3 3 2 2" xfId="52023" xr:uid="{00000000-0005-0000-0000-0000764C0000}"/>
    <cellStyle name="Normal 2 2 4 2 3 3 2 3" xfId="52024" xr:uid="{00000000-0005-0000-0000-0000774C0000}"/>
    <cellStyle name="Normal 2 2 4 2 3 3 3" xfId="13575" xr:uid="{00000000-0005-0000-0000-0000784C0000}"/>
    <cellStyle name="Normal 2 2 4 2 3 3 3 2" xfId="52025" xr:uid="{00000000-0005-0000-0000-0000794C0000}"/>
    <cellStyle name="Normal 2 2 4 2 3 3 4" xfId="13576" xr:uid="{00000000-0005-0000-0000-00007A4C0000}"/>
    <cellStyle name="Normal 2 2 4 2 3 3 5" xfId="13577" xr:uid="{00000000-0005-0000-0000-00007B4C0000}"/>
    <cellStyle name="Normal 2 2 4 2 3 3 6" xfId="13578" xr:uid="{00000000-0005-0000-0000-00007C4C0000}"/>
    <cellStyle name="Normal 2 2 4 2 3 4" xfId="13579" xr:uid="{00000000-0005-0000-0000-00007D4C0000}"/>
    <cellStyle name="Normal 2 2 4 2 3 4 2" xfId="52026" xr:uid="{00000000-0005-0000-0000-00007E4C0000}"/>
    <cellStyle name="Normal 2 2 4 2 3 4 3" xfId="52027" xr:uid="{00000000-0005-0000-0000-00007F4C0000}"/>
    <cellStyle name="Normal 2 2 4 2 3 5" xfId="13580" xr:uid="{00000000-0005-0000-0000-0000804C0000}"/>
    <cellStyle name="Normal 2 2 4 2 3 5 2" xfId="52028" xr:uid="{00000000-0005-0000-0000-0000814C0000}"/>
    <cellStyle name="Normal 2 2 4 2 3 6" xfId="13581" xr:uid="{00000000-0005-0000-0000-0000824C0000}"/>
    <cellStyle name="Normal 2 2 4 2 3 7" xfId="13582" xr:uid="{00000000-0005-0000-0000-0000834C0000}"/>
    <cellStyle name="Normal 2 2 4 2 3 8" xfId="13583" xr:uid="{00000000-0005-0000-0000-0000844C0000}"/>
    <cellStyle name="Normal 2 2 4 2 3 9" xfId="13584" xr:uid="{00000000-0005-0000-0000-0000854C0000}"/>
    <cellStyle name="Normal 2 2 4 2 4" xfId="13585" xr:uid="{00000000-0005-0000-0000-0000864C0000}"/>
    <cellStyle name="Normal 2 2 4 2 4 2" xfId="13586" xr:uid="{00000000-0005-0000-0000-0000874C0000}"/>
    <cellStyle name="Normal 2 2 4 2 4 2 2" xfId="13587" xr:uid="{00000000-0005-0000-0000-0000884C0000}"/>
    <cellStyle name="Normal 2 2 4 2 4 2 2 2" xfId="13588" xr:uid="{00000000-0005-0000-0000-0000894C0000}"/>
    <cellStyle name="Normal 2 2 4 2 4 2 2 2 2" xfId="52029" xr:uid="{00000000-0005-0000-0000-00008A4C0000}"/>
    <cellStyle name="Normal 2 2 4 2 4 2 2 2 3" xfId="52030" xr:uid="{00000000-0005-0000-0000-00008B4C0000}"/>
    <cellStyle name="Normal 2 2 4 2 4 2 2 3" xfId="13589" xr:uid="{00000000-0005-0000-0000-00008C4C0000}"/>
    <cellStyle name="Normal 2 2 4 2 4 2 2 3 2" xfId="52031" xr:uid="{00000000-0005-0000-0000-00008D4C0000}"/>
    <cellStyle name="Normal 2 2 4 2 4 2 2 4" xfId="13590" xr:uid="{00000000-0005-0000-0000-00008E4C0000}"/>
    <cellStyle name="Normal 2 2 4 2 4 2 2 5" xfId="13591" xr:uid="{00000000-0005-0000-0000-00008F4C0000}"/>
    <cellStyle name="Normal 2 2 4 2 4 2 2 6" xfId="13592" xr:uid="{00000000-0005-0000-0000-0000904C0000}"/>
    <cellStyle name="Normal 2 2 4 2 4 2 3" xfId="13593" xr:uid="{00000000-0005-0000-0000-0000914C0000}"/>
    <cellStyle name="Normal 2 2 4 2 4 2 3 2" xfId="52032" xr:uid="{00000000-0005-0000-0000-0000924C0000}"/>
    <cellStyle name="Normal 2 2 4 2 4 2 3 3" xfId="52033" xr:uid="{00000000-0005-0000-0000-0000934C0000}"/>
    <cellStyle name="Normal 2 2 4 2 4 2 4" xfId="13594" xr:uid="{00000000-0005-0000-0000-0000944C0000}"/>
    <cellStyle name="Normal 2 2 4 2 4 2 4 2" xfId="52034" xr:uid="{00000000-0005-0000-0000-0000954C0000}"/>
    <cellStyle name="Normal 2 2 4 2 4 2 5" xfId="13595" xr:uid="{00000000-0005-0000-0000-0000964C0000}"/>
    <cellStyle name="Normal 2 2 4 2 4 2 6" xfId="13596" xr:uid="{00000000-0005-0000-0000-0000974C0000}"/>
    <cellStyle name="Normal 2 2 4 2 4 2 7" xfId="13597" xr:uid="{00000000-0005-0000-0000-0000984C0000}"/>
    <cellStyle name="Normal 2 2 4 2 4 3" xfId="13598" xr:uid="{00000000-0005-0000-0000-0000994C0000}"/>
    <cellStyle name="Normal 2 2 4 2 4 3 2" xfId="13599" xr:uid="{00000000-0005-0000-0000-00009A4C0000}"/>
    <cellStyle name="Normal 2 2 4 2 4 3 2 2" xfId="52035" xr:uid="{00000000-0005-0000-0000-00009B4C0000}"/>
    <cellStyle name="Normal 2 2 4 2 4 3 2 3" xfId="52036" xr:uid="{00000000-0005-0000-0000-00009C4C0000}"/>
    <cellStyle name="Normal 2 2 4 2 4 3 3" xfId="13600" xr:uid="{00000000-0005-0000-0000-00009D4C0000}"/>
    <cellStyle name="Normal 2 2 4 2 4 3 3 2" xfId="52037" xr:uid="{00000000-0005-0000-0000-00009E4C0000}"/>
    <cellStyle name="Normal 2 2 4 2 4 3 4" xfId="13601" xr:uid="{00000000-0005-0000-0000-00009F4C0000}"/>
    <cellStyle name="Normal 2 2 4 2 4 3 5" xfId="13602" xr:uid="{00000000-0005-0000-0000-0000A04C0000}"/>
    <cellStyle name="Normal 2 2 4 2 4 3 6" xfId="13603" xr:uid="{00000000-0005-0000-0000-0000A14C0000}"/>
    <cellStyle name="Normal 2 2 4 2 4 4" xfId="13604" xr:uid="{00000000-0005-0000-0000-0000A24C0000}"/>
    <cellStyle name="Normal 2 2 4 2 4 4 2" xfId="52038" xr:uid="{00000000-0005-0000-0000-0000A34C0000}"/>
    <cellStyle name="Normal 2 2 4 2 4 4 3" xfId="52039" xr:uid="{00000000-0005-0000-0000-0000A44C0000}"/>
    <cellStyle name="Normal 2 2 4 2 4 5" xfId="13605" xr:uid="{00000000-0005-0000-0000-0000A54C0000}"/>
    <cellStyle name="Normal 2 2 4 2 4 5 2" xfId="52040" xr:uid="{00000000-0005-0000-0000-0000A64C0000}"/>
    <cellStyle name="Normal 2 2 4 2 4 6" xfId="13606" xr:uid="{00000000-0005-0000-0000-0000A74C0000}"/>
    <cellStyle name="Normal 2 2 4 2 4 7" xfId="13607" xr:uid="{00000000-0005-0000-0000-0000A84C0000}"/>
    <cellStyle name="Normal 2 2 4 2 4 8" xfId="13608" xr:uid="{00000000-0005-0000-0000-0000A94C0000}"/>
    <cellStyle name="Normal 2 2 4 2 5" xfId="13609" xr:uid="{00000000-0005-0000-0000-0000AA4C0000}"/>
    <cellStyle name="Normal 2 2 4 2 5 2" xfId="13610" xr:uid="{00000000-0005-0000-0000-0000AB4C0000}"/>
    <cellStyle name="Normal 2 2 4 2 5 2 2" xfId="13611" xr:uid="{00000000-0005-0000-0000-0000AC4C0000}"/>
    <cellStyle name="Normal 2 2 4 2 5 2 2 2" xfId="52041" xr:uid="{00000000-0005-0000-0000-0000AD4C0000}"/>
    <cellStyle name="Normal 2 2 4 2 5 2 2 3" xfId="52042" xr:uid="{00000000-0005-0000-0000-0000AE4C0000}"/>
    <cellStyle name="Normal 2 2 4 2 5 2 3" xfId="13612" xr:uid="{00000000-0005-0000-0000-0000AF4C0000}"/>
    <cellStyle name="Normal 2 2 4 2 5 2 3 2" xfId="52043" xr:uid="{00000000-0005-0000-0000-0000B04C0000}"/>
    <cellStyle name="Normal 2 2 4 2 5 2 4" xfId="13613" xr:uid="{00000000-0005-0000-0000-0000B14C0000}"/>
    <cellStyle name="Normal 2 2 4 2 5 2 5" xfId="13614" xr:uid="{00000000-0005-0000-0000-0000B24C0000}"/>
    <cellStyle name="Normal 2 2 4 2 5 2 6" xfId="13615" xr:uid="{00000000-0005-0000-0000-0000B34C0000}"/>
    <cellStyle name="Normal 2 2 4 2 5 3" xfId="13616" xr:uid="{00000000-0005-0000-0000-0000B44C0000}"/>
    <cellStyle name="Normal 2 2 4 2 5 3 2" xfId="52044" xr:uid="{00000000-0005-0000-0000-0000B54C0000}"/>
    <cellStyle name="Normal 2 2 4 2 5 3 3" xfId="52045" xr:uid="{00000000-0005-0000-0000-0000B64C0000}"/>
    <cellStyle name="Normal 2 2 4 2 5 4" xfId="13617" xr:uid="{00000000-0005-0000-0000-0000B74C0000}"/>
    <cellStyle name="Normal 2 2 4 2 5 4 2" xfId="52046" xr:uid="{00000000-0005-0000-0000-0000B84C0000}"/>
    <cellStyle name="Normal 2 2 4 2 5 5" xfId="13618" xr:uid="{00000000-0005-0000-0000-0000B94C0000}"/>
    <cellStyle name="Normal 2 2 4 2 5 6" xfId="13619" xr:uid="{00000000-0005-0000-0000-0000BA4C0000}"/>
    <cellStyle name="Normal 2 2 4 2 5 7" xfId="13620" xr:uid="{00000000-0005-0000-0000-0000BB4C0000}"/>
    <cellStyle name="Normal 2 2 4 2 6" xfId="13621" xr:uid="{00000000-0005-0000-0000-0000BC4C0000}"/>
    <cellStyle name="Normal 2 2 4 2 6 2" xfId="13622" xr:uid="{00000000-0005-0000-0000-0000BD4C0000}"/>
    <cellStyle name="Normal 2 2 4 2 6 2 2" xfId="52047" xr:uid="{00000000-0005-0000-0000-0000BE4C0000}"/>
    <cellStyle name="Normal 2 2 4 2 6 2 3" xfId="52048" xr:uid="{00000000-0005-0000-0000-0000BF4C0000}"/>
    <cellStyle name="Normal 2 2 4 2 6 3" xfId="13623" xr:uid="{00000000-0005-0000-0000-0000C04C0000}"/>
    <cellStyle name="Normal 2 2 4 2 6 3 2" xfId="52049" xr:uid="{00000000-0005-0000-0000-0000C14C0000}"/>
    <cellStyle name="Normal 2 2 4 2 6 4" xfId="13624" xr:uid="{00000000-0005-0000-0000-0000C24C0000}"/>
    <cellStyle name="Normal 2 2 4 2 6 5" xfId="13625" xr:uid="{00000000-0005-0000-0000-0000C34C0000}"/>
    <cellStyle name="Normal 2 2 4 2 6 6" xfId="13626" xr:uid="{00000000-0005-0000-0000-0000C44C0000}"/>
    <cellStyle name="Normal 2 2 4 2 7" xfId="13627" xr:uid="{00000000-0005-0000-0000-0000C54C0000}"/>
    <cellStyle name="Normal 2 2 4 2 7 2" xfId="52050" xr:uid="{00000000-0005-0000-0000-0000C64C0000}"/>
    <cellStyle name="Normal 2 2 4 2 7 3" xfId="52051" xr:uid="{00000000-0005-0000-0000-0000C74C0000}"/>
    <cellStyle name="Normal 2 2 4 2 8" xfId="13628" xr:uid="{00000000-0005-0000-0000-0000C84C0000}"/>
    <cellStyle name="Normal 2 2 4 2 8 2" xfId="52052" xr:uid="{00000000-0005-0000-0000-0000C94C0000}"/>
    <cellStyle name="Normal 2 2 4 2 9" xfId="13629" xr:uid="{00000000-0005-0000-0000-0000CA4C0000}"/>
    <cellStyle name="Normal 2 2 4 2 9 2" xfId="52053" xr:uid="{00000000-0005-0000-0000-0000CB4C0000}"/>
    <cellStyle name="Normal 2 2 4 20" xfId="13630" xr:uid="{00000000-0005-0000-0000-0000CC4C0000}"/>
    <cellStyle name="Normal 2 2 4 3" xfId="13631" xr:uid="{00000000-0005-0000-0000-0000CD4C0000}"/>
    <cellStyle name="Normal 2 2 4 3 10" xfId="13632" xr:uid="{00000000-0005-0000-0000-0000CE4C0000}"/>
    <cellStyle name="Normal 2 2 4 3 11" xfId="13633" xr:uid="{00000000-0005-0000-0000-0000CF4C0000}"/>
    <cellStyle name="Normal 2 2 4 3 12" xfId="13634" xr:uid="{00000000-0005-0000-0000-0000D04C0000}"/>
    <cellStyle name="Normal 2 2 4 3 13" xfId="13635" xr:uid="{00000000-0005-0000-0000-0000D14C0000}"/>
    <cellStyle name="Normal 2 2 4 3 14" xfId="13636" xr:uid="{00000000-0005-0000-0000-0000D24C0000}"/>
    <cellStyle name="Normal 2 2 4 3 15" xfId="13637" xr:uid="{00000000-0005-0000-0000-0000D34C0000}"/>
    <cellStyle name="Normal 2 2 4 3 2" xfId="13638" xr:uid="{00000000-0005-0000-0000-0000D44C0000}"/>
    <cellStyle name="Normal 2 2 4 3 2 10" xfId="13639" xr:uid="{00000000-0005-0000-0000-0000D54C0000}"/>
    <cellStyle name="Normal 2 2 4 3 2 11" xfId="13640" xr:uid="{00000000-0005-0000-0000-0000D64C0000}"/>
    <cellStyle name="Normal 2 2 4 3 2 12" xfId="13641" xr:uid="{00000000-0005-0000-0000-0000D74C0000}"/>
    <cellStyle name="Normal 2 2 4 3 2 13" xfId="13642" xr:uid="{00000000-0005-0000-0000-0000D84C0000}"/>
    <cellStyle name="Normal 2 2 4 3 2 14" xfId="13643" xr:uid="{00000000-0005-0000-0000-0000D94C0000}"/>
    <cellStyle name="Normal 2 2 4 3 2 2" xfId="13644" xr:uid="{00000000-0005-0000-0000-0000DA4C0000}"/>
    <cellStyle name="Normal 2 2 4 3 2 2 2" xfId="13645" xr:uid="{00000000-0005-0000-0000-0000DB4C0000}"/>
    <cellStyle name="Normal 2 2 4 3 2 2 2 2" xfId="13646" xr:uid="{00000000-0005-0000-0000-0000DC4C0000}"/>
    <cellStyle name="Normal 2 2 4 3 2 2 2 2 2" xfId="13647" xr:uid="{00000000-0005-0000-0000-0000DD4C0000}"/>
    <cellStyle name="Normal 2 2 4 3 2 2 2 2 2 2" xfId="52054" xr:uid="{00000000-0005-0000-0000-0000DE4C0000}"/>
    <cellStyle name="Normal 2 2 4 3 2 2 2 2 2 3" xfId="52055" xr:uid="{00000000-0005-0000-0000-0000DF4C0000}"/>
    <cellStyle name="Normal 2 2 4 3 2 2 2 2 3" xfId="13648" xr:uid="{00000000-0005-0000-0000-0000E04C0000}"/>
    <cellStyle name="Normal 2 2 4 3 2 2 2 2 3 2" xfId="52056" xr:uid="{00000000-0005-0000-0000-0000E14C0000}"/>
    <cellStyle name="Normal 2 2 4 3 2 2 2 2 4" xfId="13649" xr:uid="{00000000-0005-0000-0000-0000E24C0000}"/>
    <cellStyle name="Normal 2 2 4 3 2 2 2 2 5" xfId="13650" xr:uid="{00000000-0005-0000-0000-0000E34C0000}"/>
    <cellStyle name="Normal 2 2 4 3 2 2 2 2 6" xfId="13651" xr:uid="{00000000-0005-0000-0000-0000E44C0000}"/>
    <cellStyle name="Normal 2 2 4 3 2 2 2 3" xfId="13652" xr:uid="{00000000-0005-0000-0000-0000E54C0000}"/>
    <cellStyle name="Normal 2 2 4 3 2 2 2 3 2" xfId="52057" xr:uid="{00000000-0005-0000-0000-0000E64C0000}"/>
    <cellStyle name="Normal 2 2 4 3 2 2 2 3 3" xfId="52058" xr:uid="{00000000-0005-0000-0000-0000E74C0000}"/>
    <cellStyle name="Normal 2 2 4 3 2 2 2 4" xfId="13653" xr:uid="{00000000-0005-0000-0000-0000E84C0000}"/>
    <cellStyle name="Normal 2 2 4 3 2 2 2 4 2" xfId="52059" xr:uid="{00000000-0005-0000-0000-0000E94C0000}"/>
    <cellStyle name="Normal 2 2 4 3 2 2 2 5" xfId="13654" xr:uid="{00000000-0005-0000-0000-0000EA4C0000}"/>
    <cellStyle name="Normal 2 2 4 3 2 2 2 6" xfId="13655" xr:uid="{00000000-0005-0000-0000-0000EB4C0000}"/>
    <cellStyle name="Normal 2 2 4 3 2 2 2 7" xfId="13656" xr:uid="{00000000-0005-0000-0000-0000EC4C0000}"/>
    <cellStyle name="Normal 2 2 4 3 2 2 3" xfId="13657" xr:uid="{00000000-0005-0000-0000-0000ED4C0000}"/>
    <cellStyle name="Normal 2 2 4 3 2 2 3 2" xfId="13658" xr:uid="{00000000-0005-0000-0000-0000EE4C0000}"/>
    <cellStyle name="Normal 2 2 4 3 2 2 3 2 2" xfId="52060" xr:uid="{00000000-0005-0000-0000-0000EF4C0000}"/>
    <cellStyle name="Normal 2 2 4 3 2 2 3 2 3" xfId="52061" xr:uid="{00000000-0005-0000-0000-0000F04C0000}"/>
    <cellStyle name="Normal 2 2 4 3 2 2 3 3" xfId="13659" xr:uid="{00000000-0005-0000-0000-0000F14C0000}"/>
    <cellStyle name="Normal 2 2 4 3 2 2 3 3 2" xfId="52062" xr:uid="{00000000-0005-0000-0000-0000F24C0000}"/>
    <cellStyle name="Normal 2 2 4 3 2 2 3 4" xfId="13660" xr:uid="{00000000-0005-0000-0000-0000F34C0000}"/>
    <cellStyle name="Normal 2 2 4 3 2 2 3 5" xfId="13661" xr:uid="{00000000-0005-0000-0000-0000F44C0000}"/>
    <cellStyle name="Normal 2 2 4 3 2 2 3 6" xfId="13662" xr:uid="{00000000-0005-0000-0000-0000F54C0000}"/>
    <cellStyle name="Normal 2 2 4 3 2 2 4" xfId="13663" xr:uid="{00000000-0005-0000-0000-0000F64C0000}"/>
    <cellStyle name="Normal 2 2 4 3 2 2 4 2" xfId="52063" xr:uid="{00000000-0005-0000-0000-0000F74C0000}"/>
    <cellStyle name="Normal 2 2 4 3 2 2 4 3" xfId="52064" xr:uid="{00000000-0005-0000-0000-0000F84C0000}"/>
    <cellStyle name="Normal 2 2 4 3 2 2 5" xfId="13664" xr:uid="{00000000-0005-0000-0000-0000F94C0000}"/>
    <cellStyle name="Normal 2 2 4 3 2 2 5 2" xfId="52065" xr:uid="{00000000-0005-0000-0000-0000FA4C0000}"/>
    <cellStyle name="Normal 2 2 4 3 2 2 6" xfId="13665" xr:uid="{00000000-0005-0000-0000-0000FB4C0000}"/>
    <cellStyle name="Normal 2 2 4 3 2 2 7" xfId="13666" xr:uid="{00000000-0005-0000-0000-0000FC4C0000}"/>
    <cellStyle name="Normal 2 2 4 3 2 2 8" xfId="13667" xr:uid="{00000000-0005-0000-0000-0000FD4C0000}"/>
    <cellStyle name="Normal 2 2 4 3 2 2 9" xfId="13668" xr:uid="{00000000-0005-0000-0000-0000FE4C0000}"/>
    <cellStyle name="Normal 2 2 4 3 2 3" xfId="13669" xr:uid="{00000000-0005-0000-0000-0000FF4C0000}"/>
    <cellStyle name="Normal 2 2 4 3 2 3 2" xfId="13670" xr:uid="{00000000-0005-0000-0000-0000004D0000}"/>
    <cellStyle name="Normal 2 2 4 3 2 3 2 2" xfId="13671" xr:uid="{00000000-0005-0000-0000-0000014D0000}"/>
    <cellStyle name="Normal 2 2 4 3 2 3 2 2 2" xfId="13672" xr:uid="{00000000-0005-0000-0000-0000024D0000}"/>
    <cellStyle name="Normal 2 2 4 3 2 3 2 2 2 2" xfId="52066" xr:uid="{00000000-0005-0000-0000-0000034D0000}"/>
    <cellStyle name="Normal 2 2 4 3 2 3 2 2 2 3" xfId="52067" xr:uid="{00000000-0005-0000-0000-0000044D0000}"/>
    <cellStyle name="Normal 2 2 4 3 2 3 2 2 3" xfId="13673" xr:uid="{00000000-0005-0000-0000-0000054D0000}"/>
    <cellStyle name="Normal 2 2 4 3 2 3 2 2 3 2" xfId="52068" xr:uid="{00000000-0005-0000-0000-0000064D0000}"/>
    <cellStyle name="Normal 2 2 4 3 2 3 2 2 4" xfId="13674" xr:uid="{00000000-0005-0000-0000-0000074D0000}"/>
    <cellStyle name="Normal 2 2 4 3 2 3 2 2 5" xfId="13675" xr:uid="{00000000-0005-0000-0000-0000084D0000}"/>
    <cellStyle name="Normal 2 2 4 3 2 3 2 2 6" xfId="13676" xr:uid="{00000000-0005-0000-0000-0000094D0000}"/>
    <cellStyle name="Normal 2 2 4 3 2 3 2 3" xfId="13677" xr:uid="{00000000-0005-0000-0000-00000A4D0000}"/>
    <cellStyle name="Normal 2 2 4 3 2 3 2 3 2" xfId="52069" xr:uid="{00000000-0005-0000-0000-00000B4D0000}"/>
    <cellStyle name="Normal 2 2 4 3 2 3 2 3 3" xfId="52070" xr:uid="{00000000-0005-0000-0000-00000C4D0000}"/>
    <cellStyle name="Normal 2 2 4 3 2 3 2 4" xfId="13678" xr:uid="{00000000-0005-0000-0000-00000D4D0000}"/>
    <cellStyle name="Normal 2 2 4 3 2 3 2 4 2" xfId="52071" xr:uid="{00000000-0005-0000-0000-00000E4D0000}"/>
    <cellStyle name="Normal 2 2 4 3 2 3 2 5" xfId="13679" xr:uid="{00000000-0005-0000-0000-00000F4D0000}"/>
    <cellStyle name="Normal 2 2 4 3 2 3 2 6" xfId="13680" xr:uid="{00000000-0005-0000-0000-0000104D0000}"/>
    <cellStyle name="Normal 2 2 4 3 2 3 2 7" xfId="13681" xr:uid="{00000000-0005-0000-0000-0000114D0000}"/>
    <cellStyle name="Normal 2 2 4 3 2 3 3" xfId="13682" xr:uid="{00000000-0005-0000-0000-0000124D0000}"/>
    <cellStyle name="Normal 2 2 4 3 2 3 3 2" xfId="13683" xr:uid="{00000000-0005-0000-0000-0000134D0000}"/>
    <cellStyle name="Normal 2 2 4 3 2 3 3 2 2" xfId="52072" xr:uid="{00000000-0005-0000-0000-0000144D0000}"/>
    <cellStyle name="Normal 2 2 4 3 2 3 3 2 3" xfId="52073" xr:uid="{00000000-0005-0000-0000-0000154D0000}"/>
    <cellStyle name="Normal 2 2 4 3 2 3 3 3" xfId="13684" xr:uid="{00000000-0005-0000-0000-0000164D0000}"/>
    <cellStyle name="Normal 2 2 4 3 2 3 3 3 2" xfId="52074" xr:uid="{00000000-0005-0000-0000-0000174D0000}"/>
    <cellStyle name="Normal 2 2 4 3 2 3 3 4" xfId="13685" xr:uid="{00000000-0005-0000-0000-0000184D0000}"/>
    <cellStyle name="Normal 2 2 4 3 2 3 3 5" xfId="13686" xr:uid="{00000000-0005-0000-0000-0000194D0000}"/>
    <cellStyle name="Normal 2 2 4 3 2 3 3 6" xfId="13687" xr:uid="{00000000-0005-0000-0000-00001A4D0000}"/>
    <cellStyle name="Normal 2 2 4 3 2 3 4" xfId="13688" xr:uid="{00000000-0005-0000-0000-00001B4D0000}"/>
    <cellStyle name="Normal 2 2 4 3 2 3 4 2" xfId="52075" xr:uid="{00000000-0005-0000-0000-00001C4D0000}"/>
    <cellStyle name="Normal 2 2 4 3 2 3 4 3" xfId="52076" xr:uid="{00000000-0005-0000-0000-00001D4D0000}"/>
    <cellStyle name="Normal 2 2 4 3 2 3 5" xfId="13689" xr:uid="{00000000-0005-0000-0000-00001E4D0000}"/>
    <cellStyle name="Normal 2 2 4 3 2 3 5 2" xfId="52077" xr:uid="{00000000-0005-0000-0000-00001F4D0000}"/>
    <cellStyle name="Normal 2 2 4 3 2 3 6" xfId="13690" xr:uid="{00000000-0005-0000-0000-0000204D0000}"/>
    <cellStyle name="Normal 2 2 4 3 2 3 7" xfId="13691" xr:uid="{00000000-0005-0000-0000-0000214D0000}"/>
    <cellStyle name="Normal 2 2 4 3 2 3 8" xfId="13692" xr:uid="{00000000-0005-0000-0000-0000224D0000}"/>
    <cellStyle name="Normal 2 2 4 3 2 4" xfId="13693" xr:uid="{00000000-0005-0000-0000-0000234D0000}"/>
    <cellStyle name="Normal 2 2 4 3 2 4 2" xfId="13694" xr:uid="{00000000-0005-0000-0000-0000244D0000}"/>
    <cellStyle name="Normal 2 2 4 3 2 4 2 2" xfId="13695" xr:uid="{00000000-0005-0000-0000-0000254D0000}"/>
    <cellStyle name="Normal 2 2 4 3 2 4 2 2 2" xfId="52078" xr:uid="{00000000-0005-0000-0000-0000264D0000}"/>
    <cellStyle name="Normal 2 2 4 3 2 4 2 2 3" xfId="52079" xr:uid="{00000000-0005-0000-0000-0000274D0000}"/>
    <cellStyle name="Normal 2 2 4 3 2 4 2 3" xfId="13696" xr:uid="{00000000-0005-0000-0000-0000284D0000}"/>
    <cellStyle name="Normal 2 2 4 3 2 4 2 3 2" xfId="52080" xr:uid="{00000000-0005-0000-0000-0000294D0000}"/>
    <cellStyle name="Normal 2 2 4 3 2 4 2 4" xfId="13697" xr:uid="{00000000-0005-0000-0000-00002A4D0000}"/>
    <cellStyle name="Normal 2 2 4 3 2 4 2 5" xfId="13698" xr:uid="{00000000-0005-0000-0000-00002B4D0000}"/>
    <cellStyle name="Normal 2 2 4 3 2 4 2 6" xfId="13699" xr:uid="{00000000-0005-0000-0000-00002C4D0000}"/>
    <cellStyle name="Normal 2 2 4 3 2 4 3" xfId="13700" xr:uid="{00000000-0005-0000-0000-00002D4D0000}"/>
    <cellStyle name="Normal 2 2 4 3 2 4 3 2" xfId="52081" xr:uid="{00000000-0005-0000-0000-00002E4D0000}"/>
    <cellStyle name="Normal 2 2 4 3 2 4 3 3" xfId="52082" xr:uid="{00000000-0005-0000-0000-00002F4D0000}"/>
    <cellStyle name="Normal 2 2 4 3 2 4 4" xfId="13701" xr:uid="{00000000-0005-0000-0000-0000304D0000}"/>
    <cellStyle name="Normal 2 2 4 3 2 4 4 2" xfId="52083" xr:uid="{00000000-0005-0000-0000-0000314D0000}"/>
    <cellStyle name="Normal 2 2 4 3 2 4 5" xfId="13702" xr:uid="{00000000-0005-0000-0000-0000324D0000}"/>
    <cellStyle name="Normal 2 2 4 3 2 4 6" xfId="13703" xr:uid="{00000000-0005-0000-0000-0000334D0000}"/>
    <cellStyle name="Normal 2 2 4 3 2 4 7" xfId="13704" xr:uid="{00000000-0005-0000-0000-0000344D0000}"/>
    <cellStyle name="Normal 2 2 4 3 2 5" xfId="13705" xr:uid="{00000000-0005-0000-0000-0000354D0000}"/>
    <cellStyle name="Normal 2 2 4 3 2 5 2" xfId="13706" xr:uid="{00000000-0005-0000-0000-0000364D0000}"/>
    <cellStyle name="Normal 2 2 4 3 2 5 2 2" xfId="52084" xr:uid="{00000000-0005-0000-0000-0000374D0000}"/>
    <cellStyle name="Normal 2 2 4 3 2 5 2 3" xfId="52085" xr:uid="{00000000-0005-0000-0000-0000384D0000}"/>
    <cellStyle name="Normal 2 2 4 3 2 5 3" xfId="13707" xr:uid="{00000000-0005-0000-0000-0000394D0000}"/>
    <cellStyle name="Normal 2 2 4 3 2 5 3 2" xfId="52086" xr:uid="{00000000-0005-0000-0000-00003A4D0000}"/>
    <cellStyle name="Normal 2 2 4 3 2 5 4" xfId="13708" xr:uid="{00000000-0005-0000-0000-00003B4D0000}"/>
    <cellStyle name="Normal 2 2 4 3 2 5 5" xfId="13709" xr:uid="{00000000-0005-0000-0000-00003C4D0000}"/>
    <cellStyle name="Normal 2 2 4 3 2 5 6" xfId="13710" xr:uid="{00000000-0005-0000-0000-00003D4D0000}"/>
    <cellStyle name="Normal 2 2 4 3 2 6" xfId="13711" xr:uid="{00000000-0005-0000-0000-00003E4D0000}"/>
    <cellStyle name="Normal 2 2 4 3 2 6 2" xfId="52087" xr:uid="{00000000-0005-0000-0000-00003F4D0000}"/>
    <cellStyle name="Normal 2 2 4 3 2 6 3" xfId="52088" xr:uid="{00000000-0005-0000-0000-0000404D0000}"/>
    <cellStyle name="Normal 2 2 4 3 2 7" xfId="13712" xr:uid="{00000000-0005-0000-0000-0000414D0000}"/>
    <cellStyle name="Normal 2 2 4 3 2 7 2" xfId="52089" xr:uid="{00000000-0005-0000-0000-0000424D0000}"/>
    <cellStyle name="Normal 2 2 4 3 2 8" xfId="13713" xr:uid="{00000000-0005-0000-0000-0000434D0000}"/>
    <cellStyle name="Normal 2 2 4 3 2 9" xfId="13714" xr:uid="{00000000-0005-0000-0000-0000444D0000}"/>
    <cellStyle name="Normal 2 2 4 3 3" xfId="13715" xr:uid="{00000000-0005-0000-0000-0000454D0000}"/>
    <cellStyle name="Normal 2 2 4 3 3 2" xfId="13716" xr:uid="{00000000-0005-0000-0000-0000464D0000}"/>
    <cellStyle name="Normal 2 2 4 3 3 2 2" xfId="13717" xr:uid="{00000000-0005-0000-0000-0000474D0000}"/>
    <cellStyle name="Normal 2 2 4 3 3 2 2 2" xfId="13718" xr:uid="{00000000-0005-0000-0000-0000484D0000}"/>
    <cellStyle name="Normal 2 2 4 3 3 2 2 2 2" xfId="52090" xr:uid="{00000000-0005-0000-0000-0000494D0000}"/>
    <cellStyle name="Normal 2 2 4 3 3 2 2 2 3" xfId="52091" xr:uid="{00000000-0005-0000-0000-00004A4D0000}"/>
    <cellStyle name="Normal 2 2 4 3 3 2 2 3" xfId="13719" xr:uid="{00000000-0005-0000-0000-00004B4D0000}"/>
    <cellStyle name="Normal 2 2 4 3 3 2 2 3 2" xfId="52092" xr:uid="{00000000-0005-0000-0000-00004C4D0000}"/>
    <cellStyle name="Normal 2 2 4 3 3 2 2 4" xfId="13720" xr:uid="{00000000-0005-0000-0000-00004D4D0000}"/>
    <cellStyle name="Normal 2 2 4 3 3 2 2 5" xfId="13721" xr:uid="{00000000-0005-0000-0000-00004E4D0000}"/>
    <cellStyle name="Normal 2 2 4 3 3 2 2 6" xfId="13722" xr:uid="{00000000-0005-0000-0000-00004F4D0000}"/>
    <cellStyle name="Normal 2 2 4 3 3 2 3" xfId="13723" xr:uid="{00000000-0005-0000-0000-0000504D0000}"/>
    <cellStyle name="Normal 2 2 4 3 3 2 3 2" xfId="52093" xr:uid="{00000000-0005-0000-0000-0000514D0000}"/>
    <cellStyle name="Normal 2 2 4 3 3 2 3 3" xfId="52094" xr:uid="{00000000-0005-0000-0000-0000524D0000}"/>
    <cellStyle name="Normal 2 2 4 3 3 2 4" xfId="13724" xr:uid="{00000000-0005-0000-0000-0000534D0000}"/>
    <cellStyle name="Normal 2 2 4 3 3 2 4 2" xfId="52095" xr:uid="{00000000-0005-0000-0000-0000544D0000}"/>
    <cellStyle name="Normal 2 2 4 3 3 2 5" xfId="13725" xr:uid="{00000000-0005-0000-0000-0000554D0000}"/>
    <cellStyle name="Normal 2 2 4 3 3 2 6" xfId="13726" xr:uid="{00000000-0005-0000-0000-0000564D0000}"/>
    <cellStyle name="Normal 2 2 4 3 3 2 7" xfId="13727" xr:uid="{00000000-0005-0000-0000-0000574D0000}"/>
    <cellStyle name="Normal 2 2 4 3 3 3" xfId="13728" xr:uid="{00000000-0005-0000-0000-0000584D0000}"/>
    <cellStyle name="Normal 2 2 4 3 3 3 2" xfId="13729" xr:uid="{00000000-0005-0000-0000-0000594D0000}"/>
    <cellStyle name="Normal 2 2 4 3 3 3 2 2" xfId="52096" xr:uid="{00000000-0005-0000-0000-00005A4D0000}"/>
    <cellStyle name="Normal 2 2 4 3 3 3 2 3" xfId="52097" xr:uid="{00000000-0005-0000-0000-00005B4D0000}"/>
    <cellStyle name="Normal 2 2 4 3 3 3 3" xfId="13730" xr:uid="{00000000-0005-0000-0000-00005C4D0000}"/>
    <cellStyle name="Normal 2 2 4 3 3 3 3 2" xfId="52098" xr:uid="{00000000-0005-0000-0000-00005D4D0000}"/>
    <cellStyle name="Normal 2 2 4 3 3 3 4" xfId="13731" xr:uid="{00000000-0005-0000-0000-00005E4D0000}"/>
    <cellStyle name="Normal 2 2 4 3 3 3 5" xfId="13732" xr:uid="{00000000-0005-0000-0000-00005F4D0000}"/>
    <cellStyle name="Normal 2 2 4 3 3 3 6" xfId="13733" xr:uid="{00000000-0005-0000-0000-0000604D0000}"/>
    <cellStyle name="Normal 2 2 4 3 3 4" xfId="13734" xr:uid="{00000000-0005-0000-0000-0000614D0000}"/>
    <cellStyle name="Normal 2 2 4 3 3 4 2" xfId="52099" xr:uid="{00000000-0005-0000-0000-0000624D0000}"/>
    <cellStyle name="Normal 2 2 4 3 3 4 3" xfId="52100" xr:uid="{00000000-0005-0000-0000-0000634D0000}"/>
    <cellStyle name="Normal 2 2 4 3 3 5" xfId="13735" xr:uid="{00000000-0005-0000-0000-0000644D0000}"/>
    <cellStyle name="Normal 2 2 4 3 3 5 2" xfId="52101" xr:uid="{00000000-0005-0000-0000-0000654D0000}"/>
    <cellStyle name="Normal 2 2 4 3 3 6" xfId="13736" xr:uid="{00000000-0005-0000-0000-0000664D0000}"/>
    <cellStyle name="Normal 2 2 4 3 3 7" xfId="13737" xr:uid="{00000000-0005-0000-0000-0000674D0000}"/>
    <cellStyle name="Normal 2 2 4 3 3 8" xfId="13738" xr:uid="{00000000-0005-0000-0000-0000684D0000}"/>
    <cellStyle name="Normal 2 2 4 3 3 9" xfId="13739" xr:uid="{00000000-0005-0000-0000-0000694D0000}"/>
    <cellStyle name="Normal 2 2 4 3 4" xfId="13740" xr:uid="{00000000-0005-0000-0000-00006A4D0000}"/>
    <cellStyle name="Normal 2 2 4 3 4 2" xfId="13741" xr:uid="{00000000-0005-0000-0000-00006B4D0000}"/>
    <cellStyle name="Normal 2 2 4 3 4 2 2" xfId="13742" xr:uid="{00000000-0005-0000-0000-00006C4D0000}"/>
    <cellStyle name="Normal 2 2 4 3 4 2 2 2" xfId="13743" xr:uid="{00000000-0005-0000-0000-00006D4D0000}"/>
    <cellStyle name="Normal 2 2 4 3 4 2 2 2 2" xfId="52102" xr:uid="{00000000-0005-0000-0000-00006E4D0000}"/>
    <cellStyle name="Normal 2 2 4 3 4 2 2 2 3" xfId="52103" xr:uid="{00000000-0005-0000-0000-00006F4D0000}"/>
    <cellStyle name="Normal 2 2 4 3 4 2 2 3" xfId="13744" xr:uid="{00000000-0005-0000-0000-0000704D0000}"/>
    <cellStyle name="Normal 2 2 4 3 4 2 2 3 2" xfId="52104" xr:uid="{00000000-0005-0000-0000-0000714D0000}"/>
    <cellStyle name="Normal 2 2 4 3 4 2 2 4" xfId="13745" xr:uid="{00000000-0005-0000-0000-0000724D0000}"/>
    <cellStyle name="Normal 2 2 4 3 4 2 2 5" xfId="13746" xr:uid="{00000000-0005-0000-0000-0000734D0000}"/>
    <cellStyle name="Normal 2 2 4 3 4 2 2 6" xfId="13747" xr:uid="{00000000-0005-0000-0000-0000744D0000}"/>
    <cellStyle name="Normal 2 2 4 3 4 2 3" xfId="13748" xr:uid="{00000000-0005-0000-0000-0000754D0000}"/>
    <cellStyle name="Normal 2 2 4 3 4 2 3 2" xfId="52105" xr:uid="{00000000-0005-0000-0000-0000764D0000}"/>
    <cellStyle name="Normal 2 2 4 3 4 2 3 3" xfId="52106" xr:uid="{00000000-0005-0000-0000-0000774D0000}"/>
    <cellStyle name="Normal 2 2 4 3 4 2 4" xfId="13749" xr:uid="{00000000-0005-0000-0000-0000784D0000}"/>
    <cellStyle name="Normal 2 2 4 3 4 2 4 2" xfId="52107" xr:uid="{00000000-0005-0000-0000-0000794D0000}"/>
    <cellStyle name="Normal 2 2 4 3 4 2 5" xfId="13750" xr:uid="{00000000-0005-0000-0000-00007A4D0000}"/>
    <cellStyle name="Normal 2 2 4 3 4 2 6" xfId="13751" xr:uid="{00000000-0005-0000-0000-00007B4D0000}"/>
    <cellStyle name="Normal 2 2 4 3 4 2 7" xfId="13752" xr:uid="{00000000-0005-0000-0000-00007C4D0000}"/>
    <cellStyle name="Normal 2 2 4 3 4 3" xfId="13753" xr:uid="{00000000-0005-0000-0000-00007D4D0000}"/>
    <cellStyle name="Normal 2 2 4 3 4 3 2" xfId="13754" xr:uid="{00000000-0005-0000-0000-00007E4D0000}"/>
    <cellStyle name="Normal 2 2 4 3 4 3 2 2" xfId="52108" xr:uid="{00000000-0005-0000-0000-00007F4D0000}"/>
    <cellStyle name="Normal 2 2 4 3 4 3 2 3" xfId="52109" xr:uid="{00000000-0005-0000-0000-0000804D0000}"/>
    <cellStyle name="Normal 2 2 4 3 4 3 3" xfId="13755" xr:uid="{00000000-0005-0000-0000-0000814D0000}"/>
    <cellStyle name="Normal 2 2 4 3 4 3 3 2" xfId="52110" xr:uid="{00000000-0005-0000-0000-0000824D0000}"/>
    <cellStyle name="Normal 2 2 4 3 4 3 4" xfId="13756" xr:uid="{00000000-0005-0000-0000-0000834D0000}"/>
    <cellStyle name="Normal 2 2 4 3 4 3 5" xfId="13757" xr:uid="{00000000-0005-0000-0000-0000844D0000}"/>
    <cellStyle name="Normal 2 2 4 3 4 3 6" xfId="13758" xr:uid="{00000000-0005-0000-0000-0000854D0000}"/>
    <cellStyle name="Normal 2 2 4 3 4 4" xfId="13759" xr:uid="{00000000-0005-0000-0000-0000864D0000}"/>
    <cellStyle name="Normal 2 2 4 3 4 4 2" xfId="52111" xr:uid="{00000000-0005-0000-0000-0000874D0000}"/>
    <cellStyle name="Normal 2 2 4 3 4 4 3" xfId="52112" xr:uid="{00000000-0005-0000-0000-0000884D0000}"/>
    <cellStyle name="Normal 2 2 4 3 4 5" xfId="13760" xr:uid="{00000000-0005-0000-0000-0000894D0000}"/>
    <cellStyle name="Normal 2 2 4 3 4 5 2" xfId="52113" xr:uid="{00000000-0005-0000-0000-00008A4D0000}"/>
    <cellStyle name="Normal 2 2 4 3 4 6" xfId="13761" xr:uid="{00000000-0005-0000-0000-00008B4D0000}"/>
    <cellStyle name="Normal 2 2 4 3 4 7" xfId="13762" xr:uid="{00000000-0005-0000-0000-00008C4D0000}"/>
    <cellStyle name="Normal 2 2 4 3 4 8" xfId="13763" xr:uid="{00000000-0005-0000-0000-00008D4D0000}"/>
    <cellStyle name="Normal 2 2 4 3 5" xfId="13764" xr:uid="{00000000-0005-0000-0000-00008E4D0000}"/>
    <cellStyle name="Normal 2 2 4 3 5 2" xfId="13765" xr:uid="{00000000-0005-0000-0000-00008F4D0000}"/>
    <cellStyle name="Normal 2 2 4 3 5 2 2" xfId="13766" xr:uid="{00000000-0005-0000-0000-0000904D0000}"/>
    <cellStyle name="Normal 2 2 4 3 5 2 2 2" xfId="52114" xr:uid="{00000000-0005-0000-0000-0000914D0000}"/>
    <cellStyle name="Normal 2 2 4 3 5 2 2 3" xfId="52115" xr:uid="{00000000-0005-0000-0000-0000924D0000}"/>
    <cellStyle name="Normal 2 2 4 3 5 2 3" xfId="13767" xr:uid="{00000000-0005-0000-0000-0000934D0000}"/>
    <cellStyle name="Normal 2 2 4 3 5 2 3 2" xfId="52116" xr:uid="{00000000-0005-0000-0000-0000944D0000}"/>
    <cellStyle name="Normal 2 2 4 3 5 2 4" xfId="13768" xr:uid="{00000000-0005-0000-0000-0000954D0000}"/>
    <cellStyle name="Normal 2 2 4 3 5 2 5" xfId="13769" xr:uid="{00000000-0005-0000-0000-0000964D0000}"/>
    <cellStyle name="Normal 2 2 4 3 5 2 6" xfId="13770" xr:uid="{00000000-0005-0000-0000-0000974D0000}"/>
    <cellStyle name="Normal 2 2 4 3 5 3" xfId="13771" xr:uid="{00000000-0005-0000-0000-0000984D0000}"/>
    <cellStyle name="Normal 2 2 4 3 5 3 2" xfId="52117" xr:uid="{00000000-0005-0000-0000-0000994D0000}"/>
    <cellStyle name="Normal 2 2 4 3 5 3 3" xfId="52118" xr:uid="{00000000-0005-0000-0000-00009A4D0000}"/>
    <cellStyle name="Normal 2 2 4 3 5 4" xfId="13772" xr:uid="{00000000-0005-0000-0000-00009B4D0000}"/>
    <cellStyle name="Normal 2 2 4 3 5 4 2" xfId="52119" xr:uid="{00000000-0005-0000-0000-00009C4D0000}"/>
    <cellStyle name="Normal 2 2 4 3 5 5" xfId="13773" xr:uid="{00000000-0005-0000-0000-00009D4D0000}"/>
    <cellStyle name="Normal 2 2 4 3 5 6" xfId="13774" xr:uid="{00000000-0005-0000-0000-00009E4D0000}"/>
    <cellStyle name="Normal 2 2 4 3 5 7" xfId="13775" xr:uid="{00000000-0005-0000-0000-00009F4D0000}"/>
    <cellStyle name="Normal 2 2 4 3 6" xfId="13776" xr:uid="{00000000-0005-0000-0000-0000A04D0000}"/>
    <cellStyle name="Normal 2 2 4 3 6 2" xfId="13777" xr:uid="{00000000-0005-0000-0000-0000A14D0000}"/>
    <cellStyle name="Normal 2 2 4 3 6 2 2" xfId="52120" xr:uid="{00000000-0005-0000-0000-0000A24D0000}"/>
    <cellStyle name="Normal 2 2 4 3 6 2 3" xfId="52121" xr:uid="{00000000-0005-0000-0000-0000A34D0000}"/>
    <cellStyle name="Normal 2 2 4 3 6 3" xfId="13778" xr:uid="{00000000-0005-0000-0000-0000A44D0000}"/>
    <cellStyle name="Normal 2 2 4 3 6 3 2" xfId="52122" xr:uid="{00000000-0005-0000-0000-0000A54D0000}"/>
    <cellStyle name="Normal 2 2 4 3 6 4" xfId="13779" xr:uid="{00000000-0005-0000-0000-0000A64D0000}"/>
    <cellStyle name="Normal 2 2 4 3 6 5" xfId="13780" xr:uid="{00000000-0005-0000-0000-0000A74D0000}"/>
    <cellStyle name="Normal 2 2 4 3 6 6" xfId="13781" xr:uid="{00000000-0005-0000-0000-0000A84D0000}"/>
    <cellStyle name="Normal 2 2 4 3 7" xfId="13782" xr:uid="{00000000-0005-0000-0000-0000A94D0000}"/>
    <cellStyle name="Normal 2 2 4 3 7 2" xfId="52123" xr:uid="{00000000-0005-0000-0000-0000AA4D0000}"/>
    <cellStyle name="Normal 2 2 4 3 7 3" xfId="52124" xr:uid="{00000000-0005-0000-0000-0000AB4D0000}"/>
    <cellStyle name="Normal 2 2 4 3 8" xfId="13783" xr:uid="{00000000-0005-0000-0000-0000AC4D0000}"/>
    <cellStyle name="Normal 2 2 4 3 8 2" xfId="52125" xr:uid="{00000000-0005-0000-0000-0000AD4D0000}"/>
    <cellStyle name="Normal 2 2 4 3 9" xfId="13784" xr:uid="{00000000-0005-0000-0000-0000AE4D0000}"/>
    <cellStyle name="Normal 2 2 4 4" xfId="13785" xr:uid="{00000000-0005-0000-0000-0000AF4D0000}"/>
    <cellStyle name="Normal 2 2 4 4 10" xfId="13786" xr:uid="{00000000-0005-0000-0000-0000B04D0000}"/>
    <cellStyle name="Normal 2 2 4 4 11" xfId="13787" xr:uid="{00000000-0005-0000-0000-0000B14D0000}"/>
    <cellStyle name="Normal 2 2 4 4 12" xfId="13788" xr:uid="{00000000-0005-0000-0000-0000B24D0000}"/>
    <cellStyle name="Normal 2 2 4 4 13" xfId="13789" xr:uid="{00000000-0005-0000-0000-0000B34D0000}"/>
    <cellStyle name="Normal 2 2 4 4 14" xfId="13790" xr:uid="{00000000-0005-0000-0000-0000B44D0000}"/>
    <cellStyle name="Normal 2 2 4 4 2" xfId="13791" xr:uid="{00000000-0005-0000-0000-0000B54D0000}"/>
    <cellStyle name="Normal 2 2 4 4 2 2" xfId="13792" xr:uid="{00000000-0005-0000-0000-0000B64D0000}"/>
    <cellStyle name="Normal 2 2 4 4 2 2 2" xfId="13793" xr:uid="{00000000-0005-0000-0000-0000B74D0000}"/>
    <cellStyle name="Normal 2 2 4 4 2 2 2 2" xfId="13794" xr:uid="{00000000-0005-0000-0000-0000B84D0000}"/>
    <cellStyle name="Normal 2 2 4 4 2 2 2 2 2" xfId="52126" xr:uid="{00000000-0005-0000-0000-0000B94D0000}"/>
    <cellStyle name="Normal 2 2 4 4 2 2 2 2 3" xfId="52127" xr:uid="{00000000-0005-0000-0000-0000BA4D0000}"/>
    <cellStyle name="Normal 2 2 4 4 2 2 2 3" xfId="13795" xr:uid="{00000000-0005-0000-0000-0000BB4D0000}"/>
    <cellStyle name="Normal 2 2 4 4 2 2 2 3 2" xfId="52128" xr:uid="{00000000-0005-0000-0000-0000BC4D0000}"/>
    <cellStyle name="Normal 2 2 4 4 2 2 2 4" xfId="13796" xr:uid="{00000000-0005-0000-0000-0000BD4D0000}"/>
    <cellStyle name="Normal 2 2 4 4 2 2 2 5" xfId="13797" xr:uid="{00000000-0005-0000-0000-0000BE4D0000}"/>
    <cellStyle name="Normal 2 2 4 4 2 2 2 6" xfId="13798" xr:uid="{00000000-0005-0000-0000-0000BF4D0000}"/>
    <cellStyle name="Normal 2 2 4 4 2 2 3" xfId="13799" xr:uid="{00000000-0005-0000-0000-0000C04D0000}"/>
    <cellStyle name="Normal 2 2 4 4 2 2 3 2" xfId="52129" xr:uid="{00000000-0005-0000-0000-0000C14D0000}"/>
    <cellStyle name="Normal 2 2 4 4 2 2 3 3" xfId="52130" xr:uid="{00000000-0005-0000-0000-0000C24D0000}"/>
    <cellStyle name="Normal 2 2 4 4 2 2 4" xfId="13800" xr:uid="{00000000-0005-0000-0000-0000C34D0000}"/>
    <cellStyle name="Normal 2 2 4 4 2 2 4 2" xfId="52131" xr:uid="{00000000-0005-0000-0000-0000C44D0000}"/>
    <cellStyle name="Normal 2 2 4 4 2 2 5" xfId="13801" xr:uid="{00000000-0005-0000-0000-0000C54D0000}"/>
    <cellStyle name="Normal 2 2 4 4 2 2 6" xfId="13802" xr:uid="{00000000-0005-0000-0000-0000C64D0000}"/>
    <cellStyle name="Normal 2 2 4 4 2 2 7" xfId="13803" xr:uid="{00000000-0005-0000-0000-0000C74D0000}"/>
    <cellStyle name="Normal 2 2 4 4 2 3" xfId="13804" xr:uid="{00000000-0005-0000-0000-0000C84D0000}"/>
    <cellStyle name="Normal 2 2 4 4 2 3 2" xfId="13805" xr:uid="{00000000-0005-0000-0000-0000C94D0000}"/>
    <cellStyle name="Normal 2 2 4 4 2 3 2 2" xfId="52132" xr:uid="{00000000-0005-0000-0000-0000CA4D0000}"/>
    <cellStyle name="Normal 2 2 4 4 2 3 2 3" xfId="52133" xr:uid="{00000000-0005-0000-0000-0000CB4D0000}"/>
    <cellStyle name="Normal 2 2 4 4 2 3 3" xfId="13806" xr:uid="{00000000-0005-0000-0000-0000CC4D0000}"/>
    <cellStyle name="Normal 2 2 4 4 2 3 3 2" xfId="52134" xr:uid="{00000000-0005-0000-0000-0000CD4D0000}"/>
    <cellStyle name="Normal 2 2 4 4 2 3 4" xfId="13807" xr:uid="{00000000-0005-0000-0000-0000CE4D0000}"/>
    <cellStyle name="Normal 2 2 4 4 2 3 5" xfId="13808" xr:uid="{00000000-0005-0000-0000-0000CF4D0000}"/>
    <cellStyle name="Normal 2 2 4 4 2 3 6" xfId="13809" xr:uid="{00000000-0005-0000-0000-0000D04D0000}"/>
    <cellStyle name="Normal 2 2 4 4 2 4" xfId="13810" xr:uid="{00000000-0005-0000-0000-0000D14D0000}"/>
    <cellStyle name="Normal 2 2 4 4 2 4 2" xfId="52135" xr:uid="{00000000-0005-0000-0000-0000D24D0000}"/>
    <cellStyle name="Normal 2 2 4 4 2 4 3" xfId="52136" xr:uid="{00000000-0005-0000-0000-0000D34D0000}"/>
    <cellStyle name="Normal 2 2 4 4 2 5" xfId="13811" xr:uid="{00000000-0005-0000-0000-0000D44D0000}"/>
    <cellStyle name="Normal 2 2 4 4 2 5 2" xfId="52137" xr:uid="{00000000-0005-0000-0000-0000D54D0000}"/>
    <cellStyle name="Normal 2 2 4 4 2 6" xfId="13812" xr:uid="{00000000-0005-0000-0000-0000D64D0000}"/>
    <cellStyle name="Normal 2 2 4 4 2 7" xfId="13813" xr:uid="{00000000-0005-0000-0000-0000D74D0000}"/>
    <cellStyle name="Normal 2 2 4 4 2 8" xfId="13814" xr:uid="{00000000-0005-0000-0000-0000D84D0000}"/>
    <cellStyle name="Normal 2 2 4 4 2 9" xfId="13815" xr:uid="{00000000-0005-0000-0000-0000D94D0000}"/>
    <cellStyle name="Normal 2 2 4 4 3" xfId="13816" xr:uid="{00000000-0005-0000-0000-0000DA4D0000}"/>
    <cellStyle name="Normal 2 2 4 4 3 2" xfId="13817" xr:uid="{00000000-0005-0000-0000-0000DB4D0000}"/>
    <cellStyle name="Normal 2 2 4 4 3 2 2" xfId="13818" xr:uid="{00000000-0005-0000-0000-0000DC4D0000}"/>
    <cellStyle name="Normal 2 2 4 4 3 2 2 2" xfId="13819" xr:uid="{00000000-0005-0000-0000-0000DD4D0000}"/>
    <cellStyle name="Normal 2 2 4 4 3 2 2 2 2" xfId="52138" xr:uid="{00000000-0005-0000-0000-0000DE4D0000}"/>
    <cellStyle name="Normal 2 2 4 4 3 2 2 2 3" xfId="52139" xr:uid="{00000000-0005-0000-0000-0000DF4D0000}"/>
    <cellStyle name="Normal 2 2 4 4 3 2 2 3" xfId="13820" xr:uid="{00000000-0005-0000-0000-0000E04D0000}"/>
    <cellStyle name="Normal 2 2 4 4 3 2 2 3 2" xfId="52140" xr:uid="{00000000-0005-0000-0000-0000E14D0000}"/>
    <cellStyle name="Normal 2 2 4 4 3 2 2 4" xfId="13821" xr:uid="{00000000-0005-0000-0000-0000E24D0000}"/>
    <cellStyle name="Normal 2 2 4 4 3 2 2 5" xfId="13822" xr:uid="{00000000-0005-0000-0000-0000E34D0000}"/>
    <cellStyle name="Normal 2 2 4 4 3 2 2 6" xfId="13823" xr:uid="{00000000-0005-0000-0000-0000E44D0000}"/>
    <cellStyle name="Normal 2 2 4 4 3 2 3" xfId="13824" xr:uid="{00000000-0005-0000-0000-0000E54D0000}"/>
    <cellStyle name="Normal 2 2 4 4 3 2 3 2" xfId="52141" xr:uid="{00000000-0005-0000-0000-0000E64D0000}"/>
    <cellStyle name="Normal 2 2 4 4 3 2 3 3" xfId="52142" xr:uid="{00000000-0005-0000-0000-0000E74D0000}"/>
    <cellStyle name="Normal 2 2 4 4 3 2 4" xfId="13825" xr:uid="{00000000-0005-0000-0000-0000E84D0000}"/>
    <cellStyle name="Normal 2 2 4 4 3 2 4 2" xfId="52143" xr:uid="{00000000-0005-0000-0000-0000E94D0000}"/>
    <cellStyle name="Normal 2 2 4 4 3 2 5" xfId="13826" xr:uid="{00000000-0005-0000-0000-0000EA4D0000}"/>
    <cellStyle name="Normal 2 2 4 4 3 2 6" xfId="13827" xr:uid="{00000000-0005-0000-0000-0000EB4D0000}"/>
    <cellStyle name="Normal 2 2 4 4 3 2 7" xfId="13828" xr:uid="{00000000-0005-0000-0000-0000EC4D0000}"/>
    <cellStyle name="Normal 2 2 4 4 3 3" xfId="13829" xr:uid="{00000000-0005-0000-0000-0000ED4D0000}"/>
    <cellStyle name="Normal 2 2 4 4 3 3 2" xfId="13830" xr:uid="{00000000-0005-0000-0000-0000EE4D0000}"/>
    <cellStyle name="Normal 2 2 4 4 3 3 2 2" xfId="52144" xr:uid="{00000000-0005-0000-0000-0000EF4D0000}"/>
    <cellStyle name="Normal 2 2 4 4 3 3 2 3" xfId="52145" xr:uid="{00000000-0005-0000-0000-0000F04D0000}"/>
    <cellStyle name="Normal 2 2 4 4 3 3 3" xfId="13831" xr:uid="{00000000-0005-0000-0000-0000F14D0000}"/>
    <cellStyle name="Normal 2 2 4 4 3 3 3 2" xfId="52146" xr:uid="{00000000-0005-0000-0000-0000F24D0000}"/>
    <cellStyle name="Normal 2 2 4 4 3 3 4" xfId="13832" xr:uid="{00000000-0005-0000-0000-0000F34D0000}"/>
    <cellStyle name="Normal 2 2 4 4 3 3 5" xfId="13833" xr:uid="{00000000-0005-0000-0000-0000F44D0000}"/>
    <cellStyle name="Normal 2 2 4 4 3 3 6" xfId="13834" xr:uid="{00000000-0005-0000-0000-0000F54D0000}"/>
    <cellStyle name="Normal 2 2 4 4 3 4" xfId="13835" xr:uid="{00000000-0005-0000-0000-0000F64D0000}"/>
    <cellStyle name="Normal 2 2 4 4 3 4 2" xfId="52147" xr:uid="{00000000-0005-0000-0000-0000F74D0000}"/>
    <cellStyle name="Normal 2 2 4 4 3 4 3" xfId="52148" xr:uid="{00000000-0005-0000-0000-0000F84D0000}"/>
    <cellStyle name="Normal 2 2 4 4 3 5" xfId="13836" xr:uid="{00000000-0005-0000-0000-0000F94D0000}"/>
    <cellStyle name="Normal 2 2 4 4 3 5 2" xfId="52149" xr:uid="{00000000-0005-0000-0000-0000FA4D0000}"/>
    <cellStyle name="Normal 2 2 4 4 3 6" xfId="13837" xr:uid="{00000000-0005-0000-0000-0000FB4D0000}"/>
    <cellStyle name="Normal 2 2 4 4 3 7" xfId="13838" xr:uid="{00000000-0005-0000-0000-0000FC4D0000}"/>
    <cellStyle name="Normal 2 2 4 4 3 8" xfId="13839" xr:uid="{00000000-0005-0000-0000-0000FD4D0000}"/>
    <cellStyle name="Normal 2 2 4 4 4" xfId="13840" xr:uid="{00000000-0005-0000-0000-0000FE4D0000}"/>
    <cellStyle name="Normal 2 2 4 4 4 2" xfId="13841" xr:uid="{00000000-0005-0000-0000-0000FF4D0000}"/>
    <cellStyle name="Normal 2 2 4 4 4 2 2" xfId="13842" xr:uid="{00000000-0005-0000-0000-0000004E0000}"/>
    <cellStyle name="Normal 2 2 4 4 4 2 2 2" xfId="52150" xr:uid="{00000000-0005-0000-0000-0000014E0000}"/>
    <cellStyle name="Normal 2 2 4 4 4 2 2 3" xfId="52151" xr:uid="{00000000-0005-0000-0000-0000024E0000}"/>
    <cellStyle name="Normal 2 2 4 4 4 2 3" xfId="13843" xr:uid="{00000000-0005-0000-0000-0000034E0000}"/>
    <cellStyle name="Normal 2 2 4 4 4 2 3 2" xfId="52152" xr:uid="{00000000-0005-0000-0000-0000044E0000}"/>
    <cellStyle name="Normal 2 2 4 4 4 2 4" xfId="13844" xr:uid="{00000000-0005-0000-0000-0000054E0000}"/>
    <cellStyle name="Normal 2 2 4 4 4 2 5" xfId="13845" xr:uid="{00000000-0005-0000-0000-0000064E0000}"/>
    <cellStyle name="Normal 2 2 4 4 4 2 6" xfId="13846" xr:uid="{00000000-0005-0000-0000-0000074E0000}"/>
    <cellStyle name="Normal 2 2 4 4 4 3" xfId="13847" xr:uid="{00000000-0005-0000-0000-0000084E0000}"/>
    <cellStyle name="Normal 2 2 4 4 4 3 2" xfId="52153" xr:uid="{00000000-0005-0000-0000-0000094E0000}"/>
    <cellStyle name="Normal 2 2 4 4 4 3 3" xfId="52154" xr:uid="{00000000-0005-0000-0000-00000A4E0000}"/>
    <cellStyle name="Normal 2 2 4 4 4 4" xfId="13848" xr:uid="{00000000-0005-0000-0000-00000B4E0000}"/>
    <cellStyle name="Normal 2 2 4 4 4 4 2" xfId="52155" xr:uid="{00000000-0005-0000-0000-00000C4E0000}"/>
    <cellStyle name="Normal 2 2 4 4 4 5" xfId="13849" xr:uid="{00000000-0005-0000-0000-00000D4E0000}"/>
    <cellStyle name="Normal 2 2 4 4 4 6" xfId="13850" xr:uid="{00000000-0005-0000-0000-00000E4E0000}"/>
    <cellStyle name="Normal 2 2 4 4 4 7" xfId="13851" xr:uid="{00000000-0005-0000-0000-00000F4E0000}"/>
    <cellStyle name="Normal 2 2 4 4 5" xfId="13852" xr:uid="{00000000-0005-0000-0000-0000104E0000}"/>
    <cellStyle name="Normal 2 2 4 4 5 2" xfId="13853" xr:uid="{00000000-0005-0000-0000-0000114E0000}"/>
    <cellStyle name="Normal 2 2 4 4 5 2 2" xfId="52156" xr:uid="{00000000-0005-0000-0000-0000124E0000}"/>
    <cellStyle name="Normal 2 2 4 4 5 2 3" xfId="52157" xr:uid="{00000000-0005-0000-0000-0000134E0000}"/>
    <cellStyle name="Normal 2 2 4 4 5 3" xfId="13854" xr:uid="{00000000-0005-0000-0000-0000144E0000}"/>
    <cellStyle name="Normal 2 2 4 4 5 3 2" xfId="52158" xr:uid="{00000000-0005-0000-0000-0000154E0000}"/>
    <cellStyle name="Normal 2 2 4 4 5 4" xfId="13855" xr:uid="{00000000-0005-0000-0000-0000164E0000}"/>
    <cellStyle name="Normal 2 2 4 4 5 5" xfId="13856" xr:uid="{00000000-0005-0000-0000-0000174E0000}"/>
    <cellStyle name="Normal 2 2 4 4 5 6" xfId="13857" xr:uid="{00000000-0005-0000-0000-0000184E0000}"/>
    <cellStyle name="Normal 2 2 4 4 6" xfId="13858" xr:uid="{00000000-0005-0000-0000-0000194E0000}"/>
    <cellStyle name="Normal 2 2 4 4 6 2" xfId="52159" xr:uid="{00000000-0005-0000-0000-00001A4E0000}"/>
    <cellStyle name="Normal 2 2 4 4 6 3" xfId="52160" xr:uid="{00000000-0005-0000-0000-00001B4E0000}"/>
    <cellStyle name="Normal 2 2 4 4 7" xfId="13859" xr:uid="{00000000-0005-0000-0000-00001C4E0000}"/>
    <cellStyle name="Normal 2 2 4 4 7 2" xfId="52161" xr:uid="{00000000-0005-0000-0000-00001D4E0000}"/>
    <cellStyle name="Normal 2 2 4 4 8" xfId="13860" xr:uid="{00000000-0005-0000-0000-00001E4E0000}"/>
    <cellStyle name="Normal 2 2 4 4 9" xfId="13861" xr:uid="{00000000-0005-0000-0000-00001F4E0000}"/>
    <cellStyle name="Normal 2 2 4 5" xfId="13862" xr:uid="{00000000-0005-0000-0000-0000204E0000}"/>
    <cellStyle name="Normal 2 2 4 5 10" xfId="13863" xr:uid="{00000000-0005-0000-0000-0000214E0000}"/>
    <cellStyle name="Normal 2 2 4 5 11" xfId="13864" xr:uid="{00000000-0005-0000-0000-0000224E0000}"/>
    <cellStyle name="Normal 2 2 4 5 12" xfId="13865" xr:uid="{00000000-0005-0000-0000-0000234E0000}"/>
    <cellStyle name="Normal 2 2 4 5 13" xfId="13866" xr:uid="{00000000-0005-0000-0000-0000244E0000}"/>
    <cellStyle name="Normal 2 2 4 5 14" xfId="13867" xr:uid="{00000000-0005-0000-0000-0000254E0000}"/>
    <cellStyle name="Normal 2 2 4 5 2" xfId="13868" xr:uid="{00000000-0005-0000-0000-0000264E0000}"/>
    <cellStyle name="Normal 2 2 4 5 2 2" xfId="13869" xr:uid="{00000000-0005-0000-0000-0000274E0000}"/>
    <cellStyle name="Normal 2 2 4 5 2 2 2" xfId="13870" xr:uid="{00000000-0005-0000-0000-0000284E0000}"/>
    <cellStyle name="Normal 2 2 4 5 2 2 2 2" xfId="13871" xr:uid="{00000000-0005-0000-0000-0000294E0000}"/>
    <cellStyle name="Normal 2 2 4 5 2 2 2 2 2" xfId="52162" xr:uid="{00000000-0005-0000-0000-00002A4E0000}"/>
    <cellStyle name="Normal 2 2 4 5 2 2 2 2 3" xfId="52163" xr:uid="{00000000-0005-0000-0000-00002B4E0000}"/>
    <cellStyle name="Normal 2 2 4 5 2 2 2 3" xfId="13872" xr:uid="{00000000-0005-0000-0000-00002C4E0000}"/>
    <cellStyle name="Normal 2 2 4 5 2 2 2 3 2" xfId="52164" xr:uid="{00000000-0005-0000-0000-00002D4E0000}"/>
    <cellStyle name="Normal 2 2 4 5 2 2 2 4" xfId="13873" xr:uid="{00000000-0005-0000-0000-00002E4E0000}"/>
    <cellStyle name="Normal 2 2 4 5 2 2 2 5" xfId="13874" xr:uid="{00000000-0005-0000-0000-00002F4E0000}"/>
    <cellStyle name="Normal 2 2 4 5 2 2 2 6" xfId="13875" xr:uid="{00000000-0005-0000-0000-0000304E0000}"/>
    <cellStyle name="Normal 2 2 4 5 2 2 3" xfId="13876" xr:uid="{00000000-0005-0000-0000-0000314E0000}"/>
    <cellStyle name="Normal 2 2 4 5 2 2 3 2" xfId="52165" xr:uid="{00000000-0005-0000-0000-0000324E0000}"/>
    <cellStyle name="Normal 2 2 4 5 2 2 3 3" xfId="52166" xr:uid="{00000000-0005-0000-0000-0000334E0000}"/>
    <cellStyle name="Normal 2 2 4 5 2 2 4" xfId="13877" xr:uid="{00000000-0005-0000-0000-0000344E0000}"/>
    <cellStyle name="Normal 2 2 4 5 2 2 4 2" xfId="52167" xr:uid="{00000000-0005-0000-0000-0000354E0000}"/>
    <cellStyle name="Normal 2 2 4 5 2 2 5" xfId="13878" xr:uid="{00000000-0005-0000-0000-0000364E0000}"/>
    <cellStyle name="Normal 2 2 4 5 2 2 6" xfId="13879" xr:uid="{00000000-0005-0000-0000-0000374E0000}"/>
    <cellStyle name="Normal 2 2 4 5 2 2 7" xfId="13880" xr:uid="{00000000-0005-0000-0000-0000384E0000}"/>
    <cellStyle name="Normal 2 2 4 5 2 3" xfId="13881" xr:uid="{00000000-0005-0000-0000-0000394E0000}"/>
    <cellStyle name="Normal 2 2 4 5 2 3 2" xfId="13882" xr:uid="{00000000-0005-0000-0000-00003A4E0000}"/>
    <cellStyle name="Normal 2 2 4 5 2 3 2 2" xfId="52168" xr:uid="{00000000-0005-0000-0000-00003B4E0000}"/>
    <cellStyle name="Normal 2 2 4 5 2 3 2 3" xfId="52169" xr:uid="{00000000-0005-0000-0000-00003C4E0000}"/>
    <cellStyle name="Normal 2 2 4 5 2 3 3" xfId="13883" xr:uid="{00000000-0005-0000-0000-00003D4E0000}"/>
    <cellStyle name="Normal 2 2 4 5 2 3 3 2" xfId="52170" xr:uid="{00000000-0005-0000-0000-00003E4E0000}"/>
    <cellStyle name="Normal 2 2 4 5 2 3 4" xfId="13884" xr:uid="{00000000-0005-0000-0000-00003F4E0000}"/>
    <cellStyle name="Normal 2 2 4 5 2 3 5" xfId="13885" xr:uid="{00000000-0005-0000-0000-0000404E0000}"/>
    <cellStyle name="Normal 2 2 4 5 2 3 6" xfId="13886" xr:uid="{00000000-0005-0000-0000-0000414E0000}"/>
    <cellStyle name="Normal 2 2 4 5 2 4" xfId="13887" xr:uid="{00000000-0005-0000-0000-0000424E0000}"/>
    <cellStyle name="Normal 2 2 4 5 2 4 2" xfId="52171" xr:uid="{00000000-0005-0000-0000-0000434E0000}"/>
    <cellStyle name="Normal 2 2 4 5 2 4 3" xfId="52172" xr:uid="{00000000-0005-0000-0000-0000444E0000}"/>
    <cellStyle name="Normal 2 2 4 5 2 5" xfId="13888" xr:uid="{00000000-0005-0000-0000-0000454E0000}"/>
    <cellStyle name="Normal 2 2 4 5 2 5 2" xfId="52173" xr:uid="{00000000-0005-0000-0000-0000464E0000}"/>
    <cellStyle name="Normal 2 2 4 5 2 6" xfId="13889" xr:uid="{00000000-0005-0000-0000-0000474E0000}"/>
    <cellStyle name="Normal 2 2 4 5 2 7" xfId="13890" xr:uid="{00000000-0005-0000-0000-0000484E0000}"/>
    <cellStyle name="Normal 2 2 4 5 2 8" xfId="13891" xr:uid="{00000000-0005-0000-0000-0000494E0000}"/>
    <cellStyle name="Normal 2 2 4 5 2 9" xfId="13892" xr:uid="{00000000-0005-0000-0000-00004A4E0000}"/>
    <cellStyle name="Normal 2 2 4 5 3" xfId="13893" xr:uid="{00000000-0005-0000-0000-00004B4E0000}"/>
    <cellStyle name="Normal 2 2 4 5 3 2" xfId="13894" xr:uid="{00000000-0005-0000-0000-00004C4E0000}"/>
    <cellStyle name="Normal 2 2 4 5 3 2 2" xfId="13895" xr:uid="{00000000-0005-0000-0000-00004D4E0000}"/>
    <cellStyle name="Normal 2 2 4 5 3 2 2 2" xfId="13896" xr:uid="{00000000-0005-0000-0000-00004E4E0000}"/>
    <cellStyle name="Normal 2 2 4 5 3 2 2 2 2" xfId="52174" xr:uid="{00000000-0005-0000-0000-00004F4E0000}"/>
    <cellStyle name="Normal 2 2 4 5 3 2 2 2 3" xfId="52175" xr:uid="{00000000-0005-0000-0000-0000504E0000}"/>
    <cellStyle name="Normal 2 2 4 5 3 2 2 3" xfId="13897" xr:uid="{00000000-0005-0000-0000-0000514E0000}"/>
    <cellStyle name="Normal 2 2 4 5 3 2 2 3 2" xfId="52176" xr:uid="{00000000-0005-0000-0000-0000524E0000}"/>
    <cellStyle name="Normal 2 2 4 5 3 2 2 4" xfId="13898" xr:uid="{00000000-0005-0000-0000-0000534E0000}"/>
    <cellStyle name="Normal 2 2 4 5 3 2 2 5" xfId="13899" xr:uid="{00000000-0005-0000-0000-0000544E0000}"/>
    <cellStyle name="Normal 2 2 4 5 3 2 2 6" xfId="13900" xr:uid="{00000000-0005-0000-0000-0000554E0000}"/>
    <cellStyle name="Normal 2 2 4 5 3 2 3" xfId="13901" xr:uid="{00000000-0005-0000-0000-0000564E0000}"/>
    <cellStyle name="Normal 2 2 4 5 3 2 3 2" xfId="52177" xr:uid="{00000000-0005-0000-0000-0000574E0000}"/>
    <cellStyle name="Normal 2 2 4 5 3 2 3 3" xfId="52178" xr:uid="{00000000-0005-0000-0000-0000584E0000}"/>
    <cellStyle name="Normal 2 2 4 5 3 2 4" xfId="13902" xr:uid="{00000000-0005-0000-0000-0000594E0000}"/>
    <cellStyle name="Normal 2 2 4 5 3 2 4 2" xfId="52179" xr:uid="{00000000-0005-0000-0000-00005A4E0000}"/>
    <cellStyle name="Normal 2 2 4 5 3 2 5" xfId="13903" xr:uid="{00000000-0005-0000-0000-00005B4E0000}"/>
    <cellStyle name="Normal 2 2 4 5 3 2 6" xfId="13904" xr:uid="{00000000-0005-0000-0000-00005C4E0000}"/>
    <cellStyle name="Normal 2 2 4 5 3 2 7" xfId="13905" xr:uid="{00000000-0005-0000-0000-00005D4E0000}"/>
    <cellStyle name="Normal 2 2 4 5 3 3" xfId="13906" xr:uid="{00000000-0005-0000-0000-00005E4E0000}"/>
    <cellStyle name="Normal 2 2 4 5 3 3 2" xfId="13907" xr:uid="{00000000-0005-0000-0000-00005F4E0000}"/>
    <cellStyle name="Normal 2 2 4 5 3 3 2 2" xfId="52180" xr:uid="{00000000-0005-0000-0000-0000604E0000}"/>
    <cellStyle name="Normal 2 2 4 5 3 3 2 3" xfId="52181" xr:uid="{00000000-0005-0000-0000-0000614E0000}"/>
    <cellStyle name="Normal 2 2 4 5 3 3 3" xfId="13908" xr:uid="{00000000-0005-0000-0000-0000624E0000}"/>
    <cellStyle name="Normal 2 2 4 5 3 3 3 2" xfId="52182" xr:uid="{00000000-0005-0000-0000-0000634E0000}"/>
    <cellStyle name="Normal 2 2 4 5 3 3 4" xfId="13909" xr:uid="{00000000-0005-0000-0000-0000644E0000}"/>
    <cellStyle name="Normal 2 2 4 5 3 3 5" xfId="13910" xr:uid="{00000000-0005-0000-0000-0000654E0000}"/>
    <cellStyle name="Normal 2 2 4 5 3 3 6" xfId="13911" xr:uid="{00000000-0005-0000-0000-0000664E0000}"/>
    <cellStyle name="Normal 2 2 4 5 3 4" xfId="13912" xr:uid="{00000000-0005-0000-0000-0000674E0000}"/>
    <cellStyle name="Normal 2 2 4 5 3 4 2" xfId="52183" xr:uid="{00000000-0005-0000-0000-0000684E0000}"/>
    <cellStyle name="Normal 2 2 4 5 3 4 3" xfId="52184" xr:uid="{00000000-0005-0000-0000-0000694E0000}"/>
    <cellStyle name="Normal 2 2 4 5 3 5" xfId="13913" xr:uid="{00000000-0005-0000-0000-00006A4E0000}"/>
    <cellStyle name="Normal 2 2 4 5 3 5 2" xfId="52185" xr:uid="{00000000-0005-0000-0000-00006B4E0000}"/>
    <cellStyle name="Normal 2 2 4 5 3 6" xfId="13914" xr:uid="{00000000-0005-0000-0000-00006C4E0000}"/>
    <cellStyle name="Normal 2 2 4 5 3 7" xfId="13915" xr:uid="{00000000-0005-0000-0000-00006D4E0000}"/>
    <cellStyle name="Normal 2 2 4 5 3 8" xfId="13916" xr:uid="{00000000-0005-0000-0000-00006E4E0000}"/>
    <cellStyle name="Normal 2 2 4 5 4" xfId="13917" xr:uid="{00000000-0005-0000-0000-00006F4E0000}"/>
    <cellStyle name="Normal 2 2 4 5 4 2" xfId="13918" xr:uid="{00000000-0005-0000-0000-0000704E0000}"/>
    <cellStyle name="Normal 2 2 4 5 4 2 2" xfId="13919" xr:uid="{00000000-0005-0000-0000-0000714E0000}"/>
    <cellStyle name="Normal 2 2 4 5 4 2 2 2" xfId="52186" xr:uid="{00000000-0005-0000-0000-0000724E0000}"/>
    <cellStyle name="Normal 2 2 4 5 4 2 2 3" xfId="52187" xr:uid="{00000000-0005-0000-0000-0000734E0000}"/>
    <cellStyle name="Normal 2 2 4 5 4 2 3" xfId="13920" xr:uid="{00000000-0005-0000-0000-0000744E0000}"/>
    <cellStyle name="Normal 2 2 4 5 4 2 3 2" xfId="52188" xr:uid="{00000000-0005-0000-0000-0000754E0000}"/>
    <cellStyle name="Normal 2 2 4 5 4 2 4" xfId="13921" xr:uid="{00000000-0005-0000-0000-0000764E0000}"/>
    <cellStyle name="Normal 2 2 4 5 4 2 5" xfId="13922" xr:uid="{00000000-0005-0000-0000-0000774E0000}"/>
    <cellStyle name="Normal 2 2 4 5 4 2 6" xfId="13923" xr:uid="{00000000-0005-0000-0000-0000784E0000}"/>
    <cellStyle name="Normal 2 2 4 5 4 3" xfId="13924" xr:uid="{00000000-0005-0000-0000-0000794E0000}"/>
    <cellStyle name="Normal 2 2 4 5 4 3 2" xfId="52189" xr:uid="{00000000-0005-0000-0000-00007A4E0000}"/>
    <cellStyle name="Normal 2 2 4 5 4 3 3" xfId="52190" xr:uid="{00000000-0005-0000-0000-00007B4E0000}"/>
    <cellStyle name="Normal 2 2 4 5 4 4" xfId="13925" xr:uid="{00000000-0005-0000-0000-00007C4E0000}"/>
    <cellStyle name="Normal 2 2 4 5 4 4 2" xfId="52191" xr:uid="{00000000-0005-0000-0000-00007D4E0000}"/>
    <cellStyle name="Normal 2 2 4 5 4 5" xfId="13926" xr:uid="{00000000-0005-0000-0000-00007E4E0000}"/>
    <cellStyle name="Normal 2 2 4 5 4 6" xfId="13927" xr:uid="{00000000-0005-0000-0000-00007F4E0000}"/>
    <cellStyle name="Normal 2 2 4 5 4 7" xfId="13928" xr:uid="{00000000-0005-0000-0000-0000804E0000}"/>
    <cellStyle name="Normal 2 2 4 5 5" xfId="13929" xr:uid="{00000000-0005-0000-0000-0000814E0000}"/>
    <cellStyle name="Normal 2 2 4 5 5 2" xfId="13930" xr:uid="{00000000-0005-0000-0000-0000824E0000}"/>
    <cellStyle name="Normal 2 2 4 5 5 2 2" xfId="52192" xr:uid="{00000000-0005-0000-0000-0000834E0000}"/>
    <cellStyle name="Normal 2 2 4 5 5 2 3" xfId="52193" xr:uid="{00000000-0005-0000-0000-0000844E0000}"/>
    <cellStyle name="Normal 2 2 4 5 5 3" xfId="13931" xr:uid="{00000000-0005-0000-0000-0000854E0000}"/>
    <cellStyle name="Normal 2 2 4 5 5 3 2" xfId="52194" xr:uid="{00000000-0005-0000-0000-0000864E0000}"/>
    <cellStyle name="Normal 2 2 4 5 5 4" xfId="13932" xr:uid="{00000000-0005-0000-0000-0000874E0000}"/>
    <cellStyle name="Normal 2 2 4 5 5 5" xfId="13933" xr:uid="{00000000-0005-0000-0000-0000884E0000}"/>
    <cellStyle name="Normal 2 2 4 5 5 6" xfId="13934" xr:uid="{00000000-0005-0000-0000-0000894E0000}"/>
    <cellStyle name="Normal 2 2 4 5 6" xfId="13935" xr:uid="{00000000-0005-0000-0000-00008A4E0000}"/>
    <cellStyle name="Normal 2 2 4 5 6 2" xfId="52195" xr:uid="{00000000-0005-0000-0000-00008B4E0000}"/>
    <cellStyle name="Normal 2 2 4 5 6 3" xfId="52196" xr:uid="{00000000-0005-0000-0000-00008C4E0000}"/>
    <cellStyle name="Normal 2 2 4 5 7" xfId="13936" xr:uid="{00000000-0005-0000-0000-00008D4E0000}"/>
    <cellStyle name="Normal 2 2 4 5 7 2" xfId="52197" xr:uid="{00000000-0005-0000-0000-00008E4E0000}"/>
    <cellStyle name="Normal 2 2 4 5 8" xfId="13937" xr:uid="{00000000-0005-0000-0000-00008F4E0000}"/>
    <cellStyle name="Normal 2 2 4 5 9" xfId="13938" xr:uid="{00000000-0005-0000-0000-0000904E0000}"/>
    <cellStyle name="Normal 2 2 4 6" xfId="13939" xr:uid="{00000000-0005-0000-0000-0000914E0000}"/>
    <cellStyle name="Normal 2 2 4 6 10" xfId="13940" xr:uid="{00000000-0005-0000-0000-0000924E0000}"/>
    <cellStyle name="Normal 2 2 4 6 11" xfId="13941" xr:uid="{00000000-0005-0000-0000-0000934E0000}"/>
    <cellStyle name="Normal 2 2 4 6 12" xfId="13942" xr:uid="{00000000-0005-0000-0000-0000944E0000}"/>
    <cellStyle name="Normal 2 2 4 6 13" xfId="13943" xr:uid="{00000000-0005-0000-0000-0000954E0000}"/>
    <cellStyle name="Normal 2 2 4 6 2" xfId="13944" xr:uid="{00000000-0005-0000-0000-0000964E0000}"/>
    <cellStyle name="Normal 2 2 4 6 2 2" xfId="13945" xr:uid="{00000000-0005-0000-0000-0000974E0000}"/>
    <cellStyle name="Normal 2 2 4 6 2 2 2" xfId="13946" xr:uid="{00000000-0005-0000-0000-0000984E0000}"/>
    <cellStyle name="Normal 2 2 4 6 2 2 2 2" xfId="13947" xr:uid="{00000000-0005-0000-0000-0000994E0000}"/>
    <cellStyle name="Normal 2 2 4 6 2 2 2 2 2" xfId="52198" xr:uid="{00000000-0005-0000-0000-00009A4E0000}"/>
    <cellStyle name="Normal 2 2 4 6 2 2 2 2 3" xfId="52199" xr:uid="{00000000-0005-0000-0000-00009B4E0000}"/>
    <cellStyle name="Normal 2 2 4 6 2 2 2 3" xfId="13948" xr:uid="{00000000-0005-0000-0000-00009C4E0000}"/>
    <cellStyle name="Normal 2 2 4 6 2 2 2 3 2" xfId="52200" xr:uid="{00000000-0005-0000-0000-00009D4E0000}"/>
    <cellStyle name="Normal 2 2 4 6 2 2 2 4" xfId="13949" xr:uid="{00000000-0005-0000-0000-00009E4E0000}"/>
    <cellStyle name="Normal 2 2 4 6 2 2 2 5" xfId="13950" xr:uid="{00000000-0005-0000-0000-00009F4E0000}"/>
    <cellStyle name="Normal 2 2 4 6 2 2 2 6" xfId="13951" xr:uid="{00000000-0005-0000-0000-0000A04E0000}"/>
    <cellStyle name="Normal 2 2 4 6 2 2 3" xfId="13952" xr:uid="{00000000-0005-0000-0000-0000A14E0000}"/>
    <cellStyle name="Normal 2 2 4 6 2 2 3 2" xfId="52201" xr:uid="{00000000-0005-0000-0000-0000A24E0000}"/>
    <cellStyle name="Normal 2 2 4 6 2 2 3 3" xfId="52202" xr:uid="{00000000-0005-0000-0000-0000A34E0000}"/>
    <cellStyle name="Normal 2 2 4 6 2 2 4" xfId="13953" xr:uid="{00000000-0005-0000-0000-0000A44E0000}"/>
    <cellStyle name="Normal 2 2 4 6 2 2 4 2" xfId="52203" xr:uid="{00000000-0005-0000-0000-0000A54E0000}"/>
    <cellStyle name="Normal 2 2 4 6 2 2 5" xfId="13954" xr:uid="{00000000-0005-0000-0000-0000A64E0000}"/>
    <cellStyle name="Normal 2 2 4 6 2 2 6" xfId="13955" xr:uid="{00000000-0005-0000-0000-0000A74E0000}"/>
    <cellStyle name="Normal 2 2 4 6 2 2 7" xfId="13956" xr:uid="{00000000-0005-0000-0000-0000A84E0000}"/>
    <cellStyle name="Normal 2 2 4 6 2 3" xfId="13957" xr:uid="{00000000-0005-0000-0000-0000A94E0000}"/>
    <cellStyle name="Normal 2 2 4 6 2 3 2" xfId="13958" xr:uid="{00000000-0005-0000-0000-0000AA4E0000}"/>
    <cellStyle name="Normal 2 2 4 6 2 3 2 2" xfId="52204" xr:uid="{00000000-0005-0000-0000-0000AB4E0000}"/>
    <cellStyle name="Normal 2 2 4 6 2 3 2 3" xfId="52205" xr:uid="{00000000-0005-0000-0000-0000AC4E0000}"/>
    <cellStyle name="Normal 2 2 4 6 2 3 3" xfId="13959" xr:uid="{00000000-0005-0000-0000-0000AD4E0000}"/>
    <cellStyle name="Normal 2 2 4 6 2 3 3 2" xfId="52206" xr:uid="{00000000-0005-0000-0000-0000AE4E0000}"/>
    <cellStyle name="Normal 2 2 4 6 2 3 4" xfId="13960" xr:uid="{00000000-0005-0000-0000-0000AF4E0000}"/>
    <cellStyle name="Normal 2 2 4 6 2 3 5" xfId="13961" xr:uid="{00000000-0005-0000-0000-0000B04E0000}"/>
    <cellStyle name="Normal 2 2 4 6 2 3 6" xfId="13962" xr:uid="{00000000-0005-0000-0000-0000B14E0000}"/>
    <cellStyle name="Normal 2 2 4 6 2 4" xfId="13963" xr:uid="{00000000-0005-0000-0000-0000B24E0000}"/>
    <cellStyle name="Normal 2 2 4 6 2 4 2" xfId="52207" xr:uid="{00000000-0005-0000-0000-0000B34E0000}"/>
    <cellStyle name="Normal 2 2 4 6 2 4 3" xfId="52208" xr:uid="{00000000-0005-0000-0000-0000B44E0000}"/>
    <cellStyle name="Normal 2 2 4 6 2 5" xfId="13964" xr:uid="{00000000-0005-0000-0000-0000B54E0000}"/>
    <cellStyle name="Normal 2 2 4 6 2 5 2" xfId="52209" xr:uid="{00000000-0005-0000-0000-0000B64E0000}"/>
    <cellStyle name="Normal 2 2 4 6 2 6" xfId="13965" xr:uid="{00000000-0005-0000-0000-0000B74E0000}"/>
    <cellStyle name="Normal 2 2 4 6 2 7" xfId="13966" xr:uid="{00000000-0005-0000-0000-0000B84E0000}"/>
    <cellStyle name="Normal 2 2 4 6 2 8" xfId="13967" xr:uid="{00000000-0005-0000-0000-0000B94E0000}"/>
    <cellStyle name="Normal 2 2 4 6 2 9" xfId="13968" xr:uid="{00000000-0005-0000-0000-0000BA4E0000}"/>
    <cellStyle name="Normal 2 2 4 6 3" xfId="13969" xr:uid="{00000000-0005-0000-0000-0000BB4E0000}"/>
    <cellStyle name="Normal 2 2 4 6 3 2" xfId="13970" xr:uid="{00000000-0005-0000-0000-0000BC4E0000}"/>
    <cellStyle name="Normal 2 2 4 6 3 2 2" xfId="13971" xr:uid="{00000000-0005-0000-0000-0000BD4E0000}"/>
    <cellStyle name="Normal 2 2 4 6 3 2 2 2" xfId="52210" xr:uid="{00000000-0005-0000-0000-0000BE4E0000}"/>
    <cellStyle name="Normal 2 2 4 6 3 2 2 3" xfId="52211" xr:uid="{00000000-0005-0000-0000-0000BF4E0000}"/>
    <cellStyle name="Normal 2 2 4 6 3 2 3" xfId="13972" xr:uid="{00000000-0005-0000-0000-0000C04E0000}"/>
    <cellStyle name="Normal 2 2 4 6 3 2 3 2" xfId="52212" xr:uid="{00000000-0005-0000-0000-0000C14E0000}"/>
    <cellStyle name="Normal 2 2 4 6 3 2 4" xfId="13973" xr:uid="{00000000-0005-0000-0000-0000C24E0000}"/>
    <cellStyle name="Normal 2 2 4 6 3 2 5" xfId="13974" xr:uid="{00000000-0005-0000-0000-0000C34E0000}"/>
    <cellStyle name="Normal 2 2 4 6 3 2 6" xfId="13975" xr:uid="{00000000-0005-0000-0000-0000C44E0000}"/>
    <cellStyle name="Normal 2 2 4 6 3 3" xfId="13976" xr:uid="{00000000-0005-0000-0000-0000C54E0000}"/>
    <cellStyle name="Normal 2 2 4 6 3 3 2" xfId="52213" xr:uid="{00000000-0005-0000-0000-0000C64E0000}"/>
    <cellStyle name="Normal 2 2 4 6 3 3 3" xfId="52214" xr:uid="{00000000-0005-0000-0000-0000C74E0000}"/>
    <cellStyle name="Normal 2 2 4 6 3 4" xfId="13977" xr:uid="{00000000-0005-0000-0000-0000C84E0000}"/>
    <cellStyle name="Normal 2 2 4 6 3 4 2" xfId="52215" xr:uid="{00000000-0005-0000-0000-0000C94E0000}"/>
    <cellStyle name="Normal 2 2 4 6 3 5" xfId="13978" xr:uid="{00000000-0005-0000-0000-0000CA4E0000}"/>
    <cellStyle name="Normal 2 2 4 6 3 6" xfId="13979" xr:uid="{00000000-0005-0000-0000-0000CB4E0000}"/>
    <cellStyle name="Normal 2 2 4 6 3 7" xfId="13980" xr:uid="{00000000-0005-0000-0000-0000CC4E0000}"/>
    <cellStyle name="Normal 2 2 4 6 4" xfId="13981" xr:uid="{00000000-0005-0000-0000-0000CD4E0000}"/>
    <cellStyle name="Normal 2 2 4 6 4 2" xfId="13982" xr:uid="{00000000-0005-0000-0000-0000CE4E0000}"/>
    <cellStyle name="Normal 2 2 4 6 4 2 2" xfId="52216" xr:uid="{00000000-0005-0000-0000-0000CF4E0000}"/>
    <cellStyle name="Normal 2 2 4 6 4 2 3" xfId="52217" xr:uid="{00000000-0005-0000-0000-0000D04E0000}"/>
    <cellStyle name="Normal 2 2 4 6 4 3" xfId="13983" xr:uid="{00000000-0005-0000-0000-0000D14E0000}"/>
    <cellStyle name="Normal 2 2 4 6 4 3 2" xfId="52218" xr:uid="{00000000-0005-0000-0000-0000D24E0000}"/>
    <cellStyle name="Normal 2 2 4 6 4 4" xfId="13984" xr:uid="{00000000-0005-0000-0000-0000D34E0000}"/>
    <cellStyle name="Normal 2 2 4 6 4 5" xfId="13985" xr:uid="{00000000-0005-0000-0000-0000D44E0000}"/>
    <cellStyle name="Normal 2 2 4 6 4 6" xfId="13986" xr:uid="{00000000-0005-0000-0000-0000D54E0000}"/>
    <cellStyle name="Normal 2 2 4 6 5" xfId="13987" xr:uid="{00000000-0005-0000-0000-0000D64E0000}"/>
    <cellStyle name="Normal 2 2 4 6 5 2" xfId="52219" xr:uid="{00000000-0005-0000-0000-0000D74E0000}"/>
    <cellStyle name="Normal 2 2 4 6 5 3" xfId="52220" xr:uid="{00000000-0005-0000-0000-0000D84E0000}"/>
    <cellStyle name="Normal 2 2 4 6 6" xfId="13988" xr:uid="{00000000-0005-0000-0000-0000D94E0000}"/>
    <cellStyle name="Normal 2 2 4 6 6 2" xfId="52221" xr:uid="{00000000-0005-0000-0000-0000DA4E0000}"/>
    <cellStyle name="Normal 2 2 4 6 7" xfId="13989" xr:uid="{00000000-0005-0000-0000-0000DB4E0000}"/>
    <cellStyle name="Normal 2 2 4 6 8" xfId="13990" xr:uid="{00000000-0005-0000-0000-0000DC4E0000}"/>
    <cellStyle name="Normal 2 2 4 6 9" xfId="13991" xr:uid="{00000000-0005-0000-0000-0000DD4E0000}"/>
    <cellStyle name="Normal 2 2 4 7" xfId="13992" xr:uid="{00000000-0005-0000-0000-0000DE4E0000}"/>
    <cellStyle name="Normal 2 2 4 7 2" xfId="13993" xr:uid="{00000000-0005-0000-0000-0000DF4E0000}"/>
    <cellStyle name="Normal 2 2 4 7 2 2" xfId="13994" xr:uid="{00000000-0005-0000-0000-0000E04E0000}"/>
    <cellStyle name="Normal 2 2 4 7 2 2 2" xfId="13995" xr:uid="{00000000-0005-0000-0000-0000E14E0000}"/>
    <cellStyle name="Normal 2 2 4 7 2 2 2 2" xfId="52222" xr:uid="{00000000-0005-0000-0000-0000E24E0000}"/>
    <cellStyle name="Normal 2 2 4 7 2 2 2 3" xfId="52223" xr:uid="{00000000-0005-0000-0000-0000E34E0000}"/>
    <cellStyle name="Normal 2 2 4 7 2 2 3" xfId="13996" xr:uid="{00000000-0005-0000-0000-0000E44E0000}"/>
    <cellStyle name="Normal 2 2 4 7 2 2 3 2" xfId="52224" xr:uid="{00000000-0005-0000-0000-0000E54E0000}"/>
    <cellStyle name="Normal 2 2 4 7 2 2 4" xfId="13997" xr:uid="{00000000-0005-0000-0000-0000E64E0000}"/>
    <cellStyle name="Normal 2 2 4 7 2 2 5" xfId="13998" xr:uid="{00000000-0005-0000-0000-0000E74E0000}"/>
    <cellStyle name="Normal 2 2 4 7 2 2 6" xfId="13999" xr:uid="{00000000-0005-0000-0000-0000E84E0000}"/>
    <cellStyle name="Normal 2 2 4 7 2 3" xfId="14000" xr:uid="{00000000-0005-0000-0000-0000E94E0000}"/>
    <cellStyle name="Normal 2 2 4 7 2 3 2" xfId="52225" xr:uid="{00000000-0005-0000-0000-0000EA4E0000}"/>
    <cellStyle name="Normal 2 2 4 7 2 3 3" xfId="52226" xr:uid="{00000000-0005-0000-0000-0000EB4E0000}"/>
    <cellStyle name="Normal 2 2 4 7 2 4" xfId="14001" xr:uid="{00000000-0005-0000-0000-0000EC4E0000}"/>
    <cellStyle name="Normal 2 2 4 7 2 4 2" xfId="52227" xr:uid="{00000000-0005-0000-0000-0000ED4E0000}"/>
    <cellStyle name="Normal 2 2 4 7 2 5" xfId="14002" xr:uid="{00000000-0005-0000-0000-0000EE4E0000}"/>
    <cellStyle name="Normal 2 2 4 7 2 6" xfId="14003" xr:uid="{00000000-0005-0000-0000-0000EF4E0000}"/>
    <cellStyle name="Normal 2 2 4 7 2 7" xfId="14004" xr:uid="{00000000-0005-0000-0000-0000F04E0000}"/>
    <cellStyle name="Normal 2 2 4 7 3" xfId="14005" xr:uid="{00000000-0005-0000-0000-0000F14E0000}"/>
    <cellStyle name="Normal 2 2 4 7 3 2" xfId="14006" xr:uid="{00000000-0005-0000-0000-0000F24E0000}"/>
    <cellStyle name="Normal 2 2 4 7 3 2 2" xfId="52228" xr:uid="{00000000-0005-0000-0000-0000F34E0000}"/>
    <cellStyle name="Normal 2 2 4 7 3 2 3" xfId="52229" xr:uid="{00000000-0005-0000-0000-0000F44E0000}"/>
    <cellStyle name="Normal 2 2 4 7 3 3" xfId="14007" xr:uid="{00000000-0005-0000-0000-0000F54E0000}"/>
    <cellStyle name="Normal 2 2 4 7 3 3 2" xfId="52230" xr:uid="{00000000-0005-0000-0000-0000F64E0000}"/>
    <cellStyle name="Normal 2 2 4 7 3 4" xfId="14008" xr:uid="{00000000-0005-0000-0000-0000F74E0000}"/>
    <cellStyle name="Normal 2 2 4 7 3 5" xfId="14009" xr:uid="{00000000-0005-0000-0000-0000F84E0000}"/>
    <cellStyle name="Normal 2 2 4 7 3 6" xfId="14010" xr:uid="{00000000-0005-0000-0000-0000F94E0000}"/>
    <cellStyle name="Normal 2 2 4 7 4" xfId="14011" xr:uid="{00000000-0005-0000-0000-0000FA4E0000}"/>
    <cellStyle name="Normal 2 2 4 7 4 2" xfId="52231" xr:uid="{00000000-0005-0000-0000-0000FB4E0000}"/>
    <cellStyle name="Normal 2 2 4 7 4 3" xfId="52232" xr:uid="{00000000-0005-0000-0000-0000FC4E0000}"/>
    <cellStyle name="Normal 2 2 4 7 5" xfId="14012" xr:uid="{00000000-0005-0000-0000-0000FD4E0000}"/>
    <cellStyle name="Normal 2 2 4 7 5 2" xfId="52233" xr:uid="{00000000-0005-0000-0000-0000FE4E0000}"/>
    <cellStyle name="Normal 2 2 4 7 6" xfId="14013" xr:uid="{00000000-0005-0000-0000-0000FF4E0000}"/>
    <cellStyle name="Normal 2 2 4 7 7" xfId="14014" xr:uid="{00000000-0005-0000-0000-0000004F0000}"/>
    <cellStyle name="Normal 2 2 4 7 8" xfId="14015" xr:uid="{00000000-0005-0000-0000-0000014F0000}"/>
    <cellStyle name="Normal 2 2 4 7 9" xfId="14016" xr:uid="{00000000-0005-0000-0000-0000024F0000}"/>
    <cellStyle name="Normal 2 2 4 8" xfId="14017" xr:uid="{00000000-0005-0000-0000-0000034F0000}"/>
    <cellStyle name="Normal 2 2 4 8 2" xfId="14018" xr:uid="{00000000-0005-0000-0000-0000044F0000}"/>
    <cellStyle name="Normal 2 2 4 8 2 2" xfId="14019" xr:uid="{00000000-0005-0000-0000-0000054F0000}"/>
    <cellStyle name="Normal 2 2 4 8 2 2 2" xfId="14020" xr:uid="{00000000-0005-0000-0000-0000064F0000}"/>
    <cellStyle name="Normal 2 2 4 8 2 2 2 2" xfId="52234" xr:uid="{00000000-0005-0000-0000-0000074F0000}"/>
    <cellStyle name="Normal 2 2 4 8 2 2 2 3" xfId="52235" xr:uid="{00000000-0005-0000-0000-0000084F0000}"/>
    <cellStyle name="Normal 2 2 4 8 2 2 3" xfId="14021" xr:uid="{00000000-0005-0000-0000-0000094F0000}"/>
    <cellStyle name="Normal 2 2 4 8 2 2 3 2" xfId="52236" xr:uid="{00000000-0005-0000-0000-00000A4F0000}"/>
    <cellStyle name="Normal 2 2 4 8 2 2 4" xfId="14022" xr:uid="{00000000-0005-0000-0000-00000B4F0000}"/>
    <cellStyle name="Normal 2 2 4 8 2 2 5" xfId="14023" xr:uid="{00000000-0005-0000-0000-00000C4F0000}"/>
    <cellStyle name="Normal 2 2 4 8 2 2 6" xfId="14024" xr:uid="{00000000-0005-0000-0000-00000D4F0000}"/>
    <cellStyle name="Normal 2 2 4 8 2 3" xfId="14025" xr:uid="{00000000-0005-0000-0000-00000E4F0000}"/>
    <cellStyle name="Normal 2 2 4 8 2 3 2" xfId="52237" xr:uid="{00000000-0005-0000-0000-00000F4F0000}"/>
    <cellStyle name="Normal 2 2 4 8 2 3 3" xfId="52238" xr:uid="{00000000-0005-0000-0000-0000104F0000}"/>
    <cellStyle name="Normal 2 2 4 8 2 4" xfId="14026" xr:uid="{00000000-0005-0000-0000-0000114F0000}"/>
    <cellStyle name="Normal 2 2 4 8 2 4 2" xfId="52239" xr:uid="{00000000-0005-0000-0000-0000124F0000}"/>
    <cellStyle name="Normal 2 2 4 8 2 5" xfId="14027" xr:uid="{00000000-0005-0000-0000-0000134F0000}"/>
    <cellStyle name="Normal 2 2 4 8 2 6" xfId="14028" xr:uid="{00000000-0005-0000-0000-0000144F0000}"/>
    <cellStyle name="Normal 2 2 4 8 2 7" xfId="14029" xr:uid="{00000000-0005-0000-0000-0000154F0000}"/>
    <cellStyle name="Normal 2 2 4 8 3" xfId="14030" xr:uid="{00000000-0005-0000-0000-0000164F0000}"/>
    <cellStyle name="Normal 2 2 4 8 3 2" xfId="14031" xr:uid="{00000000-0005-0000-0000-0000174F0000}"/>
    <cellStyle name="Normal 2 2 4 8 3 2 2" xfId="52240" xr:uid="{00000000-0005-0000-0000-0000184F0000}"/>
    <cellStyle name="Normal 2 2 4 8 3 2 3" xfId="52241" xr:uid="{00000000-0005-0000-0000-0000194F0000}"/>
    <cellStyle name="Normal 2 2 4 8 3 3" xfId="14032" xr:uid="{00000000-0005-0000-0000-00001A4F0000}"/>
    <cellStyle name="Normal 2 2 4 8 3 3 2" xfId="52242" xr:uid="{00000000-0005-0000-0000-00001B4F0000}"/>
    <cellStyle name="Normal 2 2 4 8 3 4" xfId="14033" xr:uid="{00000000-0005-0000-0000-00001C4F0000}"/>
    <cellStyle name="Normal 2 2 4 8 3 5" xfId="14034" xr:uid="{00000000-0005-0000-0000-00001D4F0000}"/>
    <cellStyle name="Normal 2 2 4 8 3 6" xfId="14035" xr:uid="{00000000-0005-0000-0000-00001E4F0000}"/>
    <cellStyle name="Normal 2 2 4 8 4" xfId="14036" xr:uid="{00000000-0005-0000-0000-00001F4F0000}"/>
    <cellStyle name="Normal 2 2 4 8 4 2" xfId="52243" xr:uid="{00000000-0005-0000-0000-0000204F0000}"/>
    <cellStyle name="Normal 2 2 4 8 4 3" xfId="52244" xr:uid="{00000000-0005-0000-0000-0000214F0000}"/>
    <cellStyle name="Normal 2 2 4 8 5" xfId="14037" xr:uid="{00000000-0005-0000-0000-0000224F0000}"/>
    <cellStyle name="Normal 2 2 4 8 5 2" xfId="52245" xr:uid="{00000000-0005-0000-0000-0000234F0000}"/>
    <cellStyle name="Normal 2 2 4 8 6" xfId="14038" xr:uid="{00000000-0005-0000-0000-0000244F0000}"/>
    <cellStyle name="Normal 2 2 4 8 7" xfId="14039" xr:uid="{00000000-0005-0000-0000-0000254F0000}"/>
    <cellStyle name="Normal 2 2 4 8 8" xfId="14040" xr:uid="{00000000-0005-0000-0000-0000264F0000}"/>
    <cellStyle name="Normal 2 2 4 9" xfId="14041" xr:uid="{00000000-0005-0000-0000-0000274F0000}"/>
    <cellStyle name="Normal 2 2 4 9 2" xfId="14042" xr:uid="{00000000-0005-0000-0000-0000284F0000}"/>
    <cellStyle name="Normal 2 2 4 9 2 2" xfId="14043" xr:uid="{00000000-0005-0000-0000-0000294F0000}"/>
    <cellStyle name="Normal 2 2 4 9 2 2 2" xfId="14044" xr:uid="{00000000-0005-0000-0000-00002A4F0000}"/>
    <cellStyle name="Normal 2 2 4 9 2 2 2 2" xfId="52246" xr:uid="{00000000-0005-0000-0000-00002B4F0000}"/>
    <cellStyle name="Normal 2 2 4 9 2 2 2 3" xfId="52247" xr:uid="{00000000-0005-0000-0000-00002C4F0000}"/>
    <cellStyle name="Normal 2 2 4 9 2 2 3" xfId="14045" xr:uid="{00000000-0005-0000-0000-00002D4F0000}"/>
    <cellStyle name="Normal 2 2 4 9 2 2 3 2" xfId="52248" xr:uid="{00000000-0005-0000-0000-00002E4F0000}"/>
    <cellStyle name="Normal 2 2 4 9 2 2 4" xfId="14046" xr:uid="{00000000-0005-0000-0000-00002F4F0000}"/>
    <cellStyle name="Normal 2 2 4 9 2 2 5" xfId="14047" xr:uid="{00000000-0005-0000-0000-0000304F0000}"/>
    <cellStyle name="Normal 2 2 4 9 2 2 6" xfId="14048" xr:uid="{00000000-0005-0000-0000-0000314F0000}"/>
    <cellStyle name="Normal 2 2 4 9 2 3" xfId="14049" xr:uid="{00000000-0005-0000-0000-0000324F0000}"/>
    <cellStyle name="Normal 2 2 4 9 2 3 2" xfId="52249" xr:uid="{00000000-0005-0000-0000-0000334F0000}"/>
    <cellStyle name="Normal 2 2 4 9 2 3 3" xfId="52250" xr:uid="{00000000-0005-0000-0000-0000344F0000}"/>
    <cellStyle name="Normal 2 2 4 9 2 4" xfId="14050" xr:uid="{00000000-0005-0000-0000-0000354F0000}"/>
    <cellStyle name="Normal 2 2 4 9 2 4 2" xfId="52251" xr:uid="{00000000-0005-0000-0000-0000364F0000}"/>
    <cellStyle name="Normal 2 2 4 9 2 5" xfId="14051" xr:uid="{00000000-0005-0000-0000-0000374F0000}"/>
    <cellStyle name="Normal 2 2 4 9 2 6" xfId="14052" xr:uid="{00000000-0005-0000-0000-0000384F0000}"/>
    <cellStyle name="Normal 2 2 4 9 2 7" xfId="14053" xr:uid="{00000000-0005-0000-0000-0000394F0000}"/>
    <cellStyle name="Normal 2 2 4 9 3" xfId="14054" xr:uid="{00000000-0005-0000-0000-00003A4F0000}"/>
    <cellStyle name="Normal 2 2 4 9 3 2" xfId="14055" xr:uid="{00000000-0005-0000-0000-00003B4F0000}"/>
    <cellStyle name="Normal 2 2 4 9 3 2 2" xfId="52252" xr:uid="{00000000-0005-0000-0000-00003C4F0000}"/>
    <cellStyle name="Normal 2 2 4 9 3 2 3" xfId="52253" xr:uid="{00000000-0005-0000-0000-00003D4F0000}"/>
    <cellStyle name="Normal 2 2 4 9 3 3" xfId="14056" xr:uid="{00000000-0005-0000-0000-00003E4F0000}"/>
    <cellStyle name="Normal 2 2 4 9 3 3 2" xfId="52254" xr:uid="{00000000-0005-0000-0000-00003F4F0000}"/>
    <cellStyle name="Normal 2 2 4 9 3 4" xfId="14057" xr:uid="{00000000-0005-0000-0000-0000404F0000}"/>
    <cellStyle name="Normal 2 2 4 9 3 5" xfId="14058" xr:uid="{00000000-0005-0000-0000-0000414F0000}"/>
    <cellStyle name="Normal 2 2 4 9 3 6" xfId="14059" xr:uid="{00000000-0005-0000-0000-0000424F0000}"/>
    <cellStyle name="Normal 2 2 4 9 4" xfId="14060" xr:uid="{00000000-0005-0000-0000-0000434F0000}"/>
    <cellStyle name="Normal 2 2 4 9 4 2" xfId="52255" xr:uid="{00000000-0005-0000-0000-0000444F0000}"/>
    <cellStyle name="Normal 2 2 4 9 4 3" xfId="52256" xr:uid="{00000000-0005-0000-0000-0000454F0000}"/>
    <cellStyle name="Normal 2 2 4 9 5" xfId="14061" xr:uid="{00000000-0005-0000-0000-0000464F0000}"/>
    <cellStyle name="Normal 2 2 4 9 5 2" xfId="52257" xr:uid="{00000000-0005-0000-0000-0000474F0000}"/>
    <cellStyle name="Normal 2 2 4 9 6" xfId="14062" xr:uid="{00000000-0005-0000-0000-0000484F0000}"/>
    <cellStyle name="Normal 2 2 4 9 7" xfId="14063" xr:uid="{00000000-0005-0000-0000-0000494F0000}"/>
    <cellStyle name="Normal 2 2 4 9 8" xfId="14064" xr:uid="{00000000-0005-0000-0000-00004A4F0000}"/>
    <cellStyle name="Normal 2 2 5" xfId="14065" xr:uid="{00000000-0005-0000-0000-00004B4F0000}"/>
    <cellStyle name="Normal 2 2 5 2" xfId="14066" xr:uid="{00000000-0005-0000-0000-00004C4F0000}"/>
    <cellStyle name="Normal 2 2 5 2 2" xfId="14067" xr:uid="{00000000-0005-0000-0000-00004D4F0000}"/>
    <cellStyle name="Normal 2 2 5 2 2 2" xfId="52258" xr:uid="{00000000-0005-0000-0000-00004E4F0000}"/>
    <cellStyle name="Normal 2 2 5 2 3" xfId="14068" xr:uid="{00000000-0005-0000-0000-00004F4F0000}"/>
    <cellStyle name="Normal 2 2 5 2 3 2" xfId="52259" xr:uid="{00000000-0005-0000-0000-0000504F0000}"/>
    <cellStyle name="Normal 2 2 5 2 4" xfId="14069" xr:uid="{00000000-0005-0000-0000-0000514F0000}"/>
    <cellStyle name="Normal 2 2 5 3" xfId="14070" xr:uid="{00000000-0005-0000-0000-0000524F0000}"/>
    <cellStyle name="Normal 2 2 5 3 2" xfId="14071" xr:uid="{00000000-0005-0000-0000-0000534F0000}"/>
    <cellStyle name="Normal 2 2 5 3 2 2" xfId="14072" xr:uid="{00000000-0005-0000-0000-0000544F0000}"/>
    <cellStyle name="Normal 2 2 5 3 2 2 2" xfId="52260" xr:uid="{00000000-0005-0000-0000-0000554F0000}"/>
    <cellStyle name="Normal 2 2 5 3 2 2 3" xfId="52261" xr:uid="{00000000-0005-0000-0000-0000564F0000}"/>
    <cellStyle name="Normal 2 2 5 3 2 3" xfId="52262" xr:uid="{00000000-0005-0000-0000-0000574F0000}"/>
    <cellStyle name="Normal 2 2 5 3 2 4" xfId="52263" xr:uid="{00000000-0005-0000-0000-0000584F0000}"/>
    <cellStyle name="Normal 2 2 5 3 3" xfId="14073" xr:uid="{00000000-0005-0000-0000-0000594F0000}"/>
    <cellStyle name="Normal 2 2 5 3 3 2" xfId="52264" xr:uid="{00000000-0005-0000-0000-00005A4F0000}"/>
    <cellStyle name="Normal 2 2 5 3 3 3" xfId="52265" xr:uid="{00000000-0005-0000-0000-00005B4F0000}"/>
    <cellStyle name="Normal 2 2 5 3 4" xfId="14074" xr:uid="{00000000-0005-0000-0000-00005C4F0000}"/>
    <cellStyle name="Normal 2 2 5 3 4 2" xfId="52266" xr:uid="{00000000-0005-0000-0000-00005D4F0000}"/>
    <cellStyle name="Normal 2 2 5 3 5" xfId="52267" xr:uid="{00000000-0005-0000-0000-00005E4F0000}"/>
    <cellStyle name="Normal 2 2 5 3 6" xfId="52268" xr:uid="{00000000-0005-0000-0000-00005F4F0000}"/>
    <cellStyle name="Normal 2 2 5 4" xfId="14075" xr:uid="{00000000-0005-0000-0000-0000604F0000}"/>
    <cellStyle name="Normal 2 2 5 4 2" xfId="14076" xr:uid="{00000000-0005-0000-0000-0000614F0000}"/>
    <cellStyle name="Normal 2 2 5 4 2 2" xfId="14077" xr:uid="{00000000-0005-0000-0000-0000624F0000}"/>
    <cellStyle name="Normal 2 2 5 4 2 2 2" xfId="52269" xr:uid="{00000000-0005-0000-0000-0000634F0000}"/>
    <cellStyle name="Normal 2 2 5 4 2 2 3" xfId="52270" xr:uid="{00000000-0005-0000-0000-0000644F0000}"/>
    <cellStyle name="Normal 2 2 5 4 2 3" xfId="52271" xr:uid="{00000000-0005-0000-0000-0000654F0000}"/>
    <cellStyle name="Normal 2 2 5 4 2 4" xfId="52272" xr:uid="{00000000-0005-0000-0000-0000664F0000}"/>
    <cellStyle name="Normal 2 2 5 4 3" xfId="14078" xr:uid="{00000000-0005-0000-0000-0000674F0000}"/>
    <cellStyle name="Normal 2 2 5 4 3 2" xfId="52273" xr:uid="{00000000-0005-0000-0000-0000684F0000}"/>
    <cellStyle name="Normal 2 2 5 4 3 3" xfId="52274" xr:uid="{00000000-0005-0000-0000-0000694F0000}"/>
    <cellStyle name="Normal 2 2 5 4 4" xfId="52275" xr:uid="{00000000-0005-0000-0000-00006A4F0000}"/>
    <cellStyle name="Normal 2 2 5 4 5" xfId="52276" xr:uid="{00000000-0005-0000-0000-00006B4F0000}"/>
    <cellStyle name="Normal 2 2 5 5" xfId="14079" xr:uid="{00000000-0005-0000-0000-00006C4F0000}"/>
    <cellStyle name="Normal 2 2 5 5 2" xfId="14080" xr:uid="{00000000-0005-0000-0000-00006D4F0000}"/>
    <cellStyle name="Normal 2 2 5 5 2 2" xfId="52277" xr:uid="{00000000-0005-0000-0000-00006E4F0000}"/>
    <cellStyle name="Normal 2 2 5 5 2 3" xfId="52278" xr:uid="{00000000-0005-0000-0000-00006F4F0000}"/>
    <cellStyle name="Normal 2 2 5 5 3" xfId="52279" xr:uid="{00000000-0005-0000-0000-0000704F0000}"/>
    <cellStyle name="Normal 2 2 5 5 4" xfId="52280" xr:uid="{00000000-0005-0000-0000-0000714F0000}"/>
    <cellStyle name="Normal 2 2 5 6" xfId="14081" xr:uid="{00000000-0005-0000-0000-0000724F0000}"/>
    <cellStyle name="Normal 2 2 5 6 2" xfId="52281" xr:uid="{00000000-0005-0000-0000-0000734F0000}"/>
    <cellStyle name="Normal 2 2 5 6 3" xfId="52282" xr:uid="{00000000-0005-0000-0000-0000744F0000}"/>
    <cellStyle name="Normal 2 2 5 7" xfId="14082" xr:uid="{00000000-0005-0000-0000-0000754F0000}"/>
    <cellStyle name="Normal 2 2 5 7 2" xfId="52283" xr:uid="{00000000-0005-0000-0000-0000764F0000}"/>
    <cellStyle name="Normal 2 2 5 8" xfId="14083" xr:uid="{00000000-0005-0000-0000-0000774F0000}"/>
    <cellStyle name="Normal 2 2 5 9" xfId="14084" xr:uid="{00000000-0005-0000-0000-0000784F0000}"/>
    <cellStyle name="Normal 2 2 6" xfId="14085" xr:uid="{00000000-0005-0000-0000-0000794F0000}"/>
    <cellStyle name="Normal 2 2 6 10" xfId="14086" xr:uid="{00000000-0005-0000-0000-00007A4F0000}"/>
    <cellStyle name="Normal 2 2 6 11" xfId="14087" xr:uid="{00000000-0005-0000-0000-00007B4F0000}"/>
    <cellStyle name="Normal 2 2 6 12" xfId="14088" xr:uid="{00000000-0005-0000-0000-00007C4F0000}"/>
    <cellStyle name="Normal 2 2 6 13" xfId="14089" xr:uid="{00000000-0005-0000-0000-00007D4F0000}"/>
    <cellStyle name="Normal 2 2 6 14" xfId="14090" xr:uid="{00000000-0005-0000-0000-00007E4F0000}"/>
    <cellStyle name="Normal 2 2 6 15" xfId="14091" xr:uid="{00000000-0005-0000-0000-00007F4F0000}"/>
    <cellStyle name="Normal 2 2 6 2" xfId="14092" xr:uid="{00000000-0005-0000-0000-0000804F0000}"/>
    <cellStyle name="Normal 2 2 6 2 10" xfId="14093" xr:uid="{00000000-0005-0000-0000-0000814F0000}"/>
    <cellStyle name="Normal 2 2 6 2 11" xfId="14094" xr:uid="{00000000-0005-0000-0000-0000824F0000}"/>
    <cellStyle name="Normal 2 2 6 2 12" xfId="14095" xr:uid="{00000000-0005-0000-0000-0000834F0000}"/>
    <cellStyle name="Normal 2 2 6 2 13" xfId="14096" xr:uid="{00000000-0005-0000-0000-0000844F0000}"/>
    <cellStyle name="Normal 2 2 6 2 14" xfId="14097" xr:uid="{00000000-0005-0000-0000-0000854F0000}"/>
    <cellStyle name="Normal 2 2 6 2 2" xfId="14098" xr:uid="{00000000-0005-0000-0000-0000864F0000}"/>
    <cellStyle name="Normal 2 2 6 2 2 2" xfId="14099" xr:uid="{00000000-0005-0000-0000-0000874F0000}"/>
    <cellStyle name="Normal 2 2 6 2 2 2 2" xfId="14100" xr:uid="{00000000-0005-0000-0000-0000884F0000}"/>
    <cellStyle name="Normal 2 2 6 2 2 2 2 2" xfId="14101" xr:uid="{00000000-0005-0000-0000-0000894F0000}"/>
    <cellStyle name="Normal 2 2 6 2 2 2 2 2 2" xfId="52284" xr:uid="{00000000-0005-0000-0000-00008A4F0000}"/>
    <cellStyle name="Normal 2 2 6 2 2 2 2 2 3" xfId="52285" xr:uid="{00000000-0005-0000-0000-00008B4F0000}"/>
    <cellStyle name="Normal 2 2 6 2 2 2 2 3" xfId="14102" xr:uid="{00000000-0005-0000-0000-00008C4F0000}"/>
    <cellStyle name="Normal 2 2 6 2 2 2 2 3 2" xfId="52286" xr:uid="{00000000-0005-0000-0000-00008D4F0000}"/>
    <cellStyle name="Normal 2 2 6 2 2 2 2 4" xfId="14103" xr:uid="{00000000-0005-0000-0000-00008E4F0000}"/>
    <cellStyle name="Normal 2 2 6 2 2 2 2 5" xfId="14104" xr:uid="{00000000-0005-0000-0000-00008F4F0000}"/>
    <cellStyle name="Normal 2 2 6 2 2 2 2 6" xfId="14105" xr:uid="{00000000-0005-0000-0000-0000904F0000}"/>
    <cellStyle name="Normal 2 2 6 2 2 2 3" xfId="14106" xr:uid="{00000000-0005-0000-0000-0000914F0000}"/>
    <cellStyle name="Normal 2 2 6 2 2 2 3 2" xfId="52287" xr:uid="{00000000-0005-0000-0000-0000924F0000}"/>
    <cellStyle name="Normal 2 2 6 2 2 2 3 3" xfId="52288" xr:uid="{00000000-0005-0000-0000-0000934F0000}"/>
    <cellStyle name="Normal 2 2 6 2 2 2 4" xfId="14107" xr:uid="{00000000-0005-0000-0000-0000944F0000}"/>
    <cellStyle name="Normal 2 2 6 2 2 2 4 2" xfId="52289" xr:uid="{00000000-0005-0000-0000-0000954F0000}"/>
    <cellStyle name="Normal 2 2 6 2 2 2 5" xfId="14108" xr:uid="{00000000-0005-0000-0000-0000964F0000}"/>
    <cellStyle name="Normal 2 2 6 2 2 2 6" xfId="14109" xr:uid="{00000000-0005-0000-0000-0000974F0000}"/>
    <cellStyle name="Normal 2 2 6 2 2 2 7" xfId="14110" xr:uid="{00000000-0005-0000-0000-0000984F0000}"/>
    <cellStyle name="Normal 2 2 6 2 2 3" xfId="14111" xr:uid="{00000000-0005-0000-0000-0000994F0000}"/>
    <cellStyle name="Normal 2 2 6 2 2 3 2" xfId="14112" xr:uid="{00000000-0005-0000-0000-00009A4F0000}"/>
    <cellStyle name="Normal 2 2 6 2 2 3 2 2" xfId="52290" xr:uid="{00000000-0005-0000-0000-00009B4F0000}"/>
    <cellStyle name="Normal 2 2 6 2 2 3 2 3" xfId="52291" xr:uid="{00000000-0005-0000-0000-00009C4F0000}"/>
    <cellStyle name="Normal 2 2 6 2 2 3 3" xfId="14113" xr:uid="{00000000-0005-0000-0000-00009D4F0000}"/>
    <cellStyle name="Normal 2 2 6 2 2 3 3 2" xfId="52292" xr:uid="{00000000-0005-0000-0000-00009E4F0000}"/>
    <cellStyle name="Normal 2 2 6 2 2 3 4" xfId="14114" xr:uid="{00000000-0005-0000-0000-00009F4F0000}"/>
    <cellStyle name="Normal 2 2 6 2 2 3 5" xfId="14115" xr:uid="{00000000-0005-0000-0000-0000A04F0000}"/>
    <cellStyle name="Normal 2 2 6 2 2 3 6" xfId="14116" xr:uid="{00000000-0005-0000-0000-0000A14F0000}"/>
    <cellStyle name="Normal 2 2 6 2 2 4" xfId="14117" xr:uid="{00000000-0005-0000-0000-0000A24F0000}"/>
    <cellStyle name="Normal 2 2 6 2 2 4 2" xfId="52293" xr:uid="{00000000-0005-0000-0000-0000A34F0000}"/>
    <cellStyle name="Normal 2 2 6 2 2 4 3" xfId="52294" xr:uid="{00000000-0005-0000-0000-0000A44F0000}"/>
    <cellStyle name="Normal 2 2 6 2 2 5" xfId="14118" xr:uid="{00000000-0005-0000-0000-0000A54F0000}"/>
    <cellStyle name="Normal 2 2 6 2 2 5 2" xfId="52295" xr:uid="{00000000-0005-0000-0000-0000A64F0000}"/>
    <cellStyle name="Normal 2 2 6 2 2 6" xfId="14119" xr:uid="{00000000-0005-0000-0000-0000A74F0000}"/>
    <cellStyle name="Normal 2 2 6 2 2 7" xfId="14120" xr:uid="{00000000-0005-0000-0000-0000A84F0000}"/>
    <cellStyle name="Normal 2 2 6 2 2 8" xfId="14121" xr:uid="{00000000-0005-0000-0000-0000A94F0000}"/>
    <cellStyle name="Normal 2 2 6 2 2 9" xfId="14122" xr:uid="{00000000-0005-0000-0000-0000AA4F0000}"/>
    <cellStyle name="Normal 2 2 6 2 3" xfId="14123" xr:uid="{00000000-0005-0000-0000-0000AB4F0000}"/>
    <cellStyle name="Normal 2 2 6 2 3 2" xfId="14124" xr:uid="{00000000-0005-0000-0000-0000AC4F0000}"/>
    <cellStyle name="Normal 2 2 6 2 3 2 2" xfId="14125" xr:uid="{00000000-0005-0000-0000-0000AD4F0000}"/>
    <cellStyle name="Normal 2 2 6 2 3 2 2 2" xfId="14126" xr:uid="{00000000-0005-0000-0000-0000AE4F0000}"/>
    <cellStyle name="Normal 2 2 6 2 3 2 2 2 2" xfId="52296" xr:uid="{00000000-0005-0000-0000-0000AF4F0000}"/>
    <cellStyle name="Normal 2 2 6 2 3 2 2 2 3" xfId="52297" xr:uid="{00000000-0005-0000-0000-0000B04F0000}"/>
    <cellStyle name="Normal 2 2 6 2 3 2 2 3" xfId="14127" xr:uid="{00000000-0005-0000-0000-0000B14F0000}"/>
    <cellStyle name="Normal 2 2 6 2 3 2 2 3 2" xfId="52298" xr:uid="{00000000-0005-0000-0000-0000B24F0000}"/>
    <cellStyle name="Normal 2 2 6 2 3 2 2 4" xfId="14128" xr:uid="{00000000-0005-0000-0000-0000B34F0000}"/>
    <cellStyle name="Normal 2 2 6 2 3 2 2 5" xfId="14129" xr:uid="{00000000-0005-0000-0000-0000B44F0000}"/>
    <cellStyle name="Normal 2 2 6 2 3 2 2 6" xfId="14130" xr:uid="{00000000-0005-0000-0000-0000B54F0000}"/>
    <cellStyle name="Normal 2 2 6 2 3 2 3" xfId="14131" xr:uid="{00000000-0005-0000-0000-0000B64F0000}"/>
    <cellStyle name="Normal 2 2 6 2 3 2 3 2" xfId="52299" xr:uid="{00000000-0005-0000-0000-0000B74F0000}"/>
    <cellStyle name="Normal 2 2 6 2 3 2 3 3" xfId="52300" xr:uid="{00000000-0005-0000-0000-0000B84F0000}"/>
    <cellStyle name="Normal 2 2 6 2 3 2 4" xfId="14132" xr:uid="{00000000-0005-0000-0000-0000B94F0000}"/>
    <cellStyle name="Normal 2 2 6 2 3 2 4 2" xfId="52301" xr:uid="{00000000-0005-0000-0000-0000BA4F0000}"/>
    <cellStyle name="Normal 2 2 6 2 3 2 5" xfId="14133" xr:uid="{00000000-0005-0000-0000-0000BB4F0000}"/>
    <cellStyle name="Normal 2 2 6 2 3 2 6" xfId="14134" xr:uid="{00000000-0005-0000-0000-0000BC4F0000}"/>
    <cellStyle name="Normal 2 2 6 2 3 2 7" xfId="14135" xr:uid="{00000000-0005-0000-0000-0000BD4F0000}"/>
    <cellStyle name="Normal 2 2 6 2 3 3" xfId="14136" xr:uid="{00000000-0005-0000-0000-0000BE4F0000}"/>
    <cellStyle name="Normal 2 2 6 2 3 3 2" xfId="14137" xr:uid="{00000000-0005-0000-0000-0000BF4F0000}"/>
    <cellStyle name="Normal 2 2 6 2 3 3 2 2" xfId="52302" xr:uid="{00000000-0005-0000-0000-0000C04F0000}"/>
    <cellStyle name="Normal 2 2 6 2 3 3 2 3" xfId="52303" xr:uid="{00000000-0005-0000-0000-0000C14F0000}"/>
    <cellStyle name="Normal 2 2 6 2 3 3 3" xfId="14138" xr:uid="{00000000-0005-0000-0000-0000C24F0000}"/>
    <cellStyle name="Normal 2 2 6 2 3 3 3 2" xfId="52304" xr:uid="{00000000-0005-0000-0000-0000C34F0000}"/>
    <cellStyle name="Normal 2 2 6 2 3 3 4" xfId="14139" xr:uid="{00000000-0005-0000-0000-0000C44F0000}"/>
    <cellStyle name="Normal 2 2 6 2 3 3 5" xfId="14140" xr:uid="{00000000-0005-0000-0000-0000C54F0000}"/>
    <cellStyle name="Normal 2 2 6 2 3 3 6" xfId="14141" xr:uid="{00000000-0005-0000-0000-0000C64F0000}"/>
    <cellStyle name="Normal 2 2 6 2 3 4" xfId="14142" xr:uid="{00000000-0005-0000-0000-0000C74F0000}"/>
    <cellStyle name="Normal 2 2 6 2 3 4 2" xfId="52305" xr:uid="{00000000-0005-0000-0000-0000C84F0000}"/>
    <cellStyle name="Normal 2 2 6 2 3 4 3" xfId="52306" xr:uid="{00000000-0005-0000-0000-0000C94F0000}"/>
    <cellStyle name="Normal 2 2 6 2 3 5" xfId="14143" xr:uid="{00000000-0005-0000-0000-0000CA4F0000}"/>
    <cellStyle name="Normal 2 2 6 2 3 5 2" xfId="52307" xr:uid="{00000000-0005-0000-0000-0000CB4F0000}"/>
    <cellStyle name="Normal 2 2 6 2 3 6" xfId="14144" xr:uid="{00000000-0005-0000-0000-0000CC4F0000}"/>
    <cellStyle name="Normal 2 2 6 2 3 7" xfId="14145" xr:uid="{00000000-0005-0000-0000-0000CD4F0000}"/>
    <cellStyle name="Normal 2 2 6 2 3 8" xfId="14146" xr:uid="{00000000-0005-0000-0000-0000CE4F0000}"/>
    <cellStyle name="Normal 2 2 6 2 4" xfId="14147" xr:uid="{00000000-0005-0000-0000-0000CF4F0000}"/>
    <cellStyle name="Normal 2 2 6 2 4 2" xfId="14148" xr:uid="{00000000-0005-0000-0000-0000D04F0000}"/>
    <cellStyle name="Normal 2 2 6 2 4 2 2" xfId="14149" xr:uid="{00000000-0005-0000-0000-0000D14F0000}"/>
    <cellStyle name="Normal 2 2 6 2 4 2 2 2" xfId="52308" xr:uid="{00000000-0005-0000-0000-0000D24F0000}"/>
    <cellStyle name="Normal 2 2 6 2 4 2 2 3" xfId="52309" xr:uid="{00000000-0005-0000-0000-0000D34F0000}"/>
    <cellStyle name="Normal 2 2 6 2 4 2 3" xfId="14150" xr:uid="{00000000-0005-0000-0000-0000D44F0000}"/>
    <cellStyle name="Normal 2 2 6 2 4 2 3 2" xfId="52310" xr:uid="{00000000-0005-0000-0000-0000D54F0000}"/>
    <cellStyle name="Normal 2 2 6 2 4 2 4" xfId="14151" xr:uid="{00000000-0005-0000-0000-0000D64F0000}"/>
    <cellStyle name="Normal 2 2 6 2 4 2 5" xfId="14152" xr:uid="{00000000-0005-0000-0000-0000D74F0000}"/>
    <cellStyle name="Normal 2 2 6 2 4 2 6" xfId="14153" xr:uid="{00000000-0005-0000-0000-0000D84F0000}"/>
    <cellStyle name="Normal 2 2 6 2 4 3" xfId="14154" xr:uid="{00000000-0005-0000-0000-0000D94F0000}"/>
    <cellStyle name="Normal 2 2 6 2 4 3 2" xfId="52311" xr:uid="{00000000-0005-0000-0000-0000DA4F0000}"/>
    <cellStyle name="Normal 2 2 6 2 4 3 3" xfId="52312" xr:uid="{00000000-0005-0000-0000-0000DB4F0000}"/>
    <cellStyle name="Normal 2 2 6 2 4 4" xfId="14155" xr:uid="{00000000-0005-0000-0000-0000DC4F0000}"/>
    <cellStyle name="Normal 2 2 6 2 4 4 2" xfId="52313" xr:uid="{00000000-0005-0000-0000-0000DD4F0000}"/>
    <cellStyle name="Normal 2 2 6 2 4 5" xfId="14156" xr:uid="{00000000-0005-0000-0000-0000DE4F0000}"/>
    <cellStyle name="Normal 2 2 6 2 4 6" xfId="14157" xr:uid="{00000000-0005-0000-0000-0000DF4F0000}"/>
    <cellStyle name="Normal 2 2 6 2 4 7" xfId="14158" xr:uid="{00000000-0005-0000-0000-0000E04F0000}"/>
    <cellStyle name="Normal 2 2 6 2 5" xfId="14159" xr:uid="{00000000-0005-0000-0000-0000E14F0000}"/>
    <cellStyle name="Normal 2 2 6 2 5 2" xfId="14160" xr:uid="{00000000-0005-0000-0000-0000E24F0000}"/>
    <cellStyle name="Normal 2 2 6 2 5 2 2" xfId="52314" xr:uid="{00000000-0005-0000-0000-0000E34F0000}"/>
    <cellStyle name="Normal 2 2 6 2 5 2 3" xfId="52315" xr:uid="{00000000-0005-0000-0000-0000E44F0000}"/>
    <cellStyle name="Normal 2 2 6 2 5 3" xfId="14161" xr:uid="{00000000-0005-0000-0000-0000E54F0000}"/>
    <cellStyle name="Normal 2 2 6 2 5 3 2" xfId="52316" xr:uid="{00000000-0005-0000-0000-0000E64F0000}"/>
    <cellStyle name="Normal 2 2 6 2 5 4" xfId="14162" xr:uid="{00000000-0005-0000-0000-0000E74F0000}"/>
    <cellStyle name="Normal 2 2 6 2 5 5" xfId="14163" xr:uid="{00000000-0005-0000-0000-0000E84F0000}"/>
    <cellStyle name="Normal 2 2 6 2 5 6" xfId="14164" xr:uid="{00000000-0005-0000-0000-0000E94F0000}"/>
    <cellStyle name="Normal 2 2 6 2 6" xfId="14165" xr:uid="{00000000-0005-0000-0000-0000EA4F0000}"/>
    <cellStyle name="Normal 2 2 6 2 6 2" xfId="52317" xr:uid="{00000000-0005-0000-0000-0000EB4F0000}"/>
    <cellStyle name="Normal 2 2 6 2 6 3" xfId="52318" xr:uid="{00000000-0005-0000-0000-0000EC4F0000}"/>
    <cellStyle name="Normal 2 2 6 2 7" xfId="14166" xr:uid="{00000000-0005-0000-0000-0000ED4F0000}"/>
    <cellStyle name="Normal 2 2 6 2 7 2" xfId="52319" xr:uid="{00000000-0005-0000-0000-0000EE4F0000}"/>
    <cellStyle name="Normal 2 2 6 2 8" xfId="14167" xr:uid="{00000000-0005-0000-0000-0000EF4F0000}"/>
    <cellStyle name="Normal 2 2 6 2 8 2" xfId="52320" xr:uid="{00000000-0005-0000-0000-0000F04F0000}"/>
    <cellStyle name="Normal 2 2 6 2 9" xfId="14168" xr:uid="{00000000-0005-0000-0000-0000F14F0000}"/>
    <cellStyle name="Normal 2 2 6 3" xfId="14169" xr:uid="{00000000-0005-0000-0000-0000F24F0000}"/>
    <cellStyle name="Normal 2 2 6 3 2" xfId="14170" xr:uid="{00000000-0005-0000-0000-0000F34F0000}"/>
    <cellStyle name="Normal 2 2 6 3 2 2" xfId="14171" xr:uid="{00000000-0005-0000-0000-0000F44F0000}"/>
    <cellStyle name="Normal 2 2 6 3 2 2 2" xfId="14172" xr:uid="{00000000-0005-0000-0000-0000F54F0000}"/>
    <cellStyle name="Normal 2 2 6 3 2 2 2 2" xfId="52321" xr:uid="{00000000-0005-0000-0000-0000F64F0000}"/>
    <cellStyle name="Normal 2 2 6 3 2 2 2 3" xfId="52322" xr:uid="{00000000-0005-0000-0000-0000F74F0000}"/>
    <cellStyle name="Normal 2 2 6 3 2 2 3" xfId="14173" xr:uid="{00000000-0005-0000-0000-0000F84F0000}"/>
    <cellStyle name="Normal 2 2 6 3 2 2 3 2" xfId="52323" xr:uid="{00000000-0005-0000-0000-0000F94F0000}"/>
    <cellStyle name="Normal 2 2 6 3 2 2 4" xfId="14174" xr:uid="{00000000-0005-0000-0000-0000FA4F0000}"/>
    <cellStyle name="Normal 2 2 6 3 2 2 5" xfId="14175" xr:uid="{00000000-0005-0000-0000-0000FB4F0000}"/>
    <cellStyle name="Normal 2 2 6 3 2 2 6" xfId="14176" xr:uid="{00000000-0005-0000-0000-0000FC4F0000}"/>
    <cellStyle name="Normal 2 2 6 3 2 3" xfId="14177" xr:uid="{00000000-0005-0000-0000-0000FD4F0000}"/>
    <cellStyle name="Normal 2 2 6 3 2 3 2" xfId="52324" xr:uid="{00000000-0005-0000-0000-0000FE4F0000}"/>
    <cellStyle name="Normal 2 2 6 3 2 3 3" xfId="52325" xr:uid="{00000000-0005-0000-0000-0000FF4F0000}"/>
    <cellStyle name="Normal 2 2 6 3 2 4" xfId="14178" xr:uid="{00000000-0005-0000-0000-000000500000}"/>
    <cellStyle name="Normal 2 2 6 3 2 4 2" xfId="52326" xr:uid="{00000000-0005-0000-0000-000001500000}"/>
    <cellStyle name="Normal 2 2 6 3 2 5" xfId="14179" xr:uid="{00000000-0005-0000-0000-000002500000}"/>
    <cellStyle name="Normal 2 2 6 3 2 6" xfId="14180" xr:uid="{00000000-0005-0000-0000-000003500000}"/>
    <cellStyle name="Normal 2 2 6 3 2 7" xfId="14181" xr:uid="{00000000-0005-0000-0000-000004500000}"/>
    <cellStyle name="Normal 2 2 6 3 3" xfId="14182" xr:uid="{00000000-0005-0000-0000-000005500000}"/>
    <cellStyle name="Normal 2 2 6 3 3 2" xfId="14183" xr:uid="{00000000-0005-0000-0000-000006500000}"/>
    <cellStyle name="Normal 2 2 6 3 3 2 2" xfId="52327" xr:uid="{00000000-0005-0000-0000-000007500000}"/>
    <cellStyle name="Normal 2 2 6 3 3 2 3" xfId="52328" xr:uid="{00000000-0005-0000-0000-000008500000}"/>
    <cellStyle name="Normal 2 2 6 3 3 3" xfId="14184" xr:uid="{00000000-0005-0000-0000-000009500000}"/>
    <cellStyle name="Normal 2 2 6 3 3 3 2" xfId="52329" xr:uid="{00000000-0005-0000-0000-00000A500000}"/>
    <cellStyle name="Normal 2 2 6 3 3 4" xfId="14185" xr:uid="{00000000-0005-0000-0000-00000B500000}"/>
    <cellStyle name="Normal 2 2 6 3 3 5" xfId="14186" xr:uid="{00000000-0005-0000-0000-00000C500000}"/>
    <cellStyle name="Normal 2 2 6 3 3 6" xfId="14187" xr:uid="{00000000-0005-0000-0000-00000D500000}"/>
    <cellStyle name="Normal 2 2 6 3 4" xfId="14188" xr:uid="{00000000-0005-0000-0000-00000E500000}"/>
    <cellStyle name="Normal 2 2 6 3 4 2" xfId="52330" xr:uid="{00000000-0005-0000-0000-00000F500000}"/>
    <cellStyle name="Normal 2 2 6 3 4 3" xfId="52331" xr:uid="{00000000-0005-0000-0000-000010500000}"/>
    <cellStyle name="Normal 2 2 6 3 5" xfId="14189" xr:uid="{00000000-0005-0000-0000-000011500000}"/>
    <cellStyle name="Normal 2 2 6 3 5 2" xfId="52332" xr:uid="{00000000-0005-0000-0000-000012500000}"/>
    <cellStyle name="Normal 2 2 6 3 6" xfId="14190" xr:uid="{00000000-0005-0000-0000-000013500000}"/>
    <cellStyle name="Normal 2 2 6 3 7" xfId="14191" xr:uid="{00000000-0005-0000-0000-000014500000}"/>
    <cellStyle name="Normal 2 2 6 3 8" xfId="14192" xr:uid="{00000000-0005-0000-0000-000015500000}"/>
    <cellStyle name="Normal 2 2 6 3 9" xfId="14193" xr:uid="{00000000-0005-0000-0000-000016500000}"/>
    <cellStyle name="Normal 2 2 6 4" xfId="14194" xr:uid="{00000000-0005-0000-0000-000017500000}"/>
    <cellStyle name="Normal 2 2 6 4 2" xfId="14195" xr:uid="{00000000-0005-0000-0000-000018500000}"/>
    <cellStyle name="Normal 2 2 6 4 2 2" xfId="14196" xr:uid="{00000000-0005-0000-0000-000019500000}"/>
    <cellStyle name="Normal 2 2 6 4 2 2 2" xfId="14197" xr:uid="{00000000-0005-0000-0000-00001A500000}"/>
    <cellStyle name="Normal 2 2 6 4 2 2 2 2" xfId="52333" xr:uid="{00000000-0005-0000-0000-00001B500000}"/>
    <cellStyle name="Normal 2 2 6 4 2 2 2 3" xfId="52334" xr:uid="{00000000-0005-0000-0000-00001C500000}"/>
    <cellStyle name="Normal 2 2 6 4 2 2 3" xfId="14198" xr:uid="{00000000-0005-0000-0000-00001D500000}"/>
    <cellStyle name="Normal 2 2 6 4 2 2 3 2" xfId="52335" xr:uid="{00000000-0005-0000-0000-00001E500000}"/>
    <cellStyle name="Normal 2 2 6 4 2 2 4" xfId="14199" xr:uid="{00000000-0005-0000-0000-00001F500000}"/>
    <cellStyle name="Normal 2 2 6 4 2 2 5" xfId="14200" xr:uid="{00000000-0005-0000-0000-000020500000}"/>
    <cellStyle name="Normal 2 2 6 4 2 2 6" xfId="14201" xr:uid="{00000000-0005-0000-0000-000021500000}"/>
    <cellStyle name="Normal 2 2 6 4 2 3" xfId="14202" xr:uid="{00000000-0005-0000-0000-000022500000}"/>
    <cellStyle name="Normal 2 2 6 4 2 3 2" xfId="52336" xr:uid="{00000000-0005-0000-0000-000023500000}"/>
    <cellStyle name="Normal 2 2 6 4 2 3 3" xfId="52337" xr:uid="{00000000-0005-0000-0000-000024500000}"/>
    <cellStyle name="Normal 2 2 6 4 2 4" xfId="14203" xr:uid="{00000000-0005-0000-0000-000025500000}"/>
    <cellStyle name="Normal 2 2 6 4 2 4 2" xfId="52338" xr:uid="{00000000-0005-0000-0000-000026500000}"/>
    <cellStyle name="Normal 2 2 6 4 2 5" xfId="14204" xr:uid="{00000000-0005-0000-0000-000027500000}"/>
    <cellStyle name="Normal 2 2 6 4 2 6" xfId="14205" xr:uid="{00000000-0005-0000-0000-000028500000}"/>
    <cellStyle name="Normal 2 2 6 4 2 7" xfId="14206" xr:uid="{00000000-0005-0000-0000-000029500000}"/>
    <cellStyle name="Normal 2 2 6 4 3" xfId="14207" xr:uid="{00000000-0005-0000-0000-00002A500000}"/>
    <cellStyle name="Normal 2 2 6 4 3 2" xfId="14208" xr:uid="{00000000-0005-0000-0000-00002B500000}"/>
    <cellStyle name="Normal 2 2 6 4 3 2 2" xfId="52339" xr:uid="{00000000-0005-0000-0000-00002C500000}"/>
    <cellStyle name="Normal 2 2 6 4 3 2 3" xfId="52340" xr:uid="{00000000-0005-0000-0000-00002D500000}"/>
    <cellStyle name="Normal 2 2 6 4 3 3" xfId="14209" xr:uid="{00000000-0005-0000-0000-00002E500000}"/>
    <cellStyle name="Normal 2 2 6 4 3 3 2" xfId="52341" xr:uid="{00000000-0005-0000-0000-00002F500000}"/>
    <cellStyle name="Normal 2 2 6 4 3 4" xfId="14210" xr:uid="{00000000-0005-0000-0000-000030500000}"/>
    <cellStyle name="Normal 2 2 6 4 3 5" xfId="14211" xr:uid="{00000000-0005-0000-0000-000031500000}"/>
    <cellStyle name="Normal 2 2 6 4 3 6" xfId="14212" xr:uid="{00000000-0005-0000-0000-000032500000}"/>
    <cellStyle name="Normal 2 2 6 4 4" xfId="14213" xr:uid="{00000000-0005-0000-0000-000033500000}"/>
    <cellStyle name="Normal 2 2 6 4 4 2" xfId="52342" xr:uid="{00000000-0005-0000-0000-000034500000}"/>
    <cellStyle name="Normal 2 2 6 4 4 3" xfId="52343" xr:uid="{00000000-0005-0000-0000-000035500000}"/>
    <cellStyle name="Normal 2 2 6 4 5" xfId="14214" xr:uid="{00000000-0005-0000-0000-000036500000}"/>
    <cellStyle name="Normal 2 2 6 4 5 2" xfId="52344" xr:uid="{00000000-0005-0000-0000-000037500000}"/>
    <cellStyle name="Normal 2 2 6 4 6" xfId="14215" xr:uid="{00000000-0005-0000-0000-000038500000}"/>
    <cellStyle name="Normal 2 2 6 4 7" xfId="14216" xr:uid="{00000000-0005-0000-0000-000039500000}"/>
    <cellStyle name="Normal 2 2 6 4 8" xfId="14217" xr:uid="{00000000-0005-0000-0000-00003A500000}"/>
    <cellStyle name="Normal 2 2 6 5" xfId="14218" xr:uid="{00000000-0005-0000-0000-00003B500000}"/>
    <cellStyle name="Normal 2 2 6 5 2" xfId="14219" xr:uid="{00000000-0005-0000-0000-00003C500000}"/>
    <cellStyle name="Normal 2 2 6 5 2 2" xfId="14220" xr:uid="{00000000-0005-0000-0000-00003D500000}"/>
    <cellStyle name="Normal 2 2 6 5 2 2 2" xfId="52345" xr:uid="{00000000-0005-0000-0000-00003E500000}"/>
    <cellStyle name="Normal 2 2 6 5 2 2 3" xfId="52346" xr:uid="{00000000-0005-0000-0000-00003F500000}"/>
    <cellStyle name="Normal 2 2 6 5 2 3" xfId="14221" xr:uid="{00000000-0005-0000-0000-000040500000}"/>
    <cellStyle name="Normal 2 2 6 5 2 3 2" xfId="52347" xr:uid="{00000000-0005-0000-0000-000041500000}"/>
    <cellStyle name="Normal 2 2 6 5 2 4" xfId="14222" xr:uid="{00000000-0005-0000-0000-000042500000}"/>
    <cellStyle name="Normal 2 2 6 5 2 5" xfId="14223" xr:uid="{00000000-0005-0000-0000-000043500000}"/>
    <cellStyle name="Normal 2 2 6 5 2 6" xfId="14224" xr:uid="{00000000-0005-0000-0000-000044500000}"/>
    <cellStyle name="Normal 2 2 6 5 3" xfId="14225" xr:uid="{00000000-0005-0000-0000-000045500000}"/>
    <cellStyle name="Normal 2 2 6 5 3 2" xfId="52348" xr:uid="{00000000-0005-0000-0000-000046500000}"/>
    <cellStyle name="Normal 2 2 6 5 3 3" xfId="52349" xr:uid="{00000000-0005-0000-0000-000047500000}"/>
    <cellStyle name="Normal 2 2 6 5 4" xfId="14226" xr:uid="{00000000-0005-0000-0000-000048500000}"/>
    <cellStyle name="Normal 2 2 6 5 4 2" xfId="52350" xr:uid="{00000000-0005-0000-0000-000049500000}"/>
    <cellStyle name="Normal 2 2 6 5 5" xfId="14227" xr:uid="{00000000-0005-0000-0000-00004A500000}"/>
    <cellStyle name="Normal 2 2 6 5 6" xfId="14228" xr:uid="{00000000-0005-0000-0000-00004B500000}"/>
    <cellStyle name="Normal 2 2 6 5 7" xfId="14229" xr:uid="{00000000-0005-0000-0000-00004C500000}"/>
    <cellStyle name="Normal 2 2 6 6" xfId="14230" xr:uid="{00000000-0005-0000-0000-00004D500000}"/>
    <cellStyle name="Normal 2 2 6 6 2" xfId="14231" xr:uid="{00000000-0005-0000-0000-00004E500000}"/>
    <cellStyle name="Normal 2 2 6 6 2 2" xfId="52351" xr:uid="{00000000-0005-0000-0000-00004F500000}"/>
    <cellStyle name="Normal 2 2 6 6 2 3" xfId="52352" xr:uid="{00000000-0005-0000-0000-000050500000}"/>
    <cellStyle name="Normal 2 2 6 6 3" xfId="14232" xr:uid="{00000000-0005-0000-0000-000051500000}"/>
    <cellStyle name="Normal 2 2 6 6 3 2" xfId="52353" xr:uid="{00000000-0005-0000-0000-000052500000}"/>
    <cellStyle name="Normal 2 2 6 6 4" xfId="14233" xr:uid="{00000000-0005-0000-0000-000053500000}"/>
    <cellStyle name="Normal 2 2 6 6 5" xfId="14234" xr:uid="{00000000-0005-0000-0000-000054500000}"/>
    <cellStyle name="Normal 2 2 6 6 6" xfId="14235" xr:uid="{00000000-0005-0000-0000-000055500000}"/>
    <cellStyle name="Normal 2 2 6 7" xfId="14236" xr:uid="{00000000-0005-0000-0000-000056500000}"/>
    <cellStyle name="Normal 2 2 6 7 2" xfId="52354" xr:uid="{00000000-0005-0000-0000-000057500000}"/>
    <cellStyle name="Normal 2 2 6 7 3" xfId="52355" xr:uid="{00000000-0005-0000-0000-000058500000}"/>
    <cellStyle name="Normal 2 2 6 8" xfId="14237" xr:uid="{00000000-0005-0000-0000-000059500000}"/>
    <cellStyle name="Normal 2 2 6 8 2" xfId="52356" xr:uid="{00000000-0005-0000-0000-00005A500000}"/>
    <cellStyle name="Normal 2 2 6 9" xfId="14238" xr:uid="{00000000-0005-0000-0000-00005B500000}"/>
    <cellStyle name="Normal 2 2 6 9 2" xfId="52357" xr:uid="{00000000-0005-0000-0000-00005C500000}"/>
    <cellStyle name="Normal 2 2 7" xfId="14239" xr:uid="{00000000-0005-0000-0000-00005D500000}"/>
    <cellStyle name="Normal 2 2 7 10" xfId="14240" xr:uid="{00000000-0005-0000-0000-00005E500000}"/>
    <cellStyle name="Normal 2 2 7 11" xfId="14241" xr:uid="{00000000-0005-0000-0000-00005F500000}"/>
    <cellStyle name="Normal 2 2 7 12" xfId="14242" xr:uid="{00000000-0005-0000-0000-000060500000}"/>
    <cellStyle name="Normal 2 2 7 13" xfId="14243" xr:uid="{00000000-0005-0000-0000-000061500000}"/>
    <cellStyle name="Normal 2 2 7 14" xfId="14244" xr:uid="{00000000-0005-0000-0000-000062500000}"/>
    <cellStyle name="Normal 2 2 7 15" xfId="14245" xr:uid="{00000000-0005-0000-0000-000063500000}"/>
    <cellStyle name="Normal 2 2 7 2" xfId="14246" xr:uid="{00000000-0005-0000-0000-000064500000}"/>
    <cellStyle name="Normal 2 2 7 2 2" xfId="14247" xr:uid="{00000000-0005-0000-0000-000065500000}"/>
    <cellStyle name="Normal 2 2 7 2 2 2" xfId="14248" xr:uid="{00000000-0005-0000-0000-000066500000}"/>
    <cellStyle name="Normal 2 2 7 2 2 2 2" xfId="14249" xr:uid="{00000000-0005-0000-0000-000067500000}"/>
    <cellStyle name="Normal 2 2 7 2 2 2 2 2" xfId="52358" xr:uid="{00000000-0005-0000-0000-000068500000}"/>
    <cellStyle name="Normal 2 2 7 2 2 2 2 3" xfId="52359" xr:uid="{00000000-0005-0000-0000-000069500000}"/>
    <cellStyle name="Normal 2 2 7 2 2 2 3" xfId="14250" xr:uid="{00000000-0005-0000-0000-00006A500000}"/>
    <cellStyle name="Normal 2 2 7 2 2 2 3 2" xfId="52360" xr:uid="{00000000-0005-0000-0000-00006B500000}"/>
    <cellStyle name="Normal 2 2 7 2 2 2 4" xfId="14251" xr:uid="{00000000-0005-0000-0000-00006C500000}"/>
    <cellStyle name="Normal 2 2 7 2 2 2 5" xfId="14252" xr:uid="{00000000-0005-0000-0000-00006D500000}"/>
    <cellStyle name="Normal 2 2 7 2 2 2 6" xfId="14253" xr:uid="{00000000-0005-0000-0000-00006E500000}"/>
    <cellStyle name="Normal 2 2 7 2 2 3" xfId="14254" xr:uid="{00000000-0005-0000-0000-00006F500000}"/>
    <cellStyle name="Normal 2 2 7 2 2 3 2" xfId="52361" xr:uid="{00000000-0005-0000-0000-000070500000}"/>
    <cellStyle name="Normal 2 2 7 2 2 3 3" xfId="52362" xr:uid="{00000000-0005-0000-0000-000071500000}"/>
    <cellStyle name="Normal 2 2 7 2 2 4" xfId="14255" xr:uid="{00000000-0005-0000-0000-000072500000}"/>
    <cellStyle name="Normal 2 2 7 2 2 4 2" xfId="52363" xr:uid="{00000000-0005-0000-0000-000073500000}"/>
    <cellStyle name="Normal 2 2 7 2 2 5" xfId="14256" xr:uid="{00000000-0005-0000-0000-000074500000}"/>
    <cellStyle name="Normal 2 2 7 2 2 6" xfId="14257" xr:uid="{00000000-0005-0000-0000-000075500000}"/>
    <cellStyle name="Normal 2 2 7 2 2 7" xfId="14258" xr:uid="{00000000-0005-0000-0000-000076500000}"/>
    <cellStyle name="Normal 2 2 7 2 3" xfId="14259" xr:uid="{00000000-0005-0000-0000-000077500000}"/>
    <cellStyle name="Normal 2 2 7 2 3 2" xfId="14260" xr:uid="{00000000-0005-0000-0000-000078500000}"/>
    <cellStyle name="Normal 2 2 7 2 3 2 2" xfId="52364" xr:uid="{00000000-0005-0000-0000-000079500000}"/>
    <cellStyle name="Normal 2 2 7 2 3 2 3" xfId="52365" xr:uid="{00000000-0005-0000-0000-00007A500000}"/>
    <cellStyle name="Normal 2 2 7 2 3 3" xfId="14261" xr:uid="{00000000-0005-0000-0000-00007B500000}"/>
    <cellStyle name="Normal 2 2 7 2 3 3 2" xfId="52366" xr:uid="{00000000-0005-0000-0000-00007C500000}"/>
    <cellStyle name="Normal 2 2 7 2 3 4" xfId="14262" xr:uid="{00000000-0005-0000-0000-00007D500000}"/>
    <cellStyle name="Normal 2 2 7 2 3 5" xfId="14263" xr:uid="{00000000-0005-0000-0000-00007E500000}"/>
    <cellStyle name="Normal 2 2 7 2 3 6" xfId="14264" xr:uid="{00000000-0005-0000-0000-00007F500000}"/>
    <cellStyle name="Normal 2 2 7 2 4" xfId="14265" xr:uid="{00000000-0005-0000-0000-000080500000}"/>
    <cellStyle name="Normal 2 2 7 2 4 2" xfId="52367" xr:uid="{00000000-0005-0000-0000-000081500000}"/>
    <cellStyle name="Normal 2 2 7 2 4 3" xfId="52368" xr:uid="{00000000-0005-0000-0000-000082500000}"/>
    <cellStyle name="Normal 2 2 7 2 5" xfId="14266" xr:uid="{00000000-0005-0000-0000-000083500000}"/>
    <cellStyle name="Normal 2 2 7 2 5 2" xfId="52369" xr:uid="{00000000-0005-0000-0000-000084500000}"/>
    <cellStyle name="Normal 2 2 7 2 6" xfId="14267" xr:uid="{00000000-0005-0000-0000-000085500000}"/>
    <cellStyle name="Normal 2 2 7 2 7" xfId="14268" xr:uid="{00000000-0005-0000-0000-000086500000}"/>
    <cellStyle name="Normal 2 2 7 2 8" xfId="14269" xr:uid="{00000000-0005-0000-0000-000087500000}"/>
    <cellStyle name="Normal 2 2 7 2 9" xfId="14270" xr:uid="{00000000-0005-0000-0000-000088500000}"/>
    <cellStyle name="Normal 2 2 7 3" xfId="14271" xr:uid="{00000000-0005-0000-0000-000089500000}"/>
    <cellStyle name="Normal 2 2 7 3 2" xfId="14272" xr:uid="{00000000-0005-0000-0000-00008A500000}"/>
    <cellStyle name="Normal 2 2 7 3 2 2" xfId="14273" xr:uid="{00000000-0005-0000-0000-00008B500000}"/>
    <cellStyle name="Normal 2 2 7 3 2 2 2" xfId="14274" xr:uid="{00000000-0005-0000-0000-00008C500000}"/>
    <cellStyle name="Normal 2 2 7 3 2 2 2 2" xfId="52370" xr:uid="{00000000-0005-0000-0000-00008D500000}"/>
    <cellStyle name="Normal 2 2 7 3 2 2 2 3" xfId="52371" xr:uid="{00000000-0005-0000-0000-00008E500000}"/>
    <cellStyle name="Normal 2 2 7 3 2 2 3" xfId="14275" xr:uid="{00000000-0005-0000-0000-00008F500000}"/>
    <cellStyle name="Normal 2 2 7 3 2 2 3 2" xfId="52372" xr:uid="{00000000-0005-0000-0000-000090500000}"/>
    <cellStyle name="Normal 2 2 7 3 2 2 4" xfId="14276" xr:uid="{00000000-0005-0000-0000-000091500000}"/>
    <cellStyle name="Normal 2 2 7 3 2 2 5" xfId="14277" xr:uid="{00000000-0005-0000-0000-000092500000}"/>
    <cellStyle name="Normal 2 2 7 3 2 2 6" xfId="14278" xr:uid="{00000000-0005-0000-0000-000093500000}"/>
    <cellStyle name="Normal 2 2 7 3 2 3" xfId="14279" xr:uid="{00000000-0005-0000-0000-000094500000}"/>
    <cellStyle name="Normal 2 2 7 3 2 3 2" xfId="52373" xr:uid="{00000000-0005-0000-0000-000095500000}"/>
    <cellStyle name="Normal 2 2 7 3 2 3 3" xfId="52374" xr:uid="{00000000-0005-0000-0000-000096500000}"/>
    <cellStyle name="Normal 2 2 7 3 2 4" xfId="14280" xr:uid="{00000000-0005-0000-0000-000097500000}"/>
    <cellStyle name="Normal 2 2 7 3 2 4 2" xfId="52375" xr:uid="{00000000-0005-0000-0000-000098500000}"/>
    <cellStyle name="Normal 2 2 7 3 2 5" xfId="14281" xr:uid="{00000000-0005-0000-0000-000099500000}"/>
    <cellStyle name="Normal 2 2 7 3 2 6" xfId="14282" xr:uid="{00000000-0005-0000-0000-00009A500000}"/>
    <cellStyle name="Normal 2 2 7 3 2 7" xfId="14283" xr:uid="{00000000-0005-0000-0000-00009B500000}"/>
    <cellStyle name="Normal 2 2 7 3 3" xfId="14284" xr:uid="{00000000-0005-0000-0000-00009C500000}"/>
    <cellStyle name="Normal 2 2 7 3 3 2" xfId="14285" xr:uid="{00000000-0005-0000-0000-00009D500000}"/>
    <cellStyle name="Normal 2 2 7 3 3 2 2" xfId="52376" xr:uid="{00000000-0005-0000-0000-00009E500000}"/>
    <cellStyle name="Normal 2 2 7 3 3 2 3" xfId="52377" xr:uid="{00000000-0005-0000-0000-00009F500000}"/>
    <cellStyle name="Normal 2 2 7 3 3 3" xfId="14286" xr:uid="{00000000-0005-0000-0000-0000A0500000}"/>
    <cellStyle name="Normal 2 2 7 3 3 3 2" xfId="52378" xr:uid="{00000000-0005-0000-0000-0000A1500000}"/>
    <cellStyle name="Normal 2 2 7 3 3 4" xfId="14287" xr:uid="{00000000-0005-0000-0000-0000A2500000}"/>
    <cellStyle name="Normal 2 2 7 3 3 5" xfId="14288" xr:uid="{00000000-0005-0000-0000-0000A3500000}"/>
    <cellStyle name="Normal 2 2 7 3 3 6" xfId="14289" xr:uid="{00000000-0005-0000-0000-0000A4500000}"/>
    <cellStyle name="Normal 2 2 7 3 4" xfId="14290" xr:uid="{00000000-0005-0000-0000-0000A5500000}"/>
    <cellStyle name="Normal 2 2 7 3 4 2" xfId="52379" xr:uid="{00000000-0005-0000-0000-0000A6500000}"/>
    <cellStyle name="Normal 2 2 7 3 4 3" xfId="52380" xr:uid="{00000000-0005-0000-0000-0000A7500000}"/>
    <cellStyle name="Normal 2 2 7 3 5" xfId="14291" xr:uid="{00000000-0005-0000-0000-0000A8500000}"/>
    <cellStyle name="Normal 2 2 7 3 5 2" xfId="52381" xr:uid="{00000000-0005-0000-0000-0000A9500000}"/>
    <cellStyle name="Normal 2 2 7 3 6" xfId="14292" xr:uid="{00000000-0005-0000-0000-0000AA500000}"/>
    <cellStyle name="Normal 2 2 7 3 7" xfId="14293" xr:uid="{00000000-0005-0000-0000-0000AB500000}"/>
    <cellStyle name="Normal 2 2 7 3 8" xfId="14294" xr:uid="{00000000-0005-0000-0000-0000AC500000}"/>
    <cellStyle name="Normal 2 2 7 4" xfId="14295" xr:uid="{00000000-0005-0000-0000-0000AD500000}"/>
    <cellStyle name="Normal 2 2 7 4 2" xfId="14296" xr:uid="{00000000-0005-0000-0000-0000AE500000}"/>
    <cellStyle name="Normal 2 2 7 4 2 2" xfId="14297" xr:uid="{00000000-0005-0000-0000-0000AF500000}"/>
    <cellStyle name="Normal 2 2 7 4 2 2 2" xfId="52382" xr:uid="{00000000-0005-0000-0000-0000B0500000}"/>
    <cellStyle name="Normal 2 2 7 4 2 2 3" xfId="52383" xr:uid="{00000000-0005-0000-0000-0000B1500000}"/>
    <cellStyle name="Normal 2 2 7 4 2 3" xfId="14298" xr:uid="{00000000-0005-0000-0000-0000B2500000}"/>
    <cellStyle name="Normal 2 2 7 4 2 3 2" xfId="52384" xr:uid="{00000000-0005-0000-0000-0000B3500000}"/>
    <cellStyle name="Normal 2 2 7 4 2 4" xfId="14299" xr:uid="{00000000-0005-0000-0000-0000B4500000}"/>
    <cellStyle name="Normal 2 2 7 4 2 5" xfId="14300" xr:uid="{00000000-0005-0000-0000-0000B5500000}"/>
    <cellStyle name="Normal 2 2 7 4 2 6" xfId="14301" xr:uid="{00000000-0005-0000-0000-0000B6500000}"/>
    <cellStyle name="Normal 2 2 7 4 3" xfId="14302" xr:uid="{00000000-0005-0000-0000-0000B7500000}"/>
    <cellStyle name="Normal 2 2 7 4 3 2" xfId="52385" xr:uid="{00000000-0005-0000-0000-0000B8500000}"/>
    <cellStyle name="Normal 2 2 7 4 3 3" xfId="52386" xr:uid="{00000000-0005-0000-0000-0000B9500000}"/>
    <cellStyle name="Normal 2 2 7 4 4" xfId="14303" xr:uid="{00000000-0005-0000-0000-0000BA500000}"/>
    <cellStyle name="Normal 2 2 7 4 4 2" xfId="52387" xr:uid="{00000000-0005-0000-0000-0000BB500000}"/>
    <cellStyle name="Normal 2 2 7 4 5" xfId="14304" xr:uid="{00000000-0005-0000-0000-0000BC500000}"/>
    <cellStyle name="Normal 2 2 7 4 6" xfId="14305" xr:uid="{00000000-0005-0000-0000-0000BD500000}"/>
    <cellStyle name="Normal 2 2 7 4 7" xfId="14306" xr:uid="{00000000-0005-0000-0000-0000BE500000}"/>
    <cellStyle name="Normal 2 2 7 5" xfId="14307" xr:uid="{00000000-0005-0000-0000-0000BF500000}"/>
    <cellStyle name="Normal 2 2 7 5 2" xfId="14308" xr:uid="{00000000-0005-0000-0000-0000C0500000}"/>
    <cellStyle name="Normal 2 2 7 5 2 2" xfId="52388" xr:uid="{00000000-0005-0000-0000-0000C1500000}"/>
    <cellStyle name="Normal 2 2 7 5 2 3" xfId="52389" xr:uid="{00000000-0005-0000-0000-0000C2500000}"/>
    <cellStyle name="Normal 2 2 7 5 3" xfId="14309" xr:uid="{00000000-0005-0000-0000-0000C3500000}"/>
    <cellStyle name="Normal 2 2 7 5 3 2" xfId="52390" xr:uid="{00000000-0005-0000-0000-0000C4500000}"/>
    <cellStyle name="Normal 2 2 7 5 4" xfId="14310" xr:uid="{00000000-0005-0000-0000-0000C5500000}"/>
    <cellStyle name="Normal 2 2 7 5 5" xfId="14311" xr:uid="{00000000-0005-0000-0000-0000C6500000}"/>
    <cellStyle name="Normal 2 2 7 5 6" xfId="14312" xr:uid="{00000000-0005-0000-0000-0000C7500000}"/>
    <cellStyle name="Normal 2 2 7 6" xfId="14313" xr:uid="{00000000-0005-0000-0000-0000C8500000}"/>
    <cellStyle name="Normal 2 2 7 6 2" xfId="52391" xr:uid="{00000000-0005-0000-0000-0000C9500000}"/>
    <cellStyle name="Normal 2 2 7 7" xfId="14314" xr:uid="{00000000-0005-0000-0000-0000CA500000}"/>
    <cellStyle name="Normal 2 2 7 8" xfId="14315" xr:uid="{00000000-0005-0000-0000-0000CB500000}"/>
    <cellStyle name="Normal 2 2 7 9" xfId="14316" xr:uid="{00000000-0005-0000-0000-0000CC500000}"/>
    <cellStyle name="Normal 2 2 8" xfId="14317" xr:uid="{00000000-0005-0000-0000-0000CD500000}"/>
    <cellStyle name="Normal 2 2 8 10" xfId="14318" xr:uid="{00000000-0005-0000-0000-0000CE500000}"/>
    <cellStyle name="Normal 2 2 8 11" xfId="14319" xr:uid="{00000000-0005-0000-0000-0000CF500000}"/>
    <cellStyle name="Normal 2 2 8 12" xfId="14320" xr:uid="{00000000-0005-0000-0000-0000D0500000}"/>
    <cellStyle name="Normal 2 2 8 13" xfId="14321" xr:uid="{00000000-0005-0000-0000-0000D1500000}"/>
    <cellStyle name="Normal 2 2 8 2" xfId="14322" xr:uid="{00000000-0005-0000-0000-0000D2500000}"/>
    <cellStyle name="Normal 2 2 8 2 2" xfId="14323" xr:uid="{00000000-0005-0000-0000-0000D3500000}"/>
    <cellStyle name="Normal 2 2 8 2 2 2" xfId="14324" xr:uid="{00000000-0005-0000-0000-0000D4500000}"/>
    <cellStyle name="Normal 2 2 8 2 2 2 2" xfId="14325" xr:uid="{00000000-0005-0000-0000-0000D5500000}"/>
    <cellStyle name="Normal 2 2 8 2 2 2 2 2" xfId="52392" xr:uid="{00000000-0005-0000-0000-0000D6500000}"/>
    <cellStyle name="Normal 2 2 8 2 2 2 2 3" xfId="52393" xr:uid="{00000000-0005-0000-0000-0000D7500000}"/>
    <cellStyle name="Normal 2 2 8 2 2 2 3" xfId="14326" xr:uid="{00000000-0005-0000-0000-0000D8500000}"/>
    <cellStyle name="Normal 2 2 8 2 2 2 3 2" xfId="52394" xr:uid="{00000000-0005-0000-0000-0000D9500000}"/>
    <cellStyle name="Normal 2 2 8 2 2 2 4" xfId="14327" xr:uid="{00000000-0005-0000-0000-0000DA500000}"/>
    <cellStyle name="Normal 2 2 8 2 2 2 5" xfId="14328" xr:uid="{00000000-0005-0000-0000-0000DB500000}"/>
    <cellStyle name="Normal 2 2 8 2 2 2 6" xfId="14329" xr:uid="{00000000-0005-0000-0000-0000DC500000}"/>
    <cellStyle name="Normal 2 2 8 2 2 3" xfId="14330" xr:uid="{00000000-0005-0000-0000-0000DD500000}"/>
    <cellStyle name="Normal 2 2 8 2 2 3 2" xfId="52395" xr:uid="{00000000-0005-0000-0000-0000DE500000}"/>
    <cellStyle name="Normal 2 2 8 2 2 3 3" xfId="52396" xr:uid="{00000000-0005-0000-0000-0000DF500000}"/>
    <cellStyle name="Normal 2 2 8 2 2 4" xfId="14331" xr:uid="{00000000-0005-0000-0000-0000E0500000}"/>
    <cellStyle name="Normal 2 2 8 2 2 4 2" xfId="52397" xr:uid="{00000000-0005-0000-0000-0000E1500000}"/>
    <cellStyle name="Normal 2 2 8 2 2 5" xfId="14332" xr:uid="{00000000-0005-0000-0000-0000E2500000}"/>
    <cellStyle name="Normal 2 2 8 2 2 6" xfId="14333" xr:uid="{00000000-0005-0000-0000-0000E3500000}"/>
    <cellStyle name="Normal 2 2 8 2 2 7" xfId="14334" xr:uid="{00000000-0005-0000-0000-0000E4500000}"/>
    <cellStyle name="Normal 2 2 8 2 3" xfId="14335" xr:uid="{00000000-0005-0000-0000-0000E5500000}"/>
    <cellStyle name="Normal 2 2 8 2 3 2" xfId="14336" xr:uid="{00000000-0005-0000-0000-0000E6500000}"/>
    <cellStyle name="Normal 2 2 8 2 3 2 2" xfId="52398" xr:uid="{00000000-0005-0000-0000-0000E7500000}"/>
    <cellStyle name="Normal 2 2 8 2 3 2 3" xfId="52399" xr:uid="{00000000-0005-0000-0000-0000E8500000}"/>
    <cellStyle name="Normal 2 2 8 2 3 3" xfId="14337" xr:uid="{00000000-0005-0000-0000-0000E9500000}"/>
    <cellStyle name="Normal 2 2 8 2 3 3 2" xfId="52400" xr:uid="{00000000-0005-0000-0000-0000EA500000}"/>
    <cellStyle name="Normal 2 2 8 2 3 4" xfId="14338" xr:uid="{00000000-0005-0000-0000-0000EB500000}"/>
    <cellStyle name="Normal 2 2 8 2 3 5" xfId="14339" xr:uid="{00000000-0005-0000-0000-0000EC500000}"/>
    <cellStyle name="Normal 2 2 8 2 3 6" xfId="14340" xr:uid="{00000000-0005-0000-0000-0000ED500000}"/>
    <cellStyle name="Normal 2 2 8 2 4" xfId="14341" xr:uid="{00000000-0005-0000-0000-0000EE500000}"/>
    <cellStyle name="Normal 2 2 8 2 4 2" xfId="52401" xr:uid="{00000000-0005-0000-0000-0000EF500000}"/>
    <cellStyle name="Normal 2 2 8 2 4 3" xfId="52402" xr:uid="{00000000-0005-0000-0000-0000F0500000}"/>
    <cellStyle name="Normal 2 2 8 2 5" xfId="14342" xr:uid="{00000000-0005-0000-0000-0000F1500000}"/>
    <cellStyle name="Normal 2 2 8 2 5 2" xfId="52403" xr:uid="{00000000-0005-0000-0000-0000F2500000}"/>
    <cellStyle name="Normal 2 2 8 2 6" xfId="14343" xr:uid="{00000000-0005-0000-0000-0000F3500000}"/>
    <cellStyle name="Normal 2 2 8 2 7" xfId="14344" xr:uid="{00000000-0005-0000-0000-0000F4500000}"/>
    <cellStyle name="Normal 2 2 8 2 8" xfId="14345" xr:uid="{00000000-0005-0000-0000-0000F5500000}"/>
    <cellStyle name="Normal 2 2 8 2 9" xfId="14346" xr:uid="{00000000-0005-0000-0000-0000F6500000}"/>
    <cellStyle name="Normal 2 2 8 3" xfId="14347" xr:uid="{00000000-0005-0000-0000-0000F7500000}"/>
    <cellStyle name="Normal 2 2 8 3 2" xfId="14348" xr:uid="{00000000-0005-0000-0000-0000F8500000}"/>
    <cellStyle name="Normal 2 2 8 3 2 2" xfId="14349" xr:uid="{00000000-0005-0000-0000-0000F9500000}"/>
    <cellStyle name="Normal 2 2 8 3 2 2 2" xfId="52404" xr:uid="{00000000-0005-0000-0000-0000FA500000}"/>
    <cellStyle name="Normal 2 2 8 3 2 2 3" xfId="52405" xr:uid="{00000000-0005-0000-0000-0000FB500000}"/>
    <cellStyle name="Normal 2 2 8 3 2 3" xfId="14350" xr:uid="{00000000-0005-0000-0000-0000FC500000}"/>
    <cellStyle name="Normal 2 2 8 3 2 3 2" xfId="52406" xr:uid="{00000000-0005-0000-0000-0000FD500000}"/>
    <cellStyle name="Normal 2 2 8 3 2 4" xfId="14351" xr:uid="{00000000-0005-0000-0000-0000FE500000}"/>
    <cellStyle name="Normal 2 2 8 3 2 5" xfId="14352" xr:uid="{00000000-0005-0000-0000-0000FF500000}"/>
    <cellStyle name="Normal 2 2 8 3 2 6" xfId="14353" xr:uid="{00000000-0005-0000-0000-000000510000}"/>
    <cellStyle name="Normal 2 2 8 3 3" xfId="14354" xr:uid="{00000000-0005-0000-0000-000001510000}"/>
    <cellStyle name="Normal 2 2 8 3 3 2" xfId="52407" xr:uid="{00000000-0005-0000-0000-000002510000}"/>
    <cellStyle name="Normal 2 2 8 3 3 3" xfId="52408" xr:uid="{00000000-0005-0000-0000-000003510000}"/>
    <cellStyle name="Normal 2 2 8 3 4" xfId="14355" xr:uid="{00000000-0005-0000-0000-000004510000}"/>
    <cellStyle name="Normal 2 2 8 3 4 2" xfId="52409" xr:uid="{00000000-0005-0000-0000-000005510000}"/>
    <cellStyle name="Normal 2 2 8 3 5" xfId="14356" xr:uid="{00000000-0005-0000-0000-000006510000}"/>
    <cellStyle name="Normal 2 2 8 3 6" xfId="14357" xr:uid="{00000000-0005-0000-0000-000007510000}"/>
    <cellStyle name="Normal 2 2 8 3 7" xfId="14358" xr:uid="{00000000-0005-0000-0000-000008510000}"/>
    <cellStyle name="Normal 2 2 8 4" xfId="14359" xr:uid="{00000000-0005-0000-0000-000009510000}"/>
    <cellStyle name="Normal 2 2 8 4 2" xfId="14360" xr:uid="{00000000-0005-0000-0000-00000A510000}"/>
    <cellStyle name="Normal 2 2 8 4 2 2" xfId="52410" xr:uid="{00000000-0005-0000-0000-00000B510000}"/>
    <cellStyle name="Normal 2 2 8 4 2 3" xfId="52411" xr:uid="{00000000-0005-0000-0000-00000C510000}"/>
    <cellStyle name="Normal 2 2 8 4 3" xfId="14361" xr:uid="{00000000-0005-0000-0000-00000D510000}"/>
    <cellStyle name="Normal 2 2 8 4 3 2" xfId="52412" xr:uid="{00000000-0005-0000-0000-00000E510000}"/>
    <cellStyle name="Normal 2 2 8 4 4" xfId="14362" xr:uid="{00000000-0005-0000-0000-00000F510000}"/>
    <cellStyle name="Normal 2 2 8 4 5" xfId="14363" xr:uid="{00000000-0005-0000-0000-000010510000}"/>
    <cellStyle name="Normal 2 2 8 4 6" xfId="14364" xr:uid="{00000000-0005-0000-0000-000011510000}"/>
    <cellStyle name="Normal 2 2 8 5" xfId="14365" xr:uid="{00000000-0005-0000-0000-000012510000}"/>
    <cellStyle name="Normal 2 2 8 5 2" xfId="52413" xr:uid="{00000000-0005-0000-0000-000013510000}"/>
    <cellStyle name="Normal 2 2 8 5 3" xfId="52414" xr:uid="{00000000-0005-0000-0000-000014510000}"/>
    <cellStyle name="Normal 2 2 8 6" xfId="14366" xr:uid="{00000000-0005-0000-0000-000015510000}"/>
    <cellStyle name="Normal 2 2 8 6 2" xfId="52415" xr:uid="{00000000-0005-0000-0000-000016510000}"/>
    <cellStyle name="Normal 2 2 8 7" xfId="14367" xr:uid="{00000000-0005-0000-0000-000017510000}"/>
    <cellStyle name="Normal 2 2 8 7 2" xfId="52416" xr:uid="{00000000-0005-0000-0000-000018510000}"/>
    <cellStyle name="Normal 2 2 8 8" xfId="14368" xr:uid="{00000000-0005-0000-0000-000019510000}"/>
    <cellStyle name="Normal 2 2 8 9" xfId="14369" xr:uid="{00000000-0005-0000-0000-00001A510000}"/>
    <cellStyle name="Normal 2 2 9" xfId="14370" xr:uid="{00000000-0005-0000-0000-00001B510000}"/>
    <cellStyle name="Normal 2 2 9 2" xfId="14371" xr:uid="{00000000-0005-0000-0000-00001C510000}"/>
    <cellStyle name="Normal 2 2 9 2 2" xfId="14372" xr:uid="{00000000-0005-0000-0000-00001D510000}"/>
    <cellStyle name="Normal 2 2 9 2 2 2" xfId="14373" xr:uid="{00000000-0005-0000-0000-00001E510000}"/>
    <cellStyle name="Normal 2 2 9 2 2 2 2" xfId="52417" xr:uid="{00000000-0005-0000-0000-00001F510000}"/>
    <cellStyle name="Normal 2 2 9 2 2 2 3" xfId="52418" xr:uid="{00000000-0005-0000-0000-000020510000}"/>
    <cellStyle name="Normal 2 2 9 2 2 3" xfId="14374" xr:uid="{00000000-0005-0000-0000-000021510000}"/>
    <cellStyle name="Normal 2 2 9 2 2 3 2" xfId="52419" xr:uid="{00000000-0005-0000-0000-000022510000}"/>
    <cellStyle name="Normal 2 2 9 2 2 4" xfId="14375" xr:uid="{00000000-0005-0000-0000-000023510000}"/>
    <cellStyle name="Normal 2 2 9 2 2 5" xfId="14376" xr:uid="{00000000-0005-0000-0000-000024510000}"/>
    <cellStyle name="Normal 2 2 9 2 2 6" xfId="14377" xr:uid="{00000000-0005-0000-0000-000025510000}"/>
    <cellStyle name="Normal 2 2 9 2 3" xfId="14378" xr:uid="{00000000-0005-0000-0000-000026510000}"/>
    <cellStyle name="Normal 2 2 9 2 3 2" xfId="52420" xr:uid="{00000000-0005-0000-0000-000027510000}"/>
    <cellStyle name="Normal 2 2 9 2 3 3" xfId="52421" xr:uid="{00000000-0005-0000-0000-000028510000}"/>
    <cellStyle name="Normal 2 2 9 2 4" xfId="14379" xr:uid="{00000000-0005-0000-0000-000029510000}"/>
    <cellStyle name="Normal 2 2 9 2 4 2" xfId="52422" xr:uid="{00000000-0005-0000-0000-00002A510000}"/>
    <cellStyle name="Normal 2 2 9 2 5" xfId="14380" xr:uid="{00000000-0005-0000-0000-00002B510000}"/>
    <cellStyle name="Normal 2 2 9 2 6" xfId="14381" xr:uid="{00000000-0005-0000-0000-00002C510000}"/>
    <cellStyle name="Normal 2 2 9 2 7" xfId="14382" xr:uid="{00000000-0005-0000-0000-00002D510000}"/>
    <cellStyle name="Normal 2 2 9 3" xfId="14383" xr:uid="{00000000-0005-0000-0000-00002E510000}"/>
    <cellStyle name="Normal 2 2 9 3 2" xfId="14384" xr:uid="{00000000-0005-0000-0000-00002F510000}"/>
    <cellStyle name="Normal 2 2 9 3 2 2" xfId="52423" xr:uid="{00000000-0005-0000-0000-000030510000}"/>
    <cellStyle name="Normal 2 2 9 3 2 3" xfId="52424" xr:uid="{00000000-0005-0000-0000-000031510000}"/>
    <cellStyle name="Normal 2 2 9 3 3" xfId="14385" xr:uid="{00000000-0005-0000-0000-000032510000}"/>
    <cellStyle name="Normal 2 2 9 3 3 2" xfId="52425" xr:uid="{00000000-0005-0000-0000-000033510000}"/>
    <cellStyle name="Normal 2 2 9 3 4" xfId="14386" xr:uid="{00000000-0005-0000-0000-000034510000}"/>
    <cellStyle name="Normal 2 2 9 3 5" xfId="14387" xr:uid="{00000000-0005-0000-0000-000035510000}"/>
    <cellStyle name="Normal 2 2 9 3 6" xfId="14388" xr:uid="{00000000-0005-0000-0000-000036510000}"/>
    <cellStyle name="Normal 2 2 9 4" xfId="14389" xr:uid="{00000000-0005-0000-0000-000037510000}"/>
    <cellStyle name="Normal 2 2 9 4 2" xfId="52426" xr:uid="{00000000-0005-0000-0000-000038510000}"/>
    <cellStyle name="Normal 2 2 9 4 3" xfId="52427" xr:uid="{00000000-0005-0000-0000-000039510000}"/>
    <cellStyle name="Normal 2 2 9 5" xfId="14390" xr:uid="{00000000-0005-0000-0000-00003A510000}"/>
    <cellStyle name="Normal 2 2 9 5 2" xfId="52428" xr:uid="{00000000-0005-0000-0000-00003B510000}"/>
    <cellStyle name="Normal 2 2 9 6" xfId="14391" xr:uid="{00000000-0005-0000-0000-00003C510000}"/>
    <cellStyle name="Normal 2 2 9 7" xfId="14392" xr:uid="{00000000-0005-0000-0000-00003D510000}"/>
    <cellStyle name="Normal 2 2 9 8" xfId="14393" xr:uid="{00000000-0005-0000-0000-00003E510000}"/>
    <cellStyle name="Normal 2 2_Sheet2" xfId="14394" xr:uid="{00000000-0005-0000-0000-00003F510000}"/>
    <cellStyle name="Normal 2 3" xfId="14395" xr:uid="{00000000-0005-0000-0000-000040510000}"/>
    <cellStyle name="Normal 2 3 2" xfId="14396" xr:uid="{00000000-0005-0000-0000-000041510000}"/>
    <cellStyle name="Normal 2 3 2 2" xfId="14397" xr:uid="{00000000-0005-0000-0000-000042510000}"/>
    <cellStyle name="Normal 2 3 2 2 2" xfId="14398" xr:uid="{00000000-0005-0000-0000-000043510000}"/>
    <cellStyle name="Normal 2 3 2 2 3" xfId="14399" xr:uid="{00000000-0005-0000-0000-000044510000}"/>
    <cellStyle name="Normal 2 3 2 3" xfId="14400" xr:uid="{00000000-0005-0000-0000-000045510000}"/>
    <cellStyle name="Normal 2 3 2 3 2" xfId="14401" xr:uid="{00000000-0005-0000-0000-000046510000}"/>
    <cellStyle name="Normal 2 3 2 3 3" xfId="14402" xr:uid="{00000000-0005-0000-0000-000047510000}"/>
    <cellStyle name="Normal 2 3 2 4" xfId="14403" xr:uid="{00000000-0005-0000-0000-000048510000}"/>
    <cellStyle name="Normal 2 3 2 4 2" xfId="14404" xr:uid="{00000000-0005-0000-0000-000049510000}"/>
    <cellStyle name="Normal 2 3 2 5" xfId="14405" xr:uid="{00000000-0005-0000-0000-00004A510000}"/>
    <cellStyle name="Normal 2 3 2 6" xfId="14406" xr:uid="{00000000-0005-0000-0000-00004B510000}"/>
    <cellStyle name="Normal 2 3 2 7" xfId="14407" xr:uid="{00000000-0005-0000-0000-00004C510000}"/>
    <cellStyle name="Normal 2 3 3" xfId="14408" xr:uid="{00000000-0005-0000-0000-00004D510000}"/>
    <cellStyle name="Normal 2 3 3 2" xfId="14409" xr:uid="{00000000-0005-0000-0000-00004E510000}"/>
    <cellStyle name="Normal 2 3 3 2 2" xfId="14410" xr:uid="{00000000-0005-0000-0000-00004F510000}"/>
    <cellStyle name="Normal 2 3 3 3" xfId="14411" xr:uid="{00000000-0005-0000-0000-000050510000}"/>
    <cellStyle name="Normal 2 3 3 3 2" xfId="14412" xr:uid="{00000000-0005-0000-0000-000051510000}"/>
    <cellStyle name="Normal 2 3 3 4" xfId="14413" xr:uid="{00000000-0005-0000-0000-000052510000}"/>
    <cellStyle name="Normal 2 3 3 4 2" xfId="14414" xr:uid="{00000000-0005-0000-0000-000053510000}"/>
    <cellStyle name="Normal 2 3 3 5" xfId="14415" xr:uid="{00000000-0005-0000-0000-000054510000}"/>
    <cellStyle name="Normal 2 3 3 6" xfId="14416" xr:uid="{00000000-0005-0000-0000-000055510000}"/>
    <cellStyle name="Normal 2 3 4" xfId="14417" xr:uid="{00000000-0005-0000-0000-000056510000}"/>
    <cellStyle name="Normal 2 3 4 2" xfId="14418" xr:uid="{00000000-0005-0000-0000-000057510000}"/>
    <cellStyle name="Normal 2 3 4 3" xfId="14419" xr:uid="{00000000-0005-0000-0000-000058510000}"/>
    <cellStyle name="Normal 2 3 5" xfId="14420" xr:uid="{00000000-0005-0000-0000-000059510000}"/>
    <cellStyle name="Normal 2 3 5 2" xfId="14421" xr:uid="{00000000-0005-0000-0000-00005A510000}"/>
    <cellStyle name="Normal 2 3 6" xfId="14422" xr:uid="{00000000-0005-0000-0000-00005B510000}"/>
    <cellStyle name="Normal 2 3 6 2" xfId="14423" xr:uid="{00000000-0005-0000-0000-00005C510000}"/>
    <cellStyle name="Normal 2 3 7" xfId="14424" xr:uid="{00000000-0005-0000-0000-00005D510000}"/>
    <cellStyle name="Normal 2 3 8" xfId="14425" xr:uid="{00000000-0005-0000-0000-00005E510000}"/>
    <cellStyle name="Normal 2 3_Sheet2" xfId="14426" xr:uid="{00000000-0005-0000-0000-00005F510000}"/>
    <cellStyle name="Normal 2 4" xfId="14427" xr:uid="{00000000-0005-0000-0000-000060510000}"/>
    <cellStyle name="Normal 2 4 2" xfId="14428" xr:uid="{00000000-0005-0000-0000-000061510000}"/>
    <cellStyle name="Normal 2 4 2 2" xfId="14429" xr:uid="{00000000-0005-0000-0000-000062510000}"/>
    <cellStyle name="Normal 2 4 2 2 2" xfId="14430" xr:uid="{00000000-0005-0000-0000-000063510000}"/>
    <cellStyle name="Normal 2 4 2 2 2 2" xfId="14431" xr:uid="{00000000-0005-0000-0000-000064510000}"/>
    <cellStyle name="Normal 2 4 2 2 2 2 2" xfId="14432" xr:uid="{00000000-0005-0000-0000-000065510000}"/>
    <cellStyle name="Normal 2 4 2 2 2 2 2 2" xfId="14433" xr:uid="{00000000-0005-0000-0000-000066510000}"/>
    <cellStyle name="Normal 2 4 2 2 2 2 2 2 2" xfId="52429" xr:uid="{00000000-0005-0000-0000-000067510000}"/>
    <cellStyle name="Normal 2 4 2 2 2 2 2 2 3" xfId="52430" xr:uid="{00000000-0005-0000-0000-000068510000}"/>
    <cellStyle name="Normal 2 4 2 2 2 2 2 3" xfId="52431" xr:uid="{00000000-0005-0000-0000-000069510000}"/>
    <cellStyle name="Normal 2 4 2 2 2 2 2 4" xfId="52432" xr:uid="{00000000-0005-0000-0000-00006A510000}"/>
    <cellStyle name="Normal 2 4 2 2 2 2 3" xfId="14434" xr:uid="{00000000-0005-0000-0000-00006B510000}"/>
    <cellStyle name="Normal 2 4 2 2 2 2 3 2" xfId="52433" xr:uid="{00000000-0005-0000-0000-00006C510000}"/>
    <cellStyle name="Normal 2 4 2 2 2 2 3 3" xfId="52434" xr:uid="{00000000-0005-0000-0000-00006D510000}"/>
    <cellStyle name="Normal 2 4 2 2 2 2 4" xfId="14435" xr:uid="{00000000-0005-0000-0000-00006E510000}"/>
    <cellStyle name="Normal 2 4 2 2 2 2 4 2" xfId="52435" xr:uid="{00000000-0005-0000-0000-00006F510000}"/>
    <cellStyle name="Normal 2 4 2 2 2 2 5" xfId="52436" xr:uid="{00000000-0005-0000-0000-000070510000}"/>
    <cellStyle name="Normal 2 4 2 2 2 2 6" xfId="52437" xr:uid="{00000000-0005-0000-0000-000071510000}"/>
    <cellStyle name="Normal 2 4 2 2 2 3" xfId="14436" xr:uid="{00000000-0005-0000-0000-000072510000}"/>
    <cellStyle name="Normal 2 4 2 2 2 3 2" xfId="14437" xr:uid="{00000000-0005-0000-0000-000073510000}"/>
    <cellStyle name="Normal 2 4 2 2 2 3 2 2" xfId="52438" xr:uid="{00000000-0005-0000-0000-000074510000}"/>
    <cellStyle name="Normal 2 4 2 2 2 3 2 3" xfId="52439" xr:uid="{00000000-0005-0000-0000-000075510000}"/>
    <cellStyle name="Normal 2 4 2 2 2 3 3" xfId="52440" xr:uid="{00000000-0005-0000-0000-000076510000}"/>
    <cellStyle name="Normal 2 4 2 2 2 3 4" xfId="52441" xr:uid="{00000000-0005-0000-0000-000077510000}"/>
    <cellStyle name="Normal 2 4 2 2 2 4" xfId="14438" xr:uid="{00000000-0005-0000-0000-000078510000}"/>
    <cellStyle name="Normal 2 4 2 2 2 4 2" xfId="52442" xr:uid="{00000000-0005-0000-0000-000079510000}"/>
    <cellStyle name="Normal 2 4 2 2 2 4 3" xfId="52443" xr:uid="{00000000-0005-0000-0000-00007A510000}"/>
    <cellStyle name="Normal 2 4 2 2 2 5" xfId="14439" xr:uid="{00000000-0005-0000-0000-00007B510000}"/>
    <cellStyle name="Normal 2 4 2 2 2 5 2" xfId="52444" xr:uid="{00000000-0005-0000-0000-00007C510000}"/>
    <cellStyle name="Normal 2 4 2 2 2 6" xfId="52445" xr:uid="{00000000-0005-0000-0000-00007D510000}"/>
    <cellStyle name="Normal 2 4 2 2 2 7" xfId="52446" xr:uid="{00000000-0005-0000-0000-00007E510000}"/>
    <cellStyle name="Normal 2 4 2 2 3" xfId="14440" xr:uid="{00000000-0005-0000-0000-00007F510000}"/>
    <cellStyle name="Normal 2 4 2 2 3 2" xfId="14441" xr:uid="{00000000-0005-0000-0000-000080510000}"/>
    <cellStyle name="Normal 2 4 2 2 3 2 2" xfId="14442" xr:uid="{00000000-0005-0000-0000-000081510000}"/>
    <cellStyle name="Normal 2 4 2 2 3 2 2 2" xfId="52447" xr:uid="{00000000-0005-0000-0000-000082510000}"/>
    <cellStyle name="Normal 2 4 2 2 3 2 2 3" xfId="52448" xr:uid="{00000000-0005-0000-0000-000083510000}"/>
    <cellStyle name="Normal 2 4 2 2 3 2 3" xfId="52449" xr:uid="{00000000-0005-0000-0000-000084510000}"/>
    <cellStyle name="Normal 2 4 2 2 3 2 4" xfId="52450" xr:uid="{00000000-0005-0000-0000-000085510000}"/>
    <cellStyle name="Normal 2 4 2 2 3 3" xfId="14443" xr:uid="{00000000-0005-0000-0000-000086510000}"/>
    <cellStyle name="Normal 2 4 2 2 3 3 2" xfId="52451" xr:uid="{00000000-0005-0000-0000-000087510000}"/>
    <cellStyle name="Normal 2 4 2 2 3 3 3" xfId="52452" xr:uid="{00000000-0005-0000-0000-000088510000}"/>
    <cellStyle name="Normal 2 4 2 2 3 4" xfId="52453" xr:uid="{00000000-0005-0000-0000-000089510000}"/>
    <cellStyle name="Normal 2 4 2 2 3 5" xfId="52454" xr:uid="{00000000-0005-0000-0000-00008A510000}"/>
    <cellStyle name="Normal 2 4 2 2 3 6" xfId="52455" xr:uid="{00000000-0005-0000-0000-00008B510000}"/>
    <cellStyle name="Normal 2 4 2 2 4" xfId="14444" xr:uid="{00000000-0005-0000-0000-00008C510000}"/>
    <cellStyle name="Normal 2 4 2 2 4 2" xfId="14445" xr:uid="{00000000-0005-0000-0000-00008D510000}"/>
    <cellStyle name="Normal 2 4 2 2 4 2 2" xfId="52456" xr:uid="{00000000-0005-0000-0000-00008E510000}"/>
    <cellStyle name="Normal 2 4 2 2 4 2 3" xfId="52457" xr:uid="{00000000-0005-0000-0000-00008F510000}"/>
    <cellStyle name="Normal 2 4 2 2 4 3" xfId="52458" xr:uid="{00000000-0005-0000-0000-000090510000}"/>
    <cellStyle name="Normal 2 4 2 2 4 4" xfId="52459" xr:uid="{00000000-0005-0000-0000-000091510000}"/>
    <cellStyle name="Normal 2 4 2 2 5" xfId="14446" xr:uid="{00000000-0005-0000-0000-000092510000}"/>
    <cellStyle name="Normal 2 4 2 2 5 2" xfId="14447" xr:uid="{00000000-0005-0000-0000-000093510000}"/>
    <cellStyle name="Normal 2 4 2 2 5 3" xfId="52460" xr:uid="{00000000-0005-0000-0000-000094510000}"/>
    <cellStyle name="Normal 2 4 2 2 6" xfId="14448" xr:uid="{00000000-0005-0000-0000-000095510000}"/>
    <cellStyle name="Normal 2 4 2 2 6 2" xfId="14449" xr:uid="{00000000-0005-0000-0000-000096510000}"/>
    <cellStyle name="Normal 2 4 2 2 7" xfId="14450" xr:uid="{00000000-0005-0000-0000-000097510000}"/>
    <cellStyle name="Normal 2 4 2 2 7 2" xfId="14451" xr:uid="{00000000-0005-0000-0000-000098510000}"/>
    <cellStyle name="Normal 2 4 2 2 7 2 2" xfId="52461" xr:uid="{00000000-0005-0000-0000-000099510000}"/>
    <cellStyle name="Normal 2 4 2 2 7 3" xfId="52462" xr:uid="{00000000-0005-0000-0000-00009A510000}"/>
    <cellStyle name="Normal 2 4 2 2 7 4" xfId="52463" xr:uid="{00000000-0005-0000-0000-00009B510000}"/>
    <cellStyle name="Normal 2 4 2 2 8" xfId="52464" xr:uid="{00000000-0005-0000-0000-00009C510000}"/>
    <cellStyle name="Normal 2 4 2 2 9" xfId="52465" xr:uid="{00000000-0005-0000-0000-00009D510000}"/>
    <cellStyle name="Normal 2 4 2 3" xfId="14452" xr:uid="{00000000-0005-0000-0000-00009E510000}"/>
    <cellStyle name="Normal 2 4 2 3 2" xfId="14453" xr:uid="{00000000-0005-0000-0000-00009F510000}"/>
    <cellStyle name="Normal 2 4 2 3 2 2" xfId="14454" xr:uid="{00000000-0005-0000-0000-0000A0510000}"/>
    <cellStyle name="Normal 2 4 2 3 2 2 2" xfId="52466" xr:uid="{00000000-0005-0000-0000-0000A1510000}"/>
    <cellStyle name="Normal 2 4 2 3 2 2 3" xfId="52467" xr:uid="{00000000-0005-0000-0000-0000A2510000}"/>
    <cellStyle name="Normal 2 4 2 3 2 3" xfId="52468" xr:uid="{00000000-0005-0000-0000-0000A3510000}"/>
    <cellStyle name="Normal 2 4 2 3 2 4" xfId="52469" xr:uid="{00000000-0005-0000-0000-0000A4510000}"/>
    <cellStyle name="Normal 2 4 2 3 3" xfId="14455" xr:uid="{00000000-0005-0000-0000-0000A5510000}"/>
    <cellStyle name="Normal 2 4 2 3 3 2" xfId="52470" xr:uid="{00000000-0005-0000-0000-0000A6510000}"/>
    <cellStyle name="Normal 2 4 2 3 3 3" xfId="52471" xr:uid="{00000000-0005-0000-0000-0000A7510000}"/>
    <cellStyle name="Normal 2 4 2 3 4" xfId="14456" xr:uid="{00000000-0005-0000-0000-0000A8510000}"/>
    <cellStyle name="Normal 2 4 2 3 4 2" xfId="52472" xr:uid="{00000000-0005-0000-0000-0000A9510000}"/>
    <cellStyle name="Normal 2 4 2 3 5" xfId="14457" xr:uid="{00000000-0005-0000-0000-0000AA510000}"/>
    <cellStyle name="Normal 2 4 2 3 6" xfId="52473" xr:uid="{00000000-0005-0000-0000-0000AB510000}"/>
    <cellStyle name="Normal 2 4 2 4" xfId="14458" xr:uid="{00000000-0005-0000-0000-0000AC510000}"/>
    <cellStyle name="Normal 2 4 2 5" xfId="14459" xr:uid="{00000000-0005-0000-0000-0000AD510000}"/>
    <cellStyle name="Normal 2 4 2 5 2" xfId="14460" xr:uid="{00000000-0005-0000-0000-0000AE510000}"/>
    <cellStyle name="Normal 2 4 2 5 2 2" xfId="52474" xr:uid="{00000000-0005-0000-0000-0000AF510000}"/>
    <cellStyle name="Normal 2 4 2 5 2 3" xfId="52475" xr:uid="{00000000-0005-0000-0000-0000B0510000}"/>
    <cellStyle name="Normal 2 4 2 5 3" xfId="52476" xr:uid="{00000000-0005-0000-0000-0000B1510000}"/>
    <cellStyle name="Normal 2 4 2 5 4" xfId="52477" xr:uid="{00000000-0005-0000-0000-0000B2510000}"/>
    <cellStyle name="Normal 2 4 2 6" xfId="14461" xr:uid="{00000000-0005-0000-0000-0000B3510000}"/>
    <cellStyle name="Normal 2 4 2 6 2" xfId="52478" xr:uid="{00000000-0005-0000-0000-0000B4510000}"/>
    <cellStyle name="Normal 2 4 2 6 3" xfId="52479" xr:uid="{00000000-0005-0000-0000-0000B5510000}"/>
    <cellStyle name="Normal 2 4 2 7" xfId="52480" xr:uid="{00000000-0005-0000-0000-0000B6510000}"/>
    <cellStyle name="Normal 2 4 2 8" xfId="52481" xr:uid="{00000000-0005-0000-0000-0000B7510000}"/>
    <cellStyle name="Normal 2 4 3" xfId="14462" xr:uid="{00000000-0005-0000-0000-0000B8510000}"/>
    <cellStyle name="Normal 2 4 3 2" xfId="14463" xr:uid="{00000000-0005-0000-0000-0000B9510000}"/>
    <cellStyle name="Normal 2 4 3 2 2" xfId="14464" xr:uid="{00000000-0005-0000-0000-0000BA510000}"/>
    <cellStyle name="Normal 2 4 3 2 2 2" xfId="14465" xr:uid="{00000000-0005-0000-0000-0000BB510000}"/>
    <cellStyle name="Normal 2 4 3 2 2 2 2" xfId="52482" xr:uid="{00000000-0005-0000-0000-0000BC510000}"/>
    <cellStyle name="Normal 2 4 3 2 2 2 3" xfId="52483" xr:uid="{00000000-0005-0000-0000-0000BD510000}"/>
    <cellStyle name="Normal 2 4 3 2 2 3" xfId="52484" xr:uid="{00000000-0005-0000-0000-0000BE510000}"/>
    <cellStyle name="Normal 2 4 3 2 2 4" xfId="52485" xr:uid="{00000000-0005-0000-0000-0000BF510000}"/>
    <cellStyle name="Normal 2 4 3 2 3" xfId="14466" xr:uid="{00000000-0005-0000-0000-0000C0510000}"/>
    <cellStyle name="Normal 2 4 3 2 3 2" xfId="52486" xr:uid="{00000000-0005-0000-0000-0000C1510000}"/>
    <cellStyle name="Normal 2 4 3 2 3 3" xfId="52487" xr:uid="{00000000-0005-0000-0000-0000C2510000}"/>
    <cellStyle name="Normal 2 4 3 2 4" xfId="14467" xr:uid="{00000000-0005-0000-0000-0000C3510000}"/>
    <cellStyle name="Normal 2 4 3 2 4 2" xfId="52488" xr:uid="{00000000-0005-0000-0000-0000C4510000}"/>
    <cellStyle name="Normal 2 4 3 2 5" xfId="52489" xr:uid="{00000000-0005-0000-0000-0000C5510000}"/>
    <cellStyle name="Normal 2 4 3 2 6" xfId="52490" xr:uid="{00000000-0005-0000-0000-0000C6510000}"/>
    <cellStyle name="Normal 2 4 3 3" xfId="14468" xr:uid="{00000000-0005-0000-0000-0000C7510000}"/>
    <cellStyle name="Normal 2 4 3 3 2" xfId="14469" xr:uid="{00000000-0005-0000-0000-0000C8510000}"/>
    <cellStyle name="Normal 2 4 3 3 2 2" xfId="52491" xr:uid="{00000000-0005-0000-0000-0000C9510000}"/>
    <cellStyle name="Normal 2 4 3 3 2 3" xfId="52492" xr:uid="{00000000-0005-0000-0000-0000CA510000}"/>
    <cellStyle name="Normal 2 4 3 3 3" xfId="52493" xr:uid="{00000000-0005-0000-0000-0000CB510000}"/>
    <cellStyle name="Normal 2 4 3 3 4" xfId="52494" xr:uid="{00000000-0005-0000-0000-0000CC510000}"/>
    <cellStyle name="Normal 2 4 3 4" xfId="14470" xr:uid="{00000000-0005-0000-0000-0000CD510000}"/>
    <cellStyle name="Normal 2 4 3 4 2" xfId="52495" xr:uid="{00000000-0005-0000-0000-0000CE510000}"/>
    <cellStyle name="Normal 2 4 3 4 3" xfId="52496" xr:uid="{00000000-0005-0000-0000-0000CF510000}"/>
    <cellStyle name="Normal 2 4 3 5" xfId="14471" xr:uid="{00000000-0005-0000-0000-0000D0510000}"/>
    <cellStyle name="Normal 2 4 3 5 2" xfId="52497" xr:uid="{00000000-0005-0000-0000-0000D1510000}"/>
    <cellStyle name="Normal 2 4 3 6" xfId="52498" xr:uid="{00000000-0005-0000-0000-0000D2510000}"/>
    <cellStyle name="Normal 2 4 3 7" xfId="52499" xr:uid="{00000000-0005-0000-0000-0000D3510000}"/>
    <cellStyle name="Normal 2 4 4" xfId="14472" xr:uid="{00000000-0005-0000-0000-0000D4510000}"/>
    <cellStyle name="Normal 2 4 4 2" xfId="14473" xr:uid="{00000000-0005-0000-0000-0000D5510000}"/>
    <cellStyle name="Normal 2 4 4 2 2" xfId="14474" xr:uid="{00000000-0005-0000-0000-0000D6510000}"/>
    <cellStyle name="Normal 2 4 4 2 2 2" xfId="52500" xr:uid="{00000000-0005-0000-0000-0000D7510000}"/>
    <cellStyle name="Normal 2 4 4 2 2 3" xfId="52501" xr:uid="{00000000-0005-0000-0000-0000D8510000}"/>
    <cellStyle name="Normal 2 4 4 2 3" xfId="52502" xr:uid="{00000000-0005-0000-0000-0000D9510000}"/>
    <cellStyle name="Normal 2 4 4 2 4" xfId="52503" xr:uid="{00000000-0005-0000-0000-0000DA510000}"/>
    <cellStyle name="Normal 2 4 4 3" xfId="14475" xr:uid="{00000000-0005-0000-0000-0000DB510000}"/>
    <cellStyle name="Normal 2 4 4 3 2" xfId="52504" xr:uid="{00000000-0005-0000-0000-0000DC510000}"/>
    <cellStyle name="Normal 2 4 4 3 3" xfId="52505" xr:uid="{00000000-0005-0000-0000-0000DD510000}"/>
    <cellStyle name="Normal 2 4 4 4" xfId="14476" xr:uid="{00000000-0005-0000-0000-0000DE510000}"/>
    <cellStyle name="Normal 2 4 4 4 2" xfId="52506" xr:uid="{00000000-0005-0000-0000-0000DF510000}"/>
    <cellStyle name="Normal 2 4 4 5" xfId="52507" xr:uid="{00000000-0005-0000-0000-0000E0510000}"/>
    <cellStyle name="Normal 2 4 4 6" xfId="52508" xr:uid="{00000000-0005-0000-0000-0000E1510000}"/>
    <cellStyle name="Normal 2 4 5" xfId="14477" xr:uid="{00000000-0005-0000-0000-0000E2510000}"/>
    <cellStyle name="Normal 2 4 6" xfId="14478" xr:uid="{00000000-0005-0000-0000-0000E3510000}"/>
    <cellStyle name="Normal 2 4 6 2" xfId="14479" xr:uid="{00000000-0005-0000-0000-0000E4510000}"/>
    <cellStyle name="Normal 2 4 6 2 2" xfId="52509" xr:uid="{00000000-0005-0000-0000-0000E5510000}"/>
    <cellStyle name="Normal 2 4 6 2 3" xfId="52510" xr:uid="{00000000-0005-0000-0000-0000E6510000}"/>
    <cellStyle name="Normal 2 4 6 3" xfId="14480" xr:uid="{00000000-0005-0000-0000-0000E7510000}"/>
    <cellStyle name="Normal 2 4 6 4" xfId="52511" xr:uid="{00000000-0005-0000-0000-0000E8510000}"/>
    <cellStyle name="Normal 2 4 7" xfId="14481" xr:uid="{00000000-0005-0000-0000-0000E9510000}"/>
    <cellStyle name="Normal 2 4 7 2" xfId="52512" xr:uid="{00000000-0005-0000-0000-0000EA510000}"/>
    <cellStyle name="Normal 2 4 7 3" xfId="52513" xr:uid="{00000000-0005-0000-0000-0000EB510000}"/>
    <cellStyle name="Normal 2 4 8" xfId="14482" xr:uid="{00000000-0005-0000-0000-0000EC510000}"/>
    <cellStyle name="Normal 2 4 9" xfId="52514" xr:uid="{00000000-0005-0000-0000-0000ED510000}"/>
    <cellStyle name="Normal 2 5" xfId="14483" xr:uid="{00000000-0005-0000-0000-0000EE510000}"/>
    <cellStyle name="Normal 2 5 2" xfId="14484" xr:uid="{00000000-0005-0000-0000-0000EF510000}"/>
    <cellStyle name="Normal 2 5 2 2" xfId="14485" xr:uid="{00000000-0005-0000-0000-0000F0510000}"/>
    <cellStyle name="Normal 2 5 2 3" xfId="14486" xr:uid="{00000000-0005-0000-0000-0000F1510000}"/>
    <cellStyle name="Normal 2 5 2 3 2" xfId="14487" xr:uid="{00000000-0005-0000-0000-0000F2510000}"/>
    <cellStyle name="Normal 2 5 2 3 2 2" xfId="52515" xr:uid="{00000000-0005-0000-0000-0000F3510000}"/>
    <cellStyle name="Normal 2 5 2 3 2 3" xfId="52516" xr:uid="{00000000-0005-0000-0000-0000F4510000}"/>
    <cellStyle name="Normal 2 5 2 3 3" xfId="52517" xr:uid="{00000000-0005-0000-0000-0000F5510000}"/>
    <cellStyle name="Normal 2 5 2 3 4" xfId="52518" xr:uid="{00000000-0005-0000-0000-0000F6510000}"/>
    <cellStyle name="Normal 2 5 2 4" xfId="14488" xr:uid="{00000000-0005-0000-0000-0000F7510000}"/>
    <cellStyle name="Normal 2 5 2 4 2" xfId="52519" xr:uid="{00000000-0005-0000-0000-0000F8510000}"/>
    <cellStyle name="Normal 2 5 2 4 3" xfId="52520" xr:uid="{00000000-0005-0000-0000-0000F9510000}"/>
    <cellStyle name="Normal 2 5 2 5" xfId="14489" xr:uid="{00000000-0005-0000-0000-0000FA510000}"/>
    <cellStyle name="Normal 2 5 2 5 2" xfId="52521" xr:uid="{00000000-0005-0000-0000-0000FB510000}"/>
    <cellStyle name="Normal 2 5 2 6" xfId="52522" xr:uid="{00000000-0005-0000-0000-0000FC510000}"/>
    <cellStyle name="Normal 2 5 2 7" xfId="52523" xr:uid="{00000000-0005-0000-0000-0000FD510000}"/>
    <cellStyle name="Normal 2 5 3" xfId="14490" xr:uid="{00000000-0005-0000-0000-0000FE510000}"/>
    <cellStyle name="Normal 2 5 3 2" xfId="14491" xr:uid="{00000000-0005-0000-0000-0000FF510000}"/>
    <cellStyle name="Normal 2 5 4" xfId="14492" xr:uid="{00000000-0005-0000-0000-000000520000}"/>
    <cellStyle name="Normal 2 5 4 2" xfId="14493" xr:uid="{00000000-0005-0000-0000-000001520000}"/>
    <cellStyle name="Normal 2 5 4 2 2" xfId="52524" xr:uid="{00000000-0005-0000-0000-000002520000}"/>
    <cellStyle name="Normal 2 5 4 2 3" xfId="52525" xr:uid="{00000000-0005-0000-0000-000003520000}"/>
    <cellStyle name="Normal 2 5 4 3" xfId="52526" xr:uid="{00000000-0005-0000-0000-000004520000}"/>
    <cellStyle name="Normal 2 5 4 4" xfId="52527" xr:uid="{00000000-0005-0000-0000-000005520000}"/>
    <cellStyle name="Normal 2 5 5" xfId="14494" xr:uid="{00000000-0005-0000-0000-000006520000}"/>
    <cellStyle name="Normal 2 5 5 2" xfId="52528" xr:uid="{00000000-0005-0000-0000-000007520000}"/>
    <cellStyle name="Normal 2 5 5 3" xfId="52529" xr:uid="{00000000-0005-0000-0000-000008520000}"/>
    <cellStyle name="Normal 2 5 6" xfId="14495" xr:uid="{00000000-0005-0000-0000-000009520000}"/>
    <cellStyle name="Normal 2 5 6 2" xfId="14496" xr:uid="{00000000-0005-0000-0000-00000A520000}"/>
    <cellStyle name="Normal 2 5 7" xfId="52530" xr:uid="{00000000-0005-0000-0000-00000B520000}"/>
    <cellStyle name="Normal 2 5 8" xfId="52531" xr:uid="{00000000-0005-0000-0000-00000C520000}"/>
    <cellStyle name="Normal 2 6" xfId="14497" xr:uid="{00000000-0005-0000-0000-00000D520000}"/>
    <cellStyle name="Normal 2 6 2" xfId="14498" xr:uid="{00000000-0005-0000-0000-00000E520000}"/>
    <cellStyle name="Normal 2 6 2 2" xfId="14499" xr:uid="{00000000-0005-0000-0000-00000F520000}"/>
    <cellStyle name="Normal 2 7" xfId="14500" xr:uid="{00000000-0005-0000-0000-000010520000}"/>
    <cellStyle name="Normal 2 7 2" xfId="14501" xr:uid="{00000000-0005-0000-0000-000011520000}"/>
    <cellStyle name="Normal 2 7 3" xfId="14502" xr:uid="{00000000-0005-0000-0000-000012520000}"/>
    <cellStyle name="Normal 2 8" xfId="14503" xr:uid="{00000000-0005-0000-0000-000013520000}"/>
    <cellStyle name="Normal 2 8 2" xfId="14504" xr:uid="{00000000-0005-0000-0000-000014520000}"/>
    <cellStyle name="Normal 2 8 2 2" xfId="14505" xr:uid="{00000000-0005-0000-0000-000015520000}"/>
    <cellStyle name="Normal 2 8 3" xfId="14506" xr:uid="{00000000-0005-0000-0000-000016520000}"/>
    <cellStyle name="Normal 2 8 4" xfId="14507" xr:uid="{00000000-0005-0000-0000-000017520000}"/>
    <cellStyle name="Normal 2 9" xfId="14508" xr:uid="{00000000-0005-0000-0000-000018520000}"/>
    <cellStyle name="Normal 2 9 2" xfId="14509" xr:uid="{00000000-0005-0000-0000-000019520000}"/>
    <cellStyle name="Normal 2 9 3" xfId="14510" xr:uid="{00000000-0005-0000-0000-00001A520000}"/>
    <cellStyle name="Normal 2_Sheet2" xfId="14511" xr:uid="{00000000-0005-0000-0000-00001B520000}"/>
    <cellStyle name="Normal 20" xfId="14512" xr:uid="{00000000-0005-0000-0000-00001C520000}"/>
    <cellStyle name="Normal 20 2" xfId="14513" xr:uid="{00000000-0005-0000-0000-00001D520000}"/>
    <cellStyle name="Normal 20 2 2" xfId="14514" xr:uid="{00000000-0005-0000-0000-00001E520000}"/>
    <cellStyle name="Normal 20 2 2 2" xfId="14515" xr:uid="{00000000-0005-0000-0000-00001F520000}"/>
    <cellStyle name="Normal 20 2 2 2 2" xfId="14516" xr:uid="{00000000-0005-0000-0000-000020520000}"/>
    <cellStyle name="Normal 20 2 2 2 2 2" xfId="52532" xr:uid="{00000000-0005-0000-0000-000021520000}"/>
    <cellStyle name="Normal 20 2 2 2 3" xfId="52533" xr:uid="{00000000-0005-0000-0000-000022520000}"/>
    <cellStyle name="Normal 20 2 2 3" xfId="14517" xr:uid="{00000000-0005-0000-0000-000023520000}"/>
    <cellStyle name="Normal 20 2 2 3 2" xfId="14518" xr:uid="{00000000-0005-0000-0000-000024520000}"/>
    <cellStyle name="Normal 20 2 2 3 2 2" xfId="52534" xr:uid="{00000000-0005-0000-0000-000025520000}"/>
    <cellStyle name="Normal 20 2 2 3 3" xfId="52535" xr:uid="{00000000-0005-0000-0000-000026520000}"/>
    <cellStyle name="Normal 20 2 2 4" xfId="14519" xr:uid="{00000000-0005-0000-0000-000027520000}"/>
    <cellStyle name="Normal 20 2 2 4 2" xfId="52536" xr:uid="{00000000-0005-0000-0000-000028520000}"/>
    <cellStyle name="Normal 20 2 2 5" xfId="14520" xr:uid="{00000000-0005-0000-0000-000029520000}"/>
    <cellStyle name="Normal 20 2 2 5 2" xfId="52537" xr:uid="{00000000-0005-0000-0000-00002A520000}"/>
    <cellStyle name="Normal 20 2 3" xfId="14521" xr:uid="{00000000-0005-0000-0000-00002B520000}"/>
    <cellStyle name="Normal 20 2 3 2" xfId="14522" xr:uid="{00000000-0005-0000-0000-00002C520000}"/>
    <cellStyle name="Normal 20 2 3 2 2" xfId="52538" xr:uid="{00000000-0005-0000-0000-00002D520000}"/>
    <cellStyle name="Normal 20 2 3 3" xfId="52539" xr:uid="{00000000-0005-0000-0000-00002E520000}"/>
    <cellStyle name="Normal 20 2 4" xfId="14523" xr:uid="{00000000-0005-0000-0000-00002F520000}"/>
    <cellStyle name="Normal 20 2 4 2" xfId="14524" xr:uid="{00000000-0005-0000-0000-000030520000}"/>
    <cellStyle name="Normal 20 2 4 2 2" xfId="52540" xr:uid="{00000000-0005-0000-0000-000031520000}"/>
    <cellStyle name="Normal 20 2 4 3" xfId="52541" xr:uid="{00000000-0005-0000-0000-000032520000}"/>
    <cellStyle name="Normal 20 2 5" xfId="14525" xr:uid="{00000000-0005-0000-0000-000033520000}"/>
    <cellStyle name="Normal 20 2 5 2" xfId="52542" xr:uid="{00000000-0005-0000-0000-000034520000}"/>
    <cellStyle name="Normal 20 2 6" xfId="14526" xr:uid="{00000000-0005-0000-0000-000035520000}"/>
    <cellStyle name="Normal 20 2 6 2" xfId="52543" xr:uid="{00000000-0005-0000-0000-000036520000}"/>
    <cellStyle name="Normal 20 2 7" xfId="14527" xr:uid="{00000000-0005-0000-0000-000037520000}"/>
    <cellStyle name="Normal 20 3" xfId="14528" xr:uid="{00000000-0005-0000-0000-000038520000}"/>
    <cellStyle name="Normal 20 3 2" xfId="14529" xr:uid="{00000000-0005-0000-0000-000039520000}"/>
    <cellStyle name="Normal 20 3 2 2" xfId="14530" xr:uid="{00000000-0005-0000-0000-00003A520000}"/>
    <cellStyle name="Normal 20 3 2 2 2" xfId="52544" xr:uid="{00000000-0005-0000-0000-00003B520000}"/>
    <cellStyle name="Normal 20 3 2 3" xfId="14531" xr:uid="{00000000-0005-0000-0000-00003C520000}"/>
    <cellStyle name="Normal 20 3 2 3 2" xfId="52545" xr:uid="{00000000-0005-0000-0000-00003D520000}"/>
    <cellStyle name="Normal 20 3 3" xfId="14532" xr:uid="{00000000-0005-0000-0000-00003E520000}"/>
    <cellStyle name="Normal 20 3 3 2" xfId="14533" xr:uid="{00000000-0005-0000-0000-00003F520000}"/>
    <cellStyle name="Normal 20 3 3 2 2" xfId="52546" xr:uid="{00000000-0005-0000-0000-000040520000}"/>
    <cellStyle name="Normal 20 3 3 3" xfId="52547" xr:uid="{00000000-0005-0000-0000-000041520000}"/>
    <cellStyle name="Normal 20 3 4" xfId="14534" xr:uid="{00000000-0005-0000-0000-000042520000}"/>
    <cellStyle name="Normal 20 3 4 2" xfId="52548" xr:uid="{00000000-0005-0000-0000-000043520000}"/>
    <cellStyle name="Normal 20 3 5" xfId="14535" xr:uid="{00000000-0005-0000-0000-000044520000}"/>
    <cellStyle name="Normal 20 3 5 2" xfId="52549" xr:uid="{00000000-0005-0000-0000-000045520000}"/>
    <cellStyle name="Normal 20 3 6" xfId="14536" xr:uid="{00000000-0005-0000-0000-000046520000}"/>
    <cellStyle name="Normal 20 4" xfId="14537" xr:uid="{00000000-0005-0000-0000-000047520000}"/>
    <cellStyle name="Normal 20 4 2" xfId="14538" xr:uid="{00000000-0005-0000-0000-000048520000}"/>
    <cellStyle name="Normal 20 4 2 2" xfId="14539" xr:uid="{00000000-0005-0000-0000-000049520000}"/>
    <cellStyle name="Normal 20 4 2 2 2" xfId="52550" xr:uid="{00000000-0005-0000-0000-00004A520000}"/>
    <cellStyle name="Normal 20 4 2 3" xfId="14540" xr:uid="{00000000-0005-0000-0000-00004B520000}"/>
    <cellStyle name="Normal 20 4 2 3 2" xfId="52551" xr:uid="{00000000-0005-0000-0000-00004C520000}"/>
    <cellStyle name="Normal 20 4 3" xfId="14541" xr:uid="{00000000-0005-0000-0000-00004D520000}"/>
    <cellStyle name="Normal 20 4 3 2" xfId="52552" xr:uid="{00000000-0005-0000-0000-00004E520000}"/>
    <cellStyle name="Normal 20 4 4" xfId="14542" xr:uid="{00000000-0005-0000-0000-00004F520000}"/>
    <cellStyle name="Normal 20 4 4 2" xfId="52553" xr:uid="{00000000-0005-0000-0000-000050520000}"/>
    <cellStyle name="Normal 20 4 5" xfId="14543" xr:uid="{00000000-0005-0000-0000-000051520000}"/>
    <cellStyle name="Normal 20 5" xfId="14544" xr:uid="{00000000-0005-0000-0000-000052520000}"/>
    <cellStyle name="Normal 20 5 2" xfId="14545" xr:uid="{00000000-0005-0000-0000-000053520000}"/>
    <cellStyle name="Normal 20 5 2 2" xfId="52554" xr:uid="{00000000-0005-0000-0000-000054520000}"/>
    <cellStyle name="Normal 20 5 3" xfId="14546" xr:uid="{00000000-0005-0000-0000-000055520000}"/>
    <cellStyle name="Normal 20 5 3 2" xfId="52555" xr:uid="{00000000-0005-0000-0000-000056520000}"/>
    <cellStyle name="Normal 20_Sheet1" xfId="14547" xr:uid="{00000000-0005-0000-0000-000057520000}"/>
    <cellStyle name="Normal 21" xfId="14548" xr:uid="{00000000-0005-0000-0000-000058520000}"/>
    <cellStyle name="Normal 21 2" xfId="14549" xr:uid="{00000000-0005-0000-0000-000059520000}"/>
    <cellStyle name="Normal 21 2 2" xfId="14550" xr:uid="{00000000-0005-0000-0000-00005A520000}"/>
    <cellStyle name="Normal 21 2 2 2" xfId="14551" xr:uid="{00000000-0005-0000-0000-00005B520000}"/>
    <cellStyle name="Normal 21 2 2 2 2" xfId="52556" xr:uid="{00000000-0005-0000-0000-00005C520000}"/>
    <cellStyle name="Normal 21 2 2 3" xfId="14552" xr:uid="{00000000-0005-0000-0000-00005D520000}"/>
    <cellStyle name="Normal 21 2 2 3 2" xfId="52557" xr:uid="{00000000-0005-0000-0000-00005E520000}"/>
    <cellStyle name="Normal 21 2 3" xfId="14553" xr:uid="{00000000-0005-0000-0000-00005F520000}"/>
    <cellStyle name="Normal 21 2 3 2" xfId="14554" xr:uid="{00000000-0005-0000-0000-000060520000}"/>
    <cellStyle name="Normal 21 2 3 2 2" xfId="52558" xr:uid="{00000000-0005-0000-0000-000061520000}"/>
    <cellStyle name="Normal 21 2 3 3" xfId="52559" xr:uid="{00000000-0005-0000-0000-000062520000}"/>
    <cellStyle name="Normal 21 2 4" xfId="14555" xr:uid="{00000000-0005-0000-0000-000063520000}"/>
    <cellStyle name="Normal 21 2 4 2" xfId="14556" xr:uid="{00000000-0005-0000-0000-000064520000}"/>
    <cellStyle name="Normal 21 2 4 2 2" xfId="52560" xr:uid="{00000000-0005-0000-0000-000065520000}"/>
    <cellStyle name="Normal 21 2 4 3" xfId="52561" xr:uid="{00000000-0005-0000-0000-000066520000}"/>
    <cellStyle name="Normal 21 2 5" xfId="14557" xr:uid="{00000000-0005-0000-0000-000067520000}"/>
    <cellStyle name="Normal 21 2 5 2" xfId="52562" xr:uid="{00000000-0005-0000-0000-000068520000}"/>
    <cellStyle name="Normal 21 2 6" xfId="14558" xr:uid="{00000000-0005-0000-0000-000069520000}"/>
    <cellStyle name="Normal 21 2 6 2" xfId="52563" xr:uid="{00000000-0005-0000-0000-00006A520000}"/>
    <cellStyle name="Normal 21 2 7" xfId="14559" xr:uid="{00000000-0005-0000-0000-00006B520000}"/>
    <cellStyle name="Normal 21 3" xfId="14560" xr:uid="{00000000-0005-0000-0000-00006C520000}"/>
    <cellStyle name="Normal 21 3 2" xfId="14561" xr:uid="{00000000-0005-0000-0000-00006D520000}"/>
    <cellStyle name="Normal 21 3 2 2" xfId="14562" xr:uid="{00000000-0005-0000-0000-00006E520000}"/>
    <cellStyle name="Normal 21 3 2 2 2" xfId="52564" xr:uid="{00000000-0005-0000-0000-00006F520000}"/>
    <cellStyle name="Normal 21 3 3" xfId="14563" xr:uid="{00000000-0005-0000-0000-000070520000}"/>
    <cellStyle name="Normal 21 3 3 2" xfId="52565" xr:uid="{00000000-0005-0000-0000-000071520000}"/>
    <cellStyle name="Normal 21 3 4" xfId="14564" xr:uid="{00000000-0005-0000-0000-000072520000}"/>
    <cellStyle name="Normal 21 4" xfId="14565" xr:uid="{00000000-0005-0000-0000-000073520000}"/>
    <cellStyle name="Normal 21 4 2" xfId="14566" xr:uid="{00000000-0005-0000-0000-000074520000}"/>
    <cellStyle name="Normal 21 4 3" xfId="14567" xr:uid="{00000000-0005-0000-0000-000075520000}"/>
    <cellStyle name="Normal 21 5" xfId="14568" xr:uid="{00000000-0005-0000-0000-000076520000}"/>
    <cellStyle name="Normal 21_Sheet1" xfId="14569" xr:uid="{00000000-0005-0000-0000-000077520000}"/>
    <cellStyle name="Normal 22" xfId="14570" xr:uid="{00000000-0005-0000-0000-000078520000}"/>
    <cellStyle name="Normal 22 10" xfId="52566" xr:uid="{00000000-0005-0000-0000-000079520000}"/>
    <cellStyle name="Normal 22 2" xfId="14571" xr:uid="{00000000-0005-0000-0000-00007A520000}"/>
    <cellStyle name="Normal 22 2 2" xfId="14572" xr:uid="{00000000-0005-0000-0000-00007B520000}"/>
    <cellStyle name="Normal 22 2 2 2" xfId="14573" xr:uid="{00000000-0005-0000-0000-00007C520000}"/>
    <cellStyle name="Normal 22 2 2 2 2" xfId="52567" xr:uid="{00000000-0005-0000-0000-00007D520000}"/>
    <cellStyle name="Normal 22 2 2 3" xfId="14574" xr:uid="{00000000-0005-0000-0000-00007E520000}"/>
    <cellStyle name="Normal 22 2 2 3 2" xfId="52568" xr:uid="{00000000-0005-0000-0000-00007F520000}"/>
    <cellStyle name="Normal 22 2 3" xfId="14575" xr:uid="{00000000-0005-0000-0000-000080520000}"/>
    <cellStyle name="Normal 22 2 3 2" xfId="14576" xr:uid="{00000000-0005-0000-0000-000081520000}"/>
    <cellStyle name="Normal 22 2 3 2 2" xfId="52569" xr:uid="{00000000-0005-0000-0000-000082520000}"/>
    <cellStyle name="Normal 22 2 3 3" xfId="52570" xr:uid="{00000000-0005-0000-0000-000083520000}"/>
    <cellStyle name="Normal 22 2 4" xfId="14577" xr:uid="{00000000-0005-0000-0000-000084520000}"/>
    <cellStyle name="Normal 22 2 4 2" xfId="52571" xr:uid="{00000000-0005-0000-0000-000085520000}"/>
    <cellStyle name="Normal 22 2 5" xfId="14578" xr:uid="{00000000-0005-0000-0000-000086520000}"/>
    <cellStyle name="Normal 22 2 5 2" xfId="52572" xr:uid="{00000000-0005-0000-0000-000087520000}"/>
    <cellStyle name="Normal 22 2 6" xfId="14579" xr:uid="{00000000-0005-0000-0000-000088520000}"/>
    <cellStyle name="Normal 22 3" xfId="14580" xr:uid="{00000000-0005-0000-0000-000089520000}"/>
    <cellStyle name="Normal 22 3 2" xfId="14581" xr:uid="{00000000-0005-0000-0000-00008A520000}"/>
    <cellStyle name="Normal 22 3 2 2" xfId="14582" xr:uid="{00000000-0005-0000-0000-00008B520000}"/>
    <cellStyle name="Normal 22 3 2 2 2" xfId="52573" xr:uid="{00000000-0005-0000-0000-00008C520000}"/>
    <cellStyle name="Normal 22 3 3" xfId="14583" xr:uid="{00000000-0005-0000-0000-00008D520000}"/>
    <cellStyle name="Normal 22 3 4" xfId="14584" xr:uid="{00000000-0005-0000-0000-00008E520000}"/>
    <cellStyle name="Normal 22 3 4 2" xfId="14585" xr:uid="{00000000-0005-0000-0000-00008F520000}"/>
    <cellStyle name="Normal 22 3 4 2 2" xfId="52574" xr:uid="{00000000-0005-0000-0000-000090520000}"/>
    <cellStyle name="Normal 22 3 4 2 3" xfId="52575" xr:uid="{00000000-0005-0000-0000-000091520000}"/>
    <cellStyle name="Normal 22 3 4 3" xfId="52576" xr:uid="{00000000-0005-0000-0000-000092520000}"/>
    <cellStyle name="Normal 22 3 4 4" xfId="52577" xr:uid="{00000000-0005-0000-0000-000093520000}"/>
    <cellStyle name="Normal 22 3 5" xfId="14586" xr:uid="{00000000-0005-0000-0000-000094520000}"/>
    <cellStyle name="Normal 22 3 5 2" xfId="52578" xr:uid="{00000000-0005-0000-0000-000095520000}"/>
    <cellStyle name="Normal 22 3 5 3" xfId="52579" xr:uid="{00000000-0005-0000-0000-000096520000}"/>
    <cellStyle name="Normal 22 3 6" xfId="14587" xr:uid="{00000000-0005-0000-0000-000097520000}"/>
    <cellStyle name="Normal 22 3 6 2" xfId="52580" xr:uid="{00000000-0005-0000-0000-000098520000}"/>
    <cellStyle name="Normal 22 3 7" xfId="14588" xr:uid="{00000000-0005-0000-0000-000099520000}"/>
    <cellStyle name="Normal 22 3 8" xfId="52581" xr:uid="{00000000-0005-0000-0000-00009A520000}"/>
    <cellStyle name="Normal 22 4" xfId="14589" xr:uid="{00000000-0005-0000-0000-00009B520000}"/>
    <cellStyle name="Normal 22 4 2" xfId="14590" xr:uid="{00000000-0005-0000-0000-00009C520000}"/>
    <cellStyle name="Normal 22 4 2 2" xfId="14591" xr:uid="{00000000-0005-0000-0000-00009D520000}"/>
    <cellStyle name="Normal 22 4 2 2 2" xfId="52582" xr:uid="{00000000-0005-0000-0000-00009E520000}"/>
    <cellStyle name="Normal 22 4 3" xfId="14592" xr:uid="{00000000-0005-0000-0000-00009F520000}"/>
    <cellStyle name="Normal 22 4 3 2" xfId="52583" xr:uid="{00000000-0005-0000-0000-0000A0520000}"/>
    <cellStyle name="Normal 22 4 4" xfId="14593" xr:uid="{00000000-0005-0000-0000-0000A1520000}"/>
    <cellStyle name="Normal 22 5" xfId="14594" xr:uid="{00000000-0005-0000-0000-0000A2520000}"/>
    <cellStyle name="Normal 22 5 2" xfId="14595" xr:uid="{00000000-0005-0000-0000-0000A3520000}"/>
    <cellStyle name="Normal 22 5 2 2" xfId="52584" xr:uid="{00000000-0005-0000-0000-0000A4520000}"/>
    <cellStyle name="Normal 22 6" xfId="14596" xr:uid="{00000000-0005-0000-0000-0000A5520000}"/>
    <cellStyle name="Normal 22 6 2" xfId="14597" xr:uid="{00000000-0005-0000-0000-0000A6520000}"/>
    <cellStyle name="Normal 22 6 2 2" xfId="52585" xr:uid="{00000000-0005-0000-0000-0000A7520000}"/>
    <cellStyle name="Normal 22 6 2 3" xfId="52586" xr:uid="{00000000-0005-0000-0000-0000A8520000}"/>
    <cellStyle name="Normal 22 6 3" xfId="52587" xr:uid="{00000000-0005-0000-0000-0000A9520000}"/>
    <cellStyle name="Normal 22 6 4" xfId="52588" xr:uid="{00000000-0005-0000-0000-0000AA520000}"/>
    <cellStyle name="Normal 22 7" xfId="14598" xr:uid="{00000000-0005-0000-0000-0000AB520000}"/>
    <cellStyle name="Normal 22 7 2" xfId="52589" xr:uid="{00000000-0005-0000-0000-0000AC520000}"/>
    <cellStyle name="Normal 22 7 3" xfId="52590" xr:uid="{00000000-0005-0000-0000-0000AD520000}"/>
    <cellStyle name="Normal 22 8" xfId="14599" xr:uid="{00000000-0005-0000-0000-0000AE520000}"/>
    <cellStyle name="Normal 22 8 2" xfId="52591" xr:uid="{00000000-0005-0000-0000-0000AF520000}"/>
    <cellStyle name="Normal 22 9" xfId="14600" xr:uid="{00000000-0005-0000-0000-0000B0520000}"/>
    <cellStyle name="Normal 23" xfId="14601" xr:uid="{00000000-0005-0000-0000-0000B1520000}"/>
    <cellStyle name="Normal 23 10" xfId="14602" xr:uid="{00000000-0005-0000-0000-0000B2520000}"/>
    <cellStyle name="Normal 23 10 2" xfId="14603" xr:uid="{00000000-0005-0000-0000-0000B3520000}"/>
    <cellStyle name="Normal 23 10 2 2" xfId="14604" xr:uid="{00000000-0005-0000-0000-0000B4520000}"/>
    <cellStyle name="Normal 23 10 2 2 2" xfId="52592" xr:uid="{00000000-0005-0000-0000-0000B5520000}"/>
    <cellStyle name="Normal 23 10 2 2 3" xfId="52593" xr:uid="{00000000-0005-0000-0000-0000B6520000}"/>
    <cellStyle name="Normal 23 10 2 3" xfId="14605" xr:uid="{00000000-0005-0000-0000-0000B7520000}"/>
    <cellStyle name="Normal 23 10 2 3 2" xfId="52594" xr:uid="{00000000-0005-0000-0000-0000B8520000}"/>
    <cellStyle name="Normal 23 10 2 4" xfId="14606" xr:uid="{00000000-0005-0000-0000-0000B9520000}"/>
    <cellStyle name="Normal 23 10 2 5" xfId="14607" xr:uid="{00000000-0005-0000-0000-0000BA520000}"/>
    <cellStyle name="Normal 23 10 2 6" xfId="14608" xr:uid="{00000000-0005-0000-0000-0000BB520000}"/>
    <cellStyle name="Normal 23 10 3" xfId="14609" xr:uid="{00000000-0005-0000-0000-0000BC520000}"/>
    <cellStyle name="Normal 23 10 3 2" xfId="52595" xr:uid="{00000000-0005-0000-0000-0000BD520000}"/>
    <cellStyle name="Normal 23 10 3 3" xfId="52596" xr:uid="{00000000-0005-0000-0000-0000BE520000}"/>
    <cellStyle name="Normal 23 10 4" xfId="14610" xr:uid="{00000000-0005-0000-0000-0000BF520000}"/>
    <cellStyle name="Normal 23 10 4 2" xfId="52597" xr:uid="{00000000-0005-0000-0000-0000C0520000}"/>
    <cellStyle name="Normal 23 10 5" xfId="14611" xr:uid="{00000000-0005-0000-0000-0000C1520000}"/>
    <cellStyle name="Normal 23 10 6" xfId="14612" xr:uid="{00000000-0005-0000-0000-0000C2520000}"/>
    <cellStyle name="Normal 23 10 7" xfId="14613" xr:uid="{00000000-0005-0000-0000-0000C3520000}"/>
    <cellStyle name="Normal 23 11" xfId="14614" xr:uid="{00000000-0005-0000-0000-0000C4520000}"/>
    <cellStyle name="Normal 23 11 2" xfId="14615" xr:uid="{00000000-0005-0000-0000-0000C5520000}"/>
    <cellStyle name="Normal 23 11 2 2" xfId="52598" xr:uid="{00000000-0005-0000-0000-0000C6520000}"/>
    <cellStyle name="Normal 23 11 2 3" xfId="52599" xr:uid="{00000000-0005-0000-0000-0000C7520000}"/>
    <cellStyle name="Normal 23 11 3" xfId="14616" xr:uid="{00000000-0005-0000-0000-0000C8520000}"/>
    <cellStyle name="Normal 23 11 3 2" xfId="52600" xr:uid="{00000000-0005-0000-0000-0000C9520000}"/>
    <cellStyle name="Normal 23 11 4" xfId="14617" xr:uid="{00000000-0005-0000-0000-0000CA520000}"/>
    <cellStyle name="Normal 23 11 5" xfId="14618" xr:uid="{00000000-0005-0000-0000-0000CB520000}"/>
    <cellStyle name="Normal 23 11 6" xfId="14619" xr:uid="{00000000-0005-0000-0000-0000CC520000}"/>
    <cellStyle name="Normal 23 12" xfId="14620" xr:uid="{00000000-0005-0000-0000-0000CD520000}"/>
    <cellStyle name="Normal 23 12 2" xfId="52601" xr:uid="{00000000-0005-0000-0000-0000CE520000}"/>
    <cellStyle name="Normal 23 12 3" xfId="52602" xr:uid="{00000000-0005-0000-0000-0000CF520000}"/>
    <cellStyle name="Normal 23 13" xfId="14621" xr:uid="{00000000-0005-0000-0000-0000D0520000}"/>
    <cellStyle name="Normal 23 13 2" xfId="52603" xr:uid="{00000000-0005-0000-0000-0000D1520000}"/>
    <cellStyle name="Normal 23 14" xfId="14622" xr:uid="{00000000-0005-0000-0000-0000D2520000}"/>
    <cellStyle name="Normal 23 14 2" xfId="52604" xr:uid="{00000000-0005-0000-0000-0000D3520000}"/>
    <cellStyle name="Normal 23 15" xfId="14623" xr:uid="{00000000-0005-0000-0000-0000D4520000}"/>
    <cellStyle name="Normal 23 16" xfId="14624" xr:uid="{00000000-0005-0000-0000-0000D5520000}"/>
    <cellStyle name="Normal 23 17" xfId="14625" xr:uid="{00000000-0005-0000-0000-0000D6520000}"/>
    <cellStyle name="Normal 23 18" xfId="14626" xr:uid="{00000000-0005-0000-0000-0000D7520000}"/>
    <cellStyle name="Normal 23 19" xfId="14627" xr:uid="{00000000-0005-0000-0000-0000D8520000}"/>
    <cellStyle name="Normal 23 2" xfId="14628" xr:uid="{00000000-0005-0000-0000-0000D9520000}"/>
    <cellStyle name="Normal 23 2 10" xfId="14629" xr:uid="{00000000-0005-0000-0000-0000DA520000}"/>
    <cellStyle name="Normal 23 2 11" xfId="14630" xr:uid="{00000000-0005-0000-0000-0000DB520000}"/>
    <cellStyle name="Normal 23 2 12" xfId="14631" xr:uid="{00000000-0005-0000-0000-0000DC520000}"/>
    <cellStyle name="Normal 23 2 13" xfId="14632" xr:uid="{00000000-0005-0000-0000-0000DD520000}"/>
    <cellStyle name="Normal 23 2 14" xfId="14633" xr:uid="{00000000-0005-0000-0000-0000DE520000}"/>
    <cellStyle name="Normal 23 2 15" xfId="14634" xr:uid="{00000000-0005-0000-0000-0000DF520000}"/>
    <cellStyle name="Normal 23 2 16" xfId="14635" xr:uid="{00000000-0005-0000-0000-0000E0520000}"/>
    <cellStyle name="Normal 23 2 2" xfId="14636" xr:uid="{00000000-0005-0000-0000-0000E1520000}"/>
    <cellStyle name="Normal 23 2 2 10" xfId="14637" xr:uid="{00000000-0005-0000-0000-0000E2520000}"/>
    <cellStyle name="Normal 23 2 2 11" xfId="14638" xr:uid="{00000000-0005-0000-0000-0000E3520000}"/>
    <cellStyle name="Normal 23 2 2 12" xfId="14639" xr:uid="{00000000-0005-0000-0000-0000E4520000}"/>
    <cellStyle name="Normal 23 2 2 13" xfId="14640" xr:uid="{00000000-0005-0000-0000-0000E5520000}"/>
    <cellStyle name="Normal 23 2 2 14" xfId="14641" xr:uid="{00000000-0005-0000-0000-0000E6520000}"/>
    <cellStyle name="Normal 23 2 2 15" xfId="14642" xr:uid="{00000000-0005-0000-0000-0000E7520000}"/>
    <cellStyle name="Normal 23 2 2 2" xfId="14643" xr:uid="{00000000-0005-0000-0000-0000E8520000}"/>
    <cellStyle name="Normal 23 2 2 2 2" xfId="14644" xr:uid="{00000000-0005-0000-0000-0000E9520000}"/>
    <cellStyle name="Normal 23 2 2 2 2 2" xfId="14645" xr:uid="{00000000-0005-0000-0000-0000EA520000}"/>
    <cellStyle name="Normal 23 2 2 2 2 2 2" xfId="14646" xr:uid="{00000000-0005-0000-0000-0000EB520000}"/>
    <cellStyle name="Normal 23 2 2 2 2 2 2 2" xfId="52605" xr:uid="{00000000-0005-0000-0000-0000EC520000}"/>
    <cellStyle name="Normal 23 2 2 2 2 2 2 3" xfId="52606" xr:uid="{00000000-0005-0000-0000-0000ED520000}"/>
    <cellStyle name="Normal 23 2 2 2 2 2 3" xfId="14647" xr:uid="{00000000-0005-0000-0000-0000EE520000}"/>
    <cellStyle name="Normal 23 2 2 2 2 2 3 2" xfId="52607" xr:uid="{00000000-0005-0000-0000-0000EF520000}"/>
    <cellStyle name="Normal 23 2 2 2 2 2 4" xfId="14648" xr:uid="{00000000-0005-0000-0000-0000F0520000}"/>
    <cellStyle name="Normal 23 2 2 2 2 2 5" xfId="14649" xr:uid="{00000000-0005-0000-0000-0000F1520000}"/>
    <cellStyle name="Normal 23 2 2 2 2 2 6" xfId="14650" xr:uid="{00000000-0005-0000-0000-0000F2520000}"/>
    <cellStyle name="Normal 23 2 2 2 2 3" xfId="14651" xr:uid="{00000000-0005-0000-0000-0000F3520000}"/>
    <cellStyle name="Normal 23 2 2 2 2 3 2" xfId="52608" xr:uid="{00000000-0005-0000-0000-0000F4520000}"/>
    <cellStyle name="Normal 23 2 2 2 2 3 3" xfId="52609" xr:uid="{00000000-0005-0000-0000-0000F5520000}"/>
    <cellStyle name="Normal 23 2 2 2 2 4" xfId="14652" xr:uid="{00000000-0005-0000-0000-0000F6520000}"/>
    <cellStyle name="Normal 23 2 2 2 2 4 2" xfId="52610" xr:uid="{00000000-0005-0000-0000-0000F7520000}"/>
    <cellStyle name="Normal 23 2 2 2 2 5" xfId="14653" xr:uid="{00000000-0005-0000-0000-0000F8520000}"/>
    <cellStyle name="Normal 23 2 2 2 2 6" xfId="14654" xr:uid="{00000000-0005-0000-0000-0000F9520000}"/>
    <cellStyle name="Normal 23 2 2 2 2 7" xfId="14655" xr:uid="{00000000-0005-0000-0000-0000FA520000}"/>
    <cellStyle name="Normal 23 2 2 2 3" xfId="14656" xr:uid="{00000000-0005-0000-0000-0000FB520000}"/>
    <cellStyle name="Normal 23 2 2 2 3 2" xfId="14657" xr:uid="{00000000-0005-0000-0000-0000FC520000}"/>
    <cellStyle name="Normal 23 2 2 2 3 2 2" xfId="52611" xr:uid="{00000000-0005-0000-0000-0000FD520000}"/>
    <cellStyle name="Normal 23 2 2 2 3 2 3" xfId="52612" xr:uid="{00000000-0005-0000-0000-0000FE520000}"/>
    <cellStyle name="Normal 23 2 2 2 3 3" xfId="14658" xr:uid="{00000000-0005-0000-0000-0000FF520000}"/>
    <cellStyle name="Normal 23 2 2 2 3 3 2" xfId="52613" xr:uid="{00000000-0005-0000-0000-000000530000}"/>
    <cellStyle name="Normal 23 2 2 2 3 4" xfId="14659" xr:uid="{00000000-0005-0000-0000-000001530000}"/>
    <cellStyle name="Normal 23 2 2 2 3 5" xfId="14660" xr:uid="{00000000-0005-0000-0000-000002530000}"/>
    <cellStyle name="Normal 23 2 2 2 3 6" xfId="14661" xr:uid="{00000000-0005-0000-0000-000003530000}"/>
    <cellStyle name="Normal 23 2 2 2 4" xfId="14662" xr:uid="{00000000-0005-0000-0000-000004530000}"/>
    <cellStyle name="Normal 23 2 2 2 4 2" xfId="52614" xr:uid="{00000000-0005-0000-0000-000005530000}"/>
    <cellStyle name="Normal 23 2 2 2 4 3" xfId="52615" xr:uid="{00000000-0005-0000-0000-000006530000}"/>
    <cellStyle name="Normal 23 2 2 2 5" xfId="14663" xr:uid="{00000000-0005-0000-0000-000007530000}"/>
    <cellStyle name="Normal 23 2 2 2 5 2" xfId="52616" xr:uid="{00000000-0005-0000-0000-000008530000}"/>
    <cellStyle name="Normal 23 2 2 2 6" xfId="14664" xr:uid="{00000000-0005-0000-0000-000009530000}"/>
    <cellStyle name="Normal 23 2 2 2 7" xfId="14665" xr:uid="{00000000-0005-0000-0000-00000A530000}"/>
    <cellStyle name="Normal 23 2 2 2 8" xfId="14666" xr:uid="{00000000-0005-0000-0000-00000B530000}"/>
    <cellStyle name="Normal 23 2 2 2 9" xfId="14667" xr:uid="{00000000-0005-0000-0000-00000C530000}"/>
    <cellStyle name="Normal 23 2 2 3" xfId="14668" xr:uid="{00000000-0005-0000-0000-00000D530000}"/>
    <cellStyle name="Normal 23 2 2 3 2" xfId="14669" xr:uid="{00000000-0005-0000-0000-00000E530000}"/>
    <cellStyle name="Normal 23 2 2 3 2 2" xfId="14670" xr:uid="{00000000-0005-0000-0000-00000F530000}"/>
    <cellStyle name="Normal 23 2 2 3 2 2 2" xfId="14671" xr:uid="{00000000-0005-0000-0000-000010530000}"/>
    <cellStyle name="Normal 23 2 2 3 2 2 2 2" xfId="52617" xr:uid="{00000000-0005-0000-0000-000011530000}"/>
    <cellStyle name="Normal 23 2 2 3 2 2 2 3" xfId="52618" xr:uid="{00000000-0005-0000-0000-000012530000}"/>
    <cellStyle name="Normal 23 2 2 3 2 2 3" xfId="14672" xr:uid="{00000000-0005-0000-0000-000013530000}"/>
    <cellStyle name="Normal 23 2 2 3 2 2 3 2" xfId="52619" xr:uid="{00000000-0005-0000-0000-000014530000}"/>
    <cellStyle name="Normal 23 2 2 3 2 2 4" xfId="14673" xr:uid="{00000000-0005-0000-0000-000015530000}"/>
    <cellStyle name="Normal 23 2 2 3 2 2 5" xfId="14674" xr:uid="{00000000-0005-0000-0000-000016530000}"/>
    <cellStyle name="Normal 23 2 2 3 2 2 6" xfId="14675" xr:uid="{00000000-0005-0000-0000-000017530000}"/>
    <cellStyle name="Normal 23 2 2 3 2 3" xfId="14676" xr:uid="{00000000-0005-0000-0000-000018530000}"/>
    <cellStyle name="Normal 23 2 2 3 2 3 2" xfId="52620" xr:uid="{00000000-0005-0000-0000-000019530000}"/>
    <cellStyle name="Normal 23 2 2 3 2 3 3" xfId="52621" xr:uid="{00000000-0005-0000-0000-00001A530000}"/>
    <cellStyle name="Normal 23 2 2 3 2 4" xfId="14677" xr:uid="{00000000-0005-0000-0000-00001B530000}"/>
    <cellStyle name="Normal 23 2 2 3 2 4 2" xfId="52622" xr:uid="{00000000-0005-0000-0000-00001C530000}"/>
    <cellStyle name="Normal 23 2 2 3 2 5" xfId="14678" xr:uid="{00000000-0005-0000-0000-00001D530000}"/>
    <cellStyle name="Normal 23 2 2 3 2 6" xfId="14679" xr:uid="{00000000-0005-0000-0000-00001E530000}"/>
    <cellStyle name="Normal 23 2 2 3 2 7" xfId="14680" xr:uid="{00000000-0005-0000-0000-00001F530000}"/>
    <cellStyle name="Normal 23 2 2 3 3" xfId="14681" xr:uid="{00000000-0005-0000-0000-000020530000}"/>
    <cellStyle name="Normal 23 2 2 3 3 2" xfId="14682" xr:uid="{00000000-0005-0000-0000-000021530000}"/>
    <cellStyle name="Normal 23 2 2 3 3 2 2" xfId="52623" xr:uid="{00000000-0005-0000-0000-000022530000}"/>
    <cellStyle name="Normal 23 2 2 3 3 2 3" xfId="52624" xr:uid="{00000000-0005-0000-0000-000023530000}"/>
    <cellStyle name="Normal 23 2 2 3 3 3" xfId="14683" xr:uid="{00000000-0005-0000-0000-000024530000}"/>
    <cellStyle name="Normal 23 2 2 3 3 3 2" xfId="52625" xr:uid="{00000000-0005-0000-0000-000025530000}"/>
    <cellStyle name="Normal 23 2 2 3 3 4" xfId="14684" xr:uid="{00000000-0005-0000-0000-000026530000}"/>
    <cellStyle name="Normal 23 2 2 3 3 5" xfId="14685" xr:uid="{00000000-0005-0000-0000-000027530000}"/>
    <cellStyle name="Normal 23 2 2 3 3 6" xfId="14686" xr:uid="{00000000-0005-0000-0000-000028530000}"/>
    <cellStyle name="Normal 23 2 2 3 4" xfId="14687" xr:uid="{00000000-0005-0000-0000-000029530000}"/>
    <cellStyle name="Normal 23 2 2 3 4 2" xfId="52626" xr:uid="{00000000-0005-0000-0000-00002A530000}"/>
    <cellStyle name="Normal 23 2 2 3 4 3" xfId="52627" xr:uid="{00000000-0005-0000-0000-00002B530000}"/>
    <cellStyle name="Normal 23 2 2 3 5" xfId="14688" xr:uid="{00000000-0005-0000-0000-00002C530000}"/>
    <cellStyle name="Normal 23 2 2 3 5 2" xfId="52628" xr:uid="{00000000-0005-0000-0000-00002D530000}"/>
    <cellStyle name="Normal 23 2 2 3 6" xfId="14689" xr:uid="{00000000-0005-0000-0000-00002E530000}"/>
    <cellStyle name="Normal 23 2 2 3 7" xfId="14690" xr:uid="{00000000-0005-0000-0000-00002F530000}"/>
    <cellStyle name="Normal 23 2 2 3 8" xfId="14691" xr:uid="{00000000-0005-0000-0000-000030530000}"/>
    <cellStyle name="Normal 23 2 2 4" xfId="14692" xr:uid="{00000000-0005-0000-0000-000031530000}"/>
    <cellStyle name="Normal 23 2 2 4 2" xfId="14693" xr:uid="{00000000-0005-0000-0000-000032530000}"/>
    <cellStyle name="Normal 23 2 2 4 2 2" xfId="14694" xr:uid="{00000000-0005-0000-0000-000033530000}"/>
    <cellStyle name="Normal 23 2 2 4 2 2 2" xfId="52629" xr:uid="{00000000-0005-0000-0000-000034530000}"/>
    <cellStyle name="Normal 23 2 2 4 2 2 3" xfId="52630" xr:uid="{00000000-0005-0000-0000-000035530000}"/>
    <cellStyle name="Normal 23 2 2 4 2 3" xfId="14695" xr:uid="{00000000-0005-0000-0000-000036530000}"/>
    <cellStyle name="Normal 23 2 2 4 2 3 2" xfId="52631" xr:uid="{00000000-0005-0000-0000-000037530000}"/>
    <cellStyle name="Normal 23 2 2 4 2 4" xfId="14696" xr:uid="{00000000-0005-0000-0000-000038530000}"/>
    <cellStyle name="Normal 23 2 2 4 2 5" xfId="14697" xr:uid="{00000000-0005-0000-0000-000039530000}"/>
    <cellStyle name="Normal 23 2 2 4 2 6" xfId="14698" xr:uid="{00000000-0005-0000-0000-00003A530000}"/>
    <cellStyle name="Normal 23 2 2 4 3" xfId="14699" xr:uid="{00000000-0005-0000-0000-00003B530000}"/>
    <cellStyle name="Normal 23 2 2 4 3 2" xfId="52632" xr:uid="{00000000-0005-0000-0000-00003C530000}"/>
    <cellStyle name="Normal 23 2 2 4 3 3" xfId="52633" xr:uid="{00000000-0005-0000-0000-00003D530000}"/>
    <cellStyle name="Normal 23 2 2 4 4" xfId="14700" xr:uid="{00000000-0005-0000-0000-00003E530000}"/>
    <cellStyle name="Normal 23 2 2 4 4 2" xfId="52634" xr:uid="{00000000-0005-0000-0000-00003F530000}"/>
    <cellStyle name="Normal 23 2 2 4 5" xfId="14701" xr:uid="{00000000-0005-0000-0000-000040530000}"/>
    <cellStyle name="Normal 23 2 2 4 6" xfId="14702" xr:uid="{00000000-0005-0000-0000-000041530000}"/>
    <cellStyle name="Normal 23 2 2 4 7" xfId="14703" xr:uid="{00000000-0005-0000-0000-000042530000}"/>
    <cellStyle name="Normal 23 2 2 5" xfId="14704" xr:uid="{00000000-0005-0000-0000-000043530000}"/>
    <cellStyle name="Normal 23 2 2 5 2" xfId="14705" xr:uid="{00000000-0005-0000-0000-000044530000}"/>
    <cellStyle name="Normal 23 2 2 5 2 2" xfId="52635" xr:uid="{00000000-0005-0000-0000-000045530000}"/>
    <cellStyle name="Normal 23 2 2 5 2 3" xfId="52636" xr:uid="{00000000-0005-0000-0000-000046530000}"/>
    <cellStyle name="Normal 23 2 2 5 3" xfId="14706" xr:uid="{00000000-0005-0000-0000-000047530000}"/>
    <cellStyle name="Normal 23 2 2 5 3 2" xfId="52637" xr:uid="{00000000-0005-0000-0000-000048530000}"/>
    <cellStyle name="Normal 23 2 2 5 4" xfId="14707" xr:uid="{00000000-0005-0000-0000-000049530000}"/>
    <cellStyle name="Normal 23 2 2 5 5" xfId="14708" xr:uid="{00000000-0005-0000-0000-00004A530000}"/>
    <cellStyle name="Normal 23 2 2 5 6" xfId="14709" xr:uid="{00000000-0005-0000-0000-00004B530000}"/>
    <cellStyle name="Normal 23 2 2 6" xfId="14710" xr:uid="{00000000-0005-0000-0000-00004C530000}"/>
    <cellStyle name="Normal 23 2 2 6 2" xfId="52638" xr:uid="{00000000-0005-0000-0000-00004D530000}"/>
    <cellStyle name="Normal 23 2 2 7" xfId="14711" xr:uid="{00000000-0005-0000-0000-00004E530000}"/>
    <cellStyle name="Normal 23 2 2 8" xfId="14712" xr:uid="{00000000-0005-0000-0000-00004F530000}"/>
    <cellStyle name="Normal 23 2 2 9" xfId="14713" xr:uid="{00000000-0005-0000-0000-000050530000}"/>
    <cellStyle name="Normal 23 2 3" xfId="14714" xr:uid="{00000000-0005-0000-0000-000051530000}"/>
    <cellStyle name="Normal 23 2 3 10" xfId="14715" xr:uid="{00000000-0005-0000-0000-000052530000}"/>
    <cellStyle name="Normal 23 2 3 2" xfId="14716" xr:uid="{00000000-0005-0000-0000-000053530000}"/>
    <cellStyle name="Normal 23 2 3 2 2" xfId="14717" xr:uid="{00000000-0005-0000-0000-000054530000}"/>
    <cellStyle name="Normal 23 2 3 2 2 2" xfId="14718" xr:uid="{00000000-0005-0000-0000-000055530000}"/>
    <cellStyle name="Normal 23 2 3 2 2 2 2" xfId="52639" xr:uid="{00000000-0005-0000-0000-000056530000}"/>
    <cellStyle name="Normal 23 2 3 2 2 2 3" xfId="52640" xr:uid="{00000000-0005-0000-0000-000057530000}"/>
    <cellStyle name="Normal 23 2 3 2 2 3" xfId="14719" xr:uid="{00000000-0005-0000-0000-000058530000}"/>
    <cellStyle name="Normal 23 2 3 2 2 3 2" xfId="52641" xr:uid="{00000000-0005-0000-0000-000059530000}"/>
    <cellStyle name="Normal 23 2 3 2 2 4" xfId="14720" xr:uid="{00000000-0005-0000-0000-00005A530000}"/>
    <cellStyle name="Normal 23 2 3 2 2 5" xfId="14721" xr:uid="{00000000-0005-0000-0000-00005B530000}"/>
    <cellStyle name="Normal 23 2 3 2 2 6" xfId="14722" xr:uid="{00000000-0005-0000-0000-00005C530000}"/>
    <cellStyle name="Normal 23 2 3 2 3" xfId="14723" xr:uid="{00000000-0005-0000-0000-00005D530000}"/>
    <cellStyle name="Normal 23 2 3 2 3 2" xfId="52642" xr:uid="{00000000-0005-0000-0000-00005E530000}"/>
    <cellStyle name="Normal 23 2 3 2 3 3" xfId="52643" xr:uid="{00000000-0005-0000-0000-00005F530000}"/>
    <cellStyle name="Normal 23 2 3 2 4" xfId="14724" xr:uid="{00000000-0005-0000-0000-000060530000}"/>
    <cellStyle name="Normal 23 2 3 2 4 2" xfId="52644" xr:uid="{00000000-0005-0000-0000-000061530000}"/>
    <cellStyle name="Normal 23 2 3 2 5" xfId="14725" xr:uid="{00000000-0005-0000-0000-000062530000}"/>
    <cellStyle name="Normal 23 2 3 2 6" xfId="14726" xr:uid="{00000000-0005-0000-0000-000063530000}"/>
    <cellStyle name="Normal 23 2 3 2 7" xfId="14727" xr:uid="{00000000-0005-0000-0000-000064530000}"/>
    <cellStyle name="Normal 23 2 3 3" xfId="14728" xr:uid="{00000000-0005-0000-0000-000065530000}"/>
    <cellStyle name="Normal 23 2 3 3 2" xfId="14729" xr:uid="{00000000-0005-0000-0000-000066530000}"/>
    <cellStyle name="Normal 23 2 3 3 2 2" xfId="52645" xr:uid="{00000000-0005-0000-0000-000067530000}"/>
    <cellStyle name="Normal 23 2 3 3 2 3" xfId="52646" xr:uid="{00000000-0005-0000-0000-000068530000}"/>
    <cellStyle name="Normal 23 2 3 3 3" xfId="14730" xr:uid="{00000000-0005-0000-0000-000069530000}"/>
    <cellStyle name="Normal 23 2 3 3 3 2" xfId="52647" xr:uid="{00000000-0005-0000-0000-00006A530000}"/>
    <cellStyle name="Normal 23 2 3 3 4" xfId="14731" xr:uid="{00000000-0005-0000-0000-00006B530000}"/>
    <cellStyle name="Normal 23 2 3 3 5" xfId="14732" xr:uid="{00000000-0005-0000-0000-00006C530000}"/>
    <cellStyle name="Normal 23 2 3 3 6" xfId="14733" xr:uid="{00000000-0005-0000-0000-00006D530000}"/>
    <cellStyle name="Normal 23 2 3 4" xfId="14734" xr:uid="{00000000-0005-0000-0000-00006E530000}"/>
    <cellStyle name="Normal 23 2 3 4 2" xfId="52648" xr:uid="{00000000-0005-0000-0000-00006F530000}"/>
    <cellStyle name="Normal 23 2 3 5" xfId="14735" xr:uid="{00000000-0005-0000-0000-000070530000}"/>
    <cellStyle name="Normal 23 2 3 6" xfId="14736" xr:uid="{00000000-0005-0000-0000-000071530000}"/>
    <cellStyle name="Normal 23 2 3 7" xfId="14737" xr:uid="{00000000-0005-0000-0000-000072530000}"/>
    <cellStyle name="Normal 23 2 3 8" xfId="14738" xr:uid="{00000000-0005-0000-0000-000073530000}"/>
    <cellStyle name="Normal 23 2 3 9" xfId="14739" xr:uid="{00000000-0005-0000-0000-000074530000}"/>
    <cellStyle name="Normal 23 2 4" xfId="14740" xr:uid="{00000000-0005-0000-0000-000075530000}"/>
    <cellStyle name="Normal 23 2 4 2" xfId="14741" xr:uid="{00000000-0005-0000-0000-000076530000}"/>
    <cellStyle name="Normal 23 2 4 2 2" xfId="14742" xr:uid="{00000000-0005-0000-0000-000077530000}"/>
    <cellStyle name="Normal 23 2 4 2 2 2" xfId="14743" xr:uid="{00000000-0005-0000-0000-000078530000}"/>
    <cellStyle name="Normal 23 2 4 2 2 2 2" xfId="52649" xr:uid="{00000000-0005-0000-0000-000079530000}"/>
    <cellStyle name="Normal 23 2 4 2 2 2 3" xfId="52650" xr:uid="{00000000-0005-0000-0000-00007A530000}"/>
    <cellStyle name="Normal 23 2 4 2 2 3" xfId="14744" xr:uid="{00000000-0005-0000-0000-00007B530000}"/>
    <cellStyle name="Normal 23 2 4 2 2 3 2" xfId="52651" xr:uid="{00000000-0005-0000-0000-00007C530000}"/>
    <cellStyle name="Normal 23 2 4 2 2 4" xfId="14745" xr:uid="{00000000-0005-0000-0000-00007D530000}"/>
    <cellStyle name="Normal 23 2 4 2 2 5" xfId="14746" xr:uid="{00000000-0005-0000-0000-00007E530000}"/>
    <cellStyle name="Normal 23 2 4 2 2 6" xfId="14747" xr:uid="{00000000-0005-0000-0000-00007F530000}"/>
    <cellStyle name="Normal 23 2 4 2 3" xfId="14748" xr:uid="{00000000-0005-0000-0000-000080530000}"/>
    <cellStyle name="Normal 23 2 4 2 3 2" xfId="52652" xr:uid="{00000000-0005-0000-0000-000081530000}"/>
    <cellStyle name="Normal 23 2 4 2 3 3" xfId="52653" xr:uid="{00000000-0005-0000-0000-000082530000}"/>
    <cellStyle name="Normal 23 2 4 2 4" xfId="14749" xr:uid="{00000000-0005-0000-0000-000083530000}"/>
    <cellStyle name="Normal 23 2 4 2 4 2" xfId="52654" xr:uid="{00000000-0005-0000-0000-000084530000}"/>
    <cellStyle name="Normal 23 2 4 2 5" xfId="14750" xr:uid="{00000000-0005-0000-0000-000085530000}"/>
    <cellStyle name="Normal 23 2 4 2 6" xfId="14751" xr:uid="{00000000-0005-0000-0000-000086530000}"/>
    <cellStyle name="Normal 23 2 4 2 7" xfId="14752" xr:uid="{00000000-0005-0000-0000-000087530000}"/>
    <cellStyle name="Normal 23 2 4 3" xfId="14753" xr:uid="{00000000-0005-0000-0000-000088530000}"/>
    <cellStyle name="Normal 23 2 4 3 2" xfId="14754" xr:uid="{00000000-0005-0000-0000-000089530000}"/>
    <cellStyle name="Normal 23 2 4 3 2 2" xfId="52655" xr:uid="{00000000-0005-0000-0000-00008A530000}"/>
    <cellStyle name="Normal 23 2 4 3 2 3" xfId="52656" xr:uid="{00000000-0005-0000-0000-00008B530000}"/>
    <cellStyle name="Normal 23 2 4 3 3" xfId="14755" xr:uid="{00000000-0005-0000-0000-00008C530000}"/>
    <cellStyle name="Normal 23 2 4 3 3 2" xfId="52657" xr:uid="{00000000-0005-0000-0000-00008D530000}"/>
    <cellStyle name="Normal 23 2 4 3 4" xfId="14756" xr:uid="{00000000-0005-0000-0000-00008E530000}"/>
    <cellStyle name="Normal 23 2 4 3 5" xfId="14757" xr:uid="{00000000-0005-0000-0000-00008F530000}"/>
    <cellStyle name="Normal 23 2 4 3 6" xfId="14758" xr:uid="{00000000-0005-0000-0000-000090530000}"/>
    <cellStyle name="Normal 23 2 4 4" xfId="14759" xr:uid="{00000000-0005-0000-0000-000091530000}"/>
    <cellStyle name="Normal 23 2 4 4 2" xfId="52658" xr:uid="{00000000-0005-0000-0000-000092530000}"/>
    <cellStyle name="Normal 23 2 4 4 3" xfId="52659" xr:uid="{00000000-0005-0000-0000-000093530000}"/>
    <cellStyle name="Normal 23 2 4 5" xfId="14760" xr:uid="{00000000-0005-0000-0000-000094530000}"/>
    <cellStyle name="Normal 23 2 4 5 2" xfId="52660" xr:uid="{00000000-0005-0000-0000-000095530000}"/>
    <cellStyle name="Normal 23 2 4 6" xfId="14761" xr:uid="{00000000-0005-0000-0000-000096530000}"/>
    <cellStyle name="Normal 23 2 4 7" xfId="14762" xr:uid="{00000000-0005-0000-0000-000097530000}"/>
    <cellStyle name="Normal 23 2 4 8" xfId="14763" xr:uid="{00000000-0005-0000-0000-000098530000}"/>
    <cellStyle name="Normal 23 2 5" xfId="14764" xr:uid="{00000000-0005-0000-0000-000099530000}"/>
    <cellStyle name="Normal 23 2 5 2" xfId="14765" xr:uid="{00000000-0005-0000-0000-00009A530000}"/>
    <cellStyle name="Normal 23 2 5 2 2" xfId="14766" xr:uid="{00000000-0005-0000-0000-00009B530000}"/>
    <cellStyle name="Normal 23 2 5 2 2 2" xfId="52661" xr:uid="{00000000-0005-0000-0000-00009C530000}"/>
    <cellStyle name="Normal 23 2 5 2 2 3" xfId="52662" xr:uid="{00000000-0005-0000-0000-00009D530000}"/>
    <cellStyle name="Normal 23 2 5 2 3" xfId="14767" xr:uid="{00000000-0005-0000-0000-00009E530000}"/>
    <cellStyle name="Normal 23 2 5 2 3 2" xfId="52663" xr:uid="{00000000-0005-0000-0000-00009F530000}"/>
    <cellStyle name="Normal 23 2 5 2 4" xfId="14768" xr:uid="{00000000-0005-0000-0000-0000A0530000}"/>
    <cellStyle name="Normal 23 2 5 2 5" xfId="14769" xr:uid="{00000000-0005-0000-0000-0000A1530000}"/>
    <cellStyle name="Normal 23 2 5 2 6" xfId="14770" xr:uid="{00000000-0005-0000-0000-0000A2530000}"/>
    <cellStyle name="Normal 23 2 5 3" xfId="14771" xr:uid="{00000000-0005-0000-0000-0000A3530000}"/>
    <cellStyle name="Normal 23 2 5 3 2" xfId="52664" xr:uid="{00000000-0005-0000-0000-0000A4530000}"/>
    <cellStyle name="Normal 23 2 5 3 3" xfId="52665" xr:uid="{00000000-0005-0000-0000-0000A5530000}"/>
    <cellStyle name="Normal 23 2 5 4" xfId="14772" xr:uid="{00000000-0005-0000-0000-0000A6530000}"/>
    <cellStyle name="Normal 23 2 5 4 2" xfId="52666" xr:uid="{00000000-0005-0000-0000-0000A7530000}"/>
    <cellStyle name="Normal 23 2 5 5" xfId="14773" xr:uid="{00000000-0005-0000-0000-0000A8530000}"/>
    <cellStyle name="Normal 23 2 5 6" xfId="14774" xr:uid="{00000000-0005-0000-0000-0000A9530000}"/>
    <cellStyle name="Normal 23 2 5 7" xfId="14775" xr:uid="{00000000-0005-0000-0000-0000AA530000}"/>
    <cellStyle name="Normal 23 2 6" xfId="14776" xr:uid="{00000000-0005-0000-0000-0000AB530000}"/>
    <cellStyle name="Normal 23 2 6 2" xfId="14777" xr:uid="{00000000-0005-0000-0000-0000AC530000}"/>
    <cellStyle name="Normal 23 2 6 2 2" xfId="52667" xr:uid="{00000000-0005-0000-0000-0000AD530000}"/>
    <cellStyle name="Normal 23 2 6 2 3" xfId="52668" xr:uid="{00000000-0005-0000-0000-0000AE530000}"/>
    <cellStyle name="Normal 23 2 6 3" xfId="14778" xr:uid="{00000000-0005-0000-0000-0000AF530000}"/>
    <cellStyle name="Normal 23 2 6 3 2" xfId="52669" xr:uid="{00000000-0005-0000-0000-0000B0530000}"/>
    <cellStyle name="Normal 23 2 6 4" xfId="14779" xr:uid="{00000000-0005-0000-0000-0000B1530000}"/>
    <cellStyle name="Normal 23 2 6 5" xfId="14780" xr:uid="{00000000-0005-0000-0000-0000B2530000}"/>
    <cellStyle name="Normal 23 2 6 6" xfId="14781" xr:uid="{00000000-0005-0000-0000-0000B3530000}"/>
    <cellStyle name="Normal 23 2 7" xfId="14782" xr:uid="{00000000-0005-0000-0000-0000B4530000}"/>
    <cellStyle name="Normal 23 2 7 2" xfId="52670" xr:uid="{00000000-0005-0000-0000-0000B5530000}"/>
    <cellStyle name="Normal 23 2 7 3" xfId="52671" xr:uid="{00000000-0005-0000-0000-0000B6530000}"/>
    <cellStyle name="Normal 23 2 8" xfId="14783" xr:uid="{00000000-0005-0000-0000-0000B7530000}"/>
    <cellStyle name="Normal 23 2 8 2" xfId="52672" xr:uid="{00000000-0005-0000-0000-0000B8530000}"/>
    <cellStyle name="Normal 23 2 9" xfId="14784" xr:uid="{00000000-0005-0000-0000-0000B9530000}"/>
    <cellStyle name="Normal 23 2 9 2" xfId="52673" xr:uid="{00000000-0005-0000-0000-0000BA530000}"/>
    <cellStyle name="Normal 23 20" xfId="14785" xr:uid="{00000000-0005-0000-0000-0000BB530000}"/>
    <cellStyle name="Normal 23 21" xfId="14786" xr:uid="{00000000-0005-0000-0000-0000BC530000}"/>
    <cellStyle name="Normal 23 3" xfId="14787" xr:uid="{00000000-0005-0000-0000-0000BD530000}"/>
    <cellStyle name="Normal 23 3 10" xfId="14788" xr:uid="{00000000-0005-0000-0000-0000BE530000}"/>
    <cellStyle name="Normal 23 3 11" xfId="14789" xr:uid="{00000000-0005-0000-0000-0000BF530000}"/>
    <cellStyle name="Normal 23 3 12" xfId="14790" xr:uid="{00000000-0005-0000-0000-0000C0530000}"/>
    <cellStyle name="Normal 23 3 13" xfId="14791" xr:uid="{00000000-0005-0000-0000-0000C1530000}"/>
    <cellStyle name="Normal 23 3 14" xfId="14792" xr:uid="{00000000-0005-0000-0000-0000C2530000}"/>
    <cellStyle name="Normal 23 3 15" xfId="14793" xr:uid="{00000000-0005-0000-0000-0000C3530000}"/>
    <cellStyle name="Normal 23 3 16" xfId="14794" xr:uid="{00000000-0005-0000-0000-0000C4530000}"/>
    <cellStyle name="Normal 23 3 17" xfId="14795" xr:uid="{00000000-0005-0000-0000-0000C5530000}"/>
    <cellStyle name="Normal 23 3 2" xfId="14796" xr:uid="{00000000-0005-0000-0000-0000C6530000}"/>
    <cellStyle name="Normal 23 3 2 10" xfId="14797" xr:uid="{00000000-0005-0000-0000-0000C7530000}"/>
    <cellStyle name="Normal 23 3 2 11" xfId="14798" xr:uid="{00000000-0005-0000-0000-0000C8530000}"/>
    <cellStyle name="Normal 23 3 2 12" xfId="14799" xr:uid="{00000000-0005-0000-0000-0000C9530000}"/>
    <cellStyle name="Normal 23 3 2 13" xfId="14800" xr:uid="{00000000-0005-0000-0000-0000CA530000}"/>
    <cellStyle name="Normal 23 3 2 14" xfId="14801" xr:uid="{00000000-0005-0000-0000-0000CB530000}"/>
    <cellStyle name="Normal 23 3 2 15" xfId="14802" xr:uid="{00000000-0005-0000-0000-0000CC530000}"/>
    <cellStyle name="Normal 23 3 2 2" xfId="14803" xr:uid="{00000000-0005-0000-0000-0000CD530000}"/>
    <cellStyle name="Normal 23 3 2 2 2" xfId="14804" xr:uid="{00000000-0005-0000-0000-0000CE530000}"/>
    <cellStyle name="Normal 23 3 2 2 2 2" xfId="14805" xr:uid="{00000000-0005-0000-0000-0000CF530000}"/>
    <cellStyle name="Normal 23 3 2 2 2 2 2" xfId="14806" xr:uid="{00000000-0005-0000-0000-0000D0530000}"/>
    <cellStyle name="Normal 23 3 2 2 2 2 2 2" xfId="52674" xr:uid="{00000000-0005-0000-0000-0000D1530000}"/>
    <cellStyle name="Normal 23 3 2 2 2 2 2 3" xfId="52675" xr:uid="{00000000-0005-0000-0000-0000D2530000}"/>
    <cellStyle name="Normal 23 3 2 2 2 2 3" xfId="14807" xr:uid="{00000000-0005-0000-0000-0000D3530000}"/>
    <cellStyle name="Normal 23 3 2 2 2 2 3 2" xfId="52676" xr:uid="{00000000-0005-0000-0000-0000D4530000}"/>
    <cellStyle name="Normal 23 3 2 2 2 2 4" xfId="14808" xr:uid="{00000000-0005-0000-0000-0000D5530000}"/>
    <cellStyle name="Normal 23 3 2 2 2 2 5" xfId="14809" xr:uid="{00000000-0005-0000-0000-0000D6530000}"/>
    <cellStyle name="Normal 23 3 2 2 2 2 6" xfId="14810" xr:uid="{00000000-0005-0000-0000-0000D7530000}"/>
    <cellStyle name="Normal 23 3 2 2 2 3" xfId="14811" xr:uid="{00000000-0005-0000-0000-0000D8530000}"/>
    <cellStyle name="Normal 23 3 2 2 2 3 2" xfId="52677" xr:uid="{00000000-0005-0000-0000-0000D9530000}"/>
    <cellStyle name="Normal 23 3 2 2 2 3 3" xfId="52678" xr:uid="{00000000-0005-0000-0000-0000DA530000}"/>
    <cellStyle name="Normal 23 3 2 2 2 4" xfId="14812" xr:uid="{00000000-0005-0000-0000-0000DB530000}"/>
    <cellStyle name="Normal 23 3 2 2 2 4 2" xfId="52679" xr:uid="{00000000-0005-0000-0000-0000DC530000}"/>
    <cellStyle name="Normal 23 3 2 2 2 5" xfId="14813" xr:uid="{00000000-0005-0000-0000-0000DD530000}"/>
    <cellStyle name="Normal 23 3 2 2 2 6" xfId="14814" xr:uid="{00000000-0005-0000-0000-0000DE530000}"/>
    <cellStyle name="Normal 23 3 2 2 2 7" xfId="14815" xr:uid="{00000000-0005-0000-0000-0000DF530000}"/>
    <cellStyle name="Normal 23 3 2 2 3" xfId="14816" xr:uid="{00000000-0005-0000-0000-0000E0530000}"/>
    <cellStyle name="Normal 23 3 2 2 3 2" xfId="14817" xr:uid="{00000000-0005-0000-0000-0000E1530000}"/>
    <cellStyle name="Normal 23 3 2 2 3 2 2" xfId="52680" xr:uid="{00000000-0005-0000-0000-0000E2530000}"/>
    <cellStyle name="Normal 23 3 2 2 3 2 3" xfId="52681" xr:uid="{00000000-0005-0000-0000-0000E3530000}"/>
    <cellStyle name="Normal 23 3 2 2 3 3" xfId="14818" xr:uid="{00000000-0005-0000-0000-0000E4530000}"/>
    <cellStyle name="Normal 23 3 2 2 3 3 2" xfId="52682" xr:uid="{00000000-0005-0000-0000-0000E5530000}"/>
    <cellStyle name="Normal 23 3 2 2 3 4" xfId="14819" xr:uid="{00000000-0005-0000-0000-0000E6530000}"/>
    <cellStyle name="Normal 23 3 2 2 3 5" xfId="14820" xr:uid="{00000000-0005-0000-0000-0000E7530000}"/>
    <cellStyle name="Normal 23 3 2 2 3 6" xfId="14821" xr:uid="{00000000-0005-0000-0000-0000E8530000}"/>
    <cellStyle name="Normal 23 3 2 2 4" xfId="14822" xr:uid="{00000000-0005-0000-0000-0000E9530000}"/>
    <cellStyle name="Normal 23 3 2 2 4 2" xfId="52683" xr:uid="{00000000-0005-0000-0000-0000EA530000}"/>
    <cellStyle name="Normal 23 3 2 2 4 3" xfId="52684" xr:uid="{00000000-0005-0000-0000-0000EB530000}"/>
    <cellStyle name="Normal 23 3 2 2 5" xfId="14823" xr:uid="{00000000-0005-0000-0000-0000EC530000}"/>
    <cellStyle name="Normal 23 3 2 2 5 2" xfId="52685" xr:uid="{00000000-0005-0000-0000-0000ED530000}"/>
    <cellStyle name="Normal 23 3 2 2 6" xfId="14824" xr:uid="{00000000-0005-0000-0000-0000EE530000}"/>
    <cellStyle name="Normal 23 3 2 2 7" xfId="14825" xr:uid="{00000000-0005-0000-0000-0000EF530000}"/>
    <cellStyle name="Normal 23 3 2 2 8" xfId="14826" xr:uid="{00000000-0005-0000-0000-0000F0530000}"/>
    <cellStyle name="Normal 23 3 2 2 9" xfId="14827" xr:uid="{00000000-0005-0000-0000-0000F1530000}"/>
    <cellStyle name="Normal 23 3 2 3" xfId="14828" xr:uid="{00000000-0005-0000-0000-0000F2530000}"/>
    <cellStyle name="Normal 23 3 2 3 2" xfId="14829" xr:uid="{00000000-0005-0000-0000-0000F3530000}"/>
    <cellStyle name="Normal 23 3 2 3 2 2" xfId="14830" xr:uid="{00000000-0005-0000-0000-0000F4530000}"/>
    <cellStyle name="Normal 23 3 2 3 2 2 2" xfId="14831" xr:uid="{00000000-0005-0000-0000-0000F5530000}"/>
    <cellStyle name="Normal 23 3 2 3 2 2 2 2" xfId="52686" xr:uid="{00000000-0005-0000-0000-0000F6530000}"/>
    <cellStyle name="Normal 23 3 2 3 2 2 2 3" xfId="52687" xr:uid="{00000000-0005-0000-0000-0000F7530000}"/>
    <cellStyle name="Normal 23 3 2 3 2 2 3" xfId="14832" xr:uid="{00000000-0005-0000-0000-0000F8530000}"/>
    <cellStyle name="Normal 23 3 2 3 2 2 3 2" xfId="52688" xr:uid="{00000000-0005-0000-0000-0000F9530000}"/>
    <cellStyle name="Normal 23 3 2 3 2 2 4" xfId="14833" xr:uid="{00000000-0005-0000-0000-0000FA530000}"/>
    <cellStyle name="Normal 23 3 2 3 2 2 5" xfId="14834" xr:uid="{00000000-0005-0000-0000-0000FB530000}"/>
    <cellStyle name="Normal 23 3 2 3 2 2 6" xfId="14835" xr:uid="{00000000-0005-0000-0000-0000FC530000}"/>
    <cellStyle name="Normal 23 3 2 3 2 3" xfId="14836" xr:uid="{00000000-0005-0000-0000-0000FD530000}"/>
    <cellStyle name="Normal 23 3 2 3 2 3 2" xfId="52689" xr:uid="{00000000-0005-0000-0000-0000FE530000}"/>
    <cellStyle name="Normal 23 3 2 3 2 3 3" xfId="52690" xr:uid="{00000000-0005-0000-0000-0000FF530000}"/>
    <cellStyle name="Normal 23 3 2 3 2 4" xfId="14837" xr:uid="{00000000-0005-0000-0000-000000540000}"/>
    <cellStyle name="Normal 23 3 2 3 2 4 2" xfId="52691" xr:uid="{00000000-0005-0000-0000-000001540000}"/>
    <cellStyle name="Normal 23 3 2 3 2 5" xfId="14838" xr:uid="{00000000-0005-0000-0000-000002540000}"/>
    <cellStyle name="Normal 23 3 2 3 2 6" xfId="14839" xr:uid="{00000000-0005-0000-0000-000003540000}"/>
    <cellStyle name="Normal 23 3 2 3 2 7" xfId="14840" xr:uid="{00000000-0005-0000-0000-000004540000}"/>
    <cellStyle name="Normal 23 3 2 3 3" xfId="14841" xr:uid="{00000000-0005-0000-0000-000005540000}"/>
    <cellStyle name="Normal 23 3 2 3 3 2" xfId="14842" xr:uid="{00000000-0005-0000-0000-000006540000}"/>
    <cellStyle name="Normal 23 3 2 3 3 2 2" xfId="52692" xr:uid="{00000000-0005-0000-0000-000007540000}"/>
    <cellStyle name="Normal 23 3 2 3 3 2 3" xfId="52693" xr:uid="{00000000-0005-0000-0000-000008540000}"/>
    <cellStyle name="Normal 23 3 2 3 3 3" xfId="14843" xr:uid="{00000000-0005-0000-0000-000009540000}"/>
    <cellStyle name="Normal 23 3 2 3 3 3 2" xfId="52694" xr:uid="{00000000-0005-0000-0000-00000A540000}"/>
    <cellStyle name="Normal 23 3 2 3 3 4" xfId="14844" xr:uid="{00000000-0005-0000-0000-00000B540000}"/>
    <cellStyle name="Normal 23 3 2 3 3 5" xfId="14845" xr:uid="{00000000-0005-0000-0000-00000C540000}"/>
    <cellStyle name="Normal 23 3 2 3 3 6" xfId="14846" xr:uid="{00000000-0005-0000-0000-00000D540000}"/>
    <cellStyle name="Normal 23 3 2 3 4" xfId="14847" xr:uid="{00000000-0005-0000-0000-00000E540000}"/>
    <cellStyle name="Normal 23 3 2 3 4 2" xfId="52695" xr:uid="{00000000-0005-0000-0000-00000F540000}"/>
    <cellStyle name="Normal 23 3 2 3 4 3" xfId="52696" xr:uid="{00000000-0005-0000-0000-000010540000}"/>
    <cellStyle name="Normal 23 3 2 3 5" xfId="14848" xr:uid="{00000000-0005-0000-0000-000011540000}"/>
    <cellStyle name="Normal 23 3 2 3 5 2" xfId="52697" xr:uid="{00000000-0005-0000-0000-000012540000}"/>
    <cellStyle name="Normal 23 3 2 3 6" xfId="14849" xr:uid="{00000000-0005-0000-0000-000013540000}"/>
    <cellStyle name="Normal 23 3 2 3 7" xfId="14850" xr:uid="{00000000-0005-0000-0000-000014540000}"/>
    <cellStyle name="Normal 23 3 2 3 8" xfId="14851" xr:uid="{00000000-0005-0000-0000-000015540000}"/>
    <cellStyle name="Normal 23 3 2 4" xfId="14852" xr:uid="{00000000-0005-0000-0000-000016540000}"/>
    <cellStyle name="Normal 23 3 2 4 2" xfId="14853" xr:uid="{00000000-0005-0000-0000-000017540000}"/>
    <cellStyle name="Normal 23 3 2 4 2 2" xfId="14854" xr:uid="{00000000-0005-0000-0000-000018540000}"/>
    <cellStyle name="Normal 23 3 2 4 2 2 2" xfId="52698" xr:uid="{00000000-0005-0000-0000-000019540000}"/>
    <cellStyle name="Normal 23 3 2 4 2 2 3" xfId="52699" xr:uid="{00000000-0005-0000-0000-00001A540000}"/>
    <cellStyle name="Normal 23 3 2 4 2 3" xfId="14855" xr:uid="{00000000-0005-0000-0000-00001B540000}"/>
    <cellStyle name="Normal 23 3 2 4 2 3 2" xfId="52700" xr:uid="{00000000-0005-0000-0000-00001C540000}"/>
    <cellStyle name="Normal 23 3 2 4 2 4" xfId="14856" xr:uid="{00000000-0005-0000-0000-00001D540000}"/>
    <cellStyle name="Normal 23 3 2 4 2 5" xfId="14857" xr:uid="{00000000-0005-0000-0000-00001E540000}"/>
    <cellStyle name="Normal 23 3 2 4 2 6" xfId="14858" xr:uid="{00000000-0005-0000-0000-00001F540000}"/>
    <cellStyle name="Normal 23 3 2 4 3" xfId="14859" xr:uid="{00000000-0005-0000-0000-000020540000}"/>
    <cellStyle name="Normal 23 3 2 4 3 2" xfId="52701" xr:uid="{00000000-0005-0000-0000-000021540000}"/>
    <cellStyle name="Normal 23 3 2 4 3 3" xfId="52702" xr:uid="{00000000-0005-0000-0000-000022540000}"/>
    <cellStyle name="Normal 23 3 2 4 4" xfId="14860" xr:uid="{00000000-0005-0000-0000-000023540000}"/>
    <cellStyle name="Normal 23 3 2 4 4 2" xfId="52703" xr:uid="{00000000-0005-0000-0000-000024540000}"/>
    <cellStyle name="Normal 23 3 2 4 5" xfId="14861" xr:uid="{00000000-0005-0000-0000-000025540000}"/>
    <cellStyle name="Normal 23 3 2 4 6" xfId="14862" xr:uid="{00000000-0005-0000-0000-000026540000}"/>
    <cellStyle name="Normal 23 3 2 4 7" xfId="14863" xr:uid="{00000000-0005-0000-0000-000027540000}"/>
    <cellStyle name="Normal 23 3 2 5" xfId="14864" xr:uid="{00000000-0005-0000-0000-000028540000}"/>
    <cellStyle name="Normal 23 3 2 5 2" xfId="14865" xr:uid="{00000000-0005-0000-0000-000029540000}"/>
    <cellStyle name="Normal 23 3 2 5 2 2" xfId="52704" xr:uid="{00000000-0005-0000-0000-00002A540000}"/>
    <cellStyle name="Normal 23 3 2 5 2 3" xfId="52705" xr:uid="{00000000-0005-0000-0000-00002B540000}"/>
    <cellStyle name="Normal 23 3 2 5 3" xfId="14866" xr:uid="{00000000-0005-0000-0000-00002C540000}"/>
    <cellStyle name="Normal 23 3 2 5 3 2" xfId="52706" xr:uid="{00000000-0005-0000-0000-00002D540000}"/>
    <cellStyle name="Normal 23 3 2 5 4" xfId="14867" xr:uid="{00000000-0005-0000-0000-00002E540000}"/>
    <cellStyle name="Normal 23 3 2 5 5" xfId="14868" xr:uid="{00000000-0005-0000-0000-00002F540000}"/>
    <cellStyle name="Normal 23 3 2 5 6" xfId="14869" xr:uid="{00000000-0005-0000-0000-000030540000}"/>
    <cellStyle name="Normal 23 3 2 6" xfId="14870" xr:uid="{00000000-0005-0000-0000-000031540000}"/>
    <cellStyle name="Normal 23 3 2 6 2" xfId="52707" xr:uid="{00000000-0005-0000-0000-000032540000}"/>
    <cellStyle name="Normal 23 3 2 7" xfId="14871" xr:uid="{00000000-0005-0000-0000-000033540000}"/>
    <cellStyle name="Normal 23 3 2 8" xfId="14872" xr:uid="{00000000-0005-0000-0000-000034540000}"/>
    <cellStyle name="Normal 23 3 2 9" xfId="14873" xr:uid="{00000000-0005-0000-0000-000035540000}"/>
    <cellStyle name="Normal 23 3 3" xfId="14874" xr:uid="{00000000-0005-0000-0000-000036540000}"/>
    <cellStyle name="Normal 23 3 3 2" xfId="14875" xr:uid="{00000000-0005-0000-0000-000037540000}"/>
    <cellStyle name="Normal 23 3 3 2 2" xfId="14876" xr:uid="{00000000-0005-0000-0000-000038540000}"/>
    <cellStyle name="Normal 23 3 3 2 2 2" xfId="14877" xr:uid="{00000000-0005-0000-0000-000039540000}"/>
    <cellStyle name="Normal 23 3 3 2 2 2 2" xfId="52708" xr:uid="{00000000-0005-0000-0000-00003A540000}"/>
    <cellStyle name="Normal 23 3 3 2 2 2 3" xfId="52709" xr:uid="{00000000-0005-0000-0000-00003B540000}"/>
    <cellStyle name="Normal 23 3 3 2 2 3" xfId="14878" xr:uid="{00000000-0005-0000-0000-00003C540000}"/>
    <cellStyle name="Normal 23 3 3 2 2 3 2" xfId="52710" xr:uid="{00000000-0005-0000-0000-00003D540000}"/>
    <cellStyle name="Normal 23 3 3 2 2 4" xfId="14879" xr:uid="{00000000-0005-0000-0000-00003E540000}"/>
    <cellStyle name="Normal 23 3 3 2 2 5" xfId="14880" xr:uid="{00000000-0005-0000-0000-00003F540000}"/>
    <cellStyle name="Normal 23 3 3 2 2 6" xfId="14881" xr:uid="{00000000-0005-0000-0000-000040540000}"/>
    <cellStyle name="Normal 23 3 3 2 3" xfId="14882" xr:uid="{00000000-0005-0000-0000-000041540000}"/>
    <cellStyle name="Normal 23 3 3 2 3 2" xfId="52711" xr:uid="{00000000-0005-0000-0000-000042540000}"/>
    <cellStyle name="Normal 23 3 3 2 3 3" xfId="52712" xr:uid="{00000000-0005-0000-0000-000043540000}"/>
    <cellStyle name="Normal 23 3 3 2 4" xfId="14883" xr:uid="{00000000-0005-0000-0000-000044540000}"/>
    <cellStyle name="Normal 23 3 3 2 4 2" xfId="52713" xr:uid="{00000000-0005-0000-0000-000045540000}"/>
    <cellStyle name="Normal 23 3 3 2 5" xfId="14884" xr:uid="{00000000-0005-0000-0000-000046540000}"/>
    <cellStyle name="Normal 23 3 3 2 6" xfId="14885" xr:uid="{00000000-0005-0000-0000-000047540000}"/>
    <cellStyle name="Normal 23 3 3 2 7" xfId="14886" xr:uid="{00000000-0005-0000-0000-000048540000}"/>
    <cellStyle name="Normal 23 3 3 3" xfId="14887" xr:uid="{00000000-0005-0000-0000-000049540000}"/>
    <cellStyle name="Normal 23 3 3 3 2" xfId="14888" xr:uid="{00000000-0005-0000-0000-00004A540000}"/>
    <cellStyle name="Normal 23 3 3 3 2 2" xfId="52714" xr:uid="{00000000-0005-0000-0000-00004B540000}"/>
    <cellStyle name="Normal 23 3 3 3 2 3" xfId="52715" xr:uid="{00000000-0005-0000-0000-00004C540000}"/>
    <cellStyle name="Normal 23 3 3 3 3" xfId="14889" xr:uid="{00000000-0005-0000-0000-00004D540000}"/>
    <cellStyle name="Normal 23 3 3 3 3 2" xfId="52716" xr:uid="{00000000-0005-0000-0000-00004E540000}"/>
    <cellStyle name="Normal 23 3 3 3 4" xfId="14890" xr:uid="{00000000-0005-0000-0000-00004F540000}"/>
    <cellStyle name="Normal 23 3 3 3 5" xfId="14891" xr:uid="{00000000-0005-0000-0000-000050540000}"/>
    <cellStyle name="Normal 23 3 3 3 6" xfId="14892" xr:uid="{00000000-0005-0000-0000-000051540000}"/>
    <cellStyle name="Normal 23 3 3 4" xfId="14893" xr:uid="{00000000-0005-0000-0000-000052540000}"/>
    <cellStyle name="Normal 23 3 3 4 2" xfId="52717" xr:uid="{00000000-0005-0000-0000-000053540000}"/>
    <cellStyle name="Normal 23 3 3 4 3" xfId="52718" xr:uid="{00000000-0005-0000-0000-000054540000}"/>
    <cellStyle name="Normal 23 3 3 5" xfId="14894" xr:uid="{00000000-0005-0000-0000-000055540000}"/>
    <cellStyle name="Normal 23 3 3 5 2" xfId="52719" xr:uid="{00000000-0005-0000-0000-000056540000}"/>
    <cellStyle name="Normal 23 3 3 6" xfId="14895" xr:uid="{00000000-0005-0000-0000-000057540000}"/>
    <cellStyle name="Normal 23 3 3 7" xfId="14896" xr:uid="{00000000-0005-0000-0000-000058540000}"/>
    <cellStyle name="Normal 23 3 3 8" xfId="14897" xr:uid="{00000000-0005-0000-0000-000059540000}"/>
    <cellStyle name="Normal 23 3 3 9" xfId="14898" xr:uid="{00000000-0005-0000-0000-00005A540000}"/>
    <cellStyle name="Normal 23 3 4" xfId="14899" xr:uid="{00000000-0005-0000-0000-00005B540000}"/>
    <cellStyle name="Normal 23 3 4 2" xfId="14900" xr:uid="{00000000-0005-0000-0000-00005C540000}"/>
    <cellStyle name="Normal 23 3 4 2 2" xfId="14901" xr:uid="{00000000-0005-0000-0000-00005D540000}"/>
    <cellStyle name="Normal 23 3 4 2 2 2" xfId="14902" xr:uid="{00000000-0005-0000-0000-00005E540000}"/>
    <cellStyle name="Normal 23 3 4 2 2 2 2" xfId="52720" xr:uid="{00000000-0005-0000-0000-00005F540000}"/>
    <cellStyle name="Normal 23 3 4 2 2 2 3" xfId="52721" xr:uid="{00000000-0005-0000-0000-000060540000}"/>
    <cellStyle name="Normal 23 3 4 2 2 3" xfId="14903" xr:uid="{00000000-0005-0000-0000-000061540000}"/>
    <cellStyle name="Normal 23 3 4 2 2 3 2" xfId="52722" xr:uid="{00000000-0005-0000-0000-000062540000}"/>
    <cellStyle name="Normal 23 3 4 2 2 4" xfId="14904" xr:uid="{00000000-0005-0000-0000-000063540000}"/>
    <cellStyle name="Normal 23 3 4 2 2 5" xfId="14905" xr:uid="{00000000-0005-0000-0000-000064540000}"/>
    <cellStyle name="Normal 23 3 4 2 2 6" xfId="14906" xr:uid="{00000000-0005-0000-0000-000065540000}"/>
    <cellStyle name="Normal 23 3 4 2 3" xfId="14907" xr:uid="{00000000-0005-0000-0000-000066540000}"/>
    <cellStyle name="Normal 23 3 4 2 3 2" xfId="52723" xr:uid="{00000000-0005-0000-0000-000067540000}"/>
    <cellStyle name="Normal 23 3 4 2 3 3" xfId="52724" xr:uid="{00000000-0005-0000-0000-000068540000}"/>
    <cellStyle name="Normal 23 3 4 2 4" xfId="14908" xr:uid="{00000000-0005-0000-0000-000069540000}"/>
    <cellStyle name="Normal 23 3 4 2 4 2" xfId="52725" xr:uid="{00000000-0005-0000-0000-00006A540000}"/>
    <cellStyle name="Normal 23 3 4 2 5" xfId="14909" xr:uid="{00000000-0005-0000-0000-00006B540000}"/>
    <cellStyle name="Normal 23 3 4 2 6" xfId="14910" xr:uid="{00000000-0005-0000-0000-00006C540000}"/>
    <cellStyle name="Normal 23 3 4 2 7" xfId="14911" xr:uid="{00000000-0005-0000-0000-00006D540000}"/>
    <cellStyle name="Normal 23 3 4 3" xfId="14912" xr:uid="{00000000-0005-0000-0000-00006E540000}"/>
    <cellStyle name="Normal 23 3 4 3 2" xfId="14913" xr:uid="{00000000-0005-0000-0000-00006F540000}"/>
    <cellStyle name="Normal 23 3 4 3 2 2" xfId="52726" xr:uid="{00000000-0005-0000-0000-000070540000}"/>
    <cellStyle name="Normal 23 3 4 3 2 3" xfId="52727" xr:uid="{00000000-0005-0000-0000-000071540000}"/>
    <cellStyle name="Normal 23 3 4 3 3" xfId="14914" xr:uid="{00000000-0005-0000-0000-000072540000}"/>
    <cellStyle name="Normal 23 3 4 3 3 2" xfId="52728" xr:uid="{00000000-0005-0000-0000-000073540000}"/>
    <cellStyle name="Normal 23 3 4 3 4" xfId="14915" xr:uid="{00000000-0005-0000-0000-000074540000}"/>
    <cellStyle name="Normal 23 3 4 3 5" xfId="14916" xr:uid="{00000000-0005-0000-0000-000075540000}"/>
    <cellStyle name="Normal 23 3 4 3 6" xfId="14917" xr:uid="{00000000-0005-0000-0000-000076540000}"/>
    <cellStyle name="Normal 23 3 4 4" xfId="14918" xr:uid="{00000000-0005-0000-0000-000077540000}"/>
    <cellStyle name="Normal 23 3 4 4 2" xfId="52729" xr:uid="{00000000-0005-0000-0000-000078540000}"/>
    <cellStyle name="Normal 23 3 4 4 3" xfId="52730" xr:uid="{00000000-0005-0000-0000-000079540000}"/>
    <cellStyle name="Normal 23 3 4 5" xfId="14919" xr:uid="{00000000-0005-0000-0000-00007A540000}"/>
    <cellStyle name="Normal 23 3 4 5 2" xfId="52731" xr:uid="{00000000-0005-0000-0000-00007B540000}"/>
    <cellStyle name="Normal 23 3 4 6" xfId="14920" xr:uid="{00000000-0005-0000-0000-00007C540000}"/>
    <cellStyle name="Normal 23 3 4 7" xfId="14921" xr:uid="{00000000-0005-0000-0000-00007D540000}"/>
    <cellStyle name="Normal 23 3 4 8" xfId="14922" xr:uid="{00000000-0005-0000-0000-00007E540000}"/>
    <cellStyle name="Normal 23 3 5" xfId="14923" xr:uid="{00000000-0005-0000-0000-00007F540000}"/>
    <cellStyle name="Normal 23 3 5 2" xfId="14924" xr:uid="{00000000-0005-0000-0000-000080540000}"/>
    <cellStyle name="Normal 23 3 5 2 2" xfId="14925" xr:uid="{00000000-0005-0000-0000-000081540000}"/>
    <cellStyle name="Normal 23 3 5 2 2 2" xfId="52732" xr:uid="{00000000-0005-0000-0000-000082540000}"/>
    <cellStyle name="Normal 23 3 5 2 2 3" xfId="52733" xr:uid="{00000000-0005-0000-0000-000083540000}"/>
    <cellStyle name="Normal 23 3 5 2 3" xfId="14926" xr:uid="{00000000-0005-0000-0000-000084540000}"/>
    <cellStyle name="Normal 23 3 5 2 3 2" xfId="52734" xr:uid="{00000000-0005-0000-0000-000085540000}"/>
    <cellStyle name="Normal 23 3 5 2 4" xfId="14927" xr:uid="{00000000-0005-0000-0000-000086540000}"/>
    <cellStyle name="Normal 23 3 5 2 5" xfId="14928" xr:uid="{00000000-0005-0000-0000-000087540000}"/>
    <cellStyle name="Normal 23 3 5 2 6" xfId="14929" xr:uid="{00000000-0005-0000-0000-000088540000}"/>
    <cellStyle name="Normal 23 3 5 3" xfId="14930" xr:uid="{00000000-0005-0000-0000-000089540000}"/>
    <cellStyle name="Normal 23 3 5 3 2" xfId="52735" xr:uid="{00000000-0005-0000-0000-00008A540000}"/>
    <cellStyle name="Normal 23 3 5 3 3" xfId="52736" xr:uid="{00000000-0005-0000-0000-00008B540000}"/>
    <cellStyle name="Normal 23 3 5 4" xfId="14931" xr:uid="{00000000-0005-0000-0000-00008C540000}"/>
    <cellStyle name="Normal 23 3 5 4 2" xfId="52737" xr:uid="{00000000-0005-0000-0000-00008D540000}"/>
    <cellStyle name="Normal 23 3 5 5" xfId="14932" xr:uid="{00000000-0005-0000-0000-00008E540000}"/>
    <cellStyle name="Normal 23 3 5 6" xfId="14933" xr:uid="{00000000-0005-0000-0000-00008F540000}"/>
    <cellStyle name="Normal 23 3 5 7" xfId="14934" xr:uid="{00000000-0005-0000-0000-000090540000}"/>
    <cellStyle name="Normal 23 3 6" xfId="14935" xr:uid="{00000000-0005-0000-0000-000091540000}"/>
    <cellStyle name="Normal 23 3 6 2" xfId="14936" xr:uid="{00000000-0005-0000-0000-000092540000}"/>
    <cellStyle name="Normal 23 3 6 2 2" xfId="52738" xr:uid="{00000000-0005-0000-0000-000093540000}"/>
    <cellStyle name="Normal 23 3 6 2 3" xfId="52739" xr:uid="{00000000-0005-0000-0000-000094540000}"/>
    <cellStyle name="Normal 23 3 6 3" xfId="14937" xr:uid="{00000000-0005-0000-0000-000095540000}"/>
    <cellStyle name="Normal 23 3 6 3 2" xfId="52740" xr:uid="{00000000-0005-0000-0000-000096540000}"/>
    <cellStyle name="Normal 23 3 6 4" xfId="14938" xr:uid="{00000000-0005-0000-0000-000097540000}"/>
    <cellStyle name="Normal 23 3 6 5" xfId="14939" xr:uid="{00000000-0005-0000-0000-000098540000}"/>
    <cellStyle name="Normal 23 3 6 6" xfId="14940" xr:uid="{00000000-0005-0000-0000-000099540000}"/>
    <cellStyle name="Normal 23 3 7" xfId="14941" xr:uid="{00000000-0005-0000-0000-00009A540000}"/>
    <cellStyle name="Normal 23 3 7 2" xfId="52741" xr:uid="{00000000-0005-0000-0000-00009B540000}"/>
    <cellStyle name="Normal 23 3 8" xfId="14942" xr:uid="{00000000-0005-0000-0000-00009C540000}"/>
    <cellStyle name="Normal 23 3 9" xfId="14943" xr:uid="{00000000-0005-0000-0000-00009D540000}"/>
    <cellStyle name="Normal 23 4" xfId="14944" xr:uid="{00000000-0005-0000-0000-00009E540000}"/>
    <cellStyle name="Normal 23 4 10" xfId="14945" xr:uid="{00000000-0005-0000-0000-00009F540000}"/>
    <cellStyle name="Normal 23 4 11" xfId="14946" xr:uid="{00000000-0005-0000-0000-0000A0540000}"/>
    <cellStyle name="Normal 23 4 12" xfId="14947" xr:uid="{00000000-0005-0000-0000-0000A1540000}"/>
    <cellStyle name="Normal 23 4 13" xfId="14948" xr:uid="{00000000-0005-0000-0000-0000A2540000}"/>
    <cellStyle name="Normal 23 4 14" xfId="14949" xr:uid="{00000000-0005-0000-0000-0000A3540000}"/>
    <cellStyle name="Normal 23 4 15" xfId="14950" xr:uid="{00000000-0005-0000-0000-0000A4540000}"/>
    <cellStyle name="Normal 23 4 16" xfId="14951" xr:uid="{00000000-0005-0000-0000-0000A5540000}"/>
    <cellStyle name="Normal 23 4 2" xfId="14952" xr:uid="{00000000-0005-0000-0000-0000A6540000}"/>
    <cellStyle name="Normal 23 4 2 10" xfId="14953" xr:uid="{00000000-0005-0000-0000-0000A7540000}"/>
    <cellStyle name="Normal 23 4 2 2" xfId="14954" xr:uid="{00000000-0005-0000-0000-0000A8540000}"/>
    <cellStyle name="Normal 23 4 2 2 2" xfId="14955" xr:uid="{00000000-0005-0000-0000-0000A9540000}"/>
    <cellStyle name="Normal 23 4 2 2 2 2" xfId="14956" xr:uid="{00000000-0005-0000-0000-0000AA540000}"/>
    <cellStyle name="Normal 23 4 2 2 2 2 2" xfId="52742" xr:uid="{00000000-0005-0000-0000-0000AB540000}"/>
    <cellStyle name="Normal 23 4 2 2 2 2 3" xfId="52743" xr:uid="{00000000-0005-0000-0000-0000AC540000}"/>
    <cellStyle name="Normal 23 4 2 2 2 3" xfId="14957" xr:uid="{00000000-0005-0000-0000-0000AD540000}"/>
    <cellStyle name="Normal 23 4 2 2 2 3 2" xfId="52744" xr:uid="{00000000-0005-0000-0000-0000AE540000}"/>
    <cellStyle name="Normal 23 4 2 2 2 4" xfId="14958" xr:uid="{00000000-0005-0000-0000-0000AF540000}"/>
    <cellStyle name="Normal 23 4 2 2 2 5" xfId="14959" xr:uid="{00000000-0005-0000-0000-0000B0540000}"/>
    <cellStyle name="Normal 23 4 2 2 2 6" xfId="14960" xr:uid="{00000000-0005-0000-0000-0000B1540000}"/>
    <cellStyle name="Normal 23 4 2 2 3" xfId="14961" xr:uid="{00000000-0005-0000-0000-0000B2540000}"/>
    <cellStyle name="Normal 23 4 2 2 3 2" xfId="52745" xr:uid="{00000000-0005-0000-0000-0000B3540000}"/>
    <cellStyle name="Normal 23 4 2 2 3 3" xfId="52746" xr:uid="{00000000-0005-0000-0000-0000B4540000}"/>
    <cellStyle name="Normal 23 4 2 2 4" xfId="14962" xr:uid="{00000000-0005-0000-0000-0000B5540000}"/>
    <cellStyle name="Normal 23 4 2 2 4 2" xfId="52747" xr:uid="{00000000-0005-0000-0000-0000B6540000}"/>
    <cellStyle name="Normal 23 4 2 2 5" xfId="14963" xr:uid="{00000000-0005-0000-0000-0000B7540000}"/>
    <cellStyle name="Normal 23 4 2 2 6" xfId="14964" xr:uid="{00000000-0005-0000-0000-0000B8540000}"/>
    <cellStyle name="Normal 23 4 2 2 7" xfId="14965" xr:uid="{00000000-0005-0000-0000-0000B9540000}"/>
    <cellStyle name="Normal 23 4 2 3" xfId="14966" xr:uid="{00000000-0005-0000-0000-0000BA540000}"/>
    <cellStyle name="Normal 23 4 2 3 2" xfId="14967" xr:uid="{00000000-0005-0000-0000-0000BB540000}"/>
    <cellStyle name="Normal 23 4 2 3 2 2" xfId="52748" xr:uid="{00000000-0005-0000-0000-0000BC540000}"/>
    <cellStyle name="Normal 23 4 2 3 2 3" xfId="52749" xr:uid="{00000000-0005-0000-0000-0000BD540000}"/>
    <cellStyle name="Normal 23 4 2 3 3" xfId="14968" xr:uid="{00000000-0005-0000-0000-0000BE540000}"/>
    <cellStyle name="Normal 23 4 2 3 3 2" xfId="52750" xr:uid="{00000000-0005-0000-0000-0000BF540000}"/>
    <cellStyle name="Normal 23 4 2 3 4" xfId="14969" xr:uid="{00000000-0005-0000-0000-0000C0540000}"/>
    <cellStyle name="Normal 23 4 2 3 5" xfId="14970" xr:uid="{00000000-0005-0000-0000-0000C1540000}"/>
    <cellStyle name="Normal 23 4 2 3 6" xfId="14971" xr:uid="{00000000-0005-0000-0000-0000C2540000}"/>
    <cellStyle name="Normal 23 4 2 4" xfId="14972" xr:uid="{00000000-0005-0000-0000-0000C3540000}"/>
    <cellStyle name="Normal 23 4 2 4 2" xfId="52751" xr:uid="{00000000-0005-0000-0000-0000C4540000}"/>
    <cellStyle name="Normal 23 4 2 5" xfId="14973" xr:uid="{00000000-0005-0000-0000-0000C5540000}"/>
    <cellStyle name="Normal 23 4 2 6" xfId="14974" xr:uid="{00000000-0005-0000-0000-0000C6540000}"/>
    <cellStyle name="Normal 23 4 2 7" xfId="14975" xr:uid="{00000000-0005-0000-0000-0000C7540000}"/>
    <cellStyle name="Normal 23 4 2 8" xfId="14976" xr:uid="{00000000-0005-0000-0000-0000C8540000}"/>
    <cellStyle name="Normal 23 4 2 9" xfId="14977" xr:uid="{00000000-0005-0000-0000-0000C9540000}"/>
    <cellStyle name="Normal 23 4 3" xfId="14978" xr:uid="{00000000-0005-0000-0000-0000CA540000}"/>
    <cellStyle name="Normal 23 4 3 2" xfId="14979" xr:uid="{00000000-0005-0000-0000-0000CB540000}"/>
    <cellStyle name="Normal 23 4 3 2 2" xfId="14980" xr:uid="{00000000-0005-0000-0000-0000CC540000}"/>
    <cellStyle name="Normal 23 4 3 2 2 2" xfId="14981" xr:uid="{00000000-0005-0000-0000-0000CD540000}"/>
    <cellStyle name="Normal 23 4 3 2 2 2 2" xfId="52752" xr:uid="{00000000-0005-0000-0000-0000CE540000}"/>
    <cellStyle name="Normal 23 4 3 2 2 2 3" xfId="52753" xr:uid="{00000000-0005-0000-0000-0000CF540000}"/>
    <cellStyle name="Normal 23 4 3 2 2 3" xfId="14982" xr:uid="{00000000-0005-0000-0000-0000D0540000}"/>
    <cellStyle name="Normal 23 4 3 2 2 3 2" xfId="52754" xr:uid="{00000000-0005-0000-0000-0000D1540000}"/>
    <cellStyle name="Normal 23 4 3 2 2 4" xfId="14983" xr:uid="{00000000-0005-0000-0000-0000D2540000}"/>
    <cellStyle name="Normal 23 4 3 2 2 5" xfId="14984" xr:uid="{00000000-0005-0000-0000-0000D3540000}"/>
    <cellStyle name="Normal 23 4 3 2 2 6" xfId="14985" xr:uid="{00000000-0005-0000-0000-0000D4540000}"/>
    <cellStyle name="Normal 23 4 3 2 3" xfId="14986" xr:uid="{00000000-0005-0000-0000-0000D5540000}"/>
    <cellStyle name="Normal 23 4 3 2 3 2" xfId="52755" xr:uid="{00000000-0005-0000-0000-0000D6540000}"/>
    <cellStyle name="Normal 23 4 3 2 3 3" xfId="52756" xr:uid="{00000000-0005-0000-0000-0000D7540000}"/>
    <cellStyle name="Normal 23 4 3 2 4" xfId="14987" xr:uid="{00000000-0005-0000-0000-0000D8540000}"/>
    <cellStyle name="Normal 23 4 3 2 4 2" xfId="52757" xr:uid="{00000000-0005-0000-0000-0000D9540000}"/>
    <cellStyle name="Normal 23 4 3 2 5" xfId="14988" xr:uid="{00000000-0005-0000-0000-0000DA540000}"/>
    <cellStyle name="Normal 23 4 3 2 6" xfId="14989" xr:uid="{00000000-0005-0000-0000-0000DB540000}"/>
    <cellStyle name="Normal 23 4 3 2 7" xfId="14990" xr:uid="{00000000-0005-0000-0000-0000DC540000}"/>
    <cellStyle name="Normal 23 4 3 3" xfId="14991" xr:uid="{00000000-0005-0000-0000-0000DD540000}"/>
    <cellStyle name="Normal 23 4 3 3 2" xfId="14992" xr:uid="{00000000-0005-0000-0000-0000DE540000}"/>
    <cellStyle name="Normal 23 4 3 3 2 2" xfId="52758" xr:uid="{00000000-0005-0000-0000-0000DF540000}"/>
    <cellStyle name="Normal 23 4 3 3 2 3" xfId="52759" xr:uid="{00000000-0005-0000-0000-0000E0540000}"/>
    <cellStyle name="Normal 23 4 3 3 3" xfId="14993" xr:uid="{00000000-0005-0000-0000-0000E1540000}"/>
    <cellStyle name="Normal 23 4 3 3 3 2" xfId="52760" xr:uid="{00000000-0005-0000-0000-0000E2540000}"/>
    <cellStyle name="Normal 23 4 3 3 4" xfId="14994" xr:uid="{00000000-0005-0000-0000-0000E3540000}"/>
    <cellStyle name="Normal 23 4 3 3 5" xfId="14995" xr:uid="{00000000-0005-0000-0000-0000E4540000}"/>
    <cellStyle name="Normal 23 4 3 3 6" xfId="14996" xr:uid="{00000000-0005-0000-0000-0000E5540000}"/>
    <cellStyle name="Normal 23 4 3 4" xfId="14997" xr:uid="{00000000-0005-0000-0000-0000E6540000}"/>
    <cellStyle name="Normal 23 4 3 4 2" xfId="52761" xr:uid="{00000000-0005-0000-0000-0000E7540000}"/>
    <cellStyle name="Normal 23 4 3 4 3" xfId="52762" xr:uid="{00000000-0005-0000-0000-0000E8540000}"/>
    <cellStyle name="Normal 23 4 3 5" xfId="14998" xr:uid="{00000000-0005-0000-0000-0000E9540000}"/>
    <cellStyle name="Normal 23 4 3 5 2" xfId="52763" xr:uid="{00000000-0005-0000-0000-0000EA540000}"/>
    <cellStyle name="Normal 23 4 3 6" xfId="14999" xr:uid="{00000000-0005-0000-0000-0000EB540000}"/>
    <cellStyle name="Normal 23 4 3 7" xfId="15000" xr:uid="{00000000-0005-0000-0000-0000EC540000}"/>
    <cellStyle name="Normal 23 4 3 8" xfId="15001" xr:uid="{00000000-0005-0000-0000-0000ED540000}"/>
    <cellStyle name="Normal 23 4 4" xfId="15002" xr:uid="{00000000-0005-0000-0000-0000EE540000}"/>
    <cellStyle name="Normal 23 4 4 2" xfId="15003" xr:uid="{00000000-0005-0000-0000-0000EF540000}"/>
    <cellStyle name="Normal 23 4 4 2 2" xfId="15004" xr:uid="{00000000-0005-0000-0000-0000F0540000}"/>
    <cellStyle name="Normal 23 4 4 2 2 2" xfId="52764" xr:uid="{00000000-0005-0000-0000-0000F1540000}"/>
    <cellStyle name="Normal 23 4 4 2 2 3" xfId="52765" xr:uid="{00000000-0005-0000-0000-0000F2540000}"/>
    <cellStyle name="Normal 23 4 4 2 3" xfId="15005" xr:uid="{00000000-0005-0000-0000-0000F3540000}"/>
    <cellStyle name="Normal 23 4 4 2 3 2" xfId="52766" xr:uid="{00000000-0005-0000-0000-0000F4540000}"/>
    <cellStyle name="Normal 23 4 4 2 4" xfId="15006" xr:uid="{00000000-0005-0000-0000-0000F5540000}"/>
    <cellStyle name="Normal 23 4 4 2 5" xfId="15007" xr:uid="{00000000-0005-0000-0000-0000F6540000}"/>
    <cellStyle name="Normal 23 4 4 2 6" xfId="15008" xr:uid="{00000000-0005-0000-0000-0000F7540000}"/>
    <cellStyle name="Normal 23 4 4 3" xfId="15009" xr:uid="{00000000-0005-0000-0000-0000F8540000}"/>
    <cellStyle name="Normal 23 4 4 3 2" xfId="52767" xr:uid="{00000000-0005-0000-0000-0000F9540000}"/>
    <cellStyle name="Normal 23 4 4 3 3" xfId="52768" xr:uid="{00000000-0005-0000-0000-0000FA540000}"/>
    <cellStyle name="Normal 23 4 4 4" xfId="15010" xr:uid="{00000000-0005-0000-0000-0000FB540000}"/>
    <cellStyle name="Normal 23 4 4 4 2" xfId="52769" xr:uid="{00000000-0005-0000-0000-0000FC540000}"/>
    <cellStyle name="Normal 23 4 4 5" xfId="15011" xr:uid="{00000000-0005-0000-0000-0000FD540000}"/>
    <cellStyle name="Normal 23 4 4 6" xfId="15012" xr:uid="{00000000-0005-0000-0000-0000FE540000}"/>
    <cellStyle name="Normal 23 4 4 7" xfId="15013" xr:uid="{00000000-0005-0000-0000-0000FF540000}"/>
    <cellStyle name="Normal 23 4 5" xfId="15014" xr:uid="{00000000-0005-0000-0000-000000550000}"/>
    <cellStyle name="Normal 23 4 5 2" xfId="15015" xr:uid="{00000000-0005-0000-0000-000001550000}"/>
    <cellStyle name="Normal 23 4 5 2 2" xfId="52770" xr:uid="{00000000-0005-0000-0000-000002550000}"/>
    <cellStyle name="Normal 23 4 5 2 3" xfId="52771" xr:uid="{00000000-0005-0000-0000-000003550000}"/>
    <cellStyle name="Normal 23 4 5 3" xfId="15016" xr:uid="{00000000-0005-0000-0000-000004550000}"/>
    <cellStyle name="Normal 23 4 5 3 2" xfId="52772" xr:uid="{00000000-0005-0000-0000-000005550000}"/>
    <cellStyle name="Normal 23 4 5 4" xfId="15017" xr:uid="{00000000-0005-0000-0000-000006550000}"/>
    <cellStyle name="Normal 23 4 5 5" xfId="15018" xr:uid="{00000000-0005-0000-0000-000007550000}"/>
    <cellStyle name="Normal 23 4 5 6" xfId="15019" xr:uid="{00000000-0005-0000-0000-000008550000}"/>
    <cellStyle name="Normal 23 4 6" xfId="15020" xr:uid="{00000000-0005-0000-0000-000009550000}"/>
    <cellStyle name="Normal 23 4 6 2" xfId="52773" xr:uid="{00000000-0005-0000-0000-00000A550000}"/>
    <cellStyle name="Normal 23 4 7" xfId="15021" xr:uid="{00000000-0005-0000-0000-00000B550000}"/>
    <cellStyle name="Normal 23 4 8" xfId="15022" xr:uid="{00000000-0005-0000-0000-00000C550000}"/>
    <cellStyle name="Normal 23 4 9" xfId="15023" xr:uid="{00000000-0005-0000-0000-00000D550000}"/>
    <cellStyle name="Normal 23 5" xfId="15024" xr:uid="{00000000-0005-0000-0000-00000E550000}"/>
    <cellStyle name="Normal 23 5 10" xfId="15025" xr:uid="{00000000-0005-0000-0000-00000F550000}"/>
    <cellStyle name="Normal 23 5 11" xfId="15026" xr:uid="{00000000-0005-0000-0000-000010550000}"/>
    <cellStyle name="Normal 23 5 12" xfId="15027" xr:uid="{00000000-0005-0000-0000-000011550000}"/>
    <cellStyle name="Normal 23 5 13" xfId="15028" xr:uid="{00000000-0005-0000-0000-000012550000}"/>
    <cellStyle name="Normal 23 5 14" xfId="15029" xr:uid="{00000000-0005-0000-0000-000013550000}"/>
    <cellStyle name="Normal 23 5 15" xfId="15030" xr:uid="{00000000-0005-0000-0000-000014550000}"/>
    <cellStyle name="Normal 23 5 16" xfId="15031" xr:uid="{00000000-0005-0000-0000-000015550000}"/>
    <cellStyle name="Normal 23 5 2" xfId="15032" xr:uid="{00000000-0005-0000-0000-000016550000}"/>
    <cellStyle name="Normal 23 5 2 2" xfId="15033" xr:uid="{00000000-0005-0000-0000-000017550000}"/>
    <cellStyle name="Normal 23 5 2 2 2" xfId="15034" xr:uid="{00000000-0005-0000-0000-000018550000}"/>
    <cellStyle name="Normal 23 5 2 2 2 2" xfId="15035" xr:uid="{00000000-0005-0000-0000-000019550000}"/>
    <cellStyle name="Normal 23 5 2 2 2 2 2" xfId="52774" xr:uid="{00000000-0005-0000-0000-00001A550000}"/>
    <cellStyle name="Normal 23 5 2 2 2 2 3" xfId="52775" xr:uid="{00000000-0005-0000-0000-00001B550000}"/>
    <cellStyle name="Normal 23 5 2 2 2 3" xfId="15036" xr:uid="{00000000-0005-0000-0000-00001C550000}"/>
    <cellStyle name="Normal 23 5 2 2 2 3 2" xfId="52776" xr:uid="{00000000-0005-0000-0000-00001D550000}"/>
    <cellStyle name="Normal 23 5 2 2 2 4" xfId="15037" xr:uid="{00000000-0005-0000-0000-00001E550000}"/>
    <cellStyle name="Normal 23 5 2 2 2 5" xfId="15038" xr:uid="{00000000-0005-0000-0000-00001F550000}"/>
    <cellStyle name="Normal 23 5 2 2 2 6" xfId="15039" xr:uid="{00000000-0005-0000-0000-000020550000}"/>
    <cellStyle name="Normal 23 5 2 2 3" xfId="15040" xr:uid="{00000000-0005-0000-0000-000021550000}"/>
    <cellStyle name="Normal 23 5 2 2 3 2" xfId="52777" xr:uid="{00000000-0005-0000-0000-000022550000}"/>
    <cellStyle name="Normal 23 5 2 2 3 3" xfId="52778" xr:uid="{00000000-0005-0000-0000-000023550000}"/>
    <cellStyle name="Normal 23 5 2 2 4" xfId="15041" xr:uid="{00000000-0005-0000-0000-000024550000}"/>
    <cellStyle name="Normal 23 5 2 2 4 2" xfId="52779" xr:uid="{00000000-0005-0000-0000-000025550000}"/>
    <cellStyle name="Normal 23 5 2 2 5" xfId="15042" xr:uid="{00000000-0005-0000-0000-000026550000}"/>
    <cellStyle name="Normal 23 5 2 2 6" xfId="15043" xr:uid="{00000000-0005-0000-0000-000027550000}"/>
    <cellStyle name="Normal 23 5 2 2 7" xfId="15044" xr:uid="{00000000-0005-0000-0000-000028550000}"/>
    <cellStyle name="Normal 23 5 2 3" xfId="15045" xr:uid="{00000000-0005-0000-0000-000029550000}"/>
    <cellStyle name="Normal 23 5 2 3 2" xfId="15046" xr:uid="{00000000-0005-0000-0000-00002A550000}"/>
    <cellStyle name="Normal 23 5 2 3 2 2" xfId="52780" xr:uid="{00000000-0005-0000-0000-00002B550000}"/>
    <cellStyle name="Normal 23 5 2 3 2 3" xfId="52781" xr:uid="{00000000-0005-0000-0000-00002C550000}"/>
    <cellStyle name="Normal 23 5 2 3 3" xfId="15047" xr:uid="{00000000-0005-0000-0000-00002D550000}"/>
    <cellStyle name="Normal 23 5 2 3 3 2" xfId="52782" xr:uid="{00000000-0005-0000-0000-00002E550000}"/>
    <cellStyle name="Normal 23 5 2 3 4" xfId="15048" xr:uid="{00000000-0005-0000-0000-00002F550000}"/>
    <cellStyle name="Normal 23 5 2 3 5" xfId="15049" xr:uid="{00000000-0005-0000-0000-000030550000}"/>
    <cellStyle name="Normal 23 5 2 3 6" xfId="15050" xr:uid="{00000000-0005-0000-0000-000031550000}"/>
    <cellStyle name="Normal 23 5 2 4" xfId="15051" xr:uid="{00000000-0005-0000-0000-000032550000}"/>
    <cellStyle name="Normal 23 5 2 4 2" xfId="52783" xr:uid="{00000000-0005-0000-0000-000033550000}"/>
    <cellStyle name="Normal 23 5 2 4 3" xfId="52784" xr:uid="{00000000-0005-0000-0000-000034550000}"/>
    <cellStyle name="Normal 23 5 2 5" xfId="15052" xr:uid="{00000000-0005-0000-0000-000035550000}"/>
    <cellStyle name="Normal 23 5 2 5 2" xfId="52785" xr:uid="{00000000-0005-0000-0000-000036550000}"/>
    <cellStyle name="Normal 23 5 2 6" xfId="15053" xr:uid="{00000000-0005-0000-0000-000037550000}"/>
    <cellStyle name="Normal 23 5 2 7" xfId="15054" xr:uid="{00000000-0005-0000-0000-000038550000}"/>
    <cellStyle name="Normal 23 5 2 8" xfId="15055" xr:uid="{00000000-0005-0000-0000-000039550000}"/>
    <cellStyle name="Normal 23 5 2 9" xfId="15056" xr:uid="{00000000-0005-0000-0000-00003A550000}"/>
    <cellStyle name="Normal 23 5 3" xfId="15057" xr:uid="{00000000-0005-0000-0000-00003B550000}"/>
    <cellStyle name="Normal 23 5 3 2" xfId="15058" xr:uid="{00000000-0005-0000-0000-00003C550000}"/>
    <cellStyle name="Normal 23 5 3 2 2" xfId="15059" xr:uid="{00000000-0005-0000-0000-00003D550000}"/>
    <cellStyle name="Normal 23 5 3 2 2 2" xfId="15060" xr:uid="{00000000-0005-0000-0000-00003E550000}"/>
    <cellStyle name="Normal 23 5 3 2 2 2 2" xfId="52786" xr:uid="{00000000-0005-0000-0000-00003F550000}"/>
    <cellStyle name="Normal 23 5 3 2 2 2 3" xfId="52787" xr:uid="{00000000-0005-0000-0000-000040550000}"/>
    <cellStyle name="Normal 23 5 3 2 2 3" xfId="15061" xr:uid="{00000000-0005-0000-0000-000041550000}"/>
    <cellStyle name="Normal 23 5 3 2 2 3 2" xfId="52788" xr:uid="{00000000-0005-0000-0000-000042550000}"/>
    <cellStyle name="Normal 23 5 3 2 2 4" xfId="15062" xr:uid="{00000000-0005-0000-0000-000043550000}"/>
    <cellStyle name="Normal 23 5 3 2 2 5" xfId="15063" xr:uid="{00000000-0005-0000-0000-000044550000}"/>
    <cellStyle name="Normal 23 5 3 2 2 6" xfId="15064" xr:uid="{00000000-0005-0000-0000-000045550000}"/>
    <cellStyle name="Normal 23 5 3 2 3" xfId="15065" xr:uid="{00000000-0005-0000-0000-000046550000}"/>
    <cellStyle name="Normal 23 5 3 2 3 2" xfId="52789" xr:uid="{00000000-0005-0000-0000-000047550000}"/>
    <cellStyle name="Normal 23 5 3 2 3 3" xfId="52790" xr:uid="{00000000-0005-0000-0000-000048550000}"/>
    <cellStyle name="Normal 23 5 3 2 4" xfId="15066" xr:uid="{00000000-0005-0000-0000-000049550000}"/>
    <cellStyle name="Normal 23 5 3 2 4 2" xfId="52791" xr:uid="{00000000-0005-0000-0000-00004A550000}"/>
    <cellStyle name="Normal 23 5 3 2 5" xfId="15067" xr:uid="{00000000-0005-0000-0000-00004B550000}"/>
    <cellStyle name="Normal 23 5 3 2 6" xfId="15068" xr:uid="{00000000-0005-0000-0000-00004C550000}"/>
    <cellStyle name="Normal 23 5 3 2 7" xfId="15069" xr:uid="{00000000-0005-0000-0000-00004D550000}"/>
    <cellStyle name="Normal 23 5 3 3" xfId="15070" xr:uid="{00000000-0005-0000-0000-00004E550000}"/>
    <cellStyle name="Normal 23 5 3 3 2" xfId="15071" xr:uid="{00000000-0005-0000-0000-00004F550000}"/>
    <cellStyle name="Normal 23 5 3 3 2 2" xfId="52792" xr:uid="{00000000-0005-0000-0000-000050550000}"/>
    <cellStyle name="Normal 23 5 3 3 2 3" xfId="52793" xr:uid="{00000000-0005-0000-0000-000051550000}"/>
    <cellStyle name="Normal 23 5 3 3 3" xfId="15072" xr:uid="{00000000-0005-0000-0000-000052550000}"/>
    <cellStyle name="Normal 23 5 3 3 3 2" xfId="52794" xr:uid="{00000000-0005-0000-0000-000053550000}"/>
    <cellStyle name="Normal 23 5 3 3 4" xfId="15073" xr:uid="{00000000-0005-0000-0000-000054550000}"/>
    <cellStyle name="Normal 23 5 3 3 5" xfId="15074" xr:uid="{00000000-0005-0000-0000-000055550000}"/>
    <cellStyle name="Normal 23 5 3 3 6" xfId="15075" xr:uid="{00000000-0005-0000-0000-000056550000}"/>
    <cellStyle name="Normal 23 5 3 4" xfId="15076" xr:uid="{00000000-0005-0000-0000-000057550000}"/>
    <cellStyle name="Normal 23 5 3 4 2" xfId="52795" xr:uid="{00000000-0005-0000-0000-000058550000}"/>
    <cellStyle name="Normal 23 5 3 4 3" xfId="52796" xr:uid="{00000000-0005-0000-0000-000059550000}"/>
    <cellStyle name="Normal 23 5 3 5" xfId="15077" xr:uid="{00000000-0005-0000-0000-00005A550000}"/>
    <cellStyle name="Normal 23 5 3 5 2" xfId="52797" xr:uid="{00000000-0005-0000-0000-00005B550000}"/>
    <cellStyle name="Normal 23 5 3 6" xfId="15078" xr:uid="{00000000-0005-0000-0000-00005C550000}"/>
    <cellStyle name="Normal 23 5 3 7" xfId="15079" xr:uid="{00000000-0005-0000-0000-00005D550000}"/>
    <cellStyle name="Normal 23 5 3 8" xfId="15080" xr:uid="{00000000-0005-0000-0000-00005E550000}"/>
    <cellStyle name="Normal 23 5 4" xfId="15081" xr:uid="{00000000-0005-0000-0000-00005F550000}"/>
    <cellStyle name="Normal 23 5 4 2" xfId="15082" xr:uid="{00000000-0005-0000-0000-000060550000}"/>
    <cellStyle name="Normal 23 5 4 2 2" xfId="15083" xr:uid="{00000000-0005-0000-0000-000061550000}"/>
    <cellStyle name="Normal 23 5 4 2 2 2" xfId="52798" xr:uid="{00000000-0005-0000-0000-000062550000}"/>
    <cellStyle name="Normal 23 5 4 2 2 3" xfId="52799" xr:uid="{00000000-0005-0000-0000-000063550000}"/>
    <cellStyle name="Normal 23 5 4 2 3" xfId="15084" xr:uid="{00000000-0005-0000-0000-000064550000}"/>
    <cellStyle name="Normal 23 5 4 2 3 2" xfId="52800" xr:uid="{00000000-0005-0000-0000-000065550000}"/>
    <cellStyle name="Normal 23 5 4 2 4" xfId="15085" xr:uid="{00000000-0005-0000-0000-000066550000}"/>
    <cellStyle name="Normal 23 5 4 2 5" xfId="15086" xr:uid="{00000000-0005-0000-0000-000067550000}"/>
    <cellStyle name="Normal 23 5 4 2 6" xfId="15087" xr:uid="{00000000-0005-0000-0000-000068550000}"/>
    <cellStyle name="Normal 23 5 4 3" xfId="15088" xr:uid="{00000000-0005-0000-0000-000069550000}"/>
    <cellStyle name="Normal 23 5 4 3 2" xfId="52801" xr:uid="{00000000-0005-0000-0000-00006A550000}"/>
    <cellStyle name="Normal 23 5 4 3 3" xfId="52802" xr:uid="{00000000-0005-0000-0000-00006B550000}"/>
    <cellStyle name="Normal 23 5 4 4" xfId="15089" xr:uid="{00000000-0005-0000-0000-00006C550000}"/>
    <cellStyle name="Normal 23 5 4 4 2" xfId="52803" xr:uid="{00000000-0005-0000-0000-00006D550000}"/>
    <cellStyle name="Normal 23 5 4 5" xfId="15090" xr:uid="{00000000-0005-0000-0000-00006E550000}"/>
    <cellStyle name="Normal 23 5 4 6" xfId="15091" xr:uid="{00000000-0005-0000-0000-00006F550000}"/>
    <cellStyle name="Normal 23 5 4 7" xfId="15092" xr:uid="{00000000-0005-0000-0000-000070550000}"/>
    <cellStyle name="Normal 23 5 5" xfId="15093" xr:uid="{00000000-0005-0000-0000-000071550000}"/>
    <cellStyle name="Normal 23 5 5 2" xfId="15094" xr:uid="{00000000-0005-0000-0000-000072550000}"/>
    <cellStyle name="Normal 23 5 5 2 2" xfId="52804" xr:uid="{00000000-0005-0000-0000-000073550000}"/>
    <cellStyle name="Normal 23 5 5 2 3" xfId="52805" xr:uid="{00000000-0005-0000-0000-000074550000}"/>
    <cellStyle name="Normal 23 5 5 3" xfId="15095" xr:uid="{00000000-0005-0000-0000-000075550000}"/>
    <cellStyle name="Normal 23 5 5 3 2" xfId="52806" xr:uid="{00000000-0005-0000-0000-000076550000}"/>
    <cellStyle name="Normal 23 5 5 4" xfId="15096" xr:uid="{00000000-0005-0000-0000-000077550000}"/>
    <cellStyle name="Normal 23 5 5 5" xfId="15097" xr:uid="{00000000-0005-0000-0000-000078550000}"/>
    <cellStyle name="Normal 23 5 5 6" xfId="15098" xr:uid="{00000000-0005-0000-0000-000079550000}"/>
    <cellStyle name="Normal 23 5 6" xfId="15099" xr:uid="{00000000-0005-0000-0000-00007A550000}"/>
    <cellStyle name="Normal 23 5 6 2" xfId="52807" xr:uid="{00000000-0005-0000-0000-00007B550000}"/>
    <cellStyle name="Normal 23 5 7" xfId="15100" xr:uid="{00000000-0005-0000-0000-00007C550000}"/>
    <cellStyle name="Normal 23 5 8" xfId="15101" xr:uid="{00000000-0005-0000-0000-00007D550000}"/>
    <cellStyle name="Normal 23 5 9" xfId="15102" xr:uid="{00000000-0005-0000-0000-00007E550000}"/>
    <cellStyle name="Normal 23 6" xfId="15103" xr:uid="{00000000-0005-0000-0000-00007F550000}"/>
    <cellStyle name="Normal 23 6 10" xfId="15104" xr:uid="{00000000-0005-0000-0000-000080550000}"/>
    <cellStyle name="Normal 23 6 11" xfId="15105" xr:uid="{00000000-0005-0000-0000-000081550000}"/>
    <cellStyle name="Normal 23 6 12" xfId="15106" xr:uid="{00000000-0005-0000-0000-000082550000}"/>
    <cellStyle name="Normal 23 6 13" xfId="15107" xr:uid="{00000000-0005-0000-0000-000083550000}"/>
    <cellStyle name="Normal 23 6 14" xfId="15108" xr:uid="{00000000-0005-0000-0000-000084550000}"/>
    <cellStyle name="Normal 23 6 2" xfId="15109" xr:uid="{00000000-0005-0000-0000-000085550000}"/>
    <cellStyle name="Normal 23 6 2 2" xfId="15110" xr:uid="{00000000-0005-0000-0000-000086550000}"/>
    <cellStyle name="Normal 23 6 2 2 2" xfId="15111" xr:uid="{00000000-0005-0000-0000-000087550000}"/>
    <cellStyle name="Normal 23 6 2 2 2 2" xfId="15112" xr:uid="{00000000-0005-0000-0000-000088550000}"/>
    <cellStyle name="Normal 23 6 2 2 2 2 2" xfId="52808" xr:uid="{00000000-0005-0000-0000-000089550000}"/>
    <cellStyle name="Normal 23 6 2 2 2 2 3" xfId="52809" xr:uid="{00000000-0005-0000-0000-00008A550000}"/>
    <cellStyle name="Normal 23 6 2 2 2 3" xfId="15113" xr:uid="{00000000-0005-0000-0000-00008B550000}"/>
    <cellStyle name="Normal 23 6 2 2 2 3 2" xfId="52810" xr:uid="{00000000-0005-0000-0000-00008C550000}"/>
    <cellStyle name="Normal 23 6 2 2 2 4" xfId="15114" xr:uid="{00000000-0005-0000-0000-00008D550000}"/>
    <cellStyle name="Normal 23 6 2 2 2 5" xfId="15115" xr:uid="{00000000-0005-0000-0000-00008E550000}"/>
    <cellStyle name="Normal 23 6 2 2 2 6" xfId="15116" xr:uid="{00000000-0005-0000-0000-00008F550000}"/>
    <cellStyle name="Normal 23 6 2 2 3" xfId="15117" xr:uid="{00000000-0005-0000-0000-000090550000}"/>
    <cellStyle name="Normal 23 6 2 2 3 2" xfId="52811" xr:uid="{00000000-0005-0000-0000-000091550000}"/>
    <cellStyle name="Normal 23 6 2 2 3 3" xfId="52812" xr:uid="{00000000-0005-0000-0000-000092550000}"/>
    <cellStyle name="Normal 23 6 2 2 4" xfId="15118" xr:uid="{00000000-0005-0000-0000-000093550000}"/>
    <cellStyle name="Normal 23 6 2 2 4 2" xfId="52813" xr:uid="{00000000-0005-0000-0000-000094550000}"/>
    <cellStyle name="Normal 23 6 2 2 5" xfId="15119" xr:uid="{00000000-0005-0000-0000-000095550000}"/>
    <cellStyle name="Normal 23 6 2 2 6" xfId="15120" xr:uid="{00000000-0005-0000-0000-000096550000}"/>
    <cellStyle name="Normal 23 6 2 2 7" xfId="15121" xr:uid="{00000000-0005-0000-0000-000097550000}"/>
    <cellStyle name="Normal 23 6 2 3" xfId="15122" xr:uid="{00000000-0005-0000-0000-000098550000}"/>
    <cellStyle name="Normal 23 6 2 3 2" xfId="15123" xr:uid="{00000000-0005-0000-0000-000099550000}"/>
    <cellStyle name="Normal 23 6 2 3 2 2" xfId="52814" xr:uid="{00000000-0005-0000-0000-00009A550000}"/>
    <cellStyle name="Normal 23 6 2 3 2 3" xfId="52815" xr:uid="{00000000-0005-0000-0000-00009B550000}"/>
    <cellStyle name="Normal 23 6 2 3 3" xfId="15124" xr:uid="{00000000-0005-0000-0000-00009C550000}"/>
    <cellStyle name="Normal 23 6 2 3 3 2" xfId="52816" xr:uid="{00000000-0005-0000-0000-00009D550000}"/>
    <cellStyle name="Normal 23 6 2 3 4" xfId="15125" xr:uid="{00000000-0005-0000-0000-00009E550000}"/>
    <cellStyle name="Normal 23 6 2 3 5" xfId="15126" xr:uid="{00000000-0005-0000-0000-00009F550000}"/>
    <cellStyle name="Normal 23 6 2 3 6" xfId="15127" xr:uid="{00000000-0005-0000-0000-0000A0550000}"/>
    <cellStyle name="Normal 23 6 2 4" xfId="15128" xr:uid="{00000000-0005-0000-0000-0000A1550000}"/>
    <cellStyle name="Normal 23 6 2 4 2" xfId="52817" xr:uid="{00000000-0005-0000-0000-0000A2550000}"/>
    <cellStyle name="Normal 23 6 2 4 3" xfId="52818" xr:uid="{00000000-0005-0000-0000-0000A3550000}"/>
    <cellStyle name="Normal 23 6 2 5" xfId="15129" xr:uid="{00000000-0005-0000-0000-0000A4550000}"/>
    <cellStyle name="Normal 23 6 2 5 2" xfId="52819" xr:uid="{00000000-0005-0000-0000-0000A5550000}"/>
    <cellStyle name="Normal 23 6 2 6" xfId="15130" xr:uid="{00000000-0005-0000-0000-0000A6550000}"/>
    <cellStyle name="Normal 23 6 2 7" xfId="15131" xr:uid="{00000000-0005-0000-0000-0000A7550000}"/>
    <cellStyle name="Normal 23 6 2 8" xfId="15132" xr:uid="{00000000-0005-0000-0000-0000A8550000}"/>
    <cellStyle name="Normal 23 6 2 9" xfId="15133" xr:uid="{00000000-0005-0000-0000-0000A9550000}"/>
    <cellStyle name="Normal 23 6 3" xfId="15134" xr:uid="{00000000-0005-0000-0000-0000AA550000}"/>
    <cellStyle name="Normal 23 6 3 2" xfId="15135" xr:uid="{00000000-0005-0000-0000-0000AB550000}"/>
    <cellStyle name="Normal 23 6 3 2 2" xfId="15136" xr:uid="{00000000-0005-0000-0000-0000AC550000}"/>
    <cellStyle name="Normal 23 6 3 2 2 2" xfId="52820" xr:uid="{00000000-0005-0000-0000-0000AD550000}"/>
    <cellStyle name="Normal 23 6 3 2 2 3" xfId="52821" xr:uid="{00000000-0005-0000-0000-0000AE550000}"/>
    <cellStyle name="Normal 23 6 3 2 3" xfId="15137" xr:uid="{00000000-0005-0000-0000-0000AF550000}"/>
    <cellStyle name="Normal 23 6 3 2 3 2" xfId="52822" xr:uid="{00000000-0005-0000-0000-0000B0550000}"/>
    <cellStyle name="Normal 23 6 3 2 4" xfId="15138" xr:uid="{00000000-0005-0000-0000-0000B1550000}"/>
    <cellStyle name="Normal 23 6 3 2 5" xfId="15139" xr:uid="{00000000-0005-0000-0000-0000B2550000}"/>
    <cellStyle name="Normal 23 6 3 2 6" xfId="15140" xr:uid="{00000000-0005-0000-0000-0000B3550000}"/>
    <cellStyle name="Normal 23 6 3 3" xfId="15141" xr:uid="{00000000-0005-0000-0000-0000B4550000}"/>
    <cellStyle name="Normal 23 6 3 3 2" xfId="52823" xr:uid="{00000000-0005-0000-0000-0000B5550000}"/>
    <cellStyle name="Normal 23 6 3 3 3" xfId="52824" xr:uid="{00000000-0005-0000-0000-0000B6550000}"/>
    <cellStyle name="Normal 23 6 3 4" xfId="15142" xr:uid="{00000000-0005-0000-0000-0000B7550000}"/>
    <cellStyle name="Normal 23 6 3 4 2" xfId="52825" xr:uid="{00000000-0005-0000-0000-0000B8550000}"/>
    <cellStyle name="Normal 23 6 3 5" xfId="15143" xr:uid="{00000000-0005-0000-0000-0000B9550000}"/>
    <cellStyle name="Normal 23 6 3 6" xfId="15144" xr:uid="{00000000-0005-0000-0000-0000BA550000}"/>
    <cellStyle name="Normal 23 6 3 7" xfId="15145" xr:uid="{00000000-0005-0000-0000-0000BB550000}"/>
    <cellStyle name="Normal 23 6 4" xfId="15146" xr:uid="{00000000-0005-0000-0000-0000BC550000}"/>
    <cellStyle name="Normal 23 6 4 2" xfId="15147" xr:uid="{00000000-0005-0000-0000-0000BD550000}"/>
    <cellStyle name="Normal 23 6 4 2 2" xfId="52826" xr:uid="{00000000-0005-0000-0000-0000BE550000}"/>
    <cellStyle name="Normal 23 6 4 2 3" xfId="52827" xr:uid="{00000000-0005-0000-0000-0000BF550000}"/>
    <cellStyle name="Normal 23 6 4 3" xfId="15148" xr:uid="{00000000-0005-0000-0000-0000C0550000}"/>
    <cellStyle name="Normal 23 6 4 3 2" xfId="52828" xr:uid="{00000000-0005-0000-0000-0000C1550000}"/>
    <cellStyle name="Normal 23 6 4 4" xfId="15149" xr:uid="{00000000-0005-0000-0000-0000C2550000}"/>
    <cellStyle name="Normal 23 6 4 5" xfId="15150" xr:uid="{00000000-0005-0000-0000-0000C3550000}"/>
    <cellStyle name="Normal 23 6 4 6" xfId="15151" xr:uid="{00000000-0005-0000-0000-0000C4550000}"/>
    <cellStyle name="Normal 23 6 5" xfId="15152" xr:uid="{00000000-0005-0000-0000-0000C5550000}"/>
    <cellStyle name="Normal 23 6 5 2" xfId="52829" xr:uid="{00000000-0005-0000-0000-0000C6550000}"/>
    <cellStyle name="Normal 23 6 6" xfId="15153" xr:uid="{00000000-0005-0000-0000-0000C7550000}"/>
    <cellStyle name="Normal 23 6 7" xfId="15154" xr:uid="{00000000-0005-0000-0000-0000C8550000}"/>
    <cellStyle name="Normal 23 6 8" xfId="15155" xr:uid="{00000000-0005-0000-0000-0000C9550000}"/>
    <cellStyle name="Normal 23 6 9" xfId="15156" xr:uid="{00000000-0005-0000-0000-0000CA550000}"/>
    <cellStyle name="Normal 23 7" xfId="15157" xr:uid="{00000000-0005-0000-0000-0000CB550000}"/>
    <cellStyle name="Normal 23 7 10" xfId="15158" xr:uid="{00000000-0005-0000-0000-0000CC550000}"/>
    <cellStyle name="Normal 23 7 2" xfId="15159" xr:uid="{00000000-0005-0000-0000-0000CD550000}"/>
    <cellStyle name="Normal 23 7 2 2" xfId="15160" xr:uid="{00000000-0005-0000-0000-0000CE550000}"/>
    <cellStyle name="Normal 23 7 2 2 2" xfId="15161" xr:uid="{00000000-0005-0000-0000-0000CF550000}"/>
    <cellStyle name="Normal 23 7 2 2 2 2" xfId="52830" xr:uid="{00000000-0005-0000-0000-0000D0550000}"/>
    <cellStyle name="Normal 23 7 2 2 2 3" xfId="52831" xr:uid="{00000000-0005-0000-0000-0000D1550000}"/>
    <cellStyle name="Normal 23 7 2 2 3" xfId="15162" xr:uid="{00000000-0005-0000-0000-0000D2550000}"/>
    <cellStyle name="Normal 23 7 2 2 3 2" xfId="52832" xr:uid="{00000000-0005-0000-0000-0000D3550000}"/>
    <cellStyle name="Normal 23 7 2 2 4" xfId="15163" xr:uid="{00000000-0005-0000-0000-0000D4550000}"/>
    <cellStyle name="Normal 23 7 2 2 5" xfId="15164" xr:uid="{00000000-0005-0000-0000-0000D5550000}"/>
    <cellStyle name="Normal 23 7 2 2 6" xfId="15165" xr:uid="{00000000-0005-0000-0000-0000D6550000}"/>
    <cellStyle name="Normal 23 7 2 3" xfId="15166" xr:uid="{00000000-0005-0000-0000-0000D7550000}"/>
    <cellStyle name="Normal 23 7 2 3 2" xfId="52833" xr:uid="{00000000-0005-0000-0000-0000D8550000}"/>
    <cellStyle name="Normal 23 7 2 3 3" xfId="52834" xr:uid="{00000000-0005-0000-0000-0000D9550000}"/>
    <cellStyle name="Normal 23 7 2 4" xfId="15167" xr:uid="{00000000-0005-0000-0000-0000DA550000}"/>
    <cellStyle name="Normal 23 7 2 4 2" xfId="52835" xr:uid="{00000000-0005-0000-0000-0000DB550000}"/>
    <cellStyle name="Normal 23 7 2 5" xfId="15168" xr:uid="{00000000-0005-0000-0000-0000DC550000}"/>
    <cellStyle name="Normal 23 7 2 6" xfId="15169" xr:uid="{00000000-0005-0000-0000-0000DD550000}"/>
    <cellStyle name="Normal 23 7 2 7" xfId="15170" xr:uid="{00000000-0005-0000-0000-0000DE550000}"/>
    <cellStyle name="Normal 23 7 3" xfId="15171" xr:uid="{00000000-0005-0000-0000-0000DF550000}"/>
    <cellStyle name="Normal 23 7 3 2" xfId="15172" xr:uid="{00000000-0005-0000-0000-0000E0550000}"/>
    <cellStyle name="Normal 23 7 3 2 2" xfId="52836" xr:uid="{00000000-0005-0000-0000-0000E1550000}"/>
    <cellStyle name="Normal 23 7 3 2 3" xfId="52837" xr:uid="{00000000-0005-0000-0000-0000E2550000}"/>
    <cellStyle name="Normal 23 7 3 3" xfId="15173" xr:uid="{00000000-0005-0000-0000-0000E3550000}"/>
    <cellStyle name="Normal 23 7 3 3 2" xfId="52838" xr:uid="{00000000-0005-0000-0000-0000E4550000}"/>
    <cellStyle name="Normal 23 7 3 4" xfId="15174" xr:uid="{00000000-0005-0000-0000-0000E5550000}"/>
    <cellStyle name="Normal 23 7 3 5" xfId="15175" xr:uid="{00000000-0005-0000-0000-0000E6550000}"/>
    <cellStyle name="Normal 23 7 3 6" xfId="15176" xr:uid="{00000000-0005-0000-0000-0000E7550000}"/>
    <cellStyle name="Normal 23 7 4" xfId="15177" xr:uid="{00000000-0005-0000-0000-0000E8550000}"/>
    <cellStyle name="Normal 23 7 4 2" xfId="52839" xr:uid="{00000000-0005-0000-0000-0000E9550000}"/>
    <cellStyle name="Normal 23 7 5" xfId="15178" xr:uid="{00000000-0005-0000-0000-0000EA550000}"/>
    <cellStyle name="Normal 23 7 6" xfId="15179" xr:uid="{00000000-0005-0000-0000-0000EB550000}"/>
    <cellStyle name="Normal 23 7 7" xfId="15180" xr:uid="{00000000-0005-0000-0000-0000EC550000}"/>
    <cellStyle name="Normal 23 7 8" xfId="15181" xr:uid="{00000000-0005-0000-0000-0000ED550000}"/>
    <cellStyle name="Normal 23 7 9" xfId="15182" xr:uid="{00000000-0005-0000-0000-0000EE550000}"/>
    <cellStyle name="Normal 23 8" xfId="15183" xr:uid="{00000000-0005-0000-0000-0000EF550000}"/>
    <cellStyle name="Normal 23 8 2" xfId="15184" xr:uid="{00000000-0005-0000-0000-0000F0550000}"/>
    <cellStyle name="Normal 23 8 2 2" xfId="15185" xr:uid="{00000000-0005-0000-0000-0000F1550000}"/>
    <cellStyle name="Normal 23 8 2 2 2" xfId="15186" xr:uid="{00000000-0005-0000-0000-0000F2550000}"/>
    <cellStyle name="Normal 23 8 2 2 2 2" xfId="52840" xr:uid="{00000000-0005-0000-0000-0000F3550000}"/>
    <cellStyle name="Normal 23 8 2 2 2 3" xfId="52841" xr:uid="{00000000-0005-0000-0000-0000F4550000}"/>
    <cellStyle name="Normal 23 8 2 2 3" xfId="15187" xr:uid="{00000000-0005-0000-0000-0000F5550000}"/>
    <cellStyle name="Normal 23 8 2 2 3 2" xfId="52842" xr:uid="{00000000-0005-0000-0000-0000F6550000}"/>
    <cellStyle name="Normal 23 8 2 2 4" xfId="15188" xr:uid="{00000000-0005-0000-0000-0000F7550000}"/>
    <cellStyle name="Normal 23 8 2 2 5" xfId="15189" xr:uid="{00000000-0005-0000-0000-0000F8550000}"/>
    <cellStyle name="Normal 23 8 2 2 6" xfId="15190" xr:uid="{00000000-0005-0000-0000-0000F9550000}"/>
    <cellStyle name="Normal 23 8 2 3" xfId="15191" xr:uid="{00000000-0005-0000-0000-0000FA550000}"/>
    <cellStyle name="Normal 23 8 2 3 2" xfId="52843" xr:uid="{00000000-0005-0000-0000-0000FB550000}"/>
    <cellStyle name="Normal 23 8 2 3 3" xfId="52844" xr:uid="{00000000-0005-0000-0000-0000FC550000}"/>
    <cellStyle name="Normal 23 8 2 4" xfId="15192" xr:uid="{00000000-0005-0000-0000-0000FD550000}"/>
    <cellStyle name="Normal 23 8 2 4 2" xfId="52845" xr:uid="{00000000-0005-0000-0000-0000FE550000}"/>
    <cellStyle name="Normal 23 8 2 5" xfId="15193" xr:uid="{00000000-0005-0000-0000-0000FF550000}"/>
    <cellStyle name="Normal 23 8 2 6" xfId="15194" xr:uid="{00000000-0005-0000-0000-000000560000}"/>
    <cellStyle name="Normal 23 8 2 7" xfId="15195" xr:uid="{00000000-0005-0000-0000-000001560000}"/>
    <cellStyle name="Normal 23 8 3" xfId="15196" xr:uid="{00000000-0005-0000-0000-000002560000}"/>
    <cellStyle name="Normal 23 8 3 2" xfId="15197" xr:uid="{00000000-0005-0000-0000-000003560000}"/>
    <cellStyle name="Normal 23 8 3 2 2" xfId="52846" xr:uid="{00000000-0005-0000-0000-000004560000}"/>
    <cellStyle name="Normal 23 8 3 2 3" xfId="52847" xr:uid="{00000000-0005-0000-0000-000005560000}"/>
    <cellStyle name="Normal 23 8 3 3" xfId="15198" xr:uid="{00000000-0005-0000-0000-000006560000}"/>
    <cellStyle name="Normal 23 8 3 3 2" xfId="52848" xr:uid="{00000000-0005-0000-0000-000007560000}"/>
    <cellStyle name="Normal 23 8 3 4" xfId="15199" xr:uid="{00000000-0005-0000-0000-000008560000}"/>
    <cellStyle name="Normal 23 8 3 5" xfId="15200" xr:uid="{00000000-0005-0000-0000-000009560000}"/>
    <cellStyle name="Normal 23 8 3 6" xfId="15201" xr:uid="{00000000-0005-0000-0000-00000A560000}"/>
    <cellStyle name="Normal 23 8 4" xfId="15202" xr:uid="{00000000-0005-0000-0000-00000B560000}"/>
    <cellStyle name="Normal 23 8 4 2" xfId="52849" xr:uid="{00000000-0005-0000-0000-00000C560000}"/>
    <cellStyle name="Normal 23 8 4 3" xfId="52850" xr:uid="{00000000-0005-0000-0000-00000D560000}"/>
    <cellStyle name="Normal 23 8 5" xfId="15203" xr:uid="{00000000-0005-0000-0000-00000E560000}"/>
    <cellStyle name="Normal 23 8 5 2" xfId="52851" xr:uid="{00000000-0005-0000-0000-00000F560000}"/>
    <cellStyle name="Normal 23 8 6" xfId="15204" xr:uid="{00000000-0005-0000-0000-000010560000}"/>
    <cellStyle name="Normal 23 8 7" xfId="15205" xr:uid="{00000000-0005-0000-0000-000011560000}"/>
    <cellStyle name="Normal 23 8 8" xfId="15206" xr:uid="{00000000-0005-0000-0000-000012560000}"/>
    <cellStyle name="Normal 23 9" xfId="15207" xr:uid="{00000000-0005-0000-0000-000013560000}"/>
    <cellStyle name="Normal 23 9 2" xfId="15208" xr:uid="{00000000-0005-0000-0000-000014560000}"/>
    <cellStyle name="Normal 23 9 2 2" xfId="15209" xr:uid="{00000000-0005-0000-0000-000015560000}"/>
    <cellStyle name="Normal 23 9 2 2 2" xfId="15210" xr:uid="{00000000-0005-0000-0000-000016560000}"/>
    <cellStyle name="Normal 23 9 2 2 2 2" xfId="52852" xr:uid="{00000000-0005-0000-0000-000017560000}"/>
    <cellStyle name="Normal 23 9 2 2 2 3" xfId="52853" xr:uid="{00000000-0005-0000-0000-000018560000}"/>
    <cellStyle name="Normal 23 9 2 2 3" xfId="15211" xr:uid="{00000000-0005-0000-0000-000019560000}"/>
    <cellStyle name="Normal 23 9 2 2 3 2" xfId="52854" xr:uid="{00000000-0005-0000-0000-00001A560000}"/>
    <cellStyle name="Normal 23 9 2 2 4" xfId="15212" xr:uid="{00000000-0005-0000-0000-00001B560000}"/>
    <cellStyle name="Normal 23 9 2 2 5" xfId="15213" xr:uid="{00000000-0005-0000-0000-00001C560000}"/>
    <cellStyle name="Normal 23 9 2 2 6" xfId="15214" xr:uid="{00000000-0005-0000-0000-00001D560000}"/>
    <cellStyle name="Normal 23 9 2 3" xfId="15215" xr:uid="{00000000-0005-0000-0000-00001E560000}"/>
    <cellStyle name="Normal 23 9 2 3 2" xfId="52855" xr:uid="{00000000-0005-0000-0000-00001F560000}"/>
    <cellStyle name="Normal 23 9 2 3 3" xfId="52856" xr:uid="{00000000-0005-0000-0000-000020560000}"/>
    <cellStyle name="Normal 23 9 2 4" xfId="15216" xr:uid="{00000000-0005-0000-0000-000021560000}"/>
    <cellStyle name="Normal 23 9 2 4 2" xfId="52857" xr:uid="{00000000-0005-0000-0000-000022560000}"/>
    <cellStyle name="Normal 23 9 2 5" xfId="15217" xr:uid="{00000000-0005-0000-0000-000023560000}"/>
    <cellStyle name="Normal 23 9 2 6" xfId="15218" xr:uid="{00000000-0005-0000-0000-000024560000}"/>
    <cellStyle name="Normal 23 9 2 7" xfId="15219" xr:uid="{00000000-0005-0000-0000-000025560000}"/>
    <cellStyle name="Normal 23 9 3" xfId="15220" xr:uid="{00000000-0005-0000-0000-000026560000}"/>
    <cellStyle name="Normal 23 9 3 2" xfId="15221" xr:uid="{00000000-0005-0000-0000-000027560000}"/>
    <cellStyle name="Normal 23 9 3 2 2" xfId="52858" xr:uid="{00000000-0005-0000-0000-000028560000}"/>
    <cellStyle name="Normal 23 9 3 2 3" xfId="52859" xr:uid="{00000000-0005-0000-0000-000029560000}"/>
    <cellStyle name="Normal 23 9 3 3" xfId="15222" xr:uid="{00000000-0005-0000-0000-00002A560000}"/>
    <cellStyle name="Normal 23 9 3 3 2" xfId="52860" xr:uid="{00000000-0005-0000-0000-00002B560000}"/>
    <cellStyle name="Normal 23 9 3 4" xfId="15223" xr:uid="{00000000-0005-0000-0000-00002C560000}"/>
    <cellStyle name="Normal 23 9 3 5" xfId="15224" xr:uid="{00000000-0005-0000-0000-00002D560000}"/>
    <cellStyle name="Normal 23 9 3 6" xfId="15225" xr:uid="{00000000-0005-0000-0000-00002E560000}"/>
    <cellStyle name="Normal 23 9 4" xfId="15226" xr:uid="{00000000-0005-0000-0000-00002F560000}"/>
    <cellStyle name="Normal 23 9 4 2" xfId="52861" xr:uid="{00000000-0005-0000-0000-000030560000}"/>
    <cellStyle name="Normal 23 9 4 3" xfId="52862" xr:uid="{00000000-0005-0000-0000-000031560000}"/>
    <cellStyle name="Normal 23 9 5" xfId="15227" xr:uid="{00000000-0005-0000-0000-000032560000}"/>
    <cellStyle name="Normal 23 9 5 2" xfId="52863" xr:uid="{00000000-0005-0000-0000-000033560000}"/>
    <cellStyle name="Normal 23 9 6" xfId="15228" xr:uid="{00000000-0005-0000-0000-000034560000}"/>
    <cellStyle name="Normal 23 9 7" xfId="15229" xr:uid="{00000000-0005-0000-0000-000035560000}"/>
    <cellStyle name="Normal 23 9 8" xfId="15230" xr:uid="{00000000-0005-0000-0000-000036560000}"/>
    <cellStyle name="Normal 24" xfId="15231" xr:uid="{00000000-0005-0000-0000-000037560000}"/>
    <cellStyle name="Normal 24 10" xfId="15232" xr:uid="{00000000-0005-0000-0000-000038560000}"/>
    <cellStyle name="Normal 24 10 2" xfId="15233" xr:uid="{00000000-0005-0000-0000-000039560000}"/>
    <cellStyle name="Normal 24 10 2 2" xfId="15234" xr:uid="{00000000-0005-0000-0000-00003A560000}"/>
    <cellStyle name="Normal 24 10 2 2 2" xfId="52864" xr:uid="{00000000-0005-0000-0000-00003B560000}"/>
    <cellStyle name="Normal 24 10 2 2 3" xfId="52865" xr:uid="{00000000-0005-0000-0000-00003C560000}"/>
    <cellStyle name="Normal 24 10 2 3" xfId="15235" xr:uid="{00000000-0005-0000-0000-00003D560000}"/>
    <cellStyle name="Normal 24 10 2 3 2" xfId="52866" xr:uid="{00000000-0005-0000-0000-00003E560000}"/>
    <cellStyle name="Normal 24 10 2 4" xfId="15236" xr:uid="{00000000-0005-0000-0000-00003F560000}"/>
    <cellStyle name="Normal 24 10 2 5" xfId="15237" xr:uid="{00000000-0005-0000-0000-000040560000}"/>
    <cellStyle name="Normal 24 10 2 6" xfId="15238" xr:uid="{00000000-0005-0000-0000-000041560000}"/>
    <cellStyle name="Normal 24 10 3" xfId="15239" xr:uid="{00000000-0005-0000-0000-000042560000}"/>
    <cellStyle name="Normal 24 10 3 2" xfId="52867" xr:uid="{00000000-0005-0000-0000-000043560000}"/>
    <cellStyle name="Normal 24 10 3 3" xfId="52868" xr:uid="{00000000-0005-0000-0000-000044560000}"/>
    <cellStyle name="Normal 24 10 4" xfId="15240" xr:uid="{00000000-0005-0000-0000-000045560000}"/>
    <cellStyle name="Normal 24 10 4 2" xfId="52869" xr:uid="{00000000-0005-0000-0000-000046560000}"/>
    <cellStyle name="Normal 24 10 5" xfId="15241" xr:uid="{00000000-0005-0000-0000-000047560000}"/>
    <cellStyle name="Normal 24 10 6" xfId="15242" xr:uid="{00000000-0005-0000-0000-000048560000}"/>
    <cellStyle name="Normal 24 10 7" xfId="15243" xr:uid="{00000000-0005-0000-0000-000049560000}"/>
    <cellStyle name="Normal 24 11" xfId="15244" xr:uid="{00000000-0005-0000-0000-00004A560000}"/>
    <cellStyle name="Normal 24 11 2" xfId="15245" xr:uid="{00000000-0005-0000-0000-00004B560000}"/>
    <cellStyle name="Normal 24 11 2 2" xfId="52870" xr:uid="{00000000-0005-0000-0000-00004C560000}"/>
    <cellStyle name="Normal 24 11 2 3" xfId="52871" xr:uid="{00000000-0005-0000-0000-00004D560000}"/>
    <cellStyle name="Normal 24 11 3" xfId="15246" xr:uid="{00000000-0005-0000-0000-00004E560000}"/>
    <cellStyle name="Normal 24 11 3 2" xfId="52872" xr:uid="{00000000-0005-0000-0000-00004F560000}"/>
    <cellStyle name="Normal 24 11 4" xfId="15247" xr:uid="{00000000-0005-0000-0000-000050560000}"/>
    <cellStyle name="Normal 24 11 5" xfId="15248" xr:uid="{00000000-0005-0000-0000-000051560000}"/>
    <cellStyle name="Normal 24 11 6" xfId="15249" xr:uid="{00000000-0005-0000-0000-000052560000}"/>
    <cellStyle name="Normal 24 12" xfId="15250" xr:uid="{00000000-0005-0000-0000-000053560000}"/>
    <cellStyle name="Normal 24 12 2" xfId="15251" xr:uid="{00000000-0005-0000-0000-000054560000}"/>
    <cellStyle name="Normal 24 12 2 2" xfId="15252" xr:uid="{00000000-0005-0000-0000-000055560000}"/>
    <cellStyle name="Normal 24 12 2 2 2" xfId="15253" xr:uid="{00000000-0005-0000-0000-000056560000}"/>
    <cellStyle name="Normal 24 12 2 3" xfId="15254" xr:uid="{00000000-0005-0000-0000-000057560000}"/>
    <cellStyle name="Normal 24 12 2 3 2" xfId="15255" xr:uid="{00000000-0005-0000-0000-000058560000}"/>
    <cellStyle name="Normal 24 12 2 4" xfId="15256" xr:uid="{00000000-0005-0000-0000-000059560000}"/>
    <cellStyle name="Normal 24 12 3" xfId="15257" xr:uid="{00000000-0005-0000-0000-00005A560000}"/>
    <cellStyle name="Normal 24 12 3 2" xfId="15258" xr:uid="{00000000-0005-0000-0000-00005B560000}"/>
    <cellStyle name="Normal 24 12 3 2 2" xfId="15259" xr:uid="{00000000-0005-0000-0000-00005C560000}"/>
    <cellStyle name="Normal 24 12 3 3" xfId="15260" xr:uid="{00000000-0005-0000-0000-00005D560000}"/>
    <cellStyle name="Normal 24 12 3 3 2" xfId="15261" xr:uid="{00000000-0005-0000-0000-00005E560000}"/>
    <cellStyle name="Normal 24 12 3 4" xfId="15262" xr:uid="{00000000-0005-0000-0000-00005F560000}"/>
    <cellStyle name="Normal 24 12 4" xfId="15263" xr:uid="{00000000-0005-0000-0000-000060560000}"/>
    <cellStyle name="Normal 24 12 4 2" xfId="15264" xr:uid="{00000000-0005-0000-0000-000061560000}"/>
    <cellStyle name="Normal 24 12 5" xfId="15265" xr:uid="{00000000-0005-0000-0000-000062560000}"/>
    <cellStyle name="Normal 24 12 5 2" xfId="15266" xr:uid="{00000000-0005-0000-0000-000063560000}"/>
    <cellStyle name="Normal 24 12 6" xfId="15267" xr:uid="{00000000-0005-0000-0000-000064560000}"/>
    <cellStyle name="Normal 24 12 7" xfId="15268" xr:uid="{00000000-0005-0000-0000-000065560000}"/>
    <cellStyle name="Normal 24 13" xfId="15269" xr:uid="{00000000-0005-0000-0000-000066560000}"/>
    <cellStyle name="Normal 24 13 2" xfId="15270" xr:uid="{00000000-0005-0000-0000-000067560000}"/>
    <cellStyle name="Normal 24 13 2 2" xfId="15271" xr:uid="{00000000-0005-0000-0000-000068560000}"/>
    <cellStyle name="Normal 24 13 3" xfId="15272" xr:uid="{00000000-0005-0000-0000-000069560000}"/>
    <cellStyle name="Normal 24 13 3 2" xfId="15273" xr:uid="{00000000-0005-0000-0000-00006A560000}"/>
    <cellStyle name="Normal 24 13 4" xfId="15274" xr:uid="{00000000-0005-0000-0000-00006B560000}"/>
    <cellStyle name="Normal 24 13 5" xfId="15275" xr:uid="{00000000-0005-0000-0000-00006C560000}"/>
    <cellStyle name="Normal 24 14" xfId="15276" xr:uid="{00000000-0005-0000-0000-00006D560000}"/>
    <cellStyle name="Normal 24 14 2" xfId="15277" xr:uid="{00000000-0005-0000-0000-00006E560000}"/>
    <cellStyle name="Normal 24 14 2 2" xfId="15278" xr:uid="{00000000-0005-0000-0000-00006F560000}"/>
    <cellStyle name="Normal 24 14 3" xfId="15279" xr:uid="{00000000-0005-0000-0000-000070560000}"/>
    <cellStyle name="Normal 24 14 3 2" xfId="15280" xr:uid="{00000000-0005-0000-0000-000071560000}"/>
    <cellStyle name="Normal 24 14 4" xfId="15281" xr:uid="{00000000-0005-0000-0000-000072560000}"/>
    <cellStyle name="Normal 24 14 5" xfId="15282" xr:uid="{00000000-0005-0000-0000-000073560000}"/>
    <cellStyle name="Normal 24 15" xfId="15283" xr:uid="{00000000-0005-0000-0000-000074560000}"/>
    <cellStyle name="Normal 24 15 2" xfId="15284" xr:uid="{00000000-0005-0000-0000-000075560000}"/>
    <cellStyle name="Normal 24 15 2 2" xfId="15285" xr:uid="{00000000-0005-0000-0000-000076560000}"/>
    <cellStyle name="Normal 24 15 3" xfId="15286" xr:uid="{00000000-0005-0000-0000-000077560000}"/>
    <cellStyle name="Normal 24 15 3 2" xfId="15287" xr:uid="{00000000-0005-0000-0000-000078560000}"/>
    <cellStyle name="Normal 24 15 4" xfId="15288" xr:uid="{00000000-0005-0000-0000-000079560000}"/>
    <cellStyle name="Normal 24 15 5" xfId="15289" xr:uid="{00000000-0005-0000-0000-00007A560000}"/>
    <cellStyle name="Normal 24 16" xfId="15290" xr:uid="{00000000-0005-0000-0000-00007B560000}"/>
    <cellStyle name="Normal 24 16 2" xfId="15291" xr:uid="{00000000-0005-0000-0000-00007C560000}"/>
    <cellStyle name="Normal 24 16 2 2" xfId="15292" xr:uid="{00000000-0005-0000-0000-00007D560000}"/>
    <cellStyle name="Normal 24 16 3" xfId="15293" xr:uid="{00000000-0005-0000-0000-00007E560000}"/>
    <cellStyle name="Normal 24 16 3 2" xfId="15294" xr:uid="{00000000-0005-0000-0000-00007F560000}"/>
    <cellStyle name="Normal 24 16 4" xfId="15295" xr:uid="{00000000-0005-0000-0000-000080560000}"/>
    <cellStyle name="Normal 24 16 5" xfId="15296" xr:uid="{00000000-0005-0000-0000-000081560000}"/>
    <cellStyle name="Normal 24 17" xfId="15297" xr:uid="{00000000-0005-0000-0000-000082560000}"/>
    <cellStyle name="Normal 24 17 2" xfId="15298" xr:uid="{00000000-0005-0000-0000-000083560000}"/>
    <cellStyle name="Normal 24 17 2 2" xfId="15299" xr:uid="{00000000-0005-0000-0000-000084560000}"/>
    <cellStyle name="Normal 24 17 3" xfId="15300" xr:uid="{00000000-0005-0000-0000-000085560000}"/>
    <cellStyle name="Normal 24 17 3 2" xfId="15301" xr:uid="{00000000-0005-0000-0000-000086560000}"/>
    <cellStyle name="Normal 24 17 4" xfId="15302" xr:uid="{00000000-0005-0000-0000-000087560000}"/>
    <cellStyle name="Normal 24 17 5" xfId="15303" xr:uid="{00000000-0005-0000-0000-000088560000}"/>
    <cellStyle name="Normal 24 18" xfId="15304" xr:uid="{00000000-0005-0000-0000-000089560000}"/>
    <cellStyle name="Normal 24 18 2" xfId="15305" xr:uid="{00000000-0005-0000-0000-00008A560000}"/>
    <cellStyle name="Normal 24 18 2 2" xfId="15306" xr:uid="{00000000-0005-0000-0000-00008B560000}"/>
    <cellStyle name="Normal 24 18 3" xfId="15307" xr:uid="{00000000-0005-0000-0000-00008C560000}"/>
    <cellStyle name="Normal 24 18 4" xfId="15308" xr:uid="{00000000-0005-0000-0000-00008D560000}"/>
    <cellStyle name="Normal 24 19" xfId="15309" xr:uid="{00000000-0005-0000-0000-00008E560000}"/>
    <cellStyle name="Normal 24 19 2" xfId="15310" xr:uid="{00000000-0005-0000-0000-00008F560000}"/>
    <cellStyle name="Normal 24 19 3" xfId="15311" xr:uid="{00000000-0005-0000-0000-000090560000}"/>
    <cellStyle name="Normal 24 2" xfId="15312" xr:uid="{00000000-0005-0000-0000-000091560000}"/>
    <cellStyle name="Normal 24 2 10" xfId="15313" xr:uid="{00000000-0005-0000-0000-000092560000}"/>
    <cellStyle name="Normal 24 2 11" xfId="15314" xr:uid="{00000000-0005-0000-0000-000093560000}"/>
    <cellStyle name="Normal 24 2 12" xfId="15315" xr:uid="{00000000-0005-0000-0000-000094560000}"/>
    <cellStyle name="Normal 24 2 13" xfId="15316" xr:uid="{00000000-0005-0000-0000-000095560000}"/>
    <cellStyle name="Normal 24 2 14" xfId="15317" xr:uid="{00000000-0005-0000-0000-000096560000}"/>
    <cellStyle name="Normal 24 2 15" xfId="15318" xr:uid="{00000000-0005-0000-0000-000097560000}"/>
    <cellStyle name="Normal 24 2 16" xfId="15319" xr:uid="{00000000-0005-0000-0000-000098560000}"/>
    <cellStyle name="Normal 24 2 2" xfId="15320" xr:uid="{00000000-0005-0000-0000-000099560000}"/>
    <cellStyle name="Normal 24 2 2 10" xfId="15321" xr:uid="{00000000-0005-0000-0000-00009A560000}"/>
    <cellStyle name="Normal 24 2 2 11" xfId="15322" xr:uid="{00000000-0005-0000-0000-00009B560000}"/>
    <cellStyle name="Normal 24 2 2 12" xfId="15323" xr:uid="{00000000-0005-0000-0000-00009C560000}"/>
    <cellStyle name="Normal 24 2 2 13" xfId="15324" xr:uid="{00000000-0005-0000-0000-00009D560000}"/>
    <cellStyle name="Normal 24 2 2 14" xfId="15325" xr:uid="{00000000-0005-0000-0000-00009E560000}"/>
    <cellStyle name="Normal 24 2 2 2" xfId="15326" xr:uid="{00000000-0005-0000-0000-00009F560000}"/>
    <cellStyle name="Normal 24 2 2 2 2" xfId="15327" xr:uid="{00000000-0005-0000-0000-0000A0560000}"/>
    <cellStyle name="Normal 24 2 2 2 2 2" xfId="15328" xr:uid="{00000000-0005-0000-0000-0000A1560000}"/>
    <cellStyle name="Normal 24 2 2 2 2 2 2" xfId="15329" xr:uid="{00000000-0005-0000-0000-0000A2560000}"/>
    <cellStyle name="Normal 24 2 2 2 2 2 2 2" xfId="52873" xr:uid="{00000000-0005-0000-0000-0000A3560000}"/>
    <cellStyle name="Normal 24 2 2 2 2 2 2 3" xfId="52874" xr:uid="{00000000-0005-0000-0000-0000A4560000}"/>
    <cellStyle name="Normal 24 2 2 2 2 2 3" xfId="15330" xr:uid="{00000000-0005-0000-0000-0000A5560000}"/>
    <cellStyle name="Normal 24 2 2 2 2 2 3 2" xfId="52875" xr:uid="{00000000-0005-0000-0000-0000A6560000}"/>
    <cellStyle name="Normal 24 2 2 2 2 2 4" xfId="15331" xr:uid="{00000000-0005-0000-0000-0000A7560000}"/>
    <cellStyle name="Normal 24 2 2 2 2 2 5" xfId="15332" xr:uid="{00000000-0005-0000-0000-0000A8560000}"/>
    <cellStyle name="Normal 24 2 2 2 2 2 6" xfId="15333" xr:uid="{00000000-0005-0000-0000-0000A9560000}"/>
    <cellStyle name="Normal 24 2 2 2 2 3" xfId="15334" xr:uid="{00000000-0005-0000-0000-0000AA560000}"/>
    <cellStyle name="Normal 24 2 2 2 2 3 2" xfId="52876" xr:uid="{00000000-0005-0000-0000-0000AB560000}"/>
    <cellStyle name="Normal 24 2 2 2 2 3 3" xfId="52877" xr:uid="{00000000-0005-0000-0000-0000AC560000}"/>
    <cellStyle name="Normal 24 2 2 2 2 4" xfId="15335" xr:uid="{00000000-0005-0000-0000-0000AD560000}"/>
    <cellStyle name="Normal 24 2 2 2 2 4 2" xfId="52878" xr:uid="{00000000-0005-0000-0000-0000AE560000}"/>
    <cellStyle name="Normal 24 2 2 2 2 5" xfId="15336" xr:uid="{00000000-0005-0000-0000-0000AF560000}"/>
    <cellStyle name="Normal 24 2 2 2 2 6" xfId="15337" xr:uid="{00000000-0005-0000-0000-0000B0560000}"/>
    <cellStyle name="Normal 24 2 2 2 2 7" xfId="15338" xr:uid="{00000000-0005-0000-0000-0000B1560000}"/>
    <cellStyle name="Normal 24 2 2 2 3" xfId="15339" xr:uid="{00000000-0005-0000-0000-0000B2560000}"/>
    <cellStyle name="Normal 24 2 2 2 3 2" xfId="15340" xr:uid="{00000000-0005-0000-0000-0000B3560000}"/>
    <cellStyle name="Normal 24 2 2 2 3 2 2" xfId="52879" xr:uid="{00000000-0005-0000-0000-0000B4560000}"/>
    <cellStyle name="Normal 24 2 2 2 3 2 3" xfId="52880" xr:uid="{00000000-0005-0000-0000-0000B5560000}"/>
    <cellStyle name="Normal 24 2 2 2 3 3" xfId="15341" xr:uid="{00000000-0005-0000-0000-0000B6560000}"/>
    <cellStyle name="Normal 24 2 2 2 3 3 2" xfId="52881" xr:uid="{00000000-0005-0000-0000-0000B7560000}"/>
    <cellStyle name="Normal 24 2 2 2 3 4" xfId="15342" xr:uid="{00000000-0005-0000-0000-0000B8560000}"/>
    <cellStyle name="Normal 24 2 2 2 3 5" xfId="15343" xr:uid="{00000000-0005-0000-0000-0000B9560000}"/>
    <cellStyle name="Normal 24 2 2 2 3 6" xfId="15344" xr:uid="{00000000-0005-0000-0000-0000BA560000}"/>
    <cellStyle name="Normal 24 2 2 2 4" xfId="15345" xr:uid="{00000000-0005-0000-0000-0000BB560000}"/>
    <cellStyle name="Normal 24 2 2 2 4 2" xfId="52882" xr:uid="{00000000-0005-0000-0000-0000BC560000}"/>
    <cellStyle name="Normal 24 2 2 2 4 3" xfId="52883" xr:uid="{00000000-0005-0000-0000-0000BD560000}"/>
    <cellStyle name="Normal 24 2 2 2 5" xfId="15346" xr:uid="{00000000-0005-0000-0000-0000BE560000}"/>
    <cellStyle name="Normal 24 2 2 2 5 2" xfId="52884" xr:uid="{00000000-0005-0000-0000-0000BF560000}"/>
    <cellStyle name="Normal 24 2 2 2 6" xfId="15347" xr:uid="{00000000-0005-0000-0000-0000C0560000}"/>
    <cellStyle name="Normal 24 2 2 2 7" xfId="15348" xr:uid="{00000000-0005-0000-0000-0000C1560000}"/>
    <cellStyle name="Normal 24 2 2 2 8" xfId="15349" xr:uid="{00000000-0005-0000-0000-0000C2560000}"/>
    <cellStyle name="Normal 24 2 2 2 9" xfId="15350" xr:uid="{00000000-0005-0000-0000-0000C3560000}"/>
    <cellStyle name="Normal 24 2 2 3" xfId="15351" xr:uid="{00000000-0005-0000-0000-0000C4560000}"/>
    <cellStyle name="Normal 24 2 2 3 2" xfId="15352" xr:uid="{00000000-0005-0000-0000-0000C5560000}"/>
    <cellStyle name="Normal 24 2 2 3 2 2" xfId="15353" xr:uid="{00000000-0005-0000-0000-0000C6560000}"/>
    <cellStyle name="Normal 24 2 2 3 2 2 2" xfId="15354" xr:uid="{00000000-0005-0000-0000-0000C7560000}"/>
    <cellStyle name="Normal 24 2 2 3 2 2 2 2" xfId="52885" xr:uid="{00000000-0005-0000-0000-0000C8560000}"/>
    <cellStyle name="Normal 24 2 2 3 2 2 2 3" xfId="52886" xr:uid="{00000000-0005-0000-0000-0000C9560000}"/>
    <cellStyle name="Normal 24 2 2 3 2 2 3" xfId="15355" xr:uid="{00000000-0005-0000-0000-0000CA560000}"/>
    <cellStyle name="Normal 24 2 2 3 2 2 3 2" xfId="52887" xr:uid="{00000000-0005-0000-0000-0000CB560000}"/>
    <cellStyle name="Normal 24 2 2 3 2 2 4" xfId="15356" xr:uid="{00000000-0005-0000-0000-0000CC560000}"/>
    <cellStyle name="Normal 24 2 2 3 2 2 5" xfId="15357" xr:uid="{00000000-0005-0000-0000-0000CD560000}"/>
    <cellStyle name="Normal 24 2 2 3 2 2 6" xfId="15358" xr:uid="{00000000-0005-0000-0000-0000CE560000}"/>
    <cellStyle name="Normal 24 2 2 3 2 3" xfId="15359" xr:uid="{00000000-0005-0000-0000-0000CF560000}"/>
    <cellStyle name="Normal 24 2 2 3 2 3 2" xfId="52888" xr:uid="{00000000-0005-0000-0000-0000D0560000}"/>
    <cellStyle name="Normal 24 2 2 3 2 3 3" xfId="52889" xr:uid="{00000000-0005-0000-0000-0000D1560000}"/>
    <cellStyle name="Normal 24 2 2 3 2 4" xfId="15360" xr:uid="{00000000-0005-0000-0000-0000D2560000}"/>
    <cellStyle name="Normal 24 2 2 3 2 4 2" xfId="52890" xr:uid="{00000000-0005-0000-0000-0000D3560000}"/>
    <cellStyle name="Normal 24 2 2 3 2 5" xfId="15361" xr:uid="{00000000-0005-0000-0000-0000D4560000}"/>
    <cellStyle name="Normal 24 2 2 3 2 6" xfId="15362" xr:uid="{00000000-0005-0000-0000-0000D5560000}"/>
    <cellStyle name="Normal 24 2 2 3 2 7" xfId="15363" xr:uid="{00000000-0005-0000-0000-0000D6560000}"/>
    <cellStyle name="Normal 24 2 2 3 3" xfId="15364" xr:uid="{00000000-0005-0000-0000-0000D7560000}"/>
    <cellStyle name="Normal 24 2 2 3 3 2" xfId="15365" xr:uid="{00000000-0005-0000-0000-0000D8560000}"/>
    <cellStyle name="Normal 24 2 2 3 3 2 2" xfId="52891" xr:uid="{00000000-0005-0000-0000-0000D9560000}"/>
    <cellStyle name="Normal 24 2 2 3 3 2 3" xfId="52892" xr:uid="{00000000-0005-0000-0000-0000DA560000}"/>
    <cellStyle name="Normal 24 2 2 3 3 3" xfId="15366" xr:uid="{00000000-0005-0000-0000-0000DB560000}"/>
    <cellStyle name="Normal 24 2 2 3 3 3 2" xfId="52893" xr:uid="{00000000-0005-0000-0000-0000DC560000}"/>
    <cellStyle name="Normal 24 2 2 3 3 4" xfId="15367" xr:uid="{00000000-0005-0000-0000-0000DD560000}"/>
    <cellStyle name="Normal 24 2 2 3 3 5" xfId="15368" xr:uid="{00000000-0005-0000-0000-0000DE560000}"/>
    <cellStyle name="Normal 24 2 2 3 3 6" xfId="15369" xr:uid="{00000000-0005-0000-0000-0000DF560000}"/>
    <cellStyle name="Normal 24 2 2 3 4" xfId="15370" xr:uid="{00000000-0005-0000-0000-0000E0560000}"/>
    <cellStyle name="Normal 24 2 2 3 4 2" xfId="52894" xr:uid="{00000000-0005-0000-0000-0000E1560000}"/>
    <cellStyle name="Normal 24 2 2 3 4 3" xfId="52895" xr:uid="{00000000-0005-0000-0000-0000E2560000}"/>
    <cellStyle name="Normal 24 2 2 3 5" xfId="15371" xr:uid="{00000000-0005-0000-0000-0000E3560000}"/>
    <cellStyle name="Normal 24 2 2 3 5 2" xfId="52896" xr:uid="{00000000-0005-0000-0000-0000E4560000}"/>
    <cellStyle name="Normal 24 2 2 3 6" xfId="15372" xr:uid="{00000000-0005-0000-0000-0000E5560000}"/>
    <cellStyle name="Normal 24 2 2 3 7" xfId="15373" xr:uid="{00000000-0005-0000-0000-0000E6560000}"/>
    <cellStyle name="Normal 24 2 2 3 8" xfId="15374" xr:uid="{00000000-0005-0000-0000-0000E7560000}"/>
    <cellStyle name="Normal 24 2 2 4" xfId="15375" xr:uid="{00000000-0005-0000-0000-0000E8560000}"/>
    <cellStyle name="Normal 24 2 2 4 2" xfId="15376" xr:uid="{00000000-0005-0000-0000-0000E9560000}"/>
    <cellStyle name="Normal 24 2 2 4 2 2" xfId="15377" xr:uid="{00000000-0005-0000-0000-0000EA560000}"/>
    <cellStyle name="Normal 24 2 2 4 2 2 2" xfId="52897" xr:uid="{00000000-0005-0000-0000-0000EB560000}"/>
    <cellStyle name="Normal 24 2 2 4 2 2 3" xfId="52898" xr:uid="{00000000-0005-0000-0000-0000EC560000}"/>
    <cellStyle name="Normal 24 2 2 4 2 3" xfId="15378" xr:uid="{00000000-0005-0000-0000-0000ED560000}"/>
    <cellStyle name="Normal 24 2 2 4 2 3 2" xfId="52899" xr:uid="{00000000-0005-0000-0000-0000EE560000}"/>
    <cellStyle name="Normal 24 2 2 4 2 4" xfId="15379" xr:uid="{00000000-0005-0000-0000-0000EF560000}"/>
    <cellStyle name="Normal 24 2 2 4 2 5" xfId="15380" xr:uid="{00000000-0005-0000-0000-0000F0560000}"/>
    <cellStyle name="Normal 24 2 2 4 2 6" xfId="15381" xr:uid="{00000000-0005-0000-0000-0000F1560000}"/>
    <cellStyle name="Normal 24 2 2 4 3" xfId="15382" xr:uid="{00000000-0005-0000-0000-0000F2560000}"/>
    <cellStyle name="Normal 24 2 2 4 3 2" xfId="52900" xr:uid="{00000000-0005-0000-0000-0000F3560000}"/>
    <cellStyle name="Normal 24 2 2 4 3 3" xfId="52901" xr:uid="{00000000-0005-0000-0000-0000F4560000}"/>
    <cellStyle name="Normal 24 2 2 4 4" xfId="15383" xr:uid="{00000000-0005-0000-0000-0000F5560000}"/>
    <cellStyle name="Normal 24 2 2 4 4 2" xfId="52902" xr:uid="{00000000-0005-0000-0000-0000F6560000}"/>
    <cellStyle name="Normal 24 2 2 4 5" xfId="15384" xr:uid="{00000000-0005-0000-0000-0000F7560000}"/>
    <cellStyle name="Normal 24 2 2 4 6" xfId="15385" xr:uid="{00000000-0005-0000-0000-0000F8560000}"/>
    <cellStyle name="Normal 24 2 2 4 7" xfId="15386" xr:uid="{00000000-0005-0000-0000-0000F9560000}"/>
    <cellStyle name="Normal 24 2 2 5" xfId="15387" xr:uid="{00000000-0005-0000-0000-0000FA560000}"/>
    <cellStyle name="Normal 24 2 2 5 2" xfId="15388" xr:uid="{00000000-0005-0000-0000-0000FB560000}"/>
    <cellStyle name="Normal 24 2 2 5 2 2" xfId="52903" xr:uid="{00000000-0005-0000-0000-0000FC560000}"/>
    <cellStyle name="Normal 24 2 2 5 2 3" xfId="52904" xr:uid="{00000000-0005-0000-0000-0000FD560000}"/>
    <cellStyle name="Normal 24 2 2 5 3" xfId="15389" xr:uid="{00000000-0005-0000-0000-0000FE560000}"/>
    <cellStyle name="Normal 24 2 2 5 3 2" xfId="52905" xr:uid="{00000000-0005-0000-0000-0000FF560000}"/>
    <cellStyle name="Normal 24 2 2 5 4" xfId="15390" xr:uid="{00000000-0005-0000-0000-000000570000}"/>
    <cellStyle name="Normal 24 2 2 5 5" xfId="15391" xr:uid="{00000000-0005-0000-0000-000001570000}"/>
    <cellStyle name="Normal 24 2 2 5 6" xfId="15392" xr:uid="{00000000-0005-0000-0000-000002570000}"/>
    <cellStyle name="Normal 24 2 2 6" xfId="15393" xr:uid="{00000000-0005-0000-0000-000003570000}"/>
    <cellStyle name="Normal 24 2 2 6 2" xfId="52906" xr:uid="{00000000-0005-0000-0000-000004570000}"/>
    <cellStyle name="Normal 24 2 2 6 3" xfId="52907" xr:uid="{00000000-0005-0000-0000-000005570000}"/>
    <cellStyle name="Normal 24 2 2 7" xfId="15394" xr:uid="{00000000-0005-0000-0000-000006570000}"/>
    <cellStyle name="Normal 24 2 2 7 2" xfId="52908" xr:uid="{00000000-0005-0000-0000-000007570000}"/>
    <cellStyle name="Normal 24 2 2 8" xfId="15395" xr:uid="{00000000-0005-0000-0000-000008570000}"/>
    <cellStyle name="Normal 24 2 2 8 2" xfId="52909" xr:uid="{00000000-0005-0000-0000-000009570000}"/>
    <cellStyle name="Normal 24 2 2 9" xfId="15396" xr:uid="{00000000-0005-0000-0000-00000A570000}"/>
    <cellStyle name="Normal 24 2 3" xfId="15397" xr:uid="{00000000-0005-0000-0000-00000B570000}"/>
    <cellStyle name="Normal 24 2 3 10" xfId="15398" xr:uid="{00000000-0005-0000-0000-00000C570000}"/>
    <cellStyle name="Normal 24 2 3 2" xfId="15399" xr:uid="{00000000-0005-0000-0000-00000D570000}"/>
    <cellStyle name="Normal 24 2 3 2 2" xfId="15400" xr:uid="{00000000-0005-0000-0000-00000E570000}"/>
    <cellStyle name="Normal 24 2 3 2 2 2" xfId="15401" xr:uid="{00000000-0005-0000-0000-00000F570000}"/>
    <cellStyle name="Normal 24 2 3 2 2 2 2" xfId="52910" xr:uid="{00000000-0005-0000-0000-000010570000}"/>
    <cellStyle name="Normal 24 2 3 2 2 2 3" xfId="52911" xr:uid="{00000000-0005-0000-0000-000011570000}"/>
    <cellStyle name="Normal 24 2 3 2 2 3" xfId="15402" xr:uid="{00000000-0005-0000-0000-000012570000}"/>
    <cellStyle name="Normal 24 2 3 2 2 3 2" xfId="52912" xr:uid="{00000000-0005-0000-0000-000013570000}"/>
    <cellStyle name="Normal 24 2 3 2 2 4" xfId="15403" xr:uid="{00000000-0005-0000-0000-000014570000}"/>
    <cellStyle name="Normal 24 2 3 2 2 5" xfId="15404" xr:uid="{00000000-0005-0000-0000-000015570000}"/>
    <cellStyle name="Normal 24 2 3 2 2 6" xfId="15405" xr:uid="{00000000-0005-0000-0000-000016570000}"/>
    <cellStyle name="Normal 24 2 3 2 3" xfId="15406" xr:uid="{00000000-0005-0000-0000-000017570000}"/>
    <cellStyle name="Normal 24 2 3 2 3 2" xfId="52913" xr:uid="{00000000-0005-0000-0000-000018570000}"/>
    <cellStyle name="Normal 24 2 3 2 3 3" xfId="52914" xr:uid="{00000000-0005-0000-0000-000019570000}"/>
    <cellStyle name="Normal 24 2 3 2 4" xfId="15407" xr:uid="{00000000-0005-0000-0000-00001A570000}"/>
    <cellStyle name="Normal 24 2 3 2 4 2" xfId="52915" xr:uid="{00000000-0005-0000-0000-00001B570000}"/>
    <cellStyle name="Normal 24 2 3 2 5" xfId="15408" xr:uid="{00000000-0005-0000-0000-00001C570000}"/>
    <cellStyle name="Normal 24 2 3 2 6" xfId="15409" xr:uid="{00000000-0005-0000-0000-00001D570000}"/>
    <cellStyle name="Normal 24 2 3 2 7" xfId="15410" xr:uid="{00000000-0005-0000-0000-00001E570000}"/>
    <cellStyle name="Normal 24 2 3 3" xfId="15411" xr:uid="{00000000-0005-0000-0000-00001F570000}"/>
    <cellStyle name="Normal 24 2 3 3 2" xfId="15412" xr:uid="{00000000-0005-0000-0000-000020570000}"/>
    <cellStyle name="Normal 24 2 3 3 2 2" xfId="52916" xr:uid="{00000000-0005-0000-0000-000021570000}"/>
    <cellStyle name="Normal 24 2 3 3 2 3" xfId="52917" xr:uid="{00000000-0005-0000-0000-000022570000}"/>
    <cellStyle name="Normal 24 2 3 3 3" xfId="15413" xr:uid="{00000000-0005-0000-0000-000023570000}"/>
    <cellStyle name="Normal 24 2 3 3 3 2" xfId="52918" xr:uid="{00000000-0005-0000-0000-000024570000}"/>
    <cellStyle name="Normal 24 2 3 3 4" xfId="15414" xr:uid="{00000000-0005-0000-0000-000025570000}"/>
    <cellStyle name="Normal 24 2 3 3 5" xfId="15415" xr:uid="{00000000-0005-0000-0000-000026570000}"/>
    <cellStyle name="Normal 24 2 3 3 6" xfId="15416" xr:uid="{00000000-0005-0000-0000-000027570000}"/>
    <cellStyle name="Normal 24 2 3 4" xfId="15417" xr:uid="{00000000-0005-0000-0000-000028570000}"/>
    <cellStyle name="Normal 24 2 3 4 2" xfId="52919" xr:uid="{00000000-0005-0000-0000-000029570000}"/>
    <cellStyle name="Normal 24 2 3 5" xfId="15418" xr:uid="{00000000-0005-0000-0000-00002A570000}"/>
    <cellStyle name="Normal 24 2 3 6" xfId="15419" xr:uid="{00000000-0005-0000-0000-00002B570000}"/>
    <cellStyle name="Normal 24 2 3 7" xfId="15420" xr:uid="{00000000-0005-0000-0000-00002C570000}"/>
    <cellStyle name="Normal 24 2 3 8" xfId="15421" xr:uid="{00000000-0005-0000-0000-00002D570000}"/>
    <cellStyle name="Normal 24 2 3 9" xfId="15422" xr:uid="{00000000-0005-0000-0000-00002E570000}"/>
    <cellStyle name="Normal 24 2 4" xfId="15423" xr:uid="{00000000-0005-0000-0000-00002F570000}"/>
    <cellStyle name="Normal 24 2 4 2" xfId="15424" xr:uid="{00000000-0005-0000-0000-000030570000}"/>
    <cellStyle name="Normal 24 2 4 2 2" xfId="15425" xr:uid="{00000000-0005-0000-0000-000031570000}"/>
    <cellStyle name="Normal 24 2 4 2 2 2" xfId="15426" xr:uid="{00000000-0005-0000-0000-000032570000}"/>
    <cellStyle name="Normal 24 2 4 2 2 2 2" xfId="52920" xr:uid="{00000000-0005-0000-0000-000033570000}"/>
    <cellStyle name="Normal 24 2 4 2 2 2 3" xfId="52921" xr:uid="{00000000-0005-0000-0000-000034570000}"/>
    <cellStyle name="Normal 24 2 4 2 2 3" xfId="15427" xr:uid="{00000000-0005-0000-0000-000035570000}"/>
    <cellStyle name="Normal 24 2 4 2 2 3 2" xfId="52922" xr:uid="{00000000-0005-0000-0000-000036570000}"/>
    <cellStyle name="Normal 24 2 4 2 2 4" xfId="15428" xr:uid="{00000000-0005-0000-0000-000037570000}"/>
    <cellStyle name="Normal 24 2 4 2 2 5" xfId="15429" xr:uid="{00000000-0005-0000-0000-000038570000}"/>
    <cellStyle name="Normal 24 2 4 2 2 6" xfId="15430" xr:uid="{00000000-0005-0000-0000-000039570000}"/>
    <cellStyle name="Normal 24 2 4 2 3" xfId="15431" xr:uid="{00000000-0005-0000-0000-00003A570000}"/>
    <cellStyle name="Normal 24 2 4 2 3 2" xfId="52923" xr:uid="{00000000-0005-0000-0000-00003B570000}"/>
    <cellStyle name="Normal 24 2 4 2 3 3" xfId="52924" xr:uid="{00000000-0005-0000-0000-00003C570000}"/>
    <cellStyle name="Normal 24 2 4 2 4" xfId="15432" xr:uid="{00000000-0005-0000-0000-00003D570000}"/>
    <cellStyle name="Normal 24 2 4 2 4 2" xfId="52925" xr:uid="{00000000-0005-0000-0000-00003E570000}"/>
    <cellStyle name="Normal 24 2 4 2 5" xfId="15433" xr:uid="{00000000-0005-0000-0000-00003F570000}"/>
    <cellStyle name="Normal 24 2 4 2 6" xfId="15434" xr:uid="{00000000-0005-0000-0000-000040570000}"/>
    <cellStyle name="Normal 24 2 4 2 7" xfId="15435" xr:uid="{00000000-0005-0000-0000-000041570000}"/>
    <cellStyle name="Normal 24 2 4 3" xfId="15436" xr:uid="{00000000-0005-0000-0000-000042570000}"/>
    <cellStyle name="Normal 24 2 4 3 2" xfId="15437" xr:uid="{00000000-0005-0000-0000-000043570000}"/>
    <cellStyle name="Normal 24 2 4 3 2 2" xfId="52926" xr:uid="{00000000-0005-0000-0000-000044570000}"/>
    <cellStyle name="Normal 24 2 4 3 2 3" xfId="52927" xr:uid="{00000000-0005-0000-0000-000045570000}"/>
    <cellStyle name="Normal 24 2 4 3 3" xfId="15438" xr:uid="{00000000-0005-0000-0000-000046570000}"/>
    <cellStyle name="Normal 24 2 4 3 3 2" xfId="52928" xr:uid="{00000000-0005-0000-0000-000047570000}"/>
    <cellStyle name="Normal 24 2 4 3 4" xfId="15439" xr:uid="{00000000-0005-0000-0000-000048570000}"/>
    <cellStyle name="Normal 24 2 4 3 5" xfId="15440" xr:uid="{00000000-0005-0000-0000-000049570000}"/>
    <cellStyle name="Normal 24 2 4 3 6" xfId="15441" xr:uid="{00000000-0005-0000-0000-00004A570000}"/>
    <cellStyle name="Normal 24 2 4 4" xfId="15442" xr:uid="{00000000-0005-0000-0000-00004B570000}"/>
    <cellStyle name="Normal 24 2 4 4 2" xfId="52929" xr:uid="{00000000-0005-0000-0000-00004C570000}"/>
    <cellStyle name="Normal 24 2 4 4 3" xfId="52930" xr:uid="{00000000-0005-0000-0000-00004D570000}"/>
    <cellStyle name="Normal 24 2 4 5" xfId="15443" xr:uid="{00000000-0005-0000-0000-00004E570000}"/>
    <cellStyle name="Normal 24 2 4 5 2" xfId="52931" xr:uid="{00000000-0005-0000-0000-00004F570000}"/>
    <cellStyle name="Normal 24 2 4 6" xfId="15444" xr:uid="{00000000-0005-0000-0000-000050570000}"/>
    <cellStyle name="Normal 24 2 4 7" xfId="15445" xr:uid="{00000000-0005-0000-0000-000051570000}"/>
    <cellStyle name="Normal 24 2 4 8" xfId="15446" xr:uid="{00000000-0005-0000-0000-000052570000}"/>
    <cellStyle name="Normal 24 2 5" xfId="15447" xr:uid="{00000000-0005-0000-0000-000053570000}"/>
    <cellStyle name="Normal 24 2 5 2" xfId="15448" xr:uid="{00000000-0005-0000-0000-000054570000}"/>
    <cellStyle name="Normal 24 2 5 2 2" xfId="15449" xr:uid="{00000000-0005-0000-0000-000055570000}"/>
    <cellStyle name="Normal 24 2 5 2 2 2" xfId="52932" xr:uid="{00000000-0005-0000-0000-000056570000}"/>
    <cellStyle name="Normal 24 2 5 2 2 3" xfId="52933" xr:uid="{00000000-0005-0000-0000-000057570000}"/>
    <cellStyle name="Normal 24 2 5 2 3" xfId="15450" xr:uid="{00000000-0005-0000-0000-000058570000}"/>
    <cellStyle name="Normal 24 2 5 2 3 2" xfId="52934" xr:uid="{00000000-0005-0000-0000-000059570000}"/>
    <cellStyle name="Normal 24 2 5 2 4" xfId="15451" xr:uid="{00000000-0005-0000-0000-00005A570000}"/>
    <cellStyle name="Normal 24 2 5 2 5" xfId="15452" xr:uid="{00000000-0005-0000-0000-00005B570000}"/>
    <cellStyle name="Normal 24 2 5 2 6" xfId="15453" xr:uid="{00000000-0005-0000-0000-00005C570000}"/>
    <cellStyle name="Normal 24 2 5 3" xfId="15454" xr:uid="{00000000-0005-0000-0000-00005D570000}"/>
    <cellStyle name="Normal 24 2 5 3 2" xfId="52935" xr:uid="{00000000-0005-0000-0000-00005E570000}"/>
    <cellStyle name="Normal 24 2 5 3 3" xfId="52936" xr:uid="{00000000-0005-0000-0000-00005F570000}"/>
    <cellStyle name="Normal 24 2 5 4" xfId="15455" xr:uid="{00000000-0005-0000-0000-000060570000}"/>
    <cellStyle name="Normal 24 2 5 4 2" xfId="52937" xr:uid="{00000000-0005-0000-0000-000061570000}"/>
    <cellStyle name="Normal 24 2 5 5" xfId="15456" xr:uid="{00000000-0005-0000-0000-000062570000}"/>
    <cellStyle name="Normal 24 2 5 6" xfId="15457" xr:uid="{00000000-0005-0000-0000-000063570000}"/>
    <cellStyle name="Normal 24 2 5 7" xfId="15458" xr:uid="{00000000-0005-0000-0000-000064570000}"/>
    <cellStyle name="Normal 24 2 6" xfId="15459" xr:uid="{00000000-0005-0000-0000-000065570000}"/>
    <cellStyle name="Normal 24 2 6 2" xfId="15460" xr:uid="{00000000-0005-0000-0000-000066570000}"/>
    <cellStyle name="Normal 24 2 6 2 2" xfId="52938" xr:uid="{00000000-0005-0000-0000-000067570000}"/>
    <cellStyle name="Normal 24 2 6 2 3" xfId="52939" xr:uid="{00000000-0005-0000-0000-000068570000}"/>
    <cellStyle name="Normal 24 2 6 3" xfId="15461" xr:uid="{00000000-0005-0000-0000-000069570000}"/>
    <cellStyle name="Normal 24 2 6 3 2" xfId="52940" xr:uid="{00000000-0005-0000-0000-00006A570000}"/>
    <cellStyle name="Normal 24 2 6 4" xfId="15462" xr:uid="{00000000-0005-0000-0000-00006B570000}"/>
    <cellStyle name="Normal 24 2 6 5" xfId="15463" xr:uid="{00000000-0005-0000-0000-00006C570000}"/>
    <cellStyle name="Normal 24 2 6 6" xfId="15464" xr:uid="{00000000-0005-0000-0000-00006D570000}"/>
    <cellStyle name="Normal 24 2 7" xfId="15465" xr:uid="{00000000-0005-0000-0000-00006E570000}"/>
    <cellStyle name="Normal 24 2 7 2" xfId="52941" xr:uid="{00000000-0005-0000-0000-00006F570000}"/>
    <cellStyle name="Normal 24 2 7 3" xfId="52942" xr:uid="{00000000-0005-0000-0000-000070570000}"/>
    <cellStyle name="Normal 24 2 8" xfId="15466" xr:uid="{00000000-0005-0000-0000-000071570000}"/>
    <cellStyle name="Normal 24 2 8 2" xfId="52943" xr:uid="{00000000-0005-0000-0000-000072570000}"/>
    <cellStyle name="Normal 24 2 9" xfId="15467" xr:uid="{00000000-0005-0000-0000-000073570000}"/>
    <cellStyle name="Normal 24 2 9 2" xfId="52944" xr:uid="{00000000-0005-0000-0000-000074570000}"/>
    <cellStyle name="Normal 24 20" xfId="15468" xr:uid="{00000000-0005-0000-0000-000075570000}"/>
    <cellStyle name="Normal 24 20 2" xfId="15469" xr:uid="{00000000-0005-0000-0000-000076570000}"/>
    <cellStyle name="Normal 24 20 3" xfId="15470" xr:uid="{00000000-0005-0000-0000-000077570000}"/>
    <cellStyle name="Normal 24 21" xfId="15471" xr:uid="{00000000-0005-0000-0000-000078570000}"/>
    <cellStyle name="Normal 24 22" xfId="15472" xr:uid="{00000000-0005-0000-0000-000079570000}"/>
    <cellStyle name="Normal 24 23" xfId="15473" xr:uid="{00000000-0005-0000-0000-00007A570000}"/>
    <cellStyle name="Normal 24 23 2" xfId="52945" xr:uid="{00000000-0005-0000-0000-00007B570000}"/>
    <cellStyle name="Normal 24 24" xfId="15474" xr:uid="{00000000-0005-0000-0000-00007C570000}"/>
    <cellStyle name="Normal 24 3" xfId="15475" xr:uid="{00000000-0005-0000-0000-00007D570000}"/>
    <cellStyle name="Normal 24 3 10" xfId="15476" xr:uid="{00000000-0005-0000-0000-00007E570000}"/>
    <cellStyle name="Normal 24 3 10 2" xfId="15477" xr:uid="{00000000-0005-0000-0000-00007F570000}"/>
    <cellStyle name="Normal 24 3 10 2 2" xfId="15478" xr:uid="{00000000-0005-0000-0000-000080570000}"/>
    <cellStyle name="Normal 24 3 10 3" xfId="15479" xr:uid="{00000000-0005-0000-0000-000081570000}"/>
    <cellStyle name="Normal 24 3 10 3 2" xfId="15480" xr:uid="{00000000-0005-0000-0000-000082570000}"/>
    <cellStyle name="Normal 24 3 10 4" xfId="15481" xr:uid="{00000000-0005-0000-0000-000083570000}"/>
    <cellStyle name="Normal 24 3 10 5" xfId="15482" xr:uid="{00000000-0005-0000-0000-000084570000}"/>
    <cellStyle name="Normal 24 3 11" xfId="15483" xr:uid="{00000000-0005-0000-0000-000085570000}"/>
    <cellStyle name="Normal 24 3 11 2" xfId="15484" xr:uid="{00000000-0005-0000-0000-000086570000}"/>
    <cellStyle name="Normal 24 3 11 2 2" xfId="15485" xr:uid="{00000000-0005-0000-0000-000087570000}"/>
    <cellStyle name="Normal 24 3 11 3" xfId="15486" xr:uid="{00000000-0005-0000-0000-000088570000}"/>
    <cellStyle name="Normal 24 3 11 3 2" xfId="15487" xr:uid="{00000000-0005-0000-0000-000089570000}"/>
    <cellStyle name="Normal 24 3 11 4" xfId="15488" xr:uid="{00000000-0005-0000-0000-00008A570000}"/>
    <cellStyle name="Normal 24 3 11 5" xfId="15489" xr:uid="{00000000-0005-0000-0000-00008B570000}"/>
    <cellStyle name="Normal 24 3 12" xfId="15490" xr:uid="{00000000-0005-0000-0000-00008C570000}"/>
    <cellStyle name="Normal 24 3 12 2" xfId="15491" xr:uid="{00000000-0005-0000-0000-00008D570000}"/>
    <cellStyle name="Normal 24 3 12 2 2" xfId="15492" xr:uid="{00000000-0005-0000-0000-00008E570000}"/>
    <cellStyle name="Normal 24 3 12 3" xfId="15493" xr:uid="{00000000-0005-0000-0000-00008F570000}"/>
    <cellStyle name="Normal 24 3 12 3 2" xfId="15494" xr:uid="{00000000-0005-0000-0000-000090570000}"/>
    <cellStyle name="Normal 24 3 12 4" xfId="15495" xr:uid="{00000000-0005-0000-0000-000091570000}"/>
    <cellStyle name="Normal 24 3 12 5" xfId="15496" xr:uid="{00000000-0005-0000-0000-000092570000}"/>
    <cellStyle name="Normal 24 3 13" xfId="15497" xr:uid="{00000000-0005-0000-0000-000093570000}"/>
    <cellStyle name="Normal 24 3 13 2" xfId="15498" xr:uid="{00000000-0005-0000-0000-000094570000}"/>
    <cellStyle name="Normal 24 3 13 2 2" xfId="15499" xr:uid="{00000000-0005-0000-0000-000095570000}"/>
    <cellStyle name="Normal 24 3 13 3" xfId="15500" xr:uid="{00000000-0005-0000-0000-000096570000}"/>
    <cellStyle name="Normal 24 3 13 4" xfId="15501" xr:uid="{00000000-0005-0000-0000-000097570000}"/>
    <cellStyle name="Normal 24 3 14" xfId="15502" xr:uid="{00000000-0005-0000-0000-000098570000}"/>
    <cellStyle name="Normal 24 3 14 2" xfId="15503" xr:uid="{00000000-0005-0000-0000-000099570000}"/>
    <cellStyle name="Normal 24 3 14 3" xfId="15504" xr:uid="{00000000-0005-0000-0000-00009A570000}"/>
    <cellStyle name="Normal 24 3 15" xfId="15505" xr:uid="{00000000-0005-0000-0000-00009B570000}"/>
    <cellStyle name="Normal 24 3 15 2" xfId="15506" xr:uid="{00000000-0005-0000-0000-00009C570000}"/>
    <cellStyle name="Normal 24 3 15 3" xfId="15507" xr:uid="{00000000-0005-0000-0000-00009D570000}"/>
    <cellStyle name="Normal 24 3 16" xfId="15508" xr:uid="{00000000-0005-0000-0000-00009E570000}"/>
    <cellStyle name="Normal 24 3 17" xfId="15509" xr:uid="{00000000-0005-0000-0000-00009F570000}"/>
    <cellStyle name="Normal 24 3 17 2" xfId="52946" xr:uid="{00000000-0005-0000-0000-0000A0570000}"/>
    <cellStyle name="Normal 24 3 18" xfId="15510" xr:uid="{00000000-0005-0000-0000-0000A1570000}"/>
    <cellStyle name="Normal 24 3 2" xfId="15511" xr:uid="{00000000-0005-0000-0000-0000A2570000}"/>
    <cellStyle name="Normal 24 3 2 10" xfId="15512" xr:uid="{00000000-0005-0000-0000-0000A3570000}"/>
    <cellStyle name="Normal 24 3 2 10 2" xfId="15513" xr:uid="{00000000-0005-0000-0000-0000A4570000}"/>
    <cellStyle name="Normal 24 3 2 10 2 2" xfId="15514" xr:uid="{00000000-0005-0000-0000-0000A5570000}"/>
    <cellStyle name="Normal 24 3 2 10 3" xfId="15515" xr:uid="{00000000-0005-0000-0000-0000A6570000}"/>
    <cellStyle name="Normal 24 3 2 10 3 2" xfId="15516" xr:uid="{00000000-0005-0000-0000-0000A7570000}"/>
    <cellStyle name="Normal 24 3 2 10 4" xfId="15517" xr:uid="{00000000-0005-0000-0000-0000A8570000}"/>
    <cellStyle name="Normal 24 3 2 10 5" xfId="15518" xr:uid="{00000000-0005-0000-0000-0000A9570000}"/>
    <cellStyle name="Normal 24 3 2 11" xfId="15519" xr:uid="{00000000-0005-0000-0000-0000AA570000}"/>
    <cellStyle name="Normal 24 3 2 11 2" xfId="15520" xr:uid="{00000000-0005-0000-0000-0000AB570000}"/>
    <cellStyle name="Normal 24 3 2 11 2 2" xfId="15521" xr:uid="{00000000-0005-0000-0000-0000AC570000}"/>
    <cellStyle name="Normal 24 3 2 11 3" xfId="15522" xr:uid="{00000000-0005-0000-0000-0000AD570000}"/>
    <cellStyle name="Normal 24 3 2 11 3 2" xfId="15523" xr:uid="{00000000-0005-0000-0000-0000AE570000}"/>
    <cellStyle name="Normal 24 3 2 11 4" xfId="15524" xr:uid="{00000000-0005-0000-0000-0000AF570000}"/>
    <cellStyle name="Normal 24 3 2 11 5" xfId="15525" xr:uid="{00000000-0005-0000-0000-0000B0570000}"/>
    <cellStyle name="Normal 24 3 2 12" xfId="15526" xr:uid="{00000000-0005-0000-0000-0000B1570000}"/>
    <cellStyle name="Normal 24 3 2 12 2" xfId="15527" xr:uid="{00000000-0005-0000-0000-0000B2570000}"/>
    <cellStyle name="Normal 24 3 2 12 2 2" xfId="15528" xr:uid="{00000000-0005-0000-0000-0000B3570000}"/>
    <cellStyle name="Normal 24 3 2 12 3" xfId="15529" xr:uid="{00000000-0005-0000-0000-0000B4570000}"/>
    <cellStyle name="Normal 24 3 2 12 4" xfId="15530" xr:uid="{00000000-0005-0000-0000-0000B5570000}"/>
    <cellStyle name="Normal 24 3 2 13" xfId="15531" xr:uid="{00000000-0005-0000-0000-0000B6570000}"/>
    <cellStyle name="Normal 24 3 2 13 2" xfId="15532" xr:uid="{00000000-0005-0000-0000-0000B7570000}"/>
    <cellStyle name="Normal 24 3 2 13 3" xfId="15533" xr:uid="{00000000-0005-0000-0000-0000B8570000}"/>
    <cellStyle name="Normal 24 3 2 14" xfId="15534" xr:uid="{00000000-0005-0000-0000-0000B9570000}"/>
    <cellStyle name="Normal 24 3 2 14 2" xfId="15535" xr:uid="{00000000-0005-0000-0000-0000BA570000}"/>
    <cellStyle name="Normal 24 3 2 14 3" xfId="15536" xr:uid="{00000000-0005-0000-0000-0000BB570000}"/>
    <cellStyle name="Normal 24 3 2 15" xfId="15537" xr:uid="{00000000-0005-0000-0000-0000BC570000}"/>
    <cellStyle name="Normal 24 3 2 16" xfId="15538" xr:uid="{00000000-0005-0000-0000-0000BD570000}"/>
    <cellStyle name="Normal 24 3 2 16 2" xfId="52947" xr:uid="{00000000-0005-0000-0000-0000BE570000}"/>
    <cellStyle name="Normal 24 3 2 17" xfId="52948" xr:uid="{00000000-0005-0000-0000-0000BF570000}"/>
    <cellStyle name="Normal 24 3 2 2" xfId="15539" xr:uid="{00000000-0005-0000-0000-0000C0570000}"/>
    <cellStyle name="Normal 24 3 2 2 2" xfId="15540" xr:uid="{00000000-0005-0000-0000-0000C1570000}"/>
    <cellStyle name="Normal 24 3 2 2 2 2" xfId="15541" xr:uid="{00000000-0005-0000-0000-0000C2570000}"/>
    <cellStyle name="Normal 24 3 2 2 2 2 2" xfId="15542" xr:uid="{00000000-0005-0000-0000-0000C3570000}"/>
    <cellStyle name="Normal 24 3 2 2 2 2 2 2" xfId="52949" xr:uid="{00000000-0005-0000-0000-0000C4570000}"/>
    <cellStyle name="Normal 24 3 2 2 2 2 2 3" xfId="52950" xr:uid="{00000000-0005-0000-0000-0000C5570000}"/>
    <cellStyle name="Normal 24 3 2 2 2 2 3" xfId="15543" xr:uid="{00000000-0005-0000-0000-0000C6570000}"/>
    <cellStyle name="Normal 24 3 2 2 2 2 3 2" xfId="52951" xr:uid="{00000000-0005-0000-0000-0000C7570000}"/>
    <cellStyle name="Normal 24 3 2 2 2 2 4" xfId="15544" xr:uid="{00000000-0005-0000-0000-0000C8570000}"/>
    <cellStyle name="Normal 24 3 2 2 2 2 5" xfId="15545" xr:uid="{00000000-0005-0000-0000-0000C9570000}"/>
    <cellStyle name="Normal 24 3 2 2 2 2 6" xfId="15546" xr:uid="{00000000-0005-0000-0000-0000CA570000}"/>
    <cellStyle name="Normal 24 3 2 2 2 3" xfId="15547" xr:uid="{00000000-0005-0000-0000-0000CB570000}"/>
    <cellStyle name="Normal 24 3 2 2 2 3 2" xfId="52952" xr:uid="{00000000-0005-0000-0000-0000CC570000}"/>
    <cellStyle name="Normal 24 3 2 2 2 3 3" xfId="52953" xr:uid="{00000000-0005-0000-0000-0000CD570000}"/>
    <cellStyle name="Normal 24 3 2 2 2 4" xfId="15548" xr:uid="{00000000-0005-0000-0000-0000CE570000}"/>
    <cellStyle name="Normal 24 3 2 2 2 4 2" xfId="52954" xr:uid="{00000000-0005-0000-0000-0000CF570000}"/>
    <cellStyle name="Normal 24 3 2 2 2 5" xfId="15549" xr:uid="{00000000-0005-0000-0000-0000D0570000}"/>
    <cellStyle name="Normal 24 3 2 2 2 6" xfId="15550" xr:uid="{00000000-0005-0000-0000-0000D1570000}"/>
    <cellStyle name="Normal 24 3 2 2 2 7" xfId="15551" xr:uid="{00000000-0005-0000-0000-0000D2570000}"/>
    <cellStyle name="Normal 24 3 2 2 3" xfId="15552" xr:uid="{00000000-0005-0000-0000-0000D3570000}"/>
    <cellStyle name="Normal 24 3 2 2 3 2" xfId="15553" xr:uid="{00000000-0005-0000-0000-0000D4570000}"/>
    <cellStyle name="Normal 24 3 2 2 3 2 2" xfId="52955" xr:uid="{00000000-0005-0000-0000-0000D5570000}"/>
    <cellStyle name="Normal 24 3 2 2 3 2 3" xfId="52956" xr:uid="{00000000-0005-0000-0000-0000D6570000}"/>
    <cellStyle name="Normal 24 3 2 2 3 3" xfId="15554" xr:uid="{00000000-0005-0000-0000-0000D7570000}"/>
    <cellStyle name="Normal 24 3 2 2 3 3 2" xfId="52957" xr:uid="{00000000-0005-0000-0000-0000D8570000}"/>
    <cellStyle name="Normal 24 3 2 2 3 4" xfId="15555" xr:uid="{00000000-0005-0000-0000-0000D9570000}"/>
    <cellStyle name="Normal 24 3 2 2 3 5" xfId="15556" xr:uid="{00000000-0005-0000-0000-0000DA570000}"/>
    <cellStyle name="Normal 24 3 2 2 3 6" xfId="15557" xr:uid="{00000000-0005-0000-0000-0000DB570000}"/>
    <cellStyle name="Normal 24 3 2 2 4" xfId="15558" xr:uid="{00000000-0005-0000-0000-0000DC570000}"/>
    <cellStyle name="Normal 24 3 2 2 4 2" xfId="52958" xr:uid="{00000000-0005-0000-0000-0000DD570000}"/>
    <cellStyle name="Normal 24 3 2 2 4 3" xfId="52959" xr:uid="{00000000-0005-0000-0000-0000DE570000}"/>
    <cellStyle name="Normal 24 3 2 2 5" xfId="15559" xr:uid="{00000000-0005-0000-0000-0000DF570000}"/>
    <cellStyle name="Normal 24 3 2 2 5 2" xfId="52960" xr:uid="{00000000-0005-0000-0000-0000E0570000}"/>
    <cellStyle name="Normal 24 3 2 2 6" xfId="15560" xr:uid="{00000000-0005-0000-0000-0000E1570000}"/>
    <cellStyle name="Normal 24 3 2 2 7" xfId="15561" xr:uid="{00000000-0005-0000-0000-0000E2570000}"/>
    <cellStyle name="Normal 24 3 2 2 8" xfId="15562" xr:uid="{00000000-0005-0000-0000-0000E3570000}"/>
    <cellStyle name="Normal 24 3 2 2 9" xfId="15563" xr:uid="{00000000-0005-0000-0000-0000E4570000}"/>
    <cellStyle name="Normal 24 3 2 3" xfId="15564" xr:uid="{00000000-0005-0000-0000-0000E5570000}"/>
    <cellStyle name="Normal 24 3 2 3 2" xfId="15565" xr:uid="{00000000-0005-0000-0000-0000E6570000}"/>
    <cellStyle name="Normal 24 3 2 3 2 2" xfId="15566" xr:uid="{00000000-0005-0000-0000-0000E7570000}"/>
    <cellStyle name="Normal 24 3 2 3 2 2 2" xfId="15567" xr:uid="{00000000-0005-0000-0000-0000E8570000}"/>
    <cellStyle name="Normal 24 3 2 3 2 2 2 2" xfId="52961" xr:uid="{00000000-0005-0000-0000-0000E9570000}"/>
    <cellStyle name="Normal 24 3 2 3 2 2 2 3" xfId="52962" xr:uid="{00000000-0005-0000-0000-0000EA570000}"/>
    <cellStyle name="Normal 24 3 2 3 2 2 3" xfId="15568" xr:uid="{00000000-0005-0000-0000-0000EB570000}"/>
    <cellStyle name="Normal 24 3 2 3 2 2 3 2" xfId="52963" xr:uid="{00000000-0005-0000-0000-0000EC570000}"/>
    <cellStyle name="Normal 24 3 2 3 2 2 4" xfId="15569" xr:uid="{00000000-0005-0000-0000-0000ED570000}"/>
    <cellStyle name="Normal 24 3 2 3 2 2 5" xfId="15570" xr:uid="{00000000-0005-0000-0000-0000EE570000}"/>
    <cellStyle name="Normal 24 3 2 3 2 2 6" xfId="15571" xr:uid="{00000000-0005-0000-0000-0000EF570000}"/>
    <cellStyle name="Normal 24 3 2 3 2 3" xfId="15572" xr:uid="{00000000-0005-0000-0000-0000F0570000}"/>
    <cellStyle name="Normal 24 3 2 3 2 3 2" xfId="52964" xr:uid="{00000000-0005-0000-0000-0000F1570000}"/>
    <cellStyle name="Normal 24 3 2 3 2 3 3" xfId="52965" xr:uid="{00000000-0005-0000-0000-0000F2570000}"/>
    <cellStyle name="Normal 24 3 2 3 2 4" xfId="15573" xr:uid="{00000000-0005-0000-0000-0000F3570000}"/>
    <cellStyle name="Normal 24 3 2 3 2 4 2" xfId="52966" xr:uid="{00000000-0005-0000-0000-0000F4570000}"/>
    <cellStyle name="Normal 24 3 2 3 2 5" xfId="15574" xr:uid="{00000000-0005-0000-0000-0000F5570000}"/>
    <cellStyle name="Normal 24 3 2 3 2 6" xfId="15575" xr:uid="{00000000-0005-0000-0000-0000F6570000}"/>
    <cellStyle name="Normal 24 3 2 3 2 7" xfId="15576" xr:uid="{00000000-0005-0000-0000-0000F7570000}"/>
    <cellStyle name="Normal 24 3 2 3 3" xfId="15577" xr:uid="{00000000-0005-0000-0000-0000F8570000}"/>
    <cellStyle name="Normal 24 3 2 3 3 2" xfId="15578" xr:uid="{00000000-0005-0000-0000-0000F9570000}"/>
    <cellStyle name="Normal 24 3 2 3 3 2 2" xfId="52967" xr:uid="{00000000-0005-0000-0000-0000FA570000}"/>
    <cellStyle name="Normal 24 3 2 3 3 2 3" xfId="52968" xr:uid="{00000000-0005-0000-0000-0000FB570000}"/>
    <cellStyle name="Normal 24 3 2 3 3 3" xfId="15579" xr:uid="{00000000-0005-0000-0000-0000FC570000}"/>
    <cellStyle name="Normal 24 3 2 3 3 3 2" xfId="52969" xr:uid="{00000000-0005-0000-0000-0000FD570000}"/>
    <cellStyle name="Normal 24 3 2 3 3 4" xfId="15580" xr:uid="{00000000-0005-0000-0000-0000FE570000}"/>
    <cellStyle name="Normal 24 3 2 3 3 5" xfId="15581" xr:uid="{00000000-0005-0000-0000-0000FF570000}"/>
    <cellStyle name="Normal 24 3 2 3 3 6" xfId="15582" xr:uid="{00000000-0005-0000-0000-000000580000}"/>
    <cellStyle name="Normal 24 3 2 3 4" xfId="15583" xr:uid="{00000000-0005-0000-0000-000001580000}"/>
    <cellStyle name="Normal 24 3 2 3 4 2" xfId="52970" xr:uid="{00000000-0005-0000-0000-000002580000}"/>
    <cellStyle name="Normal 24 3 2 3 4 3" xfId="52971" xr:uid="{00000000-0005-0000-0000-000003580000}"/>
    <cellStyle name="Normal 24 3 2 3 5" xfId="15584" xr:uid="{00000000-0005-0000-0000-000004580000}"/>
    <cellStyle name="Normal 24 3 2 3 5 2" xfId="52972" xr:uid="{00000000-0005-0000-0000-000005580000}"/>
    <cellStyle name="Normal 24 3 2 3 6" xfId="15585" xr:uid="{00000000-0005-0000-0000-000006580000}"/>
    <cellStyle name="Normal 24 3 2 3 7" xfId="15586" xr:uid="{00000000-0005-0000-0000-000007580000}"/>
    <cellStyle name="Normal 24 3 2 3 8" xfId="15587" xr:uid="{00000000-0005-0000-0000-000008580000}"/>
    <cellStyle name="Normal 24 3 2 4" xfId="15588" xr:uid="{00000000-0005-0000-0000-000009580000}"/>
    <cellStyle name="Normal 24 3 2 4 2" xfId="15589" xr:uid="{00000000-0005-0000-0000-00000A580000}"/>
    <cellStyle name="Normal 24 3 2 4 2 2" xfId="15590" xr:uid="{00000000-0005-0000-0000-00000B580000}"/>
    <cellStyle name="Normal 24 3 2 4 2 2 2" xfId="52973" xr:uid="{00000000-0005-0000-0000-00000C580000}"/>
    <cellStyle name="Normal 24 3 2 4 2 2 3" xfId="52974" xr:uid="{00000000-0005-0000-0000-00000D580000}"/>
    <cellStyle name="Normal 24 3 2 4 2 3" xfId="15591" xr:uid="{00000000-0005-0000-0000-00000E580000}"/>
    <cellStyle name="Normal 24 3 2 4 2 3 2" xfId="52975" xr:uid="{00000000-0005-0000-0000-00000F580000}"/>
    <cellStyle name="Normal 24 3 2 4 2 4" xfId="15592" xr:uid="{00000000-0005-0000-0000-000010580000}"/>
    <cellStyle name="Normal 24 3 2 4 2 5" xfId="15593" xr:uid="{00000000-0005-0000-0000-000011580000}"/>
    <cellStyle name="Normal 24 3 2 4 2 6" xfId="15594" xr:uid="{00000000-0005-0000-0000-000012580000}"/>
    <cellStyle name="Normal 24 3 2 4 3" xfId="15595" xr:uid="{00000000-0005-0000-0000-000013580000}"/>
    <cellStyle name="Normal 24 3 2 4 3 2" xfId="52976" xr:uid="{00000000-0005-0000-0000-000014580000}"/>
    <cellStyle name="Normal 24 3 2 4 3 3" xfId="52977" xr:uid="{00000000-0005-0000-0000-000015580000}"/>
    <cellStyle name="Normal 24 3 2 4 4" xfId="15596" xr:uid="{00000000-0005-0000-0000-000016580000}"/>
    <cellStyle name="Normal 24 3 2 4 4 2" xfId="52978" xr:uid="{00000000-0005-0000-0000-000017580000}"/>
    <cellStyle name="Normal 24 3 2 4 5" xfId="15597" xr:uid="{00000000-0005-0000-0000-000018580000}"/>
    <cellStyle name="Normal 24 3 2 4 6" xfId="15598" xr:uid="{00000000-0005-0000-0000-000019580000}"/>
    <cellStyle name="Normal 24 3 2 4 7" xfId="15599" xr:uid="{00000000-0005-0000-0000-00001A580000}"/>
    <cellStyle name="Normal 24 3 2 5" xfId="15600" xr:uid="{00000000-0005-0000-0000-00001B580000}"/>
    <cellStyle name="Normal 24 3 2 5 2" xfId="15601" xr:uid="{00000000-0005-0000-0000-00001C580000}"/>
    <cellStyle name="Normal 24 3 2 5 2 2" xfId="52979" xr:uid="{00000000-0005-0000-0000-00001D580000}"/>
    <cellStyle name="Normal 24 3 2 5 2 3" xfId="52980" xr:uid="{00000000-0005-0000-0000-00001E580000}"/>
    <cellStyle name="Normal 24 3 2 5 3" xfId="15602" xr:uid="{00000000-0005-0000-0000-00001F580000}"/>
    <cellStyle name="Normal 24 3 2 5 3 2" xfId="52981" xr:uid="{00000000-0005-0000-0000-000020580000}"/>
    <cellStyle name="Normal 24 3 2 5 4" xfId="15603" xr:uid="{00000000-0005-0000-0000-000021580000}"/>
    <cellStyle name="Normal 24 3 2 5 5" xfId="15604" xr:uid="{00000000-0005-0000-0000-000022580000}"/>
    <cellStyle name="Normal 24 3 2 5 6" xfId="15605" xr:uid="{00000000-0005-0000-0000-000023580000}"/>
    <cellStyle name="Normal 24 3 2 6" xfId="15606" xr:uid="{00000000-0005-0000-0000-000024580000}"/>
    <cellStyle name="Normal 24 3 2 6 2" xfId="15607" xr:uid="{00000000-0005-0000-0000-000025580000}"/>
    <cellStyle name="Normal 24 3 2 6 2 2" xfId="15608" xr:uid="{00000000-0005-0000-0000-000026580000}"/>
    <cellStyle name="Normal 24 3 2 6 2 2 2" xfId="15609" xr:uid="{00000000-0005-0000-0000-000027580000}"/>
    <cellStyle name="Normal 24 3 2 6 2 3" xfId="15610" xr:uid="{00000000-0005-0000-0000-000028580000}"/>
    <cellStyle name="Normal 24 3 2 6 2 3 2" xfId="15611" xr:uid="{00000000-0005-0000-0000-000029580000}"/>
    <cellStyle name="Normal 24 3 2 6 2 4" xfId="15612" xr:uid="{00000000-0005-0000-0000-00002A580000}"/>
    <cellStyle name="Normal 24 3 2 6 3" xfId="15613" xr:uid="{00000000-0005-0000-0000-00002B580000}"/>
    <cellStyle name="Normal 24 3 2 6 3 2" xfId="15614" xr:uid="{00000000-0005-0000-0000-00002C580000}"/>
    <cellStyle name="Normal 24 3 2 6 3 2 2" xfId="15615" xr:uid="{00000000-0005-0000-0000-00002D580000}"/>
    <cellStyle name="Normal 24 3 2 6 3 3" xfId="15616" xr:uid="{00000000-0005-0000-0000-00002E580000}"/>
    <cellStyle name="Normal 24 3 2 6 3 3 2" xfId="15617" xr:uid="{00000000-0005-0000-0000-00002F580000}"/>
    <cellStyle name="Normal 24 3 2 6 3 4" xfId="15618" xr:uid="{00000000-0005-0000-0000-000030580000}"/>
    <cellStyle name="Normal 24 3 2 6 4" xfId="15619" xr:uid="{00000000-0005-0000-0000-000031580000}"/>
    <cellStyle name="Normal 24 3 2 6 4 2" xfId="15620" xr:uid="{00000000-0005-0000-0000-000032580000}"/>
    <cellStyle name="Normal 24 3 2 6 5" xfId="15621" xr:uid="{00000000-0005-0000-0000-000033580000}"/>
    <cellStyle name="Normal 24 3 2 6 5 2" xfId="15622" xr:uid="{00000000-0005-0000-0000-000034580000}"/>
    <cellStyle name="Normal 24 3 2 6 6" xfId="15623" xr:uid="{00000000-0005-0000-0000-000035580000}"/>
    <cellStyle name="Normal 24 3 2 6 7" xfId="15624" xr:uid="{00000000-0005-0000-0000-000036580000}"/>
    <cellStyle name="Normal 24 3 2 7" xfId="15625" xr:uid="{00000000-0005-0000-0000-000037580000}"/>
    <cellStyle name="Normal 24 3 2 7 2" xfId="15626" xr:uid="{00000000-0005-0000-0000-000038580000}"/>
    <cellStyle name="Normal 24 3 2 7 2 2" xfId="15627" xr:uid="{00000000-0005-0000-0000-000039580000}"/>
    <cellStyle name="Normal 24 3 2 7 3" xfId="15628" xr:uid="{00000000-0005-0000-0000-00003A580000}"/>
    <cellStyle name="Normal 24 3 2 7 3 2" xfId="15629" xr:uid="{00000000-0005-0000-0000-00003B580000}"/>
    <cellStyle name="Normal 24 3 2 7 4" xfId="15630" xr:uid="{00000000-0005-0000-0000-00003C580000}"/>
    <cellStyle name="Normal 24 3 2 7 5" xfId="15631" xr:uid="{00000000-0005-0000-0000-00003D580000}"/>
    <cellStyle name="Normal 24 3 2 8" xfId="15632" xr:uid="{00000000-0005-0000-0000-00003E580000}"/>
    <cellStyle name="Normal 24 3 2 8 2" xfId="15633" xr:uid="{00000000-0005-0000-0000-00003F580000}"/>
    <cellStyle name="Normal 24 3 2 8 2 2" xfId="15634" xr:uid="{00000000-0005-0000-0000-000040580000}"/>
    <cellStyle name="Normal 24 3 2 8 3" xfId="15635" xr:uid="{00000000-0005-0000-0000-000041580000}"/>
    <cellStyle name="Normal 24 3 2 8 3 2" xfId="15636" xr:uid="{00000000-0005-0000-0000-000042580000}"/>
    <cellStyle name="Normal 24 3 2 8 4" xfId="15637" xr:uid="{00000000-0005-0000-0000-000043580000}"/>
    <cellStyle name="Normal 24 3 2 8 5" xfId="15638" xr:uid="{00000000-0005-0000-0000-000044580000}"/>
    <cellStyle name="Normal 24 3 2 9" xfId="15639" xr:uid="{00000000-0005-0000-0000-000045580000}"/>
    <cellStyle name="Normal 24 3 2 9 2" xfId="15640" xr:uid="{00000000-0005-0000-0000-000046580000}"/>
    <cellStyle name="Normal 24 3 2 9 2 2" xfId="15641" xr:uid="{00000000-0005-0000-0000-000047580000}"/>
    <cellStyle name="Normal 24 3 2 9 3" xfId="15642" xr:uid="{00000000-0005-0000-0000-000048580000}"/>
    <cellStyle name="Normal 24 3 2 9 3 2" xfId="15643" xr:uid="{00000000-0005-0000-0000-000049580000}"/>
    <cellStyle name="Normal 24 3 2 9 4" xfId="15644" xr:uid="{00000000-0005-0000-0000-00004A580000}"/>
    <cellStyle name="Normal 24 3 2 9 5" xfId="15645" xr:uid="{00000000-0005-0000-0000-00004B580000}"/>
    <cellStyle name="Normal 24 3 3" xfId="15646" xr:uid="{00000000-0005-0000-0000-00004C580000}"/>
    <cellStyle name="Normal 24 3 3 2" xfId="15647" xr:uid="{00000000-0005-0000-0000-00004D580000}"/>
    <cellStyle name="Normal 24 3 3 2 2" xfId="15648" xr:uid="{00000000-0005-0000-0000-00004E580000}"/>
    <cellStyle name="Normal 24 3 3 2 2 2" xfId="15649" xr:uid="{00000000-0005-0000-0000-00004F580000}"/>
    <cellStyle name="Normal 24 3 3 2 2 2 2" xfId="52982" xr:uid="{00000000-0005-0000-0000-000050580000}"/>
    <cellStyle name="Normal 24 3 3 2 2 2 3" xfId="52983" xr:uid="{00000000-0005-0000-0000-000051580000}"/>
    <cellStyle name="Normal 24 3 3 2 2 3" xfId="15650" xr:uid="{00000000-0005-0000-0000-000052580000}"/>
    <cellStyle name="Normal 24 3 3 2 2 3 2" xfId="52984" xr:uid="{00000000-0005-0000-0000-000053580000}"/>
    <cellStyle name="Normal 24 3 3 2 2 4" xfId="15651" xr:uid="{00000000-0005-0000-0000-000054580000}"/>
    <cellStyle name="Normal 24 3 3 2 2 5" xfId="15652" xr:uid="{00000000-0005-0000-0000-000055580000}"/>
    <cellStyle name="Normal 24 3 3 2 2 6" xfId="15653" xr:uid="{00000000-0005-0000-0000-000056580000}"/>
    <cellStyle name="Normal 24 3 3 2 3" xfId="15654" xr:uid="{00000000-0005-0000-0000-000057580000}"/>
    <cellStyle name="Normal 24 3 3 2 3 2" xfId="52985" xr:uid="{00000000-0005-0000-0000-000058580000}"/>
    <cellStyle name="Normal 24 3 3 2 3 3" xfId="52986" xr:uid="{00000000-0005-0000-0000-000059580000}"/>
    <cellStyle name="Normal 24 3 3 2 4" xfId="15655" xr:uid="{00000000-0005-0000-0000-00005A580000}"/>
    <cellStyle name="Normal 24 3 3 2 4 2" xfId="52987" xr:uid="{00000000-0005-0000-0000-00005B580000}"/>
    <cellStyle name="Normal 24 3 3 2 5" xfId="15656" xr:uid="{00000000-0005-0000-0000-00005C580000}"/>
    <cellStyle name="Normal 24 3 3 2 6" xfId="15657" xr:uid="{00000000-0005-0000-0000-00005D580000}"/>
    <cellStyle name="Normal 24 3 3 2 7" xfId="15658" xr:uid="{00000000-0005-0000-0000-00005E580000}"/>
    <cellStyle name="Normal 24 3 3 3" xfId="15659" xr:uid="{00000000-0005-0000-0000-00005F580000}"/>
    <cellStyle name="Normal 24 3 3 3 2" xfId="15660" xr:uid="{00000000-0005-0000-0000-000060580000}"/>
    <cellStyle name="Normal 24 3 3 3 2 2" xfId="52988" xr:uid="{00000000-0005-0000-0000-000061580000}"/>
    <cellStyle name="Normal 24 3 3 3 2 3" xfId="52989" xr:uid="{00000000-0005-0000-0000-000062580000}"/>
    <cellStyle name="Normal 24 3 3 3 3" xfId="15661" xr:uid="{00000000-0005-0000-0000-000063580000}"/>
    <cellStyle name="Normal 24 3 3 3 3 2" xfId="52990" xr:uid="{00000000-0005-0000-0000-000064580000}"/>
    <cellStyle name="Normal 24 3 3 3 4" xfId="15662" xr:uid="{00000000-0005-0000-0000-000065580000}"/>
    <cellStyle name="Normal 24 3 3 3 5" xfId="15663" xr:uid="{00000000-0005-0000-0000-000066580000}"/>
    <cellStyle name="Normal 24 3 3 3 6" xfId="15664" xr:uid="{00000000-0005-0000-0000-000067580000}"/>
    <cellStyle name="Normal 24 3 3 4" xfId="15665" xr:uid="{00000000-0005-0000-0000-000068580000}"/>
    <cellStyle name="Normal 24 3 3 4 2" xfId="52991" xr:uid="{00000000-0005-0000-0000-000069580000}"/>
    <cellStyle name="Normal 24 3 3 4 3" xfId="52992" xr:uid="{00000000-0005-0000-0000-00006A580000}"/>
    <cellStyle name="Normal 24 3 3 5" xfId="15666" xr:uid="{00000000-0005-0000-0000-00006B580000}"/>
    <cellStyle name="Normal 24 3 3 5 2" xfId="52993" xr:uid="{00000000-0005-0000-0000-00006C580000}"/>
    <cellStyle name="Normal 24 3 3 6" xfId="15667" xr:uid="{00000000-0005-0000-0000-00006D580000}"/>
    <cellStyle name="Normal 24 3 3 7" xfId="15668" xr:uid="{00000000-0005-0000-0000-00006E580000}"/>
    <cellStyle name="Normal 24 3 3 8" xfId="15669" xr:uid="{00000000-0005-0000-0000-00006F580000}"/>
    <cellStyle name="Normal 24 3 3 9" xfId="15670" xr:uid="{00000000-0005-0000-0000-000070580000}"/>
    <cellStyle name="Normal 24 3 4" xfId="15671" xr:uid="{00000000-0005-0000-0000-000071580000}"/>
    <cellStyle name="Normal 24 3 4 2" xfId="15672" xr:uid="{00000000-0005-0000-0000-000072580000}"/>
    <cellStyle name="Normal 24 3 4 2 2" xfId="15673" xr:uid="{00000000-0005-0000-0000-000073580000}"/>
    <cellStyle name="Normal 24 3 4 2 2 2" xfId="15674" xr:uid="{00000000-0005-0000-0000-000074580000}"/>
    <cellStyle name="Normal 24 3 4 2 2 2 2" xfId="52994" xr:uid="{00000000-0005-0000-0000-000075580000}"/>
    <cellStyle name="Normal 24 3 4 2 2 2 3" xfId="52995" xr:uid="{00000000-0005-0000-0000-000076580000}"/>
    <cellStyle name="Normal 24 3 4 2 2 3" xfId="15675" xr:uid="{00000000-0005-0000-0000-000077580000}"/>
    <cellStyle name="Normal 24 3 4 2 2 3 2" xfId="52996" xr:uid="{00000000-0005-0000-0000-000078580000}"/>
    <cellStyle name="Normal 24 3 4 2 2 4" xfId="15676" xr:uid="{00000000-0005-0000-0000-000079580000}"/>
    <cellStyle name="Normal 24 3 4 2 2 5" xfId="15677" xr:uid="{00000000-0005-0000-0000-00007A580000}"/>
    <cellStyle name="Normal 24 3 4 2 2 6" xfId="15678" xr:uid="{00000000-0005-0000-0000-00007B580000}"/>
    <cellStyle name="Normal 24 3 4 2 3" xfId="15679" xr:uid="{00000000-0005-0000-0000-00007C580000}"/>
    <cellStyle name="Normal 24 3 4 2 3 2" xfId="52997" xr:uid="{00000000-0005-0000-0000-00007D580000}"/>
    <cellStyle name="Normal 24 3 4 2 3 3" xfId="52998" xr:uid="{00000000-0005-0000-0000-00007E580000}"/>
    <cellStyle name="Normal 24 3 4 2 4" xfId="15680" xr:uid="{00000000-0005-0000-0000-00007F580000}"/>
    <cellStyle name="Normal 24 3 4 2 4 2" xfId="52999" xr:uid="{00000000-0005-0000-0000-000080580000}"/>
    <cellStyle name="Normal 24 3 4 2 5" xfId="15681" xr:uid="{00000000-0005-0000-0000-000081580000}"/>
    <cellStyle name="Normal 24 3 4 2 6" xfId="15682" xr:uid="{00000000-0005-0000-0000-000082580000}"/>
    <cellStyle name="Normal 24 3 4 2 7" xfId="15683" xr:uid="{00000000-0005-0000-0000-000083580000}"/>
    <cellStyle name="Normal 24 3 4 3" xfId="15684" xr:uid="{00000000-0005-0000-0000-000084580000}"/>
    <cellStyle name="Normal 24 3 4 3 2" xfId="15685" xr:uid="{00000000-0005-0000-0000-000085580000}"/>
    <cellStyle name="Normal 24 3 4 3 2 2" xfId="53000" xr:uid="{00000000-0005-0000-0000-000086580000}"/>
    <cellStyle name="Normal 24 3 4 3 2 3" xfId="53001" xr:uid="{00000000-0005-0000-0000-000087580000}"/>
    <cellStyle name="Normal 24 3 4 3 3" xfId="15686" xr:uid="{00000000-0005-0000-0000-000088580000}"/>
    <cellStyle name="Normal 24 3 4 3 3 2" xfId="53002" xr:uid="{00000000-0005-0000-0000-000089580000}"/>
    <cellStyle name="Normal 24 3 4 3 4" xfId="15687" xr:uid="{00000000-0005-0000-0000-00008A580000}"/>
    <cellStyle name="Normal 24 3 4 3 5" xfId="15688" xr:uid="{00000000-0005-0000-0000-00008B580000}"/>
    <cellStyle name="Normal 24 3 4 3 6" xfId="15689" xr:uid="{00000000-0005-0000-0000-00008C580000}"/>
    <cellStyle name="Normal 24 3 4 4" xfId="15690" xr:uid="{00000000-0005-0000-0000-00008D580000}"/>
    <cellStyle name="Normal 24 3 4 4 2" xfId="53003" xr:uid="{00000000-0005-0000-0000-00008E580000}"/>
    <cellStyle name="Normal 24 3 4 4 3" xfId="53004" xr:uid="{00000000-0005-0000-0000-00008F580000}"/>
    <cellStyle name="Normal 24 3 4 5" xfId="15691" xr:uid="{00000000-0005-0000-0000-000090580000}"/>
    <cellStyle name="Normal 24 3 4 5 2" xfId="53005" xr:uid="{00000000-0005-0000-0000-000091580000}"/>
    <cellStyle name="Normal 24 3 4 6" xfId="15692" xr:uid="{00000000-0005-0000-0000-000092580000}"/>
    <cellStyle name="Normal 24 3 4 7" xfId="15693" xr:uid="{00000000-0005-0000-0000-000093580000}"/>
    <cellStyle name="Normal 24 3 4 8" xfId="15694" xr:uid="{00000000-0005-0000-0000-000094580000}"/>
    <cellStyle name="Normal 24 3 5" xfId="15695" xr:uid="{00000000-0005-0000-0000-000095580000}"/>
    <cellStyle name="Normal 24 3 5 2" xfId="15696" xr:uid="{00000000-0005-0000-0000-000096580000}"/>
    <cellStyle name="Normal 24 3 5 2 2" xfId="15697" xr:uid="{00000000-0005-0000-0000-000097580000}"/>
    <cellStyle name="Normal 24 3 5 2 2 2" xfId="53006" xr:uid="{00000000-0005-0000-0000-000098580000}"/>
    <cellStyle name="Normal 24 3 5 2 2 3" xfId="53007" xr:uid="{00000000-0005-0000-0000-000099580000}"/>
    <cellStyle name="Normal 24 3 5 2 3" xfId="15698" xr:uid="{00000000-0005-0000-0000-00009A580000}"/>
    <cellStyle name="Normal 24 3 5 2 3 2" xfId="53008" xr:uid="{00000000-0005-0000-0000-00009B580000}"/>
    <cellStyle name="Normal 24 3 5 2 4" xfId="15699" xr:uid="{00000000-0005-0000-0000-00009C580000}"/>
    <cellStyle name="Normal 24 3 5 2 5" xfId="15700" xr:uid="{00000000-0005-0000-0000-00009D580000}"/>
    <cellStyle name="Normal 24 3 5 2 6" xfId="15701" xr:uid="{00000000-0005-0000-0000-00009E580000}"/>
    <cellStyle name="Normal 24 3 5 3" xfId="15702" xr:uid="{00000000-0005-0000-0000-00009F580000}"/>
    <cellStyle name="Normal 24 3 5 3 2" xfId="53009" xr:uid="{00000000-0005-0000-0000-0000A0580000}"/>
    <cellStyle name="Normal 24 3 5 3 3" xfId="53010" xr:uid="{00000000-0005-0000-0000-0000A1580000}"/>
    <cellStyle name="Normal 24 3 5 4" xfId="15703" xr:uid="{00000000-0005-0000-0000-0000A2580000}"/>
    <cellStyle name="Normal 24 3 5 4 2" xfId="53011" xr:uid="{00000000-0005-0000-0000-0000A3580000}"/>
    <cellStyle name="Normal 24 3 5 5" xfId="15704" xr:uid="{00000000-0005-0000-0000-0000A4580000}"/>
    <cellStyle name="Normal 24 3 5 6" xfId="15705" xr:uid="{00000000-0005-0000-0000-0000A5580000}"/>
    <cellStyle name="Normal 24 3 5 7" xfId="15706" xr:uid="{00000000-0005-0000-0000-0000A6580000}"/>
    <cellStyle name="Normal 24 3 6" xfId="15707" xr:uid="{00000000-0005-0000-0000-0000A7580000}"/>
    <cellStyle name="Normal 24 3 6 2" xfId="15708" xr:uid="{00000000-0005-0000-0000-0000A8580000}"/>
    <cellStyle name="Normal 24 3 6 2 2" xfId="53012" xr:uid="{00000000-0005-0000-0000-0000A9580000}"/>
    <cellStyle name="Normal 24 3 6 2 3" xfId="53013" xr:uid="{00000000-0005-0000-0000-0000AA580000}"/>
    <cellStyle name="Normal 24 3 6 3" xfId="15709" xr:uid="{00000000-0005-0000-0000-0000AB580000}"/>
    <cellStyle name="Normal 24 3 6 3 2" xfId="53014" xr:uid="{00000000-0005-0000-0000-0000AC580000}"/>
    <cellStyle name="Normal 24 3 6 4" xfId="15710" xr:uid="{00000000-0005-0000-0000-0000AD580000}"/>
    <cellStyle name="Normal 24 3 6 5" xfId="15711" xr:uid="{00000000-0005-0000-0000-0000AE580000}"/>
    <cellStyle name="Normal 24 3 6 6" xfId="15712" xr:uid="{00000000-0005-0000-0000-0000AF580000}"/>
    <cellStyle name="Normal 24 3 7" xfId="15713" xr:uid="{00000000-0005-0000-0000-0000B0580000}"/>
    <cellStyle name="Normal 24 3 7 2" xfId="15714" xr:uid="{00000000-0005-0000-0000-0000B1580000}"/>
    <cellStyle name="Normal 24 3 7 2 2" xfId="15715" xr:uid="{00000000-0005-0000-0000-0000B2580000}"/>
    <cellStyle name="Normal 24 3 7 2 2 2" xfId="15716" xr:uid="{00000000-0005-0000-0000-0000B3580000}"/>
    <cellStyle name="Normal 24 3 7 2 3" xfId="15717" xr:uid="{00000000-0005-0000-0000-0000B4580000}"/>
    <cellStyle name="Normal 24 3 7 2 3 2" xfId="15718" xr:uid="{00000000-0005-0000-0000-0000B5580000}"/>
    <cellStyle name="Normal 24 3 7 2 4" xfId="15719" xr:uid="{00000000-0005-0000-0000-0000B6580000}"/>
    <cellStyle name="Normal 24 3 7 3" xfId="15720" xr:uid="{00000000-0005-0000-0000-0000B7580000}"/>
    <cellStyle name="Normal 24 3 7 3 2" xfId="15721" xr:uid="{00000000-0005-0000-0000-0000B8580000}"/>
    <cellStyle name="Normal 24 3 7 3 2 2" xfId="15722" xr:uid="{00000000-0005-0000-0000-0000B9580000}"/>
    <cellStyle name="Normal 24 3 7 3 3" xfId="15723" xr:uid="{00000000-0005-0000-0000-0000BA580000}"/>
    <cellStyle name="Normal 24 3 7 3 3 2" xfId="15724" xr:uid="{00000000-0005-0000-0000-0000BB580000}"/>
    <cellStyle name="Normal 24 3 7 3 4" xfId="15725" xr:uid="{00000000-0005-0000-0000-0000BC580000}"/>
    <cellStyle name="Normal 24 3 7 4" xfId="15726" xr:uid="{00000000-0005-0000-0000-0000BD580000}"/>
    <cellStyle name="Normal 24 3 7 4 2" xfId="15727" xr:uid="{00000000-0005-0000-0000-0000BE580000}"/>
    <cellStyle name="Normal 24 3 7 5" xfId="15728" xr:uid="{00000000-0005-0000-0000-0000BF580000}"/>
    <cellStyle name="Normal 24 3 7 5 2" xfId="15729" xr:uid="{00000000-0005-0000-0000-0000C0580000}"/>
    <cellStyle name="Normal 24 3 7 6" xfId="15730" xr:uid="{00000000-0005-0000-0000-0000C1580000}"/>
    <cellStyle name="Normal 24 3 7 7" xfId="15731" xr:uid="{00000000-0005-0000-0000-0000C2580000}"/>
    <cellStyle name="Normal 24 3 8" xfId="15732" xr:uid="{00000000-0005-0000-0000-0000C3580000}"/>
    <cellStyle name="Normal 24 3 8 2" xfId="15733" xr:uid="{00000000-0005-0000-0000-0000C4580000}"/>
    <cellStyle name="Normal 24 3 8 2 2" xfId="15734" xr:uid="{00000000-0005-0000-0000-0000C5580000}"/>
    <cellStyle name="Normal 24 3 8 3" xfId="15735" xr:uid="{00000000-0005-0000-0000-0000C6580000}"/>
    <cellStyle name="Normal 24 3 8 3 2" xfId="15736" xr:uid="{00000000-0005-0000-0000-0000C7580000}"/>
    <cellStyle name="Normal 24 3 8 4" xfId="15737" xr:uid="{00000000-0005-0000-0000-0000C8580000}"/>
    <cellStyle name="Normal 24 3 8 5" xfId="15738" xr:uid="{00000000-0005-0000-0000-0000C9580000}"/>
    <cellStyle name="Normal 24 3 9" xfId="15739" xr:uid="{00000000-0005-0000-0000-0000CA580000}"/>
    <cellStyle name="Normal 24 3 9 2" xfId="15740" xr:uid="{00000000-0005-0000-0000-0000CB580000}"/>
    <cellStyle name="Normal 24 3 9 2 2" xfId="15741" xr:uid="{00000000-0005-0000-0000-0000CC580000}"/>
    <cellStyle name="Normal 24 3 9 3" xfId="15742" xr:uid="{00000000-0005-0000-0000-0000CD580000}"/>
    <cellStyle name="Normal 24 3 9 3 2" xfId="15743" xr:uid="{00000000-0005-0000-0000-0000CE580000}"/>
    <cellStyle name="Normal 24 3 9 4" xfId="15744" xr:uid="{00000000-0005-0000-0000-0000CF580000}"/>
    <cellStyle name="Normal 24 3 9 5" xfId="15745" xr:uid="{00000000-0005-0000-0000-0000D0580000}"/>
    <cellStyle name="Normal 24 4" xfId="15746" xr:uid="{00000000-0005-0000-0000-0000D1580000}"/>
    <cellStyle name="Normal 24 4 10" xfId="15747" xr:uid="{00000000-0005-0000-0000-0000D2580000}"/>
    <cellStyle name="Normal 24 4 10 2" xfId="15748" xr:uid="{00000000-0005-0000-0000-0000D3580000}"/>
    <cellStyle name="Normal 24 4 10 2 2" xfId="15749" xr:uid="{00000000-0005-0000-0000-0000D4580000}"/>
    <cellStyle name="Normal 24 4 10 3" xfId="15750" xr:uid="{00000000-0005-0000-0000-0000D5580000}"/>
    <cellStyle name="Normal 24 4 10 3 2" xfId="15751" xr:uid="{00000000-0005-0000-0000-0000D6580000}"/>
    <cellStyle name="Normal 24 4 10 4" xfId="15752" xr:uid="{00000000-0005-0000-0000-0000D7580000}"/>
    <cellStyle name="Normal 24 4 10 5" xfId="15753" xr:uid="{00000000-0005-0000-0000-0000D8580000}"/>
    <cellStyle name="Normal 24 4 11" xfId="15754" xr:uid="{00000000-0005-0000-0000-0000D9580000}"/>
    <cellStyle name="Normal 24 4 11 2" xfId="15755" xr:uid="{00000000-0005-0000-0000-0000DA580000}"/>
    <cellStyle name="Normal 24 4 11 2 2" xfId="15756" xr:uid="{00000000-0005-0000-0000-0000DB580000}"/>
    <cellStyle name="Normal 24 4 11 3" xfId="15757" xr:uid="{00000000-0005-0000-0000-0000DC580000}"/>
    <cellStyle name="Normal 24 4 11 3 2" xfId="15758" xr:uid="{00000000-0005-0000-0000-0000DD580000}"/>
    <cellStyle name="Normal 24 4 11 4" xfId="15759" xr:uid="{00000000-0005-0000-0000-0000DE580000}"/>
    <cellStyle name="Normal 24 4 11 5" xfId="15760" xr:uid="{00000000-0005-0000-0000-0000DF580000}"/>
    <cellStyle name="Normal 24 4 12" xfId="15761" xr:uid="{00000000-0005-0000-0000-0000E0580000}"/>
    <cellStyle name="Normal 24 4 12 2" xfId="15762" xr:uid="{00000000-0005-0000-0000-0000E1580000}"/>
    <cellStyle name="Normal 24 4 12 2 2" xfId="15763" xr:uid="{00000000-0005-0000-0000-0000E2580000}"/>
    <cellStyle name="Normal 24 4 12 3" xfId="15764" xr:uid="{00000000-0005-0000-0000-0000E3580000}"/>
    <cellStyle name="Normal 24 4 12 4" xfId="15765" xr:uid="{00000000-0005-0000-0000-0000E4580000}"/>
    <cellStyle name="Normal 24 4 13" xfId="15766" xr:uid="{00000000-0005-0000-0000-0000E5580000}"/>
    <cellStyle name="Normal 24 4 13 2" xfId="15767" xr:uid="{00000000-0005-0000-0000-0000E6580000}"/>
    <cellStyle name="Normal 24 4 13 3" xfId="15768" xr:uid="{00000000-0005-0000-0000-0000E7580000}"/>
    <cellStyle name="Normal 24 4 14" xfId="15769" xr:uid="{00000000-0005-0000-0000-0000E8580000}"/>
    <cellStyle name="Normal 24 4 14 2" xfId="15770" xr:uid="{00000000-0005-0000-0000-0000E9580000}"/>
    <cellStyle name="Normal 24 4 14 3" xfId="15771" xr:uid="{00000000-0005-0000-0000-0000EA580000}"/>
    <cellStyle name="Normal 24 4 15" xfId="15772" xr:uid="{00000000-0005-0000-0000-0000EB580000}"/>
    <cellStyle name="Normal 24 4 16" xfId="15773" xr:uid="{00000000-0005-0000-0000-0000EC580000}"/>
    <cellStyle name="Normal 24 4 16 2" xfId="53015" xr:uid="{00000000-0005-0000-0000-0000ED580000}"/>
    <cellStyle name="Normal 24 4 17" xfId="53016" xr:uid="{00000000-0005-0000-0000-0000EE580000}"/>
    <cellStyle name="Normal 24 4 2" xfId="15774" xr:uid="{00000000-0005-0000-0000-0000EF580000}"/>
    <cellStyle name="Normal 24 4 2 10" xfId="15775" xr:uid="{00000000-0005-0000-0000-0000F0580000}"/>
    <cellStyle name="Normal 24 4 2 10 2" xfId="15776" xr:uid="{00000000-0005-0000-0000-0000F1580000}"/>
    <cellStyle name="Normal 24 4 2 10 2 2" xfId="15777" xr:uid="{00000000-0005-0000-0000-0000F2580000}"/>
    <cellStyle name="Normal 24 4 2 10 3" xfId="15778" xr:uid="{00000000-0005-0000-0000-0000F3580000}"/>
    <cellStyle name="Normal 24 4 2 11" xfId="15779" xr:uid="{00000000-0005-0000-0000-0000F4580000}"/>
    <cellStyle name="Normal 24 4 2 11 2" xfId="15780" xr:uid="{00000000-0005-0000-0000-0000F5580000}"/>
    <cellStyle name="Normal 24 4 2 12" xfId="15781" xr:uid="{00000000-0005-0000-0000-0000F6580000}"/>
    <cellStyle name="Normal 24 4 2 12 2" xfId="15782" xr:uid="{00000000-0005-0000-0000-0000F7580000}"/>
    <cellStyle name="Normal 24 4 2 13" xfId="15783" xr:uid="{00000000-0005-0000-0000-0000F8580000}"/>
    <cellStyle name="Normal 24 4 2 14" xfId="15784" xr:uid="{00000000-0005-0000-0000-0000F9580000}"/>
    <cellStyle name="Normal 24 4 2 14 2" xfId="53017" xr:uid="{00000000-0005-0000-0000-0000FA580000}"/>
    <cellStyle name="Normal 24 4 2 15" xfId="53018" xr:uid="{00000000-0005-0000-0000-0000FB580000}"/>
    <cellStyle name="Normal 24 4 2 2" xfId="15785" xr:uid="{00000000-0005-0000-0000-0000FC580000}"/>
    <cellStyle name="Normal 24 4 2 2 2" xfId="15786" xr:uid="{00000000-0005-0000-0000-0000FD580000}"/>
    <cellStyle name="Normal 24 4 2 2 2 2" xfId="15787" xr:uid="{00000000-0005-0000-0000-0000FE580000}"/>
    <cellStyle name="Normal 24 4 2 2 2 2 2" xfId="53019" xr:uid="{00000000-0005-0000-0000-0000FF580000}"/>
    <cellStyle name="Normal 24 4 2 2 2 2 3" xfId="53020" xr:uid="{00000000-0005-0000-0000-000000590000}"/>
    <cellStyle name="Normal 24 4 2 2 2 3" xfId="15788" xr:uid="{00000000-0005-0000-0000-000001590000}"/>
    <cellStyle name="Normal 24 4 2 2 2 3 2" xfId="53021" xr:uid="{00000000-0005-0000-0000-000002590000}"/>
    <cellStyle name="Normal 24 4 2 2 2 4" xfId="15789" xr:uid="{00000000-0005-0000-0000-000003590000}"/>
    <cellStyle name="Normal 24 4 2 2 2 5" xfId="15790" xr:uid="{00000000-0005-0000-0000-000004590000}"/>
    <cellStyle name="Normal 24 4 2 2 2 6" xfId="15791" xr:uid="{00000000-0005-0000-0000-000005590000}"/>
    <cellStyle name="Normal 24 4 2 2 3" xfId="15792" xr:uid="{00000000-0005-0000-0000-000006590000}"/>
    <cellStyle name="Normal 24 4 2 2 3 2" xfId="53022" xr:uid="{00000000-0005-0000-0000-000007590000}"/>
    <cellStyle name="Normal 24 4 2 2 3 3" xfId="53023" xr:uid="{00000000-0005-0000-0000-000008590000}"/>
    <cellStyle name="Normal 24 4 2 2 4" xfId="15793" xr:uid="{00000000-0005-0000-0000-000009590000}"/>
    <cellStyle name="Normal 24 4 2 2 4 2" xfId="53024" xr:uid="{00000000-0005-0000-0000-00000A590000}"/>
    <cellStyle name="Normal 24 4 2 2 5" xfId="15794" xr:uid="{00000000-0005-0000-0000-00000B590000}"/>
    <cellStyle name="Normal 24 4 2 2 6" xfId="15795" xr:uid="{00000000-0005-0000-0000-00000C590000}"/>
    <cellStyle name="Normal 24 4 2 2 7" xfId="15796" xr:uid="{00000000-0005-0000-0000-00000D590000}"/>
    <cellStyle name="Normal 24 4 2 3" xfId="15797" xr:uid="{00000000-0005-0000-0000-00000E590000}"/>
    <cellStyle name="Normal 24 4 2 3 2" xfId="15798" xr:uid="{00000000-0005-0000-0000-00000F590000}"/>
    <cellStyle name="Normal 24 4 2 3 2 2" xfId="53025" xr:uid="{00000000-0005-0000-0000-000010590000}"/>
    <cellStyle name="Normal 24 4 2 3 2 3" xfId="53026" xr:uid="{00000000-0005-0000-0000-000011590000}"/>
    <cellStyle name="Normal 24 4 2 3 3" xfId="15799" xr:uid="{00000000-0005-0000-0000-000012590000}"/>
    <cellStyle name="Normal 24 4 2 3 3 2" xfId="53027" xr:uid="{00000000-0005-0000-0000-000013590000}"/>
    <cellStyle name="Normal 24 4 2 3 4" xfId="15800" xr:uid="{00000000-0005-0000-0000-000014590000}"/>
    <cellStyle name="Normal 24 4 2 3 5" xfId="15801" xr:uid="{00000000-0005-0000-0000-000015590000}"/>
    <cellStyle name="Normal 24 4 2 3 6" xfId="15802" xr:uid="{00000000-0005-0000-0000-000016590000}"/>
    <cellStyle name="Normal 24 4 2 4" xfId="15803" xr:uid="{00000000-0005-0000-0000-000017590000}"/>
    <cellStyle name="Normal 24 4 2 4 2" xfId="15804" xr:uid="{00000000-0005-0000-0000-000018590000}"/>
    <cellStyle name="Normal 24 4 2 4 2 2" xfId="15805" xr:uid="{00000000-0005-0000-0000-000019590000}"/>
    <cellStyle name="Normal 24 4 2 4 2 2 2" xfId="15806" xr:uid="{00000000-0005-0000-0000-00001A590000}"/>
    <cellStyle name="Normal 24 4 2 4 2 3" xfId="15807" xr:uid="{00000000-0005-0000-0000-00001B590000}"/>
    <cellStyle name="Normal 24 4 2 4 2 3 2" xfId="15808" xr:uid="{00000000-0005-0000-0000-00001C590000}"/>
    <cellStyle name="Normal 24 4 2 4 2 4" xfId="15809" xr:uid="{00000000-0005-0000-0000-00001D590000}"/>
    <cellStyle name="Normal 24 4 2 4 3" xfId="15810" xr:uid="{00000000-0005-0000-0000-00001E590000}"/>
    <cellStyle name="Normal 24 4 2 4 3 2" xfId="15811" xr:uid="{00000000-0005-0000-0000-00001F590000}"/>
    <cellStyle name="Normal 24 4 2 4 3 2 2" xfId="15812" xr:uid="{00000000-0005-0000-0000-000020590000}"/>
    <cellStyle name="Normal 24 4 2 4 3 3" xfId="15813" xr:uid="{00000000-0005-0000-0000-000021590000}"/>
    <cellStyle name="Normal 24 4 2 4 3 3 2" xfId="15814" xr:uid="{00000000-0005-0000-0000-000022590000}"/>
    <cellStyle name="Normal 24 4 2 4 3 4" xfId="15815" xr:uid="{00000000-0005-0000-0000-000023590000}"/>
    <cellStyle name="Normal 24 4 2 4 4" xfId="15816" xr:uid="{00000000-0005-0000-0000-000024590000}"/>
    <cellStyle name="Normal 24 4 2 4 4 2" xfId="15817" xr:uid="{00000000-0005-0000-0000-000025590000}"/>
    <cellStyle name="Normal 24 4 2 4 5" xfId="15818" xr:uid="{00000000-0005-0000-0000-000026590000}"/>
    <cellStyle name="Normal 24 4 2 4 5 2" xfId="15819" xr:uid="{00000000-0005-0000-0000-000027590000}"/>
    <cellStyle name="Normal 24 4 2 4 6" xfId="15820" xr:uid="{00000000-0005-0000-0000-000028590000}"/>
    <cellStyle name="Normal 24 4 2 4 7" xfId="15821" xr:uid="{00000000-0005-0000-0000-000029590000}"/>
    <cellStyle name="Normal 24 4 2 5" xfId="15822" xr:uid="{00000000-0005-0000-0000-00002A590000}"/>
    <cellStyle name="Normal 24 4 2 5 2" xfId="15823" xr:uid="{00000000-0005-0000-0000-00002B590000}"/>
    <cellStyle name="Normal 24 4 2 5 2 2" xfId="15824" xr:uid="{00000000-0005-0000-0000-00002C590000}"/>
    <cellStyle name="Normal 24 4 2 5 3" xfId="15825" xr:uid="{00000000-0005-0000-0000-00002D590000}"/>
    <cellStyle name="Normal 24 4 2 5 3 2" xfId="15826" xr:uid="{00000000-0005-0000-0000-00002E590000}"/>
    <cellStyle name="Normal 24 4 2 5 4" xfId="15827" xr:uid="{00000000-0005-0000-0000-00002F590000}"/>
    <cellStyle name="Normal 24 4 2 5 5" xfId="15828" xr:uid="{00000000-0005-0000-0000-000030590000}"/>
    <cellStyle name="Normal 24 4 2 6" xfId="15829" xr:uid="{00000000-0005-0000-0000-000031590000}"/>
    <cellStyle name="Normal 24 4 2 6 2" xfId="15830" xr:uid="{00000000-0005-0000-0000-000032590000}"/>
    <cellStyle name="Normal 24 4 2 6 2 2" xfId="15831" xr:uid="{00000000-0005-0000-0000-000033590000}"/>
    <cellStyle name="Normal 24 4 2 6 3" xfId="15832" xr:uid="{00000000-0005-0000-0000-000034590000}"/>
    <cellStyle name="Normal 24 4 2 6 3 2" xfId="15833" xr:uid="{00000000-0005-0000-0000-000035590000}"/>
    <cellStyle name="Normal 24 4 2 6 4" xfId="15834" xr:uid="{00000000-0005-0000-0000-000036590000}"/>
    <cellStyle name="Normal 24 4 2 6 5" xfId="15835" xr:uid="{00000000-0005-0000-0000-000037590000}"/>
    <cellStyle name="Normal 24 4 2 7" xfId="15836" xr:uid="{00000000-0005-0000-0000-000038590000}"/>
    <cellStyle name="Normal 24 4 2 7 2" xfId="15837" xr:uid="{00000000-0005-0000-0000-000039590000}"/>
    <cellStyle name="Normal 24 4 2 7 2 2" xfId="15838" xr:uid="{00000000-0005-0000-0000-00003A590000}"/>
    <cellStyle name="Normal 24 4 2 7 3" xfId="15839" xr:uid="{00000000-0005-0000-0000-00003B590000}"/>
    <cellStyle name="Normal 24 4 2 7 3 2" xfId="15840" xr:uid="{00000000-0005-0000-0000-00003C590000}"/>
    <cellStyle name="Normal 24 4 2 7 4" xfId="15841" xr:uid="{00000000-0005-0000-0000-00003D590000}"/>
    <cellStyle name="Normal 24 4 2 7 5" xfId="15842" xr:uid="{00000000-0005-0000-0000-00003E590000}"/>
    <cellStyle name="Normal 24 4 2 8" xfId="15843" xr:uid="{00000000-0005-0000-0000-00003F590000}"/>
    <cellStyle name="Normal 24 4 2 8 2" xfId="15844" xr:uid="{00000000-0005-0000-0000-000040590000}"/>
    <cellStyle name="Normal 24 4 2 8 2 2" xfId="15845" xr:uid="{00000000-0005-0000-0000-000041590000}"/>
    <cellStyle name="Normal 24 4 2 8 3" xfId="15846" xr:uid="{00000000-0005-0000-0000-000042590000}"/>
    <cellStyle name="Normal 24 4 2 8 3 2" xfId="15847" xr:uid="{00000000-0005-0000-0000-000043590000}"/>
    <cellStyle name="Normal 24 4 2 8 4" xfId="15848" xr:uid="{00000000-0005-0000-0000-000044590000}"/>
    <cellStyle name="Normal 24 4 2 8 5" xfId="15849" xr:uid="{00000000-0005-0000-0000-000045590000}"/>
    <cellStyle name="Normal 24 4 2 9" xfId="15850" xr:uid="{00000000-0005-0000-0000-000046590000}"/>
    <cellStyle name="Normal 24 4 2 9 2" xfId="15851" xr:uid="{00000000-0005-0000-0000-000047590000}"/>
    <cellStyle name="Normal 24 4 2 9 2 2" xfId="15852" xr:uid="{00000000-0005-0000-0000-000048590000}"/>
    <cellStyle name="Normal 24 4 2 9 3" xfId="15853" xr:uid="{00000000-0005-0000-0000-000049590000}"/>
    <cellStyle name="Normal 24 4 2 9 3 2" xfId="15854" xr:uid="{00000000-0005-0000-0000-00004A590000}"/>
    <cellStyle name="Normal 24 4 2 9 4" xfId="15855" xr:uid="{00000000-0005-0000-0000-00004B590000}"/>
    <cellStyle name="Normal 24 4 2 9 5" xfId="15856" xr:uid="{00000000-0005-0000-0000-00004C590000}"/>
    <cellStyle name="Normal 24 4 3" xfId="15857" xr:uid="{00000000-0005-0000-0000-00004D590000}"/>
    <cellStyle name="Normal 24 4 3 2" xfId="15858" xr:uid="{00000000-0005-0000-0000-00004E590000}"/>
    <cellStyle name="Normal 24 4 3 2 2" xfId="15859" xr:uid="{00000000-0005-0000-0000-00004F590000}"/>
    <cellStyle name="Normal 24 4 3 2 2 2" xfId="15860" xr:uid="{00000000-0005-0000-0000-000050590000}"/>
    <cellStyle name="Normal 24 4 3 2 2 2 2" xfId="53028" xr:uid="{00000000-0005-0000-0000-000051590000}"/>
    <cellStyle name="Normal 24 4 3 2 2 2 3" xfId="53029" xr:uid="{00000000-0005-0000-0000-000052590000}"/>
    <cellStyle name="Normal 24 4 3 2 2 3" xfId="15861" xr:uid="{00000000-0005-0000-0000-000053590000}"/>
    <cellStyle name="Normal 24 4 3 2 2 3 2" xfId="53030" xr:uid="{00000000-0005-0000-0000-000054590000}"/>
    <cellStyle name="Normal 24 4 3 2 2 4" xfId="15862" xr:uid="{00000000-0005-0000-0000-000055590000}"/>
    <cellStyle name="Normal 24 4 3 2 2 5" xfId="15863" xr:uid="{00000000-0005-0000-0000-000056590000}"/>
    <cellStyle name="Normal 24 4 3 2 2 6" xfId="15864" xr:uid="{00000000-0005-0000-0000-000057590000}"/>
    <cellStyle name="Normal 24 4 3 2 3" xfId="15865" xr:uid="{00000000-0005-0000-0000-000058590000}"/>
    <cellStyle name="Normal 24 4 3 2 3 2" xfId="53031" xr:uid="{00000000-0005-0000-0000-000059590000}"/>
    <cellStyle name="Normal 24 4 3 2 3 3" xfId="53032" xr:uid="{00000000-0005-0000-0000-00005A590000}"/>
    <cellStyle name="Normal 24 4 3 2 4" xfId="15866" xr:uid="{00000000-0005-0000-0000-00005B590000}"/>
    <cellStyle name="Normal 24 4 3 2 4 2" xfId="53033" xr:uid="{00000000-0005-0000-0000-00005C590000}"/>
    <cellStyle name="Normal 24 4 3 2 5" xfId="15867" xr:uid="{00000000-0005-0000-0000-00005D590000}"/>
    <cellStyle name="Normal 24 4 3 2 6" xfId="15868" xr:uid="{00000000-0005-0000-0000-00005E590000}"/>
    <cellStyle name="Normal 24 4 3 2 7" xfId="15869" xr:uid="{00000000-0005-0000-0000-00005F590000}"/>
    <cellStyle name="Normal 24 4 3 3" xfId="15870" xr:uid="{00000000-0005-0000-0000-000060590000}"/>
    <cellStyle name="Normal 24 4 3 3 2" xfId="15871" xr:uid="{00000000-0005-0000-0000-000061590000}"/>
    <cellStyle name="Normal 24 4 3 3 2 2" xfId="53034" xr:uid="{00000000-0005-0000-0000-000062590000}"/>
    <cellStyle name="Normal 24 4 3 3 2 3" xfId="53035" xr:uid="{00000000-0005-0000-0000-000063590000}"/>
    <cellStyle name="Normal 24 4 3 3 3" xfId="15872" xr:uid="{00000000-0005-0000-0000-000064590000}"/>
    <cellStyle name="Normal 24 4 3 3 3 2" xfId="53036" xr:uid="{00000000-0005-0000-0000-000065590000}"/>
    <cellStyle name="Normal 24 4 3 3 4" xfId="15873" xr:uid="{00000000-0005-0000-0000-000066590000}"/>
    <cellStyle name="Normal 24 4 3 3 5" xfId="15874" xr:uid="{00000000-0005-0000-0000-000067590000}"/>
    <cellStyle name="Normal 24 4 3 3 6" xfId="15875" xr:uid="{00000000-0005-0000-0000-000068590000}"/>
    <cellStyle name="Normal 24 4 3 4" xfId="15876" xr:uid="{00000000-0005-0000-0000-000069590000}"/>
    <cellStyle name="Normal 24 4 3 4 2" xfId="53037" xr:uid="{00000000-0005-0000-0000-00006A590000}"/>
    <cellStyle name="Normal 24 4 3 4 3" xfId="53038" xr:uid="{00000000-0005-0000-0000-00006B590000}"/>
    <cellStyle name="Normal 24 4 3 5" xfId="15877" xr:uid="{00000000-0005-0000-0000-00006C590000}"/>
    <cellStyle name="Normal 24 4 3 5 2" xfId="53039" xr:uid="{00000000-0005-0000-0000-00006D590000}"/>
    <cellStyle name="Normal 24 4 3 6" xfId="15878" xr:uid="{00000000-0005-0000-0000-00006E590000}"/>
    <cellStyle name="Normal 24 4 3 7" xfId="15879" xr:uid="{00000000-0005-0000-0000-00006F590000}"/>
    <cellStyle name="Normal 24 4 3 8" xfId="15880" xr:uid="{00000000-0005-0000-0000-000070590000}"/>
    <cellStyle name="Normal 24 4 4" xfId="15881" xr:uid="{00000000-0005-0000-0000-000071590000}"/>
    <cellStyle name="Normal 24 4 4 2" xfId="15882" xr:uid="{00000000-0005-0000-0000-000072590000}"/>
    <cellStyle name="Normal 24 4 4 2 2" xfId="15883" xr:uid="{00000000-0005-0000-0000-000073590000}"/>
    <cellStyle name="Normal 24 4 4 2 2 2" xfId="53040" xr:uid="{00000000-0005-0000-0000-000074590000}"/>
    <cellStyle name="Normal 24 4 4 2 2 3" xfId="53041" xr:uid="{00000000-0005-0000-0000-000075590000}"/>
    <cellStyle name="Normal 24 4 4 2 3" xfId="15884" xr:uid="{00000000-0005-0000-0000-000076590000}"/>
    <cellStyle name="Normal 24 4 4 2 3 2" xfId="53042" xr:uid="{00000000-0005-0000-0000-000077590000}"/>
    <cellStyle name="Normal 24 4 4 2 4" xfId="15885" xr:uid="{00000000-0005-0000-0000-000078590000}"/>
    <cellStyle name="Normal 24 4 4 2 5" xfId="15886" xr:uid="{00000000-0005-0000-0000-000079590000}"/>
    <cellStyle name="Normal 24 4 4 2 6" xfId="15887" xr:uid="{00000000-0005-0000-0000-00007A590000}"/>
    <cellStyle name="Normal 24 4 4 3" xfId="15888" xr:uid="{00000000-0005-0000-0000-00007B590000}"/>
    <cellStyle name="Normal 24 4 4 3 2" xfId="53043" xr:uid="{00000000-0005-0000-0000-00007C590000}"/>
    <cellStyle name="Normal 24 4 4 3 3" xfId="53044" xr:uid="{00000000-0005-0000-0000-00007D590000}"/>
    <cellStyle name="Normal 24 4 4 4" xfId="15889" xr:uid="{00000000-0005-0000-0000-00007E590000}"/>
    <cellStyle name="Normal 24 4 4 4 2" xfId="53045" xr:uid="{00000000-0005-0000-0000-00007F590000}"/>
    <cellStyle name="Normal 24 4 4 5" xfId="15890" xr:uid="{00000000-0005-0000-0000-000080590000}"/>
    <cellStyle name="Normal 24 4 4 6" xfId="15891" xr:uid="{00000000-0005-0000-0000-000081590000}"/>
    <cellStyle name="Normal 24 4 4 7" xfId="15892" xr:uid="{00000000-0005-0000-0000-000082590000}"/>
    <cellStyle name="Normal 24 4 5" xfId="15893" xr:uid="{00000000-0005-0000-0000-000083590000}"/>
    <cellStyle name="Normal 24 4 5 2" xfId="15894" xr:uid="{00000000-0005-0000-0000-000084590000}"/>
    <cellStyle name="Normal 24 4 5 2 2" xfId="53046" xr:uid="{00000000-0005-0000-0000-000085590000}"/>
    <cellStyle name="Normal 24 4 5 2 3" xfId="53047" xr:uid="{00000000-0005-0000-0000-000086590000}"/>
    <cellStyle name="Normal 24 4 5 3" xfId="15895" xr:uid="{00000000-0005-0000-0000-000087590000}"/>
    <cellStyle name="Normal 24 4 5 3 2" xfId="53048" xr:uid="{00000000-0005-0000-0000-000088590000}"/>
    <cellStyle name="Normal 24 4 5 4" xfId="15896" xr:uid="{00000000-0005-0000-0000-000089590000}"/>
    <cellStyle name="Normal 24 4 5 5" xfId="15897" xr:uid="{00000000-0005-0000-0000-00008A590000}"/>
    <cellStyle name="Normal 24 4 5 6" xfId="15898" xr:uid="{00000000-0005-0000-0000-00008B590000}"/>
    <cellStyle name="Normal 24 4 6" xfId="15899" xr:uid="{00000000-0005-0000-0000-00008C590000}"/>
    <cellStyle name="Normal 24 4 6 2" xfId="15900" xr:uid="{00000000-0005-0000-0000-00008D590000}"/>
    <cellStyle name="Normal 24 4 6 2 2" xfId="15901" xr:uid="{00000000-0005-0000-0000-00008E590000}"/>
    <cellStyle name="Normal 24 4 6 2 2 2" xfId="15902" xr:uid="{00000000-0005-0000-0000-00008F590000}"/>
    <cellStyle name="Normal 24 4 6 2 3" xfId="15903" xr:uid="{00000000-0005-0000-0000-000090590000}"/>
    <cellStyle name="Normal 24 4 6 2 3 2" xfId="15904" xr:uid="{00000000-0005-0000-0000-000091590000}"/>
    <cellStyle name="Normal 24 4 6 2 4" xfId="15905" xr:uid="{00000000-0005-0000-0000-000092590000}"/>
    <cellStyle name="Normal 24 4 6 3" xfId="15906" xr:uid="{00000000-0005-0000-0000-000093590000}"/>
    <cellStyle name="Normal 24 4 6 3 2" xfId="15907" xr:uid="{00000000-0005-0000-0000-000094590000}"/>
    <cellStyle name="Normal 24 4 6 3 2 2" xfId="15908" xr:uid="{00000000-0005-0000-0000-000095590000}"/>
    <cellStyle name="Normal 24 4 6 3 3" xfId="15909" xr:uid="{00000000-0005-0000-0000-000096590000}"/>
    <cellStyle name="Normal 24 4 6 3 3 2" xfId="15910" xr:uid="{00000000-0005-0000-0000-000097590000}"/>
    <cellStyle name="Normal 24 4 6 3 4" xfId="15911" xr:uid="{00000000-0005-0000-0000-000098590000}"/>
    <cellStyle name="Normal 24 4 6 4" xfId="15912" xr:uid="{00000000-0005-0000-0000-000099590000}"/>
    <cellStyle name="Normal 24 4 6 4 2" xfId="15913" xr:uid="{00000000-0005-0000-0000-00009A590000}"/>
    <cellStyle name="Normal 24 4 6 5" xfId="15914" xr:uid="{00000000-0005-0000-0000-00009B590000}"/>
    <cellStyle name="Normal 24 4 6 5 2" xfId="15915" xr:uid="{00000000-0005-0000-0000-00009C590000}"/>
    <cellStyle name="Normal 24 4 6 6" xfId="15916" xr:uid="{00000000-0005-0000-0000-00009D590000}"/>
    <cellStyle name="Normal 24 4 6 7" xfId="15917" xr:uid="{00000000-0005-0000-0000-00009E590000}"/>
    <cellStyle name="Normal 24 4 7" xfId="15918" xr:uid="{00000000-0005-0000-0000-00009F590000}"/>
    <cellStyle name="Normal 24 4 7 2" xfId="15919" xr:uid="{00000000-0005-0000-0000-0000A0590000}"/>
    <cellStyle name="Normal 24 4 7 2 2" xfId="15920" xr:uid="{00000000-0005-0000-0000-0000A1590000}"/>
    <cellStyle name="Normal 24 4 7 3" xfId="15921" xr:uid="{00000000-0005-0000-0000-0000A2590000}"/>
    <cellStyle name="Normal 24 4 7 3 2" xfId="15922" xr:uid="{00000000-0005-0000-0000-0000A3590000}"/>
    <cellStyle name="Normal 24 4 7 4" xfId="15923" xr:uid="{00000000-0005-0000-0000-0000A4590000}"/>
    <cellStyle name="Normal 24 4 7 5" xfId="15924" xr:uid="{00000000-0005-0000-0000-0000A5590000}"/>
    <cellStyle name="Normal 24 4 8" xfId="15925" xr:uid="{00000000-0005-0000-0000-0000A6590000}"/>
    <cellStyle name="Normal 24 4 8 2" xfId="15926" xr:uid="{00000000-0005-0000-0000-0000A7590000}"/>
    <cellStyle name="Normal 24 4 8 2 2" xfId="15927" xr:uid="{00000000-0005-0000-0000-0000A8590000}"/>
    <cellStyle name="Normal 24 4 8 3" xfId="15928" xr:uid="{00000000-0005-0000-0000-0000A9590000}"/>
    <cellStyle name="Normal 24 4 8 3 2" xfId="15929" xr:uid="{00000000-0005-0000-0000-0000AA590000}"/>
    <cellStyle name="Normal 24 4 8 4" xfId="15930" xr:uid="{00000000-0005-0000-0000-0000AB590000}"/>
    <cellStyle name="Normal 24 4 8 5" xfId="15931" xr:uid="{00000000-0005-0000-0000-0000AC590000}"/>
    <cellStyle name="Normal 24 4 9" xfId="15932" xr:uid="{00000000-0005-0000-0000-0000AD590000}"/>
    <cellStyle name="Normal 24 4 9 2" xfId="15933" xr:uid="{00000000-0005-0000-0000-0000AE590000}"/>
    <cellStyle name="Normal 24 4 9 2 2" xfId="15934" xr:uid="{00000000-0005-0000-0000-0000AF590000}"/>
    <cellStyle name="Normal 24 4 9 3" xfId="15935" xr:uid="{00000000-0005-0000-0000-0000B0590000}"/>
    <cellStyle name="Normal 24 4 9 3 2" xfId="15936" xr:uid="{00000000-0005-0000-0000-0000B1590000}"/>
    <cellStyle name="Normal 24 4 9 4" xfId="15937" xr:uid="{00000000-0005-0000-0000-0000B2590000}"/>
    <cellStyle name="Normal 24 4 9 5" xfId="15938" xr:uid="{00000000-0005-0000-0000-0000B3590000}"/>
    <cellStyle name="Normal 24 5" xfId="15939" xr:uid="{00000000-0005-0000-0000-0000B4590000}"/>
    <cellStyle name="Normal 24 5 10" xfId="15940" xr:uid="{00000000-0005-0000-0000-0000B5590000}"/>
    <cellStyle name="Normal 24 5 10 2" xfId="15941" xr:uid="{00000000-0005-0000-0000-0000B6590000}"/>
    <cellStyle name="Normal 24 5 10 2 2" xfId="15942" xr:uid="{00000000-0005-0000-0000-0000B7590000}"/>
    <cellStyle name="Normal 24 5 10 3" xfId="15943" xr:uid="{00000000-0005-0000-0000-0000B8590000}"/>
    <cellStyle name="Normal 24 5 10 3 2" xfId="15944" xr:uid="{00000000-0005-0000-0000-0000B9590000}"/>
    <cellStyle name="Normal 24 5 10 4" xfId="15945" xr:uid="{00000000-0005-0000-0000-0000BA590000}"/>
    <cellStyle name="Normal 24 5 10 5" xfId="15946" xr:uid="{00000000-0005-0000-0000-0000BB590000}"/>
    <cellStyle name="Normal 24 5 11" xfId="15947" xr:uid="{00000000-0005-0000-0000-0000BC590000}"/>
    <cellStyle name="Normal 24 5 11 2" xfId="15948" xr:uid="{00000000-0005-0000-0000-0000BD590000}"/>
    <cellStyle name="Normal 24 5 11 2 2" xfId="15949" xr:uid="{00000000-0005-0000-0000-0000BE590000}"/>
    <cellStyle name="Normal 24 5 11 3" xfId="15950" xr:uid="{00000000-0005-0000-0000-0000BF590000}"/>
    <cellStyle name="Normal 24 5 11 3 2" xfId="15951" xr:uid="{00000000-0005-0000-0000-0000C0590000}"/>
    <cellStyle name="Normal 24 5 11 4" xfId="15952" xr:uid="{00000000-0005-0000-0000-0000C1590000}"/>
    <cellStyle name="Normal 24 5 11 5" xfId="15953" xr:uid="{00000000-0005-0000-0000-0000C2590000}"/>
    <cellStyle name="Normal 24 5 12" xfId="15954" xr:uid="{00000000-0005-0000-0000-0000C3590000}"/>
    <cellStyle name="Normal 24 5 12 2" xfId="15955" xr:uid="{00000000-0005-0000-0000-0000C4590000}"/>
    <cellStyle name="Normal 24 5 12 2 2" xfId="15956" xr:uid="{00000000-0005-0000-0000-0000C5590000}"/>
    <cellStyle name="Normal 24 5 12 3" xfId="15957" xr:uid="{00000000-0005-0000-0000-0000C6590000}"/>
    <cellStyle name="Normal 24 5 12 4" xfId="15958" xr:uid="{00000000-0005-0000-0000-0000C7590000}"/>
    <cellStyle name="Normal 24 5 13" xfId="15959" xr:uid="{00000000-0005-0000-0000-0000C8590000}"/>
    <cellStyle name="Normal 24 5 13 2" xfId="15960" xr:uid="{00000000-0005-0000-0000-0000C9590000}"/>
    <cellStyle name="Normal 24 5 13 3" xfId="15961" xr:uid="{00000000-0005-0000-0000-0000CA590000}"/>
    <cellStyle name="Normal 24 5 14" xfId="15962" xr:uid="{00000000-0005-0000-0000-0000CB590000}"/>
    <cellStyle name="Normal 24 5 14 2" xfId="15963" xr:uid="{00000000-0005-0000-0000-0000CC590000}"/>
    <cellStyle name="Normal 24 5 14 3" xfId="15964" xr:uid="{00000000-0005-0000-0000-0000CD590000}"/>
    <cellStyle name="Normal 24 5 15" xfId="15965" xr:uid="{00000000-0005-0000-0000-0000CE590000}"/>
    <cellStyle name="Normal 24 5 16" xfId="15966" xr:uid="{00000000-0005-0000-0000-0000CF590000}"/>
    <cellStyle name="Normal 24 5 16 2" xfId="53049" xr:uid="{00000000-0005-0000-0000-0000D0590000}"/>
    <cellStyle name="Normal 24 5 17" xfId="53050" xr:uid="{00000000-0005-0000-0000-0000D1590000}"/>
    <cellStyle name="Normal 24 5 2" xfId="15967" xr:uid="{00000000-0005-0000-0000-0000D2590000}"/>
    <cellStyle name="Normal 24 5 2 10" xfId="15968" xr:uid="{00000000-0005-0000-0000-0000D3590000}"/>
    <cellStyle name="Normal 24 5 2 10 2" xfId="15969" xr:uid="{00000000-0005-0000-0000-0000D4590000}"/>
    <cellStyle name="Normal 24 5 2 10 2 2" xfId="15970" xr:uid="{00000000-0005-0000-0000-0000D5590000}"/>
    <cellStyle name="Normal 24 5 2 10 3" xfId="15971" xr:uid="{00000000-0005-0000-0000-0000D6590000}"/>
    <cellStyle name="Normal 24 5 2 11" xfId="15972" xr:uid="{00000000-0005-0000-0000-0000D7590000}"/>
    <cellStyle name="Normal 24 5 2 11 2" xfId="15973" xr:uid="{00000000-0005-0000-0000-0000D8590000}"/>
    <cellStyle name="Normal 24 5 2 12" xfId="15974" xr:uid="{00000000-0005-0000-0000-0000D9590000}"/>
    <cellStyle name="Normal 24 5 2 12 2" xfId="15975" xr:uid="{00000000-0005-0000-0000-0000DA590000}"/>
    <cellStyle name="Normal 24 5 2 13" xfId="15976" xr:uid="{00000000-0005-0000-0000-0000DB590000}"/>
    <cellStyle name="Normal 24 5 2 14" xfId="15977" xr:uid="{00000000-0005-0000-0000-0000DC590000}"/>
    <cellStyle name="Normal 24 5 2 14 2" xfId="53051" xr:uid="{00000000-0005-0000-0000-0000DD590000}"/>
    <cellStyle name="Normal 24 5 2 15" xfId="53052" xr:uid="{00000000-0005-0000-0000-0000DE590000}"/>
    <cellStyle name="Normal 24 5 2 2" xfId="15978" xr:uid="{00000000-0005-0000-0000-0000DF590000}"/>
    <cellStyle name="Normal 24 5 2 2 2" xfId="15979" xr:uid="{00000000-0005-0000-0000-0000E0590000}"/>
    <cellStyle name="Normal 24 5 2 2 2 2" xfId="15980" xr:uid="{00000000-0005-0000-0000-0000E1590000}"/>
    <cellStyle name="Normal 24 5 2 2 2 2 2" xfId="53053" xr:uid="{00000000-0005-0000-0000-0000E2590000}"/>
    <cellStyle name="Normal 24 5 2 2 2 2 3" xfId="53054" xr:uid="{00000000-0005-0000-0000-0000E3590000}"/>
    <cellStyle name="Normal 24 5 2 2 2 3" xfId="15981" xr:uid="{00000000-0005-0000-0000-0000E4590000}"/>
    <cellStyle name="Normal 24 5 2 2 2 3 2" xfId="53055" xr:uid="{00000000-0005-0000-0000-0000E5590000}"/>
    <cellStyle name="Normal 24 5 2 2 2 4" xfId="15982" xr:uid="{00000000-0005-0000-0000-0000E6590000}"/>
    <cellStyle name="Normal 24 5 2 2 2 5" xfId="15983" xr:uid="{00000000-0005-0000-0000-0000E7590000}"/>
    <cellStyle name="Normal 24 5 2 2 2 6" xfId="15984" xr:uid="{00000000-0005-0000-0000-0000E8590000}"/>
    <cellStyle name="Normal 24 5 2 2 3" xfId="15985" xr:uid="{00000000-0005-0000-0000-0000E9590000}"/>
    <cellStyle name="Normal 24 5 2 2 3 2" xfId="53056" xr:uid="{00000000-0005-0000-0000-0000EA590000}"/>
    <cellStyle name="Normal 24 5 2 2 3 3" xfId="53057" xr:uid="{00000000-0005-0000-0000-0000EB590000}"/>
    <cellStyle name="Normal 24 5 2 2 4" xfId="15986" xr:uid="{00000000-0005-0000-0000-0000EC590000}"/>
    <cellStyle name="Normal 24 5 2 2 4 2" xfId="53058" xr:uid="{00000000-0005-0000-0000-0000ED590000}"/>
    <cellStyle name="Normal 24 5 2 2 5" xfId="15987" xr:uid="{00000000-0005-0000-0000-0000EE590000}"/>
    <cellStyle name="Normal 24 5 2 2 6" xfId="15988" xr:uid="{00000000-0005-0000-0000-0000EF590000}"/>
    <cellStyle name="Normal 24 5 2 2 7" xfId="15989" xr:uid="{00000000-0005-0000-0000-0000F0590000}"/>
    <cellStyle name="Normal 24 5 2 3" xfId="15990" xr:uid="{00000000-0005-0000-0000-0000F1590000}"/>
    <cellStyle name="Normal 24 5 2 3 2" xfId="15991" xr:uid="{00000000-0005-0000-0000-0000F2590000}"/>
    <cellStyle name="Normal 24 5 2 3 2 2" xfId="53059" xr:uid="{00000000-0005-0000-0000-0000F3590000}"/>
    <cellStyle name="Normal 24 5 2 3 2 3" xfId="53060" xr:uid="{00000000-0005-0000-0000-0000F4590000}"/>
    <cellStyle name="Normal 24 5 2 3 3" xfId="15992" xr:uid="{00000000-0005-0000-0000-0000F5590000}"/>
    <cellStyle name="Normal 24 5 2 3 3 2" xfId="53061" xr:uid="{00000000-0005-0000-0000-0000F6590000}"/>
    <cellStyle name="Normal 24 5 2 3 4" xfId="15993" xr:uid="{00000000-0005-0000-0000-0000F7590000}"/>
    <cellStyle name="Normal 24 5 2 3 5" xfId="15994" xr:uid="{00000000-0005-0000-0000-0000F8590000}"/>
    <cellStyle name="Normal 24 5 2 3 6" xfId="15995" xr:uid="{00000000-0005-0000-0000-0000F9590000}"/>
    <cellStyle name="Normal 24 5 2 4" xfId="15996" xr:uid="{00000000-0005-0000-0000-0000FA590000}"/>
    <cellStyle name="Normal 24 5 2 4 2" xfId="15997" xr:uid="{00000000-0005-0000-0000-0000FB590000}"/>
    <cellStyle name="Normal 24 5 2 4 2 2" xfId="15998" xr:uid="{00000000-0005-0000-0000-0000FC590000}"/>
    <cellStyle name="Normal 24 5 2 4 2 2 2" xfId="15999" xr:uid="{00000000-0005-0000-0000-0000FD590000}"/>
    <cellStyle name="Normal 24 5 2 4 2 3" xfId="16000" xr:uid="{00000000-0005-0000-0000-0000FE590000}"/>
    <cellStyle name="Normal 24 5 2 4 2 3 2" xfId="16001" xr:uid="{00000000-0005-0000-0000-0000FF590000}"/>
    <cellStyle name="Normal 24 5 2 4 2 4" xfId="16002" xr:uid="{00000000-0005-0000-0000-0000005A0000}"/>
    <cellStyle name="Normal 24 5 2 4 3" xfId="16003" xr:uid="{00000000-0005-0000-0000-0000015A0000}"/>
    <cellStyle name="Normal 24 5 2 4 3 2" xfId="16004" xr:uid="{00000000-0005-0000-0000-0000025A0000}"/>
    <cellStyle name="Normal 24 5 2 4 3 2 2" xfId="16005" xr:uid="{00000000-0005-0000-0000-0000035A0000}"/>
    <cellStyle name="Normal 24 5 2 4 3 3" xfId="16006" xr:uid="{00000000-0005-0000-0000-0000045A0000}"/>
    <cellStyle name="Normal 24 5 2 4 3 3 2" xfId="16007" xr:uid="{00000000-0005-0000-0000-0000055A0000}"/>
    <cellStyle name="Normal 24 5 2 4 3 4" xfId="16008" xr:uid="{00000000-0005-0000-0000-0000065A0000}"/>
    <cellStyle name="Normal 24 5 2 4 4" xfId="16009" xr:uid="{00000000-0005-0000-0000-0000075A0000}"/>
    <cellStyle name="Normal 24 5 2 4 4 2" xfId="16010" xr:uid="{00000000-0005-0000-0000-0000085A0000}"/>
    <cellStyle name="Normal 24 5 2 4 5" xfId="16011" xr:uid="{00000000-0005-0000-0000-0000095A0000}"/>
    <cellStyle name="Normal 24 5 2 4 5 2" xfId="16012" xr:uid="{00000000-0005-0000-0000-00000A5A0000}"/>
    <cellStyle name="Normal 24 5 2 4 6" xfId="16013" xr:uid="{00000000-0005-0000-0000-00000B5A0000}"/>
    <cellStyle name="Normal 24 5 2 4 7" xfId="16014" xr:uid="{00000000-0005-0000-0000-00000C5A0000}"/>
    <cellStyle name="Normal 24 5 2 5" xfId="16015" xr:uid="{00000000-0005-0000-0000-00000D5A0000}"/>
    <cellStyle name="Normal 24 5 2 5 2" xfId="16016" xr:uid="{00000000-0005-0000-0000-00000E5A0000}"/>
    <cellStyle name="Normal 24 5 2 5 2 2" xfId="16017" xr:uid="{00000000-0005-0000-0000-00000F5A0000}"/>
    <cellStyle name="Normal 24 5 2 5 3" xfId="16018" xr:uid="{00000000-0005-0000-0000-0000105A0000}"/>
    <cellStyle name="Normal 24 5 2 5 3 2" xfId="16019" xr:uid="{00000000-0005-0000-0000-0000115A0000}"/>
    <cellStyle name="Normal 24 5 2 5 4" xfId="16020" xr:uid="{00000000-0005-0000-0000-0000125A0000}"/>
    <cellStyle name="Normal 24 5 2 5 5" xfId="16021" xr:uid="{00000000-0005-0000-0000-0000135A0000}"/>
    <cellStyle name="Normal 24 5 2 6" xfId="16022" xr:uid="{00000000-0005-0000-0000-0000145A0000}"/>
    <cellStyle name="Normal 24 5 2 6 2" xfId="16023" xr:uid="{00000000-0005-0000-0000-0000155A0000}"/>
    <cellStyle name="Normal 24 5 2 6 2 2" xfId="16024" xr:uid="{00000000-0005-0000-0000-0000165A0000}"/>
    <cellStyle name="Normal 24 5 2 6 3" xfId="16025" xr:uid="{00000000-0005-0000-0000-0000175A0000}"/>
    <cellStyle name="Normal 24 5 2 6 3 2" xfId="16026" xr:uid="{00000000-0005-0000-0000-0000185A0000}"/>
    <cellStyle name="Normal 24 5 2 6 4" xfId="16027" xr:uid="{00000000-0005-0000-0000-0000195A0000}"/>
    <cellStyle name="Normal 24 5 2 6 5" xfId="16028" xr:uid="{00000000-0005-0000-0000-00001A5A0000}"/>
    <cellStyle name="Normal 24 5 2 7" xfId="16029" xr:uid="{00000000-0005-0000-0000-00001B5A0000}"/>
    <cellStyle name="Normal 24 5 2 7 2" xfId="16030" xr:uid="{00000000-0005-0000-0000-00001C5A0000}"/>
    <cellStyle name="Normal 24 5 2 7 2 2" xfId="16031" xr:uid="{00000000-0005-0000-0000-00001D5A0000}"/>
    <cellStyle name="Normal 24 5 2 7 3" xfId="16032" xr:uid="{00000000-0005-0000-0000-00001E5A0000}"/>
    <cellStyle name="Normal 24 5 2 7 3 2" xfId="16033" xr:uid="{00000000-0005-0000-0000-00001F5A0000}"/>
    <cellStyle name="Normal 24 5 2 7 4" xfId="16034" xr:uid="{00000000-0005-0000-0000-0000205A0000}"/>
    <cellStyle name="Normal 24 5 2 7 5" xfId="16035" xr:uid="{00000000-0005-0000-0000-0000215A0000}"/>
    <cellStyle name="Normal 24 5 2 8" xfId="16036" xr:uid="{00000000-0005-0000-0000-0000225A0000}"/>
    <cellStyle name="Normal 24 5 2 8 2" xfId="16037" xr:uid="{00000000-0005-0000-0000-0000235A0000}"/>
    <cellStyle name="Normal 24 5 2 8 2 2" xfId="16038" xr:uid="{00000000-0005-0000-0000-0000245A0000}"/>
    <cellStyle name="Normal 24 5 2 8 3" xfId="16039" xr:uid="{00000000-0005-0000-0000-0000255A0000}"/>
    <cellStyle name="Normal 24 5 2 8 3 2" xfId="16040" xr:uid="{00000000-0005-0000-0000-0000265A0000}"/>
    <cellStyle name="Normal 24 5 2 8 4" xfId="16041" xr:uid="{00000000-0005-0000-0000-0000275A0000}"/>
    <cellStyle name="Normal 24 5 2 8 5" xfId="16042" xr:uid="{00000000-0005-0000-0000-0000285A0000}"/>
    <cellStyle name="Normal 24 5 2 9" xfId="16043" xr:uid="{00000000-0005-0000-0000-0000295A0000}"/>
    <cellStyle name="Normal 24 5 2 9 2" xfId="16044" xr:uid="{00000000-0005-0000-0000-00002A5A0000}"/>
    <cellStyle name="Normal 24 5 2 9 2 2" xfId="16045" xr:uid="{00000000-0005-0000-0000-00002B5A0000}"/>
    <cellStyle name="Normal 24 5 2 9 3" xfId="16046" xr:uid="{00000000-0005-0000-0000-00002C5A0000}"/>
    <cellStyle name="Normal 24 5 2 9 3 2" xfId="16047" xr:uid="{00000000-0005-0000-0000-00002D5A0000}"/>
    <cellStyle name="Normal 24 5 2 9 4" xfId="16048" xr:uid="{00000000-0005-0000-0000-00002E5A0000}"/>
    <cellStyle name="Normal 24 5 2 9 5" xfId="16049" xr:uid="{00000000-0005-0000-0000-00002F5A0000}"/>
    <cellStyle name="Normal 24 5 3" xfId="16050" xr:uid="{00000000-0005-0000-0000-0000305A0000}"/>
    <cellStyle name="Normal 24 5 3 2" xfId="16051" xr:uid="{00000000-0005-0000-0000-0000315A0000}"/>
    <cellStyle name="Normal 24 5 3 2 2" xfId="16052" xr:uid="{00000000-0005-0000-0000-0000325A0000}"/>
    <cellStyle name="Normal 24 5 3 2 2 2" xfId="16053" xr:uid="{00000000-0005-0000-0000-0000335A0000}"/>
    <cellStyle name="Normal 24 5 3 2 2 2 2" xfId="53062" xr:uid="{00000000-0005-0000-0000-0000345A0000}"/>
    <cellStyle name="Normal 24 5 3 2 2 2 3" xfId="53063" xr:uid="{00000000-0005-0000-0000-0000355A0000}"/>
    <cellStyle name="Normal 24 5 3 2 2 3" xfId="16054" xr:uid="{00000000-0005-0000-0000-0000365A0000}"/>
    <cellStyle name="Normal 24 5 3 2 2 3 2" xfId="53064" xr:uid="{00000000-0005-0000-0000-0000375A0000}"/>
    <cellStyle name="Normal 24 5 3 2 2 4" xfId="16055" xr:uid="{00000000-0005-0000-0000-0000385A0000}"/>
    <cellStyle name="Normal 24 5 3 2 2 5" xfId="16056" xr:uid="{00000000-0005-0000-0000-0000395A0000}"/>
    <cellStyle name="Normal 24 5 3 2 2 6" xfId="16057" xr:uid="{00000000-0005-0000-0000-00003A5A0000}"/>
    <cellStyle name="Normal 24 5 3 2 3" xfId="16058" xr:uid="{00000000-0005-0000-0000-00003B5A0000}"/>
    <cellStyle name="Normal 24 5 3 2 3 2" xfId="53065" xr:uid="{00000000-0005-0000-0000-00003C5A0000}"/>
    <cellStyle name="Normal 24 5 3 2 3 3" xfId="53066" xr:uid="{00000000-0005-0000-0000-00003D5A0000}"/>
    <cellStyle name="Normal 24 5 3 2 4" xfId="16059" xr:uid="{00000000-0005-0000-0000-00003E5A0000}"/>
    <cellStyle name="Normal 24 5 3 2 4 2" xfId="53067" xr:uid="{00000000-0005-0000-0000-00003F5A0000}"/>
    <cellStyle name="Normal 24 5 3 2 5" xfId="16060" xr:uid="{00000000-0005-0000-0000-0000405A0000}"/>
    <cellStyle name="Normal 24 5 3 2 6" xfId="16061" xr:uid="{00000000-0005-0000-0000-0000415A0000}"/>
    <cellStyle name="Normal 24 5 3 2 7" xfId="16062" xr:uid="{00000000-0005-0000-0000-0000425A0000}"/>
    <cellStyle name="Normal 24 5 3 3" xfId="16063" xr:uid="{00000000-0005-0000-0000-0000435A0000}"/>
    <cellStyle name="Normal 24 5 3 3 2" xfId="16064" xr:uid="{00000000-0005-0000-0000-0000445A0000}"/>
    <cellStyle name="Normal 24 5 3 3 2 2" xfId="53068" xr:uid="{00000000-0005-0000-0000-0000455A0000}"/>
    <cellStyle name="Normal 24 5 3 3 2 3" xfId="53069" xr:uid="{00000000-0005-0000-0000-0000465A0000}"/>
    <cellStyle name="Normal 24 5 3 3 3" xfId="16065" xr:uid="{00000000-0005-0000-0000-0000475A0000}"/>
    <cellStyle name="Normal 24 5 3 3 3 2" xfId="53070" xr:uid="{00000000-0005-0000-0000-0000485A0000}"/>
    <cellStyle name="Normal 24 5 3 3 4" xfId="16066" xr:uid="{00000000-0005-0000-0000-0000495A0000}"/>
    <cellStyle name="Normal 24 5 3 3 5" xfId="16067" xr:uid="{00000000-0005-0000-0000-00004A5A0000}"/>
    <cellStyle name="Normal 24 5 3 3 6" xfId="16068" xr:uid="{00000000-0005-0000-0000-00004B5A0000}"/>
    <cellStyle name="Normal 24 5 3 4" xfId="16069" xr:uid="{00000000-0005-0000-0000-00004C5A0000}"/>
    <cellStyle name="Normal 24 5 3 4 2" xfId="53071" xr:uid="{00000000-0005-0000-0000-00004D5A0000}"/>
    <cellStyle name="Normal 24 5 3 4 3" xfId="53072" xr:uid="{00000000-0005-0000-0000-00004E5A0000}"/>
    <cellStyle name="Normal 24 5 3 5" xfId="16070" xr:uid="{00000000-0005-0000-0000-00004F5A0000}"/>
    <cellStyle name="Normal 24 5 3 5 2" xfId="53073" xr:uid="{00000000-0005-0000-0000-0000505A0000}"/>
    <cellStyle name="Normal 24 5 3 6" xfId="16071" xr:uid="{00000000-0005-0000-0000-0000515A0000}"/>
    <cellStyle name="Normal 24 5 3 7" xfId="16072" xr:uid="{00000000-0005-0000-0000-0000525A0000}"/>
    <cellStyle name="Normal 24 5 3 8" xfId="16073" xr:uid="{00000000-0005-0000-0000-0000535A0000}"/>
    <cellStyle name="Normal 24 5 4" xfId="16074" xr:uid="{00000000-0005-0000-0000-0000545A0000}"/>
    <cellStyle name="Normal 24 5 4 2" xfId="16075" xr:uid="{00000000-0005-0000-0000-0000555A0000}"/>
    <cellStyle name="Normal 24 5 4 2 2" xfId="16076" xr:uid="{00000000-0005-0000-0000-0000565A0000}"/>
    <cellStyle name="Normal 24 5 4 2 2 2" xfId="53074" xr:uid="{00000000-0005-0000-0000-0000575A0000}"/>
    <cellStyle name="Normal 24 5 4 2 2 3" xfId="53075" xr:uid="{00000000-0005-0000-0000-0000585A0000}"/>
    <cellStyle name="Normal 24 5 4 2 3" xfId="16077" xr:uid="{00000000-0005-0000-0000-0000595A0000}"/>
    <cellStyle name="Normal 24 5 4 2 3 2" xfId="53076" xr:uid="{00000000-0005-0000-0000-00005A5A0000}"/>
    <cellStyle name="Normal 24 5 4 2 4" xfId="16078" xr:uid="{00000000-0005-0000-0000-00005B5A0000}"/>
    <cellStyle name="Normal 24 5 4 2 5" xfId="16079" xr:uid="{00000000-0005-0000-0000-00005C5A0000}"/>
    <cellStyle name="Normal 24 5 4 2 6" xfId="16080" xr:uid="{00000000-0005-0000-0000-00005D5A0000}"/>
    <cellStyle name="Normal 24 5 4 3" xfId="16081" xr:uid="{00000000-0005-0000-0000-00005E5A0000}"/>
    <cellStyle name="Normal 24 5 4 3 2" xfId="53077" xr:uid="{00000000-0005-0000-0000-00005F5A0000}"/>
    <cellStyle name="Normal 24 5 4 3 3" xfId="53078" xr:uid="{00000000-0005-0000-0000-0000605A0000}"/>
    <cellStyle name="Normal 24 5 4 4" xfId="16082" xr:uid="{00000000-0005-0000-0000-0000615A0000}"/>
    <cellStyle name="Normal 24 5 4 4 2" xfId="53079" xr:uid="{00000000-0005-0000-0000-0000625A0000}"/>
    <cellStyle name="Normal 24 5 4 5" xfId="16083" xr:uid="{00000000-0005-0000-0000-0000635A0000}"/>
    <cellStyle name="Normal 24 5 4 6" xfId="16084" xr:uid="{00000000-0005-0000-0000-0000645A0000}"/>
    <cellStyle name="Normal 24 5 4 7" xfId="16085" xr:uid="{00000000-0005-0000-0000-0000655A0000}"/>
    <cellStyle name="Normal 24 5 5" xfId="16086" xr:uid="{00000000-0005-0000-0000-0000665A0000}"/>
    <cellStyle name="Normal 24 5 5 2" xfId="16087" xr:uid="{00000000-0005-0000-0000-0000675A0000}"/>
    <cellStyle name="Normal 24 5 5 2 2" xfId="53080" xr:uid="{00000000-0005-0000-0000-0000685A0000}"/>
    <cellStyle name="Normal 24 5 5 2 3" xfId="53081" xr:uid="{00000000-0005-0000-0000-0000695A0000}"/>
    <cellStyle name="Normal 24 5 5 3" xfId="16088" xr:uid="{00000000-0005-0000-0000-00006A5A0000}"/>
    <cellStyle name="Normal 24 5 5 3 2" xfId="53082" xr:uid="{00000000-0005-0000-0000-00006B5A0000}"/>
    <cellStyle name="Normal 24 5 5 4" xfId="16089" xr:uid="{00000000-0005-0000-0000-00006C5A0000}"/>
    <cellStyle name="Normal 24 5 5 5" xfId="16090" xr:uid="{00000000-0005-0000-0000-00006D5A0000}"/>
    <cellStyle name="Normal 24 5 5 6" xfId="16091" xr:uid="{00000000-0005-0000-0000-00006E5A0000}"/>
    <cellStyle name="Normal 24 5 6" xfId="16092" xr:uid="{00000000-0005-0000-0000-00006F5A0000}"/>
    <cellStyle name="Normal 24 5 6 2" xfId="16093" xr:uid="{00000000-0005-0000-0000-0000705A0000}"/>
    <cellStyle name="Normal 24 5 6 2 2" xfId="16094" xr:uid="{00000000-0005-0000-0000-0000715A0000}"/>
    <cellStyle name="Normal 24 5 6 2 2 2" xfId="16095" xr:uid="{00000000-0005-0000-0000-0000725A0000}"/>
    <cellStyle name="Normal 24 5 6 2 3" xfId="16096" xr:uid="{00000000-0005-0000-0000-0000735A0000}"/>
    <cellStyle name="Normal 24 5 6 2 3 2" xfId="16097" xr:uid="{00000000-0005-0000-0000-0000745A0000}"/>
    <cellStyle name="Normal 24 5 6 2 4" xfId="16098" xr:uid="{00000000-0005-0000-0000-0000755A0000}"/>
    <cellStyle name="Normal 24 5 6 3" xfId="16099" xr:uid="{00000000-0005-0000-0000-0000765A0000}"/>
    <cellStyle name="Normal 24 5 6 3 2" xfId="16100" xr:uid="{00000000-0005-0000-0000-0000775A0000}"/>
    <cellStyle name="Normal 24 5 6 3 2 2" xfId="16101" xr:uid="{00000000-0005-0000-0000-0000785A0000}"/>
    <cellStyle name="Normal 24 5 6 3 3" xfId="16102" xr:uid="{00000000-0005-0000-0000-0000795A0000}"/>
    <cellStyle name="Normal 24 5 6 3 3 2" xfId="16103" xr:uid="{00000000-0005-0000-0000-00007A5A0000}"/>
    <cellStyle name="Normal 24 5 6 3 4" xfId="16104" xr:uid="{00000000-0005-0000-0000-00007B5A0000}"/>
    <cellStyle name="Normal 24 5 6 4" xfId="16105" xr:uid="{00000000-0005-0000-0000-00007C5A0000}"/>
    <cellStyle name="Normal 24 5 6 4 2" xfId="16106" xr:uid="{00000000-0005-0000-0000-00007D5A0000}"/>
    <cellStyle name="Normal 24 5 6 5" xfId="16107" xr:uid="{00000000-0005-0000-0000-00007E5A0000}"/>
    <cellStyle name="Normal 24 5 6 5 2" xfId="16108" xr:uid="{00000000-0005-0000-0000-00007F5A0000}"/>
    <cellStyle name="Normal 24 5 6 6" xfId="16109" xr:uid="{00000000-0005-0000-0000-0000805A0000}"/>
    <cellStyle name="Normal 24 5 6 7" xfId="16110" xr:uid="{00000000-0005-0000-0000-0000815A0000}"/>
    <cellStyle name="Normal 24 5 7" xfId="16111" xr:uid="{00000000-0005-0000-0000-0000825A0000}"/>
    <cellStyle name="Normal 24 5 7 2" xfId="16112" xr:uid="{00000000-0005-0000-0000-0000835A0000}"/>
    <cellStyle name="Normal 24 5 7 2 2" xfId="16113" xr:uid="{00000000-0005-0000-0000-0000845A0000}"/>
    <cellStyle name="Normal 24 5 7 3" xfId="16114" xr:uid="{00000000-0005-0000-0000-0000855A0000}"/>
    <cellStyle name="Normal 24 5 7 3 2" xfId="16115" xr:uid="{00000000-0005-0000-0000-0000865A0000}"/>
    <cellStyle name="Normal 24 5 7 4" xfId="16116" xr:uid="{00000000-0005-0000-0000-0000875A0000}"/>
    <cellStyle name="Normal 24 5 7 5" xfId="16117" xr:uid="{00000000-0005-0000-0000-0000885A0000}"/>
    <cellStyle name="Normal 24 5 8" xfId="16118" xr:uid="{00000000-0005-0000-0000-0000895A0000}"/>
    <cellStyle name="Normal 24 5 8 2" xfId="16119" xr:uid="{00000000-0005-0000-0000-00008A5A0000}"/>
    <cellStyle name="Normal 24 5 8 2 2" xfId="16120" xr:uid="{00000000-0005-0000-0000-00008B5A0000}"/>
    <cellStyle name="Normal 24 5 8 3" xfId="16121" xr:uid="{00000000-0005-0000-0000-00008C5A0000}"/>
    <cellStyle name="Normal 24 5 8 3 2" xfId="16122" xr:uid="{00000000-0005-0000-0000-00008D5A0000}"/>
    <cellStyle name="Normal 24 5 8 4" xfId="16123" xr:uid="{00000000-0005-0000-0000-00008E5A0000}"/>
    <cellStyle name="Normal 24 5 8 5" xfId="16124" xr:uid="{00000000-0005-0000-0000-00008F5A0000}"/>
    <cellStyle name="Normal 24 5 9" xfId="16125" xr:uid="{00000000-0005-0000-0000-0000905A0000}"/>
    <cellStyle name="Normal 24 5 9 2" xfId="16126" xr:uid="{00000000-0005-0000-0000-0000915A0000}"/>
    <cellStyle name="Normal 24 5 9 2 2" xfId="16127" xr:uid="{00000000-0005-0000-0000-0000925A0000}"/>
    <cellStyle name="Normal 24 5 9 3" xfId="16128" xr:uid="{00000000-0005-0000-0000-0000935A0000}"/>
    <cellStyle name="Normal 24 5 9 3 2" xfId="16129" xr:uid="{00000000-0005-0000-0000-0000945A0000}"/>
    <cellStyle name="Normal 24 5 9 4" xfId="16130" xr:uid="{00000000-0005-0000-0000-0000955A0000}"/>
    <cellStyle name="Normal 24 5 9 5" xfId="16131" xr:uid="{00000000-0005-0000-0000-0000965A0000}"/>
    <cellStyle name="Normal 24 6" xfId="16132" xr:uid="{00000000-0005-0000-0000-0000975A0000}"/>
    <cellStyle name="Normal 24 6 10" xfId="16133" xr:uid="{00000000-0005-0000-0000-0000985A0000}"/>
    <cellStyle name="Normal 24 6 10 2" xfId="16134" xr:uid="{00000000-0005-0000-0000-0000995A0000}"/>
    <cellStyle name="Normal 24 6 10 2 2" xfId="16135" xr:uid="{00000000-0005-0000-0000-00009A5A0000}"/>
    <cellStyle name="Normal 24 6 10 3" xfId="16136" xr:uid="{00000000-0005-0000-0000-00009B5A0000}"/>
    <cellStyle name="Normal 24 6 10 3 2" xfId="16137" xr:uid="{00000000-0005-0000-0000-00009C5A0000}"/>
    <cellStyle name="Normal 24 6 10 4" xfId="16138" xr:uid="{00000000-0005-0000-0000-00009D5A0000}"/>
    <cellStyle name="Normal 24 6 10 5" xfId="16139" xr:uid="{00000000-0005-0000-0000-00009E5A0000}"/>
    <cellStyle name="Normal 24 6 11" xfId="16140" xr:uid="{00000000-0005-0000-0000-00009F5A0000}"/>
    <cellStyle name="Normal 24 6 11 2" xfId="16141" xr:uid="{00000000-0005-0000-0000-0000A05A0000}"/>
    <cellStyle name="Normal 24 6 11 2 2" xfId="16142" xr:uid="{00000000-0005-0000-0000-0000A15A0000}"/>
    <cellStyle name="Normal 24 6 11 3" xfId="16143" xr:uid="{00000000-0005-0000-0000-0000A25A0000}"/>
    <cellStyle name="Normal 24 6 11 4" xfId="16144" xr:uid="{00000000-0005-0000-0000-0000A35A0000}"/>
    <cellStyle name="Normal 24 6 12" xfId="16145" xr:uid="{00000000-0005-0000-0000-0000A45A0000}"/>
    <cellStyle name="Normal 24 6 12 2" xfId="16146" xr:uid="{00000000-0005-0000-0000-0000A55A0000}"/>
    <cellStyle name="Normal 24 6 12 3" xfId="16147" xr:uid="{00000000-0005-0000-0000-0000A65A0000}"/>
    <cellStyle name="Normal 24 6 13" xfId="16148" xr:uid="{00000000-0005-0000-0000-0000A75A0000}"/>
    <cellStyle name="Normal 24 6 13 2" xfId="16149" xr:uid="{00000000-0005-0000-0000-0000A85A0000}"/>
    <cellStyle name="Normal 24 6 13 3" xfId="16150" xr:uid="{00000000-0005-0000-0000-0000A95A0000}"/>
    <cellStyle name="Normal 24 6 14" xfId="16151" xr:uid="{00000000-0005-0000-0000-0000AA5A0000}"/>
    <cellStyle name="Normal 24 6 15" xfId="16152" xr:uid="{00000000-0005-0000-0000-0000AB5A0000}"/>
    <cellStyle name="Normal 24 6 15 2" xfId="53083" xr:uid="{00000000-0005-0000-0000-0000AC5A0000}"/>
    <cellStyle name="Normal 24 6 16" xfId="53084" xr:uid="{00000000-0005-0000-0000-0000AD5A0000}"/>
    <cellStyle name="Normal 24 6 2" xfId="16153" xr:uid="{00000000-0005-0000-0000-0000AE5A0000}"/>
    <cellStyle name="Normal 24 6 2 2" xfId="16154" xr:uid="{00000000-0005-0000-0000-0000AF5A0000}"/>
    <cellStyle name="Normal 24 6 2 2 2" xfId="16155" xr:uid="{00000000-0005-0000-0000-0000B05A0000}"/>
    <cellStyle name="Normal 24 6 2 2 2 2" xfId="16156" xr:uid="{00000000-0005-0000-0000-0000B15A0000}"/>
    <cellStyle name="Normal 24 6 2 2 2 2 2" xfId="53085" xr:uid="{00000000-0005-0000-0000-0000B25A0000}"/>
    <cellStyle name="Normal 24 6 2 2 2 2 3" xfId="53086" xr:uid="{00000000-0005-0000-0000-0000B35A0000}"/>
    <cellStyle name="Normal 24 6 2 2 2 3" xfId="16157" xr:uid="{00000000-0005-0000-0000-0000B45A0000}"/>
    <cellStyle name="Normal 24 6 2 2 2 3 2" xfId="53087" xr:uid="{00000000-0005-0000-0000-0000B55A0000}"/>
    <cellStyle name="Normal 24 6 2 2 2 4" xfId="16158" xr:uid="{00000000-0005-0000-0000-0000B65A0000}"/>
    <cellStyle name="Normal 24 6 2 2 2 5" xfId="16159" xr:uid="{00000000-0005-0000-0000-0000B75A0000}"/>
    <cellStyle name="Normal 24 6 2 2 2 6" xfId="16160" xr:uid="{00000000-0005-0000-0000-0000B85A0000}"/>
    <cellStyle name="Normal 24 6 2 2 3" xfId="16161" xr:uid="{00000000-0005-0000-0000-0000B95A0000}"/>
    <cellStyle name="Normal 24 6 2 2 3 2" xfId="53088" xr:uid="{00000000-0005-0000-0000-0000BA5A0000}"/>
    <cellStyle name="Normal 24 6 2 2 3 3" xfId="53089" xr:uid="{00000000-0005-0000-0000-0000BB5A0000}"/>
    <cellStyle name="Normal 24 6 2 2 4" xfId="16162" xr:uid="{00000000-0005-0000-0000-0000BC5A0000}"/>
    <cellStyle name="Normal 24 6 2 2 4 2" xfId="53090" xr:uid="{00000000-0005-0000-0000-0000BD5A0000}"/>
    <cellStyle name="Normal 24 6 2 2 5" xfId="16163" xr:uid="{00000000-0005-0000-0000-0000BE5A0000}"/>
    <cellStyle name="Normal 24 6 2 2 6" xfId="16164" xr:uid="{00000000-0005-0000-0000-0000BF5A0000}"/>
    <cellStyle name="Normal 24 6 2 2 7" xfId="16165" xr:uid="{00000000-0005-0000-0000-0000C05A0000}"/>
    <cellStyle name="Normal 24 6 2 3" xfId="16166" xr:uid="{00000000-0005-0000-0000-0000C15A0000}"/>
    <cellStyle name="Normal 24 6 2 3 2" xfId="16167" xr:uid="{00000000-0005-0000-0000-0000C25A0000}"/>
    <cellStyle name="Normal 24 6 2 3 2 2" xfId="53091" xr:uid="{00000000-0005-0000-0000-0000C35A0000}"/>
    <cellStyle name="Normal 24 6 2 3 2 3" xfId="53092" xr:uid="{00000000-0005-0000-0000-0000C45A0000}"/>
    <cellStyle name="Normal 24 6 2 3 3" xfId="16168" xr:uid="{00000000-0005-0000-0000-0000C55A0000}"/>
    <cellStyle name="Normal 24 6 2 3 3 2" xfId="53093" xr:uid="{00000000-0005-0000-0000-0000C65A0000}"/>
    <cellStyle name="Normal 24 6 2 3 4" xfId="16169" xr:uid="{00000000-0005-0000-0000-0000C75A0000}"/>
    <cellStyle name="Normal 24 6 2 3 5" xfId="16170" xr:uid="{00000000-0005-0000-0000-0000C85A0000}"/>
    <cellStyle name="Normal 24 6 2 3 6" xfId="16171" xr:uid="{00000000-0005-0000-0000-0000C95A0000}"/>
    <cellStyle name="Normal 24 6 2 4" xfId="16172" xr:uid="{00000000-0005-0000-0000-0000CA5A0000}"/>
    <cellStyle name="Normal 24 6 2 4 2" xfId="53094" xr:uid="{00000000-0005-0000-0000-0000CB5A0000}"/>
    <cellStyle name="Normal 24 6 2 4 3" xfId="53095" xr:uid="{00000000-0005-0000-0000-0000CC5A0000}"/>
    <cellStyle name="Normal 24 6 2 5" xfId="16173" xr:uid="{00000000-0005-0000-0000-0000CD5A0000}"/>
    <cellStyle name="Normal 24 6 2 5 2" xfId="53096" xr:uid="{00000000-0005-0000-0000-0000CE5A0000}"/>
    <cellStyle name="Normal 24 6 2 6" xfId="16174" xr:uid="{00000000-0005-0000-0000-0000CF5A0000}"/>
    <cellStyle name="Normal 24 6 2 7" xfId="16175" xr:uid="{00000000-0005-0000-0000-0000D05A0000}"/>
    <cellStyle name="Normal 24 6 2 8" xfId="16176" xr:uid="{00000000-0005-0000-0000-0000D15A0000}"/>
    <cellStyle name="Normal 24 6 2 9" xfId="16177" xr:uid="{00000000-0005-0000-0000-0000D25A0000}"/>
    <cellStyle name="Normal 24 6 3" xfId="16178" xr:uid="{00000000-0005-0000-0000-0000D35A0000}"/>
    <cellStyle name="Normal 24 6 3 2" xfId="16179" xr:uid="{00000000-0005-0000-0000-0000D45A0000}"/>
    <cellStyle name="Normal 24 6 3 2 2" xfId="16180" xr:uid="{00000000-0005-0000-0000-0000D55A0000}"/>
    <cellStyle name="Normal 24 6 3 2 2 2" xfId="53097" xr:uid="{00000000-0005-0000-0000-0000D65A0000}"/>
    <cellStyle name="Normal 24 6 3 2 2 3" xfId="53098" xr:uid="{00000000-0005-0000-0000-0000D75A0000}"/>
    <cellStyle name="Normal 24 6 3 2 3" xfId="16181" xr:uid="{00000000-0005-0000-0000-0000D85A0000}"/>
    <cellStyle name="Normal 24 6 3 2 3 2" xfId="53099" xr:uid="{00000000-0005-0000-0000-0000D95A0000}"/>
    <cellStyle name="Normal 24 6 3 2 4" xfId="16182" xr:uid="{00000000-0005-0000-0000-0000DA5A0000}"/>
    <cellStyle name="Normal 24 6 3 2 5" xfId="16183" xr:uid="{00000000-0005-0000-0000-0000DB5A0000}"/>
    <cellStyle name="Normal 24 6 3 2 6" xfId="16184" xr:uid="{00000000-0005-0000-0000-0000DC5A0000}"/>
    <cellStyle name="Normal 24 6 3 3" xfId="16185" xr:uid="{00000000-0005-0000-0000-0000DD5A0000}"/>
    <cellStyle name="Normal 24 6 3 3 2" xfId="53100" xr:uid="{00000000-0005-0000-0000-0000DE5A0000}"/>
    <cellStyle name="Normal 24 6 3 3 3" xfId="53101" xr:uid="{00000000-0005-0000-0000-0000DF5A0000}"/>
    <cellStyle name="Normal 24 6 3 4" xfId="16186" xr:uid="{00000000-0005-0000-0000-0000E05A0000}"/>
    <cellStyle name="Normal 24 6 3 4 2" xfId="53102" xr:uid="{00000000-0005-0000-0000-0000E15A0000}"/>
    <cellStyle name="Normal 24 6 3 5" xfId="16187" xr:uid="{00000000-0005-0000-0000-0000E25A0000}"/>
    <cellStyle name="Normal 24 6 3 6" xfId="16188" xr:uid="{00000000-0005-0000-0000-0000E35A0000}"/>
    <cellStyle name="Normal 24 6 3 7" xfId="16189" xr:uid="{00000000-0005-0000-0000-0000E45A0000}"/>
    <cellStyle name="Normal 24 6 4" xfId="16190" xr:uid="{00000000-0005-0000-0000-0000E55A0000}"/>
    <cellStyle name="Normal 24 6 4 2" xfId="16191" xr:uid="{00000000-0005-0000-0000-0000E65A0000}"/>
    <cellStyle name="Normal 24 6 4 2 2" xfId="53103" xr:uid="{00000000-0005-0000-0000-0000E75A0000}"/>
    <cellStyle name="Normal 24 6 4 2 3" xfId="53104" xr:uid="{00000000-0005-0000-0000-0000E85A0000}"/>
    <cellStyle name="Normal 24 6 4 3" xfId="16192" xr:uid="{00000000-0005-0000-0000-0000E95A0000}"/>
    <cellStyle name="Normal 24 6 4 3 2" xfId="53105" xr:uid="{00000000-0005-0000-0000-0000EA5A0000}"/>
    <cellStyle name="Normal 24 6 4 4" xfId="16193" xr:uid="{00000000-0005-0000-0000-0000EB5A0000}"/>
    <cellStyle name="Normal 24 6 4 5" xfId="16194" xr:uid="{00000000-0005-0000-0000-0000EC5A0000}"/>
    <cellStyle name="Normal 24 6 4 6" xfId="16195" xr:uid="{00000000-0005-0000-0000-0000ED5A0000}"/>
    <cellStyle name="Normal 24 6 5" xfId="16196" xr:uid="{00000000-0005-0000-0000-0000EE5A0000}"/>
    <cellStyle name="Normal 24 6 5 2" xfId="16197" xr:uid="{00000000-0005-0000-0000-0000EF5A0000}"/>
    <cellStyle name="Normal 24 6 5 2 2" xfId="16198" xr:uid="{00000000-0005-0000-0000-0000F05A0000}"/>
    <cellStyle name="Normal 24 6 5 2 2 2" xfId="16199" xr:uid="{00000000-0005-0000-0000-0000F15A0000}"/>
    <cellStyle name="Normal 24 6 5 2 3" xfId="16200" xr:uid="{00000000-0005-0000-0000-0000F25A0000}"/>
    <cellStyle name="Normal 24 6 5 2 3 2" xfId="16201" xr:uid="{00000000-0005-0000-0000-0000F35A0000}"/>
    <cellStyle name="Normal 24 6 5 2 4" xfId="16202" xr:uid="{00000000-0005-0000-0000-0000F45A0000}"/>
    <cellStyle name="Normal 24 6 5 3" xfId="16203" xr:uid="{00000000-0005-0000-0000-0000F55A0000}"/>
    <cellStyle name="Normal 24 6 5 3 2" xfId="16204" xr:uid="{00000000-0005-0000-0000-0000F65A0000}"/>
    <cellStyle name="Normal 24 6 5 3 2 2" xfId="16205" xr:uid="{00000000-0005-0000-0000-0000F75A0000}"/>
    <cellStyle name="Normal 24 6 5 3 3" xfId="16206" xr:uid="{00000000-0005-0000-0000-0000F85A0000}"/>
    <cellStyle name="Normal 24 6 5 3 3 2" xfId="16207" xr:uid="{00000000-0005-0000-0000-0000F95A0000}"/>
    <cellStyle name="Normal 24 6 5 3 4" xfId="16208" xr:uid="{00000000-0005-0000-0000-0000FA5A0000}"/>
    <cellStyle name="Normal 24 6 5 4" xfId="16209" xr:uid="{00000000-0005-0000-0000-0000FB5A0000}"/>
    <cellStyle name="Normal 24 6 5 4 2" xfId="16210" xr:uid="{00000000-0005-0000-0000-0000FC5A0000}"/>
    <cellStyle name="Normal 24 6 5 5" xfId="16211" xr:uid="{00000000-0005-0000-0000-0000FD5A0000}"/>
    <cellStyle name="Normal 24 6 5 5 2" xfId="16212" xr:uid="{00000000-0005-0000-0000-0000FE5A0000}"/>
    <cellStyle name="Normal 24 6 5 6" xfId="16213" xr:uid="{00000000-0005-0000-0000-0000FF5A0000}"/>
    <cellStyle name="Normal 24 6 5 7" xfId="16214" xr:uid="{00000000-0005-0000-0000-0000005B0000}"/>
    <cellStyle name="Normal 24 6 6" xfId="16215" xr:uid="{00000000-0005-0000-0000-0000015B0000}"/>
    <cellStyle name="Normal 24 6 6 2" xfId="16216" xr:uid="{00000000-0005-0000-0000-0000025B0000}"/>
    <cellStyle name="Normal 24 6 6 2 2" xfId="16217" xr:uid="{00000000-0005-0000-0000-0000035B0000}"/>
    <cellStyle name="Normal 24 6 6 3" xfId="16218" xr:uid="{00000000-0005-0000-0000-0000045B0000}"/>
    <cellStyle name="Normal 24 6 6 3 2" xfId="16219" xr:uid="{00000000-0005-0000-0000-0000055B0000}"/>
    <cellStyle name="Normal 24 6 6 4" xfId="16220" xr:uid="{00000000-0005-0000-0000-0000065B0000}"/>
    <cellStyle name="Normal 24 6 6 5" xfId="16221" xr:uid="{00000000-0005-0000-0000-0000075B0000}"/>
    <cellStyle name="Normal 24 6 7" xfId="16222" xr:uid="{00000000-0005-0000-0000-0000085B0000}"/>
    <cellStyle name="Normal 24 6 7 2" xfId="16223" xr:uid="{00000000-0005-0000-0000-0000095B0000}"/>
    <cellStyle name="Normal 24 6 7 2 2" xfId="16224" xr:uid="{00000000-0005-0000-0000-00000A5B0000}"/>
    <cellStyle name="Normal 24 6 7 3" xfId="16225" xr:uid="{00000000-0005-0000-0000-00000B5B0000}"/>
    <cellStyle name="Normal 24 6 7 3 2" xfId="16226" xr:uid="{00000000-0005-0000-0000-00000C5B0000}"/>
    <cellStyle name="Normal 24 6 7 4" xfId="16227" xr:uid="{00000000-0005-0000-0000-00000D5B0000}"/>
    <cellStyle name="Normal 24 6 7 5" xfId="16228" xr:uid="{00000000-0005-0000-0000-00000E5B0000}"/>
    <cellStyle name="Normal 24 6 8" xfId="16229" xr:uid="{00000000-0005-0000-0000-00000F5B0000}"/>
    <cellStyle name="Normal 24 6 8 2" xfId="16230" xr:uid="{00000000-0005-0000-0000-0000105B0000}"/>
    <cellStyle name="Normal 24 6 8 2 2" xfId="16231" xr:uid="{00000000-0005-0000-0000-0000115B0000}"/>
    <cellStyle name="Normal 24 6 8 3" xfId="16232" xr:uid="{00000000-0005-0000-0000-0000125B0000}"/>
    <cellStyle name="Normal 24 6 8 3 2" xfId="16233" xr:uid="{00000000-0005-0000-0000-0000135B0000}"/>
    <cellStyle name="Normal 24 6 8 4" xfId="16234" xr:uid="{00000000-0005-0000-0000-0000145B0000}"/>
    <cellStyle name="Normal 24 6 8 5" xfId="16235" xr:uid="{00000000-0005-0000-0000-0000155B0000}"/>
    <cellStyle name="Normal 24 6 9" xfId="16236" xr:uid="{00000000-0005-0000-0000-0000165B0000}"/>
    <cellStyle name="Normal 24 6 9 2" xfId="16237" xr:uid="{00000000-0005-0000-0000-0000175B0000}"/>
    <cellStyle name="Normal 24 6 9 2 2" xfId="16238" xr:uid="{00000000-0005-0000-0000-0000185B0000}"/>
    <cellStyle name="Normal 24 6 9 3" xfId="16239" xr:uid="{00000000-0005-0000-0000-0000195B0000}"/>
    <cellStyle name="Normal 24 6 9 3 2" xfId="16240" xr:uid="{00000000-0005-0000-0000-00001A5B0000}"/>
    <cellStyle name="Normal 24 6 9 4" xfId="16241" xr:uid="{00000000-0005-0000-0000-00001B5B0000}"/>
    <cellStyle name="Normal 24 6 9 5" xfId="16242" xr:uid="{00000000-0005-0000-0000-00001C5B0000}"/>
    <cellStyle name="Normal 24 7" xfId="16243" xr:uid="{00000000-0005-0000-0000-00001D5B0000}"/>
    <cellStyle name="Normal 24 7 10" xfId="16244" xr:uid="{00000000-0005-0000-0000-00001E5B0000}"/>
    <cellStyle name="Normal 24 7 2" xfId="16245" xr:uid="{00000000-0005-0000-0000-00001F5B0000}"/>
    <cellStyle name="Normal 24 7 2 2" xfId="16246" xr:uid="{00000000-0005-0000-0000-0000205B0000}"/>
    <cellStyle name="Normal 24 7 2 2 2" xfId="16247" xr:uid="{00000000-0005-0000-0000-0000215B0000}"/>
    <cellStyle name="Normal 24 7 2 2 2 2" xfId="53106" xr:uid="{00000000-0005-0000-0000-0000225B0000}"/>
    <cellStyle name="Normal 24 7 2 2 2 3" xfId="53107" xr:uid="{00000000-0005-0000-0000-0000235B0000}"/>
    <cellStyle name="Normal 24 7 2 2 3" xfId="16248" xr:uid="{00000000-0005-0000-0000-0000245B0000}"/>
    <cellStyle name="Normal 24 7 2 2 3 2" xfId="53108" xr:uid="{00000000-0005-0000-0000-0000255B0000}"/>
    <cellStyle name="Normal 24 7 2 2 4" xfId="16249" xr:uid="{00000000-0005-0000-0000-0000265B0000}"/>
    <cellStyle name="Normal 24 7 2 2 5" xfId="16250" xr:uid="{00000000-0005-0000-0000-0000275B0000}"/>
    <cellStyle name="Normal 24 7 2 2 6" xfId="16251" xr:uid="{00000000-0005-0000-0000-0000285B0000}"/>
    <cellStyle name="Normal 24 7 2 3" xfId="16252" xr:uid="{00000000-0005-0000-0000-0000295B0000}"/>
    <cellStyle name="Normal 24 7 2 3 2" xfId="53109" xr:uid="{00000000-0005-0000-0000-00002A5B0000}"/>
    <cellStyle name="Normal 24 7 2 3 3" xfId="53110" xr:uid="{00000000-0005-0000-0000-00002B5B0000}"/>
    <cellStyle name="Normal 24 7 2 4" xfId="16253" xr:uid="{00000000-0005-0000-0000-00002C5B0000}"/>
    <cellStyle name="Normal 24 7 2 4 2" xfId="53111" xr:uid="{00000000-0005-0000-0000-00002D5B0000}"/>
    <cellStyle name="Normal 24 7 2 5" xfId="16254" xr:uid="{00000000-0005-0000-0000-00002E5B0000}"/>
    <cellStyle name="Normal 24 7 2 6" xfId="16255" xr:uid="{00000000-0005-0000-0000-00002F5B0000}"/>
    <cellStyle name="Normal 24 7 2 7" xfId="16256" xr:uid="{00000000-0005-0000-0000-0000305B0000}"/>
    <cellStyle name="Normal 24 7 3" xfId="16257" xr:uid="{00000000-0005-0000-0000-0000315B0000}"/>
    <cellStyle name="Normal 24 7 3 2" xfId="16258" xr:uid="{00000000-0005-0000-0000-0000325B0000}"/>
    <cellStyle name="Normal 24 7 3 2 2" xfId="53112" xr:uid="{00000000-0005-0000-0000-0000335B0000}"/>
    <cellStyle name="Normal 24 7 3 2 3" xfId="53113" xr:uid="{00000000-0005-0000-0000-0000345B0000}"/>
    <cellStyle name="Normal 24 7 3 3" xfId="16259" xr:uid="{00000000-0005-0000-0000-0000355B0000}"/>
    <cellStyle name="Normal 24 7 3 3 2" xfId="53114" xr:uid="{00000000-0005-0000-0000-0000365B0000}"/>
    <cellStyle name="Normal 24 7 3 4" xfId="16260" xr:uid="{00000000-0005-0000-0000-0000375B0000}"/>
    <cellStyle name="Normal 24 7 3 5" xfId="16261" xr:uid="{00000000-0005-0000-0000-0000385B0000}"/>
    <cellStyle name="Normal 24 7 3 6" xfId="16262" xr:uid="{00000000-0005-0000-0000-0000395B0000}"/>
    <cellStyle name="Normal 24 7 4" xfId="16263" xr:uid="{00000000-0005-0000-0000-00003A5B0000}"/>
    <cellStyle name="Normal 24 7 4 2" xfId="53115" xr:uid="{00000000-0005-0000-0000-00003B5B0000}"/>
    <cellStyle name="Normal 24 7 5" xfId="16264" xr:uid="{00000000-0005-0000-0000-00003C5B0000}"/>
    <cellStyle name="Normal 24 7 6" xfId="16265" xr:uid="{00000000-0005-0000-0000-00003D5B0000}"/>
    <cellStyle name="Normal 24 7 7" xfId="16266" xr:uid="{00000000-0005-0000-0000-00003E5B0000}"/>
    <cellStyle name="Normal 24 7 8" xfId="16267" xr:uid="{00000000-0005-0000-0000-00003F5B0000}"/>
    <cellStyle name="Normal 24 7 9" xfId="16268" xr:uid="{00000000-0005-0000-0000-0000405B0000}"/>
    <cellStyle name="Normal 24 8" xfId="16269" xr:uid="{00000000-0005-0000-0000-0000415B0000}"/>
    <cellStyle name="Normal 24 8 2" xfId="16270" xr:uid="{00000000-0005-0000-0000-0000425B0000}"/>
    <cellStyle name="Normal 24 8 2 2" xfId="16271" xr:uid="{00000000-0005-0000-0000-0000435B0000}"/>
    <cellStyle name="Normal 24 8 2 2 2" xfId="16272" xr:uid="{00000000-0005-0000-0000-0000445B0000}"/>
    <cellStyle name="Normal 24 8 2 2 2 2" xfId="53116" xr:uid="{00000000-0005-0000-0000-0000455B0000}"/>
    <cellStyle name="Normal 24 8 2 2 2 3" xfId="53117" xr:uid="{00000000-0005-0000-0000-0000465B0000}"/>
    <cellStyle name="Normal 24 8 2 2 3" xfId="16273" xr:uid="{00000000-0005-0000-0000-0000475B0000}"/>
    <cellStyle name="Normal 24 8 2 2 3 2" xfId="53118" xr:uid="{00000000-0005-0000-0000-0000485B0000}"/>
    <cellStyle name="Normal 24 8 2 2 4" xfId="16274" xr:uid="{00000000-0005-0000-0000-0000495B0000}"/>
    <cellStyle name="Normal 24 8 2 2 5" xfId="16275" xr:uid="{00000000-0005-0000-0000-00004A5B0000}"/>
    <cellStyle name="Normal 24 8 2 2 6" xfId="16276" xr:uid="{00000000-0005-0000-0000-00004B5B0000}"/>
    <cellStyle name="Normal 24 8 2 3" xfId="16277" xr:uid="{00000000-0005-0000-0000-00004C5B0000}"/>
    <cellStyle name="Normal 24 8 2 3 2" xfId="53119" xr:uid="{00000000-0005-0000-0000-00004D5B0000}"/>
    <cellStyle name="Normal 24 8 2 3 3" xfId="53120" xr:uid="{00000000-0005-0000-0000-00004E5B0000}"/>
    <cellStyle name="Normal 24 8 2 4" xfId="16278" xr:uid="{00000000-0005-0000-0000-00004F5B0000}"/>
    <cellStyle name="Normal 24 8 2 4 2" xfId="53121" xr:uid="{00000000-0005-0000-0000-0000505B0000}"/>
    <cellStyle name="Normal 24 8 2 5" xfId="16279" xr:uid="{00000000-0005-0000-0000-0000515B0000}"/>
    <cellStyle name="Normal 24 8 2 6" xfId="16280" xr:uid="{00000000-0005-0000-0000-0000525B0000}"/>
    <cellStyle name="Normal 24 8 2 7" xfId="16281" xr:uid="{00000000-0005-0000-0000-0000535B0000}"/>
    <cellStyle name="Normal 24 8 3" xfId="16282" xr:uid="{00000000-0005-0000-0000-0000545B0000}"/>
    <cellStyle name="Normal 24 8 3 2" xfId="16283" xr:uid="{00000000-0005-0000-0000-0000555B0000}"/>
    <cellStyle name="Normal 24 8 3 2 2" xfId="53122" xr:uid="{00000000-0005-0000-0000-0000565B0000}"/>
    <cellStyle name="Normal 24 8 3 2 3" xfId="53123" xr:uid="{00000000-0005-0000-0000-0000575B0000}"/>
    <cellStyle name="Normal 24 8 3 3" xfId="16284" xr:uid="{00000000-0005-0000-0000-0000585B0000}"/>
    <cellStyle name="Normal 24 8 3 3 2" xfId="53124" xr:uid="{00000000-0005-0000-0000-0000595B0000}"/>
    <cellStyle name="Normal 24 8 3 4" xfId="16285" xr:uid="{00000000-0005-0000-0000-00005A5B0000}"/>
    <cellStyle name="Normal 24 8 3 5" xfId="16286" xr:uid="{00000000-0005-0000-0000-00005B5B0000}"/>
    <cellStyle name="Normal 24 8 3 6" xfId="16287" xr:uid="{00000000-0005-0000-0000-00005C5B0000}"/>
    <cellStyle name="Normal 24 8 4" xfId="16288" xr:uid="{00000000-0005-0000-0000-00005D5B0000}"/>
    <cellStyle name="Normal 24 8 4 2" xfId="53125" xr:uid="{00000000-0005-0000-0000-00005E5B0000}"/>
    <cellStyle name="Normal 24 8 4 3" xfId="53126" xr:uid="{00000000-0005-0000-0000-00005F5B0000}"/>
    <cellStyle name="Normal 24 8 5" xfId="16289" xr:uid="{00000000-0005-0000-0000-0000605B0000}"/>
    <cellStyle name="Normal 24 8 5 2" xfId="53127" xr:uid="{00000000-0005-0000-0000-0000615B0000}"/>
    <cellStyle name="Normal 24 8 6" xfId="16290" xr:uid="{00000000-0005-0000-0000-0000625B0000}"/>
    <cellStyle name="Normal 24 8 7" xfId="16291" xr:uid="{00000000-0005-0000-0000-0000635B0000}"/>
    <cellStyle name="Normal 24 8 8" xfId="16292" xr:uid="{00000000-0005-0000-0000-0000645B0000}"/>
    <cellStyle name="Normal 24 9" xfId="16293" xr:uid="{00000000-0005-0000-0000-0000655B0000}"/>
    <cellStyle name="Normal 24 9 2" xfId="16294" xr:uid="{00000000-0005-0000-0000-0000665B0000}"/>
    <cellStyle name="Normal 24 9 2 2" xfId="16295" xr:uid="{00000000-0005-0000-0000-0000675B0000}"/>
    <cellStyle name="Normal 24 9 2 2 2" xfId="16296" xr:uid="{00000000-0005-0000-0000-0000685B0000}"/>
    <cellStyle name="Normal 24 9 2 2 2 2" xfId="53128" xr:uid="{00000000-0005-0000-0000-0000695B0000}"/>
    <cellStyle name="Normal 24 9 2 2 2 3" xfId="53129" xr:uid="{00000000-0005-0000-0000-00006A5B0000}"/>
    <cellStyle name="Normal 24 9 2 2 3" xfId="16297" xr:uid="{00000000-0005-0000-0000-00006B5B0000}"/>
    <cellStyle name="Normal 24 9 2 2 3 2" xfId="53130" xr:uid="{00000000-0005-0000-0000-00006C5B0000}"/>
    <cellStyle name="Normal 24 9 2 2 4" xfId="16298" xr:uid="{00000000-0005-0000-0000-00006D5B0000}"/>
    <cellStyle name="Normal 24 9 2 2 5" xfId="16299" xr:uid="{00000000-0005-0000-0000-00006E5B0000}"/>
    <cellStyle name="Normal 24 9 2 2 6" xfId="16300" xr:uid="{00000000-0005-0000-0000-00006F5B0000}"/>
    <cellStyle name="Normal 24 9 2 3" xfId="16301" xr:uid="{00000000-0005-0000-0000-0000705B0000}"/>
    <cellStyle name="Normal 24 9 2 3 2" xfId="53131" xr:uid="{00000000-0005-0000-0000-0000715B0000}"/>
    <cellStyle name="Normal 24 9 2 3 3" xfId="53132" xr:uid="{00000000-0005-0000-0000-0000725B0000}"/>
    <cellStyle name="Normal 24 9 2 4" xfId="16302" xr:uid="{00000000-0005-0000-0000-0000735B0000}"/>
    <cellStyle name="Normal 24 9 2 4 2" xfId="53133" xr:uid="{00000000-0005-0000-0000-0000745B0000}"/>
    <cellStyle name="Normal 24 9 2 5" xfId="16303" xr:uid="{00000000-0005-0000-0000-0000755B0000}"/>
    <cellStyle name="Normal 24 9 2 6" xfId="16304" xr:uid="{00000000-0005-0000-0000-0000765B0000}"/>
    <cellStyle name="Normal 24 9 2 7" xfId="16305" xr:uid="{00000000-0005-0000-0000-0000775B0000}"/>
    <cellStyle name="Normal 24 9 3" xfId="16306" xr:uid="{00000000-0005-0000-0000-0000785B0000}"/>
    <cellStyle name="Normal 24 9 3 2" xfId="16307" xr:uid="{00000000-0005-0000-0000-0000795B0000}"/>
    <cellStyle name="Normal 24 9 3 2 2" xfId="53134" xr:uid="{00000000-0005-0000-0000-00007A5B0000}"/>
    <cellStyle name="Normal 24 9 3 2 3" xfId="53135" xr:uid="{00000000-0005-0000-0000-00007B5B0000}"/>
    <cellStyle name="Normal 24 9 3 3" xfId="16308" xr:uid="{00000000-0005-0000-0000-00007C5B0000}"/>
    <cellStyle name="Normal 24 9 3 3 2" xfId="53136" xr:uid="{00000000-0005-0000-0000-00007D5B0000}"/>
    <cellStyle name="Normal 24 9 3 4" xfId="16309" xr:uid="{00000000-0005-0000-0000-00007E5B0000}"/>
    <cellStyle name="Normal 24 9 3 5" xfId="16310" xr:uid="{00000000-0005-0000-0000-00007F5B0000}"/>
    <cellStyle name="Normal 24 9 3 6" xfId="16311" xr:uid="{00000000-0005-0000-0000-0000805B0000}"/>
    <cellStyle name="Normal 24 9 4" xfId="16312" xr:uid="{00000000-0005-0000-0000-0000815B0000}"/>
    <cellStyle name="Normal 24 9 4 2" xfId="53137" xr:uid="{00000000-0005-0000-0000-0000825B0000}"/>
    <cellStyle name="Normal 24 9 4 3" xfId="53138" xr:uid="{00000000-0005-0000-0000-0000835B0000}"/>
    <cellStyle name="Normal 24 9 5" xfId="16313" xr:uid="{00000000-0005-0000-0000-0000845B0000}"/>
    <cellStyle name="Normal 24 9 5 2" xfId="53139" xr:uid="{00000000-0005-0000-0000-0000855B0000}"/>
    <cellStyle name="Normal 24 9 6" xfId="16314" xr:uid="{00000000-0005-0000-0000-0000865B0000}"/>
    <cellStyle name="Normal 24 9 7" xfId="16315" xr:uid="{00000000-0005-0000-0000-0000875B0000}"/>
    <cellStyle name="Normal 24 9 8" xfId="16316" xr:uid="{00000000-0005-0000-0000-0000885B0000}"/>
    <cellStyle name="Normal 25" xfId="16317" xr:uid="{00000000-0005-0000-0000-0000895B0000}"/>
    <cellStyle name="Normal 25 10" xfId="16318" xr:uid="{00000000-0005-0000-0000-00008A5B0000}"/>
    <cellStyle name="Normal 25 10 2" xfId="16319" xr:uid="{00000000-0005-0000-0000-00008B5B0000}"/>
    <cellStyle name="Normal 25 10 2 2" xfId="16320" xr:uid="{00000000-0005-0000-0000-00008C5B0000}"/>
    <cellStyle name="Normal 25 10 2 2 2" xfId="53140" xr:uid="{00000000-0005-0000-0000-00008D5B0000}"/>
    <cellStyle name="Normal 25 10 2 2 3" xfId="53141" xr:uid="{00000000-0005-0000-0000-00008E5B0000}"/>
    <cellStyle name="Normal 25 10 2 3" xfId="16321" xr:uid="{00000000-0005-0000-0000-00008F5B0000}"/>
    <cellStyle name="Normal 25 10 2 3 2" xfId="53142" xr:uid="{00000000-0005-0000-0000-0000905B0000}"/>
    <cellStyle name="Normal 25 10 2 4" xfId="16322" xr:uid="{00000000-0005-0000-0000-0000915B0000}"/>
    <cellStyle name="Normal 25 10 2 5" xfId="16323" xr:uid="{00000000-0005-0000-0000-0000925B0000}"/>
    <cellStyle name="Normal 25 10 2 6" xfId="16324" xr:uid="{00000000-0005-0000-0000-0000935B0000}"/>
    <cellStyle name="Normal 25 10 3" xfId="16325" xr:uid="{00000000-0005-0000-0000-0000945B0000}"/>
    <cellStyle name="Normal 25 10 3 2" xfId="53143" xr:uid="{00000000-0005-0000-0000-0000955B0000}"/>
    <cellStyle name="Normal 25 10 3 3" xfId="53144" xr:uid="{00000000-0005-0000-0000-0000965B0000}"/>
    <cellStyle name="Normal 25 10 4" xfId="16326" xr:uid="{00000000-0005-0000-0000-0000975B0000}"/>
    <cellStyle name="Normal 25 10 4 2" xfId="53145" xr:uid="{00000000-0005-0000-0000-0000985B0000}"/>
    <cellStyle name="Normal 25 10 5" xfId="16327" xr:uid="{00000000-0005-0000-0000-0000995B0000}"/>
    <cellStyle name="Normal 25 10 6" xfId="16328" xr:uid="{00000000-0005-0000-0000-00009A5B0000}"/>
    <cellStyle name="Normal 25 10 7" xfId="16329" xr:uid="{00000000-0005-0000-0000-00009B5B0000}"/>
    <cellStyle name="Normal 25 11" xfId="16330" xr:uid="{00000000-0005-0000-0000-00009C5B0000}"/>
    <cellStyle name="Normal 25 11 2" xfId="16331" xr:uid="{00000000-0005-0000-0000-00009D5B0000}"/>
    <cellStyle name="Normal 25 11 2 2" xfId="53146" xr:uid="{00000000-0005-0000-0000-00009E5B0000}"/>
    <cellStyle name="Normal 25 11 2 3" xfId="53147" xr:uid="{00000000-0005-0000-0000-00009F5B0000}"/>
    <cellStyle name="Normal 25 11 3" xfId="16332" xr:uid="{00000000-0005-0000-0000-0000A05B0000}"/>
    <cellStyle name="Normal 25 11 3 2" xfId="53148" xr:uid="{00000000-0005-0000-0000-0000A15B0000}"/>
    <cellStyle name="Normal 25 11 4" xfId="16333" xr:uid="{00000000-0005-0000-0000-0000A25B0000}"/>
    <cellStyle name="Normal 25 11 5" xfId="16334" xr:uid="{00000000-0005-0000-0000-0000A35B0000}"/>
    <cellStyle name="Normal 25 11 6" xfId="16335" xr:uid="{00000000-0005-0000-0000-0000A45B0000}"/>
    <cellStyle name="Normal 25 12" xfId="16336" xr:uid="{00000000-0005-0000-0000-0000A55B0000}"/>
    <cellStyle name="Normal 25 12 2" xfId="53149" xr:uid="{00000000-0005-0000-0000-0000A65B0000}"/>
    <cellStyle name="Normal 25 12 3" xfId="53150" xr:uid="{00000000-0005-0000-0000-0000A75B0000}"/>
    <cellStyle name="Normal 25 13" xfId="16337" xr:uid="{00000000-0005-0000-0000-0000A85B0000}"/>
    <cellStyle name="Normal 25 13 2" xfId="53151" xr:uid="{00000000-0005-0000-0000-0000A95B0000}"/>
    <cellStyle name="Normal 25 14" xfId="16338" xr:uid="{00000000-0005-0000-0000-0000AA5B0000}"/>
    <cellStyle name="Normal 25 14 2" xfId="53152" xr:uid="{00000000-0005-0000-0000-0000AB5B0000}"/>
    <cellStyle name="Normal 25 15" xfId="16339" xr:uid="{00000000-0005-0000-0000-0000AC5B0000}"/>
    <cellStyle name="Normal 25 16" xfId="16340" xr:uid="{00000000-0005-0000-0000-0000AD5B0000}"/>
    <cellStyle name="Normal 25 17" xfId="16341" xr:uid="{00000000-0005-0000-0000-0000AE5B0000}"/>
    <cellStyle name="Normal 25 18" xfId="16342" xr:uid="{00000000-0005-0000-0000-0000AF5B0000}"/>
    <cellStyle name="Normal 25 19" xfId="16343" xr:uid="{00000000-0005-0000-0000-0000B05B0000}"/>
    <cellStyle name="Normal 25 2" xfId="16344" xr:uid="{00000000-0005-0000-0000-0000B15B0000}"/>
    <cellStyle name="Normal 25 2 10" xfId="16345" xr:uid="{00000000-0005-0000-0000-0000B25B0000}"/>
    <cellStyle name="Normal 25 2 11" xfId="16346" xr:uid="{00000000-0005-0000-0000-0000B35B0000}"/>
    <cellStyle name="Normal 25 2 12" xfId="16347" xr:uid="{00000000-0005-0000-0000-0000B45B0000}"/>
    <cellStyle name="Normal 25 2 13" xfId="16348" xr:uid="{00000000-0005-0000-0000-0000B55B0000}"/>
    <cellStyle name="Normal 25 2 14" xfId="16349" xr:uid="{00000000-0005-0000-0000-0000B65B0000}"/>
    <cellStyle name="Normal 25 2 15" xfId="16350" xr:uid="{00000000-0005-0000-0000-0000B75B0000}"/>
    <cellStyle name="Normal 25 2 16" xfId="16351" xr:uid="{00000000-0005-0000-0000-0000B85B0000}"/>
    <cellStyle name="Normal 25 2 2" xfId="16352" xr:uid="{00000000-0005-0000-0000-0000B95B0000}"/>
    <cellStyle name="Normal 25 2 2 10" xfId="16353" xr:uid="{00000000-0005-0000-0000-0000BA5B0000}"/>
    <cellStyle name="Normal 25 2 2 11" xfId="16354" xr:uid="{00000000-0005-0000-0000-0000BB5B0000}"/>
    <cellStyle name="Normal 25 2 2 12" xfId="16355" xr:uid="{00000000-0005-0000-0000-0000BC5B0000}"/>
    <cellStyle name="Normal 25 2 2 13" xfId="16356" xr:uid="{00000000-0005-0000-0000-0000BD5B0000}"/>
    <cellStyle name="Normal 25 2 2 14" xfId="16357" xr:uid="{00000000-0005-0000-0000-0000BE5B0000}"/>
    <cellStyle name="Normal 25 2 2 15" xfId="16358" xr:uid="{00000000-0005-0000-0000-0000BF5B0000}"/>
    <cellStyle name="Normal 25 2 2 2" xfId="16359" xr:uid="{00000000-0005-0000-0000-0000C05B0000}"/>
    <cellStyle name="Normal 25 2 2 2 2" xfId="16360" xr:uid="{00000000-0005-0000-0000-0000C15B0000}"/>
    <cellStyle name="Normal 25 2 2 2 2 2" xfId="16361" xr:uid="{00000000-0005-0000-0000-0000C25B0000}"/>
    <cellStyle name="Normal 25 2 2 2 2 2 2" xfId="16362" xr:uid="{00000000-0005-0000-0000-0000C35B0000}"/>
    <cellStyle name="Normal 25 2 2 2 2 2 2 2" xfId="53153" xr:uid="{00000000-0005-0000-0000-0000C45B0000}"/>
    <cellStyle name="Normal 25 2 2 2 2 2 2 3" xfId="53154" xr:uid="{00000000-0005-0000-0000-0000C55B0000}"/>
    <cellStyle name="Normal 25 2 2 2 2 2 3" xfId="16363" xr:uid="{00000000-0005-0000-0000-0000C65B0000}"/>
    <cellStyle name="Normal 25 2 2 2 2 2 3 2" xfId="53155" xr:uid="{00000000-0005-0000-0000-0000C75B0000}"/>
    <cellStyle name="Normal 25 2 2 2 2 2 4" xfId="16364" xr:uid="{00000000-0005-0000-0000-0000C85B0000}"/>
    <cellStyle name="Normal 25 2 2 2 2 2 5" xfId="16365" xr:uid="{00000000-0005-0000-0000-0000C95B0000}"/>
    <cellStyle name="Normal 25 2 2 2 2 2 6" xfId="16366" xr:uid="{00000000-0005-0000-0000-0000CA5B0000}"/>
    <cellStyle name="Normal 25 2 2 2 2 3" xfId="16367" xr:uid="{00000000-0005-0000-0000-0000CB5B0000}"/>
    <cellStyle name="Normal 25 2 2 2 2 3 2" xfId="53156" xr:uid="{00000000-0005-0000-0000-0000CC5B0000}"/>
    <cellStyle name="Normal 25 2 2 2 2 3 3" xfId="53157" xr:uid="{00000000-0005-0000-0000-0000CD5B0000}"/>
    <cellStyle name="Normal 25 2 2 2 2 4" xfId="16368" xr:uid="{00000000-0005-0000-0000-0000CE5B0000}"/>
    <cellStyle name="Normal 25 2 2 2 2 4 2" xfId="53158" xr:uid="{00000000-0005-0000-0000-0000CF5B0000}"/>
    <cellStyle name="Normal 25 2 2 2 2 5" xfId="16369" xr:uid="{00000000-0005-0000-0000-0000D05B0000}"/>
    <cellStyle name="Normal 25 2 2 2 2 6" xfId="16370" xr:uid="{00000000-0005-0000-0000-0000D15B0000}"/>
    <cellStyle name="Normal 25 2 2 2 2 7" xfId="16371" xr:uid="{00000000-0005-0000-0000-0000D25B0000}"/>
    <cellStyle name="Normal 25 2 2 2 3" xfId="16372" xr:uid="{00000000-0005-0000-0000-0000D35B0000}"/>
    <cellStyle name="Normal 25 2 2 2 3 2" xfId="16373" xr:uid="{00000000-0005-0000-0000-0000D45B0000}"/>
    <cellStyle name="Normal 25 2 2 2 3 2 2" xfId="53159" xr:uid="{00000000-0005-0000-0000-0000D55B0000}"/>
    <cellStyle name="Normal 25 2 2 2 3 2 3" xfId="53160" xr:uid="{00000000-0005-0000-0000-0000D65B0000}"/>
    <cellStyle name="Normal 25 2 2 2 3 3" xfId="16374" xr:uid="{00000000-0005-0000-0000-0000D75B0000}"/>
    <cellStyle name="Normal 25 2 2 2 3 3 2" xfId="53161" xr:uid="{00000000-0005-0000-0000-0000D85B0000}"/>
    <cellStyle name="Normal 25 2 2 2 3 4" xfId="16375" xr:uid="{00000000-0005-0000-0000-0000D95B0000}"/>
    <cellStyle name="Normal 25 2 2 2 3 5" xfId="16376" xr:uid="{00000000-0005-0000-0000-0000DA5B0000}"/>
    <cellStyle name="Normal 25 2 2 2 3 6" xfId="16377" xr:uid="{00000000-0005-0000-0000-0000DB5B0000}"/>
    <cellStyle name="Normal 25 2 2 2 4" xfId="16378" xr:uid="{00000000-0005-0000-0000-0000DC5B0000}"/>
    <cellStyle name="Normal 25 2 2 2 4 2" xfId="53162" xr:uid="{00000000-0005-0000-0000-0000DD5B0000}"/>
    <cellStyle name="Normal 25 2 2 2 4 3" xfId="53163" xr:uid="{00000000-0005-0000-0000-0000DE5B0000}"/>
    <cellStyle name="Normal 25 2 2 2 5" xfId="16379" xr:uid="{00000000-0005-0000-0000-0000DF5B0000}"/>
    <cellStyle name="Normal 25 2 2 2 5 2" xfId="53164" xr:uid="{00000000-0005-0000-0000-0000E05B0000}"/>
    <cellStyle name="Normal 25 2 2 2 6" xfId="16380" xr:uid="{00000000-0005-0000-0000-0000E15B0000}"/>
    <cellStyle name="Normal 25 2 2 2 7" xfId="16381" xr:uid="{00000000-0005-0000-0000-0000E25B0000}"/>
    <cellStyle name="Normal 25 2 2 2 8" xfId="16382" xr:uid="{00000000-0005-0000-0000-0000E35B0000}"/>
    <cellStyle name="Normal 25 2 2 2 9" xfId="16383" xr:uid="{00000000-0005-0000-0000-0000E45B0000}"/>
    <cellStyle name="Normal 25 2 2 3" xfId="16384" xr:uid="{00000000-0005-0000-0000-0000E55B0000}"/>
    <cellStyle name="Normal 25 2 2 3 2" xfId="16385" xr:uid="{00000000-0005-0000-0000-0000E65B0000}"/>
    <cellStyle name="Normal 25 2 2 3 2 2" xfId="16386" xr:uid="{00000000-0005-0000-0000-0000E75B0000}"/>
    <cellStyle name="Normal 25 2 2 3 2 2 2" xfId="16387" xr:uid="{00000000-0005-0000-0000-0000E85B0000}"/>
    <cellStyle name="Normal 25 2 2 3 2 2 2 2" xfId="53165" xr:uid="{00000000-0005-0000-0000-0000E95B0000}"/>
    <cellStyle name="Normal 25 2 2 3 2 2 2 3" xfId="53166" xr:uid="{00000000-0005-0000-0000-0000EA5B0000}"/>
    <cellStyle name="Normal 25 2 2 3 2 2 3" xfId="16388" xr:uid="{00000000-0005-0000-0000-0000EB5B0000}"/>
    <cellStyle name="Normal 25 2 2 3 2 2 3 2" xfId="53167" xr:uid="{00000000-0005-0000-0000-0000EC5B0000}"/>
    <cellStyle name="Normal 25 2 2 3 2 2 4" xfId="16389" xr:uid="{00000000-0005-0000-0000-0000ED5B0000}"/>
    <cellStyle name="Normal 25 2 2 3 2 2 5" xfId="16390" xr:uid="{00000000-0005-0000-0000-0000EE5B0000}"/>
    <cellStyle name="Normal 25 2 2 3 2 2 6" xfId="16391" xr:uid="{00000000-0005-0000-0000-0000EF5B0000}"/>
    <cellStyle name="Normal 25 2 2 3 2 3" xfId="16392" xr:uid="{00000000-0005-0000-0000-0000F05B0000}"/>
    <cellStyle name="Normal 25 2 2 3 2 3 2" xfId="53168" xr:uid="{00000000-0005-0000-0000-0000F15B0000}"/>
    <cellStyle name="Normal 25 2 2 3 2 3 3" xfId="53169" xr:uid="{00000000-0005-0000-0000-0000F25B0000}"/>
    <cellStyle name="Normal 25 2 2 3 2 4" xfId="16393" xr:uid="{00000000-0005-0000-0000-0000F35B0000}"/>
    <cellStyle name="Normal 25 2 2 3 2 4 2" xfId="53170" xr:uid="{00000000-0005-0000-0000-0000F45B0000}"/>
    <cellStyle name="Normal 25 2 2 3 2 5" xfId="16394" xr:uid="{00000000-0005-0000-0000-0000F55B0000}"/>
    <cellStyle name="Normal 25 2 2 3 2 6" xfId="16395" xr:uid="{00000000-0005-0000-0000-0000F65B0000}"/>
    <cellStyle name="Normal 25 2 2 3 2 7" xfId="16396" xr:uid="{00000000-0005-0000-0000-0000F75B0000}"/>
    <cellStyle name="Normal 25 2 2 3 3" xfId="16397" xr:uid="{00000000-0005-0000-0000-0000F85B0000}"/>
    <cellStyle name="Normal 25 2 2 3 3 2" xfId="16398" xr:uid="{00000000-0005-0000-0000-0000F95B0000}"/>
    <cellStyle name="Normal 25 2 2 3 3 2 2" xfId="53171" xr:uid="{00000000-0005-0000-0000-0000FA5B0000}"/>
    <cellStyle name="Normal 25 2 2 3 3 2 3" xfId="53172" xr:uid="{00000000-0005-0000-0000-0000FB5B0000}"/>
    <cellStyle name="Normal 25 2 2 3 3 3" xfId="16399" xr:uid="{00000000-0005-0000-0000-0000FC5B0000}"/>
    <cellStyle name="Normal 25 2 2 3 3 3 2" xfId="53173" xr:uid="{00000000-0005-0000-0000-0000FD5B0000}"/>
    <cellStyle name="Normal 25 2 2 3 3 4" xfId="16400" xr:uid="{00000000-0005-0000-0000-0000FE5B0000}"/>
    <cellStyle name="Normal 25 2 2 3 3 5" xfId="16401" xr:uid="{00000000-0005-0000-0000-0000FF5B0000}"/>
    <cellStyle name="Normal 25 2 2 3 3 6" xfId="16402" xr:uid="{00000000-0005-0000-0000-0000005C0000}"/>
    <cellStyle name="Normal 25 2 2 3 4" xfId="16403" xr:uid="{00000000-0005-0000-0000-0000015C0000}"/>
    <cellStyle name="Normal 25 2 2 3 4 2" xfId="53174" xr:uid="{00000000-0005-0000-0000-0000025C0000}"/>
    <cellStyle name="Normal 25 2 2 3 4 3" xfId="53175" xr:uid="{00000000-0005-0000-0000-0000035C0000}"/>
    <cellStyle name="Normal 25 2 2 3 5" xfId="16404" xr:uid="{00000000-0005-0000-0000-0000045C0000}"/>
    <cellStyle name="Normal 25 2 2 3 5 2" xfId="53176" xr:uid="{00000000-0005-0000-0000-0000055C0000}"/>
    <cellStyle name="Normal 25 2 2 3 6" xfId="16405" xr:uid="{00000000-0005-0000-0000-0000065C0000}"/>
    <cellStyle name="Normal 25 2 2 3 7" xfId="16406" xr:uid="{00000000-0005-0000-0000-0000075C0000}"/>
    <cellStyle name="Normal 25 2 2 3 8" xfId="16407" xr:uid="{00000000-0005-0000-0000-0000085C0000}"/>
    <cellStyle name="Normal 25 2 2 4" xfId="16408" xr:uid="{00000000-0005-0000-0000-0000095C0000}"/>
    <cellStyle name="Normal 25 2 2 4 2" xfId="16409" xr:uid="{00000000-0005-0000-0000-00000A5C0000}"/>
    <cellStyle name="Normal 25 2 2 4 2 2" xfId="16410" xr:uid="{00000000-0005-0000-0000-00000B5C0000}"/>
    <cellStyle name="Normal 25 2 2 4 2 2 2" xfId="53177" xr:uid="{00000000-0005-0000-0000-00000C5C0000}"/>
    <cellStyle name="Normal 25 2 2 4 2 2 3" xfId="53178" xr:uid="{00000000-0005-0000-0000-00000D5C0000}"/>
    <cellStyle name="Normal 25 2 2 4 2 3" xfId="16411" xr:uid="{00000000-0005-0000-0000-00000E5C0000}"/>
    <cellStyle name="Normal 25 2 2 4 2 3 2" xfId="53179" xr:uid="{00000000-0005-0000-0000-00000F5C0000}"/>
    <cellStyle name="Normal 25 2 2 4 2 4" xfId="16412" xr:uid="{00000000-0005-0000-0000-0000105C0000}"/>
    <cellStyle name="Normal 25 2 2 4 2 5" xfId="16413" xr:uid="{00000000-0005-0000-0000-0000115C0000}"/>
    <cellStyle name="Normal 25 2 2 4 2 6" xfId="16414" xr:uid="{00000000-0005-0000-0000-0000125C0000}"/>
    <cellStyle name="Normal 25 2 2 4 3" xfId="16415" xr:uid="{00000000-0005-0000-0000-0000135C0000}"/>
    <cellStyle name="Normal 25 2 2 4 3 2" xfId="53180" xr:uid="{00000000-0005-0000-0000-0000145C0000}"/>
    <cellStyle name="Normal 25 2 2 4 3 3" xfId="53181" xr:uid="{00000000-0005-0000-0000-0000155C0000}"/>
    <cellStyle name="Normal 25 2 2 4 4" xfId="16416" xr:uid="{00000000-0005-0000-0000-0000165C0000}"/>
    <cellStyle name="Normal 25 2 2 4 4 2" xfId="53182" xr:uid="{00000000-0005-0000-0000-0000175C0000}"/>
    <cellStyle name="Normal 25 2 2 4 5" xfId="16417" xr:uid="{00000000-0005-0000-0000-0000185C0000}"/>
    <cellStyle name="Normal 25 2 2 4 6" xfId="16418" xr:uid="{00000000-0005-0000-0000-0000195C0000}"/>
    <cellStyle name="Normal 25 2 2 4 7" xfId="16419" xr:uid="{00000000-0005-0000-0000-00001A5C0000}"/>
    <cellStyle name="Normal 25 2 2 5" xfId="16420" xr:uid="{00000000-0005-0000-0000-00001B5C0000}"/>
    <cellStyle name="Normal 25 2 2 5 2" xfId="16421" xr:uid="{00000000-0005-0000-0000-00001C5C0000}"/>
    <cellStyle name="Normal 25 2 2 5 2 2" xfId="53183" xr:uid="{00000000-0005-0000-0000-00001D5C0000}"/>
    <cellStyle name="Normal 25 2 2 5 2 3" xfId="53184" xr:uid="{00000000-0005-0000-0000-00001E5C0000}"/>
    <cellStyle name="Normal 25 2 2 5 3" xfId="16422" xr:uid="{00000000-0005-0000-0000-00001F5C0000}"/>
    <cellStyle name="Normal 25 2 2 5 3 2" xfId="53185" xr:uid="{00000000-0005-0000-0000-0000205C0000}"/>
    <cellStyle name="Normal 25 2 2 5 4" xfId="16423" xr:uid="{00000000-0005-0000-0000-0000215C0000}"/>
    <cellStyle name="Normal 25 2 2 5 5" xfId="16424" xr:uid="{00000000-0005-0000-0000-0000225C0000}"/>
    <cellStyle name="Normal 25 2 2 5 6" xfId="16425" xr:uid="{00000000-0005-0000-0000-0000235C0000}"/>
    <cellStyle name="Normal 25 2 2 6" xfId="16426" xr:uid="{00000000-0005-0000-0000-0000245C0000}"/>
    <cellStyle name="Normal 25 2 2 6 2" xfId="53186" xr:uid="{00000000-0005-0000-0000-0000255C0000}"/>
    <cellStyle name="Normal 25 2 2 7" xfId="16427" xr:uid="{00000000-0005-0000-0000-0000265C0000}"/>
    <cellStyle name="Normal 25 2 2 8" xfId="16428" xr:uid="{00000000-0005-0000-0000-0000275C0000}"/>
    <cellStyle name="Normal 25 2 2 9" xfId="16429" xr:uid="{00000000-0005-0000-0000-0000285C0000}"/>
    <cellStyle name="Normal 25 2 3" xfId="16430" xr:uid="{00000000-0005-0000-0000-0000295C0000}"/>
    <cellStyle name="Normal 25 2 3 2" xfId="16431" xr:uid="{00000000-0005-0000-0000-00002A5C0000}"/>
    <cellStyle name="Normal 25 2 3 2 2" xfId="16432" xr:uid="{00000000-0005-0000-0000-00002B5C0000}"/>
    <cellStyle name="Normal 25 2 3 2 2 2" xfId="16433" xr:uid="{00000000-0005-0000-0000-00002C5C0000}"/>
    <cellStyle name="Normal 25 2 3 2 2 2 2" xfId="53187" xr:uid="{00000000-0005-0000-0000-00002D5C0000}"/>
    <cellStyle name="Normal 25 2 3 2 2 2 3" xfId="53188" xr:uid="{00000000-0005-0000-0000-00002E5C0000}"/>
    <cellStyle name="Normal 25 2 3 2 2 3" xfId="16434" xr:uid="{00000000-0005-0000-0000-00002F5C0000}"/>
    <cellStyle name="Normal 25 2 3 2 2 3 2" xfId="53189" xr:uid="{00000000-0005-0000-0000-0000305C0000}"/>
    <cellStyle name="Normal 25 2 3 2 2 4" xfId="16435" xr:uid="{00000000-0005-0000-0000-0000315C0000}"/>
    <cellStyle name="Normal 25 2 3 2 2 5" xfId="16436" xr:uid="{00000000-0005-0000-0000-0000325C0000}"/>
    <cellStyle name="Normal 25 2 3 2 2 6" xfId="16437" xr:uid="{00000000-0005-0000-0000-0000335C0000}"/>
    <cellStyle name="Normal 25 2 3 2 3" xfId="16438" xr:uid="{00000000-0005-0000-0000-0000345C0000}"/>
    <cellStyle name="Normal 25 2 3 2 3 2" xfId="53190" xr:uid="{00000000-0005-0000-0000-0000355C0000}"/>
    <cellStyle name="Normal 25 2 3 2 3 3" xfId="53191" xr:uid="{00000000-0005-0000-0000-0000365C0000}"/>
    <cellStyle name="Normal 25 2 3 2 4" xfId="16439" xr:uid="{00000000-0005-0000-0000-0000375C0000}"/>
    <cellStyle name="Normal 25 2 3 2 4 2" xfId="53192" xr:uid="{00000000-0005-0000-0000-0000385C0000}"/>
    <cellStyle name="Normal 25 2 3 2 5" xfId="16440" xr:uid="{00000000-0005-0000-0000-0000395C0000}"/>
    <cellStyle name="Normal 25 2 3 2 6" xfId="16441" xr:uid="{00000000-0005-0000-0000-00003A5C0000}"/>
    <cellStyle name="Normal 25 2 3 2 7" xfId="16442" xr:uid="{00000000-0005-0000-0000-00003B5C0000}"/>
    <cellStyle name="Normal 25 2 3 3" xfId="16443" xr:uid="{00000000-0005-0000-0000-00003C5C0000}"/>
    <cellStyle name="Normal 25 2 3 3 2" xfId="16444" xr:uid="{00000000-0005-0000-0000-00003D5C0000}"/>
    <cellStyle name="Normal 25 2 3 3 2 2" xfId="53193" xr:uid="{00000000-0005-0000-0000-00003E5C0000}"/>
    <cellStyle name="Normal 25 2 3 3 2 3" xfId="53194" xr:uid="{00000000-0005-0000-0000-00003F5C0000}"/>
    <cellStyle name="Normal 25 2 3 3 3" xfId="16445" xr:uid="{00000000-0005-0000-0000-0000405C0000}"/>
    <cellStyle name="Normal 25 2 3 3 3 2" xfId="53195" xr:uid="{00000000-0005-0000-0000-0000415C0000}"/>
    <cellStyle name="Normal 25 2 3 3 4" xfId="16446" xr:uid="{00000000-0005-0000-0000-0000425C0000}"/>
    <cellStyle name="Normal 25 2 3 3 5" xfId="16447" xr:uid="{00000000-0005-0000-0000-0000435C0000}"/>
    <cellStyle name="Normal 25 2 3 3 6" xfId="16448" xr:uid="{00000000-0005-0000-0000-0000445C0000}"/>
    <cellStyle name="Normal 25 2 3 4" xfId="16449" xr:uid="{00000000-0005-0000-0000-0000455C0000}"/>
    <cellStyle name="Normal 25 2 3 4 2" xfId="53196" xr:uid="{00000000-0005-0000-0000-0000465C0000}"/>
    <cellStyle name="Normal 25 2 3 4 3" xfId="53197" xr:uid="{00000000-0005-0000-0000-0000475C0000}"/>
    <cellStyle name="Normal 25 2 3 5" xfId="16450" xr:uid="{00000000-0005-0000-0000-0000485C0000}"/>
    <cellStyle name="Normal 25 2 3 5 2" xfId="53198" xr:uid="{00000000-0005-0000-0000-0000495C0000}"/>
    <cellStyle name="Normal 25 2 3 6" xfId="16451" xr:uid="{00000000-0005-0000-0000-00004A5C0000}"/>
    <cellStyle name="Normal 25 2 3 7" xfId="16452" xr:uid="{00000000-0005-0000-0000-00004B5C0000}"/>
    <cellStyle name="Normal 25 2 3 8" xfId="16453" xr:uid="{00000000-0005-0000-0000-00004C5C0000}"/>
    <cellStyle name="Normal 25 2 3 9" xfId="16454" xr:uid="{00000000-0005-0000-0000-00004D5C0000}"/>
    <cellStyle name="Normal 25 2 4" xfId="16455" xr:uid="{00000000-0005-0000-0000-00004E5C0000}"/>
    <cellStyle name="Normal 25 2 4 2" xfId="16456" xr:uid="{00000000-0005-0000-0000-00004F5C0000}"/>
    <cellStyle name="Normal 25 2 4 2 2" xfId="16457" xr:uid="{00000000-0005-0000-0000-0000505C0000}"/>
    <cellStyle name="Normal 25 2 4 2 2 2" xfId="16458" xr:uid="{00000000-0005-0000-0000-0000515C0000}"/>
    <cellStyle name="Normal 25 2 4 2 2 2 2" xfId="53199" xr:uid="{00000000-0005-0000-0000-0000525C0000}"/>
    <cellStyle name="Normal 25 2 4 2 2 2 3" xfId="53200" xr:uid="{00000000-0005-0000-0000-0000535C0000}"/>
    <cellStyle name="Normal 25 2 4 2 2 3" xfId="16459" xr:uid="{00000000-0005-0000-0000-0000545C0000}"/>
    <cellStyle name="Normal 25 2 4 2 2 3 2" xfId="53201" xr:uid="{00000000-0005-0000-0000-0000555C0000}"/>
    <cellStyle name="Normal 25 2 4 2 2 4" xfId="16460" xr:uid="{00000000-0005-0000-0000-0000565C0000}"/>
    <cellStyle name="Normal 25 2 4 2 2 5" xfId="16461" xr:uid="{00000000-0005-0000-0000-0000575C0000}"/>
    <cellStyle name="Normal 25 2 4 2 2 6" xfId="16462" xr:uid="{00000000-0005-0000-0000-0000585C0000}"/>
    <cellStyle name="Normal 25 2 4 2 3" xfId="16463" xr:uid="{00000000-0005-0000-0000-0000595C0000}"/>
    <cellStyle name="Normal 25 2 4 2 3 2" xfId="53202" xr:uid="{00000000-0005-0000-0000-00005A5C0000}"/>
    <cellStyle name="Normal 25 2 4 2 3 3" xfId="53203" xr:uid="{00000000-0005-0000-0000-00005B5C0000}"/>
    <cellStyle name="Normal 25 2 4 2 4" xfId="16464" xr:uid="{00000000-0005-0000-0000-00005C5C0000}"/>
    <cellStyle name="Normal 25 2 4 2 4 2" xfId="53204" xr:uid="{00000000-0005-0000-0000-00005D5C0000}"/>
    <cellStyle name="Normal 25 2 4 2 5" xfId="16465" xr:uid="{00000000-0005-0000-0000-00005E5C0000}"/>
    <cellStyle name="Normal 25 2 4 2 6" xfId="16466" xr:uid="{00000000-0005-0000-0000-00005F5C0000}"/>
    <cellStyle name="Normal 25 2 4 2 7" xfId="16467" xr:uid="{00000000-0005-0000-0000-0000605C0000}"/>
    <cellStyle name="Normal 25 2 4 3" xfId="16468" xr:uid="{00000000-0005-0000-0000-0000615C0000}"/>
    <cellStyle name="Normal 25 2 4 3 2" xfId="16469" xr:uid="{00000000-0005-0000-0000-0000625C0000}"/>
    <cellStyle name="Normal 25 2 4 3 2 2" xfId="53205" xr:uid="{00000000-0005-0000-0000-0000635C0000}"/>
    <cellStyle name="Normal 25 2 4 3 2 3" xfId="53206" xr:uid="{00000000-0005-0000-0000-0000645C0000}"/>
    <cellStyle name="Normal 25 2 4 3 3" xfId="16470" xr:uid="{00000000-0005-0000-0000-0000655C0000}"/>
    <cellStyle name="Normal 25 2 4 3 3 2" xfId="53207" xr:uid="{00000000-0005-0000-0000-0000665C0000}"/>
    <cellStyle name="Normal 25 2 4 3 4" xfId="16471" xr:uid="{00000000-0005-0000-0000-0000675C0000}"/>
    <cellStyle name="Normal 25 2 4 3 5" xfId="16472" xr:uid="{00000000-0005-0000-0000-0000685C0000}"/>
    <cellStyle name="Normal 25 2 4 3 6" xfId="16473" xr:uid="{00000000-0005-0000-0000-0000695C0000}"/>
    <cellStyle name="Normal 25 2 4 4" xfId="16474" xr:uid="{00000000-0005-0000-0000-00006A5C0000}"/>
    <cellStyle name="Normal 25 2 4 4 2" xfId="53208" xr:uid="{00000000-0005-0000-0000-00006B5C0000}"/>
    <cellStyle name="Normal 25 2 4 4 3" xfId="53209" xr:uid="{00000000-0005-0000-0000-00006C5C0000}"/>
    <cellStyle name="Normal 25 2 4 5" xfId="16475" xr:uid="{00000000-0005-0000-0000-00006D5C0000}"/>
    <cellStyle name="Normal 25 2 4 5 2" xfId="53210" xr:uid="{00000000-0005-0000-0000-00006E5C0000}"/>
    <cellStyle name="Normal 25 2 4 6" xfId="16476" xr:uid="{00000000-0005-0000-0000-00006F5C0000}"/>
    <cellStyle name="Normal 25 2 4 7" xfId="16477" xr:uid="{00000000-0005-0000-0000-0000705C0000}"/>
    <cellStyle name="Normal 25 2 4 8" xfId="16478" xr:uid="{00000000-0005-0000-0000-0000715C0000}"/>
    <cellStyle name="Normal 25 2 5" xfId="16479" xr:uid="{00000000-0005-0000-0000-0000725C0000}"/>
    <cellStyle name="Normal 25 2 5 2" xfId="16480" xr:uid="{00000000-0005-0000-0000-0000735C0000}"/>
    <cellStyle name="Normal 25 2 5 2 2" xfId="16481" xr:uid="{00000000-0005-0000-0000-0000745C0000}"/>
    <cellStyle name="Normal 25 2 5 2 2 2" xfId="53211" xr:uid="{00000000-0005-0000-0000-0000755C0000}"/>
    <cellStyle name="Normal 25 2 5 2 2 3" xfId="53212" xr:uid="{00000000-0005-0000-0000-0000765C0000}"/>
    <cellStyle name="Normal 25 2 5 2 3" xfId="16482" xr:uid="{00000000-0005-0000-0000-0000775C0000}"/>
    <cellStyle name="Normal 25 2 5 2 3 2" xfId="53213" xr:uid="{00000000-0005-0000-0000-0000785C0000}"/>
    <cellStyle name="Normal 25 2 5 2 4" xfId="16483" xr:uid="{00000000-0005-0000-0000-0000795C0000}"/>
    <cellStyle name="Normal 25 2 5 2 5" xfId="16484" xr:uid="{00000000-0005-0000-0000-00007A5C0000}"/>
    <cellStyle name="Normal 25 2 5 2 6" xfId="16485" xr:uid="{00000000-0005-0000-0000-00007B5C0000}"/>
    <cellStyle name="Normal 25 2 5 3" xfId="16486" xr:uid="{00000000-0005-0000-0000-00007C5C0000}"/>
    <cellStyle name="Normal 25 2 5 3 2" xfId="53214" xr:uid="{00000000-0005-0000-0000-00007D5C0000}"/>
    <cellStyle name="Normal 25 2 5 3 3" xfId="53215" xr:uid="{00000000-0005-0000-0000-00007E5C0000}"/>
    <cellStyle name="Normal 25 2 5 4" xfId="16487" xr:uid="{00000000-0005-0000-0000-00007F5C0000}"/>
    <cellStyle name="Normal 25 2 5 4 2" xfId="53216" xr:uid="{00000000-0005-0000-0000-0000805C0000}"/>
    <cellStyle name="Normal 25 2 5 5" xfId="16488" xr:uid="{00000000-0005-0000-0000-0000815C0000}"/>
    <cellStyle name="Normal 25 2 5 6" xfId="16489" xr:uid="{00000000-0005-0000-0000-0000825C0000}"/>
    <cellStyle name="Normal 25 2 5 7" xfId="16490" xr:uid="{00000000-0005-0000-0000-0000835C0000}"/>
    <cellStyle name="Normal 25 2 6" xfId="16491" xr:uid="{00000000-0005-0000-0000-0000845C0000}"/>
    <cellStyle name="Normal 25 2 6 2" xfId="16492" xr:uid="{00000000-0005-0000-0000-0000855C0000}"/>
    <cellStyle name="Normal 25 2 6 2 2" xfId="53217" xr:uid="{00000000-0005-0000-0000-0000865C0000}"/>
    <cellStyle name="Normal 25 2 6 2 3" xfId="53218" xr:uid="{00000000-0005-0000-0000-0000875C0000}"/>
    <cellStyle name="Normal 25 2 6 3" xfId="16493" xr:uid="{00000000-0005-0000-0000-0000885C0000}"/>
    <cellStyle name="Normal 25 2 6 3 2" xfId="53219" xr:uid="{00000000-0005-0000-0000-0000895C0000}"/>
    <cellStyle name="Normal 25 2 6 4" xfId="16494" xr:uid="{00000000-0005-0000-0000-00008A5C0000}"/>
    <cellStyle name="Normal 25 2 6 5" xfId="16495" xr:uid="{00000000-0005-0000-0000-00008B5C0000}"/>
    <cellStyle name="Normal 25 2 6 6" xfId="16496" xr:uid="{00000000-0005-0000-0000-00008C5C0000}"/>
    <cellStyle name="Normal 25 2 7" xfId="16497" xr:uid="{00000000-0005-0000-0000-00008D5C0000}"/>
    <cellStyle name="Normal 25 2 7 2" xfId="53220" xr:uid="{00000000-0005-0000-0000-00008E5C0000}"/>
    <cellStyle name="Normal 25 2 7 3" xfId="53221" xr:uid="{00000000-0005-0000-0000-00008F5C0000}"/>
    <cellStyle name="Normal 25 2 8" xfId="16498" xr:uid="{00000000-0005-0000-0000-0000905C0000}"/>
    <cellStyle name="Normal 25 2 8 2" xfId="53222" xr:uid="{00000000-0005-0000-0000-0000915C0000}"/>
    <cellStyle name="Normal 25 2 9" xfId="16499" xr:uid="{00000000-0005-0000-0000-0000925C0000}"/>
    <cellStyle name="Normal 25 2 9 2" xfId="53223" xr:uid="{00000000-0005-0000-0000-0000935C0000}"/>
    <cellStyle name="Normal 25 20" xfId="16500" xr:uid="{00000000-0005-0000-0000-0000945C0000}"/>
    <cellStyle name="Normal 25 21" xfId="16501" xr:uid="{00000000-0005-0000-0000-0000955C0000}"/>
    <cellStyle name="Normal 25 3" xfId="16502" xr:uid="{00000000-0005-0000-0000-0000965C0000}"/>
    <cellStyle name="Normal 25 3 10" xfId="16503" xr:uid="{00000000-0005-0000-0000-0000975C0000}"/>
    <cellStyle name="Normal 25 3 11" xfId="16504" xr:uid="{00000000-0005-0000-0000-0000985C0000}"/>
    <cellStyle name="Normal 25 3 12" xfId="16505" xr:uid="{00000000-0005-0000-0000-0000995C0000}"/>
    <cellStyle name="Normal 25 3 13" xfId="16506" xr:uid="{00000000-0005-0000-0000-00009A5C0000}"/>
    <cellStyle name="Normal 25 3 14" xfId="16507" xr:uid="{00000000-0005-0000-0000-00009B5C0000}"/>
    <cellStyle name="Normal 25 3 15" xfId="16508" xr:uid="{00000000-0005-0000-0000-00009C5C0000}"/>
    <cellStyle name="Normal 25 3 16" xfId="16509" xr:uid="{00000000-0005-0000-0000-00009D5C0000}"/>
    <cellStyle name="Normal 25 3 17" xfId="16510" xr:uid="{00000000-0005-0000-0000-00009E5C0000}"/>
    <cellStyle name="Normal 25 3 2" xfId="16511" xr:uid="{00000000-0005-0000-0000-00009F5C0000}"/>
    <cellStyle name="Normal 25 3 2 10" xfId="16512" xr:uid="{00000000-0005-0000-0000-0000A05C0000}"/>
    <cellStyle name="Normal 25 3 2 11" xfId="16513" xr:uid="{00000000-0005-0000-0000-0000A15C0000}"/>
    <cellStyle name="Normal 25 3 2 12" xfId="16514" xr:uid="{00000000-0005-0000-0000-0000A25C0000}"/>
    <cellStyle name="Normal 25 3 2 13" xfId="16515" xr:uid="{00000000-0005-0000-0000-0000A35C0000}"/>
    <cellStyle name="Normal 25 3 2 14" xfId="16516" xr:uid="{00000000-0005-0000-0000-0000A45C0000}"/>
    <cellStyle name="Normal 25 3 2 2" xfId="16517" xr:uid="{00000000-0005-0000-0000-0000A55C0000}"/>
    <cellStyle name="Normal 25 3 2 2 2" xfId="16518" xr:uid="{00000000-0005-0000-0000-0000A65C0000}"/>
    <cellStyle name="Normal 25 3 2 2 2 2" xfId="16519" xr:uid="{00000000-0005-0000-0000-0000A75C0000}"/>
    <cellStyle name="Normal 25 3 2 2 2 2 2" xfId="16520" xr:uid="{00000000-0005-0000-0000-0000A85C0000}"/>
    <cellStyle name="Normal 25 3 2 2 2 2 2 2" xfId="53224" xr:uid="{00000000-0005-0000-0000-0000A95C0000}"/>
    <cellStyle name="Normal 25 3 2 2 2 2 2 3" xfId="53225" xr:uid="{00000000-0005-0000-0000-0000AA5C0000}"/>
    <cellStyle name="Normal 25 3 2 2 2 2 3" xfId="16521" xr:uid="{00000000-0005-0000-0000-0000AB5C0000}"/>
    <cellStyle name="Normal 25 3 2 2 2 2 3 2" xfId="53226" xr:uid="{00000000-0005-0000-0000-0000AC5C0000}"/>
    <cellStyle name="Normal 25 3 2 2 2 2 4" xfId="16522" xr:uid="{00000000-0005-0000-0000-0000AD5C0000}"/>
    <cellStyle name="Normal 25 3 2 2 2 2 5" xfId="16523" xr:uid="{00000000-0005-0000-0000-0000AE5C0000}"/>
    <cellStyle name="Normal 25 3 2 2 2 2 6" xfId="16524" xr:uid="{00000000-0005-0000-0000-0000AF5C0000}"/>
    <cellStyle name="Normal 25 3 2 2 2 3" xfId="16525" xr:uid="{00000000-0005-0000-0000-0000B05C0000}"/>
    <cellStyle name="Normal 25 3 2 2 2 3 2" xfId="53227" xr:uid="{00000000-0005-0000-0000-0000B15C0000}"/>
    <cellStyle name="Normal 25 3 2 2 2 3 3" xfId="53228" xr:uid="{00000000-0005-0000-0000-0000B25C0000}"/>
    <cellStyle name="Normal 25 3 2 2 2 4" xfId="16526" xr:uid="{00000000-0005-0000-0000-0000B35C0000}"/>
    <cellStyle name="Normal 25 3 2 2 2 4 2" xfId="53229" xr:uid="{00000000-0005-0000-0000-0000B45C0000}"/>
    <cellStyle name="Normal 25 3 2 2 2 5" xfId="16527" xr:uid="{00000000-0005-0000-0000-0000B55C0000}"/>
    <cellStyle name="Normal 25 3 2 2 2 6" xfId="16528" xr:uid="{00000000-0005-0000-0000-0000B65C0000}"/>
    <cellStyle name="Normal 25 3 2 2 2 7" xfId="16529" xr:uid="{00000000-0005-0000-0000-0000B75C0000}"/>
    <cellStyle name="Normal 25 3 2 2 3" xfId="16530" xr:uid="{00000000-0005-0000-0000-0000B85C0000}"/>
    <cellStyle name="Normal 25 3 2 2 3 2" xfId="16531" xr:uid="{00000000-0005-0000-0000-0000B95C0000}"/>
    <cellStyle name="Normal 25 3 2 2 3 2 2" xfId="53230" xr:uid="{00000000-0005-0000-0000-0000BA5C0000}"/>
    <cellStyle name="Normal 25 3 2 2 3 2 3" xfId="53231" xr:uid="{00000000-0005-0000-0000-0000BB5C0000}"/>
    <cellStyle name="Normal 25 3 2 2 3 3" xfId="16532" xr:uid="{00000000-0005-0000-0000-0000BC5C0000}"/>
    <cellStyle name="Normal 25 3 2 2 3 3 2" xfId="53232" xr:uid="{00000000-0005-0000-0000-0000BD5C0000}"/>
    <cellStyle name="Normal 25 3 2 2 3 4" xfId="16533" xr:uid="{00000000-0005-0000-0000-0000BE5C0000}"/>
    <cellStyle name="Normal 25 3 2 2 3 5" xfId="16534" xr:uid="{00000000-0005-0000-0000-0000BF5C0000}"/>
    <cellStyle name="Normal 25 3 2 2 3 6" xfId="16535" xr:uid="{00000000-0005-0000-0000-0000C05C0000}"/>
    <cellStyle name="Normal 25 3 2 2 4" xfId="16536" xr:uid="{00000000-0005-0000-0000-0000C15C0000}"/>
    <cellStyle name="Normal 25 3 2 2 4 2" xfId="53233" xr:uid="{00000000-0005-0000-0000-0000C25C0000}"/>
    <cellStyle name="Normal 25 3 2 2 4 3" xfId="53234" xr:uid="{00000000-0005-0000-0000-0000C35C0000}"/>
    <cellStyle name="Normal 25 3 2 2 5" xfId="16537" xr:uid="{00000000-0005-0000-0000-0000C45C0000}"/>
    <cellStyle name="Normal 25 3 2 2 5 2" xfId="53235" xr:uid="{00000000-0005-0000-0000-0000C55C0000}"/>
    <cellStyle name="Normal 25 3 2 2 6" xfId="16538" xr:uid="{00000000-0005-0000-0000-0000C65C0000}"/>
    <cellStyle name="Normal 25 3 2 2 7" xfId="16539" xr:uid="{00000000-0005-0000-0000-0000C75C0000}"/>
    <cellStyle name="Normal 25 3 2 2 8" xfId="16540" xr:uid="{00000000-0005-0000-0000-0000C85C0000}"/>
    <cellStyle name="Normal 25 3 2 2 9" xfId="16541" xr:uid="{00000000-0005-0000-0000-0000C95C0000}"/>
    <cellStyle name="Normal 25 3 2 3" xfId="16542" xr:uid="{00000000-0005-0000-0000-0000CA5C0000}"/>
    <cellStyle name="Normal 25 3 2 3 2" xfId="16543" xr:uid="{00000000-0005-0000-0000-0000CB5C0000}"/>
    <cellStyle name="Normal 25 3 2 3 2 2" xfId="16544" xr:uid="{00000000-0005-0000-0000-0000CC5C0000}"/>
    <cellStyle name="Normal 25 3 2 3 2 2 2" xfId="16545" xr:uid="{00000000-0005-0000-0000-0000CD5C0000}"/>
    <cellStyle name="Normal 25 3 2 3 2 2 2 2" xfId="53236" xr:uid="{00000000-0005-0000-0000-0000CE5C0000}"/>
    <cellStyle name="Normal 25 3 2 3 2 2 2 3" xfId="53237" xr:uid="{00000000-0005-0000-0000-0000CF5C0000}"/>
    <cellStyle name="Normal 25 3 2 3 2 2 3" xfId="16546" xr:uid="{00000000-0005-0000-0000-0000D05C0000}"/>
    <cellStyle name="Normal 25 3 2 3 2 2 3 2" xfId="53238" xr:uid="{00000000-0005-0000-0000-0000D15C0000}"/>
    <cellStyle name="Normal 25 3 2 3 2 2 4" xfId="16547" xr:uid="{00000000-0005-0000-0000-0000D25C0000}"/>
    <cellStyle name="Normal 25 3 2 3 2 2 5" xfId="16548" xr:uid="{00000000-0005-0000-0000-0000D35C0000}"/>
    <cellStyle name="Normal 25 3 2 3 2 2 6" xfId="16549" xr:uid="{00000000-0005-0000-0000-0000D45C0000}"/>
    <cellStyle name="Normal 25 3 2 3 2 3" xfId="16550" xr:uid="{00000000-0005-0000-0000-0000D55C0000}"/>
    <cellStyle name="Normal 25 3 2 3 2 3 2" xfId="53239" xr:uid="{00000000-0005-0000-0000-0000D65C0000}"/>
    <cellStyle name="Normal 25 3 2 3 2 3 3" xfId="53240" xr:uid="{00000000-0005-0000-0000-0000D75C0000}"/>
    <cellStyle name="Normal 25 3 2 3 2 4" xfId="16551" xr:uid="{00000000-0005-0000-0000-0000D85C0000}"/>
    <cellStyle name="Normal 25 3 2 3 2 4 2" xfId="53241" xr:uid="{00000000-0005-0000-0000-0000D95C0000}"/>
    <cellStyle name="Normal 25 3 2 3 2 5" xfId="16552" xr:uid="{00000000-0005-0000-0000-0000DA5C0000}"/>
    <cellStyle name="Normal 25 3 2 3 2 6" xfId="16553" xr:uid="{00000000-0005-0000-0000-0000DB5C0000}"/>
    <cellStyle name="Normal 25 3 2 3 2 7" xfId="16554" xr:uid="{00000000-0005-0000-0000-0000DC5C0000}"/>
    <cellStyle name="Normal 25 3 2 3 3" xfId="16555" xr:uid="{00000000-0005-0000-0000-0000DD5C0000}"/>
    <cellStyle name="Normal 25 3 2 3 3 2" xfId="16556" xr:uid="{00000000-0005-0000-0000-0000DE5C0000}"/>
    <cellStyle name="Normal 25 3 2 3 3 2 2" xfId="53242" xr:uid="{00000000-0005-0000-0000-0000DF5C0000}"/>
    <cellStyle name="Normal 25 3 2 3 3 2 3" xfId="53243" xr:uid="{00000000-0005-0000-0000-0000E05C0000}"/>
    <cellStyle name="Normal 25 3 2 3 3 3" xfId="16557" xr:uid="{00000000-0005-0000-0000-0000E15C0000}"/>
    <cellStyle name="Normal 25 3 2 3 3 3 2" xfId="53244" xr:uid="{00000000-0005-0000-0000-0000E25C0000}"/>
    <cellStyle name="Normal 25 3 2 3 3 4" xfId="16558" xr:uid="{00000000-0005-0000-0000-0000E35C0000}"/>
    <cellStyle name="Normal 25 3 2 3 3 5" xfId="16559" xr:uid="{00000000-0005-0000-0000-0000E45C0000}"/>
    <cellStyle name="Normal 25 3 2 3 3 6" xfId="16560" xr:uid="{00000000-0005-0000-0000-0000E55C0000}"/>
    <cellStyle name="Normal 25 3 2 3 4" xfId="16561" xr:uid="{00000000-0005-0000-0000-0000E65C0000}"/>
    <cellStyle name="Normal 25 3 2 3 4 2" xfId="53245" xr:uid="{00000000-0005-0000-0000-0000E75C0000}"/>
    <cellStyle name="Normal 25 3 2 3 4 3" xfId="53246" xr:uid="{00000000-0005-0000-0000-0000E85C0000}"/>
    <cellStyle name="Normal 25 3 2 3 5" xfId="16562" xr:uid="{00000000-0005-0000-0000-0000E95C0000}"/>
    <cellStyle name="Normal 25 3 2 3 5 2" xfId="53247" xr:uid="{00000000-0005-0000-0000-0000EA5C0000}"/>
    <cellStyle name="Normal 25 3 2 3 6" xfId="16563" xr:uid="{00000000-0005-0000-0000-0000EB5C0000}"/>
    <cellStyle name="Normal 25 3 2 3 7" xfId="16564" xr:uid="{00000000-0005-0000-0000-0000EC5C0000}"/>
    <cellStyle name="Normal 25 3 2 3 8" xfId="16565" xr:uid="{00000000-0005-0000-0000-0000ED5C0000}"/>
    <cellStyle name="Normal 25 3 2 4" xfId="16566" xr:uid="{00000000-0005-0000-0000-0000EE5C0000}"/>
    <cellStyle name="Normal 25 3 2 4 2" xfId="16567" xr:uid="{00000000-0005-0000-0000-0000EF5C0000}"/>
    <cellStyle name="Normal 25 3 2 4 2 2" xfId="16568" xr:uid="{00000000-0005-0000-0000-0000F05C0000}"/>
    <cellStyle name="Normal 25 3 2 4 2 2 2" xfId="53248" xr:uid="{00000000-0005-0000-0000-0000F15C0000}"/>
    <cellStyle name="Normal 25 3 2 4 2 2 3" xfId="53249" xr:uid="{00000000-0005-0000-0000-0000F25C0000}"/>
    <cellStyle name="Normal 25 3 2 4 2 3" xfId="16569" xr:uid="{00000000-0005-0000-0000-0000F35C0000}"/>
    <cellStyle name="Normal 25 3 2 4 2 3 2" xfId="53250" xr:uid="{00000000-0005-0000-0000-0000F45C0000}"/>
    <cellStyle name="Normal 25 3 2 4 2 4" xfId="16570" xr:uid="{00000000-0005-0000-0000-0000F55C0000}"/>
    <cellStyle name="Normal 25 3 2 4 2 5" xfId="16571" xr:uid="{00000000-0005-0000-0000-0000F65C0000}"/>
    <cellStyle name="Normal 25 3 2 4 2 6" xfId="16572" xr:uid="{00000000-0005-0000-0000-0000F75C0000}"/>
    <cellStyle name="Normal 25 3 2 4 3" xfId="16573" xr:uid="{00000000-0005-0000-0000-0000F85C0000}"/>
    <cellStyle name="Normal 25 3 2 4 3 2" xfId="53251" xr:uid="{00000000-0005-0000-0000-0000F95C0000}"/>
    <cellStyle name="Normal 25 3 2 4 3 3" xfId="53252" xr:uid="{00000000-0005-0000-0000-0000FA5C0000}"/>
    <cellStyle name="Normal 25 3 2 4 4" xfId="16574" xr:uid="{00000000-0005-0000-0000-0000FB5C0000}"/>
    <cellStyle name="Normal 25 3 2 4 4 2" xfId="53253" xr:uid="{00000000-0005-0000-0000-0000FC5C0000}"/>
    <cellStyle name="Normal 25 3 2 4 5" xfId="16575" xr:uid="{00000000-0005-0000-0000-0000FD5C0000}"/>
    <cellStyle name="Normal 25 3 2 4 6" xfId="16576" xr:uid="{00000000-0005-0000-0000-0000FE5C0000}"/>
    <cellStyle name="Normal 25 3 2 4 7" xfId="16577" xr:uid="{00000000-0005-0000-0000-0000FF5C0000}"/>
    <cellStyle name="Normal 25 3 2 5" xfId="16578" xr:uid="{00000000-0005-0000-0000-0000005D0000}"/>
    <cellStyle name="Normal 25 3 2 5 2" xfId="16579" xr:uid="{00000000-0005-0000-0000-0000015D0000}"/>
    <cellStyle name="Normal 25 3 2 5 2 2" xfId="53254" xr:uid="{00000000-0005-0000-0000-0000025D0000}"/>
    <cellStyle name="Normal 25 3 2 5 2 3" xfId="53255" xr:uid="{00000000-0005-0000-0000-0000035D0000}"/>
    <cellStyle name="Normal 25 3 2 5 3" xfId="16580" xr:uid="{00000000-0005-0000-0000-0000045D0000}"/>
    <cellStyle name="Normal 25 3 2 5 3 2" xfId="53256" xr:uid="{00000000-0005-0000-0000-0000055D0000}"/>
    <cellStyle name="Normal 25 3 2 5 4" xfId="16581" xr:uid="{00000000-0005-0000-0000-0000065D0000}"/>
    <cellStyle name="Normal 25 3 2 5 5" xfId="16582" xr:uid="{00000000-0005-0000-0000-0000075D0000}"/>
    <cellStyle name="Normal 25 3 2 5 6" xfId="16583" xr:uid="{00000000-0005-0000-0000-0000085D0000}"/>
    <cellStyle name="Normal 25 3 2 6" xfId="16584" xr:uid="{00000000-0005-0000-0000-0000095D0000}"/>
    <cellStyle name="Normal 25 3 2 6 2" xfId="53257" xr:uid="{00000000-0005-0000-0000-00000A5D0000}"/>
    <cellStyle name="Normal 25 3 2 6 3" xfId="53258" xr:uid="{00000000-0005-0000-0000-00000B5D0000}"/>
    <cellStyle name="Normal 25 3 2 7" xfId="16585" xr:uid="{00000000-0005-0000-0000-00000C5D0000}"/>
    <cellStyle name="Normal 25 3 2 7 2" xfId="53259" xr:uid="{00000000-0005-0000-0000-00000D5D0000}"/>
    <cellStyle name="Normal 25 3 2 8" xfId="16586" xr:uid="{00000000-0005-0000-0000-00000E5D0000}"/>
    <cellStyle name="Normal 25 3 2 9" xfId="16587" xr:uid="{00000000-0005-0000-0000-00000F5D0000}"/>
    <cellStyle name="Normal 25 3 3" xfId="16588" xr:uid="{00000000-0005-0000-0000-0000105D0000}"/>
    <cellStyle name="Normal 25 3 3 2" xfId="16589" xr:uid="{00000000-0005-0000-0000-0000115D0000}"/>
    <cellStyle name="Normal 25 3 3 2 2" xfId="16590" xr:uid="{00000000-0005-0000-0000-0000125D0000}"/>
    <cellStyle name="Normal 25 3 3 2 2 2" xfId="16591" xr:uid="{00000000-0005-0000-0000-0000135D0000}"/>
    <cellStyle name="Normal 25 3 3 2 2 2 2" xfId="53260" xr:uid="{00000000-0005-0000-0000-0000145D0000}"/>
    <cellStyle name="Normal 25 3 3 2 2 2 3" xfId="53261" xr:uid="{00000000-0005-0000-0000-0000155D0000}"/>
    <cellStyle name="Normal 25 3 3 2 2 3" xfId="16592" xr:uid="{00000000-0005-0000-0000-0000165D0000}"/>
    <cellStyle name="Normal 25 3 3 2 2 3 2" xfId="53262" xr:uid="{00000000-0005-0000-0000-0000175D0000}"/>
    <cellStyle name="Normal 25 3 3 2 2 4" xfId="16593" xr:uid="{00000000-0005-0000-0000-0000185D0000}"/>
    <cellStyle name="Normal 25 3 3 2 2 5" xfId="16594" xr:uid="{00000000-0005-0000-0000-0000195D0000}"/>
    <cellStyle name="Normal 25 3 3 2 2 6" xfId="16595" xr:uid="{00000000-0005-0000-0000-00001A5D0000}"/>
    <cellStyle name="Normal 25 3 3 2 3" xfId="16596" xr:uid="{00000000-0005-0000-0000-00001B5D0000}"/>
    <cellStyle name="Normal 25 3 3 2 3 2" xfId="53263" xr:uid="{00000000-0005-0000-0000-00001C5D0000}"/>
    <cellStyle name="Normal 25 3 3 2 3 3" xfId="53264" xr:uid="{00000000-0005-0000-0000-00001D5D0000}"/>
    <cellStyle name="Normal 25 3 3 2 4" xfId="16597" xr:uid="{00000000-0005-0000-0000-00001E5D0000}"/>
    <cellStyle name="Normal 25 3 3 2 4 2" xfId="53265" xr:uid="{00000000-0005-0000-0000-00001F5D0000}"/>
    <cellStyle name="Normal 25 3 3 2 5" xfId="16598" xr:uid="{00000000-0005-0000-0000-0000205D0000}"/>
    <cellStyle name="Normal 25 3 3 2 6" xfId="16599" xr:uid="{00000000-0005-0000-0000-0000215D0000}"/>
    <cellStyle name="Normal 25 3 3 2 7" xfId="16600" xr:uid="{00000000-0005-0000-0000-0000225D0000}"/>
    <cellStyle name="Normal 25 3 3 3" xfId="16601" xr:uid="{00000000-0005-0000-0000-0000235D0000}"/>
    <cellStyle name="Normal 25 3 3 3 2" xfId="16602" xr:uid="{00000000-0005-0000-0000-0000245D0000}"/>
    <cellStyle name="Normal 25 3 3 3 2 2" xfId="53266" xr:uid="{00000000-0005-0000-0000-0000255D0000}"/>
    <cellStyle name="Normal 25 3 3 3 2 3" xfId="53267" xr:uid="{00000000-0005-0000-0000-0000265D0000}"/>
    <cellStyle name="Normal 25 3 3 3 3" xfId="16603" xr:uid="{00000000-0005-0000-0000-0000275D0000}"/>
    <cellStyle name="Normal 25 3 3 3 3 2" xfId="53268" xr:uid="{00000000-0005-0000-0000-0000285D0000}"/>
    <cellStyle name="Normal 25 3 3 3 4" xfId="16604" xr:uid="{00000000-0005-0000-0000-0000295D0000}"/>
    <cellStyle name="Normal 25 3 3 3 5" xfId="16605" xr:uid="{00000000-0005-0000-0000-00002A5D0000}"/>
    <cellStyle name="Normal 25 3 3 3 6" xfId="16606" xr:uid="{00000000-0005-0000-0000-00002B5D0000}"/>
    <cellStyle name="Normal 25 3 3 4" xfId="16607" xr:uid="{00000000-0005-0000-0000-00002C5D0000}"/>
    <cellStyle name="Normal 25 3 3 4 2" xfId="53269" xr:uid="{00000000-0005-0000-0000-00002D5D0000}"/>
    <cellStyle name="Normal 25 3 3 4 3" xfId="53270" xr:uid="{00000000-0005-0000-0000-00002E5D0000}"/>
    <cellStyle name="Normal 25 3 3 5" xfId="16608" xr:uid="{00000000-0005-0000-0000-00002F5D0000}"/>
    <cellStyle name="Normal 25 3 3 5 2" xfId="53271" xr:uid="{00000000-0005-0000-0000-0000305D0000}"/>
    <cellStyle name="Normal 25 3 3 6" xfId="16609" xr:uid="{00000000-0005-0000-0000-0000315D0000}"/>
    <cellStyle name="Normal 25 3 3 7" xfId="16610" xr:uid="{00000000-0005-0000-0000-0000325D0000}"/>
    <cellStyle name="Normal 25 3 3 8" xfId="16611" xr:uid="{00000000-0005-0000-0000-0000335D0000}"/>
    <cellStyle name="Normal 25 3 3 9" xfId="16612" xr:uid="{00000000-0005-0000-0000-0000345D0000}"/>
    <cellStyle name="Normal 25 3 4" xfId="16613" xr:uid="{00000000-0005-0000-0000-0000355D0000}"/>
    <cellStyle name="Normal 25 3 4 2" xfId="16614" xr:uid="{00000000-0005-0000-0000-0000365D0000}"/>
    <cellStyle name="Normal 25 3 4 2 2" xfId="16615" xr:uid="{00000000-0005-0000-0000-0000375D0000}"/>
    <cellStyle name="Normal 25 3 4 2 2 2" xfId="16616" xr:uid="{00000000-0005-0000-0000-0000385D0000}"/>
    <cellStyle name="Normal 25 3 4 2 2 2 2" xfId="53272" xr:uid="{00000000-0005-0000-0000-0000395D0000}"/>
    <cellStyle name="Normal 25 3 4 2 2 2 3" xfId="53273" xr:uid="{00000000-0005-0000-0000-00003A5D0000}"/>
    <cellStyle name="Normal 25 3 4 2 2 3" xfId="16617" xr:uid="{00000000-0005-0000-0000-00003B5D0000}"/>
    <cellStyle name="Normal 25 3 4 2 2 3 2" xfId="53274" xr:uid="{00000000-0005-0000-0000-00003C5D0000}"/>
    <cellStyle name="Normal 25 3 4 2 2 4" xfId="16618" xr:uid="{00000000-0005-0000-0000-00003D5D0000}"/>
    <cellStyle name="Normal 25 3 4 2 2 5" xfId="16619" xr:uid="{00000000-0005-0000-0000-00003E5D0000}"/>
    <cellStyle name="Normal 25 3 4 2 2 6" xfId="16620" xr:uid="{00000000-0005-0000-0000-00003F5D0000}"/>
    <cellStyle name="Normal 25 3 4 2 3" xfId="16621" xr:uid="{00000000-0005-0000-0000-0000405D0000}"/>
    <cellStyle name="Normal 25 3 4 2 3 2" xfId="53275" xr:uid="{00000000-0005-0000-0000-0000415D0000}"/>
    <cellStyle name="Normal 25 3 4 2 3 3" xfId="53276" xr:uid="{00000000-0005-0000-0000-0000425D0000}"/>
    <cellStyle name="Normal 25 3 4 2 4" xfId="16622" xr:uid="{00000000-0005-0000-0000-0000435D0000}"/>
    <cellStyle name="Normal 25 3 4 2 4 2" xfId="53277" xr:uid="{00000000-0005-0000-0000-0000445D0000}"/>
    <cellStyle name="Normal 25 3 4 2 5" xfId="16623" xr:uid="{00000000-0005-0000-0000-0000455D0000}"/>
    <cellStyle name="Normal 25 3 4 2 6" xfId="16624" xr:uid="{00000000-0005-0000-0000-0000465D0000}"/>
    <cellStyle name="Normal 25 3 4 2 7" xfId="16625" xr:uid="{00000000-0005-0000-0000-0000475D0000}"/>
    <cellStyle name="Normal 25 3 4 3" xfId="16626" xr:uid="{00000000-0005-0000-0000-0000485D0000}"/>
    <cellStyle name="Normal 25 3 4 3 2" xfId="16627" xr:uid="{00000000-0005-0000-0000-0000495D0000}"/>
    <cellStyle name="Normal 25 3 4 3 2 2" xfId="53278" xr:uid="{00000000-0005-0000-0000-00004A5D0000}"/>
    <cellStyle name="Normal 25 3 4 3 2 3" xfId="53279" xr:uid="{00000000-0005-0000-0000-00004B5D0000}"/>
    <cellStyle name="Normal 25 3 4 3 3" xfId="16628" xr:uid="{00000000-0005-0000-0000-00004C5D0000}"/>
    <cellStyle name="Normal 25 3 4 3 3 2" xfId="53280" xr:uid="{00000000-0005-0000-0000-00004D5D0000}"/>
    <cellStyle name="Normal 25 3 4 3 4" xfId="16629" xr:uid="{00000000-0005-0000-0000-00004E5D0000}"/>
    <cellStyle name="Normal 25 3 4 3 5" xfId="16630" xr:uid="{00000000-0005-0000-0000-00004F5D0000}"/>
    <cellStyle name="Normal 25 3 4 3 6" xfId="16631" xr:uid="{00000000-0005-0000-0000-0000505D0000}"/>
    <cellStyle name="Normal 25 3 4 4" xfId="16632" xr:uid="{00000000-0005-0000-0000-0000515D0000}"/>
    <cellStyle name="Normal 25 3 4 4 2" xfId="53281" xr:uid="{00000000-0005-0000-0000-0000525D0000}"/>
    <cellStyle name="Normal 25 3 4 4 3" xfId="53282" xr:uid="{00000000-0005-0000-0000-0000535D0000}"/>
    <cellStyle name="Normal 25 3 4 5" xfId="16633" xr:uid="{00000000-0005-0000-0000-0000545D0000}"/>
    <cellStyle name="Normal 25 3 4 5 2" xfId="53283" xr:uid="{00000000-0005-0000-0000-0000555D0000}"/>
    <cellStyle name="Normal 25 3 4 6" xfId="16634" xr:uid="{00000000-0005-0000-0000-0000565D0000}"/>
    <cellStyle name="Normal 25 3 4 7" xfId="16635" xr:uid="{00000000-0005-0000-0000-0000575D0000}"/>
    <cellStyle name="Normal 25 3 4 8" xfId="16636" xr:uid="{00000000-0005-0000-0000-0000585D0000}"/>
    <cellStyle name="Normal 25 3 5" xfId="16637" xr:uid="{00000000-0005-0000-0000-0000595D0000}"/>
    <cellStyle name="Normal 25 3 5 2" xfId="16638" xr:uid="{00000000-0005-0000-0000-00005A5D0000}"/>
    <cellStyle name="Normal 25 3 5 2 2" xfId="16639" xr:uid="{00000000-0005-0000-0000-00005B5D0000}"/>
    <cellStyle name="Normal 25 3 5 2 2 2" xfId="53284" xr:uid="{00000000-0005-0000-0000-00005C5D0000}"/>
    <cellStyle name="Normal 25 3 5 2 2 3" xfId="53285" xr:uid="{00000000-0005-0000-0000-00005D5D0000}"/>
    <cellStyle name="Normal 25 3 5 2 3" xfId="16640" xr:uid="{00000000-0005-0000-0000-00005E5D0000}"/>
    <cellStyle name="Normal 25 3 5 2 3 2" xfId="53286" xr:uid="{00000000-0005-0000-0000-00005F5D0000}"/>
    <cellStyle name="Normal 25 3 5 2 4" xfId="16641" xr:uid="{00000000-0005-0000-0000-0000605D0000}"/>
    <cellStyle name="Normal 25 3 5 2 5" xfId="16642" xr:uid="{00000000-0005-0000-0000-0000615D0000}"/>
    <cellStyle name="Normal 25 3 5 2 6" xfId="16643" xr:uid="{00000000-0005-0000-0000-0000625D0000}"/>
    <cellStyle name="Normal 25 3 5 3" xfId="16644" xr:uid="{00000000-0005-0000-0000-0000635D0000}"/>
    <cellStyle name="Normal 25 3 5 3 2" xfId="53287" xr:uid="{00000000-0005-0000-0000-0000645D0000}"/>
    <cellStyle name="Normal 25 3 5 3 3" xfId="53288" xr:uid="{00000000-0005-0000-0000-0000655D0000}"/>
    <cellStyle name="Normal 25 3 5 4" xfId="16645" xr:uid="{00000000-0005-0000-0000-0000665D0000}"/>
    <cellStyle name="Normal 25 3 5 4 2" xfId="53289" xr:uid="{00000000-0005-0000-0000-0000675D0000}"/>
    <cellStyle name="Normal 25 3 5 5" xfId="16646" xr:uid="{00000000-0005-0000-0000-0000685D0000}"/>
    <cellStyle name="Normal 25 3 5 6" xfId="16647" xr:uid="{00000000-0005-0000-0000-0000695D0000}"/>
    <cellStyle name="Normal 25 3 5 7" xfId="16648" xr:uid="{00000000-0005-0000-0000-00006A5D0000}"/>
    <cellStyle name="Normal 25 3 6" xfId="16649" xr:uid="{00000000-0005-0000-0000-00006B5D0000}"/>
    <cellStyle name="Normal 25 3 6 2" xfId="16650" xr:uid="{00000000-0005-0000-0000-00006C5D0000}"/>
    <cellStyle name="Normal 25 3 6 2 2" xfId="53290" xr:uid="{00000000-0005-0000-0000-00006D5D0000}"/>
    <cellStyle name="Normal 25 3 6 2 3" xfId="53291" xr:uid="{00000000-0005-0000-0000-00006E5D0000}"/>
    <cellStyle name="Normal 25 3 6 3" xfId="16651" xr:uid="{00000000-0005-0000-0000-00006F5D0000}"/>
    <cellStyle name="Normal 25 3 6 3 2" xfId="53292" xr:uid="{00000000-0005-0000-0000-0000705D0000}"/>
    <cellStyle name="Normal 25 3 6 4" xfId="16652" xr:uid="{00000000-0005-0000-0000-0000715D0000}"/>
    <cellStyle name="Normal 25 3 6 5" xfId="16653" xr:uid="{00000000-0005-0000-0000-0000725D0000}"/>
    <cellStyle name="Normal 25 3 6 6" xfId="16654" xr:uid="{00000000-0005-0000-0000-0000735D0000}"/>
    <cellStyle name="Normal 25 3 7" xfId="16655" xr:uid="{00000000-0005-0000-0000-0000745D0000}"/>
    <cellStyle name="Normal 25 3 7 2" xfId="53293" xr:uid="{00000000-0005-0000-0000-0000755D0000}"/>
    <cellStyle name="Normal 25 3 8" xfId="16656" xr:uid="{00000000-0005-0000-0000-0000765D0000}"/>
    <cellStyle name="Normal 25 3 9" xfId="16657" xr:uid="{00000000-0005-0000-0000-0000775D0000}"/>
    <cellStyle name="Normal 25 4" xfId="16658" xr:uid="{00000000-0005-0000-0000-0000785D0000}"/>
    <cellStyle name="Normal 25 4 10" xfId="16659" xr:uid="{00000000-0005-0000-0000-0000795D0000}"/>
    <cellStyle name="Normal 25 4 11" xfId="16660" xr:uid="{00000000-0005-0000-0000-00007A5D0000}"/>
    <cellStyle name="Normal 25 4 12" xfId="16661" xr:uid="{00000000-0005-0000-0000-00007B5D0000}"/>
    <cellStyle name="Normal 25 4 13" xfId="16662" xr:uid="{00000000-0005-0000-0000-00007C5D0000}"/>
    <cellStyle name="Normal 25 4 14" xfId="16663" xr:uid="{00000000-0005-0000-0000-00007D5D0000}"/>
    <cellStyle name="Normal 25 4 2" xfId="16664" xr:uid="{00000000-0005-0000-0000-00007E5D0000}"/>
    <cellStyle name="Normal 25 4 2 2" xfId="16665" xr:uid="{00000000-0005-0000-0000-00007F5D0000}"/>
    <cellStyle name="Normal 25 4 2 2 2" xfId="16666" xr:uid="{00000000-0005-0000-0000-0000805D0000}"/>
    <cellStyle name="Normal 25 4 2 2 2 2" xfId="16667" xr:uid="{00000000-0005-0000-0000-0000815D0000}"/>
    <cellStyle name="Normal 25 4 2 2 2 2 2" xfId="53294" xr:uid="{00000000-0005-0000-0000-0000825D0000}"/>
    <cellStyle name="Normal 25 4 2 2 2 2 3" xfId="53295" xr:uid="{00000000-0005-0000-0000-0000835D0000}"/>
    <cellStyle name="Normal 25 4 2 2 2 3" xfId="16668" xr:uid="{00000000-0005-0000-0000-0000845D0000}"/>
    <cellStyle name="Normal 25 4 2 2 2 3 2" xfId="53296" xr:uid="{00000000-0005-0000-0000-0000855D0000}"/>
    <cellStyle name="Normal 25 4 2 2 2 4" xfId="16669" xr:uid="{00000000-0005-0000-0000-0000865D0000}"/>
    <cellStyle name="Normal 25 4 2 2 2 5" xfId="16670" xr:uid="{00000000-0005-0000-0000-0000875D0000}"/>
    <cellStyle name="Normal 25 4 2 2 2 6" xfId="16671" xr:uid="{00000000-0005-0000-0000-0000885D0000}"/>
    <cellStyle name="Normal 25 4 2 2 3" xfId="16672" xr:uid="{00000000-0005-0000-0000-0000895D0000}"/>
    <cellStyle name="Normal 25 4 2 2 3 2" xfId="53297" xr:uid="{00000000-0005-0000-0000-00008A5D0000}"/>
    <cellStyle name="Normal 25 4 2 2 3 3" xfId="53298" xr:uid="{00000000-0005-0000-0000-00008B5D0000}"/>
    <cellStyle name="Normal 25 4 2 2 4" xfId="16673" xr:uid="{00000000-0005-0000-0000-00008C5D0000}"/>
    <cellStyle name="Normal 25 4 2 2 4 2" xfId="53299" xr:uid="{00000000-0005-0000-0000-00008D5D0000}"/>
    <cellStyle name="Normal 25 4 2 2 5" xfId="16674" xr:uid="{00000000-0005-0000-0000-00008E5D0000}"/>
    <cellStyle name="Normal 25 4 2 2 6" xfId="16675" xr:uid="{00000000-0005-0000-0000-00008F5D0000}"/>
    <cellStyle name="Normal 25 4 2 2 7" xfId="16676" xr:uid="{00000000-0005-0000-0000-0000905D0000}"/>
    <cellStyle name="Normal 25 4 2 3" xfId="16677" xr:uid="{00000000-0005-0000-0000-0000915D0000}"/>
    <cellStyle name="Normal 25 4 2 3 2" xfId="16678" xr:uid="{00000000-0005-0000-0000-0000925D0000}"/>
    <cellStyle name="Normal 25 4 2 3 2 2" xfId="53300" xr:uid="{00000000-0005-0000-0000-0000935D0000}"/>
    <cellStyle name="Normal 25 4 2 3 2 3" xfId="53301" xr:uid="{00000000-0005-0000-0000-0000945D0000}"/>
    <cellStyle name="Normal 25 4 2 3 3" xfId="16679" xr:uid="{00000000-0005-0000-0000-0000955D0000}"/>
    <cellStyle name="Normal 25 4 2 3 3 2" xfId="53302" xr:uid="{00000000-0005-0000-0000-0000965D0000}"/>
    <cellStyle name="Normal 25 4 2 3 4" xfId="16680" xr:uid="{00000000-0005-0000-0000-0000975D0000}"/>
    <cellStyle name="Normal 25 4 2 3 5" xfId="16681" xr:uid="{00000000-0005-0000-0000-0000985D0000}"/>
    <cellStyle name="Normal 25 4 2 3 6" xfId="16682" xr:uid="{00000000-0005-0000-0000-0000995D0000}"/>
    <cellStyle name="Normal 25 4 2 4" xfId="16683" xr:uid="{00000000-0005-0000-0000-00009A5D0000}"/>
    <cellStyle name="Normal 25 4 2 4 2" xfId="53303" xr:uid="{00000000-0005-0000-0000-00009B5D0000}"/>
    <cellStyle name="Normal 25 4 2 4 3" xfId="53304" xr:uid="{00000000-0005-0000-0000-00009C5D0000}"/>
    <cellStyle name="Normal 25 4 2 5" xfId="16684" xr:uid="{00000000-0005-0000-0000-00009D5D0000}"/>
    <cellStyle name="Normal 25 4 2 5 2" xfId="53305" xr:uid="{00000000-0005-0000-0000-00009E5D0000}"/>
    <cellStyle name="Normal 25 4 2 6" xfId="16685" xr:uid="{00000000-0005-0000-0000-00009F5D0000}"/>
    <cellStyle name="Normal 25 4 2 7" xfId="16686" xr:uid="{00000000-0005-0000-0000-0000A05D0000}"/>
    <cellStyle name="Normal 25 4 2 8" xfId="16687" xr:uid="{00000000-0005-0000-0000-0000A15D0000}"/>
    <cellStyle name="Normal 25 4 2 9" xfId="16688" xr:uid="{00000000-0005-0000-0000-0000A25D0000}"/>
    <cellStyle name="Normal 25 4 3" xfId="16689" xr:uid="{00000000-0005-0000-0000-0000A35D0000}"/>
    <cellStyle name="Normal 25 4 3 2" xfId="16690" xr:uid="{00000000-0005-0000-0000-0000A45D0000}"/>
    <cellStyle name="Normal 25 4 3 2 2" xfId="16691" xr:uid="{00000000-0005-0000-0000-0000A55D0000}"/>
    <cellStyle name="Normal 25 4 3 2 2 2" xfId="16692" xr:uid="{00000000-0005-0000-0000-0000A65D0000}"/>
    <cellStyle name="Normal 25 4 3 2 2 2 2" xfId="53306" xr:uid="{00000000-0005-0000-0000-0000A75D0000}"/>
    <cellStyle name="Normal 25 4 3 2 2 2 3" xfId="53307" xr:uid="{00000000-0005-0000-0000-0000A85D0000}"/>
    <cellStyle name="Normal 25 4 3 2 2 3" xfId="16693" xr:uid="{00000000-0005-0000-0000-0000A95D0000}"/>
    <cellStyle name="Normal 25 4 3 2 2 3 2" xfId="53308" xr:uid="{00000000-0005-0000-0000-0000AA5D0000}"/>
    <cellStyle name="Normal 25 4 3 2 2 4" xfId="16694" xr:uid="{00000000-0005-0000-0000-0000AB5D0000}"/>
    <cellStyle name="Normal 25 4 3 2 2 5" xfId="16695" xr:uid="{00000000-0005-0000-0000-0000AC5D0000}"/>
    <cellStyle name="Normal 25 4 3 2 2 6" xfId="16696" xr:uid="{00000000-0005-0000-0000-0000AD5D0000}"/>
    <cellStyle name="Normal 25 4 3 2 3" xfId="16697" xr:uid="{00000000-0005-0000-0000-0000AE5D0000}"/>
    <cellStyle name="Normal 25 4 3 2 3 2" xfId="53309" xr:uid="{00000000-0005-0000-0000-0000AF5D0000}"/>
    <cellStyle name="Normal 25 4 3 2 3 3" xfId="53310" xr:uid="{00000000-0005-0000-0000-0000B05D0000}"/>
    <cellStyle name="Normal 25 4 3 2 4" xfId="16698" xr:uid="{00000000-0005-0000-0000-0000B15D0000}"/>
    <cellStyle name="Normal 25 4 3 2 4 2" xfId="53311" xr:uid="{00000000-0005-0000-0000-0000B25D0000}"/>
    <cellStyle name="Normal 25 4 3 2 5" xfId="16699" xr:uid="{00000000-0005-0000-0000-0000B35D0000}"/>
    <cellStyle name="Normal 25 4 3 2 6" xfId="16700" xr:uid="{00000000-0005-0000-0000-0000B45D0000}"/>
    <cellStyle name="Normal 25 4 3 2 7" xfId="16701" xr:uid="{00000000-0005-0000-0000-0000B55D0000}"/>
    <cellStyle name="Normal 25 4 3 3" xfId="16702" xr:uid="{00000000-0005-0000-0000-0000B65D0000}"/>
    <cellStyle name="Normal 25 4 3 3 2" xfId="16703" xr:uid="{00000000-0005-0000-0000-0000B75D0000}"/>
    <cellStyle name="Normal 25 4 3 3 2 2" xfId="53312" xr:uid="{00000000-0005-0000-0000-0000B85D0000}"/>
    <cellStyle name="Normal 25 4 3 3 2 3" xfId="53313" xr:uid="{00000000-0005-0000-0000-0000B95D0000}"/>
    <cellStyle name="Normal 25 4 3 3 3" xfId="16704" xr:uid="{00000000-0005-0000-0000-0000BA5D0000}"/>
    <cellStyle name="Normal 25 4 3 3 3 2" xfId="53314" xr:uid="{00000000-0005-0000-0000-0000BB5D0000}"/>
    <cellStyle name="Normal 25 4 3 3 4" xfId="16705" xr:uid="{00000000-0005-0000-0000-0000BC5D0000}"/>
    <cellStyle name="Normal 25 4 3 3 5" xfId="16706" xr:uid="{00000000-0005-0000-0000-0000BD5D0000}"/>
    <cellStyle name="Normal 25 4 3 3 6" xfId="16707" xr:uid="{00000000-0005-0000-0000-0000BE5D0000}"/>
    <cellStyle name="Normal 25 4 3 4" xfId="16708" xr:uid="{00000000-0005-0000-0000-0000BF5D0000}"/>
    <cellStyle name="Normal 25 4 3 4 2" xfId="53315" xr:uid="{00000000-0005-0000-0000-0000C05D0000}"/>
    <cellStyle name="Normal 25 4 3 4 3" xfId="53316" xr:uid="{00000000-0005-0000-0000-0000C15D0000}"/>
    <cellStyle name="Normal 25 4 3 5" xfId="16709" xr:uid="{00000000-0005-0000-0000-0000C25D0000}"/>
    <cellStyle name="Normal 25 4 3 5 2" xfId="53317" xr:uid="{00000000-0005-0000-0000-0000C35D0000}"/>
    <cellStyle name="Normal 25 4 3 6" xfId="16710" xr:uid="{00000000-0005-0000-0000-0000C45D0000}"/>
    <cellStyle name="Normal 25 4 3 7" xfId="16711" xr:uid="{00000000-0005-0000-0000-0000C55D0000}"/>
    <cellStyle name="Normal 25 4 3 8" xfId="16712" xr:uid="{00000000-0005-0000-0000-0000C65D0000}"/>
    <cellStyle name="Normal 25 4 4" xfId="16713" xr:uid="{00000000-0005-0000-0000-0000C75D0000}"/>
    <cellStyle name="Normal 25 4 4 2" xfId="16714" xr:uid="{00000000-0005-0000-0000-0000C85D0000}"/>
    <cellStyle name="Normal 25 4 4 2 2" xfId="16715" xr:uid="{00000000-0005-0000-0000-0000C95D0000}"/>
    <cellStyle name="Normal 25 4 4 2 2 2" xfId="53318" xr:uid="{00000000-0005-0000-0000-0000CA5D0000}"/>
    <cellStyle name="Normal 25 4 4 2 2 3" xfId="53319" xr:uid="{00000000-0005-0000-0000-0000CB5D0000}"/>
    <cellStyle name="Normal 25 4 4 2 3" xfId="16716" xr:uid="{00000000-0005-0000-0000-0000CC5D0000}"/>
    <cellStyle name="Normal 25 4 4 2 3 2" xfId="53320" xr:uid="{00000000-0005-0000-0000-0000CD5D0000}"/>
    <cellStyle name="Normal 25 4 4 2 4" xfId="16717" xr:uid="{00000000-0005-0000-0000-0000CE5D0000}"/>
    <cellStyle name="Normal 25 4 4 2 5" xfId="16718" xr:uid="{00000000-0005-0000-0000-0000CF5D0000}"/>
    <cellStyle name="Normal 25 4 4 2 6" xfId="16719" xr:uid="{00000000-0005-0000-0000-0000D05D0000}"/>
    <cellStyle name="Normal 25 4 4 3" xfId="16720" xr:uid="{00000000-0005-0000-0000-0000D15D0000}"/>
    <cellStyle name="Normal 25 4 4 3 2" xfId="53321" xr:uid="{00000000-0005-0000-0000-0000D25D0000}"/>
    <cellStyle name="Normal 25 4 4 3 3" xfId="53322" xr:uid="{00000000-0005-0000-0000-0000D35D0000}"/>
    <cellStyle name="Normal 25 4 4 4" xfId="16721" xr:uid="{00000000-0005-0000-0000-0000D45D0000}"/>
    <cellStyle name="Normal 25 4 4 4 2" xfId="53323" xr:uid="{00000000-0005-0000-0000-0000D55D0000}"/>
    <cellStyle name="Normal 25 4 4 5" xfId="16722" xr:uid="{00000000-0005-0000-0000-0000D65D0000}"/>
    <cellStyle name="Normal 25 4 4 6" xfId="16723" xr:uid="{00000000-0005-0000-0000-0000D75D0000}"/>
    <cellStyle name="Normal 25 4 4 7" xfId="16724" xr:uid="{00000000-0005-0000-0000-0000D85D0000}"/>
    <cellStyle name="Normal 25 4 5" xfId="16725" xr:uid="{00000000-0005-0000-0000-0000D95D0000}"/>
    <cellStyle name="Normal 25 4 5 2" xfId="16726" xr:uid="{00000000-0005-0000-0000-0000DA5D0000}"/>
    <cellStyle name="Normal 25 4 5 2 2" xfId="53324" xr:uid="{00000000-0005-0000-0000-0000DB5D0000}"/>
    <cellStyle name="Normal 25 4 5 2 3" xfId="53325" xr:uid="{00000000-0005-0000-0000-0000DC5D0000}"/>
    <cellStyle name="Normal 25 4 5 3" xfId="16727" xr:uid="{00000000-0005-0000-0000-0000DD5D0000}"/>
    <cellStyle name="Normal 25 4 5 3 2" xfId="53326" xr:uid="{00000000-0005-0000-0000-0000DE5D0000}"/>
    <cellStyle name="Normal 25 4 5 4" xfId="16728" xr:uid="{00000000-0005-0000-0000-0000DF5D0000}"/>
    <cellStyle name="Normal 25 4 5 5" xfId="16729" xr:uid="{00000000-0005-0000-0000-0000E05D0000}"/>
    <cellStyle name="Normal 25 4 5 6" xfId="16730" xr:uid="{00000000-0005-0000-0000-0000E15D0000}"/>
    <cellStyle name="Normal 25 4 6" xfId="16731" xr:uid="{00000000-0005-0000-0000-0000E25D0000}"/>
    <cellStyle name="Normal 25 4 6 2" xfId="53327" xr:uid="{00000000-0005-0000-0000-0000E35D0000}"/>
    <cellStyle name="Normal 25 4 6 3" xfId="53328" xr:uid="{00000000-0005-0000-0000-0000E45D0000}"/>
    <cellStyle name="Normal 25 4 7" xfId="16732" xr:uid="{00000000-0005-0000-0000-0000E55D0000}"/>
    <cellStyle name="Normal 25 4 7 2" xfId="53329" xr:uid="{00000000-0005-0000-0000-0000E65D0000}"/>
    <cellStyle name="Normal 25 4 8" xfId="16733" xr:uid="{00000000-0005-0000-0000-0000E75D0000}"/>
    <cellStyle name="Normal 25 4 9" xfId="16734" xr:uid="{00000000-0005-0000-0000-0000E85D0000}"/>
    <cellStyle name="Normal 25 5" xfId="16735" xr:uid="{00000000-0005-0000-0000-0000E95D0000}"/>
    <cellStyle name="Normal 25 5 10" xfId="16736" xr:uid="{00000000-0005-0000-0000-0000EA5D0000}"/>
    <cellStyle name="Normal 25 5 11" xfId="16737" xr:uid="{00000000-0005-0000-0000-0000EB5D0000}"/>
    <cellStyle name="Normal 25 5 12" xfId="16738" xr:uid="{00000000-0005-0000-0000-0000EC5D0000}"/>
    <cellStyle name="Normal 25 5 13" xfId="16739" xr:uid="{00000000-0005-0000-0000-0000ED5D0000}"/>
    <cellStyle name="Normal 25 5 14" xfId="16740" xr:uid="{00000000-0005-0000-0000-0000EE5D0000}"/>
    <cellStyle name="Normal 25 5 2" xfId="16741" xr:uid="{00000000-0005-0000-0000-0000EF5D0000}"/>
    <cellStyle name="Normal 25 5 2 2" xfId="16742" xr:uid="{00000000-0005-0000-0000-0000F05D0000}"/>
    <cellStyle name="Normal 25 5 2 2 2" xfId="16743" xr:uid="{00000000-0005-0000-0000-0000F15D0000}"/>
    <cellStyle name="Normal 25 5 2 2 2 2" xfId="16744" xr:uid="{00000000-0005-0000-0000-0000F25D0000}"/>
    <cellStyle name="Normal 25 5 2 2 2 2 2" xfId="53330" xr:uid="{00000000-0005-0000-0000-0000F35D0000}"/>
    <cellStyle name="Normal 25 5 2 2 2 2 3" xfId="53331" xr:uid="{00000000-0005-0000-0000-0000F45D0000}"/>
    <cellStyle name="Normal 25 5 2 2 2 3" xfId="16745" xr:uid="{00000000-0005-0000-0000-0000F55D0000}"/>
    <cellStyle name="Normal 25 5 2 2 2 3 2" xfId="53332" xr:uid="{00000000-0005-0000-0000-0000F65D0000}"/>
    <cellStyle name="Normal 25 5 2 2 2 4" xfId="16746" xr:uid="{00000000-0005-0000-0000-0000F75D0000}"/>
    <cellStyle name="Normal 25 5 2 2 2 5" xfId="16747" xr:uid="{00000000-0005-0000-0000-0000F85D0000}"/>
    <cellStyle name="Normal 25 5 2 2 2 6" xfId="16748" xr:uid="{00000000-0005-0000-0000-0000F95D0000}"/>
    <cellStyle name="Normal 25 5 2 2 3" xfId="16749" xr:uid="{00000000-0005-0000-0000-0000FA5D0000}"/>
    <cellStyle name="Normal 25 5 2 2 3 2" xfId="53333" xr:uid="{00000000-0005-0000-0000-0000FB5D0000}"/>
    <cellStyle name="Normal 25 5 2 2 3 3" xfId="53334" xr:uid="{00000000-0005-0000-0000-0000FC5D0000}"/>
    <cellStyle name="Normal 25 5 2 2 4" xfId="16750" xr:uid="{00000000-0005-0000-0000-0000FD5D0000}"/>
    <cellStyle name="Normal 25 5 2 2 4 2" xfId="53335" xr:uid="{00000000-0005-0000-0000-0000FE5D0000}"/>
    <cellStyle name="Normal 25 5 2 2 5" xfId="16751" xr:uid="{00000000-0005-0000-0000-0000FF5D0000}"/>
    <cellStyle name="Normal 25 5 2 2 6" xfId="16752" xr:uid="{00000000-0005-0000-0000-0000005E0000}"/>
    <cellStyle name="Normal 25 5 2 2 7" xfId="16753" xr:uid="{00000000-0005-0000-0000-0000015E0000}"/>
    <cellStyle name="Normal 25 5 2 3" xfId="16754" xr:uid="{00000000-0005-0000-0000-0000025E0000}"/>
    <cellStyle name="Normal 25 5 2 3 2" xfId="16755" xr:uid="{00000000-0005-0000-0000-0000035E0000}"/>
    <cellStyle name="Normal 25 5 2 3 2 2" xfId="53336" xr:uid="{00000000-0005-0000-0000-0000045E0000}"/>
    <cellStyle name="Normal 25 5 2 3 2 3" xfId="53337" xr:uid="{00000000-0005-0000-0000-0000055E0000}"/>
    <cellStyle name="Normal 25 5 2 3 3" xfId="16756" xr:uid="{00000000-0005-0000-0000-0000065E0000}"/>
    <cellStyle name="Normal 25 5 2 3 3 2" xfId="53338" xr:uid="{00000000-0005-0000-0000-0000075E0000}"/>
    <cellStyle name="Normal 25 5 2 3 4" xfId="16757" xr:uid="{00000000-0005-0000-0000-0000085E0000}"/>
    <cellStyle name="Normal 25 5 2 3 5" xfId="16758" xr:uid="{00000000-0005-0000-0000-0000095E0000}"/>
    <cellStyle name="Normal 25 5 2 3 6" xfId="16759" xr:uid="{00000000-0005-0000-0000-00000A5E0000}"/>
    <cellStyle name="Normal 25 5 2 4" xfId="16760" xr:uid="{00000000-0005-0000-0000-00000B5E0000}"/>
    <cellStyle name="Normal 25 5 2 4 2" xfId="53339" xr:uid="{00000000-0005-0000-0000-00000C5E0000}"/>
    <cellStyle name="Normal 25 5 2 4 3" xfId="53340" xr:uid="{00000000-0005-0000-0000-00000D5E0000}"/>
    <cellStyle name="Normal 25 5 2 5" xfId="16761" xr:uid="{00000000-0005-0000-0000-00000E5E0000}"/>
    <cellStyle name="Normal 25 5 2 5 2" xfId="53341" xr:uid="{00000000-0005-0000-0000-00000F5E0000}"/>
    <cellStyle name="Normal 25 5 2 6" xfId="16762" xr:uid="{00000000-0005-0000-0000-0000105E0000}"/>
    <cellStyle name="Normal 25 5 2 7" xfId="16763" xr:uid="{00000000-0005-0000-0000-0000115E0000}"/>
    <cellStyle name="Normal 25 5 2 8" xfId="16764" xr:uid="{00000000-0005-0000-0000-0000125E0000}"/>
    <cellStyle name="Normal 25 5 2 9" xfId="16765" xr:uid="{00000000-0005-0000-0000-0000135E0000}"/>
    <cellStyle name="Normal 25 5 3" xfId="16766" xr:uid="{00000000-0005-0000-0000-0000145E0000}"/>
    <cellStyle name="Normal 25 5 3 2" xfId="16767" xr:uid="{00000000-0005-0000-0000-0000155E0000}"/>
    <cellStyle name="Normal 25 5 3 2 2" xfId="16768" xr:uid="{00000000-0005-0000-0000-0000165E0000}"/>
    <cellStyle name="Normal 25 5 3 2 2 2" xfId="16769" xr:uid="{00000000-0005-0000-0000-0000175E0000}"/>
    <cellStyle name="Normal 25 5 3 2 2 2 2" xfId="53342" xr:uid="{00000000-0005-0000-0000-0000185E0000}"/>
    <cellStyle name="Normal 25 5 3 2 2 2 3" xfId="53343" xr:uid="{00000000-0005-0000-0000-0000195E0000}"/>
    <cellStyle name="Normal 25 5 3 2 2 3" xfId="16770" xr:uid="{00000000-0005-0000-0000-00001A5E0000}"/>
    <cellStyle name="Normal 25 5 3 2 2 3 2" xfId="53344" xr:uid="{00000000-0005-0000-0000-00001B5E0000}"/>
    <cellStyle name="Normal 25 5 3 2 2 4" xfId="16771" xr:uid="{00000000-0005-0000-0000-00001C5E0000}"/>
    <cellStyle name="Normal 25 5 3 2 2 5" xfId="16772" xr:uid="{00000000-0005-0000-0000-00001D5E0000}"/>
    <cellStyle name="Normal 25 5 3 2 2 6" xfId="16773" xr:uid="{00000000-0005-0000-0000-00001E5E0000}"/>
    <cellStyle name="Normal 25 5 3 2 3" xfId="16774" xr:uid="{00000000-0005-0000-0000-00001F5E0000}"/>
    <cellStyle name="Normal 25 5 3 2 3 2" xfId="53345" xr:uid="{00000000-0005-0000-0000-0000205E0000}"/>
    <cellStyle name="Normal 25 5 3 2 3 3" xfId="53346" xr:uid="{00000000-0005-0000-0000-0000215E0000}"/>
    <cellStyle name="Normal 25 5 3 2 4" xfId="16775" xr:uid="{00000000-0005-0000-0000-0000225E0000}"/>
    <cellStyle name="Normal 25 5 3 2 4 2" xfId="53347" xr:uid="{00000000-0005-0000-0000-0000235E0000}"/>
    <cellStyle name="Normal 25 5 3 2 5" xfId="16776" xr:uid="{00000000-0005-0000-0000-0000245E0000}"/>
    <cellStyle name="Normal 25 5 3 2 6" xfId="16777" xr:uid="{00000000-0005-0000-0000-0000255E0000}"/>
    <cellStyle name="Normal 25 5 3 2 7" xfId="16778" xr:uid="{00000000-0005-0000-0000-0000265E0000}"/>
    <cellStyle name="Normal 25 5 3 3" xfId="16779" xr:uid="{00000000-0005-0000-0000-0000275E0000}"/>
    <cellStyle name="Normal 25 5 3 3 2" xfId="16780" xr:uid="{00000000-0005-0000-0000-0000285E0000}"/>
    <cellStyle name="Normal 25 5 3 3 2 2" xfId="53348" xr:uid="{00000000-0005-0000-0000-0000295E0000}"/>
    <cellStyle name="Normal 25 5 3 3 2 3" xfId="53349" xr:uid="{00000000-0005-0000-0000-00002A5E0000}"/>
    <cellStyle name="Normal 25 5 3 3 3" xfId="16781" xr:uid="{00000000-0005-0000-0000-00002B5E0000}"/>
    <cellStyle name="Normal 25 5 3 3 3 2" xfId="53350" xr:uid="{00000000-0005-0000-0000-00002C5E0000}"/>
    <cellStyle name="Normal 25 5 3 3 4" xfId="16782" xr:uid="{00000000-0005-0000-0000-00002D5E0000}"/>
    <cellStyle name="Normal 25 5 3 3 5" xfId="16783" xr:uid="{00000000-0005-0000-0000-00002E5E0000}"/>
    <cellStyle name="Normal 25 5 3 3 6" xfId="16784" xr:uid="{00000000-0005-0000-0000-00002F5E0000}"/>
    <cellStyle name="Normal 25 5 3 4" xfId="16785" xr:uid="{00000000-0005-0000-0000-0000305E0000}"/>
    <cellStyle name="Normal 25 5 3 4 2" xfId="53351" xr:uid="{00000000-0005-0000-0000-0000315E0000}"/>
    <cellStyle name="Normal 25 5 3 4 3" xfId="53352" xr:uid="{00000000-0005-0000-0000-0000325E0000}"/>
    <cellStyle name="Normal 25 5 3 5" xfId="16786" xr:uid="{00000000-0005-0000-0000-0000335E0000}"/>
    <cellStyle name="Normal 25 5 3 5 2" xfId="53353" xr:uid="{00000000-0005-0000-0000-0000345E0000}"/>
    <cellStyle name="Normal 25 5 3 6" xfId="16787" xr:uid="{00000000-0005-0000-0000-0000355E0000}"/>
    <cellStyle name="Normal 25 5 3 7" xfId="16788" xr:uid="{00000000-0005-0000-0000-0000365E0000}"/>
    <cellStyle name="Normal 25 5 3 8" xfId="16789" xr:uid="{00000000-0005-0000-0000-0000375E0000}"/>
    <cellStyle name="Normal 25 5 4" xfId="16790" xr:uid="{00000000-0005-0000-0000-0000385E0000}"/>
    <cellStyle name="Normal 25 5 4 2" xfId="16791" xr:uid="{00000000-0005-0000-0000-0000395E0000}"/>
    <cellStyle name="Normal 25 5 4 2 2" xfId="16792" xr:uid="{00000000-0005-0000-0000-00003A5E0000}"/>
    <cellStyle name="Normal 25 5 4 2 2 2" xfId="53354" xr:uid="{00000000-0005-0000-0000-00003B5E0000}"/>
    <cellStyle name="Normal 25 5 4 2 2 3" xfId="53355" xr:uid="{00000000-0005-0000-0000-00003C5E0000}"/>
    <cellStyle name="Normal 25 5 4 2 3" xfId="16793" xr:uid="{00000000-0005-0000-0000-00003D5E0000}"/>
    <cellStyle name="Normal 25 5 4 2 3 2" xfId="53356" xr:uid="{00000000-0005-0000-0000-00003E5E0000}"/>
    <cellStyle name="Normal 25 5 4 2 4" xfId="16794" xr:uid="{00000000-0005-0000-0000-00003F5E0000}"/>
    <cellStyle name="Normal 25 5 4 2 5" xfId="16795" xr:uid="{00000000-0005-0000-0000-0000405E0000}"/>
    <cellStyle name="Normal 25 5 4 2 6" xfId="16796" xr:uid="{00000000-0005-0000-0000-0000415E0000}"/>
    <cellStyle name="Normal 25 5 4 3" xfId="16797" xr:uid="{00000000-0005-0000-0000-0000425E0000}"/>
    <cellStyle name="Normal 25 5 4 3 2" xfId="53357" xr:uid="{00000000-0005-0000-0000-0000435E0000}"/>
    <cellStyle name="Normal 25 5 4 3 3" xfId="53358" xr:uid="{00000000-0005-0000-0000-0000445E0000}"/>
    <cellStyle name="Normal 25 5 4 4" xfId="16798" xr:uid="{00000000-0005-0000-0000-0000455E0000}"/>
    <cellStyle name="Normal 25 5 4 4 2" xfId="53359" xr:uid="{00000000-0005-0000-0000-0000465E0000}"/>
    <cellStyle name="Normal 25 5 4 5" xfId="16799" xr:uid="{00000000-0005-0000-0000-0000475E0000}"/>
    <cellStyle name="Normal 25 5 4 6" xfId="16800" xr:uid="{00000000-0005-0000-0000-0000485E0000}"/>
    <cellStyle name="Normal 25 5 4 7" xfId="16801" xr:uid="{00000000-0005-0000-0000-0000495E0000}"/>
    <cellStyle name="Normal 25 5 5" xfId="16802" xr:uid="{00000000-0005-0000-0000-00004A5E0000}"/>
    <cellStyle name="Normal 25 5 5 2" xfId="16803" xr:uid="{00000000-0005-0000-0000-00004B5E0000}"/>
    <cellStyle name="Normal 25 5 5 2 2" xfId="53360" xr:uid="{00000000-0005-0000-0000-00004C5E0000}"/>
    <cellStyle name="Normal 25 5 5 2 3" xfId="53361" xr:uid="{00000000-0005-0000-0000-00004D5E0000}"/>
    <cellStyle name="Normal 25 5 5 3" xfId="16804" xr:uid="{00000000-0005-0000-0000-00004E5E0000}"/>
    <cellStyle name="Normal 25 5 5 3 2" xfId="53362" xr:uid="{00000000-0005-0000-0000-00004F5E0000}"/>
    <cellStyle name="Normal 25 5 5 4" xfId="16805" xr:uid="{00000000-0005-0000-0000-0000505E0000}"/>
    <cellStyle name="Normal 25 5 5 5" xfId="16806" xr:uid="{00000000-0005-0000-0000-0000515E0000}"/>
    <cellStyle name="Normal 25 5 5 6" xfId="16807" xr:uid="{00000000-0005-0000-0000-0000525E0000}"/>
    <cellStyle name="Normal 25 5 6" xfId="16808" xr:uid="{00000000-0005-0000-0000-0000535E0000}"/>
    <cellStyle name="Normal 25 5 6 2" xfId="53363" xr:uid="{00000000-0005-0000-0000-0000545E0000}"/>
    <cellStyle name="Normal 25 5 6 3" xfId="53364" xr:uid="{00000000-0005-0000-0000-0000555E0000}"/>
    <cellStyle name="Normal 25 5 7" xfId="16809" xr:uid="{00000000-0005-0000-0000-0000565E0000}"/>
    <cellStyle name="Normal 25 5 7 2" xfId="53365" xr:uid="{00000000-0005-0000-0000-0000575E0000}"/>
    <cellStyle name="Normal 25 5 8" xfId="16810" xr:uid="{00000000-0005-0000-0000-0000585E0000}"/>
    <cellStyle name="Normal 25 5 9" xfId="16811" xr:uid="{00000000-0005-0000-0000-0000595E0000}"/>
    <cellStyle name="Normal 25 6" xfId="16812" xr:uid="{00000000-0005-0000-0000-00005A5E0000}"/>
    <cellStyle name="Normal 25 6 10" xfId="16813" xr:uid="{00000000-0005-0000-0000-00005B5E0000}"/>
    <cellStyle name="Normal 25 6 11" xfId="16814" xr:uid="{00000000-0005-0000-0000-00005C5E0000}"/>
    <cellStyle name="Normal 25 6 12" xfId="16815" xr:uid="{00000000-0005-0000-0000-00005D5E0000}"/>
    <cellStyle name="Normal 25 6 13" xfId="16816" xr:uid="{00000000-0005-0000-0000-00005E5E0000}"/>
    <cellStyle name="Normal 25 6 2" xfId="16817" xr:uid="{00000000-0005-0000-0000-00005F5E0000}"/>
    <cellStyle name="Normal 25 6 2 2" xfId="16818" xr:uid="{00000000-0005-0000-0000-0000605E0000}"/>
    <cellStyle name="Normal 25 6 2 2 2" xfId="16819" xr:uid="{00000000-0005-0000-0000-0000615E0000}"/>
    <cellStyle name="Normal 25 6 2 2 2 2" xfId="16820" xr:uid="{00000000-0005-0000-0000-0000625E0000}"/>
    <cellStyle name="Normal 25 6 2 2 2 2 2" xfId="53366" xr:uid="{00000000-0005-0000-0000-0000635E0000}"/>
    <cellStyle name="Normal 25 6 2 2 2 2 3" xfId="53367" xr:uid="{00000000-0005-0000-0000-0000645E0000}"/>
    <cellStyle name="Normal 25 6 2 2 2 3" xfId="16821" xr:uid="{00000000-0005-0000-0000-0000655E0000}"/>
    <cellStyle name="Normal 25 6 2 2 2 3 2" xfId="53368" xr:uid="{00000000-0005-0000-0000-0000665E0000}"/>
    <cellStyle name="Normal 25 6 2 2 2 4" xfId="16822" xr:uid="{00000000-0005-0000-0000-0000675E0000}"/>
    <cellStyle name="Normal 25 6 2 2 2 5" xfId="16823" xr:uid="{00000000-0005-0000-0000-0000685E0000}"/>
    <cellStyle name="Normal 25 6 2 2 2 6" xfId="16824" xr:uid="{00000000-0005-0000-0000-0000695E0000}"/>
    <cellStyle name="Normal 25 6 2 2 3" xfId="16825" xr:uid="{00000000-0005-0000-0000-00006A5E0000}"/>
    <cellStyle name="Normal 25 6 2 2 3 2" xfId="53369" xr:uid="{00000000-0005-0000-0000-00006B5E0000}"/>
    <cellStyle name="Normal 25 6 2 2 3 3" xfId="53370" xr:uid="{00000000-0005-0000-0000-00006C5E0000}"/>
    <cellStyle name="Normal 25 6 2 2 4" xfId="16826" xr:uid="{00000000-0005-0000-0000-00006D5E0000}"/>
    <cellStyle name="Normal 25 6 2 2 4 2" xfId="53371" xr:uid="{00000000-0005-0000-0000-00006E5E0000}"/>
    <cellStyle name="Normal 25 6 2 2 5" xfId="16827" xr:uid="{00000000-0005-0000-0000-00006F5E0000}"/>
    <cellStyle name="Normal 25 6 2 2 6" xfId="16828" xr:uid="{00000000-0005-0000-0000-0000705E0000}"/>
    <cellStyle name="Normal 25 6 2 2 7" xfId="16829" xr:uid="{00000000-0005-0000-0000-0000715E0000}"/>
    <cellStyle name="Normal 25 6 2 3" xfId="16830" xr:uid="{00000000-0005-0000-0000-0000725E0000}"/>
    <cellStyle name="Normal 25 6 2 3 2" xfId="16831" xr:uid="{00000000-0005-0000-0000-0000735E0000}"/>
    <cellStyle name="Normal 25 6 2 3 2 2" xfId="53372" xr:uid="{00000000-0005-0000-0000-0000745E0000}"/>
    <cellStyle name="Normal 25 6 2 3 2 3" xfId="53373" xr:uid="{00000000-0005-0000-0000-0000755E0000}"/>
    <cellStyle name="Normal 25 6 2 3 3" xfId="16832" xr:uid="{00000000-0005-0000-0000-0000765E0000}"/>
    <cellStyle name="Normal 25 6 2 3 3 2" xfId="53374" xr:uid="{00000000-0005-0000-0000-0000775E0000}"/>
    <cellStyle name="Normal 25 6 2 3 4" xfId="16833" xr:uid="{00000000-0005-0000-0000-0000785E0000}"/>
    <cellStyle name="Normal 25 6 2 3 5" xfId="16834" xr:uid="{00000000-0005-0000-0000-0000795E0000}"/>
    <cellStyle name="Normal 25 6 2 3 6" xfId="16835" xr:uid="{00000000-0005-0000-0000-00007A5E0000}"/>
    <cellStyle name="Normal 25 6 2 4" xfId="16836" xr:uid="{00000000-0005-0000-0000-00007B5E0000}"/>
    <cellStyle name="Normal 25 6 2 4 2" xfId="53375" xr:uid="{00000000-0005-0000-0000-00007C5E0000}"/>
    <cellStyle name="Normal 25 6 2 4 3" xfId="53376" xr:uid="{00000000-0005-0000-0000-00007D5E0000}"/>
    <cellStyle name="Normal 25 6 2 5" xfId="16837" xr:uid="{00000000-0005-0000-0000-00007E5E0000}"/>
    <cellStyle name="Normal 25 6 2 5 2" xfId="53377" xr:uid="{00000000-0005-0000-0000-00007F5E0000}"/>
    <cellStyle name="Normal 25 6 2 6" xfId="16838" xr:uid="{00000000-0005-0000-0000-0000805E0000}"/>
    <cellStyle name="Normal 25 6 2 7" xfId="16839" xr:uid="{00000000-0005-0000-0000-0000815E0000}"/>
    <cellStyle name="Normal 25 6 2 8" xfId="16840" xr:uid="{00000000-0005-0000-0000-0000825E0000}"/>
    <cellStyle name="Normal 25 6 2 9" xfId="16841" xr:uid="{00000000-0005-0000-0000-0000835E0000}"/>
    <cellStyle name="Normal 25 6 3" xfId="16842" xr:uid="{00000000-0005-0000-0000-0000845E0000}"/>
    <cellStyle name="Normal 25 6 3 2" xfId="16843" xr:uid="{00000000-0005-0000-0000-0000855E0000}"/>
    <cellStyle name="Normal 25 6 3 2 2" xfId="16844" xr:uid="{00000000-0005-0000-0000-0000865E0000}"/>
    <cellStyle name="Normal 25 6 3 2 2 2" xfId="53378" xr:uid="{00000000-0005-0000-0000-0000875E0000}"/>
    <cellStyle name="Normal 25 6 3 2 2 3" xfId="53379" xr:uid="{00000000-0005-0000-0000-0000885E0000}"/>
    <cellStyle name="Normal 25 6 3 2 3" xfId="16845" xr:uid="{00000000-0005-0000-0000-0000895E0000}"/>
    <cellStyle name="Normal 25 6 3 2 3 2" xfId="53380" xr:uid="{00000000-0005-0000-0000-00008A5E0000}"/>
    <cellStyle name="Normal 25 6 3 2 4" xfId="16846" xr:uid="{00000000-0005-0000-0000-00008B5E0000}"/>
    <cellStyle name="Normal 25 6 3 2 5" xfId="16847" xr:uid="{00000000-0005-0000-0000-00008C5E0000}"/>
    <cellStyle name="Normal 25 6 3 2 6" xfId="16848" xr:uid="{00000000-0005-0000-0000-00008D5E0000}"/>
    <cellStyle name="Normal 25 6 3 3" xfId="16849" xr:uid="{00000000-0005-0000-0000-00008E5E0000}"/>
    <cellStyle name="Normal 25 6 3 3 2" xfId="53381" xr:uid="{00000000-0005-0000-0000-00008F5E0000}"/>
    <cellStyle name="Normal 25 6 3 3 3" xfId="53382" xr:uid="{00000000-0005-0000-0000-0000905E0000}"/>
    <cellStyle name="Normal 25 6 3 4" xfId="16850" xr:uid="{00000000-0005-0000-0000-0000915E0000}"/>
    <cellStyle name="Normal 25 6 3 4 2" xfId="53383" xr:uid="{00000000-0005-0000-0000-0000925E0000}"/>
    <cellStyle name="Normal 25 6 3 5" xfId="16851" xr:uid="{00000000-0005-0000-0000-0000935E0000}"/>
    <cellStyle name="Normal 25 6 3 6" xfId="16852" xr:uid="{00000000-0005-0000-0000-0000945E0000}"/>
    <cellStyle name="Normal 25 6 3 7" xfId="16853" xr:uid="{00000000-0005-0000-0000-0000955E0000}"/>
    <cellStyle name="Normal 25 6 4" xfId="16854" xr:uid="{00000000-0005-0000-0000-0000965E0000}"/>
    <cellStyle name="Normal 25 6 4 2" xfId="16855" xr:uid="{00000000-0005-0000-0000-0000975E0000}"/>
    <cellStyle name="Normal 25 6 4 2 2" xfId="53384" xr:uid="{00000000-0005-0000-0000-0000985E0000}"/>
    <cellStyle name="Normal 25 6 4 2 3" xfId="53385" xr:uid="{00000000-0005-0000-0000-0000995E0000}"/>
    <cellStyle name="Normal 25 6 4 3" xfId="16856" xr:uid="{00000000-0005-0000-0000-00009A5E0000}"/>
    <cellStyle name="Normal 25 6 4 3 2" xfId="53386" xr:uid="{00000000-0005-0000-0000-00009B5E0000}"/>
    <cellStyle name="Normal 25 6 4 4" xfId="16857" xr:uid="{00000000-0005-0000-0000-00009C5E0000}"/>
    <cellStyle name="Normal 25 6 4 5" xfId="16858" xr:uid="{00000000-0005-0000-0000-00009D5E0000}"/>
    <cellStyle name="Normal 25 6 4 6" xfId="16859" xr:uid="{00000000-0005-0000-0000-00009E5E0000}"/>
    <cellStyle name="Normal 25 6 5" xfId="16860" xr:uid="{00000000-0005-0000-0000-00009F5E0000}"/>
    <cellStyle name="Normal 25 6 5 2" xfId="53387" xr:uid="{00000000-0005-0000-0000-0000A05E0000}"/>
    <cellStyle name="Normal 25 6 5 3" xfId="53388" xr:uid="{00000000-0005-0000-0000-0000A15E0000}"/>
    <cellStyle name="Normal 25 6 6" xfId="16861" xr:uid="{00000000-0005-0000-0000-0000A25E0000}"/>
    <cellStyle name="Normal 25 6 6 2" xfId="53389" xr:uid="{00000000-0005-0000-0000-0000A35E0000}"/>
    <cellStyle name="Normal 25 6 7" xfId="16862" xr:uid="{00000000-0005-0000-0000-0000A45E0000}"/>
    <cellStyle name="Normal 25 6 8" xfId="16863" xr:uid="{00000000-0005-0000-0000-0000A55E0000}"/>
    <cellStyle name="Normal 25 6 9" xfId="16864" xr:uid="{00000000-0005-0000-0000-0000A65E0000}"/>
    <cellStyle name="Normal 25 7" xfId="16865" xr:uid="{00000000-0005-0000-0000-0000A75E0000}"/>
    <cellStyle name="Normal 25 7 2" xfId="16866" xr:uid="{00000000-0005-0000-0000-0000A85E0000}"/>
    <cellStyle name="Normal 25 7 2 2" xfId="16867" xr:uid="{00000000-0005-0000-0000-0000A95E0000}"/>
    <cellStyle name="Normal 25 7 2 2 2" xfId="16868" xr:uid="{00000000-0005-0000-0000-0000AA5E0000}"/>
    <cellStyle name="Normal 25 7 2 2 2 2" xfId="53390" xr:uid="{00000000-0005-0000-0000-0000AB5E0000}"/>
    <cellStyle name="Normal 25 7 2 2 2 3" xfId="53391" xr:uid="{00000000-0005-0000-0000-0000AC5E0000}"/>
    <cellStyle name="Normal 25 7 2 2 3" xfId="16869" xr:uid="{00000000-0005-0000-0000-0000AD5E0000}"/>
    <cellStyle name="Normal 25 7 2 2 3 2" xfId="53392" xr:uid="{00000000-0005-0000-0000-0000AE5E0000}"/>
    <cellStyle name="Normal 25 7 2 2 4" xfId="16870" xr:uid="{00000000-0005-0000-0000-0000AF5E0000}"/>
    <cellStyle name="Normal 25 7 2 2 5" xfId="16871" xr:uid="{00000000-0005-0000-0000-0000B05E0000}"/>
    <cellStyle name="Normal 25 7 2 2 6" xfId="16872" xr:uid="{00000000-0005-0000-0000-0000B15E0000}"/>
    <cellStyle name="Normal 25 7 2 3" xfId="16873" xr:uid="{00000000-0005-0000-0000-0000B25E0000}"/>
    <cellStyle name="Normal 25 7 2 3 2" xfId="53393" xr:uid="{00000000-0005-0000-0000-0000B35E0000}"/>
    <cellStyle name="Normal 25 7 2 3 3" xfId="53394" xr:uid="{00000000-0005-0000-0000-0000B45E0000}"/>
    <cellStyle name="Normal 25 7 2 4" xfId="16874" xr:uid="{00000000-0005-0000-0000-0000B55E0000}"/>
    <cellStyle name="Normal 25 7 2 4 2" xfId="53395" xr:uid="{00000000-0005-0000-0000-0000B65E0000}"/>
    <cellStyle name="Normal 25 7 2 5" xfId="16875" xr:uid="{00000000-0005-0000-0000-0000B75E0000}"/>
    <cellStyle name="Normal 25 7 2 6" xfId="16876" xr:uid="{00000000-0005-0000-0000-0000B85E0000}"/>
    <cellStyle name="Normal 25 7 2 7" xfId="16877" xr:uid="{00000000-0005-0000-0000-0000B95E0000}"/>
    <cellStyle name="Normal 25 7 3" xfId="16878" xr:uid="{00000000-0005-0000-0000-0000BA5E0000}"/>
    <cellStyle name="Normal 25 7 3 2" xfId="16879" xr:uid="{00000000-0005-0000-0000-0000BB5E0000}"/>
    <cellStyle name="Normal 25 7 3 2 2" xfId="53396" xr:uid="{00000000-0005-0000-0000-0000BC5E0000}"/>
    <cellStyle name="Normal 25 7 3 2 3" xfId="53397" xr:uid="{00000000-0005-0000-0000-0000BD5E0000}"/>
    <cellStyle name="Normal 25 7 3 3" xfId="16880" xr:uid="{00000000-0005-0000-0000-0000BE5E0000}"/>
    <cellStyle name="Normal 25 7 3 3 2" xfId="53398" xr:uid="{00000000-0005-0000-0000-0000BF5E0000}"/>
    <cellStyle name="Normal 25 7 3 4" xfId="16881" xr:uid="{00000000-0005-0000-0000-0000C05E0000}"/>
    <cellStyle name="Normal 25 7 3 5" xfId="16882" xr:uid="{00000000-0005-0000-0000-0000C15E0000}"/>
    <cellStyle name="Normal 25 7 3 6" xfId="16883" xr:uid="{00000000-0005-0000-0000-0000C25E0000}"/>
    <cellStyle name="Normal 25 7 4" xfId="16884" xr:uid="{00000000-0005-0000-0000-0000C35E0000}"/>
    <cellStyle name="Normal 25 7 4 2" xfId="53399" xr:uid="{00000000-0005-0000-0000-0000C45E0000}"/>
    <cellStyle name="Normal 25 7 4 3" xfId="53400" xr:uid="{00000000-0005-0000-0000-0000C55E0000}"/>
    <cellStyle name="Normal 25 7 5" xfId="16885" xr:uid="{00000000-0005-0000-0000-0000C65E0000}"/>
    <cellStyle name="Normal 25 7 5 2" xfId="53401" xr:uid="{00000000-0005-0000-0000-0000C75E0000}"/>
    <cellStyle name="Normal 25 7 6" xfId="16886" xr:uid="{00000000-0005-0000-0000-0000C85E0000}"/>
    <cellStyle name="Normal 25 7 7" xfId="16887" xr:uid="{00000000-0005-0000-0000-0000C95E0000}"/>
    <cellStyle name="Normal 25 7 8" xfId="16888" xr:uid="{00000000-0005-0000-0000-0000CA5E0000}"/>
    <cellStyle name="Normal 25 7 9" xfId="16889" xr:uid="{00000000-0005-0000-0000-0000CB5E0000}"/>
    <cellStyle name="Normal 25 8" xfId="16890" xr:uid="{00000000-0005-0000-0000-0000CC5E0000}"/>
    <cellStyle name="Normal 25 8 2" xfId="16891" xr:uid="{00000000-0005-0000-0000-0000CD5E0000}"/>
    <cellStyle name="Normal 25 8 2 2" xfId="16892" xr:uid="{00000000-0005-0000-0000-0000CE5E0000}"/>
    <cellStyle name="Normal 25 8 2 2 2" xfId="16893" xr:uid="{00000000-0005-0000-0000-0000CF5E0000}"/>
    <cellStyle name="Normal 25 8 2 2 2 2" xfId="53402" xr:uid="{00000000-0005-0000-0000-0000D05E0000}"/>
    <cellStyle name="Normal 25 8 2 2 2 3" xfId="53403" xr:uid="{00000000-0005-0000-0000-0000D15E0000}"/>
    <cellStyle name="Normal 25 8 2 2 3" xfId="16894" xr:uid="{00000000-0005-0000-0000-0000D25E0000}"/>
    <cellStyle name="Normal 25 8 2 2 3 2" xfId="53404" xr:uid="{00000000-0005-0000-0000-0000D35E0000}"/>
    <cellStyle name="Normal 25 8 2 2 4" xfId="16895" xr:uid="{00000000-0005-0000-0000-0000D45E0000}"/>
    <cellStyle name="Normal 25 8 2 2 5" xfId="16896" xr:uid="{00000000-0005-0000-0000-0000D55E0000}"/>
    <cellStyle name="Normal 25 8 2 2 6" xfId="16897" xr:uid="{00000000-0005-0000-0000-0000D65E0000}"/>
    <cellStyle name="Normal 25 8 2 3" xfId="16898" xr:uid="{00000000-0005-0000-0000-0000D75E0000}"/>
    <cellStyle name="Normal 25 8 2 3 2" xfId="53405" xr:uid="{00000000-0005-0000-0000-0000D85E0000}"/>
    <cellStyle name="Normal 25 8 2 3 3" xfId="53406" xr:uid="{00000000-0005-0000-0000-0000D95E0000}"/>
    <cellStyle name="Normal 25 8 2 4" xfId="16899" xr:uid="{00000000-0005-0000-0000-0000DA5E0000}"/>
    <cellStyle name="Normal 25 8 2 4 2" xfId="53407" xr:uid="{00000000-0005-0000-0000-0000DB5E0000}"/>
    <cellStyle name="Normal 25 8 2 5" xfId="16900" xr:uid="{00000000-0005-0000-0000-0000DC5E0000}"/>
    <cellStyle name="Normal 25 8 2 6" xfId="16901" xr:uid="{00000000-0005-0000-0000-0000DD5E0000}"/>
    <cellStyle name="Normal 25 8 2 7" xfId="16902" xr:uid="{00000000-0005-0000-0000-0000DE5E0000}"/>
    <cellStyle name="Normal 25 8 3" xfId="16903" xr:uid="{00000000-0005-0000-0000-0000DF5E0000}"/>
    <cellStyle name="Normal 25 8 3 2" xfId="16904" xr:uid="{00000000-0005-0000-0000-0000E05E0000}"/>
    <cellStyle name="Normal 25 8 3 2 2" xfId="53408" xr:uid="{00000000-0005-0000-0000-0000E15E0000}"/>
    <cellStyle name="Normal 25 8 3 2 3" xfId="53409" xr:uid="{00000000-0005-0000-0000-0000E25E0000}"/>
    <cellStyle name="Normal 25 8 3 3" xfId="16905" xr:uid="{00000000-0005-0000-0000-0000E35E0000}"/>
    <cellStyle name="Normal 25 8 3 3 2" xfId="53410" xr:uid="{00000000-0005-0000-0000-0000E45E0000}"/>
    <cellStyle name="Normal 25 8 3 4" xfId="16906" xr:uid="{00000000-0005-0000-0000-0000E55E0000}"/>
    <cellStyle name="Normal 25 8 3 5" xfId="16907" xr:uid="{00000000-0005-0000-0000-0000E65E0000}"/>
    <cellStyle name="Normal 25 8 3 6" xfId="16908" xr:uid="{00000000-0005-0000-0000-0000E75E0000}"/>
    <cellStyle name="Normal 25 8 4" xfId="16909" xr:uid="{00000000-0005-0000-0000-0000E85E0000}"/>
    <cellStyle name="Normal 25 8 4 2" xfId="53411" xr:uid="{00000000-0005-0000-0000-0000E95E0000}"/>
    <cellStyle name="Normal 25 8 4 3" xfId="53412" xr:uid="{00000000-0005-0000-0000-0000EA5E0000}"/>
    <cellStyle name="Normal 25 8 5" xfId="16910" xr:uid="{00000000-0005-0000-0000-0000EB5E0000}"/>
    <cellStyle name="Normal 25 8 5 2" xfId="53413" xr:uid="{00000000-0005-0000-0000-0000EC5E0000}"/>
    <cellStyle name="Normal 25 8 6" xfId="16911" xr:uid="{00000000-0005-0000-0000-0000ED5E0000}"/>
    <cellStyle name="Normal 25 8 7" xfId="16912" xr:uid="{00000000-0005-0000-0000-0000EE5E0000}"/>
    <cellStyle name="Normal 25 8 8" xfId="16913" xr:uid="{00000000-0005-0000-0000-0000EF5E0000}"/>
    <cellStyle name="Normal 25 9" xfId="16914" xr:uid="{00000000-0005-0000-0000-0000F05E0000}"/>
    <cellStyle name="Normal 25 9 2" xfId="16915" xr:uid="{00000000-0005-0000-0000-0000F15E0000}"/>
    <cellStyle name="Normal 25 9 2 2" xfId="16916" xr:uid="{00000000-0005-0000-0000-0000F25E0000}"/>
    <cellStyle name="Normal 25 9 2 2 2" xfId="16917" xr:uid="{00000000-0005-0000-0000-0000F35E0000}"/>
    <cellStyle name="Normal 25 9 2 2 2 2" xfId="53414" xr:uid="{00000000-0005-0000-0000-0000F45E0000}"/>
    <cellStyle name="Normal 25 9 2 2 2 3" xfId="53415" xr:uid="{00000000-0005-0000-0000-0000F55E0000}"/>
    <cellStyle name="Normal 25 9 2 2 3" xfId="16918" xr:uid="{00000000-0005-0000-0000-0000F65E0000}"/>
    <cellStyle name="Normal 25 9 2 2 3 2" xfId="53416" xr:uid="{00000000-0005-0000-0000-0000F75E0000}"/>
    <cellStyle name="Normal 25 9 2 2 4" xfId="16919" xr:uid="{00000000-0005-0000-0000-0000F85E0000}"/>
    <cellStyle name="Normal 25 9 2 2 5" xfId="16920" xr:uid="{00000000-0005-0000-0000-0000F95E0000}"/>
    <cellStyle name="Normal 25 9 2 2 6" xfId="16921" xr:uid="{00000000-0005-0000-0000-0000FA5E0000}"/>
    <cellStyle name="Normal 25 9 2 3" xfId="16922" xr:uid="{00000000-0005-0000-0000-0000FB5E0000}"/>
    <cellStyle name="Normal 25 9 2 3 2" xfId="53417" xr:uid="{00000000-0005-0000-0000-0000FC5E0000}"/>
    <cellStyle name="Normal 25 9 2 3 3" xfId="53418" xr:uid="{00000000-0005-0000-0000-0000FD5E0000}"/>
    <cellStyle name="Normal 25 9 2 4" xfId="16923" xr:uid="{00000000-0005-0000-0000-0000FE5E0000}"/>
    <cellStyle name="Normal 25 9 2 4 2" xfId="53419" xr:uid="{00000000-0005-0000-0000-0000FF5E0000}"/>
    <cellStyle name="Normal 25 9 2 5" xfId="16924" xr:uid="{00000000-0005-0000-0000-0000005F0000}"/>
    <cellStyle name="Normal 25 9 2 6" xfId="16925" xr:uid="{00000000-0005-0000-0000-0000015F0000}"/>
    <cellStyle name="Normal 25 9 2 7" xfId="16926" xr:uid="{00000000-0005-0000-0000-0000025F0000}"/>
    <cellStyle name="Normal 25 9 3" xfId="16927" xr:uid="{00000000-0005-0000-0000-0000035F0000}"/>
    <cellStyle name="Normal 25 9 3 2" xfId="16928" xr:uid="{00000000-0005-0000-0000-0000045F0000}"/>
    <cellStyle name="Normal 25 9 3 2 2" xfId="53420" xr:uid="{00000000-0005-0000-0000-0000055F0000}"/>
    <cellStyle name="Normal 25 9 3 2 3" xfId="53421" xr:uid="{00000000-0005-0000-0000-0000065F0000}"/>
    <cellStyle name="Normal 25 9 3 3" xfId="16929" xr:uid="{00000000-0005-0000-0000-0000075F0000}"/>
    <cellStyle name="Normal 25 9 3 3 2" xfId="53422" xr:uid="{00000000-0005-0000-0000-0000085F0000}"/>
    <cellStyle name="Normal 25 9 3 4" xfId="16930" xr:uid="{00000000-0005-0000-0000-0000095F0000}"/>
    <cellStyle name="Normal 25 9 3 5" xfId="16931" xr:uid="{00000000-0005-0000-0000-00000A5F0000}"/>
    <cellStyle name="Normal 25 9 3 6" xfId="16932" xr:uid="{00000000-0005-0000-0000-00000B5F0000}"/>
    <cellStyle name="Normal 25 9 4" xfId="16933" xr:uid="{00000000-0005-0000-0000-00000C5F0000}"/>
    <cellStyle name="Normal 25 9 4 2" xfId="53423" xr:uid="{00000000-0005-0000-0000-00000D5F0000}"/>
    <cellStyle name="Normal 25 9 4 3" xfId="53424" xr:uid="{00000000-0005-0000-0000-00000E5F0000}"/>
    <cellStyle name="Normal 25 9 5" xfId="16934" xr:uid="{00000000-0005-0000-0000-00000F5F0000}"/>
    <cellStyle name="Normal 25 9 5 2" xfId="53425" xr:uid="{00000000-0005-0000-0000-0000105F0000}"/>
    <cellStyle name="Normal 25 9 6" xfId="16935" xr:uid="{00000000-0005-0000-0000-0000115F0000}"/>
    <cellStyle name="Normal 25 9 7" xfId="16936" xr:uid="{00000000-0005-0000-0000-0000125F0000}"/>
    <cellStyle name="Normal 25 9 8" xfId="16937" xr:uid="{00000000-0005-0000-0000-0000135F0000}"/>
    <cellStyle name="Normal 26" xfId="16938" xr:uid="{00000000-0005-0000-0000-0000145F0000}"/>
    <cellStyle name="Normal 26 2" xfId="16939" xr:uid="{00000000-0005-0000-0000-0000155F0000}"/>
    <cellStyle name="Normal 26 2 2" xfId="16940" xr:uid="{00000000-0005-0000-0000-0000165F0000}"/>
    <cellStyle name="Normal 26 2 3" xfId="16941" xr:uid="{00000000-0005-0000-0000-0000175F0000}"/>
    <cellStyle name="Normal 26 2 3 2" xfId="53426" xr:uid="{00000000-0005-0000-0000-0000185F0000}"/>
    <cellStyle name="Normal 26 2 4" xfId="16942" xr:uid="{00000000-0005-0000-0000-0000195F0000}"/>
    <cellStyle name="Normal 26 3" xfId="16943" xr:uid="{00000000-0005-0000-0000-00001A5F0000}"/>
    <cellStyle name="Normal 26 3 2" xfId="16944" xr:uid="{00000000-0005-0000-0000-00001B5F0000}"/>
    <cellStyle name="Normal 26 4" xfId="16945" xr:uid="{00000000-0005-0000-0000-00001C5F0000}"/>
    <cellStyle name="Normal 26 4 2" xfId="16946" xr:uid="{00000000-0005-0000-0000-00001D5F0000}"/>
    <cellStyle name="Normal 26 5" xfId="16947" xr:uid="{00000000-0005-0000-0000-00001E5F0000}"/>
    <cellStyle name="Normal 26 5 2" xfId="53427" xr:uid="{00000000-0005-0000-0000-00001F5F0000}"/>
    <cellStyle name="Normal 26 6" xfId="16948" xr:uid="{00000000-0005-0000-0000-0000205F0000}"/>
    <cellStyle name="Normal 27" xfId="16949" xr:uid="{00000000-0005-0000-0000-0000215F0000}"/>
    <cellStyle name="Normal 27 2" xfId="16950" xr:uid="{00000000-0005-0000-0000-0000225F0000}"/>
    <cellStyle name="Normal 27 2 2" xfId="16951" xr:uid="{00000000-0005-0000-0000-0000235F0000}"/>
    <cellStyle name="Normal 27 2 3" xfId="16952" xr:uid="{00000000-0005-0000-0000-0000245F0000}"/>
    <cellStyle name="Normal 27 2 3 2" xfId="53428" xr:uid="{00000000-0005-0000-0000-0000255F0000}"/>
    <cellStyle name="Normal 27 2 4" xfId="16953" xr:uid="{00000000-0005-0000-0000-0000265F0000}"/>
    <cellStyle name="Normal 27 3" xfId="16954" xr:uid="{00000000-0005-0000-0000-0000275F0000}"/>
    <cellStyle name="Normal 27 3 2" xfId="16955" xr:uid="{00000000-0005-0000-0000-0000285F0000}"/>
    <cellStyle name="Normal 27 4" xfId="16956" xr:uid="{00000000-0005-0000-0000-0000295F0000}"/>
    <cellStyle name="Normal 27 5" xfId="16957" xr:uid="{00000000-0005-0000-0000-00002A5F0000}"/>
    <cellStyle name="Normal 27 6" xfId="16958" xr:uid="{00000000-0005-0000-0000-00002B5F0000}"/>
    <cellStyle name="Normal 27 6 2" xfId="53429" xr:uid="{00000000-0005-0000-0000-00002C5F0000}"/>
    <cellStyle name="Normal 27 7" xfId="16959" xr:uid="{00000000-0005-0000-0000-00002D5F0000}"/>
    <cellStyle name="Normal 28" xfId="16960" xr:uid="{00000000-0005-0000-0000-00002E5F0000}"/>
    <cellStyle name="Normal 28 2" xfId="16961" xr:uid="{00000000-0005-0000-0000-00002F5F0000}"/>
    <cellStyle name="Normal 28 2 10" xfId="16962" xr:uid="{00000000-0005-0000-0000-0000305F0000}"/>
    <cellStyle name="Normal 28 2 10 2" xfId="53430" xr:uid="{00000000-0005-0000-0000-0000315F0000}"/>
    <cellStyle name="Normal 28 2 10 3" xfId="53431" xr:uid="{00000000-0005-0000-0000-0000325F0000}"/>
    <cellStyle name="Normal 28 2 11" xfId="16963" xr:uid="{00000000-0005-0000-0000-0000335F0000}"/>
    <cellStyle name="Normal 28 2 11 2" xfId="53432" xr:uid="{00000000-0005-0000-0000-0000345F0000}"/>
    <cellStyle name="Normal 28 2 12" xfId="16964" xr:uid="{00000000-0005-0000-0000-0000355F0000}"/>
    <cellStyle name="Normal 28 2 13" xfId="16965" xr:uid="{00000000-0005-0000-0000-0000365F0000}"/>
    <cellStyle name="Normal 28 2 14" xfId="16966" xr:uid="{00000000-0005-0000-0000-0000375F0000}"/>
    <cellStyle name="Normal 28 2 15" xfId="16967" xr:uid="{00000000-0005-0000-0000-0000385F0000}"/>
    <cellStyle name="Normal 28 2 16" xfId="16968" xr:uid="{00000000-0005-0000-0000-0000395F0000}"/>
    <cellStyle name="Normal 28 2 17" xfId="16969" xr:uid="{00000000-0005-0000-0000-00003A5F0000}"/>
    <cellStyle name="Normal 28 2 18" xfId="16970" xr:uid="{00000000-0005-0000-0000-00003B5F0000}"/>
    <cellStyle name="Normal 28 2 19" xfId="16971" xr:uid="{00000000-0005-0000-0000-00003C5F0000}"/>
    <cellStyle name="Normal 28 2 2" xfId="16972" xr:uid="{00000000-0005-0000-0000-00003D5F0000}"/>
    <cellStyle name="Normal 28 2 2 10" xfId="16973" xr:uid="{00000000-0005-0000-0000-00003E5F0000}"/>
    <cellStyle name="Normal 28 2 2 11" xfId="16974" xr:uid="{00000000-0005-0000-0000-00003F5F0000}"/>
    <cellStyle name="Normal 28 2 2 12" xfId="16975" xr:uid="{00000000-0005-0000-0000-0000405F0000}"/>
    <cellStyle name="Normal 28 2 2 13" xfId="16976" xr:uid="{00000000-0005-0000-0000-0000415F0000}"/>
    <cellStyle name="Normal 28 2 2 14" xfId="16977" xr:uid="{00000000-0005-0000-0000-0000425F0000}"/>
    <cellStyle name="Normal 28 2 2 2" xfId="16978" xr:uid="{00000000-0005-0000-0000-0000435F0000}"/>
    <cellStyle name="Normal 28 2 2 2 2" xfId="16979" xr:uid="{00000000-0005-0000-0000-0000445F0000}"/>
    <cellStyle name="Normal 28 2 2 2 2 2" xfId="16980" xr:uid="{00000000-0005-0000-0000-0000455F0000}"/>
    <cellStyle name="Normal 28 2 2 2 2 2 2" xfId="16981" xr:uid="{00000000-0005-0000-0000-0000465F0000}"/>
    <cellStyle name="Normal 28 2 2 2 2 2 2 2" xfId="53433" xr:uid="{00000000-0005-0000-0000-0000475F0000}"/>
    <cellStyle name="Normal 28 2 2 2 2 2 2 3" xfId="53434" xr:uid="{00000000-0005-0000-0000-0000485F0000}"/>
    <cellStyle name="Normal 28 2 2 2 2 2 3" xfId="16982" xr:uid="{00000000-0005-0000-0000-0000495F0000}"/>
    <cellStyle name="Normal 28 2 2 2 2 2 3 2" xfId="53435" xr:uid="{00000000-0005-0000-0000-00004A5F0000}"/>
    <cellStyle name="Normal 28 2 2 2 2 2 4" xfId="16983" xr:uid="{00000000-0005-0000-0000-00004B5F0000}"/>
    <cellStyle name="Normal 28 2 2 2 2 2 5" xfId="16984" xr:uid="{00000000-0005-0000-0000-00004C5F0000}"/>
    <cellStyle name="Normal 28 2 2 2 2 2 6" xfId="16985" xr:uid="{00000000-0005-0000-0000-00004D5F0000}"/>
    <cellStyle name="Normal 28 2 2 2 2 3" xfId="16986" xr:uid="{00000000-0005-0000-0000-00004E5F0000}"/>
    <cellStyle name="Normal 28 2 2 2 2 3 2" xfId="53436" xr:uid="{00000000-0005-0000-0000-00004F5F0000}"/>
    <cellStyle name="Normal 28 2 2 2 2 3 3" xfId="53437" xr:uid="{00000000-0005-0000-0000-0000505F0000}"/>
    <cellStyle name="Normal 28 2 2 2 2 4" xfId="16987" xr:uid="{00000000-0005-0000-0000-0000515F0000}"/>
    <cellStyle name="Normal 28 2 2 2 2 4 2" xfId="53438" xr:uid="{00000000-0005-0000-0000-0000525F0000}"/>
    <cellStyle name="Normal 28 2 2 2 2 5" xfId="16988" xr:uid="{00000000-0005-0000-0000-0000535F0000}"/>
    <cellStyle name="Normal 28 2 2 2 2 6" xfId="16989" xr:uid="{00000000-0005-0000-0000-0000545F0000}"/>
    <cellStyle name="Normal 28 2 2 2 2 7" xfId="16990" xr:uid="{00000000-0005-0000-0000-0000555F0000}"/>
    <cellStyle name="Normal 28 2 2 2 3" xfId="16991" xr:uid="{00000000-0005-0000-0000-0000565F0000}"/>
    <cellStyle name="Normal 28 2 2 2 3 2" xfId="16992" xr:uid="{00000000-0005-0000-0000-0000575F0000}"/>
    <cellStyle name="Normal 28 2 2 2 3 2 2" xfId="53439" xr:uid="{00000000-0005-0000-0000-0000585F0000}"/>
    <cellStyle name="Normal 28 2 2 2 3 2 3" xfId="53440" xr:uid="{00000000-0005-0000-0000-0000595F0000}"/>
    <cellStyle name="Normal 28 2 2 2 3 3" xfId="16993" xr:uid="{00000000-0005-0000-0000-00005A5F0000}"/>
    <cellStyle name="Normal 28 2 2 2 3 3 2" xfId="53441" xr:uid="{00000000-0005-0000-0000-00005B5F0000}"/>
    <cellStyle name="Normal 28 2 2 2 3 4" xfId="16994" xr:uid="{00000000-0005-0000-0000-00005C5F0000}"/>
    <cellStyle name="Normal 28 2 2 2 3 5" xfId="16995" xr:uid="{00000000-0005-0000-0000-00005D5F0000}"/>
    <cellStyle name="Normal 28 2 2 2 3 6" xfId="16996" xr:uid="{00000000-0005-0000-0000-00005E5F0000}"/>
    <cellStyle name="Normal 28 2 2 2 4" xfId="16997" xr:uid="{00000000-0005-0000-0000-00005F5F0000}"/>
    <cellStyle name="Normal 28 2 2 2 4 2" xfId="53442" xr:uid="{00000000-0005-0000-0000-0000605F0000}"/>
    <cellStyle name="Normal 28 2 2 2 4 3" xfId="53443" xr:uid="{00000000-0005-0000-0000-0000615F0000}"/>
    <cellStyle name="Normal 28 2 2 2 5" xfId="16998" xr:uid="{00000000-0005-0000-0000-0000625F0000}"/>
    <cellStyle name="Normal 28 2 2 2 5 2" xfId="53444" xr:uid="{00000000-0005-0000-0000-0000635F0000}"/>
    <cellStyle name="Normal 28 2 2 2 6" xfId="16999" xr:uid="{00000000-0005-0000-0000-0000645F0000}"/>
    <cellStyle name="Normal 28 2 2 2 7" xfId="17000" xr:uid="{00000000-0005-0000-0000-0000655F0000}"/>
    <cellStyle name="Normal 28 2 2 2 8" xfId="17001" xr:uid="{00000000-0005-0000-0000-0000665F0000}"/>
    <cellStyle name="Normal 28 2 2 2 9" xfId="17002" xr:uid="{00000000-0005-0000-0000-0000675F0000}"/>
    <cellStyle name="Normal 28 2 2 3" xfId="17003" xr:uid="{00000000-0005-0000-0000-0000685F0000}"/>
    <cellStyle name="Normal 28 2 2 3 2" xfId="17004" xr:uid="{00000000-0005-0000-0000-0000695F0000}"/>
    <cellStyle name="Normal 28 2 2 3 2 2" xfId="17005" xr:uid="{00000000-0005-0000-0000-00006A5F0000}"/>
    <cellStyle name="Normal 28 2 2 3 2 2 2" xfId="17006" xr:uid="{00000000-0005-0000-0000-00006B5F0000}"/>
    <cellStyle name="Normal 28 2 2 3 2 2 2 2" xfId="53445" xr:uid="{00000000-0005-0000-0000-00006C5F0000}"/>
    <cellStyle name="Normal 28 2 2 3 2 2 2 3" xfId="53446" xr:uid="{00000000-0005-0000-0000-00006D5F0000}"/>
    <cellStyle name="Normal 28 2 2 3 2 2 3" xfId="17007" xr:uid="{00000000-0005-0000-0000-00006E5F0000}"/>
    <cellStyle name="Normal 28 2 2 3 2 2 3 2" xfId="53447" xr:uid="{00000000-0005-0000-0000-00006F5F0000}"/>
    <cellStyle name="Normal 28 2 2 3 2 2 4" xfId="17008" xr:uid="{00000000-0005-0000-0000-0000705F0000}"/>
    <cellStyle name="Normal 28 2 2 3 2 2 5" xfId="17009" xr:uid="{00000000-0005-0000-0000-0000715F0000}"/>
    <cellStyle name="Normal 28 2 2 3 2 2 6" xfId="17010" xr:uid="{00000000-0005-0000-0000-0000725F0000}"/>
    <cellStyle name="Normal 28 2 2 3 2 3" xfId="17011" xr:uid="{00000000-0005-0000-0000-0000735F0000}"/>
    <cellStyle name="Normal 28 2 2 3 2 3 2" xfId="53448" xr:uid="{00000000-0005-0000-0000-0000745F0000}"/>
    <cellStyle name="Normal 28 2 2 3 2 3 3" xfId="53449" xr:uid="{00000000-0005-0000-0000-0000755F0000}"/>
    <cellStyle name="Normal 28 2 2 3 2 4" xfId="17012" xr:uid="{00000000-0005-0000-0000-0000765F0000}"/>
    <cellStyle name="Normal 28 2 2 3 2 4 2" xfId="53450" xr:uid="{00000000-0005-0000-0000-0000775F0000}"/>
    <cellStyle name="Normal 28 2 2 3 2 5" xfId="17013" xr:uid="{00000000-0005-0000-0000-0000785F0000}"/>
    <cellStyle name="Normal 28 2 2 3 2 6" xfId="17014" xr:uid="{00000000-0005-0000-0000-0000795F0000}"/>
    <cellStyle name="Normal 28 2 2 3 2 7" xfId="17015" xr:uid="{00000000-0005-0000-0000-00007A5F0000}"/>
    <cellStyle name="Normal 28 2 2 3 3" xfId="17016" xr:uid="{00000000-0005-0000-0000-00007B5F0000}"/>
    <cellStyle name="Normal 28 2 2 3 3 2" xfId="17017" xr:uid="{00000000-0005-0000-0000-00007C5F0000}"/>
    <cellStyle name="Normal 28 2 2 3 3 2 2" xfId="53451" xr:uid="{00000000-0005-0000-0000-00007D5F0000}"/>
    <cellStyle name="Normal 28 2 2 3 3 2 3" xfId="53452" xr:uid="{00000000-0005-0000-0000-00007E5F0000}"/>
    <cellStyle name="Normal 28 2 2 3 3 3" xfId="17018" xr:uid="{00000000-0005-0000-0000-00007F5F0000}"/>
    <cellStyle name="Normal 28 2 2 3 3 3 2" xfId="53453" xr:uid="{00000000-0005-0000-0000-0000805F0000}"/>
    <cellStyle name="Normal 28 2 2 3 3 4" xfId="17019" xr:uid="{00000000-0005-0000-0000-0000815F0000}"/>
    <cellStyle name="Normal 28 2 2 3 3 5" xfId="17020" xr:uid="{00000000-0005-0000-0000-0000825F0000}"/>
    <cellStyle name="Normal 28 2 2 3 3 6" xfId="17021" xr:uid="{00000000-0005-0000-0000-0000835F0000}"/>
    <cellStyle name="Normal 28 2 2 3 4" xfId="17022" xr:uid="{00000000-0005-0000-0000-0000845F0000}"/>
    <cellStyle name="Normal 28 2 2 3 4 2" xfId="53454" xr:uid="{00000000-0005-0000-0000-0000855F0000}"/>
    <cellStyle name="Normal 28 2 2 3 4 3" xfId="53455" xr:uid="{00000000-0005-0000-0000-0000865F0000}"/>
    <cellStyle name="Normal 28 2 2 3 5" xfId="17023" xr:uid="{00000000-0005-0000-0000-0000875F0000}"/>
    <cellStyle name="Normal 28 2 2 3 5 2" xfId="53456" xr:uid="{00000000-0005-0000-0000-0000885F0000}"/>
    <cellStyle name="Normal 28 2 2 3 6" xfId="17024" xr:uid="{00000000-0005-0000-0000-0000895F0000}"/>
    <cellStyle name="Normal 28 2 2 3 7" xfId="17025" xr:uid="{00000000-0005-0000-0000-00008A5F0000}"/>
    <cellStyle name="Normal 28 2 2 3 8" xfId="17026" xr:uid="{00000000-0005-0000-0000-00008B5F0000}"/>
    <cellStyle name="Normal 28 2 2 4" xfId="17027" xr:uid="{00000000-0005-0000-0000-00008C5F0000}"/>
    <cellStyle name="Normal 28 2 2 4 2" xfId="17028" xr:uid="{00000000-0005-0000-0000-00008D5F0000}"/>
    <cellStyle name="Normal 28 2 2 4 2 2" xfId="17029" xr:uid="{00000000-0005-0000-0000-00008E5F0000}"/>
    <cellStyle name="Normal 28 2 2 4 2 2 2" xfId="53457" xr:uid="{00000000-0005-0000-0000-00008F5F0000}"/>
    <cellStyle name="Normal 28 2 2 4 2 2 3" xfId="53458" xr:uid="{00000000-0005-0000-0000-0000905F0000}"/>
    <cellStyle name="Normal 28 2 2 4 2 3" xfId="17030" xr:uid="{00000000-0005-0000-0000-0000915F0000}"/>
    <cellStyle name="Normal 28 2 2 4 2 3 2" xfId="53459" xr:uid="{00000000-0005-0000-0000-0000925F0000}"/>
    <cellStyle name="Normal 28 2 2 4 2 4" xfId="17031" xr:uid="{00000000-0005-0000-0000-0000935F0000}"/>
    <cellStyle name="Normal 28 2 2 4 2 5" xfId="17032" xr:uid="{00000000-0005-0000-0000-0000945F0000}"/>
    <cellStyle name="Normal 28 2 2 4 2 6" xfId="17033" xr:uid="{00000000-0005-0000-0000-0000955F0000}"/>
    <cellStyle name="Normal 28 2 2 4 3" xfId="17034" xr:uid="{00000000-0005-0000-0000-0000965F0000}"/>
    <cellStyle name="Normal 28 2 2 4 3 2" xfId="53460" xr:uid="{00000000-0005-0000-0000-0000975F0000}"/>
    <cellStyle name="Normal 28 2 2 4 3 3" xfId="53461" xr:uid="{00000000-0005-0000-0000-0000985F0000}"/>
    <cellStyle name="Normal 28 2 2 4 4" xfId="17035" xr:uid="{00000000-0005-0000-0000-0000995F0000}"/>
    <cellStyle name="Normal 28 2 2 4 4 2" xfId="53462" xr:uid="{00000000-0005-0000-0000-00009A5F0000}"/>
    <cellStyle name="Normal 28 2 2 4 5" xfId="17036" xr:uid="{00000000-0005-0000-0000-00009B5F0000}"/>
    <cellStyle name="Normal 28 2 2 4 6" xfId="17037" xr:uid="{00000000-0005-0000-0000-00009C5F0000}"/>
    <cellStyle name="Normal 28 2 2 4 7" xfId="17038" xr:uid="{00000000-0005-0000-0000-00009D5F0000}"/>
    <cellStyle name="Normal 28 2 2 5" xfId="17039" xr:uid="{00000000-0005-0000-0000-00009E5F0000}"/>
    <cellStyle name="Normal 28 2 2 5 2" xfId="17040" xr:uid="{00000000-0005-0000-0000-00009F5F0000}"/>
    <cellStyle name="Normal 28 2 2 5 2 2" xfId="53463" xr:uid="{00000000-0005-0000-0000-0000A05F0000}"/>
    <cellStyle name="Normal 28 2 2 5 2 3" xfId="53464" xr:uid="{00000000-0005-0000-0000-0000A15F0000}"/>
    <cellStyle name="Normal 28 2 2 5 3" xfId="17041" xr:uid="{00000000-0005-0000-0000-0000A25F0000}"/>
    <cellStyle name="Normal 28 2 2 5 3 2" xfId="53465" xr:uid="{00000000-0005-0000-0000-0000A35F0000}"/>
    <cellStyle name="Normal 28 2 2 5 4" xfId="17042" xr:uid="{00000000-0005-0000-0000-0000A45F0000}"/>
    <cellStyle name="Normal 28 2 2 5 5" xfId="17043" xr:uid="{00000000-0005-0000-0000-0000A55F0000}"/>
    <cellStyle name="Normal 28 2 2 5 6" xfId="17044" xr:uid="{00000000-0005-0000-0000-0000A65F0000}"/>
    <cellStyle name="Normal 28 2 2 6" xfId="17045" xr:uid="{00000000-0005-0000-0000-0000A75F0000}"/>
    <cellStyle name="Normal 28 2 2 6 2" xfId="53466" xr:uid="{00000000-0005-0000-0000-0000A85F0000}"/>
    <cellStyle name="Normal 28 2 2 6 3" xfId="53467" xr:uid="{00000000-0005-0000-0000-0000A95F0000}"/>
    <cellStyle name="Normal 28 2 2 7" xfId="17046" xr:uid="{00000000-0005-0000-0000-0000AA5F0000}"/>
    <cellStyle name="Normal 28 2 2 7 2" xfId="53468" xr:uid="{00000000-0005-0000-0000-0000AB5F0000}"/>
    <cellStyle name="Normal 28 2 2 8" xfId="17047" xr:uid="{00000000-0005-0000-0000-0000AC5F0000}"/>
    <cellStyle name="Normal 28 2 2 9" xfId="17048" xr:uid="{00000000-0005-0000-0000-0000AD5F0000}"/>
    <cellStyle name="Normal 28 2 3" xfId="17049" xr:uid="{00000000-0005-0000-0000-0000AE5F0000}"/>
    <cellStyle name="Normal 28 2 3 10" xfId="17050" xr:uid="{00000000-0005-0000-0000-0000AF5F0000}"/>
    <cellStyle name="Normal 28 2 3 11" xfId="17051" xr:uid="{00000000-0005-0000-0000-0000B05F0000}"/>
    <cellStyle name="Normal 28 2 3 12" xfId="17052" xr:uid="{00000000-0005-0000-0000-0000B15F0000}"/>
    <cellStyle name="Normal 28 2 3 13" xfId="17053" xr:uid="{00000000-0005-0000-0000-0000B25F0000}"/>
    <cellStyle name="Normal 28 2 3 14" xfId="17054" xr:uid="{00000000-0005-0000-0000-0000B35F0000}"/>
    <cellStyle name="Normal 28 2 3 2" xfId="17055" xr:uid="{00000000-0005-0000-0000-0000B45F0000}"/>
    <cellStyle name="Normal 28 2 3 2 2" xfId="17056" xr:uid="{00000000-0005-0000-0000-0000B55F0000}"/>
    <cellStyle name="Normal 28 2 3 2 2 2" xfId="17057" xr:uid="{00000000-0005-0000-0000-0000B65F0000}"/>
    <cellStyle name="Normal 28 2 3 2 2 2 2" xfId="17058" xr:uid="{00000000-0005-0000-0000-0000B75F0000}"/>
    <cellStyle name="Normal 28 2 3 2 2 2 2 2" xfId="53469" xr:uid="{00000000-0005-0000-0000-0000B85F0000}"/>
    <cellStyle name="Normal 28 2 3 2 2 2 2 3" xfId="53470" xr:uid="{00000000-0005-0000-0000-0000B95F0000}"/>
    <cellStyle name="Normal 28 2 3 2 2 2 3" xfId="17059" xr:uid="{00000000-0005-0000-0000-0000BA5F0000}"/>
    <cellStyle name="Normal 28 2 3 2 2 2 3 2" xfId="53471" xr:uid="{00000000-0005-0000-0000-0000BB5F0000}"/>
    <cellStyle name="Normal 28 2 3 2 2 2 4" xfId="17060" xr:uid="{00000000-0005-0000-0000-0000BC5F0000}"/>
    <cellStyle name="Normal 28 2 3 2 2 2 5" xfId="17061" xr:uid="{00000000-0005-0000-0000-0000BD5F0000}"/>
    <cellStyle name="Normal 28 2 3 2 2 2 6" xfId="17062" xr:uid="{00000000-0005-0000-0000-0000BE5F0000}"/>
    <cellStyle name="Normal 28 2 3 2 2 3" xfId="17063" xr:uid="{00000000-0005-0000-0000-0000BF5F0000}"/>
    <cellStyle name="Normal 28 2 3 2 2 3 2" xfId="53472" xr:uid="{00000000-0005-0000-0000-0000C05F0000}"/>
    <cellStyle name="Normal 28 2 3 2 2 3 3" xfId="53473" xr:uid="{00000000-0005-0000-0000-0000C15F0000}"/>
    <cellStyle name="Normal 28 2 3 2 2 4" xfId="17064" xr:uid="{00000000-0005-0000-0000-0000C25F0000}"/>
    <cellStyle name="Normal 28 2 3 2 2 4 2" xfId="53474" xr:uid="{00000000-0005-0000-0000-0000C35F0000}"/>
    <cellStyle name="Normal 28 2 3 2 2 5" xfId="17065" xr:uid="{00000000-0005-0000-0000-0000C45F0000}"/>
    <cellStyle name="Normal 28 2 3 2 2 6" xfId="17066" xr:uid="{00000000-0005-0000-0000-0000C55F0000}"/>
    <cellStyle name="Normal 28 2 3 2 2 7" xfId="17067" xr:uid="{00000000-0005-0000-0000-0000C65F0000}"/>
    <cellStyle name="Normal 28 2 3 2 3" xfId="17068" xr:uid="{00000000-0005-0000-0000-0000C75F0000}"/>
    <cellStyle name="Normal 28 2 3 2 3 2" xfId="17069" xr:uid="{00000000-0005-0000-0000-0000C85F0000}"/>
    <cellStyle name="Normal 28 2 3 2 3 2 2" xfId="53475" xr:uid="{00000000-0005-0000-0000-0000C95F0000}"/>
    <cellStyle name="Normal 28 2 3 2 3 2 3" xfId="53476" xr:uid="{00000000-0005-0000-0000-0000CA5F0000}"/>
    <cellStyle name="Normal 28 2 3 2 3 3" xfId="17070" xr:uid="{00000000-0005-0000-0000-0000CB5F0000}"/>
    <cellStyle name="Normal 28 2 3 2 3 3 2" xfId="53477" xr:uid="{00000000-0005-0000-0000-0000CC5F0000}"/>
    <cellStyle name="Normal 28 2 3 2 3 4" xfId="17071" xr:uid="{00000000-0005-0000-0000-0000CD5F0000}"/>
    <cellStyle name="Normal 28 2 3 2 3 5" xfId="17072" xr:uid="{00000000-0005-0000-0000-0000CE5F0000}"/>
    <cellStyle name="Normal 28 2 3 2 3 6" xfId="17073" xr:uid="{00000000-0005-0000-0000-0000CF5F0000}"/>
    <cellStyle name="Normal 28 2 3 2 4" xfId="17074" xr:uid="{00000000-0005-0000-0000-0000D05F0000}"/>
    <cellStyle name="Normal 28 2 3 2 4 2" xfId="53478" xr:uid="{00000000-0005-0000-0000-0000D15F0000}"/>
    <cellStyle name="Normal 28 2 3 2 4 3" xfId="53479" xr:uid="{00000000-0005-0000-0000-0000D25F0000}"/>
    <cellStyle name="Normal 28 2 3 2 5" xfId="17075" xr:uid="{00000000-0005-0000-0000-0000D35F0000}"/>
    <cellStyle name="Normal 28 2 3 2 5 2" xfId="53480" xr:uid="{00000000-0005-0000-0000-0000D45F0000}"/>
    <cellStyle name="Normal 28 2 3 2 6" xfId="17076" xr:uid="{00000000-0005-0000-0000-0000D55F0000}"/>
    <cellStyle name="Normal 28 2 3 2 7" xfId="17077" xr:uid="{00000000-0005-0000-0000-0000D65F0000}"/>
    <cellStyle name="Normal 28 2 3 2 8" xfId="17078" xr:uid="{00000000-0005-0000-0000-0000D75F0000}"/>
    <cellStyle name="Normal 28 2 3 2 9" xfId="17079" xr:uid="{00000000-0005-0000-0000-0000D85F0000}"/>
    <cellStyle name="Normal 28 2 3 3" xfId="17080" xr:uid="{00000000-0005-0000-0000-0000D95F0000}"/>
    <cellStyle name="Normal 28 2 3 3 2" xfId="17081" xr:uid="{00000000-0005-0000-0000-0000DA5F0000}"/>
    <cellStyle name="Normal 28 2 3 3 2 2" xfId="17082" xr:uid="{00000000-0005-0000-0000-0000DB5F0000}"/>
    <cellStyle name="Normal 28 2 3 3 2 2 2" xfId="17083" xr:uid="{00000000-0005-0000-0000-0000DC5F0000}"/>
    <cellStyle name="Normal 28 2 3 3 2 2 2 2" xfId="53481" xr:uid="{00000000-0005-0000-0000-0000DD5F0000}"/>
    <cellStyle name="Normal 28 2 3 3 2 2 2 3" xfId="53482" xr:uid="{00000000-0005-0000-0000-0000DE5F0000}"/>
    <cellStyle name="Normal 28 2 3 3 2 2 3" xfId="17084" xr:uid="{00000000-0005-0000-0000-0000DF5F0000}"/>
    <cellStyle name="Normal 28 2 3 3 2 2 3 2" xfId="53483" xr:uid="{00000000-0005-0000-0000-0000E05F0000}"/>
    <cellStyle name="Normal 28 2 3 3 2 2 4" xfId="17085" xr:uid="{00000000-0005-0000-0000-0000E15F0000}"/>
    <cellStyle name="Normal 28 2 3 3 2 2 5" xfId="17086" xr:uid="{00000000-0005-0000-0000-0000E25F0000}"/>
    <cellStyle name="Normal 28 2 3 3 2 2 6" xfId="17087" xr:uid="{00000000-0005-0000-0000-0000E35F0000}"/>
    <cellStyle name="Normal 28 2 3 3 2 3" xfId="17088" xr:uid="{00000000-0005-0000-0000-0000E45F0000}"/>
    <cellStyle name="Normal 28 2 3 3 2 3 2" xfId="53484" xr:uid="{00000000-0005-0000-0000-0000E55F0000}"/>
    <cellStyle name="Normal 28 2 3 3 2 3 3" xfId="53485" xr:uid="{00000000-0005-0000-0000-0000E65F0000}"/>
    <cellStyle name="Normal 28 2 3 3 2 4" xfId="17089" xr:uid="{00000000-0005-0000-0000-0000E75F0000}"/>
    <cellStyle name="Normal 28 2 3 3 2 4 2" xfId="53486" xr:uid="{00000000-0005-0000-0000-0000E85F0000}"/>
    <cellStyle name="Normal 28 2 3 3 2 5" xfId="17090" xr:uid="{00000000-0005-0000-0000-0000E95F0000}"/>
    <cellStyle name="Normal 28 2 3 3 2 6" xfId="17091" xr:uid="{00000000-0005-0000-0000-0000EA5F0000}"/>
    <cellStyle name="Normal 28 2 3 3 2 7" xfId="17092" xr:uid="{00000000-0005-0000-0000-0000EB5F0000}"/>
    <cellStyle name="Normal 28 2 3 3 3" xfId="17093" xr:uid="{00000000-0005-0000-0000-0000EC5F0000}"/>
    <cellStyle name="Normal 28 2 3 3 3 2" xfId="17094" xr:uid="{00000000-0005-0000-0000-0000ED5F0000}"/>
    <cellStyle name="Normal 28 2 3 3 3 2 2" xfId="53487" xr:uid="{00000000-0005-0000-0000-0000EE5F0000}"/>
    <cellStyle name="Normal 28 2 3 3 3 2 3" xfId="53488" xr:uid="{00000000-0005-0000-0000-0000EF5F0000}"/>
    <cellStyle name="Normal 28 2 3 3 3 3" xfId="17095" xr:uid="{00000000-0005-0000-0000-0000F05F0000}"/>
    <cellStyle name="Normal 28 2 3 3 3 3 2" xfId="53489" xr:uid="{00000000-0005-0000-0000-0000F15F0000}"/>
    <cellStyle name="Normal 28 2 3 3 3 4" xfId="17096" xr:uid="{00000000-0005-0000-0000-0000F25F0000}"/>
    <cellStyle name="Normal 28 2 3 3 3 5" xfId="17097" xr:uid="{00000000-0005-0000-0000-0000F35F0000}"/>
    <cellStyle name="Normal 28 2 3 3 3 6" xfId="17098" xr:uid="{00000000-0005-0000-0000-0000F45F0000}"/>
    <cellStyle name="Normal 28 2 3 3 4" xfId="17099" xr:uid="{00000000-0005-0000-0000-0000F55F0000}"/>
    <cellStyle name="Normal 28 2 3 3 4 2" xfId="53490" xr:uid="{00000000-0005-0000-0000-0000F65F0000}"/>
    <cellStyle name="Normal 28 2 3 3 4 3" xfId="53491" xr:uid="{00000000-0005-0000-0000-0000F75F0000}"/>
    <cellStyle name="Normal 28 2 3 3 5" xfId="17100" xr:uid="{00000000-0005-0000-0000-0000F85F0000}"/>
    <cellStyle name="Normal 28 2 3 3 5 2" xfId="53492" xr:uid="{00000000-0005-0000-0000-0000F95F0000}"/>
    <cellStyle name="Normal 28 2 3 3 6" xfId="17101" xr:uid="{00000000-0005-0000-0000-0000FA5F0000}"/>
    <cellStyle name="Normal 28 2 3 3 7" xfId="17102" xr:uid="{00000000-0005-0000-0000-0000FB5F0000}"/>
    <cellStyle name="Normal 28 2 3 3 8" xfId="17103" xr:uid="{00000000-0005-0000-0000-0000FC5F0000}"/>
    <cellStyle name="Normal 28 2 3 4" xfId="17104" xr:uid="{00000000-0005-0000-0000-0000FD5F0000}"/>
    <cellStyle name="Normal 28 2 3 4 2" xfId="17105" xr:uid="{00000000-0005-0000-0000-0000FE5F0000}"/>
    <cellStyle name="Normal 28 2 3 4 2 2" xfId="17106" xr:uid="{00000000-0005-0000-0000-0000FF5F0000}"/>
    <cellStyle name="Normal 28 2 3 4 2 2 2" xfId="53493" xr:uid="{00000000-0005-0000-0000-000000600000}"/>
    <cellStyle name="Normal 28 2 3 4 2 2 3" xfId="53494" xr:uid="{00000000-0005-0000-0000-000001600000}"/>
    <cellStyle name="Normal 28 2 3 4 2 3" xfId="17107" xr:uid="{00000000-0005-0000-0000-000002600000}"/>
    <cellStyle name="Normal 28 2 3 4 2 3 2" xfId="53495" xr:uid="{00000000-0005-0000-0000-000003600000}"/>
    <cellStyle name="Normal 28 2 3 4 2 4" xfId="17108" xr:uid="{00000000-0005-0000-0000-000004600000}"/>
    <cellStyle name="Normal 28 2 3 4 2 5" xfId="17109" xr:uid="{00000000-0005-0000-0000-000005600000}"/>
    <cellStyle name="Normal 28 2 3 4 2 6" xfId="17110" xr:uid="{00000000-0005-0000-0000-000006600000}"/>
    <cellStyle name="Normal 28 2 3 4 3" xfId="17111" xr:uid="{00000000-0005-0000-0000-000007600000}"/>
    <cellStyle name="Normal 28 2 3 4 3 2" xfId="53496" xr:uid="{00000000-0005-0000-0000-000008600000}"/>
    <cellStyle name="Normal 28 2 3 4 3 3" xfId="53497" xr:uid="{00000000-0005-0000-0000-000009600000}"/>
    <cellStyle name="Normal 28 2 3 4 4" xfId="17112" xr:uid="{00000000-0005-0000-0000-00000A600000}"/>
    <cellStyle name="Normal 28 2 3 4 4 2" xfId="53498" xr:uid="{00000000-0005-0000-0000-00000B600000}"/>
    <cellStyle name="Normal 28 2 3 4 5" xfId="17113" xr:uid="{00000000-0005-0000-0000-00000C600000}"/>
    <cellStyle name="Normal 28 2 3 4 6" xfId="17114" xr:uid="{00000000-0005-0000-0000-00000D600000}"/>
    <cellStyle name="Normal 28 2 3 4 7" xfId="17115" xr:uid="{00000000-0005-0000-0000-00000E600000}"/>
    <cellStyle name="Normal 28 2 3 5" xfId="17116" xr:uid="{00000000-0005-0000-0000-00000F600000}"/>
    <cellStyle name="Normal 28 2 3 5 2" xfId="17117" xr:uid="{00000000-0005-0000-0000-000010600000}"/>
    <cellStyle name="Normal 28 2 3 5 2 2" xfId="53499" xr:uid="{00000000-0005-0000-0000-000011600000}"/>
    <cellStyle name="Normal 28 2 3 5 2 3" xfId="53500" xr:uid="{00000000-0005-0000-0000-000012600000}"/>
    <cellStyle name="Normal 28 2 3 5 3" xfId="17118" xr:uid="{00000000-0005-0000-0000-000013600000}"/>
    <cellStyle name="Normal 28 2 3 5 3 2" xfId="53501" xr:uid="{00000000-0005-0000-0000-000014600000}"/>
    <cellStyle name="Normal 28 2 3 5 4" xfId="17119" xr:uid="{00000000-0005-0000-0000-000015600000}"/>
    <cellStyle name="Normal 28 2 3 5 5" xfId="17120" xr:uid="{00000000-0005-0000-0000-000016600000}"/>
    <cellStyle name="Normal 28 2 3 5 6" xfId="17121" xr:uid="{00000000-0005-0000-0000-000017600000}"/>
    <cellStyle name="Normal 28 2 3 6" xfId="17122" xr:uid="{00000000-0005-0000-0000-000018600000}"/>
    <cellStyle name="Normal 28 2 3 6 2" xfId="53502" xr:uid="{00000000-0005-0000-0000-000019600000}"/>
    <cellStyle name="Normal 28 2 3 6 3" xfId="53503" xr:uid="{00000000-0005-0000-0000-00001A600000}"/>
    <cellStyle name="Normal 28 2 3 7" xfId="17123" xr:uid="{00000000-0005-0000-0000-00001B600000}"/>
    <cellStyle name="Normal 28 2 3 7 2" xfId="53504" xr:uid="{00000000-0005-0000-0000-00001C600000}"/>
    <cellStyle name="Normal 28 2 3 8" xfId="17124" xr:uid="{00000000-0005-0000-0000-00001D600000}"/>
    <cellStyle name="Normal 28 2 3 9" xfId="17125" xr:uid="{00000000-0005-0000-0000-00001E600000}"/>
    <cellStyle name="Normal 28 2 4" xfId="17126" xr:uid="{00000000-0005-0000-0000-00001F600000}"/>
    <cellStyle name="Normal 28 2 4 10" xfId="17127" xr:uid="{00000000-0005-0000-0000-000020600000}"/>
    <cellStyle name="Normal 28 2 4 11" xfId="17128" xr:uid="{00000000-0005-0000-0000-000021600000}"/>
    <cellStyle name="Normal 28 2 4 12" xfId="17129" xr:uid="{00000000-0005-0000-0000-000022600000}"/>
    <cellStyle name="Normal 28 2 4 13" xfId="17130" xr:uid="{00000000-0005-0000-0000-000023600000}"/>
    <cellStyle name="Normal 28 2 4 2" xfId="17131" xr:uid="{00000000-0005-0000-0000-000024600000}"/>
    <cellStyle name="Normal 28 2 4 2 2" xfId="17132" xr:uid="{00000000-0005-0000-0000-000025600000}"/>
    <cellStyle name="Normal 28 2 4 2 2 2" xfId="17133" xr:uid="{00000000-0005-0000-0000-000026600000}"/>
    <cellStyle name="Normal 28 2 4 2 2 2 2" xfId="17134" xr:uid="{00000000-0005-0000-0000-000027600000}"/>
    <cellStyle name="Normal 28 2 4 2 2 2 2 2" xfId="53505" xr:uid="{00000000-0005-0000-0000-000028600000}"/>
    <cellStyle name="Normal 28 2 4 2 2 2 2 3" xfId="53506" xr:uid="{00000000-0005-0000-0000-000029600000}"/>
    <cellStyle name="Normal 28 2 4 2 2 2 3" xfId="17135" xr:uid="{00000000-0005-0000-0000-00002A600000}"/>
    <cellStyle name="Normal 28 2 4 2 2 2 3 2" xfId="53507" xr:uid="{00000000-0005-0000-0000-00002B600000}"/>
    <cellStyle name="Normal 28 2 4 2 2 2 4" xfId="17136" xr:uid="{00000000-0005-0000-0000-00002C600000}"/>
    <cellStyle name="Normal 28 2 4 2 2 2 5" xfId="17137" xr:uid="{00000000-0005-0000-0000-00002D600000}"/>
    <cellStyle name="Normal 28 2 4 2 2 2 6" xfId="17138" xr:uid="{00000000-0005-0000-0000-00002E600000}"/>
    <cellStyle name="Normal 28 2 4 2 2 3" xfId="17139" xr:uid="{00000000-0005-0000-0000-00002F600000}"/>
    <cellStyle name="Normal 28 2 4 2 2 3 2" xfId="53508" xr:uid="{00000000-0005-0000-0000-000030600000}"/>
    <cellStyle name="Normal 28 2 4 2 2 3 3" xfId="53509" xr:uid="{00000000-0005-0000-0000-000031600000}"/>
    <cellStyle name="Normal 28 2 4 2 2 4" xfId="17140" xr:uid="{00000000-0005-0000-0000-000032600000}"/>
    <cellStyle name="Normal 28 2 4 2 2 4 2" xfId="53510" xr:uid="{00000000-0005-0000-0000-000033600000}"/>
    <cellStyle name="Normal 28 2 4 2 2 5" xfId="17141" xr:uid="{00000000-0005-0000-0000-000034600000}"/>
    <cellStyle name="Normal 28 2 4 2 2 6" xfId="17142" xr:uid="{00000000-0005-0000-0000-000035600000}"/>
    <cellStyle name="Normal 28 2 4 2 2 7" xfId="17143" xr:uid="{00000000-0005-0000-0000-000036600000}"/>
    <cellStyle name="Normal 28 2 4 2 3" xfId="17144" xr:uid="{00000000-0005-0000-0000-000037600000}"/>
    <cellStyle name="Normal 28 2 4 2 3 2" xfId="17145" xr:uid="{00000000-0005-0000-0000-000038600000}"/>
    <cellStyle name="Normal 28 2 4 2 3 2 2" xfId="53511" xr:uid="{00000000-0005-0000-0000-000039600000}"/>
    <cellStyle name="Normal 28 2 4 2 3 2 3" xfId="53512" xr:uid="{00000000-0005-0000-0000-00003A600000}"/>
    <cellStyle name="Normal 28 2 4 2 3 3" xfId="17146" xr:uid="{00000000-0005-0000-0000-00003B600000}"/>
    <cellStyle name="Normal 28 2 4 2 3 3 2" xfId="53513" xr:uid="{00000000-0005-0000-0000-00003C600000}"/>
    <cellStyle name="Normal 28 2 4 2 3 4" xfId="17147" xr:uid="{00000000-0005-0000-0000-00003D600000}"/>
    <cellStyle name="Normal 28 2 4 2 3 5" xfId="17148" xr:uid="{00000000-0005-0000-0000-00003E600000}"/>
    <cellStyle name="Normal 28 2 4 2 3 6" xfId="17149" xr:uid="{00000000-0005-0000-0000-00003F600000}"/>
    <cellStyle name="Normal 28 2 4 2 4" xfId="17150" xr:uid="{00000000-0005-0000-0000-000040600000}"/>
    <cellStyle name="Normal 28 2 4 2 4 2" xfId="53514" xr:uid="{00000000-0005-0000-0000-000041600000}"/>
    <cellStyle name="Normal 28 2 4 2 4 3" xfId="53515" xr:uid="{00000000-0005-0000-0000-000042600000}"/>
    <cellStyle name="Normal 28 2 4 2 5" xfId="17151" xr:uid="{00000000-0005-0000-0000-000043600000}"/>
    <cellStyle name="Normal 28 2 4 2 5 2" xfId="53516" xr:uid="{00000000-0005-0000-0000-000044600000}"/>
    <cellStyle name="Normal 28 2 4 2 6" xfId="17152" xr:uid="{00000000-0005-0000-0000-000045600000}"/>
    <cellStyle name="Normal 28 2 4 2 7" xfId="17153" xr:uid="{00000000-0005-0000-0000-000046600000}"/>
    <cellStyle name="Normal 28 2 4 2 8" xfId="17154" xr:uid="{00000000-0005-0000-0000-000047600000}"/>
    <cellStyle name="Normal 28 2 4 2 9" xfId="17155" xr:uid="{00000000-0005-0000-0000-000048600000}"/>
    <cellStyle name="Normal 28 2 4 3" xfId="17156" xr:uid="{00000000-0005-0000-0000-000049600000}"/>
    <cellStyle name="Normal 28 2 4 3 2" xfId="17157" xr:uid="{00000000-0005-0000-0000-00004A600000}"/>
    <cellStyle name="Normal 28 2 4 3 2 2" xfId="17158" xr:uid="{00000000-0005-0000-0000-00004B600000}"/>
    <cellStyle name="Normal 28 2 4 3 2 2 2" xfId="53517" xr:uid="{00000000-0005-0000-0000-00004C600000}"/>
    <cellStyle name="Normal 28 2 4 3 2 2 3" xfId="53518" xr:uid="{00000000-0005-0000-0000-00004D600000}"/>
    <cellStyle name="Normal 28 2 4 3 2 3" xfId="17159" xr:uid="{00000000-0005-0000-0000-00004E600000}"/>
    <cellStyle name="Normal 28 2 4 3 2 3 2" xfId="53519" xr:uid="{00000000-0005-0000-0000-00004F600000}"/>
    <cellStyle name="Normal 28 2 4 3 2 4" xfId="17160" xr:uid="{00000000-0005-0000-0000-000050600000}"/>
    <cellStyle name="Normal 28 2 4 3 2 5" xfId="17161" xr:uid="{00000000-0005-0000-0000-000051600000}"/>
    <cellStyle name="Normal 28 2 4 3 2 6" xfId="17162" xr:uid="{00000000-0005-0000-0000-000052600000}"/>
    <cellStyle name="Normal 28 2 4 3 3" xfId="17163" xr:uid="{00000000-0005-0000-0000-000053600000}"/>
    <cellStyle name="Normal 28 2 4 3 3 2" xfId="53520" xr:uid="{00000000-0005-0000-0000-000054600000}"/>
    <cellStyle name="Normal 28 2 4 3 3 3" xfId="53521" xr:uid="{00000000-0005-0000-0000-000055600000}"/>
    <cellStyle name="Normal 28 2 4 3 4" xfId="17164" xr:uid="{00000000-0005-0000-0000-000056600000}"/>
    <cellStyle name="Normal 28 2 4 3 4 2" xfId="53522" xr:uid="{00000000-0005-0000-0000-000057600000}"/>
    <cellStyle name="Normal 28 2 4 3 5" xfId="17165" xr:uid="{00000000-0005-0000-0000-000058600000}"/>
    <cellStyle name="Normal 28 2 4 3 6" xfId="17166" xr:uid="{00000000-0005-0000-0000-000059600000}"/>
    <cellStyle name="Normal 28 2 4 3 7" xfId="17167" xr:uid="{00000000-0005-0000-0000-00005A600000}"/>
    <cellStyle name="Normal 28 2 4 4" xfId="17168" xr:uid="{00000000-0005-0000-0000-00005B600000}"/>
    <cellStyle name="Normal 28 2 4 4 2" xfId="17169" xr:uid="{00000000-0005-0000-0000-00005C600000}"/>
    <cellStyle name="Normal 28 2 4 4 2 2" xfId="53523" xr:uid="{00000000-0005-0000-0000-00005D600000}"/>
    <cellStyle name="Normal 28 2 4 4 2 3" xfId="53524" xr:uid="{00000000-0005-0000-0000-00005E600000}"/>
    <cellStyle name="Normal 28 2 4 4 3" xfId="17170" xr:uid="{00000000-0005-0000-0000-00005F600000}"/>
    <cellStyle name="Normal 28 2 4 4 3 2" xfId="53525" xr:uid="{00000000-0005-0000-0000-000060600000}"/>
    <cellStyle name="Normal 28 2 4 4 4" xfId="17171" xr:uid="{00000000-0005-0000-0000-000061600000}"/>
    <cellStyle name="Normal 28 2 4 4 5" xfId="17172" xr:uid="{00000000-0005-0000-0000-000062600000}"/>
    <cellStyle name="Normal 28 2 4 4 6" xfId="17173" xr:uid="{00000000-0005-0000-0000-000063600000}"/>
    <cellStyle name="Normal 28 2 4 5" xfId="17174" xr:uid="{00000000-0005-0000-0000-000064600000}"/>
    <cellStyle name="Normal 28 2 4 5 2" xfId="53526" xr:uid="{00000000-0005-0000-0000-000065600000}"/>
    <cellStyle name="Normal 28 2 4 5 3" xfId="53527" xr:uid="{00000000-0005-0000-0000-000066600000}"/>
    <cellStyle name="Normal 28 2 4 6" xfId="17175" xr:uid="{00000000-0005-0000-0000-000067600000}"/>
    <cellStyle name="Normal 28 2 4 6 2" xfId="53528" xr:uid="{00000000-0005-0000-0000-000068600000}"/>
    <cellStyle name="Normal 28 2 4 7" xfId="17176" xr:uid="{00000000-0005-0000-0000-000069600000}"/>
    <cellStyle name="Normal 28 2 4 8" xfId="17177" xr:uid="{00000000-0005-0000-0000-00006A600000}"/>
    <cellStyle name="Normal 28 2 4 9" xfId="17178" xr:uid="{00000000-0005-0000-0000-00006B600000}"/>
    <cellStyle name="Normal 28 2 5" xfId="17179" xr:uid="{00000000-0005-0000-0000-00006C600000}"/>
    <cellStyle name="Normal 28 2 5 2" xfId="17180" xr:uid="{00000000-0005-0000-0000-00006D600000}"/>
    <cellStyle name="Normal 28 2 5 2 2" xfId="17181" xr:uid="{00000000-0005-0000-0000-00006E600000}"/>
    <cellStyle name="Normal 28 2 5 2 2 2" xfId="17182" xr:uid="{00000000-0005-0000-0000-00006F600000}"/>
    <cellStyle name="Normal 28 2 5 2 2 2 2" xfId="53529" xr:uid="{00000000-0005-0000-0000-000070600000}"/>
    <cellStyle name="Normal 28 2 5 2 2 2 3" xfId="53530" xr:uid="{00000000-0005-0000-0000-000071600000}"/>
    <cellStyle name="Normal 28 2 5 2 2 3" xfId="17183" xr:uid="{00000000-0005-0000-0000-000072600000}"/>
    <cellStyle name="Normal 28 2 5 2 2 3 2" xfId="53531" xr:uid="{00000000-0005-0000-0000-000073600000}"/>
    <cellStyle name="Normal 28 2 5 2 2 4" xfId="17184" xr:uid="{00000000-0005-0000-0000-000074600000}"/>
    <cellStyle name="Normal 28 2 5 2 2 5" xfId="17185" xr:uid="{00000000-0005-0000-0000-000075600000}"/>
    <cellStyle name="Normal 28 2 5 2 2 6" xfId="17186" xr:uid="{00000000-0005-0000-0000-000076600000}"/>
    <cellStyle name="Normal 28 2 5 2 3" xfId="17187" xr:uid="{00000000-0005-0000-0000-000077600000}"/>
    <cellStyle name="Normal 28 2 5 2 3 2" xfId="53532" xr:uid="{00000000-0005-0000-0000-000078600000}"/>
    <cellStyle name="Normal 28 2 5 2 3 3" xfId="53533" xr:uid="{00000000-0005-0000-0000-000079600000}"/>
    <cellStyle name="Normal 28 2 5 2 4" xfId="17188" xr:uid="{00000000-0005-0000-0000-00007A600000}"/>
    <cellStyle name="Normal 28 2 5 2 4 2" xfId="53534" xr:uid="{00000000-0005-0000-0000-00007B600000}"/>
    <cellStyle name="Normal 28 2 5 2 5" xfId="17189" xr:uid="{00000000-0005-0000-0000-00007C600000}"/>
    <cellStyle name="Normal 28 2 5 2 6" xfId="17190" xr:uid="{00000000-0005-0000-0000-00007D600000}"/>
    <cellStyle name="Normal 28 2 5 2 7" xfId="17191" xr:uid="{00000000-0005-0000-0000-00007E600000}"/>
    <cellStyle name="Normal 28 2 5 3" xfId="17192" xr:uid="{00000000-0005-0000-0000-00007F600000}"/>
    <cellStyle name="Normal 28 2 5 3 2" xfId="17193" xr:uid="{00000000-0005-0000-0000-000080600000}"/>
    <cellStyle name="Normal 28 2 5 3 2 2" xfId="53535" xr:uid="{00000000-0005-0000-0000-000081600000}"/>
    <cellStyle name="Normal 28 2 5 3 2 3" xfId="53536" xr:uid="{00000000-0005-0000-0000-000082600000}"/>
    <cellStyle name="Normal 28 2 5 3 3" xfId="17194" xr:uid="{00000000-0005-0000-0000-000083600000}"/>
    <cellStyle name="Normal 28 2 5 3 3 2" xfId="53537" xr:uid="{00000000-0005-0000-0000-000084600000}"/>
    <cellStyle name="Normal 28 2 5 3 4" xfId="17195" xr:uid="{00000000-0005-0000-0000-000085600000}"/>
    <cellStyle name="Normal 28 2 5 3 5" xfId="17196" xr:uid="{00000000-0005-0000-0000-000086600000}"/>
    <cellStyle name="Normal 28 2 5 3 6" xfId="17197" xr:uid="{00000000-0005-0000-0000-000087600000}"/>
    <cellStyle name="Normal 28 2 5 4" xfId="17198" xr:uid="{00000000-0005-0000-0000-000088600000}"/>
    <cellStyle name="Normal 28 2 5 4 2" xfId="53538" xr:uid="{00000000-0005-0000-0000-000089600000}"/>
    <cellStyle name="Normal 28 2 5 4 3" xfId="53539" xr:uid="{00000000-0005-0000-0000-00008A600000}"/>
    <cellStyle name="Normal 28 2 5 5" xfId="17199" xr:uid="{00000000-0005-0000-0000-00008B600000}"/>
    <cellStyle name="Normal 28 2 5 5 2" xfId="53540" xr:uid="{00000000-0005-0000-0000-00008C600000}"/>
    <cellStyle name="Normal 28 2 5 6" xfId="17200" xr:uid="{00000000-0005-0000-0000-00008D600000}"/>
    <cellStyle name="Normal 28 2 5 7" xfId="17201" xr:uid="{00000000-0005-0000-0000-00008E600000}"/>
    <cellStyle name="Normal 28 2 5 8" xfId="17202" xr:uid="{00000000-0005-0000-0000-00008F600000}"/>
    <cellStyle name="Normal 28 2 5 9" xfId="17203" xr:uid="{00000000-0005-0000-0000-000090600000}"/>
    <cellStyle name="Normal 28 2 6" xfId="17204" xr:uid="{00000000-0005-0000-0000-000091600000}"/>
    <cellStyle name="Normal 28 2 6 2" xfId="17205" xr:uid="{00000000-0005-0000-0000-000092600000}"/>
    <cellStyle name="Normal 28 2 6 2 2" xfId="17206" xr:uid="{00000000-0005-0000-0000-000093600000}"/>
    <cellStyle name="Normal 28 2 6 2 2 2" xfId="17207" xr:uid="{00000000-0005-0000-0000-000094600000}"/>
    <cellStyle name="Normal 28 2 6 2 2 2 2" xfId="53541" xr:uid="{00000000-0005-0000-0000-000095600000}"/>
    <cellStyle name="Normal 28 2 6 2 2 2 3" xfId="53542" xr:uid="{00000000-0005-0000-0000-000096600000}"/>
    <cellStyle name="Normal 28 2 6 2 2 3" xfId="17208" xr:uid="{00000000-0005-0000-0000-000097600000}"/>
    <cellStyle name="Normal 28 2 6 2 2 3 2" xfId="53543" xr:uid="{00000000-0005-0000-0000-000098600000}"/>
    <cellStyle name="Normal 28 2 6 2 2 4" xfId="17209" xr:uid="{00000000-0005-0000-0000-000099600000}"/>
    <cellStyle name="Normal 28 2 6 2 2 5" xfId="17210" xr:uid="{00000000-0005-0000-0000-00009A600000}"/>
    <cellStyle name="Normal 28 2 6 2 2 6" xfId="17211" xr:uid="{00000000-0005-0000-0000-00009B600000}"/>
    <cellStyle name="Normal 28 2 6 2 3" xfId="17212" xr:uid="{00000000-0005-0000-0000-00009C600000}"/>
    <cellStyle name="Normal 28 2 6 2 3 2" xfId="53544" xr:uid="{00000000-0005-0000-0000-00009D600000}"/>
    <cellStyle name="Normal 28 2 6 2 3 3" xfId="53545" xr:uid="{00000000-0005-0000-0000-00009E600000}"/>
    <cellStyle name="Normal 28 2 6 2 4" xfId="17213" xr:uid="{00000000-0005-0000-0000-00009F600000}"/>
    <cellStyle name="Normal 28 2 6 2 4 2" xfId="53546" xr:uid="{00000000-0005-0000-0000-0000A0600000}"/>
    <cellStyle name="Normal 28 2 6 2 5" xfId="17214" xr:uid="{00000000-0005-0000-0000-0000A1600000}"/>
    <cellStyle name="Normal 28 2 6 2 6" xfId="17215" xr:uid="{00000000-0005-0000-0000-0000A2600000}"/>
    <cellStyle name="Normal 28 2 6 2 7" xfId="17216" xr:uid="{00000000-0005-0000-0000-0000A3600000}"/>
    <cellStyle name="Normal 28 2 6 3" xfId="17217" xr:uid="{00000000-0005-0000-0000-0000A4600000}"/>
    <cellStyle name="Normal 28 2 6 3 2" xfId="17218" xr:uid="{00000000-0005-0000-0000-0000A5600000}"/>
    <cellStyle name="Normal 28 2 6 3 2 2" xfId="53547" xr:uid="{00000000-0005-0000-0000-0000A6600000}"/>
    <cellStyle name="Normal 28 2 6 3 2 3" xfId="53548" xr:uid="{00000000-0005-0000-0000-0000A7600000}"/>
    <cellStyle name="Normal 28 2 6 3 3" xfId="17219" xr:uid="{00000000-0005-0000-0000-0000A8600000}"/>
    <cellStyle name="Normal 28 2 6 3 3 2" xfId="53549" xr:uid="{00000000-0005-0000-0000-0000A9600000}"/>
    <cellStyle name="Normal 28 2 6 3 4" xfId="17220" xr:uid="{00000000-0005-0000-0000-0000AA600000}"/>
    <cellStyle name="Normal 28 2 6 3 5" xfId="17221" xr:uid="{00000000-0005-0000-0000-0000AB600000}"/>
    <cellStyle name="Normal 28 2 6 3 6" xfId="17222" xr:uid="{00000000-0005-0000-0000-0000AC600000}"/>
    <cellStyle name="Normal 28 2 6 4" xfId="17223" xr:uid="{00000000-0005-0000-0000-0000AD600000}"/>
    <cellStyle name="Normal 28 2 6 4 2" xfId="53550" xr:uid="{00000000-0005-0000-0000-0000AE600000}"/>
    <cellStyle name="Normal 28 2 6 4 3" xfId="53551" xr:uid="{00000000-0005-0000-0000-0000AF600000}"/>
    <cellStyle name="Normal 28 2 6 5" xfId="17224" xr:uid="{00000000-0005-0000-0000-0000B0600000}"/>
    <cellStyle name="Normal 28 2 6 5 2" xfId="53552" xr:uid="{00000000-0005-0000-0000-0000B1600000}"/>
    <cellStyle name="Normal 28 2 6 6" xfId="17225" xr:uid="{00000000-0005-0000-0000-0000B2600000}"/>
    <cellStyle name="Normal 28 2 6 7" xfId="17226" xr:uid="{00000000-0005-0000-0000-0000B3600000}"/>
    <cellStyle name="Normal 28 2 6 8" xfId="17227" xr:uid="{00000000-0005-0000-0000-0000B4600000}"/>
    <cellStyle name="Normal 28 2 7" xfId="17228" xr:uid="{00000000-0005-0000-0000-0000B5600000}"/>
    <cellStyle name="Normal 28 2 7 2" xfId="17229" xr:uid="{00000000-0005-0000-0000-0000B6600000}"/>
    <cellStyle name="Normal 28 2 7 2 2" xfId="17230" xr:uid="{00000000-0005-0000-0000-0000B7600000}"/>
    <cellStyle name="Normal 28 2 7 2 2 2" xfId="17231" xr:uid="{00000000-0005-0000-0000-0000B8600000}"/>
    <cellStyle name="Normal 28 2 7 2 2 2 2" xfId="53553" xr:uid="{00000000-0005-0000-0000-0000B9600000}"/>
    <cellStyle name="Normal 28 2 7 2 2 2 3" xfId="53554" xr:uid="{00000000-0005-0000-0000-0000BA600000}"/>
    <cellStyle name="Normal 28 2 7 2 2 3" xfId="17232" xr:uid="{00000000-0005-0000-0000-0000BB600000}"/>
    <cellStyle name="Normal 28 2 7 2 2 3 2" xfId="53555" xr:uid="{00000000-0005-0000-0000-0000BC600000}"/>
    <cellStyle name="Normal 28 2 7 2 2 4" xfId="17233" xr:uid="{00000000-0005-0000-0000-0000BD600000}"/>
    <cellStyle name="Normal 28 2 7 2 2 5" xfId="17234" xr:uid="{00000000-0005-0000-0000-0000BE600000}"/>
    <cellStyle name="Normal 28 2 7 2 2 6" xfId="17235" xr:uid="{00000000-0005-0000-0000-0000BF600000}"/>
    <cellStyle name="Normal 28 2 7 2 3" xfId="17236" xr:uid="{00000000-0005-0000-0000-0000C0600000}"/>
    <cellStyle name="Normal 28 2 7 2 3 2" xfId="53556" xr:uid="{00000000-0005-0000-0000-0000C1600000}"/>
    <cellStyle name="Normal 28 2 7 2 3 3" xfId="53557" xr:uid="{00000000-0005-0000-0000-0000C2600000}"/>
    <cellStyle name="Normal 28 2 7 2 4" xfId="17237" xr:uid="{00000000-0005-0000-0000-0000C3600000}"/>
    <cellStyle name="Normal 28 2 7 2 4 2" xfId="53558" xr:uid="{00000000-0005-0000-0000-0000C4600000}"/>
    <cellStyle name="Normal 28 2 7 2 5" xfId="17238" xr:uid="{00000000-0005-0000-0000-0000C5600000}"/>
    <cellStyle name="Normal 28 2 7 2 6" xfId="17239" xr:uid="{00000000-0005-0000-0000-0000C6600000}"/>
    <cellStyle name="Normal 28 2 7 2 7" xfId="17240" xr:uid="{00000000-0005-0000-0000-0000C7600000}"/>
    <cellStyle name="Normal 28 2 7 3" xfId="17241" xr:uid="{00000000-0005-0000-0000-0000C8600000}"/>
    <cellStyle name="Normal 28 2 7 3 2" xfId="17242" xr:uid="{00000000-0005-0000-0000-0000C9600000}"/>
    <cellStyle name="Normal 28 2 7 3 2 2" xfId="53559" xr:uid="{00000000-0005-0000-0000-0000CA600000}"/>
    <cellStyle name="Normal 28 2 7 3 2 3" xfId="53560" xr:uid="{00000000-0005-0000-0000-0000CB600000}"/>
    <cellStyle name="Normal 28 2 7 3 3" xfId="17243" xr:uid="{00000000-0005-0000-0000-0000CC600000}"/>
    <cellStyle name="Normal 28 2 7 3 3 2" xfId="53561" xr:uid="{00000000-0005-0000-0000-0000CD600000}"/>
    <cellStyle name="Normal 28 2 7 3 4" xfId="17244" xr:uid="{00000000-0005-0000-0000-0000CE600000}"/>
    <cellStyle name="Normal 28 2 7 3 5" xfId="17245" xr:uid="{00000000-0005-0000-0000-0000CF600000}"/>
    <cellStyle name="Normal 28 2 7 3 6" xfId="17246" xr:uid="{00000000-0005-0000-0000-0000D0600000}"/>
    <cellStyle name="Normal 28 2 7 4" xfId="17247" xr:uid="{00000000-0005-0000-0000-0000D1600000}"/>
    <cellStyle name="Normal 28 2 7 4 2" xfId="53562" xr:uid="{00000000-0005-0000-0000-0000D2600000}"/>
    <cellStyle name="Normal 28 2 7 4 3" xfId="53563" xr:uid="{00000000-0005-0000-0000-0000D3600000}"/>
    <cellStyle name="Normal 28 2 7 5" xfId="17248" xr:uid="{00000000-0005-0000-0000-0000D4600000}"/>
    <cellStyle name="Normal 28 2 7 5 2" xfId="53564" xr:uid="{00000000-0005-0000-0000-0000D5600000}"/>
    <cellStyle name="Normal 28 2 7 6" xfId="17249" xr:uid="{00000000-0005-0000-0000-0000D6600000}"/>
    <cellStyle name="Normal 28 2 7 7" xfId="17250" xr:uid="{00000000-0005-0000-0000-0000D7600000}"/>
    <cellStyle name="Normal 28 2 7 8" xfId="17251" xr:uid="{00000000-0005-0000-0000-0000D8600000}"/>
    <cellStyle name="Normal 28 2 8" xfId="17252" xr:uid="{00000000-0005-0000-0000-0000D9600000}"/>
    <cellStyle name="Normal 28 2 8 2" xfId="17253" xr:uid="{00000000-0005-0000-0000-0000DA600000}"/>
    <cellStyle name="Normal 28 2 8 2 2" xfId="17254" xr:uid="{00000000-0005-0000-0000-0000DB600000}"/>
    <cellStyle name="Normal 28 2 8 2 2 2" xfId="53565" xr:uid="{00000000-0005-0000-0000-0000DC600000}"/>
    <cellStyle name="Normal 28 2 8 2 2 3" xfId="53566" xr:uid="{00000000-0005-0000-0000-0000DD600000}"/>
    <cellStyle name="Normal 28 2 8 2 3" xfId="17255" xr:uid="{00000000-0005-0000-0000-0000DE600000}"/>
    <cellStyle name="Normal 28 2 8 2 3 2" xfId="53567" xr:uid="{00000000-0005-0000-0000-0000DF600000}"/>
    <cellStyle name="Normal 28 2 8 2 4" xfId="17256" xr:uid="{00000000-0005-0000-0000-0000E0600000}"/>
    <cellStyle name="Normal 28 2 8 2 5" xfId="17257" xr:uid="{00000000-0005-0000-0000-0000E1600000}"/>
    <cellStyle name="Normal 28 2 8 2 6" xfId="17258" xr:uid="{00000000-0005-0000-0000-0000E2600000}"/>
    <cellStyle name="Normal 28 2 8 3" xfId="17259" xr:uid="{00000000-0005-0000-0000-0000E3600000}"/>
    <cellStyle name="Normal 28 2 8 3 2" xfId="53568" xr:uid="{00000000-0005-0000-0000-0000E4600000}"/>
    <cellStyle name="Normal 28 2 8 3 3" xfId="53569" xr:uid="{00000000-0005-0000-0000-0000E5600000}"/>
    <cellStyle name="Normal 28 2 8 4" xfId="17260" xr:uid="{00000000-0005-0000-0000-0000E6600000}"/>
    <cellStyle name="Normal 28 2 8 4 2" xfId="53570" xr:uid="{00000000-0005-0000-0000-0000E7600000}"/>
    <cellStyle name="Normal 28 2 8 5" xfId="17261" xr:uid="{00000000-0005-0000-0000-0000E8600000}"/>
    <cellStyle name="Normal 28 2 8 6" xfId="17262" xr:uid="{00000000-0005-0000-0000-0000E9600000}"/>
    <cellStyle name="Normal 28 2 8 7" xfId="17263" xr:uid="{00000000-0005-0000-0000-0000EA600000}"/>
    <cellStyle name="Normal 28 2 9" xfId="17264" xr:uid="{00000000-0005-0000-0000-0000EB600000}"/>
    <cellStyle name="Normal 28 2 9 2" xfId="17265" xr:uid="{00000000-0005-0000-0000-0000EC600000}"/>
    <cellStyle name="Normal 28 2 9 2 2" xfId="53571" xr:uid="{00000000-0005-0000-0000-0000ED600000}"/>
    <cellStyle name="Normal 28 2 9 2 3" xfId="53572" xr:uid="{00000000-0005-0000-0000-0000EE600000}"/>
    <cellStyle name="Normal 28 2 9 3" xfId="17266" xr:uid="{00000000-0005-0000-0000-0000EF600000}"/>
    <cellStyle name="Normal 28 2 9 3 2" xfId="53573" xr:uid="{00000000-0005-0000-0000-0000F0600000}"/>
    <cellStyle name="Normal 28 2 9 4" xfId="17267" xr:uid="{00000000-0005-0000-0000-0000F1600000}"/>
    <cellStyle name="Normal 28 2 9 5" xfId="17268" xr:uid="{00000000-0005-0000-0000-0000F2600000}"/>
    <cellStyle name="Normal 28 2 9 6" xfId="17269" xr:uid="{00000000-0005-0000-0000-0000F3600000}"/>
    <cellStyle name="Normal 28 3" xfId="17270" xr:uid="{00000000-0005-0000-0000-0000F4600000}"/>
    <cellStyle name="Normal 28 3 2" xfId="17271" xr:uid="{00000000-0005-0000-0000-0000F5600000}"/>
    <cellStyle name="Normal 28 4" xfId="17272" xr:uid="{00000000-0005-0000-0000-0000F6600000}"/>
    <cellStyle name="Normal 28 4 10" xfId="17273" xr:uid="{00000000-0005-0000-0000-0000F7600000}"/>
    <cellStyle name="Normal 28 4 11" xfId="17274" xr:uid="{00000000-0005-0000-0000-0000F8600000}"/>
    <cellStyle name="Normal 28 4 12" xfId="17275" xr:uid="{00000000-0005-0000-0000-0000F9600000}"/>
    <cellStyle name="Normal 28 4 13" xfId="17276" xr:uid="{00000000-0005-0000-0000-0000FA600000}"/>
    <cellStyle name="Normal 28 4 14" xfId="17277" xr:uid="{00000000-0005-0000-0000-0000FB600000}"/>
    <cellStyle name="Normal 28 4 2" xfId="17278" xr:uid="{00000000-0005-0000-0000-0000FC600000}"/>
    <cellStyle name="Normal 28 4 2 2" xfId="17279" xr:uid="{00000000-0005-0000-0000-0000FD600000}"/>
    <cellStyle name="Normal 28 4 2 2 2" xfId="17280" xr:uid="{00000000-0005-0000-0000-0000FE600000}"/>
    <cellStyle name="Normal 28 4 2 2 2 2" xfId="17281" xr:uid="{00000000-0005-0000-0000-0000FF600000}"/>
    <cellStyle name="Normal 28 4 2 2 2 2 2" xfId="53574" xr:uid="{00000000-0005-0000-0000-000000610000}"/>
    <cellStyle name="Normal 28 4 2 2 2 2 3" xfId="53575" xr:uid="{00000000-0005-0000-0000-000001610000}"/>
    <cellStyle name="Normal 28 4 2 2 2 3" xfId="17282" xr:uid="{00000000-0005-0000-0000-000002610000}"/>
    <cellStyle name="Normal 28 4 2 2 2 3 2" xfId="53576" xr:uid="{00000000-0005-0000-0000-000003610000}"/>
    <cellStyle name="Normal 28 4 2 2 2 4" xfId="17283" xr:uid="{00000000-0005-0000-0000-000004610000}"/>
    <cellStyle name="Normal 28 4 2 2 2 5" xfId="17284" xr:uid="{00000000-0005-0000-0000-000005610000}"/>
    <cellStyle name="Normal 28 4 2 2 2 6" xfId="17285" xr:uid="{00000000-0005-0000-0000-000006610000}"/>
    <cellStyle name="Normal 28 4 2 2 3" xfId="17286" xr:uid="{00000000-0005-0000-0000-000007610000}"/>
    <cellStyle name="Normal 28 4 2 2 3 2" xfId="53577" xr:uid="{00000000-0005-0000-0000-000008610000}"/>
    <cellStyle name="Normal 28 4 2 2 3 3" xfId="53578" xr:uid="{00000000-0005-0000-0000-000009610000}"/>
    <cellStyle name="Normal 28 4 2 2 4" xfId="17287" xr:uid="{00000000-0005-0000-0000-00000A610000}"/>
    <cellStyle name="Normal 28 4 2 2 4 2" xfId="53579" xr:uid="{00000000-0005-0000-0000-00000B610000}"/>
    <cellStyle name="Normal 28 4 2 2 5" xfId="17288" xr:uid="{00000000-0005-0000-0000-00000C610000}"/>
    <cellStyle name="Normal 28 4 2 2 6" xfId="17289" xr:uid="{00000000-0005-0000-0000-00000D610000}"/>
    <cellStyle name="Normal 28 4 2 2 7" xfId="17290" xr:uid="{00000000-0005-0000-0000-00000E610000}"/>
    <cellStyle name="Normal 28 4 2 3" xfId="17291" xr:uid="{00000000-0005-0000-0000-00000F610000}"/>
    <cellStyle name="Normal 28 4 2 3 2" xfId="17292" xr:uid="{00000000-0005-0000-0000-000010610000}"/>
    <cellStyle name="Normal 28 4 2 3 2 2" xfId="53580" xr:uid="{00000000-0005-0000-0000-000011610000}"/>
    <cellStyle name="Normal 28 4 2 3 2 3" xfId="53581" xr:uid="{00000000-0005-0000-0000-000012610000}"/>
    <cellStyle name="Normal 28 4 2 3 3" xfId="17293" xr:uid="{00000000-0005-0000-0000-000013610000}"/>
    <cellStyle name="Normal 28 4 2 3 3 2" xfId="53582" xr:uid="{00000000-0005-0000-0000-000014610000}"/>
    <cellStyle name="Normal 28 4 2 3 4" xfId="17294" xr:uid="{00000000-0005-0000-0000-000015610000}"/>
    <cellStyle name="Normal 28 4 2 3 5" xfId="17295" xr:uid="{00000000-0005-0000-0000-000016610000}"/>
    <cellStyle name="Normal 28 4 2 3 6" xfId="17296" xr:uid="{00000000-0005-0000-0000-000017610000}"/>
    <cellStyle name="Normal 28 4 2 4" xfId="17297" xr:uid="{00000000-0005-0000-0000-000018610000}"/>
    <cellStyle name="Normal 28 4 2 4 2" xfId="53583" xr:uid="{00000000-0005-0000-0000-000019610000}"/>
    <cellStyle name="Normal 28 4 2 4 3" xfId="53584" xr:uid="{00000000-0005-0000-0000-00001A610000}"/>
    <cellStyle name="Normal 28 4 2 5" xfId="17298" xr:uid="{00000000-0005-0000-0000-00001B610000}"/>
    <cellStyle name="Normal 28 4 2 5 2" xfId="53585" xr:uid="{00000000-0005-0000-0000-00001C610000}"/>
    <cellStyle name="Normal 28 4 2 6" xfId="17299" xr:uid="{00000000-0005-0000-0000-00001D610000}"/>
    <cellStyle name="Normal 28 4 2 7" xfId="17300" xr:uid="{00000000-0005-0000-0000-00001E610000}"/>
    <cellStyle name="Normal 28 4 2 8" xfId="17301" xr:uid="{00000000-0005-0000-0000-00001F610000}"/>
    <cellStyle name="Normal 28 4 2 9" xfId="17302" xr:uid="{00000000-0005-0000-0000-000020610000}"/>
    <cellStyle name="Normal 28 4 3" xfId="17303" xr:uid="{00000000-0005-0000-0000-000021610000}"/>
    <cellStyle name="Normal 28 4 3 2" xfId="17304" xr:uid="{00000000-0005-0000-0000-000022610000}"/>
    <cellStyle name="Normal 28 4 3 2 2" xfId="17305" xr:uid="{00000000-0005-0000-0000-000023610000}"/>
    <cellStyle name="Normal 28 4 3 2 2 2" xfId="17306" xr:uid="{00000000-0005-0000-0000-000024610000}"/>
    <cellStyle name="Normal 28 4 3 2 2 2 2" xfId="53586" xr:uid="{00000000-0005-0000-0000-000025610000}"/>
    <cellStyle name="Normal 28 4 3 2 2 2 3" xfId="53587" xr:uid="{00000000-0005-0000-0000-000026610000}"/>
    <cellStyle name="Normal 28 4 3 2 2 3" xfId="17307" xr:uid="{00000000-0005-0000-0000-000027610000}"/>
    <cellStyle name="Normal 28 4 3 2 2 3 2" xfId="53588" xr:uid="{00000000-0005-0000-0000-000028610000}"/>
    <cellStyle name="Normal 28 4 3 2 2 4" xfId="17308" xr:uid="{00000000-0005-0000-0000-000029610000}"/>
    <cellStyle name="Normal 28 4 3 2 2 5" xfId="17309" xr:uid="{00000000-0005-0000-0000-00002A610000}"/>
    <cellStyle name="Normal 28 4 3 2 2 6" xfId="17310" xr:uid="{00000000-0005-0000-0000-00002B610000}"/>
    <cellStyle name="Normal 28 4 3 2 3" xfId="17311" xr:uid="{00000000-0005-0000-0000-00002C610000}"/>
    <cellStyle name="Normal 28 4 3 2 3 2" xfId="53589" xr:uid="{00000000-0005-0000-0000-00002D610000}"/>
    <cellStyle name="Normal 28 4 3 2 3 3" xfId="53590" xr:uid="{00000000-0005-0000-0000-00002E610000}"/>
    <cellStyle name="Normal 28 4 3 2 4" xfId="17312" xr:uid="{00000000-0005-0000-0000-00002F610000}"/>
    <cellStyle name="Normal 28 4 3 2 4 2" xfId="53591" xr:uid="{00000000-0005-0000-0000-000030610000}"/>
    <cellStyle name="Normal 28 4 3 2 5" xfId="17313" xr:uid="{00000000-0005-0000-0000-000031610000}"/>
    <cellStyle name="Normal 28 4 3 2 6" xfId="17314" xr:uid="{00000000-0005-0000-0000-000032610000}"/>
    <cellStyle name="Normal 28 4 3 2 7" xfId="17315" xr:uid="{00000000-0005-0000-0000-000033610000}"/>
    <cellStyle name="Normal 28 4 3 3" xfId="17316" xr:uid="{00000000-0005-0000-0000-000034610000}"/>
    <cellStyle name="Normal 28 4 3 3 2" xfId="17317" xr:uid="{00000000-0005-0000-0000-000035610000}"/>
    <cellStyle name="Normal 28 4 3 3 2 2" xfId="53592" xr:uid="{00000000-0005-0000-0000-000036610000}"/>
    <cellStyle name="Normal 28 4 3 3 2 3" xfId="53593" xr:uid="{00000000-0005-0000-0000-000037610000}"/>
    <cellStyle name="Normal 28 4 3 3 3" xfId="17318" xr:uid="{00000000-0005-0000-0000-000038610000}"/>
    <cellStyle name="Normal 28 4 3 3 3 2" xfId="53594" xr:uid="{00000000-0005-0000-0000-000039610000}"/>
    <cellStyle name="Normal 28 4 3 3 4" xfId="17319" xr:uid="{00000000-0005-0000-0000-00003A610000}"/>
    <cellStyle name="Normal 28 4 3 3 5" xfId="17320" xr:uid="{00000000-0005-0000-0000-00003B610000}"/>
    <cellStyle name="Normal 28 4 3 3 6" xfId="17321" xr:uid="{00000000-0005-0000-0000-00003C610000}"/>
    <cellStyle name="Normal 28 4 3 4" xfId="17322" xr:uid="{00000000-0005-0000-0000-00003D610000}"/>
    <cellStyle name="Normal 28 4 3 4 2" xfId="53595" xr:uid="{00000000-0005-0000-0000-00003E610000}"/>
    <cellStyle name="Normal 28 4 3 4 3" xfId="53596" xr:uid="{00000000-0005-0000-0000-00003F610000}"/>
    <cellStyle name="Normal 28 4 3 5" xfId="17323" xr:uid="{00000000-0005-0000-0000-000040610000}"/>
    <cellStyle name="Normal 28 4 3 5 2" xfId="53597" xr:uid="{00000000-0005-0000-0000-000041610000}"/>
    <cellStyle name="Normal 28 4 3 6" xfId="17324" xr:uid="{00000000-0005-0000-0000-000042610000}"/>
    <cellStyle name="Normal 28 4 3 7" xfId="17325" xr:uid="{00000000-0005-0000-0000-000043610000}"/>
    <cellStyle name="Normal 28 4 3 8" xfId="17326" xr:uid="{00000000-0005-0000-0000-000044610000}"/>
    <cellStyle name="Normal 28 4 4" xfId="17327" xr:uid="{00000000-0005-0000-0000-000045610000}"/>
    <cellStyle name="Normal 28 4 4 2" xfId="17328" xr:uid="{00000000-0005-0000-0000-000046610000}"/>
    <cellStyle name="Normal 28 4 4 2 2" xfId="17329" xr:uid="{00000000-0005-0000-0000-000047610000}"/>
    <cellStyle name="Normal 28 4 4 2 2 2" xfId="53598" xr:uid="{00000000-0005-0000-0000-000048610000}"/>
    <cellStyle name="Normal 28 4 4 2 2 3" xfId="53599" xr:uid="{00000000-0005-0000-0000-000049610000}"/>
    <cellStyle name="Normal 28 4 4 2 3" xfId="17330" xr:uid="{00000000-0005-0000-0000-00004A610000}"/>
    <cellStyle name="Normal 28 4 4 2 3 2" xfId="53600" xr:uid="{00000000-0005-0000-0000-00004B610000}"/>
    <cellStyle name="Normal 28 4 4 2 4" xfId="17331" xr:uid="{00000000-0005-0000-0000-00004C610000}"/>
    <cellStyle name="Normal 28 4 4 2 5" xfId="17332" xr:uid="{00000000-0005-0000-0000-00004D610000}"/>
    <cellStyle name="Normal 28 4 4 2 6" xfId="17333" xr:uid="{00000000-0005-0000-0000-00004E610000}"/>
    <cellStyle name="Normal 28 4 4 3" xfId="17334" xr:uid="{00000000-0005-0000-0000-00004F610000}"/>
    <cellStyle name="Normal 28 4 4 3 2" xfId="53601" xr:uid="{00000000-0005-0000-0000-000050610000}"/>
    <cellStyle name="Normal 28 4 4 3 3" xfId="53602" xr:uid="{00000000-0005-0000-0000-000051610000}"/>
    <cellStyle name="Normal 28 4 4 4" xfId="17335" xr:uid="{00000000-0005-0000-0000-000052610000}"/>
    <cellStyle name="Normal 28 4 4 4 2" xfId="53603" xr:uid="{00000000-0005-0000-0000-000053610000}"/>
    <cellStyle name="Normal 28 4 4 5" xfId="17336" xr:uid="{00000000-0005-0000-0000-000054610000}"/>
    <cellStyle name="Normal 28 4 4 6" xfId="17337" xr:uid="{00000000-0005-0000-0000-000055610000}"/>
    <cellStyle name="Normal 28 4 4 7" xfId="17338" xr:uid="{00000000-0005-0000-0000-000056610000}"/>
    <cellStyle name="Normal 28 4 5" xfId="17339" xr:uid="{00000000-0005-0000-0000-000057610000}"/>
    <cellStyle name="Normal 28 4 5 2" xfId="17340" xr:uid="{00000000-0005-0000-0000-000058610000}"/>
    <cellStyle name="Normal 28 4 5 2 2" xfId="53604" xr:uid="{00000000-0005-0000-0000-000059610000}"/>
    <cellStyle name="Normal 28 4 5 2 3" xfId="53605" xr:uid="{00000000-0005-0000-0000-00005A610000}"/>
    <cellStyle name="Normal 28 4 5 3" xfId="17341" xr:uid="{00000000-0005-0000-0000-00005B610000}"/>
    <cellStyle name="Normal 28 4 5 3 2" xfId="53606" xr:uid="{00000000-0005-0000-0000-00005C610000}"/>
    <cellStyle name="Normal 28 4 5 4" xfId="17342" xr:uid="{00000000-0005-0000-0000-00005D610000}"/>
    <cellStyle name="Normal 28 4 5 5" xfId="17343" xr:uid="{00000000-0005-0000-0000-00005E610000}"/>
    <cellStyle name="Normal 28 4 5 6" xfId="17344" xr:uid="{00000000-0005-0000-0000-00005F610000}"/>
    <cellStyle name="Normal 28 4 6" xfId="17345" xr:uid="{00000000-0005-0000-0000-000060610000}"/>
    <cellStyle name="Normal 28 4 6 2" xfId="53607" xr:uid="{00000000-0005-0000-0000-000061610000}"/>
    <cellStyle name="Normal 28 4 6 3" xfId="53608" xr:uid="{00000000-0005-0000-0000-000062610000}"/>
    <cellStyle name="Normal 28 4 7" xfId="17346" xr:uid="{00000000-0005-0000-0000-000063610000}"/>
    <cellStyle name="Normal 28 4 7 2" xfId="53609" xr:uid="{00000000-0005-0000-0000-000064610000}"/>
    <cellStyle name="Normal 28 4 8" xfId="17347" xr:uid="{00000000-0005-0000-0000-000065610000}"/>
    <cellStyle name="Normal 28 4 9" xfId="17348" xr:uid="{00000000-0005-0000-0000-000066610000}"/>
    <cellStyle name="Normal 28 5" xfId="17349" xr:uid="{00000000-0005-0000-0000-000067610000}"/>
    <cellStyle name="Normal 28 5 10" xfId="17350" xr:uid="{00000000-0005-0000-0000-000068610000}"/>
    <cellStyle name="Normal 28 5 11" xfId="17351" xr:uid="{00000000-0005-0000-0000-000069610000}"/>
    <cellStyle name="Normal 28 5 12" xfId="17352" xr:uid="{00000000-0005-0000-0000-00006A610000}"/>
    <cellStyle name="Normal 28 5 13" xfId="17353" xr:uid="{00000000-0005-0000-0000-00006B610000}"/>
    <cellStyle name="Normal 28 5 14" xfId="17354" xr:uid="{00000000-0005-0000-0000-00006C610000}"/>
    <cellStyle name="Normal 28 5 2" xfId="17355" xr:uid="{00000000-0005-0000-0000-00006D610000}"/>
    <cellStyle name="Normal 28 5 2 2" xfId="17356" xr:uid="{00000000-0005-0000-0000-00006E610000}"/>
    <cellStyle name="Normal 28 5 2 2 2" xfId="17357" xr:uid="{00000000-0005-0000-0000-00006F610000}"/>
    <cellStyle name="Normal 28 5 2 2 2 2" xfId="17358" xr:uid="{00000000-0005-0000-0000-000070610000}"/>
    <cellStyle name="Normal 28 5 2 2 2 2 2" xfId="53610" xr:uid="{00000000-0005-0000-0000-000071610000}"/>
    <cellStyle name="Normal 28 5 2 2 2 2 3" xfId="53611" xr:uid="{00000000-0005-0000-0000-000072610000}"/>
    <cellStyle name="Normal 28 5 2 2 2 3" xfId="17359" xr:uid="{00000000-0005-0000-0000-000073610000}"/>
    <cellStyle name="Normal 28 5 2 2 2 3 2" xfId="53612" xr:uid="{00000000-0005-0000-0000-000074610000}"/>
    <cellStyle name="Normal 28 5 2 2 2 4" xfId="17360" xr:uid="{00000000-0005-0000-0000-000075610000}"/>
    <cellStyle name="Normal 28 5 2 2 2 5" xfId="17361" xr:uid="{00000000-0005-0000-0000-000076610000}"/>
    <cellStyle name="Normal 28 5 2 2 2 6" xfId="17362" xr:uid="{00000000-0005-0000-0000-000077610000}"/>
    <cellStyle name="Normal 28 5 2 2 3" xfId="17363" xr:uid="{00000000-0005-0000-0000-000078610000}"/>
    <cellStyle name="Normal 28 5 2 2 3 2" xfId="53613" xr:uid="{00000000-0005-0000-0000-000079610000}"/>
    <cellStyle name="Normal 28 5 2 2 3 3" xfId="53614" xr:uid="{00000000-0005-0000-0000-00007A610000}"/>
    <cellStyle name="Normal 28 5 2 2 4" xfId="17364" xr:uid="{00000000-0005-0000-0000-00007B610000}"/>
    <cellStyle name="Normal 28 5 2 2 4 2" xfId="53615" xr:uid="{00000000-0005-0000-0000-00007C610000}"/>
    <cellStyle name="Normal 28 5 2 2 5" xfId="17365" xr:uid="{00000000-0005-0000-0000-00007D610000}"/>
    <cellStyle name="Normal 28 5 2 2 6" xfId="17366" xr:uid="{00000000-0005-0000-0000-00007E610000}"/>
    <cellStyle name="Normal 28 5 2 2 7" xfId="17367" xr:uid="{00000000-0005-0000-0000-00007F610000}"/>
    <cellStyle name="Normal 28 5 2 3" xfId="17368" xr:uid="{00000000-0005-0000-0000-000080610000}"/>
    <cellStyle name="Normal 28 5 2 3 2" xfId="17369" xr:uid="{00000000-0005-0000-0000-000081610000}"/>
    <cellStyle name="Normal 28 5 2 3 2 2" xfId="53616" xr:uid="{00000000-0005-0000-0000-000082610000}"/>
    <cellStyle name="Normal 28 5 2 3 2 3" xfId="53617" xr:uid="{00000000-0005-0000-0000-000083610000}"/>
    <cellStyle name="Normal 28 5 2 3 3" xfId="17370" xr:uid="{00000000-0005-0000-0000-000084610000}"/>
    <cellStyle name="Normal 28 5 2 3 3 2" xfId="53618" xr:uid="{00000000-0005-0000-0000-000085610000}"/>
    <cellStyle name="Normal 28 5 2 3 4" xfId="17371" xr:uid="{00000000-0005-0000-0000-000086610000}"/>
    <cellStyle name="Normal 28 5 2 3 5" xfId="17372" xr:uid="{00000000-0005-0000-0000-000087610000}"/>
    <cellStyle name="Normal 28 5 2 3 6" xfId="17373" xr:uid="{00000000-0005-0000-0000-000088610000}"/>
    <cellStyle name="Normal 28 5 2 4" xfId="17374" xr:uid="{00000000-0005-0000-0000-000089610000}"/>
    <cellStyle name="Normal 28 5 2 4 2" xfId="53619" xr:uid="{00000000-0005-0000-0000-00008A610000}"/>
    <cellStyle name="Normal 28 5 2 4 3" xfId="53620" xr:uid="{00000000-0005-0000-0000-00008B610000}"/>
    <cellStyle name="Normal 28 5 2 5" xfId="17375" xr:uid="{00000000-0005-0000-0000-00008C610000}"/>
    <cellStyle name="Normal 28 5 2 5 2" xfId="53621" xr:uid="{00000000-0005-0000-0000-00008D610000}"/>
    <cellStyle name="Normal 28 5 2 6" xfId="17376" xr:uid="{00000000-0005-0000-0000-00008E610000}"/>
    <cellStyle name="Normal 28 5 2 7" xfId="17377" xr:uid="{00000000-0005-0000-0000-00008F610000}"/>
    <cellStyle name="Normal 28 5 2 8" xfId="17378" xr:uid="{00000000-0005-0000-0000-000090610000}"/>
    <cellStyle name="Normal 28 5 2 9" xfId="17379" xr:uid="{00000000-0005-0000-0000-000091610000}"/>
    <cellStyle name="Normal 28 5 3" xfId="17380" xr:uid="{00000000-0005-0000-0000-000092610000}"/>
    <cellStyle name="Normal 28 5 3 2" xfId="17381" xr:uid="{00000000-0005-0000-0000-000093610000}"/>
    <cellStyle name="Normal 28 5 3 2 2" xfId="17382" xr:uid="{00000000-0005-0000-0000-000094610000}"/>
    <cellStyle name="Normal 28 5 3 2 2 2" xfId="53622" xr:uid="{00000000-0005-0000-0000-000095610000}"/>
    <cellStyle name="Normal 28 5 3 2 2 3" xfId="53623" xr:uid="{00000000-0005-0000-0000-000096610000}"/>
    <cellStyle name="Normal 28 5 3 2 3" xfId="17383" xr:uid="{00000000-0005-0000-0000-000097610000}"/>
    <cellStyle name="Normal 28 5 3 2 3 2" xfId="53624" xr:uid="{00000000-0005-0000-0000-000098610000}"/>
    <cellStyle name="Normal 28 5 3 2 4" xfId="17384" xr:uid="{00000000-0005-0000-0000-000099610000}"/>
    <cellStyle name="Normal 28 5 3 2 5" xfId="17385" xr:uid="{00000000-0005-0000-0000-00009A610000}"/>
    <cellStyle name="Normal 28 5 3 2 6" xfId="17386" xr:uid="{00000000-0005-0000-0000-00009B610000}"/>
    <cellStyle name="Normal 28 5 3 3" xfId="17387" xr:uid="{00000000-0005-0000-0000-00009C610000}"/>
    <cellStyle name="Normal 28 5 3 3 2" xfId="53625" xr:uid="{00000000-0005-0000-0000-00009D610000}"/>
    <cellStyle name="Normal 28 5 3 3 3" xfId="53626" xr:uid="{00000000-0005-0000-0000-00009E610000}"/>
    <cellStyle name="Normal 28 5 3 4" xfId="17388" xr:uid="{00000000-0005-0000-0000-00009F610000}"/>
    <cellStyle name="Normal 28 5 3 4 2" xfId="53627" xr:uid="{00000000-0005-0000-0000-0000A0610000}"/>
    <cellStyle name="Normal 28 5 3 5" xfId="17389" xr:uid="{00000000-0005-0000-0000-0000A1610000}"/>
    <cellStyle name="Normal 28 5 3 6" xfId="17390" xr:uid="{00000000-0005-0000-0000-0000A2610000}"/>
    <cellStyle name="Normal 28 5 3 7" xfId="17391" xr:uid="{00000000-0005-0000-0000-0000A3610000}"/>
    <cellStyle name="Normal 28 5 4" xfId="17392" xr:uid="{00000000-0005-0000-0000-0000A4610000}"/>
    <cellStyle name="Normal 28 5 4 2" xfId="17393" xr:uid="{00000000-0005-0000-0000-0000A5610000}"/>
    <cellStyle name="Normal 28 5 4 2 2" xfId="53628" xr:uid="{00000000-0005-0000-0000-0000A6610000}"/>
    <cellStyle name="Normal 28 5 4 2 3" xfId="53629" xr:uid="{00000000-0005-0000-0000-0000A7610000}"/>
    <cellStyle name="Normal 28 5 4 3" xfId="17394" xr:uid="{00000000-0005-0000-0000-0000A8610000}"/>
    <cellStyle name="Normal 28 5 4 3 2" xfId="53630" xr:uid="{00000000-0005-0000-0000-0000A9610000}"/>
    <cellStyle name="Normal 28 5 4 4" xfId="17395" xr:uid="{00000000-0005-0000-0000-0000AA610000}"/>
    <cellStyle name="Normal 28 5 4 5" xfId="17396" xr:uid="{00000000-0005-0000-0000-0000AB610000}"/>
    <cellStyle name="Normal 28 5 4 6" xfId="17397" xr:uid="{00000000-0005-0000-0000-0000AC610000}"/>
    <cellStyle name="Normal 28 5 5" xfId="17398" xr:uid="{00000000-0005-0000-0000-0000AD610000}"/>
    <cellStyle name="Normal 28 5 5 2" xfId="53631" xr:uid="{00000000-0005-0000-0000-0000AE610000}"/>
    <cellStyle name="Normal 28 5 6" xfId="17399" xr:uid="{00000000-0005-0000-0000-0000AF610000}"/>
    <cellStyle name="Normal 28 5 7" xfId="17400" xr:uid="{00000000-0005-0000-0000-0000B0610000}"/>
    <cellStyle name="Normal 28 5 8" xfId="17401" xr:uid="{00000000-0005-0000-0000-0000B1610000}"/>
    <cellStyle name="Normal 28 5 9" xfId="17402" xr:uid="{00000000-0005-0000-0000-0000B2610000}"/>
    <cellStyle name="Normal 28 6" xfId="17403" xr:uid="{00000000-0005-0000-0000-0000B3610000}"/>
    <cellStyle name="Normal 28 6 2" xfId="17404" xr:uid="{00000000-0005-0000-0000-0000B4610000}"/>
    <cellStyle name="Normal 28 6 2 2" xfId="17405" xr:uid="{00000000-0005-0000-0000-0000B5610000}"/>
    <cellStyle name="Normal 28 6 2 2 2" xfId="17406" xr:uid="{00000000-0005-0000-0000-0000B6610000}"/>
    <cellStyle name="Normal 28 6 2 2 2 2" xfId="53632" xr:uid="{00000000-0005-0000-0000-0000B7610000}"/>
    <cellStyle name="Normal 28 6 2 2 2 3" xfId="53633" xr:uid="{00000000-0005-0000-0000-0000B8610000}"/>
    <cellStyle name="Normal 28 6 2 2 3" xfId="17407" xr:uid="{00000000-0005-0000-0000-0000B9610000}"/>
    <cellStyle name="Normal 28 6 2 2 3 2" xfId="53634" xr:uid="{00000000-0005-0000-0000-0000BA610000}"/>
    <cellStyle name="Normal 28 6 2 2 4" xfId="17408" xr:uid="{00000000-0005-0000-0000-0000BB610000}"/>
    <cellStyle name="Normal 28 6 2 2 5" xfId="17409" xr:uid="{00000000-0005-0000-0000-0000BC610000}"/>
    <cellStyle name="Normal 28 6 2 2 6" xfId="17410" xr:uid="{00000000-0005-0000-0000-0000BD610000}"/>
    <cellStyle name="Normal 28 6 2 3" xfId="17411" xr:uid="{00000000-0005-0000-0000-0000BE610000}"/>
    <cellStyle name="Normal 28 6 2 3 2" xfId="53635" xr:uid="{00000000-0005-0000-0000-0000BF610000}"/>
    <cellStyle name="Normal 28 6 2 3 3" xfId="53636" xr:uid="{00000000-0005-0000-0000-0000C0610000}"/>
    <cellStyle name="Normal 28 6 2 4" xfId="17412" xr:uid="{00000000-0005-0000-0000-0000C1610000}"/>
    <cellStyle name="Normal 28 6 2 4 2" xfId="53637" xr:uid="{00000000-0005-0000-0000-0000C2610000}"/>
    <cellStyle name="Normal 28 6 2 5" xfId="17413" xr:uid="{00000000-0005-0000-0000-0000C3610000}"/>
    <cellStyle name="Normal 28 6 2 6" xfId="17414" xr:uid="{00000000-0005-0000-0000-0000C4610000}"/>
    <cellStyle name="Normal 28 6 2 7" xfId="17415" xr:uid="{00000000-0005-0000-0000-0000C5610000}"/>
    <cellStyle name="Normal 28 6 3" xfId="17416" xr:uid="{00000000-0005-0000-0000-0000C6610000}"/>
    <cellStyle name="Normal 28 6 3 2" xfId="17417" xr:uid="{00000000-0005-0000-0000-0000C7610000}"/>
    <cellStyle name="Normal 28 6 3 2 2" xfId="53638" xr:uid="{00000000-0005-0000-0000-0000C8610000}"/>
    <cellStyle name="Normal 28 6 3 2 3" xfId="53639" xr:uid="{00000000-0005-0000-0000-0000C9610000}"/>
    <cellStyle name="Normal 28 6 3 3" xfId="17418" xr:uid="{00000000-0005-0000-0000-0000CA610000}"/>
    <cellStyle name="Normal 28 6 3 3 2" xfId="53640" xr:uid="{00000000-0005-0000-0000-0000CB610000}"/>
    <cellStyle name="Normal 28 6 3 4" xfId="17419" xr:uid="{00000000-0005-0000-0000-0000CC610000}"/>
    <cellStyle name="Normal 28 6 3 5" xfId="17420" xr:uid="{00000000-0005-0000-0000-0000CD610000}"/>
    <cellStyle name="Normal 28 6 3 6" xfId="17421" xr:uid="{00000000-0005-0000-0000-0000CE610000}"/>
    <cellStyle name="Normal 28 6 4" xfId="17422" xr:uid="{00000000-0005-0000-0000-0000CF610000}"/>
    <cellStyle name="Normal 28 6 4 2" xfId="53641" xr:uid="{00000000-0005-0000-0000-0000D0610000}"/>
    <cellStyle name="Normal 28 6 4 3" xfId="53642" xr:uid="{00000000-0005-0000-0000-0000D1610000}"/>
    <cellStyle name="Normal 28 6 5" xfId="17423" xr:uid="{00000000-0005-0000-0000-0000D2610000}"/>
    <cellStyle name="Normal 28 6 5 2" xfId="53643" xr:uid="{00000000-0005-0000-0000-0000D3610000}"/>
    <cellStyle name="Normal 28 6 6" xfId="17424" xr:uid="{00000000-0005-0000-0000-0000D4610000}"/>
    <cellStyle name="Normal 28 6 7" xfId="17425" xr:uid="{00000000-0005-0000-0000-0000D5610000}"/>
    <cellStyle name="Normal 28 6 8" xfId="17426" xr:uid="{00000000-0005-0000-0000-0000D6610000}"/>
    <cellStyle name="Normal 28 7" xfId="17427" xr:uid="{00000000-0005-0000-0000-0000D7610000}"/>
    <cellStyle name="Normal 28 7 2" xfId="17428" xr:uid="{00000000-0005-0000-0000-0000D8610000}"/>
    <cellStyle name="Normal 28 7 2 2" xfId="53644" xr:uid="{00000000-0005-0000-0000-0000D9610000}"/>
    <cellStyle name="Normal 28 7 2 3" xfId="53645" xr:uid="{00000000-0005-0000-0000-0000DA610000}"/>
    <cellStyle name="Normal 28 7 3" xfId="17429" xr:uid="{00000000-0005-0000-0000-0000DB610000}"/>
    <cellStyle name="Normal 28 7 3 2" xfId="53646" xr:uid="{00000000-0005-0000-0000-0000DC610000}"/>
    <cellStyle name="Normal 28 7 4" xfId="17430" xr:uid="{00000000-0005-0000-0000-0000DD610000}"/>
    <cellStyle name="Normal 28 7 5" xfId="17431" xr:uid="{00000000-0005-0000-0000-0000DE610000}"/>
    <cellStyle name="Normal 28 7 6" xfId="17432" xr:uid="{00000000-0005-0000-0000-0000DF610000}"/>
    <cellStyle name="Normal 28 8" xfId="17433" xr:uid="{00000000-0005-0000-0000-0000E0610000}"/>
    <cellStyle name="Normal 28 8 2" xfId="17434" xr:uid="{00000000-0005-0000-0000-0000E1610000}"/>
    <cellStyle name="Normal 28 8 3" xfId="17435" xr:uid="{00000000-0005-0000-0000-0000E2610000}"/>
    <cellStyle name="Normal 28 8 4" xfId="17436" xr:uid="{00000000-0005-0000-0000-0000E3610000}"/>
    <cellStyle name="Normal 28 8 5" xfId="17437" xr:uid="{00000000-0005-0000-0000-0000E4610000}"/>
    <cellStyle name="Normal 28 9" xfId="17438" xr:uid="{00000000-0005-0000-0000-0000E5610000}"/>
    <cellStyle name="Normal 29" xfId="17439" xr:uid="{00000000-0005-0000-0000-0000E6610000}"/>
    <cellStyle name="Normal 29 2" xfId="17440" xr:uid="{00000000-0005-0000-0000-0000E7610000}"/>
    <cellStyle name="Normal 29 2 2" xfId="17441" xr:uid="{00000000-0005-0000-0000-0000E8610000}"/>
    <cellStyle name="Normal 29 3" xfId="17442" xr:uid="{00000000-0005-0000-0000-0000E9610000}"/>
    <cellStyle name="Normal 29 3 2" xfId="17443" xr:uid="{00000000-0005-0000-0000-0000EA610000}"/>
    <cellStyle name="Normal 29 4" xfId="17444" xr:uid="{00000000-0005-0000-0000-0000EB610000}"/>
    <cellStyle name="Normal 29 5" xfId="17445" xr:uid="{00000000-0005-0000-0000-0000EC610000}"/>
    <cellStyle name="Normal 29 5 2" xfId="17446" xr:uid="{00000000-0005-0000-0000-0000ED610000}"/>
    <cellStyle name="Normal 29 6" xfId="17447" xr:uid="{00000000-0005-0000-0000-0000EE610000}"/>
    <cellStyle name="Normal 29 6 2" xfId="53647" xr:uid="{00000000-0005-0000-0000-0000EF610000}"/>
    <cellStyle name="Normal 29 7" xfId="17448" xr:uid="{00000000-0005-0000-0000-0000F0610000}"/>
    <cellStyle name="Normal 3" xfId="17449" xr:uid="{00000000-0005-0000-0000-0000F1610000}"/>
    <cellStyle name="Normal 3 10" xfId="17450" xr:uid="{00000000-0005-0000-0000-0000F2610000}"/>
    <cellStyle name="Normal 3 2" xfId="17451" xr:uid="{00000000-0005-0000-0000-0000F3610000}"/>
    <cellStyle name="Normal 3 2 2" xfId="17452" xr:uid="{00000000-0005-0000-0000-0000F4610000}"/>
    <cellStyle name="Normal 3 2 2 2" xfId="17453" xr:uid="{00000000-0005-0000-0000-0000F5610000}"/>
    <cellStyle name="Normal 3 2 2 3" xfId="17454" xr:uid="{00000000-0005-0000-0000-0000F6610000}"/>
    <cellStyle name="Normal 3 2 2 4" xfId="17455" xr:uid="{00000000-0005-0000-0000-0000F7610000}"/>
    <cellStyle name="Normal 3 2 2 5" xfId="17456" xr:uid="{00000000-0005-0000-0000-0000F8610000}"/>
    <cellStyle name="Normal 3 2 3" xfId="17457" xr:uid="{00000000-0005-0000-0000-0000F9610000}"/>
    <cellStyle name="Normal 3 2 3 2" xfId="17458" xr:uid="{00000000-0005-0000-0000-0000FA610000}"/>
    <cellStyle name="Normal 3 2 3 3" xfId="17459" xr:uid="{00000000-0005-0000-0000-0000FB610000}"/>
    <cellStyle name="Normal 3 2 4" xfId="17460" xr:uid="{00000000-0005-0000-0000-0000FC610000}"/>
    <cellStyle name="Normal 3 2 4 2" xfId="17461" xr:uid="{00000000-0005-0000-0000-0000FD610000}"/>
    <cellStyle name="Normal 3 2 5" xfId="17462" xr:uid="{00000000-0005-0000-0000-0000FE610000}"/>
    <cellStyle name="Normal 3 2 5 2" xfId="17463" xr:uid="{00000000-0005-0000-0000-0000FF610000}"/>
    <cellStyle name="Normal 3 2 5 2 2" xfId="53648" xr:uid="{00000000-0005-0000-0000-000000620000}"/>
    <cellStyle name="Normal 3 2 5 2 3" xfId="53649" xr:uid="{00000000-0005-0000-0000-000001620000}"/>
    <cellStyle name="Normal 3 2 5 3" xfId="17464" xr:uid="{00000000-0005-0000-0000-000002620000}"/>
    <cellStyle name="Normal 3 2 5 4" xfId="53650" xr:uid="{00000000-0005-0000-0000-000003620000}"/>
    <cellStyle name="Normal 3 2 6" xfId="17465" xr:uid="{00000000-0005-0000-0000-000004620000}"/>
    <cellStyle name="Normal 3 2 6 2" xfId="53651" xr:uid="{00000000-0005-0000-0000-000005620000}"/>
    <cellStyle name="Normal 3 2 6 3" xfId="53652" xr:uid="{00000000-0005-0000-0000-000006620000}"/>
    <cellStyle name="Normal 3 2 7" xfId="17466" xr:uid="{00000000-0005-0000-0000-000007620000}"/>
    <cellStyle name="Normal 3 2 7 2" xfId="17467" xr:uid="{00000000-0005-0000-0000-000008620000}"/>
    <cellStyle name="Normal 3 2 8" xfId="53653" xr:uid="{00000000-0005-0000-0000-000009620000}"/>
    <cellStyle name="Normal 3 2_Sheet2" xfId="17468" xr:uid="{00000000-0005-0000-0000-00000A620000}"/>
    <cellStyle name="Normal 3 3" xfId="17469" xr:uid="{00000000-0005-0000-0000-00000B620000}"/>
    <cellStyle name="Normal 3 3 2" xfId="17470" xr:uid="{00000000-0005-0000-0000-00000C620000}"/>
    <cellStyle name="Normal 3 3 2 2" xfId="17471" xr:uid="{00000000-0005-0000-0000-00000D620000}"/>
    <cellStyle name="Normal 3 3 2 2 2" xfId="17472" xr:uid="{00000000-0005-0000-0000-00000E620000}"/>
    <cellStyle name="Normal 3 3 2 2 2 2" xfId="17473" xr:uid="{00000000-0005-0000-0000-00000F620000}"/>
    <cellStyle name="Normal 3 3 2 2 2 2 2" xfId="53654" xr:uid="{00000000-0005-0000-0000-000010620000}"/>
    <cellStyle name="Normal 3 3 2 2 2 2 3" xfId="53655" xr:uid="{00000000-0005-0000-0000-000011620000}"/>
    <cellStyle name="Normal 3 3 2 2 2 3" xfId="53656" xr:uid="{00000000-0005-0000-0000-000012620000}"/>
    <cellStyle name="Normal 3 3 2 2 2 4" xfId="53657" xr:uid="{00000000-0005-0000-0000-000013620000}"/>
    <cellStyle name="Normal 3 3 2 2 3" xfId="17474" xr:uid="{00000000-0005-0000-0000-000014620000}"/>
    <cellStyle name="Normal 3 3 2 2 3 2" xfId="53658" xr:uid="{00000000-0005-0000-0000-000015620000}"/>
    <cellStyle name="Normal 3 3 2 2 3 3" xfId="53659" xr:uid="{00000000-0005-0000-0000-000016620000}"/>
    <cellStyle name="Normal 3 3 2 2 4" xfId="17475" xr:uid="{00000000-0005-0000-0000-000017620000}"/>
    <cellStyle name="Normal 3 3 2 2 4 2" xfId="53660" xr:uid="{00000000-0005-0000-0000-000018620000}"/>
    <cellStyle name="Normal 3 3 2 2 5" xfId="17476" xr:uid="{00000000-0005-0000-0000-000019620000}"/>
    <cellStyle name="Normal 3 3 2 2 6" xfId="53661" xr:uid="{00000000-0005-0000-0000-00001A620000}"/>
    <cellStyle name="Normal 3 3 2 3" xfId="17477" xr:uid="{00000000-0005-0000-0000-00001B620000}"/>
    <cellStyle name="Normal 3 3 2 3 2" xfId="17478" xr:uid="{00000000-0005-0000-0000-00001C620000}"/>
    <cellStyle name="Normal 3 3 2 3 2 2" xfId="53662" xr:uid="{00000000-0005-0000-0000-00001D620000}"/>
    <cellStyle name="Normal 3 3 2 3 2 3" xfId="53663" xr:uid="{00000000-0005-0000-0000-00001E620000}"/>
    <cellStyle name="Normal 3 3 2 3 3" xfId="53664" xr:uid="{00000000-0005-0000-0000-00001F620000}"/>
    <cellStyle name="Normal 3 3 2 3 4" xfId="53665" xr:uid="{00000000-0005-0000-0000-000020620000}"/>
    <cellStyle name="Normal 3 3 2 4" xfId="17479" xr:uid="{00000000-0005-0000-0000-000021620000}"/>
    <cellStyle name="Normal 3 3 2 4 2" xfId="17480" xr:uid="{00000000-0005-0000-0000-000022620000}"/>
    <cellStyle name="Normal 3 3 2 4 3" xfId="53666" xr:uid="{00000000-0005-0000-0000-000023620000}"/>
    <cellStyle name="Normal 3 3 2 5" xfId="17481" xr:uid="{00000000-0005-0000-0000-000024620000}"/>
    <cellStyle name="Normal 3 3 2 5 2" xfId="17482" xr:uid="{00000000-0005-0000-0000-000025620000}"/>
    <cellStyle name="Normal 3 3 2 6" xfId="17483" xr:uid="{00000000-0005-0000-0000-000026620000}"/>
    <cellStyle name="Normal 3 3 2 7" xfId="17484" xr:uid="{00000000-0005-0000-0000-000027620000}"/>
    <cellStyle name="Normal 3 3 3" xfId="17485" xr:uid="{00000000-0005-0000-0000-000028620000}"/>
    <cellStyle name="Normal 3 3 3 2" xfId="17486" xr:uid="{00000000-0005-0000-0000-000029620000}"/>
    <cellStyle name="Normal 3 3 3 3" xfId="17487" xr:uid="{00000000-0005-0000-0000-00002A620000}"/>
    <cellStyle name="Normal 3 3 3 4" xfId="17488" xr:uid="{00000000-0005-0000-0000-00002B620000}"/>
    <cellStyle name="Normal 3 3 4" xfId="17489" xr:uid="{00000000-0005-0000-0000-00002C620000}"/>
    <cellStyle name="Normal 3 3 4 2" xfId="17490" xr:uid="{00000000-0005-0000-0000-00002D620000}"/>
    <cellStyle name="Normal 3 3 4 2 2" xfId="17491" xr:uid="{00000000-0005-0000-0000-00002E620000}"/>
    <cellStyle name="Normal 3 3 4 2 2 2" xfId="17492" xr:uid="{00000000-0005-0000-0000-00002F620000}"/>
    <cellStyle name="Normal 3 3 4 2 2 2 2" xfId="53667" xr:uid="{00000000-0005-0000-0000-000030620000}"/>
    <cellStyle name="Normal 3 3 4 2 2 2 3" xfId="53668" xr:uid="{00000000-0005-0000-0000-000031620000}"/>
    <cellStyle name="Normal 3 3 4 2 2 3" xfId="53669" xr:uid="{00000000-0005-0000-0000-000032620000}"/>
    <cellStyle name="Normal 3 3 4 2 2 4" xfId="53670" xr:uid="{00000000-0005-0000-0000-000033620000}"/>
    <cellStyle name="Normal 3 3 4 2 3" xfId="17493" xr:uid="{00000000-0005-0000-0000-000034620000}"/>
    <cellStyle name="Normal 3 3 4 2 3 2" xfId="53671" xr:uid="{00000000-0005-0000-0000-000035620000}"/>
    <cellStyle name="Normal 3 3 4 2 3 3" xfId="53672" xr:uid="{00000000-0005-0000-0000-000036620000}"/>
    <cellStyle name="Normal 3 3 4 2 4" xfId="17494" xr:uid="{00000000-0005-0000-0000-000037620000}"/>
    <cellStyle name="Normal 3 3 4 2 4 2" xfId="53673" xr:uid="{00000000-0005-0000-0000-000038620000}"/>
    <cellStyle name="Normal 3 3 4 2 5" xfId="53674" xr:uid="{00000000-0005-0000-0000-000039620000}"/>
    <cellStyle name="Normal 3 3 4 2 6" xfId="53675" xr:uid="{00000000-0005-0000-0000-00003A620000}"/>
    <cellStyle name="Normal 3 3 4 3" xfId="17495" xr:uid="{00000000-0005-0000-0000-00003B620000}"/>
    <cellStyle name="Normal 3 3 4 3 2" xfId="17496" xr:uid="{00000000-0005-0000-0000-00003C620000}"/>
    <cellStyle name="Normal 3 3 4 3 2 2" xfId="53676" xr:uid="{00000000-0005-0000-0000-00003D620000}"/>
    <cellStyle name="Normal 3 3 4 3 2 3" xfId="53677" xr:uid="{00000000-0005-0000-0000-00003E620000}"/>
    <cellStyle name="Normal 3 3 4 3 3" xfId="53678" xr:uid="{00000000-0005-0000-0000-00003F620000}"/>
    <cellStyle name="Normal 3 3 4 3 4" xfId="53679" xr:uid="{00000000-0005-0000-0000-000040620000}"/>
    <cellStyle name="Normal 3 3 4 4" xfId="17497" xr:uid="{00000000-0005-0000-0000-000041620000}"/>
    <cellStyle name="Normal 3 3 4 4 2" xfId="53680" xr:uid="{00000000-0005-0000-0000-000042620000}"/>
    <cellStyle name="Normal 3 3 4 4 3" xfId="53681" xr:uid="{00000000-0005-0000-0000-000043620000}"/>
    <cellStyle name="Normal 3 3 4 5" xfId="17498" xr:uid="{00000000-0005-0000-0000-000044620000}"/>
    <cellStyle name="Normal 3 3 4 5 2" xfId="53682" xr:uid="{00000000-0005-0000-0000-000045620000}"/>
    <cellStyle name="Normal 3 3 4 6" xfId="53683" xr:uid="{00000000-0005-0000-0000-000046620000}"/>
    <cellStyle name="Normal 3 3 4 7" xfId="53684" xr:uid="{00000000-0005-0000-0000-000047620000}"/>
    <cellStyle name="Normal 3 3 5" xfId="17499" xr:uid="{00000000-0005-0000-0000-000048620000}"/>
    <cellStyle name="Normal 3 3 5 2" xfId="17500" xr:uid="{00000000-0005-0000-0000-000049620000}"/>
    <cellStyle name="Normal 3 3 5 2 2" xfId="17501" xr:uid="{00000000-0005-0000-0000-00004A620000}"/>
    <cellStyle name="Normal 3 3 5 2 2 2" xfId="53685" xr:uid="{00000000-0005-0000-0000-00004B620000}"/>
    <cellStyle name="Normal 3 3 5 2 2 3" xfId="53686" xr:uid="{00000000-0005-0000-0000-00004C620000}"/>
    <cellStyle name="Normal 3 3 5 2 3" xfId="53687" xr:uid="{00000000-0005-0000-0000-00004D620000}"/>
    <cellStyle name="Normal 3 3 5 2 4" xfId="53688" xr:uid="{00000000-0005-0000-0000-00004E620000}"/>
    <cellStyle name="Normal 3 3 5 3" xfId="17502" xr:uid="{00000000-0005-0000-0000-00004F620000}"/>
    <cellStyle name="Normal 3 3 5 3 2" xfId="53689" xr:uid="{00000000-0005-0000-0000-000050620000}"/>
    <cellStyle name="Normal 3 3 5 3 3" xfId="53690" xr:uid="{00000000-0005-0000-0000-000051620000}"/>
    <cellStyle name="Normal 3 3 5 4" xfId="53691" xr:uid="{00000000-0005-0000-0000-000052620000}"/>
    <cellStyle name="Normal 3 3 5 5" xfId="53692" xr:uid="{00000000-0005-0000-0000-000053620000}"/>
    <cellStyle name="Normal 3 3 6" xfId="17503" xr:uid="{00000000-0005-0000-0000-000054620000}"/>
    <cellStyle name="Normal 3 3 7" xfId="17504" xr:uid="{00000000-0005-0000-0000-000055620000}"/>
    <cellStyle name="Normal 3 4" xfId="17505" xr:uid="{00000000-0005-0000-0000-000056620000}"/>
    <cellStyle name="Normal 3 4 2" xfId="17506" xr:uid="{00000000-0005-0000-0000-000057620000}"/>
    <cellStyle name="Normal 3 4 2 2" xfId="17507" xr:uid="{00000000-0005-0000-0000-000058620000}"/>
    <cellStyle name="Normal 3 4 2 2 2" xfId="17508" xr:uid="{00000000-0005-0000-0000-000059620000}"/>
    <cellStyle name="Normal 3 4 2 2 2 2" xfId="53693" xr:uid="{00000000-0005-0000-0000-00005A620000}"/>
    <cellStyle name="Normal 3 4 2 2 2 3" xfId="53694" xr:uid="{00000000-0005-0000-0000-00005B620000}"/>
    <cellStyle name="Normal 3 4 2 2 3" xfId="53695" xr:uid="{00000000-0005-0000-0000-00005C620000}"/>
    <cellStyle name="Normal 3 4 2 2 4" xfId="53696" xr:uid="{00000000-0005-0000-0000-00005D620000}"/>
    <cellStyle name="Normal 3 4 2 3" xfId="17509" xr:uid="{00000000-0005-0000-0000-00005E620000}"/>
    <cellStyle name="Normal 3 4 2 3 2" xfId="17510" xr:uid="{00000000-0005-0000-0000-00005F620000}"/>
    <cellStyle name="Normal 3 4 2 3 2 2" xfId="53697" xr:uid="{00000000-0005-0000-0000-000060620000}"/>
    <cellStyle name="Normal 3 4 2 3 3" xfId="53698" xr:uid="{00000000-0005-0000-0000-000061620000}"/>
    <cellStyle name="Normal 3 4 2 3 4" xfId="53699" xr:uid="{00000000-0005-0000-0000-000062620000}"/>
    <cellStyle name="Normal 3 4 2 4" xfId="17511" xr:uid="{00000000-0005-0000-0000-000063620000}"/>
    <cellStyle name="Normal 3 4 2 4 2" xfId="53700" xr:uid="{00000000-0005-0000-0000-000064620000}"/>
    <cellStyle name="Normal 3 4 2 5" xfId="17512" xr:uid="{00000000-0005-0000-0000-000065620000}"/>
    <cellStyle name="Normal 3 4 2 6" xfId="53701" xr:uid="{00000000-0005-0000-0000-000066620000}"/>
    <cellStyle name="Normal 3 4 3" xfId="17513" xr:uid="{00000000-0005-0000-0000-000067620000}"/>
    <cellStyle name="Normal 3 4 3 2" xfId="17514" xr:uid="{00000000-0005-0000-0000-000068620000}"/>
    <cellStyle name="Normal 3 4 3 2 2" xfId="17515" xr:uid="{00000000-0005-0000-0000-000069620000}"/>
    <cellStyle name="Normal 3 4 3 2 2 2" xfId="53702" xr:uid="{00000000-0005-0000-0000-00006A620000}"/>
    <cellStyle name="Normal 3 4 3 2 2 3" xfId="53703" xr:uid="{00000000-0005-0000-0000-00006B620000}"/>
    <cellStyle name="Normal 3 4 3 2 3" xfId="53704" xr:uid="{00000000-0005-0000-0000-00006C620000}"/>
    <cellStyle name="Normal 3 4 3 2 4" xfId="53705" xr:uid="{00000000-0005-0000-0000-00006D620000}"/>
    <cellStyle name="Normal 3 4 3 3" xfId="17516" xr:uid="{00000000-0005-0000-0000-00006E620000}"/>
    <cellStyle name="Normal 3 4 3 3 2" xfId="53706" xr:uid="{00000000-0005-0000-0000-00006F620000}"/>
    <cellStyle name="Normal 3 4 3 3 3" xfId="53707" xr:uid="{00000000-0005-0000-0000-000070620000}"/>
    <cellStyle name="Normal 3 4 3 4" xfId="53708" xr:uid="{00000000-0005-0000-0000-000071620000}"/>
    <cellStyle name="Normal 3 4 3 5" xfId="53709" xr:uid="{00000000-0005-0000-0000-000072620000}"/>
    <cellStyle name="Normal 3 4 4" xfId="17517" xr:uid="{00000000-0005-0000-0000-000073620000}"/>
    <cellStyle name="Normal 3 4 4 2" xfId="17518" xr:uid="{00000000-0005-0000-0000-000074620000}"/>
    <cellStyle name="Normal 3 4 4 2 2" xfId="53710" xr:uid="{00000000-0005-0000-0000-000075620000}"/>
    <cellStyle name="Normal 3 4 4 2 3" xfId="53711" xr:uid="{00000000-0005-0000-0000-000076620000}"/>
    <cellStyle name="Normal 3 4 4 3" xfId="53712" xr:uid="{00000000-0005-0000-0000-000077620000}"/>
    <cellStyle name="Normal 3 4 4 4" xfId="53713" xr:uid="{00000000-0005-0000-0000-000078620000}"/>
    <cellStyle name="Normal 3 4 5" xfId="17519" xr:uid="{00000000-0005-0000-0000-000079620000}"/>
    <cellStyle name="Normal 3 4 5 2" xfId="53714" xr:uid="{00000000-0005-0000-0000-00007A620000}"/>
    <cellStyle name="Normal 3 4 5 3" xfId="53715" xr:uid="{00000000-0005-0000-0000-00007B620000}"/>
    <cellStyle name="Normal 3 4 6" xfId="17520" xr:uid="{00000000-0005-0000-0000-00007C620000}"/>
    <cellStyle name="Normal 3 4 6 2" xfId="53716" xr:uid="{00000000-0005-0000-0000-00007D620000}"/>
    <cellStyle name="Normal 3 4 7" xfId="53717" xr:uid="{00000000-0005-0000-0000-00007E620000}"/>
    <cellStyle name="Normal 3 4 8" xfId="53718" xr:uid="{00000000-0005-0000-0000-00007F620000}"/>
    <cellStyle name="Normal 3 5" xfId="17521" xr:uid="{00000000-0005-0000-0000-000080620000}"/>
    <cellStyle name="Normal 3 5 2" xfId="17522" xr:uid="{00000000-0005-0000-0000-000081620000}"/>
    <cellStyle name="Normal 3 5 2 2" xfId="17523" xr:uid="{00000000-0005-0000-0000-000082620000}"/>
    <cellStyle name="Normal 3 5 2 2 2" xfId="17524" xr:uid="{00000000-0005-0000-0000-000083620000}"/>
    <cellStyle name="Normal 3 5 2 2 2 2" xfId="53719" xr:uid="{00000000-0005-0000-0000-000084620000}"/>
    <cellStyle name="Normal 3 5 2 2 2 3" xfId="53720" xr:uid="{00000000-0005-0000-0000-000085620000}"/>
    <cellStyle name="Normal 3 5 2 2 3" xfId="53721" xr:uid="{00000000-0005-0000-0000-000086620000}"/>
    <cellStyle name="Normal 3 5 2 2 4" xfId="53722" xr:uid="{00000000-0005-0000-0000-000087620000}"/>
    <cellStyle name="Normal 3 5 2 3" xfId="17525" xr:uid="{00000000-0005-0000-0000-000088620000}"/>
    <cellStyle name="Normal 3 5 2 3 2" xfId="53723" xr:uid="{00000000-0005-0000-0000-000089620000}"/>
    <cellStyle name="Normal 3 5 2 3 3" xfId="53724" xr:uid="{00000000-0005-0000-0000-00008A620000}"/>
    <cellStyle name="Normal 3 5 2 4" xfId="17526" xr:uid="{00000000-0005-0000-0000-00008B620000}"/>
    <cellStyle name="Normal 3 5 2 5" xfId="53725" xr:uid="{00000000-0005-0000-0000-00008C620000}"/>
    <cellStyle name="Normal 3 5 3" xfId="17527" xr:uid="{00000000-0005-0000-0000-00008D620000}"/>
    <cellStyle name="Normal 3 5 3 2" xfId="17528" xr:uid="{00000000-0005-0000-0000-00008E620000}"/>
    <cellStyle name="Normal 3 5 3 2 2" xfId="53726" xr:uid="{00000000-0005-0000-0000-00008F620000}"/>
    <cellStyle name="Normal 3 5 3 2 3" xfId="53727" xr:uid="{00000000-0005-0000-0000-000090620000}"/>
    <cellStyle name="Normal 3 5 3 3" xfId="53728" xr:uid="{00000000-0005-0000-0000-000091620000}"/>
    <cellStyle name="Normal 3 5 3 4" xfId="53729" xr:uid="{00000000-0005-0000-0000-000092620000}"/>
    <cellStyle name="Normal 3 5 4" xfId="17529" xr:uid="{00000000-0005-0000-0000-000093620000}"/>
    <cellStyle name="Normal 3 5 4 2" xfId="53730" xr:uid="{00000000-0005-0000-0000-000094620000}"/>
    <cellStyle name="Normal 3 5 4 3" xfId="53731" xr:uid="{00000000-0005-0000-0000-000095620000}"/>
    <cellStyle name="Normal 3 5 5" xfId="17530" xr:uid="{00000000-0005-0000-0000-000096620000}"/>
    <cellStyle name="Normal 3 5 5 2" xfId="53732" xr:uid="{00000000-0005-0000-0000-000097620000}"/>
    <cellStyle name="Normal 3 5 6" xfId="53733" xr:uid="{00000000-0005-0000-0000-000098620000}"/>
    <cellStyle name="Normal 3 5 7" xfId="53734" xr:uid="{00000000-0005-0000-0000-000099620000}"/>
    <cellStyle name="Normal 3 6" xfId="17531" xr:uid="{00000000-0005-0000-0000-00009A620000}"/>
    <cellStyle name="Normal 3 6 2" xfId="17532" xr:uid="{00000000-0005-0000-0000-00009B620000}"/>
    <cellStyle name="Normal 3 6 2 2" xfId="53735" xr:uid="{00000000-0005-0000-0000-00009C620000}"/>
    <cellStyle name="Normal 3 6 2 3" xfId="53736" xr:uid="{00000000-0005-0000-0000-00009D620000}"/>
    <cellStyle name="Normal 3 6 3" xfId="17533" xr:uid="{00000000-0005-0000-0000-00009E620000}"/>
    <cellStyle name="Normal 3 6 4" xfId="17534" xr:uid="{00000000-0005-0000-0000-00009F620000}"/>
    <cellStyle name="Normal 3 6 5" xfId="53737" xr:uid="{00000000-0005-0000-0000-0000A0620000}"/>
    <cellStyle name="Normal 3 7" xfId="17535" xr:uid="{00000000-0005-0000-0000-0000A1620000}"/>
    <cellStyle name="Normal 3 7 2" xfId="53738" xr:uid="{00000000-0005-0000-0000-0000A2620000}"/>
    <cellStyle name="Normal 3 7 3" xfId="53739" xr:uid="{00000000-0005-0000-0000-0000A3620000}"/>
    <cellStyle name="Normal 3 8" xfId="17536" xr:uid="{00000000-0005-0000-0000-0000A4620000}"/>
    <cellStyle name="Normal 3 8 2" xfId="53740" xr:uid="{00000000-0005-0000-0000-0000A5620000}"/>
    <cellStyle name="Normal 3 9" xfId="17537" xr:uid="{00000000-0005-0000-0000-0000A6620000}"/>
    <cellStyle name="Normal 3_Sheet2" xfId="17538" xr:uid="{00000000-0005-0000-0000-0000A7620000}"/>
    <cellStyle name="Normal 30" xfId="17539" xr:uid="{00000000-0005-0000-0000-0000A8620000}"/>
    <cellStyle name="Normal 30 2" xfId="17540" xr:uid="{00000000-0005-0000-0000-0000A9620000}"/>
    <cellStyle name="Normal 30 2 2" xfId="17541" xr:uid="{00000000-0005-0000-0000-0000AA620000}"/>
    <cellStyle name="Normal 30 3" xfId="17542" xr:uid="{00000000-0005-0000-0000-0000AB620000}"/>
    <cellStyle name="Normal 30 3 2" xfId="17543" xr:uid="{00000000-0005-0000-0000-0000AC620000}"/>
    <cellStyle name="Normal 30 3 2 2" xfId="53741" xr:uid="{00000000-0005-0000-0000-0000AD620000}"/>
    <cellStyle name="Normal 30 3 2 3" xfId="53742" xr:uid="{00000000-0005-0000-0000-0000AE620000}"/>
    <cellStyle name="Normal 30 3 3" xfId="53743" xr:uid="{00000000-0005-0000-0000-0000AF620000}"/>
    <cellStyle name="Normal 30 3 4" xfId="53744" xr:uid="{00000000-0005-0000-0000-0000B0620000}"/>
    <cellStyle name="Normal 30 4" xfId="17544" xr:uid="{00000000-0005-0000-0000-0000B1620000}"/>
    <cellStyle name="Normal 30 4 2" xfId="53745" xr:uid="{00000000-0005-0000-0000-0000B2620000}"/>
    <cellStyle name="Normal 30 4 3" xfId="53746" xr:uid="{00000000-0005-0000-0000-0000B3620000}"/>
    <cellStyle name="Normal 30 5" xfId="17545" xr:uid="{00000000-0005-0000-0000-0000B4620000}"/>
    <cellStyle name="Normal 30 5 2" xfId="53747" xr:uid="{00000000-0005-0000-0000-0000B5620000}"/>
    <cellStyle name="Normal 30 6" xfId="17546" xr:uid="{00000000-0005-0000-0000-0000B6620000}"/>
    <cellStyle name="Normal 30 7" xfId="17547" xr:uid="{00000000-0005-0000-0000-0000B7620000}"/>
    <cellStyle name="Normal 31" xfId="17548" xr:uid="{00000000-0005-0000-0000-0000B8620000}"/>
    <cellStyle name="Normal 31 10" xfId="17549" xr:uid="{00000000-0005-0000-0000-0000B9620000}"/>
    <cellStyle name="Normal 31 10 2" xfId="17550" xr:uid="{00000000-0005-0000-0000-0000BA620000}"/>
    <cellStyle name="Normal 31 10 2 2" xfId="17551" xr:uid="{00000000-0005-0000-0000-0000BB620000}"/>
    <cellStyle name="Normal 31 10 3" xfId="17552" xr:uid="{00000000-0005-0000-0000-0000BC620000}"/>
    <cellStyle name="Normal 31 11" xfId="17553" xr:uid="{00000000-0005-0000-0000-0000BD620000}"/>
    <cellStyle name="Normal 31 11 2" xfId="17554" xr:uid="{00000000-0005-0000-0000-0000BE620000}"/>
    <cellStyle name="Normal 31 12" xfId="17555" xr:uid="{00000000-0005-0000-0000-0000BF620000}"/>
    <cellStyle name="Normal 31 12 2" xfId="17556" xr:uid="{00000000-0005-0000-0000-0000C0620000}"/>
    <cellStyle name="Normal 31 13" xfId="17557" xr:uid="{00000000-0005-0000-0000-0000C1620000}"/>
    <cellStyle name="Normal 31 14" xfId="17558" xr:uid="{00000000-0005-0000-0000-0000C2620000}"/>
    <cellStyle name="Normal 31 15" xfId="17559" xr:uid="{00000000-0005-0000-0000-0000C3620000}"/>
    <cellStyle name="Normal 31 16" xfId="17560" xr:uid="{00000000-0005-0000-0000-0000C4620000}"/>
    <cellStyle name="Normal 31 2" xfId="17561" xr:uid="{00000000-0005-0000-0000-0000C5620000}"/>
    <cellStyle name="Normal 31 2 2" xfId="17562" xr:uid="{00000000-0005-0000-0000-0000C6620000}"/>
    <cellStyle name="Normal 31 3" xfId="17563" xr:uid="{00000000-0005-0000-0000-0000C7620000}"/>
    <cellStyle name="Normal 31 3 10" xfId="17564" xr:uid="{00000000-0005-0000-0000-0000C8620000}"/>
    <cellStyle name="Normal 31 3 10 2" xfId="17565" xr:uid="{00000000-0005-0000-0000-0000C9620000}"/>
    <cellStyle name="Normal 31 3 11" xfId="17566" xr:uid="{00000000-0005-0000-0000-0000CA620000}"/>
    <cellStyle name="Normal 31 3 2" xfId="17567" xr:uid="{00000000-0005-0000-0000-0000CB620000}"/>
    <cellStyle name="Normal 31 3 2 2" xfId="17568" xr:uid="{00000000-0005-0000-0000-0000CC620000}"/>
    <cellStyle name="Normal 31 3 2 2 2" xfId="17569" xr:uid="{00000000-0005-0000-0000-0000CD620000}"/>
    <cellStyle name="Normal 31 3 2 2 2 2" xfId="17570" xr:uid="{00000000-0005-0000-0000-0000CE620000}"/>
    <cellStyle name="Normal 31 3 2 2 3" xfId="17571" xr:uid="{00000000-0005-0000-0000-0000CF620000}"/>
    <cellStyle name="Normal 31 3 2 2 3 2" xfId="17572" xr:uid="{00000000-0005-0000-0000-0000D0620000}"/>
    <cellStyle name="Normal 31 3 2 2 4" xfId="17573" xr:uid="{00000000-0005-0000-0000-0000D1620000}"/>
    <cellStyle name="Normal 31 3 2 3" xfId="17574" xr:uid="{00000000-0005-0000-0000-0000D2620000}"/>
    <cellStyle name="Normal 31 3 2 3 2" xfId="17575" xr:uid="{00000000-0005-0000-0000-0000D3620000}"/>
    <cellStyle name="Normal 31 3 2 3 2 2" xfId="17576" xr:uid="{00000000-0005-0000-0000-0000D4620000}"/>
    <cellStyle name="Normal 31 3 2 3 3" xfId="17577" xr:uid="{00000000-0005-0000-0000-0000D5620000}"/>
    <cellStyle name="Normal 31 3 2 3 3 2" xfId="17578" xr:uid="{00000000-0005-0000-0000-0000D6620000}"/>
    <cellStyle name="Normal 31 3 2 3 4" xfId="17579" xr:uid="{00000000-0005-0000-0000-0000D7620000}"/>
    <cellStyle name="Normal 31 3 2 4" xfId="17580" xr:uid="{00000000-0005-0000-0000-0000D8620000}"/>
    <cellStyle name="Normal 31 3 2 4 2" xfId="17581" xr:uid="{00000000-0005-0000-0000-0000D9620000}"/>
    <cellStyle name="Normal 31 3 2 5" xfId="17582" xr:uid="{00000000-0005-0000-0000-0000DA620000}"/>
    <cellStyle name="Normal 31 3 2 5 2" xfId="17583" xr:uid="{00000000-0005-0000-0000-0000DB620000}"/>
    <cellStyle name="Normal 31 3 2 6" xfId="17584" xr:uid="{00000000-0005-0000-0000-0000DC620000}"/>
    <cellStyle name="Normal 31 3 3" xfId="17585" xr:uid="{00000000-0005-0000-0000-0000DD620000}"/>
    <cellStyle name="Normal 31 3 3 2" xfId="17586" xr:uid="{00000000-0005-0000-0000-0000DE620000}"/>
    <cellStyle name="Normal 31 3 3 2 2" xfId="17587" xr:uid="{00000000-0005-0000-0000-0000DF620000}"/>
    <cellStyle name="Normal 31 3 3 3" xfId="17588" xr:uid="{00000000-0005-0000-0000-0000E0620000}"/>
    <cellStyle name="Normal 31 3 3 3 2" xfId="17589" xr:uid="{00000000-0005-0000-0000-0000E1620000}"/>
    <cellStyle name="Normal 31 3 3 4" xfId="17590" xr:uid="{00000000-0005-0000-0000-0000E2620000}"/>
    <cellStyle name="Normal 31 3 4" xfId="17591" xr:uid="{00000000-0005-0000-0000-0000E3620000}"/>
    <cellStyle name="Normal 31 3 4 2" xfId="17592" xr:uid="{00000000-0005-0000-0000-0000E4620000}"/>
    <cellStyle name="Normal 31 3 4 2 2" xfId="17593" xr:uid="{00000000-0005-0000-0000-0000E5620000}"/>
    <cellStyle name="Normal 31 3 4 3" xfId="17594" xr:uid="{00000000-0005-0000-0000-0000E6620000}"/>
    <cellStyle name="Normal 31 3 4 3 2" xfId="17595" xr:uid="{00000000-0005-0000-0000-0000E7620000}"/>
    <cellStyle name="Normal 31 3 4 4" xfId="17596" xr:uid="{00000000-0005-0000-0000-0000E8620000}"/>
    <cellStyle name="Normal 31 3 5" xfId="17597" xr:uid="{00000000-0005-0000-0000-0000E9620000}"/>
    <cellStyle name="Normal 31 3 5 2" xfId="17598" xr:uid="{00000000-0005-0000-0000-0000EA620000}"/>
    <cellStyle name="Normal 31 3 5 2 2" xfId="17599" xr:uid="{00000000-0005-0000-0000-0000EB620000}"/>
    <cellStyle name="Normal 31 3 5 3" xfId="17600" xr:uid="{00000000-0005-0000-0000-0000EC620000}"/>
    <cellStyle name="Normal 31 3 5 3 2" xfId="17601" xr:uid="{00000000-0005-0000-0000-0000ED620000}"/>
    <cellStyle name="Normal 31 3 5 4" xfId="17602" xr:uid="{00000000-0005-0000-0000-0000EE620000}"/>
    <cellStyle name="Normal 31 3 6" xfId="17603" xr:uid="{00000000-0005-0000-0000-0000EF620000}"/>
    <cellStyle name="Normal 31 3 6 2" xfId="17604" xr:uid="{00000000-0005-0000-0000-0000F0620000}"/>
    <cellStyle name="Normal 31 3 6 2 2" xfId="17605" xr:uid="{00000000-0005-0000-0000-0000F1620000}"/>
    <cellStyle name="Normal 31 3 6 3" xfId="17606" xr:uid="{00000000-0005-0000-0000-0000F2620000}"/>
    <cellStyle name="Normal 31 3 6 3 2" xfId="17607" xr:uid="{00000000-0005-0000-0000-0000F3620000}"/>
    <cellStyle name="Normal 31 3 6 4" xfId="17608" xr:uid="{00000000-0005-0000-0000-0000F4620000}"/>
    <cellStyle name="Normal 31 3 7" xfId="17609" xr:uid="{00000000-0005-0000-0000-0000F5620000}"/>
    <cellStyle name="Normal 31 3 7 2" xfId="17610" xr:uid="{00000000-0005-0000-0000-0000F6620000}"/>
    <cellStyle name="Normal 31 3 7 2 2" xfId="17611" xr:uid="{00000000-0005-0000-0000-0000F7620000}"/>
    <cellStyle name="Normal 31 3 7 3" xfId="17612" xr:uid="{00000000-0005-0000-0000-0000F8620000}"/>
    <cellStyle name="Normal 31 3 7 3 2" xfId="17613" xr:uid="{00000000-0005-0000-0000-0000F9620000}"/>
    <cellStyle name="Normal 31 3 7 4" xfId="17614" xr:uid="{00000000-0005-0000-0000-0000FA620000}"/>
    <cellStyle name="Normal 31 3 8" xfId="17615" xr:uid="{00000000-0005-0000-0000-0000FB620000}"/>
    <cellStyle name="Normal 31 3 8 2" xfId="17616" xr:uid="{00000000-0005-0000-0000-0000FC620000}"/>
    <cellStyle name="Normal 31 3 8 2 2" xfId="17617" xr:uid="{00000000-0005-0000-0000-0000FD620000}"/>
    <cellStyle name="Normal 31 3 8 3" xfId="17618" xr:uid="{00000000-0005-0000-0000-0000FE620000}"/>
    <cellStyle name="Normal 31 3 9" xfId="17619" xr:uid="{00000000-0005-0000-0000-0000FF620000}"/>
    <cellStyle name="Normal 31 3 9 2" xfId="17620" xr:uid="{00000000-0005-0000-0000-000000630000}"/>
    <cellStyle name="Normal 31 4" xfId="17621" xr:uid="{00000000-0005-0000-0000-000001630000}"/>
    <cellStyle name="Normal 31 4 2" xfId="17622" xr:uid="{00000000-0005-0000-0000-000002630000}"/>
    <cellStyle name="Normal 31 4 2 2" xfId="17623" xr:uid="{00000000-0005-0000-0000-000003630000}"/>
    <cellStyle name="Normal 31 4 2 2 2" xfId="17624" xr:uid="{00000000-0005-0000-0000-000004630000}"/>
    <cellStyle name="Normal 31 4 2 3" xfId="17625" xr:uid="{00000000-0005-0000-0000-000005630000}"/>
    <cellStyle name="Normal 31 4 2 3 2" xfId="17626" xr:uid="{00000000-0005-0000-0000-000006630000}"/>
    <cellStyle name="Normal 31 4 2 4" xfId="17627" xr:uid="{00000000-0005-0000-0000-000007630000}"/>
    <cellStyle name="Normal 31 4 3" xfId="17628" xr:uid="{00000000-0005-0000-0000-000008630000}"/>
    <cellStyle name="Normal 31 4 3 2" xfId="17629" xr:uid="{00000000-0005-0000-0000-000009630000}"/>
    <cellStyle name="Normal 31 4 3 2 2" xfId="17630" xr:uid="{00000000-0005-0000-0000-00000A630000}"/>
    <cellStyle name="Normal 31 4 3 3" xfId="17631" xr:uid="{00000000-0005-0000-0000-00000B630000}"/>
    <cellStyle name="Normal 31 4 3 3 2" xfId="17632" xr:uid="{00000000-0005-0000-0000-00000C630000}"/>
    <cellStyle name="Normal 31 4 3 4" xfId="17633" xr:uid="{00000000-0005-0000-0000-00000D630000}"/>
    <cellStyle name="Normal 31 4 4" xfId="17634" xr:uid="{00000000-0005-0000-0000-00000E630000}"/>
    <cellStyle name="Normal 31 4 4 2" xfId="17635" xr:uid="{00000000-0005-0000-0000-00000F630000}"/>
    <cellStyle name="Normal 31 4 5" xfId="17636" xr:uid="{00000000-0005-0000-0000-000010630000}"/>
    <cellStyle name="Normal 31 4 5 2" xfId="17637" xr:uid="{00000000-0005-0000-0000-000011630000}"/>
    <cellStyle name="Normal 31 4 6" xfId="17638" xr:uid="{00000000-0005-0000-0000-000012630000}"/>
    <cellStyle name="Normal 31 5" xfId="17639" xr:uid="{00000000-0005-0000-0000-000013630000}"/>
    <cellStyle name="Normal 31 5 2" xfId="17640" xr:uid="{00000000-0005-0000-0000-000014630000}"/>
    <cellStyle name="Normal 31 5 2 2" xfId="17641" xr:uid="{00000000-0005-0000-0000-000015630000}"/>
    <cellStyle name="Normal 31 5 3" xfId="17642" xr:uid="{00000000-0005-0000-0000-000016630000}"/>
    <cellStyle name="Normal 31 5 3 2" xfId="17643" xr:uid="{00000000-0005-0000-0000-000017630000}"/>
    <cellStyle name="Normal 31 5 4" xfId="17644" xr:uid="{00000000-0005-0000-0000-000018630000}"/>
    <cellStyle name="Normal 31 6" xfId="17645" xr:uid="{00000000-0005-0000-0000-000019630000}"/>
    <cellStyle name="Normal 31 6 2" xfId="17646" xr:uid="{00000000-0005-0000-0000-00001A630000}"/>
    <cellStyle name="Normal 31 6 2 2" xfId="17647" xr:uid="{00000000-0005-0000-0000-00001B630000}"/>
    <cellStyle name="Normal 31 6 3" xfId="17648" xr:uid="{00000000-0005-0000-0000-00001C630000}"/>
    <cellStyle name="Normal 31 6 3 2" xfId="17649" xr:uid="{00000000-0005-0000-0000-00001D630000}"/>
    <cellStyle name="Normal 31 6 4" xfId="17650" xr:uid="{00000000-0005-0000-0000-00001E630000}"/>
    <cellStyle name="Normal 31 7" xfId="17651" xr:uid="{00000000-0005-0000-0000-00001F630000}"/>
    <cellStyle name="Normal 31 7 2" xfId="17652" xr:uid="{00000000-0005-0000-0000-000020630000}"/>
    <cellStyle name="Normal 31 7 2 2" xfId="17653" xr:uid="{00000000-0005-0000-0000-000021630000}"/>
    <cellStyle name="Normal 31 7 3" xfId="17654" xr:uid="{00000000-0005-0000-0000-000022630000}"/>
    <cellStyle name="Normal 31 7 3 2" xfId="17655" xr:uid="{00000000-0005-0000-0000-000023630000}"/>
    <cellStyle name="Normal 31 7 4" xfId="17656" xr:uid="{00000000-0005-0000-0000-000024630000}"/>
    <cellStyle name="Normal 31 8" xfId="17657" xr:uid="{00000000-0005-0000-0000-000025630000}"/>
    <cellStyle name="Normal 31 8 2" xfId="17658" xr:uid="{00000000-0005-0000-0000-000026630000}"/>
    <cellStyle name="Normal 31 8 2 2" xfId="17659" xr:uid="{00000000-0005-0000-0000-000027630000}"/>
    <cellStyle name="Normal 31 8 3" xfId="17660" xr:uid="{00000000-0005-0000-0000-000028630000}"/>
    <cellStyle name="Normal 31 8 3 2" xfId="17661" xr:uid="{00000000-0005-0000-0000-000029630000}"/>
    <cellStyle name="Normal 31 8 4" xfId="17662" xr:uid="{00000000-0005-0000-0000-00002A630000}"/>
    <cellStyle name="Normal 31 9" xfId="17663" xr:uid="{00000000-0005-0000-0000-00002B630000}"/>
    <cellStyle name="Normal 31 9 2" xfId="17664" xr:uid="{00000000-0005-0000-0000-00002C630000}"/>
    <cellStyle name="Normal 31 9 2 2" xfId="17665" xr:uid="{00000000-0005-0000-0000-00002D630000}"/>
    <cellStyle name="Normal 31 9 3" xfId="17666" xr:uid="{00000000-0005-0000-0000-00002E630000}"/>
    <cellStyle name="Normal 31 9 3 2" xfId="17667" xr:uid="{00000000-0005-0000-0000-00002F630000}"/>
    <cellStyle name="Normal 31 9 4" xfId="17668" xr:uid="{00000000-0005-0000-0000-000030630000}"/>
    <cellStyle name="Normal 32" xfId="17669" xr:uid="{00000000-0005-0000-0000-000031630000}"/>
    <cellStyle name="Normal 32 10" xfId="17670" xr:uid="{00000000-0005-0000-0000-000032630000}"/>
    <cellStyle name="Normal 32 10 2" xfId="17671" xr:uid="{00000000-0005-0000-0000-000033630000}"/>
    <cellStyle name="Normal 32 10 2 2" xfId="17672" xr:uid="{00000000-0005-0000-0000-000034630000}"/>
    <cellStyle name="Normal 32 10 3" xfId="17673" xr:uid="{00000000-0005-0000-0000-000035630000}"/>
    <cellStyle name="Normal 32 11" xfId="17674" xr:uid="{00000000-0005-0000-0000-000036630000}"/>
    <cellStyle name="Normal 32 11 2" xfId="17675" xr:uid="{00000000-0005-0000-0000-000037630000}"/>
    <cellStyle name="Normal 32 12" xfId="17676" xr:uid="{00000000-0005-0000-0000-000038630000}"/>
    <cellStyle name="Normal 32 12 2" xfId="17677" xr:uid="{00000000-0005-0000-0000-000039630000}"/>
    <cellStyle name="Normal 32 13" xfId="17678" xr:uid="{00000000-0005-0000-0000-00003A630000}"/>
    <cellStyle name="Normal 32 14" xfId="17679" xr:uid="{00000000-0005-0000-0000-00003B630000}"/>
    <cellStyle name="Normal 32 15" xfId="17680" xr:uid="{00000000-0005-0000-0000-00003C630000}"/>
    <cellStyle name="Normal 32 2" xfId="17681" xr:uid="{00000000-0005-0000-0000-00003D630000}"/>
    <cellStyle name="Normal 32 2 2" xfId="17682" xr:uid="{00000000-0005-0000-0000-00003E630000}"/>
    <cellStyle name="Normal 32 3" xfId="17683" xr:uid="{00000000-0005-0000-0000-00003F630000}"/>
    <cellStyle name="Normal 32 3 10" xfId="17684" xr:uid="{00000000-0005-0000-0000-000040630000}"/>
    <cellStyle name="Normal 32 3 10 2" xfId="17685" xr:uid="{00000000-0005-0000-0000-000041630000}"/>
    <cellStyle name="Normal 32 3 11" xfId="17686" xr:uid="{00000000-0005-0000-0000-000042630000}"/>
    <cellStyle name="Normal 32 3 2" xfId="17687" xr:uid="{00000000-0005-0000-0000-000043630000}"/>
    <cellStyle name="Normal 32 3 2 2" xfId="17688" xr:uid="{00000000-0005-0000-0000-000044630000}"/>
    <cellStyle name="Normal 32 3 2 2 2" xfId="17689" xr:uid="{00000000-0005-0000-0000-000045630000}"/>
    <cellStyle name="Normal 32 3 2 2 2 2" xfId="17690" xr:uid="{00000000-0005-0000-0000-000046630000}"/>
    <cellStyle name="Normal 32 3 2 2 3" xfId="17691" xr:uid="{00000000-0005-0000-0000-000047630000}"/>
    <cellStyle name="Normal 32 3 2 2 3 2" xfId="17692" xr:uid="{00000000-0005-0000-0000-000048630000}"/>
    <cellStyle name="Normal 32 3 2 2 4" xfId="17693" xr:uid="{00000000-0005-0000-0000-000049630000}"/>
    <cellStyle name="Normal 32 3 2 3" xfId="17694" xr:uid="{00000000-0005-0000-0000-00004A630000}"/>
    <cellStyle name="Normal 32 3 2 3 2" xfId="17695" xr:uid="{00000000-0005-0000-0000-00004B630000}"/>
    <cellStyle name="Normal 32 3 2 3 2 2" xfId="17696" xr:uid="{00000000-0005-0000-0000-00004C630000}"/>
    <cellStyle name="Normal 32 3 2 3 3" xfId="17697" xr:uid="{00000000-0005-0000-0000-00004D630000}"/>
    <cellStyle name="Normal 32 3 2 3 3 2" xfId="17698" xr:uid="{00000000-0005-0000-0000-00004E630000}"/>
    <cellStyle name="Normal 32 3 2 3 4" xfId="17699" xr:uid="{00000000-0005-0000-0000-00004F630000}"/>
    <cellStyle name="Normal 32 3 2 4" xfId="17700" xr:uid="{00000000-0005-0000-0000-000050630000}"/>
    <cellStyle name="Normal 32 3 2 4 2" xfId="17701" xr:uid="{00000000-0005-0000-0000-000051630000}"/>
    <cellStyle name="Normal 32 3 2 5" xfId="17702" xr:uid="{00000000-0005-0000-0000-000052630000}"/>
    <cellStyle name="Normal 32 3 2 5 2" xfId="17703" xr:uid="{00000000-0005-0000-0000-000053630000}"/>
    <cellStyle name="Normal 32 3 2 6" xfId="17704" xr:uid="{00000000-0005-0000-0000-000054630000}"/>
    <cellStyle name="Normal 32 3 3" xfId="17705" xr:uid="{00000000-0005-0000-0000-000055630000}"/>
    <cellStyle name="Normal 32 3 3 2" xfId="17706" xr:uid="{00000000-0005-0000-0000-000056630000}"/>
    <cellStyle name="Normal 32 3 3 2 2" xfId="17707" xr:uid="{00000000-0005-0000-0000-000057630000}"/>
    <cellStyle name="Normal 32 3 3 3" xfId="17708" xr:uid="{00000000-0005-0000-0000-000058630000}"/>
    <cellStyle name="Normal 32 3 3 3 2" xfId="17709" xr:uid="{00000000-0005-0000-0000-000059630000}"/>
    <cellStyle name="Normal 32 3 3 4" xfId="17710" xr:uid="{00000000-0005-0000-0000-00005A630000}"/>
    <cellStyle name="Normal 32 3 4" xfId="17711" xr:uid="{00000000-0005-0000-0000-00005B630000}"/>
    <cellStyle name="Normal 32 3 4 2" xfId="17712" xr:uid="{00000000-0005-0000-0000-00005C630000}"/>
    <cellStyle name="Normal 32 3 4 2 2" xfId="17713" xr:uid="{00000000-0005-0000-0000-00005D630000}"/>
    <cellStyle name="Normal 32 3 4 3" xfId="17714" xr:uid="{00000000-0005-0000-0000-00005E630000}"/>
    <cellStyle name="Normal 32 3 4 3 2" xfId="17715" xr:uid="{00000000-0005-0000-0000-00005F630000}"/>
    <cellStyle name="Normal 32 3 4 4" xfId="17716" xr:uid="{00000000-0005-0000-0000-000060630000}"/>
    <cellStyle name="Normal 32 3 5" xfId="17717" xr:uid="{00000000-0005-0000-0000-000061630000}"/>
    <cellStyle name="Normal 32 3 5 2" xfId="17718" xr:uid="{00000000-0005-0000-0000-000062630000}"/>
    <cellStyle name="Normal 32 3 5 2 2" xfId="17719" xr:uid="{00000000-0005-0000-0000-000063630000}"/>
    <cellStyle name="Normal 32 3 5 3" xfId="17720" xr:uid="{00000000-0005-0000-0000-000064630000}"/>
    <cellStyle name="Normal 32 3 5 3 2" xfId="17721" xr:uid="{00000000-0005-0000-0000-000065630000}"/>
    <cellStyle name="Normal 32 3 5 4" xfId="17722" xr:uid="{00000000-0005-0000-0000-000066630000}"/>
    <cellStyle name="Normal 32 3 6" xfId="17723" xr:uid="{00000000-0005-0000-0000-000067630000}"/>
    <cellStyle name="Normal 32 3 6 2" xfId="17724" xr:uid="{00000000-0005-0000-0000-000068630000}"/>
    <cellStyle name="Normal 32 3 6 2 2" xfId="17725" xr:uid="{00000000-0005-0000-0000-000069630000}"/>
    <cellStyle name="Normal 32 3 6 3" xfId="17726" xr:uid="{00000000-0005-0000-0000-00006A630000}"/>
    <cellStyle name="Normal 32 3 6 3 2" xfId="17727" xr:uid="{00000000-0005-0000-0000-00006B630000}"/>
    <cellStyle name="Normal 32 3 6 4" xfId="17728" xr:uid="{00000000-0005-0000-0000-00006C630000}"/>
    <cellStyle name="Normal 32 3 7" xfId="17729" xr:uid="{00000000-0005-0000-0000-00006D630000}"/>
    <cellStyle name="Normal 32 3 7 2" xfId="17730" xr:uid="{00000000-0005-0000-0000-00006E630000}"/>
    <cellStyle name="Normal 32 3 7 2 2" xfId="17731" xr:uid="{00000000-0005-0000-0000-00006F630000}"/>
    <cellStyle name="Normal 32 3 7 3" xfId="17732" xr:uid="{00000000-0005-0000-0000-000070630000}"/>
    <cellStyle name="Normal 32 3 7 3 2" xfId="17733" xr:uid="{00000000-0005-0000-0000-000071630000}"/>
    <cellStyle name="Normal 32 3 7 4" xfId="17734" xr:uid="{00000000-0005-0000-0000-000072630000}"/>
    <cellStyle name="Normal 32 3 8" xfId="17735" xr:uid="{00000000-0005-0000-0000-000073630000}"/>
    <cellStyle name="Normal 32 3 8 2" xfId="17736" xr:uid="{00000000-0005-0000-0000-000074630000}"/>
    <cellStyle name="Normal 32 3 8 2 2" xfId="17737" xr:uid="{00000000-0005-0000-0000-000075630000}"/>
    <cellStyle name="Normal 32 3 8 3" xfId="17738" xr:uid="{00000000-0005-0000-0000-000076630000}"/>
    <cellStyle name="Normal 32 3 9" xfId="17739" xr:uid="{00000000-0005-0000-0000-000077630000}"/>
    <cellStyle name="Normal 32 3 9 2" xfId="17740" xr:uid="{00000000-0005-0000-0000-000078630000}"/>
    <cellStyle name="Normal 32 4" xfId="17741" xr:uid="{00000000-0005-0000-0000-000079630000}"/>
    <cellStyle name="Normal 32 4 2" xfId="17742" xr:uid="{00000000-0005-0000-0000-00007A630000}"/>
    <cellStyle name="Normal 32 4 2 2" xfId="17743" xr:uid="{00000000-0005-0000-0000-00007B630000}"/>
    <cellStyle name="Normal 32 4 2 2 2" xfId="17744" xr:uid="{00000000-0005-0000-0000-00007C630000}"/>
    <cellStyle name="Normal 32 4 2 3" xfId="17745" xr:uid="{00000000-0005-0000-0000-00007D630000}"/>
    <cellStyle name="Normal 32 4 2 3 2" xfId="17746" xr:uid="{00000000-0005-0000-0000-00007E630000}"/>
    <cellStyle name="Normal 32 4 2 4" xfId="17747" xr:uid="{00000000-0005-0000-0000-00007F630000}"/>
    <cellStyle name="Normal 32 4 3" xfId="17748" xr:uid="{00000000-0005-0000-0000-000080630000}"/>
    <cellStyle name="Normal 32 4 3 2" xfId="17749" xr:uid="{00000000-0005-0000-0000-000081630000}"/>
    <cellStyle name="Normal 32 4 3 2 2" xfId="17750" xr:uid="{00000000-0005-0000-0000-000082630000}"/>
    <cellStyle name="Normal 32 4 3 3" xfId="17751" xr:uid="{00000000-0005-0000-0000-000083630000}"/>
    <cellStyle name="Normal 32 4 3 3 2" xfId="17752" xr:uid="{00000000-0005-0000-0000-000084630000}"/>
    <cellStyle name="Normal 32 4 3 4" xfId="17753" xr:uid="{00000000-0005-0000-0000-000085630000}"/>
    <cellStyle name="Normal 32 4 4" xfId="17754" xr:uid="{00000000-0005-0000-0000-000086630000}"/>
    <cellStyle name="Normal 32 4 4 2" xfId="17755" xr:uid="{00000000-0005-0000-0000-000087630000}"/>
    <cellStyle name="Normal 32 4 5" xfId="17756" xr:uid="{00000000-0005-0000-0000-000088630000}"/>
    <cellStyle name="Normal 32 4 5 2" xfId="17757" xr:uid="{00000000-0005-0000-0000-000089630000}"/>
    <cellStyle name="Normal 32 4 6" xfId="17758" xr:uid="{00000000-0005-0000-0000-00008A630000}"/>
    <cellStyle name="Normal 32 5" xfId="17759" xr:uid="{00000000-0005-0000-0000-00008B630000}"/>
    <cellStyle name="Normal 32 5 2" xfId="17760" xr:uid="{00000000-0005-0000-0000-00008C630000}"/>
    <cellStyle name="Normal 32 5 2 2" xfId="17761" xr:uid="{00000000-0005-0000-0000-00008D630000}"/>
    <cellStyle name="Normal 32 5 3" xfId="17762" xr:uid="{00000000-0005-0000-0000-00008E630000}"/>
    <cellStyle name="Normal 32 5 3 2" xfId="17763" xr:uid="{00000000-0005-0000-0000-00008F630000}"/>
    <cellStyle name="Normal 32 5 4" xfId="17764" xr:uid="{00000000-0005-0000-0000-000090630000}"/>
    <cellStyle name="Normal 32 6" xfId="17765" xr:uid="{00000000-0005-0000-0000-000091630000}"/>
    <cellStyle name="Normal 32 6 2" xfId="17766" xr:uid="{00000000-0005-0000-0000-000092630000}"/>
    <cellStyle name="Normal 32 6 2 2" xfId="17767" xr:uid="{00000000-0005-0000-0000-000093630000}"/>
    <cellStyle name="Normal 32 6 3" xfId="17768" xr:uid="{00000000-0005-0000-0000-000094630000}"/>
    <cellStyle name="Normal 32 6 3 2" xfId="17769" xr:uid="{00000000-0005-0000-0000-000095630000}"/>
    <cellStyle name="Normal 32 6 4" xfId="17770" xr:uid="{00000000-0005-0000-0000-000096630000}"/>
    <cellStyle name="Normal 32 7" xfId="17771" xr:uid="{00000000-0005-0000-0000-000097630000}"/>
    <cellStyle name="Normal 32 7 2" xfId="17772" xr:uid="{00000000-0005-0000-0000-000098630000}"/>
    <cellStyle name="Normal 32 7 2 2" xfId="17773" xr:uid="{00000000-0005-0000-0000-000099630000}"/>
    <cellStyle name="Normal 32 7 3" xfId="17774" xr:uid="{00000000-0005-0000-0000-00009A630000}"/>
    <cellStyle name="Normal 32 7 3 2" xfId="17775" xr:uid="{00000000-0005-0000-0000-00009B630000}"/>
    <cellStyle name="Normal 32 7 4" xfId="17776" xr:uid="{00000000-0005-0000-0000-00009C630000}"/>
    <cellStyle name="Normal 32 8" xfId="17777" xr:uid="{00000000-0005-0000-0000-00009D630000}"/>
    <cellStyle name="Normal 32 8 2" xfId="17778" xr:uid="{00000000-0005-0000-0000-00009E630000}"/>
    <cellStyle name="Normal 32 8 2 2" xfId="17779" xr:uid="{00000000-0005-0000-0000-00009F630000}"/>
    <cellStyle name="Normal 32 8 3" xfId="17780" xr:uid="{00000000-0005-0000-0000-0000A0630000}"/>
    <cellStyle name="Normal 32 8 3 2" xfId="17781" xr:uid="{00000000-0005-0000-0000-0000A1630000}"/>
    <cellStyle name="Normal 32 8 4" xfId="17782" xr:uid="{00000000-0005-0000-0000-0000A2630000}"/>
    <cellStyle name="Normal 32 9" xfId="17783" xr:uid="{00000000-0005-0000-0000-0000A3630000}"/>
    <cellStyle name="Normal 32 9 2" xfId="17784" xr:uid="{00000000-0005-0000-0000-0000A4630000}"/>
    <cellStyle name="Normal 32 9 2 2" xfId="17785" xr:uid="{00000000-0005-0000-0000-0000A5630000}"/>
    <cellStyle name="Normal 32 9 3" xfId="17786" xr:uid="{00000000-0005-0000-0000-0000A6630000}"/>
    <cellStyle name="Normal 32 9 3 2" xfId="17787" xr:uid="{00000000-0005-0000-0000-0000A7630000}"/>
    <cellStyle name="Normal 32 9 4" xfId="17788" xr:uid="{00000000-0005-0000-0000-0000A8630000}"/>
    <cellStyle name="Normal 33" xfId="17789" xr:uid="{00000000-0005-0000-0000-0000A9630000}"/>
    <cellStyle name="Normal 33 10" xfId="17790" xr:uid="{00000000-0005-0000-0000-0000AA630000}"/>
    <cellStyle name="Normal 33 10 2" xfId="17791" xr:uid="{00000000-0005-0000-0000-0000AB630000}"/>
    <cellStyle name="Normal 33 10 2 2" xfId="17792" xr:uid="{00000000-0005-0000-0000-0000AC630000}"/>
    <cellStyle name="Normal 33 10 3" xfId="17793" xr:uid="{00000000-0005-0000-0000-0000AD630000}"/>
    <cellStyle name="Normal 33 11" xfId="17794" xr:uid="{00000000-0005-0000-0000-0000AE630000}"/>
    <cellStyle name="Normal 33 11 2" xfId="17795" xr:uid="{00000000-0005-0000-0000-0000AF630000}"/>
    <cellStyle name="Normal 33 12" xfId="17796" xr:uid="{00000000-0005-0000-0000-0000B0630000}"/>
    <cellStyle name="Normal 33 12 2" xfId="17797" xr:uid="{00000000-0005-0000-0000-0000B1630000}"/>
    <cellStyle name="Normal 33 13" xfId="17798" xr:uid="{00000000-0005-0000-0000-0000B2630000}"/>
    <cellStyle name="Normal 33 14" xfId="17799" xr:uid="{00000000-0005-0000-0000-0000B3630000}"/>
    <cellStyle name="Normal 33 15" xfId="17800" xr:uid="{00000000-0005-0000-0000-0000B4630000}"/>
    <cellStyle name="Normal 33 2" xfId="17801" xr:uid="{00000000-0005-0000-0000-0000B5630000}"/>
    <cellStyle name="Normal 33 2 2" xfId="17802" xr:uid="{00000000-0005-0000-0000-0000B6630000}"/>
    <cellStyle name="Normal 33 3" xfId="17803" xr:uid="{00000000-0005-0000-0000-0000B7630000}"/>
    <cellStyle name="Normal 33 3 10" xfId="17804" xr:uid="{00000000-0005-0000-0000-0000B8630000}"/>
    <cellStyle name="Normal 33 3 10 2" xfId="17805" xr:uid="{00000000-0005-0000-0000-0000B9630000}"/>
    <cellStyle name="Normal 33 3 11" xfId="17806" xr:uid="{00000000-0005-0000-0000-0000BA630000}"/>
    <cellStyle name="Normal 33 3 2" xfId="17807" xr:uid="{00000000-0005-0000-0000-0000BB630000}"/>
    <cellStyle name="Normal 33 3 2 2" xfId="17808" xr:uid="{00000000-0005-0000-0000-0000BC630000}"/>
    <cellStyle name="Normal 33 3 2 2 2" xfId="17809" xr:uid="{00000000-0005-0000-0000-0000BD630000}"/>
    <cellStyle name="Normal 33 3 2 2 2 2" xfId="17810" xr:uid="{00000000-0005-0000-0000-0000BE630000}"/>
    <cellStyle name="Normal 33 3 2 2 3" xfId="17811" xr:uid="{00000000-0005-0000-0000-0000BF630000}"/>
    <cellStyle name="Normal 33 3 2 2 3 2" xfId="17812" xr:uid="{00000000-0005-0000-0000-0000C0630000}"/>
    <cellStyle name="Normal 33 3 2 2 4" xfId="17813" xr:uid="{00000000-0005-0000-0000-0000C1630000}"/>
    <cellStyle name="Normal 33 3 2 3" xfId="17814" xr:uid="{00000000-0005-0000-0000-0000C2630000}"/>
    <cellStyle name="Normal 33 3 2 3 2" xfId="17815" xr:uid="{00000000-0005-0000-0000-0000C3630000}"/>
    <cellStyle name="Normal 33 3 2 3 2 2" xfId="17816" xr:uid="{00000000-0005-0000-0000-0000C4630000}"/>
    <cellStyle name="Normal 33 3 2 3 3" xfId="17817" xr:uid="{00000000-0005-0000-0000-0000C5630000}"/>
    <cellStyle name="Normal 33 3 2 3 3 2" xfId="17818" xr:uid="{00000000-0005-0000-0000-0000C6630000}"/>
    <cellStyle name="Normal 33 3 2 3 4" xfId="17819" xr:uid="{00000000-0005-0000-0000-0000C7630000}"/>
    <cellStyle name="Normal 33 3 2 4" xfId="17820" xr:uid="{00000000-0005-0000-0000-0000C8630000}"/>
    <cellStyle name="Normal 33 3 2 4 2" xfId="17821" xr:uid="{00000000-0005-0000-0000-0000C9630000}"/>
    <cellStyle name="Normal 33 3 2 5" xfId="17822" xr:uid="{00000000-0005-0000-0000-0000CA630000}"/>
    <cellStyle name="Normal 33 3 2 5 2" xfId="17823" xr:uid="{00000000-0005-0000-0000-0000CB630000}"/>
    <cellStyle name="Normal 33 3 2 6" xfId="17824" xr:uid="{00000000-0005-0000-0000-0000CC630000}"/>
    <cellStyle name="Normal 33 3 3" xfId="17825" xr:uid="{00000000-0005-0000-0000-0000CD630000}"/>
    <cellStyle name="Normal 33 3 3 2" xfId="17826" xr:uid="{00000000-0005-0000-0000-0000CE630000}"/>
    <cellStyle name="Normal 33 3 3 2 2" xfId="17827" xr:uid="{00000000-0005-0000-0000-0000CF630000}"/>
    <cellStyle name="Normal 33 3 3 3" xfId="17828" xr:uid="{00000000-0005-0000-0000-0000D0630000}"/>
    <cellStyle name="Normal 33 3 3 3 2" xfId="17829" xr:uid="{00000000-0005-0000-0000-0000D1630000}"/>
    <cellStyle name="Normal 33 3 3 4" xfId="17830" xr:uid="{00000000-0005-0000-0000-0000D2630000}"/>
    <cellStyle name="Normal 33 3 4" xfId="17831" xr:uid="{00000000-0005-0000-0000-0000D3630000}"/>
    <cellStyle name="Normal 33 3 4 2" xfId="17832" xr:uid="{00000000-0005-0000-0000-0000D4630000}"/>
    <cellStyle name="Normal 33 3 4 2 2" xfId="17833" xr:uid="{00000000-0005-0000-0000-0000D5630000}"/>
    <cellStyle name="Normal 33 3 4 3" xfId="17834" xr:uid="{00000000-0005-0000-0000-0000D6630000}"/>
    <cellStyle name="Normal 33 3 4 3 2" xfId="17835" xr:uid="{00000000-0005-0000-0000-0000D7630000}"/>
    <cellStyle name="Normal 33 3 4 4" xfId="17836" xr:uid="{00000000-0005-0000-0000-0000D8630000}"/>
    <cellStyle name="Normal 33 3 5" xfId="17837" xr:uid="{00000000-0005-0000-0000-0000D9630000}"/>
    <cellStyle name="Normal 33 3 5 2" xfId="17838" xr:uid="{00000000-0005-0000-0000-0000DA630000}"/>
    <cellStyle name="Normal 33 3 5 2 2" xfId="17839" xr:uid="{00000000-0005-0000-0000-0000DB630000}"/>
    <cellStyle name="Normal 33 3 5 3" xfId="17840" xr:uid="{00000000-0005-0000-0000-0000DC630000}"/>
    <cellStyle name="Normal 33 3 5 3 2" xfId="17841" xr:uid="{00000000-0005-0000-0000-0000DD630000}"/>
    <cellStyle name="Normal 33 3 5 4" xfId="17842" xr:uid="{00000000-0005-0000-0000-0000DE630000}"/>
    <cellStyle name="Normal 33 3 6" xfId="17843" xr:uid="{00000000-0005-0000-0000-0000DF630000}"/>
    <cellStyle name="Normal 33 3 6 2" xfId="17844" xr:uid="{00000000-0005-0000-0000-0000E0630000}"/>
    <cellStyle name="Normal 33 3 6 2 2" xfId="17845" xr:uid="{00000000-0005-0000-0000-0000E1630000}"/>
    <cellStyle name="Normal 33 3 6 3" xfId="17846" xr:uid="{00000000-0005-0000-0000-0000E2630000}"/>
    <cellStyle name="Normal 33 3 6 3 2" xfId="17847" xr:uid="{00000000-0005-0000-0000-0000E3630000}"/>
    <cellStyle name="Normal 33 3 6 4" xfId="17848" xr:uid="{00000000-0005-0000-0000-0000E4630000}"/>
    <cellStyle name="Normal 33 3 7" xfId="17849" xr:uid="{00000000-0005-0000-0000-0000E5630000}"/>
    <cellStyle name="Normal 33 3 7 2" xfId="17850" xr:uid="{00000000-0005-0000-0000-0000E6630000}"/>
    <cellStyle name="Normal 33 3 7 2 2" xfId="17851" xr:uid="{00000000-0005-0000-0000-0000E7630000}"/>
    <cellStyle name="Normal 33 3 7 3" xfId="17852" xr:uid="{00000000-0005-0000-0000-0000E8630000}"/>
    <cellStyle name="Normal 33 3 7 3 2" xfId="17853" xr:uid="{00000000-0005-0000-0000-0000E9630000}"/>
    <cellStyle name="Normal 33 3 7 4" xfId="17854" xr:uid="{00000000-0005-0000-0000-0000EA630000}"/>
    <cellStyle name="Normal 33 3 8" xfId="17855" xr:uid="{00000000-0005-0000-0000-0000EB630000}"/>
    <cellStyle name="Normal 33 3 8 2" xfId="17856" xr:uid="{00000000-0005-0000-0000-0000EC630000}"/>
    <cellStyle name="Normal 33 3 8 2 2" xfId="17857" xr:uid="{00000000-0005-0000-0000-0000ED630000}"/>
    <cellStyle name="Normal 33 3 8 3" xfId="17858" xr:uid="{00000000-0005-0000-0000-0000EE630000}"/>
    <cellStyle name="Normal 33 3 9" xfId="17859" xr:uid="{00000000-0005-0000-0000-0000EF630000}"/>
    <cellStyle name="Normal 33 3 9 2" xfId="17860" xr:uid="{00000000-0005-0000-0000-0000F0630000}"/>
    <cellStyle name="Normal 33 4" xfId="17861" xr:uid="{00000000-0005-0000-0000-0000F1630000}"/>
    <cellStyle name="Normal 33 4 2" xfId="17862" xr:uid="{00000000-0005-0000-0000-0000F2630000}"/>
    <cellStyle name="Normal 33 4 2 2" xfId="17863" xr:uid="{00000000-0005-0000-0000-0000F3630000}"/>
    <cellStyle name="Normal 33 4 2 2 2" xfId="17864" xr:uid="{00000000-0005-0000-0000-0000F4630000}"/>
    <cellStyle name="Normal 33 4 2 3" xfId="17865" xr:uid="{00000000-0005-0000-0000-0000F5630000}"/>
    <cellStyle name="Normal 33 4 2 3 2" xfId="17866" xr:uid="{00000000-0005-0000-0000-0000F6630000}"/>
    <cellStyle name="Normal 33 4 2 4" xfId="17867" xr:uid="{00000000-0005-0000-0000-0000F7630000}"/>
    <cellStyle name="Normal 33 4 3" xfId="17868" xr:uid="{00000000-0005-0000-0000-0000F8630000}"/>
    <cellStyle name="Normal 33 4 3 2" xfId="17869" xr:uid="{00000000-0005-0000-0000-0000F9630000}"/>
    <cellStyle name="Normal 33 4 3 2 2" xfId="17870" xr:uid="{00000000-0005-0000-0000-0000FA630000}"/>
    <cellStyle name="Normal 33 4 3 3" xfId="17871" xr:uid="{00000000-0005-0000-0000-0000FB630000}"/>
    <cellStyle name="Normal 33 4 3 3 2" xfId="17872" xr:uid="{00000000-0005-0000-0000-0000FC630000}"/>
    <cellStyle name="Normal 33 4 3 4" xfId="17873" xr:uid="{00000000-0005-0000-0000-0000FD630000}"/>
    <cellStyle name="Normal 33 4 4" xfId="17874" xr:uid="{00000000-0005-0000-0000-0000FE630000}"/>
    <cellStyle name="Normal 33 4 4 2" xfId="17875" xr:uid="{00000000-0005-0000-0000-0000FF630000}"/>
    <cellStyle name="Normal 33 4 5" xfId="17876" xr:uid="{00000000-0005-0000-0000-000000640000}"/>
    <cellStyle name="Normal 33 4 5 2" xfId="17877" xr:uid="{00000000-0005-0000-0000-000001640000}"/>
    <cellStyle name="Normal 33 4 6" xfId="17878" xr:uid="{00000000-0005-0000-0000-000002640000}"/>
    <cellStyle name="Normal 33 5" xfId="17879" xr:uid="{00000000-0005-0000-0000-000003640000}"/>
    <cellStyle name="Normal 33 5 2" xfId="17880" xr:uid="{00000000-0005-0000-0000-000004640000}"/>
    <cellStyle name="Normal 33 5 2 2" xfId="17881" xr:uid="{00000000-0005-0000-0000-000005640000}"/>
    <cellStyle name="Normal 33 5 3" xfId="17882" xr:uid="{00000000-0005-0000-0000-000006640000}"/>
    <cellStyle name="Normal 33 5 3 2" xfId="17883" xr:uid="{00000000-0005-0000-0000-000007640000}"/>
    <cellStyle name="Normal 33 5 4" xfId="17884" xr:uid="{00000000-0005-0000-0000-000008640000}"/>
    <cellStyle name="Normal 33 6" xfId="17885" xr:uid="{00000000-0005-0000-0000-000009640000}"/>
    <cellStyle name="Normal 33 6 2" xfId="17886" xr:uid="{00000000-0005-0000-0000-00000A640000}"/>
    <cellStyle name="Normal 33 6 2 2" xfId="17887" xr:uid="{00000000-0005-0000-0000-00000B640000}"/>
    <cellStyle name="Normal 33 6 3" xfId="17888" xr:uid="{00000000-0005-0000-0000-00000C640000}"/>
    <cellStyle name="Normal 33 6 3 2" xfId="17889" xr:uid="{00000000-0005-0000-0000-00000D640000}"/>
    <cellStyle name="Normal 33 6 4" xfId="17890" xr:uid="{00000000-0005-0000-0000-00000E640000}"/>
    <cellStyle name="Normal 33 7" xfId="17891" xr:uid="{00000000-0005-0000-0000-00000F640000}"/>
    <cellStyle name="Normal 33 7 2" xfId="17892" xr:uid="{00000000-0005-0000-0000-000010640000}"/>
    <cellStyle name="Normal 33 7 2 2" xfId="17893" xr:uid="{00000000-0005-0000-0000-000011640000}"/>
    <cellStyle name="Normal 33 7 3" xfId="17894" xr:uid="{00000000-0005-0000-0000-000012640000}"/>
    <cellStyle name="Normal 33 7 3 2" xfId="17895" xr:uid="{00000000-0005-0000-0000-000013640000}"/>
    <cellStyle name="Normal 33 7 4" xfId="17896" xr:uid="{00000000-0005-0000-0000-000014640000}"/>
    <cellStyle name="Normal 33 8" xfId="17897" xr:uid="{00000000-0005-0000-0000-000015640000}"/>
    <cellStyle name="Normal 33 8 2" xfId="17898" xr:uid="{00000000-0005-0000-0000-000016640000}"/>
    <cellStyle name="Normal 33 8 2 2" xfId="17899" xr:uid="{00000000-0005-0000-0000-000017640000}"/>
    <cellStyle name="Normal 33 8 3" xfId="17900" xr:uid="{00000000-0005-0000-0000-000018640000}"/>
    <cellStyle name="Normal 33 8 3 2" xfId="17901" xr:uid="{00000000-0005-0000-0000-000019640000}"/>
    <cellStyle name="Normal 33 8 4" xfId="17902" xr:uid="{00000000-0005-0000-0000-00001A640000}"/>
    <cellStyle name="Normal 33 9" xfId="17903" xr:uid="{00000000-0005-0000-0000-00001B640000}"/>
    <cellStyle name="Normal 33 9 2" xfId="17904" xr:uid="{00000000-0005-0000-0000-00001C640000}"/>
    <cellStyle name="Normal 33 9 2 2" xfId="17905" xr:uid="{00000000-0005-0000-0000-00001D640000}"/>
    <cellStyle name="Normal 33 9 3" xfId="17906" xr:uid="{00000000-0005-0000-0000-00001E640000}"/>
    <cellStyle name="Normal 33 9 3 2" xfId="17907" xr:uid="{00000000-0005-0000-0000-00001F640000}"/>
    <cellStyle name="Normal 33 9 4" xfId="17908" xr:uid="{00000000-0005-0000-0000-000020640000}"/>
    <cellStyle name="Normal 34" xfId="17909" xr:uid="{00000000-0005-0000-0000-000021640000}"/>
    <cellStyle name="Normal 34 10" xfId="17910" xr:uid="{00000000-0005-0000-0000-000022640000}"/>
    <cellStyle name="Normal 34 10 2" xfId="17911" xr:uid="{00000000-0005-0000-0000-000023640000}"/>
    <cellStyle name="Normal 34 10 2 2" xfId="17912" xr:uid="{00000000-0005-0000-0000-000024640000}"/>
    <cellStyle name="Normal 34 10 3" xfId="17913" xr:uid="{00000000-0005-0000-0000-000025640000}"/>
    <cellStyle name="Normal 34 11" xfId="17914" xr:uid="{00000000-0005-0000-0000-000026640000}"/>
    <cellStyle name="Normal 34 11 2" xfId="17915" xr:uid="{00000000-0005-0000-0000-000027640000}"/>
    <cellStyle name="Normal 34 12" xfId="17916" xr:uid="{00000000-0005-0000-0000-000028640000}"/>
    <cellStyle name="Normal 34 12 2" xfId="17917" xr:uid="{00000000-0005-0000-0000-000029640000}"/>
    <cellStyle name="Normal 34 13" xfId="17918" xr:uid="{00000000-0005-0000-0000-00002A640000}"/>
    <cellStyle name="Normal 34 14" xfId="17919" xr:uid="{00000000-0005-0000-0000-00002B640000}"/>
    <cellStyle name="Normal 34 15" xfId="17920" xr:uid="{00000000-0005-0000-0000-00002C640000}"/>
    <cellStyle name="Normal 34 2" xfId="17921" xr:uid="{00000000-0005-0000-0000-00002D640000}"/>
    <cellStyle name="Normal 34 2 2" xfId="17922" xr:uid="{00000000-0005-0000-0000-00002E640000}"/>
    <cellStyle name="Normal 34 3" xfId="17923" xr:uid="{00000000-0005-0000-0000-00002F640000}"/>
    <cellStyle name="Normal 34 3 10" xfId="17924" xr:uid="{00000000-0005-0000-0000-000030640000}"/>
    <cellStyle name="Normal 34 3 10 2" xfId="17925" xr:uid="{00000000-0005-0000-0000-000031640000}"/>
    <cellStyle name="Normal 34 3 11" xfId="17926" xr:uid="{00000000-0005-0000-0000-000032640000}"/>
    <cellStyle name="Normal 34 3 2" xfId="17927" xr:uid="{00000000-0005-0000-0000-000033640000}"/>
    <cellStyle name="Normal 34 3 2 2" xfId="17928" xr:uid="{00000000-0005-0000-0000-000034640000}"/>
    <cellStyle name="Normal 34 3 2 2 2" xfId="17929" xr:uid="{00000000-0005-0000-0000-000035640000}"/>
    <cellStyle name="Normal 34 3 2 2 2 2" xfId="17930" xr:uid="{00000000-0005-0000-0000-000036640000}"/>
    <cellStyle name="Normal 34 3 2 2 3" xfId="17931" xr:uid="{00000000-0005-0000-0000-000037640000}"/>
    <cellStyle name="Normal 34 3 2 2 3 2" xfId="17932" xr:uid="{00000000-0005-0000-0000-000038640000}"/>
    <cellStyle name="Normal 34 3 2 2 4" xfId="17933" xr:uid="{00000000-0005-0000-0000-000039640000}"/>
    <cellStyle name="Normal 34 3 2 3" xfId="17934" xr:uid="{00000000-0005-0000-0000-00003A640000}"/>
    <cellStyle name="Normal 34 3 2 3 2" xfId="17935" xr:uid="{00000000-0005-0000-0000-00003B640000}"/>
    <cellStyle name="Normal 34 3 2 3 2 2" xfId="17936" xr:uid="{00000000-0005-0000-0000-00003C640000}"/>
    <cellStyle name="Normal 34 3 2 3 3" xfId="17937" xr:uid="{00000000-0005-0000-0000-00003D640000}"/>
    <cellStyle name="Normal 34 3 2 3 3 2" xfId="17938" xr:uid="{00000000-0005-0000-0000-00003E640000}"/>
    <cellStyle name="Normal 34 3 2 3 4" xfId="17939" xr:uid="{00000000-0005-0000-0000-00003F640000}"/>
    <cellStyle name="Normal 34 3 2 4" xfId="17940" xr:uid="{00000000-0005-0000-0000-000040640000}"/>
    <cellStyle name="Normal 34 3 2 4 2" xfId="17941" xr:uid="{00000000-0005-0000-0000-000041640000}"/>
    <cellStyle name="Normal 34 3 2 5" xfId="17942" xr:uid="{00000000-0005-0000-0000-000042640000}"/>
    <cellStyle name="Normal 34 3 2 5 2" xfId="17943" xr:uid="{00000000-0005-0000-0000-000043640000}"/>
    <cellStyle name="Normal 34 3 2 6" xfId="17944" xr:uid="{00000000-0005-0000-0000-000044640000}"/>
    <cellStyle name="Normal 34 3 3" xfId="17945" xr:uid="{00000000-0005-0000-0000-000045640000}"/>
    <cellStyle name="Normal 34 3 3 2" xfId="17946" xr:uid="{00000000-0005-0000-0000-000046640000}"/>
    <cellStyle name="Normal 34 3 3 2 2" xfId="17947" xr:uid="{00000000-0005-0000-0000-000047640000}"/>
    <cellStyle name="Normal 34 3 3 3" xfId="17948" xr:uid="{00000000-0005-0000-0000-000048640000}"/>
    <cellStyle name="Normal 34 3 3 3 2" xfId="17949" xr:uid="{00000000-0005-0000-0000-000049640000}"/>
    <cellStyle name="Normal 34 3 3 4" xfId="17950" xr:uid="{00000000-0005-0000-0000-00004A640000}"/>
    <cellStyle name="Normal 34 3 4" xfId="17951" xr:uid="{00000000-0005-0000-0000-00004B640000}"/>
    <cellStyle name="Normal 34 3 4 2" xfId="17952" xr:uid="{00000000-0005-0000-0000-00004C640000}"/>
    <cellStyle name="Normal 34 3 4 2 2" xfId="17953" xr:uid="{00000000-0005-0000-0000-00004D640000}"/>
    <cellStyle name="Normal 34 3 4 3" xfId="17954" xr:uid="{00000000-0005-0000-0000-00004E640000}"/>
    <cellStyle name="Normal 34 3 4 3 2" xfId="17955" xr:uid="{00000000-0005-0000-0000-00004F640000}"/>
    <cellStyle name="Normal 34 3 4 4" xfId="17956" xr:uid="{00000000-0005-0000-0000-000050640000}"/>
    <cellStyle name="Normal 34 3 5" xfId="17957" xr:uid="{00000000-0005-0000-0000-000051640000}"/>
    <cellStyle name="Normal 34 3 5 2" xfId="17958" xr:uid="{00000000-0005-0000-0000-000052640000}"/>
    <cellStyle name="Normal 34 3 5 2 2" xfId="17959" xr:uid="{00000000-0005-0000-0000-000053640000}"/>
    <cellStyle name="Normal 34 3 5 3" xfId="17960" xr:uid="{00000000-0005-0000-0000-000054640000}"/>
    <cellStyle name="Normal 34 3 5 3 2" xfId="17961" xr:uid="{00000000-0005-0000-0000-000055640000}"/>
    <cellStyle name="Normal 34 3 5 4" xfId="17962" xr:uid="{00000000-0005-0000-0000-000056640000}"/>
    <cellStyle name="Normal 34 3 6" xfId="17963" xr:uid="{00000000-0005-0000-0000-000057640000}"/>
    <cellStyle name="Normal 34 3 6 2" xfId="17964" xr:uid="{00000000-0005-0000-0000-000058640000}"/>
    <cellStyle name="Normal 34 3 6 2 2" xfId="17965" xr:uid="{00000000-0005-0000-0000-000059640000}"/>
    <cellStyle name="Normal 34 3 6 3" xfId="17966" xr:uid="{00000000-0005-0000-0000-00005A640000}"/>
    <cellStyle name="Normal 34 3 6 3 2" xfId="17967" xr:uid="{00000000-0005-0000-0000-00005B640000}"/>
    <cellStyle name="Normal 34 3 6 4" xfId="17968" xr:uid="{00000000-0005-0000-0000-00005C640000}"/>
    <cellStyle name="Normal 34 3 7" xfId="17969" xr:uid="{00000000-0005-0000-0000-00005D640000}"/>
    <cellStyle name="Normal 34 3 7 2" xfId="17970" xr:uid="{00000000-0005-0000-0000-00005E640000}"/>
    <cellStyle name="Normal 34 3 7 2 2" xfId="17971" xr:uid="{00000000-0005-0000-0000-00005F640000}"/>
    <cellStyle name="Normal 34 3 7 3" xfId="17972" xr:uid="{00000000-0005-0000-0000-000060640000}"/>
    <cellStyle name="Normal 34 3 7 3 2" xfId="17973" xr:uid="{00000000-0005-0000-0000-000061640000}"/>
    <cellStyle name="Normal 34 3 7 4" xfId="17974" xr:uid="{00000000-0005-0000-0000-000062640000}"/>
    <cellStyle name="Normal 34 3 8" xfId="17975" xr:uid="{00000000-0005-0000-0000-000063640000}"/>
    <cellStyle name="Normal 34 3 8 2" xfId="17976" xr:uid="{00000000-0005-0000-0000-000064640000}"/>
    <cellStyle name="Normal 34 3 8 2 2" xfId="17977" xr:uid="{00000000-0005-0000-0000-000065640000}"/>
    <cellStyle name="Normal 34 3 8 3" xfId="17978" xr:uid="{00000000-0005-0000-0000-000066640000}"/>
    <cellStyle name="Normal 34 3 9" xfId="17979" xr:uid="{00000000-0005-0000-0000-000067640000}"/>
    <cellStyle name="Normal 34 3 9 2" xfId="17980" xr:uid="{00000000-0005-0000-0000-000068640000}"/>
    <cellStyle name="Normal 34 4" xfId="17981" xr:uid="{00000000-0005-0000-0000-000069640000}"/>
    <cellStyle name="Normal 34 4 2" xfId="17982" xr:uid="{00000000-0005-0000-0000-00006A640000}"/>
    <cellStyle name="Normal 34 4 2 2" xfId="17983" xr:uid="{00000000-0005-0000-0000-00006B640000}"/>
    <cellStyle name="Normal 34 4 2 2 2" xfId="17984" xr:uid="{00000000-0005-0000-0000-00006C640000}"/>
    <cellStyle name="Normal 34 4 2 3" xfId="17985" xr:uid="{00000000-0005-0000-0000-00006D640000}"/>
    <cellStyle name="Normal 34 4 2 3 2" xfId="17986" xr:uid="{00000000-0005-0000-0000-00006E640000}"/>
    <cellStyle name="Normal 34 4 2 4" xfId="17987" xr:uid="{00000000-0005-0000-0000-00006F640000}"/>
    <cellStyle name="Normal 34 4 3" xfId="17988" xr:uid="{00000000-0005-0000-0000-000070640000}"/>
    <cellStyle name="Normal 34 4 3 2" xfId="17989" xr:uid="{00000000-0005-0000-0000-000071640000}"/>
    <cellStyle name="Normal 34 4 3 2 2" xfId="17990" xr:uid="{00000000-0005-0000-0000-000072640000}"/>
    <cellStyle name="Normal 34 4 3 3" xfId="17991" xr:uid="{00000000-0005-0000-0000-000073640000}"/>
    <cellStyle name="Normal 34 4 3 3 2" xfId="17992" xr:uid="{00000000-0005-0000-0000-000074640000}"/>
    <cellStyle name="Normal 34 4 3 4" xfId="17993" xr:uid="{00000000-0005-0000-0000-000075640000}"/>
    <cellStyle name="Normal 34 4 4" xfId="17994" xr:uid="{00000000-0005-0000-0000-000076640000}"/>
    <cellStyle name="Normal 34 4 4 2" xfId="17995" xr:uid="{00000000-0005-0000-0000-000077640000}"/>
    <cellStyle name="Normal 34 4 5" xfId="17996" xr:uid="{00000000-0005-0000-0000-000078640000}"/>
    <cellStyle name="Normal 34 4 5 2" xfId="17997" xr:uid="{00000000-0005-0000-0000-000079640000}"/>
    <cellStyle name="Normal 34 4 6" xfId="17998" xr:uid="{00000000-0005-0000-0000-00007A640000}"/>
    <cellStyle name="Normal 34 5" xfId="17999" xr:uid="{00000000-0005-0000-0000-00007B640000}"/>
    <cellStyle name="Normal 34 5 2" xfId="18000" xr:uid="{00000000-0005-0000-0000-00007C640000}"/>
    <cellStyle name="Normal 34 5 2 2" xfId="18001" xr:uid="{00000000-0005-0000-0000-00007D640000}"/>
    <cellStyle name="Normal 34 5 3" xfId="18002" xr:uid="{00000000-0005-0000-0000-00007E640000}"/>
    <cellStyle name="Normal 34 5 3 2" xfId="18003" xr:uid="{00000000-0005-0000-0000-00007F640000}"/>
    <cellStyle name="Normal 34 5 4" xfId="18004" xr:uid="{00000000-0005-0000-0000-000080640000}"/>
    <cellStyle name="Normal 34 6" xfId="18005" xr:uid="{00000000-0005-0000-0000-000081640000}"/>
    <cellStyle name="Normal 34 6 2" xfId="18006" xr:uid="{00000000-0005-0000-0000-000082640000}"/>
    <cellStyle name="Normal 34 6 2 2" xfId="18007" xr:uid="{00000000-0005-0000-0000-000083640000}"/>
    <cellStyle name="Normal 34 6 3" xfId="18008" xr:uid="{00000000-0005-0000-0000-000084640000}"/>
    <cellStyle name="Normal 34 6 3 2" xfId="18009" xr:uid="{00000000-0005-0000-0000-000085640000}"/>
    <cellStyle name="Normal 34 6 4" xfId="18010" xr:uid="{00000000-0005-0000-0000-000086640000}"/>
    <cellStyle name="Normal 34 7" xfId="18011" xr:uid="{00000000-0005-0000-0000-000087640000}"/>
    <cellStyle name="Normal 34 7 2" xfId="18012" xr:uid="{00000000-0005-0000-0000-000088640000}"/>
    <cellStyle name="Normal 34 7 2 2" xfId="18013" xr:uid="{00000000-0005-0000-0000-000089640000}"/>
    <cellStyle name="Normal 34 7 3" xfId="18014" xr:uid="{00000000-0005-0000-0000-00008A640000}"/>
    <cellStyle name="Normal 34 7 3 2" xfId="18015" xr:uid="{00000000-0005-0000-0000-00008B640000}"/>
    <cellStyle name="Normal 34 7 4" xfId="18016" xr:uid="{00000000-0005-0000-0000-00008C640000}"/>
    <cellStyle name="Normal 34 8" xfId="18017" xr:uid="{00000000-0005-0000-0000-00008D640000}"/>
    <cellStyle name="Normal 34 8 2" xfId="18018" xr:uid="{00000000-0005-0000-0000-00008E640000}"/>
    <cellStyle name="Normal 34 8 2 2" xfId="18019" xr:uid="{00000000-0005-0000-0000-00008F640000}"/>
    <cellStyle name="Normal 34 8 3" xfId="18020" xr:uid="{00000000-0005-0000-0000-000090640000}"/>
    <cellStyle name="Normal 34 8 3 2" xfId="18021" xr:uid="{00000000-0005-0000-0000-000091640000}"/>
    <cellStyle name="Normal 34 8 4" xfId="18022" xr:uid="{00000000-0005-0000-0000-000092640000}"/>
    <cellStyle name="Normal 34 9" xfId="18023" xr:uid="{00000000-0005-0000-0000-000093640000}"/>
    <cellStyle name="Normal 34 9 2" xfId="18024" xr:uid="{00000000-0005-0000-0000-000094640000}"/>
    <cellStyle name="Normal 34 9 2 2" xfId="18025" xr:uid="{00000000-0005-0000-0000-000095640000}"/>
    <cellStyle name="Normal 34 9 3" xfId="18026" xr:uid="{00000000-0005-0000-0000-000096640000}"/>
    <cellStyle name="Normal 34 9 3 2" xfId="18027" xr:uid="{00000000-0005-0000-0000-000097640000}"/>
    <cellStyle name="Normal 34 9 4" xfId="18028" xr:uid="{00000000-0005-0000-0000-000098640000}"/>
    <cellStyle name="Normal 35" xfId="18029" xr:uid="{00000000-0005-0000-0000-000099640000}"/>
    <cellStyle name="Normal 35 10" xfId="18030" xr:uid="{00000000-0005-0000-0000-00009A640000}"/>
    <cellStyle name="Normal 35 10 2" xfId="18031" xr:uid="{00000000-0005-0000-0000-00009B640000}"/>
    <cellStyle name="Normal 35 10 2 2" xfId="18032" xr:uid="{00000000-0005-0000-0000-00009C640000}"/>
    <cellStyle name="Normal 35 10 3" xfId="18033" xr:uid="{00000000-0005-0000-0000-00009D640000}"/>
    <cellStyle name="Normal 35 11" xfId="18034" xr:uid="{00000000-0005-0000-0000-00009E640000}"/>
    <cellStyle name="Normal 35 11 2" xfId="18035" xr:uid="{00000000-0005-0000-0000-00009F640000}"/>
    <cellStyle name="Normal 35 12" xfId="18036" xr:uid="{00000000-0005-0000-0000-0000A0640000}"/>
    <cellStyle name="Normal 35 12 2" xfId="18037" xr:uid="{00000000-0005-0000-0000-0000A1640000}"/>
    <cellStyle name="Normal 35 13" xfId="18038" xr:uid="{00000000-0005-0000-0000-0000A2640000}"/>
    <cellStyle name="Normal 35 14" xfId="18039" xr:uid="{00000000-0005-0000-0000-0000A3640000}"/>
    <cellStyle name="Normal 35 15" xfId="18040" xr:uid="{00000000-0005-0000-0000-0000A4640000}"/>
    <cellStyle name="Normal 35 2" xfId="18041" xr:uid="{00000000-0005-0000-0000-0000A5640000}"/>
    <cellStyle name="Normal 35 2 2" xfId="18042" xr:uid="{00000000-0005-0000-0000-0000A6640000}"/>
    <cellStyle name="Normal 35 3" xfId="18043" xr:uid="{00000000-0005-0000-0000-0000A7640000}"/>
    <cellStyle name="Normal 35 3 10" xfId="18044" xr:uid="{00000000-0005-0000-0000-0000A8640000}"/>
    <cellStyle name="Normal 35 3 10 2" xfId="18045" xr:uid="{00000000-0005-0000-0000-0000A9640000}"/>
    <cellStyle name="Normal 35 3 11" xfId="18046" xr:uid="{00000000-0005-0000-0000-0000AA640000}"/>
    <cellStyle name="Normal 35 3 2" xfId="18047" xr:uid="{00000000-0005-0000-0000-0000AB640000}"/>
    <cellStyle name="Normal 35 3 2 2" xfId="18048" xr:uid="{00000000-0005-0000-0000-0000AC640000}"/>
    <cellStyle name="Normal 35 3 2 2 2" xfId="18049" xr:uid="{00000000-0005-0000-0000-0000AD640000}"/>
    <cellStyle name="Normal 35 3 2 2 2 2" xfId="18050" xr:uid="{00000000-0005-0000-0000-0000AE640000}"/>
    <cellStyle name="Normal 35 3 2 2 3" xfId="18051" xr:uid="{00000000-0005-0000-0000-0000AF640000}"/>
    <cellStyle name="Normal 35 3 2 2 3 2" xfId="18052" xr:uid="{00000000-0005-0000-0000-0000B0640000}"/>
    <cellStyle name="Normal 35 3 2 2 4" xfId="18053" xr:uid="{00000000-0005-0000-0000-0000B1640000}"/>
    <cellStyle name="Normal 35 3 2 3" xfId="18054" xr:uid="{00000000-0005-0000-0000-0000B2640000}"/>
    <cellStyle name="Normal 35 3 2 3 2" xfId="18055" xr:uid="{00000000-0005-0000-0000-0000B3640000}"/>
    <cellStyle name="Normal 35 3 2 3 2 2" xfId="18056" xr:uid="{00000000-0005-0000-0000-0000B4640000}"/>
    <cellStyle name="Normal 35 3 2 3 3" xfId="18057" xr:uid="{00000000-0005-0000-0000-0000B5640000}"/>
    <cellStyle name="Normal 35 3 2 3 3 2" xfId="18058" xr:uid="{00000000-0005-0000-0000-0000B6640000}"/>
    <cellStyle name="Normal 35 3 2 3 4" xfId="18059" xr:uid="{00000000-0005-0000-0000-0000B7640000}"/>
    <cellStyle name="Normal 35 3 2 4" xfId="18060" xr:uid="{00000000-0005-0000-0000-0000B8640000}"/>
    <cellStyle name="Normal 35 3 2 4 2" xfId="18061" xr:uid="{00000000-0005-0000-0000-0000B9640000}"/>
    <cellStyle name="Normal 35 3 2 5" xfId="18062" xr:uid="{00000000-0005-0000-0000-0000BA640000}"/>
    <cellStyle name="Normal 35 3 2 5 2" xfId="18063" xr:uid="{00000000-0005-0000-0000-0000BB640000}"/>
    <cellStyle name="Normal 35 3 2 6" xfId="18064" xr:uid="{00000000-0005-0000-0000-0000BC640000}"/>
    <cellStyle name="Normal 35 3 3" xfId="18065" xr:uid="{00000000-0005-0000-0000-0000BD640000}"/>
    <cellStyle name="Normal 35 3 3 2" xfId="18066" xr:uid="{00000000-0005-0000-0000-0000BE640000}"/>
    <cellStyle name="Normal 35 3 3 2 2" xfId="18067" xr:uid="{00000000-0005-0000-0000-0000BF640000}"/>
    <cellStyle name="Normal 35 3 3 3" xfId="18068" xr:uid="{00000000-0005-0000-0000-0000C0640000}"/>
    <cellStyle name="Normal 35 3 3 3 2" xfId="18069" xr:uid="{00000000-0005-0000-0000-0000C1640000}"/>
    <cellStyle name="Normal 35 3 3 4" xfId="18070" xr:uid="{00000000-0005-0000-0000-0000C2640000}"/>
    <cellStyle name="Normal 35 3 4" xfId="18071" xr:uid="{00000000-0005-0000-0000-0000C3640000}"/>
    <cellStyle name="Normal 35 3 4 2" xfId="18072" xr:uid="{00000000-0005-0000-0000-0000C4640000}"/>
    <cellStyle name="Normal 35 3 4 2 2" xfId="18073" xr:uid="{00000000-0005-0000-0000-0000C5640000}"/>
    <cellStyle name="Normal 35 3 4 3" xfId="18074" xr:uid="{00000000-0005-0000-0000-0000C6640000}"/>
    <cellStyle name="Normal 35 3 4 3 2" xfId="18075" xr:uid="{00000000-0005-0000-0000-0000C7640000}"/>
    <cellStyle name="Normal 35 3 4 4" xfId="18076" xr:uid="{00000000-0005-0000-0000-0000C8640000}"/>
    <cellStyle name="Normal 35 3 5" xfId="18077" xr:uid="{00000000-0005-0000-0000-0000C9640000}"/>
    <cellStyle name="Normal 35 3 5 2" xfId="18078" xr:uid="{00000000-0005-0000-0000-0000CA640000}"/>
    <cellStyle name="Normal 35 3 5 2 2" xfId="18079" xr:uid="{00000000-0005-0000-0000-0000CB640000}"/>
    <cellStyle name="Normal 35 3 5 3" xfId="18080" xr:uid="{00000000-0005-0000-0000-0000CC640000}"/>
    <cellStyle name="Normal 35 3 5 3 2" xfId="18081" xr:uid="{00000000-0005-0000-0000-0000CD640000}"/>
    <cellStyle name="Normal 35 3 5 4" xfId="18082" xr:uid="{00000000-0005-0000-0000-0000CE640000}"/>
    <cellStyle name="Normal 35 3 6" xfId="18083" xr:uid="{00000000-0005-0000-0000-0000CF640000}"/>
    <cellStyle name="Normal 35 3 6 2" xfId="18084" xr:uid="{00000000-0005-0000-0000-0000D0640000}"/>
    <cellStyle name="Normal 35 3 6 2 2" xfId="18085" xr:uid="{00000000-0005-0000-0000-0000D1640000}"/>
    <cellStyle name="Normal 35 3 6 3" xfId="18086" xr:uid="{00000000-0005-0000-0000-0000D2640000}"/>
    <cellStyle name="Normal 35 3 6 3 2" xfId="18087" xr:uid="{00000000-0005-0000-0000-0000D3640000}"/>
    <cellStyle name="Normal 35 3 6 4" xfId="18088" xr:uid="{00000000-0005-0000-0000-0000D4640000}"/>
    <cellStyle name="Normal 35 3 7" xfId="18089" xr:uid="{00000000-0005-0000-0000-0000D5640000}"/>
    <cellStyle name="Normal 35 3 7 2" xfId="18090" xr:uid="{00000000-0005-0000-0000-0000D6640000}"/>
    <cellStyle name="Normal 35 3 7 2 2" xfId="18091" xr:uid="{00000000-0005-0000-0000-0000D7640000}"/>
    <cellStyle name="Normal 35 3 7 3" xfId="18092" xr:uid="{00000000-0005-0000-0000-0000D8640000}"/>
    <cellStyle name="Normal 35 3 7 3 2" xfId="18093" xr:uid="{00000000-0005-0000-0000-0000D9640000}"/>
    <cellStyle name="Normal 35 3 7 4" xfId="18094" xr:uid="{00000000-0005-0000-0000-0000DA640000}"/>
    <cellStyle name="Normal 35 3 8" xfId="18095" xr:uid="{00000000-0005-0000-0000-0000DB640000}"/>
    <cellStyle name="Normal 35 3 8 2" xfId="18096" xr:uid="{00000000-0005-0000-0000-0000DC640000}"/>
    <cellStyle name="Normal 35 3 8 2 2" xfId="18097" xr:uid="{00000000-0005-0000-0000-0000DD640000}"/>
    <cellStyle name="Normal 35 3 8 3" xfId="18098" xr:uid="{00000000-0005-0000-0000-0000DE640000}"/>
    <cellStyle name="Normal 35 3 9" xfId="18099" xr:uid="{00000000-0005-0000-0000-0000DF640000}"/>
    <cellStyle name="Normal 35 3 9 2" xfId="18100" xr:uid="{00000000-0005-0000-0000-0000E0640000}"/>
    <cellStyle name="Normal 35 4" xfId="18101" xr:uid="{00000000-0005-0000-0000-0000E1640000}"/>
    <cellStyle name="Normal 35 4 2" xfId="18102" xr:uid="{00000000-0005-0000-0000-0000E2640000}"/>
    <cellStyle name="Normal 35 4 2 2" xfId="18103" xr:uid="{00000000-0005-0000-0000-0000E3640000}"/>
    <cellStyle name="Normal 35 4 2 2 2" xfId="18104" xr:uid="{00000000-0005-0000-0000-0000E4640000}"/>
    <cellStyle name="Normal 35 4 2 3" xfId="18105" xr:uid="{00000000-0005-0000-0000-0000E5640000}"/>
    <cellStyle name="Normal 35 4 2 3 2" xfId="18106" xr:uid="{00000000-0005-0000-0000-0000E6640000}"/>
    <cellStyle name="Normal 35 4 2 4" xfId="18107" xr:uid="{00000000-0005-0000-0000-0000E7640000}"/>
    <cellStyle name="Normal 35 4 3" xfId="18108" xr:uid="{00000000-0005-0000-0000-0000E8640000}"/>
    <cellStyle name="Normal 35 4 3 2" xfId="18109" xr:uid="{00000000-0005-0000-0000-0000E9640000}"/>
    <cellStyle name="Normal 35 4 3 2 2" xfId="18110" xr:uid="{00000000-0005-0000-0000-0000EA640000}"/>
    <cellStyle name="Normal 35 4 3 3" xfId="18111" xr:uid="{00000000-0005-0000-0000-0000EB640000}"/>
    <cellStyle name="Normal 35 4 3 3 2" xfId="18112" xr:uid="{00000000-0005-0000-0000-0000EC640000}"/>
    <cellStyle name="Normal 35 4 3 4" xfId="18113" xr:uid="{00000000-0005-0000-0000-0000ED640000}"/>
    <cellStyle name="Normal 35 4 4" xfId="18114" xr:uid="{00000000-0005-0000-0000-0000EE640000}"/>
    <cellStyle name="Normal 35 4 4 2" xfId="18115" xr:uid="{00000000-0005-0000-0000-0000EF640000}"/>
    <cellStyle name="Normal 35 4 5" xfId="18116" xr:uid="{00000000-0005-0000-0000-0000F0640000}"/>
    <cellStyle name="Normal 35 4 5 2" xfId="18117" xr:uid="{00000000-0005-0000-0000-0000F1640000}"/>
    <cellStyle name="Normal 35 4 6" xfId="18118" xr:uid="{00000000-0005-0000-0000-0000F2640000}"/>
    <cellStyle name="Normal 35 5" xfId="18119" xr:uid="{00000000-0005-0000-0000-0000F3640000}"/>
    <cellStyle name="Normal 35 5 2" xfId="18120" xr:uid="{00000000-0005-0000-0000-0000F4640000}"/>
    <cellStyle name="Normal 35 5 2 2" xfId="18121" xr:uid="{00000000-0005-0000-0000-0000F5640000}"/>
    <cellStyle name="Normal 35 5 3" xfId="18122" xr:uid="{00000000-0005-0000-0000-0000F6640000}"/>
    <cellStyle name="Normal 35 5 3 2" xfId="18123" xr:uid="{00000000-0005-0000-0000-0000F7640000}"/>
    <cellStyle name="Normal 35 5 4" xfId="18124" xr:uid="{00000000-0005-0000-0000-0000F8640000}"/>
    <cellStyle name="Normal 35 6" xfId="18125" xr:uid="{00000000-0005-0000-0000-0000F9640000}"/>
    <cellStyle name="Normal 35 6 2" xfId="18126" xr:uid="{00000000-0005-0000-0000-0000FA640000}"/>
    <cellStyle name="Normal 35 6 2 2" xfId="18127" xr:uid="{00000000-0005-0000-0000-0000FB640000}"/>
    <cellStyle name="Normal 35 6 3" xfId="18128" xr:uid="{00000000-0005-0000-0000-0000FC640000}"/>
    <cellStyle name="Normal 35 6 3 2" xfId="18129" xr:uid="{00000000-0005-0000-0000-0000FD640000}"/>
    <cellStyle name="Normal 35 6 4" xfId="18130" xr:uid="{00000000-0005-0000-0000-0000FE640000}"/>
    <cellStyle name="Normal 35 7" xfId="18131" xr:uid="{00000000-0005-0000-0000-0000FF640000}"/>
    <cellStyle name="Normal 35 7 2" xfId="18132" xr:uid="{00000000-0005-0000-0000-000000650000}"/>
    <cellStyle name="Normal 35 7 2 2" xfId="18133" xr:uid="{00000000-0005-0000-0000-000001650000}"/>
    <cellStyle name="Normal 35 7 3" xfId="18134" xr:uid="{00000000-0005-0000-0000-000002650000}"/>
    <cellStyle name="Normal 35 7 3 2" xfId="18135" xr:uid="{00000000-0005-0000-0000-000003650000}"/>
    <cellStyle name="Normal 35 7 4" xfId="18136" xr:uid="{00000000-0005-0000-0000-000004650000}"/>
    <cellStyle name="Normal 35 8" xfId="18137" xr:uid="{00000000-0005-0000-0000-000005650000}"/>
    <cellStyle name="Normal 35 8 2" xfId="18138" xr:uid="{00000000-0005-0000-0000-000006650000}"/>
    <cellStyle name="Normal 35 8 2 2" xfId="18139" xr:uid="{00000000-0005-0000-0000-000007650000}"/>
    <cellStyle name="Normal 35 8 3" xfId="18140" xr:uid="{00000000-0005-0000-0000-000008650000}"/>
    <cellStyle name="Normal 35 8 3 2" xfId="18141" xr:uid="{00000000-0005-0000-0000-000009650000}"/>
    <cellStyle name="Normal 35 8 4" xfId="18142" xr:uid="{00000000-0005-0000-0000-00000A650000}"/>
    <cellStyle name="Normal 35 9" xfId="18143" xr:uid="{00000000-0005-0000-0000-00000B650000}"/>
    <cellStyle name="Normal 35 9 2" xfId="18144" xr:uid="{00000000-0005-0000-0000-00000C650000}"/>
    <cellStyle name="Normal 35 9 2 2" xfId="18145" xr:uid="{00000000-0005-0000-0000-00000D650000}"/>
    <cellStyle name="Normal 35 9 3" xfId="18146" xr:uid="{00000000-0005-0000-0000-00000E650000}"/>
    <cellStyle name="Normal 35 9 3 2" xfId="18147" xr:uid="{00000000-0005-0000-0000-00000F650000}"/>
    <cellStyle name="Normal 35 9 4" xfId="18148" xr:uid="{00000000-0005-0000-0000-000010650000}"/>
    <cellStyle name="Normal 36" xfId="18149" xr:uid="{00000000-0005-0000-0000-000011650000}"/>
    <cellStyle name="Normal 36 2" xfId="18150" xr:uid="{00000000-0005-0000-0000-000012650000}"/>
    <cellStyle name="Normal 36 3" xfId="18151" xr:uid="{00000000-0005-0000-0000-000013650000}"/>
    <cellStyle name="Normal 37" xfId="18152" xr:uid="{00000000-0005-0000-0000-000014650000}"/>
    <cellStyle name="Normal 37 2" xfId="18153" xr:uid="{00000000-0005-0000-0000-000015650000}"/>
    <cellStyle name="Normal 37 2 2" xfId="18154" xr:uid="{00000000-0005-0000-0000-000016650000}"/>
    <cellStyle name="Normal 37 3" xfId="18155" xr:uid="{00000000-0005-0000-0000-000017650000}"/>
    <cellStyle name="Normal 37 4" xfId="18156" xr:uid="{00000000-0005-0000-0000-000018650000}"/>
    <cellStyle name="Normal 38" xfId="18157" xr:uid="{00000000-0005-0000-0000-000019650000}"/>
    <cellStyle name="Normal 38 2" xfId="18158" xr:uid="{00000000-0005-0000-0000-00001A650000}"/>
    <cellStyle name="Normal 39" xfId="18159" xr:uid="{00000000-0005-0000-0000-00001B650000}"/>
    <cellStyle name="Normal 39 2" xfId="18160" xr:uid="{00000000-0005-0000-0000-00001C650000}"/>
    <cellStyle name="Normal 39 3" xfId="18161" xr:uid="{00000000-0005-0000-0000-00001D650000}"/>
    <cellStyle name="Normal 4" xfId="18162" xr:uid="{00000000-0005-0000-0000-00001E650000}"/>
    <cellStyle name="Normal 4 10" xfId="18163" xr:uid="{00000000-0005-0000-0000-00001F650000}"/>
    <cellStyle name="Normal 4 10 10" xfId="18164" xr:uid="{00000000-0005-0000-0000-000020650000}"/>
    <cellStyle name="Normal 4 10 11" xfId="18165" xr:uid="{00000000-0005-0000-0000-000021650000}"/>
    <cellStyle name="Normal 4 10 12" xfId="18166" xr:uid="{00000000-0005-0000-0000-000022650000}"/>
    <cellStyle name="Normal 4 10 13" xfId="18167" xr:uid="{00000000-0005-0000-0000-000023650000}"/>
    <cellStyle name="Normal 4 10 14" xfId="18168" xr:uid="{00000000-0005-0000-0000-000024650000}"/>
    <cellStyle name="Normal 4 10 15" xfId="18169" xr:uid="{00000000-0005-0000-0000-000025650000}"/>
    <cellStyle name="Normal 4 10 2" xfId="18170" xr:uid="{00000000-0005-0000-0000-000026650000}"/>
    <cellStyle name="Normal 4 10 2 10" xfId="18171" xr:uid="{00000000-0005-0000-0000-000027650000}"/>
    <cellStyle name="Normal 4 10 2 11" xfId="18172" xr:uid="{00000000-0005-0000-0000-000028650000}"/>
    <cellStyle name="Normal 4 10 2 12" xfId="18173" xr:uid="{00000000-0005-0000-0000-000029650000}"/>
    <cellStyle name="Normal 4 10 2 13" xfId="18174" xr:uid="{00000000-0005-0000-0000-00002A650000}"/>
    <cellStyle name="Normal 4 10 2 14" xfId="18175" xr:uid="{00000000-0005-0000-0000-00002B650000}"/>
    <cellStyle name="Normal 4 10 2 2" xfId="18176" xr:uid="{00000000-0005-0000-0000-00002C650000}"/>
    <cellStyle name="Normal 4 10 2 2 2" xfId="18177" xr:uid="{00000000-0005-0000-0000-00002D650000}"/>
    <cellStyle name="Normal 4 10 2 2 2 2" xfId="18178" xr:uid="{00000000-0005-0000-0000-00002E650000}"/>
    <cellStyle name="Normal 4 10 2 2 2 2 2" xfId="18179" xr:uid="{00000000-0005-0000-0000-00002F650000}"/>
    <cellStyle name="Normal 4 10 2 2 2 2 2 2" xfId="53748" xr:uid="{00000000-0005-0000-0000-000030650000}"/>
    <cellStyle name="Normal 4 10 2 2 2 2 2 3" xfId="53749" xr:uid="{00000000-0005-0000-0000-000031650000}"/>
    <cellStyle name="Normal 4 10 2 2 2 2 3" xfId="18180" xr:uid="{00000000-0005-0000-0000-000032650000}"/>
    <cellStyle name="Normal 4 10 2 2 2 2 3 2" xfId="53750" xr:uid="{00000000-0005-0000-0000-000033650000}"/>
    <cellStyle name="Normal 4 10 2 2 2 2 4" xfId="18181" xr:uid="{00000000-0005-0000-0000-000034650000}"/>
    <cellStyle name="Normal 4 10 2 2 2 2 5" xfId="18182" xr:uid="{00000000-0005-0000-0000-000035650000}"/>
    <cellStyle name="Normal 4 10 2 2 2 2 6" xfId="18183" xr:uid="{00000000-0005-0000-0000-000036650000}"/>
    <cellStyle name="Normal 4 10 2 2 2 3" xfId="18184" xr:uid="{00000000-0005-0000-0000-000037650000}"/>
    <cellStyle name="Normal 4 10 2 2 2 3 2" xfId="53751" xr:uid="{00000000-0005-0000-0000-000038650000}"/>
    <cellStyle name="Normal 4 10 2 2 2 3 3" xfId="53752" xr:uid="{00000000-0005-0000-0000-000039650000}"/>
    <cellStyle name="Normal 4 10 2 2 2 4" xfId="18185" xr:uid="{00000000-0005-0000-0000-00003A650000}"/>
    <cellStyle name="Normal 4 10 2 2 2 4 2" xfId="53753" xr:uid="{00000000-0005-0000-0000-00003B650000}"/>
    <cellStyle name="Normal 4 10 2 2 2 5" xfId="18186" xr:uid="{00000000-0005-0000-0000-00003C650000}"/>
    <cellStyle name="Normal 4 10 2 2 2 6" xfId="18187" xr:uid="{00000000-0005-0000-0000-00003D650000}"/>
    <cellStyle name="Normal 4 10 2 2 2 7" xfId="18188" xr:uid="{00000000-0005-0000-0000-00003E650000}"/>
    <cellStyle name="Normal 4 10 2 2 3" xfId="18189" xr:uid="{00000000-0005-0000-0000-00003F650000}"/>
    <cellStyle name="Normal 4 10 2 2 3 2" xfId="18190" xr:uid="{00000000-0005-0000-0000-000040650000}"/>
    <cellStyle name="Normal 4 10 2 2 3 2 2" xfId="53754" xr:uid="{00000000-0005-0000-0000-000041650000}"/>
    <cellStyle name="Normal 4 10 2 2 3 2 3" xfId="53755" xr:uid="{00000000-0005-0000-0000-000042650000}"/>
    <cellStyle name="Normal 4 10 2 2 3 3" xfId="18191" xr:uid="{00000000-0005-0000-0000-000043650000}"/>
    <cellStyle name="Normal 4 10 2 2 3 3 2" xfId="53756" xr:uid="{00000000-0005-0000-0000-000044650000}"/>
    <cellStyle name="Normal 4 10 2 2 3 4" xfId="18192" xr:uid="{00000000-0005-0000-0000-000045650000}"/>
    <cellStyle name="Normal 4 10 2 2 3 5" xfId="18193" xr:uid="{00000000-0005-0000-0000-000046650000}"/>
    <cellStyle name="Normal 4 10 2 2 3 6" xfId="18194" xr:uid="{00000000-0005-0000-0000-000047650000}"/>
    <cellStyle name="Normal 4 10 2 2 4" xfId="18195" xr:uid="{00000000-0005-0000-0000-000048650000}"/>
    <cellStyle name="Normal 4 10 2 2 4 2" xfId="53757" xr:uid="{00000000-0005-0000-0000-000049650000}"/>
    <cellStyle name="Normal 4 10 2 2 4 3" xfId="53758" xr:uid="{00000000-0005-0000-0000-00004A650000}"/>
    <cellStyle name="Normal 4 10 2 2 5" xfId="18196" xr:uid="{00000000-0005-0000-0000-00004B650000}"/>
    <cellStyle name="Normal 4 10 2 2 5 2" xfId="53759" xr:uid="{00000000-0005-0000-0000-00004C650000}"/>
    <cellStyle name="Normal 4 10 2 2 6" xfId="18197" xr:uid="{00000000-0005-0000-0000-00004D650000}"/>
    <cellStyle name="Normal 4 10 2 2 7" xfId="18198" xr:uid="{00000000-0005-0000-0000-00004E650000}"/>
    <cellStyle name="Normal 4 10 2 2 8" xfId="18199" xr:uid="{00000000-0005-0000-0000-00004F650000}"/>
    <cellStyle name="Normal 4 10 2 2 9" xfId="18200" xr:uid="{00000000-0005-0000-0000-000050650000}"/>
    <cellStyle name="Normal 4 10 2 3" xfId="18201" xr:uid="{00000000-0005-0000-0000-000051650000}"/>
    <cellStyle name="Normal 4 10 2 3 2" xfId="18202" xr:uid="{00000000-0005-0000-0000-000052650000}"/>
    <cellStyle name="Normal 4 10 2 3 2 2" xfId="18203" xr:uid="{00000000-0005-0000-0000-000053650000}"/>
    <cellStyle name="Normal 4 10 2 3 2 2 2" xfId="18204" xr:uid="{00000000-0005-0000-0000-000054650000}"/>
    <cellStyle name="Normal 4 10 2 3 2 2 2 2" xfId="53760" xr:uid="{00000000-0005-0000-0000-000055650000}"/>
    <cellStyle name="Normal 4 10 2 3 2 2 2 3" xfId="53761" xr:uid="{00000000-0005-0000-0000-000056650000}"/>
    <cellStyle name="Normal 4 10 2 3 2 2 3" xfId="18205" xr:uid="{00000000-0005-0000-0000-000057650000}"/>
    <cellStyle name="Normal 4 10 2 3 2 2 3 2" xfId="53762" xr:uid="{00000000-0005-0000-0000-000058650000}"/>
    <cellStyle name="Normal 4 10 2 3 2 2 4" xfId="18206" xr:uid="{00000000-0005-0000-0000-000059650000}"/>
    <cellStyle name="Normal 4 10 2 3 2 2 5" xfId="18207" xr:uid="{00000000-0005-0000-0000-00005A650000}"/>
    <cellStyle name="Normal 4 10 2 3 2 2 6" xfId="18208" xr:uid="{00000000-0005-0000-0000-00005B650000}"/>
    <cellStyle name="Normal 4 10 2 3 2 3" xfId="18209" xr:uid="{00000000-0005-0000-0000-00005C650000}"/>
    <cellStyle name="Normal 4 10 2 3 2 3 2" xfId="53763" xr:uid="{00000000-0005-0000-0000-00005D650000}"/>
    <cellStyle name="Normal 4 10 2 3 2 3 3" xfId="53764" xr:uid="{00000000-0005-0000-0000-00005E650000}"/>
    <cellStyle name="Normal 4 10 2 3 2 4" xfId="18210" xr:uid="{00000000-0005-0000-0000-00005F650000}"/>
    <cellStyle name="Normal 4 10 2 3 2 4 2" xfId="53765" xr:uid="{00000000-0005-0000-0000-000060650000}"/>
    <cellStyle name="Normal 4 10 2 3 2 5" xfId="18211" xr:uid="{00000000-0005-0000-0000-000061650000}"/>
    <cellStyle name="Normal 4 10 2 3 2 6" xfId="18212" xr:uid="{00000000-0005-0000-0000-000062650000}"/>
    <cellStyle name="Normal 4 10 2 3 2 7" xfId="18213" xr:uid="{00000000-0005-0000-0000-000063650000}"/>
    <cellStyle name="Normal 4 10 2 3 3" xfId="18214" xr:uid="{00000000-0005-0000-0000-000064650000}"/>
    <cellStyle name="Normal 4 10 2 3 3 2" xfId="18215" xr:uid="{00000000-0005-0000-0000-000065650000}"/>
    <cellStyle name="Normal 4 10 2 3 3 2 2" xfId="53766" xr:uid="{00000000-0005-0000-0000-000066650000}"/>
    <cellStyle name="Normal 4 10 2 3 3 2 3" xfId="53767" xr:uid="{00000000-0005-0000-0000-000067650000}"/>
    <cellStyle name="Normal 4 10 2 3 3 3" xfId="18216" xr:uid="{00000000-0005-0000-0000-000068650000}"/>
    <cellStyle name="Normal 4 10 2 3 3 3 2" xfId="53768" xr:uid="{00000000-0005-0000-0000-000069650000}"/>
    <cellStyle name="Normal 4 10 2 3 3 4" xfId="18217" xr:uid="{00000000-0005-0000-0000-00006A650000}"/>
    <cellStyle name="Normal 4 10 2 3 3 5" xfId="18218" xr:uid="{00000000-0005-0000-0000-00006B650000}"/>
    <cellStyle name="Normal 4 10 2 3 3 6" xfId="18219" xr:uid="{00000000-0005-0000-0000-00006C650000}"/>
    <cellStyle name="Normal 4 10 2 3 4" xfId="18220" xr:uid="{00000000-0005-0000-0000-00006D650000}"/>
    <cellStyle name="Normal 4 10 2 3 4 2" xfId="53769" xr:uid="{00000000-0005-0000-0000-00006E650000}"/>
    <cellStyle name="Normal 4 10 2 3 4 3" xfId="53770" xr:uid="{00000000-0005-0000-0000-00006F650000}"/>
    <cellStyle name="Normal 4 10 2 3 5" xfId="18221" xr:uid="{00000000-0005-0000-0000-000070650000}"/>
    <cellStyle name="Normal 4 10 2 3 5 2" xfId="53771" xr:uid="{00000000-0005-0000-0000-000071650000}"/>
    <cellStyle name="Normal 4 10 2 3 6" xfId="18222" xr:uid="{00000000-0005-0000-0000-000072650000}"/>
    <cellStyle name="Normal 4 10 2 3 7" xfId="18223" xr:uid="{00000000-0005-0000-0000-000073650000}"/>
    <cellStyle name="Normal 4 10 2 3 8" xfId="18224" xr:uid="{00000000-0005-0000-0000-000074650000}"/>
    <cellStyle name="Normal 4 10 2 4" xfId="18225" xr:uid="{00000000-0005-0000-0000-000075650000}"/>
    <cellStyle name="Normal 4 10 2 4 2" xfId="18226" xr:uid="{00000000-0005-0000-0000-000076650000}"/>
    <cellStyle name="Normal 4 10 2 4 2 2" xfId="18227" xr:uid="{00000000-0005-0000-0000-000077650000}"/>
    <cellStyle name="Normal 4 10 2 4 2 2 2" xfId="53772" xr:uid="{00000000-0005-0000-0000-000078650000}"/>
    <cellStyle name="Normal 4 10 2 4 2 2 3" xfId="53773" xr:uid="{00000000-0005-0000-0000-000079650000}"/>
    <cellStyle name="Normal 4 10 2 4 2 3" xfId="18228" xr:uid="{00000000-0005-0000-0000-00007A650000}"/>
    <cellStyle name="Normal 4 10 2 4 2 3 2" xfId="53774" xr:uid="{00000000-0005-0000-0000-00007B650000}"/>
    <cellStyle name="Normal 4 10 2 4 2 4" xfId="18229" xr:uid="{00000000-0005-0000-0000-00007C650000}"/>
    <cellStyle name="Normal 4 10 2 4 2 5" xfId="18230" xr:uid="{00000000-0005-0000-0000-00007D650000}"/>
    <cellStyle name="Normal 4 10 2 4 2 6" xfId="18231" xr:uid="{00000000-0005-0000-0000-00007E650000}"/>
    <cellStyle name="Normal 4 10 2 4 3" xfId="18232" xr:uid="{00000000-0005-0000-0000-00007F650000}"/>
    <cellStyle name="Normal 4 10 2 4 3 2" xfId="53775" xr:uid="{00000000-0005-0000-0000-000080650000}"/>
    <cellStyle name="Normal 4 10 2 4 3 3" xfId="53776" xr:uid="{00000000-0005-0000-0000-000081650000}"/>
    <cellStyle name="Normal 4 10 2 4 4" xfId="18233" xr:uid="{00000000-0005-0000-0000-000082650000}"/>
    <cellStyle name="Normal 4 10 2 4 4 2" xfId="53777" xr:uid="{00000000-0005-0000-0000-000083650000}"/>
    <cellStyle name="Normal 4 10 2 4 5" xfId="18234" xr:uid="{00000000-0005-0000-0000-000084650000}"/>
    <cellStyle name="Normal 4 10 2 4 6" xfId="18235" xr:uid="{00000000-0005-0000-0000-000085650000}"/>
    <cellStyle name="Normal 4 10 2 4 7" xfId="18236" xr:uid="{00000000-0005-0000-0000-000086650000}"/>
    <cellStyle name="Normal 4 10 2 5" xfId="18237" xr:uid="{00000000-0005-0000-0000-000087650000}"/>
    <cellStyle name="Normal 4 10 2 5 2" xfId="18238" xr:uid="{00000000-0005-0000-0000-000088650000}"/>
    <cellStyle name="Normal 4 10 2 5 2 2" xfId="53778" xr:uid="{00000000-0005-0000-0000-000089650000}"/>
    <cellStyle name="Normal 4 10 2 5 2 3" xfId="53779" xr:uid="{00000000-0005-0000-0000-00008A650000}"/>
    <cellStyle name="Normal 4 10 2 5 3" xfId="18239" xr:uid="{00000000-0005-0000-0000-00008B650000}"/>
    <cellStyle name="Normal 4 10 2 5 3 2" xfId="53780" xr:uid="{00000000-0005-0000-0000-00008C650000}"/>
    <cellStyle name="Normal 4 10 2 5 4" xfId="18240" xr:uid="{00000000-0005-0000-0000-00008D650000}"/>
    <cellStyle name="Normal 4 10 2 5 5" xfId="18241" xr:uid="{00000000-0005-0000-0000-00008E650000}"/>
    <cellStyle name="Normal 4 10 2 5 6" xfId="18242" xr:uid="{00000000-0005-0000-0000-00008F650000}"/>
    <cellStyle name="Normal 4 10 2 6" xfId="18243" xr:uid="{00000000-0005-0000-0000-000090650000}"/>
    <cellStyle name="Normal 4 10 2 6 2" xfId="53781" xr:uid="{00000000-0005-0000-0000-000091650000}"/>
    <cellStyle name="Normal 4 10 2 6 3" xfId="53782" xr:uid="{00000000-0005-0000-0000-000092650000}"/>
    <cellStyle name="Normal 4 10 2 7" xfId="18244" xr:uid="{00000000-0005-0000-0000-000093650000}"/>
    <cellStyle name="Normal 4 10 2 7 2" xfId="53783" xr:uid="{00000000-0005-0000-0000-000094650000}"/>
    <cellStyle name="Normal 4 10 2 8" xfId="18245" xr:uid="{00000000-0005-0000-0000-000095650000}"/>
    <cellStyle name="Normal 4 10 2 8 2" xfId="53784" xr:uid="{00000000-0005-0000-0000-000096650000}"/>
    <cellStyle name="Normal 4 10 2 9" xfId="18246" xr:uid="{00000000-0005-0000-0000-000097650000}"/>
    <cellStyle name="Normal 4 10 3" xfId="18247" xr:uid="{00000000-0005-0000-0000-000098650000}"/>
    <cellStyle name="Normal 4 10 3 2" xfId="18248" xr:uid="{00000000-0005-0000-0000-000099650000}"/>
    <cellStyle name="Normal 4 10 3 2 2" xfId="18249" xr:uid="{00000000-0005-0000-0000-00009A650000}"/>
    <cellStyle name="Normal 4 10 3 2 2 2" xfId="18250" xr:uid="{00000000-0005-0000-0000-00009B650000}"/>
    <cellStyle name="Normal 4 10 3 2 2 2 2" xfId="53785" xr:uid="{00000000-0005-0000-0000-00009C650000}"/>
    <cellStyle name="Normal 4 10 3 2 2 2 3" xfId="53786" xr:uid="{00000000-0005-0000-0000-00009D650000}"/>
    <cellStyle name="Normal 4 10 3 2 2 3" xfId="18251" xr:uid="{00000000-0005-0000-0000-00009E650000}"/>
    <cellStyle name="Normal 4 10 3 2 2 3 2" xfId="53787" xr:uid="{00000000-0005-0000-0000-00009F650000}"/>
    <cellStyle name="Normal 4 10 3 2 2 4" xfId="18252" xr:uid="{00000000-0005-0000-0000-0000A0650000}"/>
    <cellStyle name="Normal 4 10 3 2 2 5" xfId="18253" xr:uid="{00000000-0005-0000-0000-0000A1650000}"/>
    <cellStyle name="Normal 4 10 3 2 2 6" xfId="18254" xr:uid="{00000000-0005-0000-0000-0000A2650000}"/>
    <cellStyle name="Normal 4 10 3 2 3" xfId="18255" xr:uid="{00000000-0005-0000-0000-0000A3650000}"/>
    <cellStyle name="Normal 4 10 3 2 3 2" xfId="53788" xr:uid="{00000000-0005-0000-0000-0000A4650000}"/>
    <cellStyle name="Normal 4 10 3 2 3 3" xfId="53789" xr:uid="{00000000-0005-0000-0000-0000A5650000}"/>
    <cellStyle name="Normal 4 10 3 2 4" xfId="18256" xr:uid="{00000000-0005-0000-0000-0000A6650000}"/>
    <cellStyle name="Normal 4 10 3 2 4 2" xfId="53790" xr:uid="{00000000-0005-0000-0000-0000A7650000}"/>
    <cellStyle name="Normal 4 10 3 2 5" xfId="18257" xr:uid="{00000000-0005-0000-0000-0000A8650000}"/>
    <cellStyle name="Normal 4 10 3 2 6" xfId="18258" xr:uid="{00000000-0005-0000-0000-0000A9650000}"/>
    <cellStyle name="Normal 4 10 3 2 7" xfId="18259" xr:uid="{00000000-0005-0000-0000-0000AA650000}"/>
    <cellStyle name="Normal 4 10 3 3" xfId="18260" xr:uid="{00000000-0005-0000-0000-0000AB650000}"/>
    <cellStyle name="Normal 4 10 3 3 2" xfId="18261" xr:uid="{00000000-0005-0000-0000-0000AC650000}"/>
    <cellStyle name="Normal 4 10 3 3 2 2" xfId="53791" xr:uid="{00000000-0005-0000-0000-0000AD650000}"/>
    <cellStyle name="Normal 4 10 3 3 2 3" xfId="53792" xr:uid="{00000000-0005-0000-0000-0000AE650000}"/>
    <cellStyle name="Normal 4 10 3 3 3" xfId="18262" xr:uid="{00000000-0005-0000-0000-0000AF650000}"/>
    <cellStyle name="Normal 4 10 3 3 3 2" xfId="53793" xr:uid="{00000000-0005-0000-0000-0000B0650000}"/>
    <cellStyle name="Normal 4 10 3 3 4" xfId="18263" xr:uid="{00000000-0005-0000-0000-0000B1650000}"/>
    <cellStyle name="Normal 4 10 3 3 5" xfId="18264" xr:uid="{00000000-0005-0000-0000-0000B2650000}"/>
    <cellStyle name="Normal 4 10 3 3 6" xfId="18265" xr:uid="{00000000-0005-0000-0000-0000B3650000}"/>
    <cellStyle name="Normal 4 10 3 4" xfId="18266" xr:uid="{00000000-0005-0000-0000-0000B4650000}"/>
    <cellStyle name="Normal 4 10 3 4 2" xfId="53794" xr:uid="{00000000-0005-0000-0000-0000B5650000}"/>
    <cellStyle name="Normal 4 10 3 4 3" xfId="53795" xr:uid="{00000000-0005-0000-0000-0000B6650000}"/>
    <cellStyle name="Normal 4 10 3 5" xfId="18267" xr:uid="{00000000-0005-0000-0000-0000B7650000}"/>
    <cellStyle name="Normal 4 10 3 5 2" xfId="53796" xr:uid="{00000000-0005-0000-0000-0000B8650000}"/>
    <cellStyle name="Normal 4 10 3 6" xfId="18268" xr:uid="{00000000-0005-0000-0000-0000B9650000}"/>
    <cellStyle name="Normal 4 10 3 7" xfId="18269" xr:uid="{00000000-0005-0000-0000-0000BA650000}"/>
    <cellStyle name="Normal 4 10 3 8" xfId="18270" xr:uid="{00000000-0005-0000-0000-0000BB650000}"/>
    <cellStyle name="Normal 4 10 3 9" xfId="18271" xr:uid="{00000000-0005-0000-0000-0000BC650000}"/>
    <cellStyle name="Normal 4 10 4" xfId="18272" xr:uid="{00000000-0005-0000-0000-0000BD650000}"/>
    <cellStyle name="Normal 4 10 4 2" xfId="18273" xr:uid="{00000000-0005-0000-0000-0000BE650000}"/>
    <cellStyle name="Normal 4 10 4 2 2" xfId="18274" xr:uid="{00000000-0005-0000-0000-0000BF650000}"/>
    <cellStyle name="Normal 4 10 4 2 2 2" xfId="18275" xr:uid="{00000000-0005-0000-0000-0000C0650000}"/>
    <cellStyle name="Normal 4 10 4 2 2 2 2" xfId="53797" xr:uid="{00000000-0005-0000-0000-0000C1650000}"/>
    <cellStyle name="Normal 4 10 4 2 2 2 3" xfId="53798" xr:uid="{00000000-0005-0000-0000-0000C2650000}"/>
    <cellStyle name="Normal 4 10 4 2 2 3" xfId="18276" xr:uid="{00000000-0005-0000-0000-0000C3650000}"/>
    <cellStyle name="Normal 4 10 4 2 2 3 2" xfId="53799" xr:uid="{00000000-0005-0000-0000-0000C4650000}"/>
    <cellStyle name="Normal 4 10 4 2 2 4" xfId="18277" xr:uid="{00000000-0005-0000-0000-0000C5650000}"/>
    <cellStyle name="Normal 4 10 4 2 2 5" xfId="18278" xr:uid="{00000000-0005-0000-0000-0000C6650000}"/>
    <cellStyle name="Normal 4 10 4 2 2 6" xfId="18279" xr:uid="{00000000-0005-0000-0000-0000C7650000}"/>
    <cellStyle name="Normal 4 10 4 2 3" xfId="18280" xr:uid="{00000000-0005-0000-0000-0000C8650000}"/>
    <cellStyle name="Normal 4 10 4 2 3 2" xfId="53800" xr:uid="{00000000-0005-0000-0000-0000C9650000}"/>
    <cellStyle name="Normal 4 10 4 2 3 3" xfId="53801" xr:uid="{00000000-0005-0000-0000-0000CA650000}"/>
    <cellStyle name="Normal 4 10 4 2 4" xfId="18281" xr:uid="{00000000-0005-0000-0000-0000CB650000}"/>
    <cellStyle name="Normal 4 10 4 2 4 2" xfId="53802" xr:uid="{00000000-0005-0000-0000-0000CC650000}"/>
    <cellStyle name="Normal 4 10 4 2 5" xfId="18282" xr:uid="{00000000-0005-0000-0000-0000CD650000}"/>
    <cellStyle name="Normal 4 10 4 2 6" xfId="18283" xr:uid="{00000000-0005-0000-0000-0000CE650000}"/>
    <cellStyle name="Normal 4 10 4 2 7" xfId="18284" xr:uid="{00000000-0005-0000-0000-0000CF650000}"/>
    <cellStyle name="Normal 4 10 4 3" xfId="18285" xr:uid="{00000000-0005-0000-0000-0000D0650000}"/>
    <cellStyle name="Normal 4 10 4 3 2" xfId="18286" xr:uid="{00000000-0005-0000-0000-0000D1650000}"/>
    <cellStyle name="Normal 4 10 4 3 2 2" xfId="53803" xr:uid="{00000000-0005-0000-0000-0000D2650000}"/>
    <cellStyle name="Normal 4 10 4 3 2 3" xfId="53804" xr:uid="{00000000-0005-0000-0000-0000D3650000}"/>
    <cellStyle name="Normal 4 10 4 3 3" xfId="18287" xr:uid="{00000000-0005-0000-0000-0000D4650000}"/>
    <cellStyle name="Normal 4 10 4 3 3 2" xfId="53805" xr:uid="{00000000-0005-0000-0000-0000D5650000}"/>
    <cellStyle name="Normal 4 10 4 3 4" xfId="18288" xr:uid="{00000000-0005-0000-0000-0000D6650000}"/>
    <cellStyle name="Normal 4 10 4 3 5" xfId="18289" xr:uid="{00000000-0005-0000-0000-0000D7650000}"/>
    <cellStyle name="Normal 4 10 4 3 6" xfId="18290" xr:uid="{00000000-0005-0000-0000-0000D8650000}"/>
    <cellStyle name="Normal 4 10 4 4" xfId="18291" xr:uid="{00000000-0005-0000-0000-0000D9650000}"/>
    <cellStyle name="Normal 4 10 4 4 2" xfId="53806" xr:uid="{00000000-0005-0000-0000-0000DA650000}"/>
    <cellStyle name="Normal 4 10 4 4 3" xfId="53807" xr:uid="{00000000-0005-0000-0000-0000DB650000}"/>
    <cellStyle name="Normal 4 10 4 5" xfId="18292" xr:uid="{00000000-0005-0000-0000-0000DC650000}"/>
    <cellStyle name="Normal 4 10 4 5 2" xfId="53808" xr:uid="{00000000-0005-0000-0000-0000DD650000}"/>
    <cellStyle name="Normal 4 10 4 6" xfId="18293" xr:uid="{00000000-0005-0000-0000-0000DE650000}"/>
    <cellStyle name="Normal 4 10 4 7" xfId="18294" xr:uid="{00000000-0005-0000-0000-0000DF650000}"/>
    <cellStyle name="Normal 4 10 4 8" xfId="18295" xr:uid="{00000000-0005-0000-0000-0000E0650000}"/>
    <cellStyle name="Normal 4 10 5" xfId="18296" xr:uid="{00000000-0005-0000-0000-0000E1650000}"/>
    <cellStyle name="Normal 4 10 5 2" xfId="18297" xr:uid="{00000000-0005-0000-0000-0000E2650000}"/>
    <cellStyle name="Normal 4 10 5 2 2" xfId="18298" xr:uid="{00000000-0005-0000-0000-0000E3650000}"/>
    <cellStyle name="Normal 4 10 5 2 2 2" xfId="53809" xr:uid="{00000000-0005-0000-0000-0000E4650000}"/>
    <cellStyle name="Normal 4 10 5 2 2 3" xfId="53810" xr:uid="{00000000-0005-0000-0000-0000E5650000}"/>
    <cellStyle name="Normal 4 10 5 2 3" xfId="18299" xr:uid="{00000000-0005-0000-0000-0000E6650000}"/>
    <cellStyle name="Normal 4 10 5 2 3 2" xfId="53811" xr:uid="{00000000-0005-0000-0000-0000E7650000}"/>
    <cellStyle name="Normal 4 10 5 2 4" xfId="18300" xr:uid="{00000000-0005-0000-0000-0000E8650000}"/>
    <cellStyle name="Normal 4 10 5 2 5" xfId="18301" xr:uid="{00000000-0005-0000-0000-0000E9650000}"/>
    <cellStyle name="Normal 4 10 5 2 6" xfId="18302" xr:uid="{00000000-0005-0000-0000-0000EA650000}"/>
    <cellStyle name="Normal 4 10 5 3" xfId="18303" xr:uid="{00000000-0005-0000-0000-0000EB650000}"/>
    <cellStyle name="Normal 4 10 5 3 2" xfId="53812" xr:uid="{00000000-0005-0000-0000-0000EC650000}"/>
    <cellStyle name="Normal 4 10 5 3 3" xfId="53813" xr:uid="{00000000-0005-0000-0000-0000ED650000}"/>
    <cellStyle name="Normal 4 10 5 4" xfId="18304" xr:uid="{00000000-0005-0000-0000-0000EE650000}"/>
    <cellStyle name="Normal 4 10 5 4 2" xfId="53814" xr:uid="{00000000-0005-0000-0000-0000EF650000}"/>
    <cellStyle name="Normal 4 10 5 5" xfId="18305" xr:uid="{00000000-0005-0000-0000-0000F0650000}"/>
    <cellStyle name="Normal 4 10 5 6" xfId="18306" xr:uid="{00000000-0005-0000-0000-0000F1650000}"/>
    <cellStyle name="Normal 4 10 5 7" xfId="18307" xr:uid="{00000000-0005-0000-0000-0000F2650000}"/>
    <cellStyle name="Normal 4 10 6" xfId="18308" xr:uid="{00000000-0005-0000-0000-0000F3650000}"/>
    <cellStyle name="Normal 4 10 6 2" xfId="18309" xr:uid="{00000000-0005-0000-0000-0000F4650000}"/>
    <cellStyle name="Normal 4 10 6 2 2" xfId="53815" xr:uid="{00000000-0005-0000-0000-0000F5650000}"/>
    <cellStyle name="Normal 4 10 6 2 3" xfId="53816" xr:uid="{00000000-0005-0000-0000-0000F6650000}"/>
    <cellStyle name="Normal 4 10 6 3" xfId="18310" xr:uid="{00000000-0005-0000-0000-0000F7650000}"/>
    <cellStyle name="Normal 4 10 6 3 2" xfId="53817" xr:uid="{00000000-0005-0000-0000-0000F8650000}"/>
    <cellStyle name="Normal 4 10 6 4" xfId="18311" xr:uid="{00000000-0005-0000-0000-0000F9650000}"/>
    <cellStyle name="Normal 4 10 6 5" xfId="18312" xr:uid="{00000000-0005-0000-0000-0000FA650000}"/>
    <cellStyle name="Normal 4 10 6 6" xfId="18313" xr:uid="{00000000-0005-0000-0000-0000FB650000}"/>
    <cellStyle name="Normal 4 10 7" xfId="18314" xr:uid="{00000000-0005-0000-0000-0000FC650000}"/>
    <cellStyle name="Normal 4 10 7 2" xfId="53818" xr:uid="{00000000-0005-0000-0000-0000FD650000}"/>
    <cellStyle name="Normal 4 10 7 3" xfId="53819" xr:uid="{00000000-0005-0000-0000-0000FE650000}"/>
    <cellStyle name="Normal 4 10 8" xfId="18315" xr:uid="{00000000-0005-0000-0000-0000FF650000}"/>
    <cellStyle name="Normal 4 10 8 2" xfId="53820" xr:uid="{00000000-0005-0000-0000-000000660000}"/>
    <cellStyle name="Normal 4 10 9" xfId="18316" xr:uid="{00000000-0005-0000-0000-000001660000}"/>
    <cellStyle name="Normal 4 10 9 2" xfId="53821" xr:uid="{00000000-0005-0000-0000-000002660000}"/>
    <cellStyle name="Normal 4 11" xfId="18317" xr:uid="{00000000-0005-0000-0000-000003660000}"/>
    <cellStyle name="Normal 4 11 10" xfId="18318" xr:uid="{00000000-0005-0000-0000-000004660000}"/>
    <cellStyle name="Normal 4 11 11" xfId="18319" xr:uid="{00000000-0005-0000-0000-000005660000}"/>
    <cellStyle name="Normal 4 11 12" xfId="18320" xr:uid="{00000000-0005-0000-0000-000006660000}"/>
    <cellStyle name="Normal 4 11 13" xfId="18321" xr:uid="{00000000-0005-0000-0000-000007660000}"/>
    <cellStyle name="Normal 4 11 14" xfId="18322" xr:uid="{00000000-0005-0000-0000-000008660000}"/>
    <cellStyle name="Normal 4 11 15" xfId="18323" xr:uid="{00000000-0005-0000-0000-000009660000}"/>
    <cellStyle name="Normal 4 11 2" xfId="18324" xr:uid="{00000000-0005-0000-0000-00000A660000}"/>
    <cellStyle name="Normal 4 11 2 10" xfId="18325" xr:uid="{00000000-0005-0000-0000-00000B660000}"/>
    <cellStyle name="Normal 4 11 2 11" xfId="18326" xr:uid="{00000000-0005-0000-0000-00000C660000}"/>
    <cellStyle name="Normal 4 11 2 12" xfId="18327" xr:uid="{00000000-0005-0000-0000-00000D660000}"/>
    <cellStyle name="Normal 4 11 2 13" xfId="18328" xr:uid="{00000000-0005-0000-0000-00000E660000}"/>
    <cellStyle name="Normal 4 11 2 14" xfId="18329" xr:uid="{00000000-0005-0000-0000-00000F660000}"/>
    <cellStyle name="Normal 4 11 2 2" xfId="18330" xr:uid="{00000000-0005-0000-0000-000010660000}"/>
    <cellStyle name="Normal 4 11 2 2 2" xfId="18331" xr:uid="{00000000-0005-0000-0000-000011660000}"/>
    <cellStyle name="Normal 4 11 2 2 2 2" xfId="18332" xr:uid="{00000000-0005-0000-0000-000012660000}"/>
    <cellStyle name="Normal 4 11 2 2 2 2 2" xfId="18333" xr:uid="{00000000-0005-0000-0000-000013660000}"/>
    <cellStyle name="Normal 4 11 2 2 2 2 2 2" xfId="53822" xr:uid="{00000000-0005-0000-0000-000014660000}"/>
    <cellStyle name="Normal 4 11 2 2 2 2 2 3" xfId="53823" xr:uid="{00000000-0005-0000-0000-000015660000}"/>
    <cellStyle name="Normal 4 11 2 2 2 2 3" xfId="18334" xr:uid="{00000000-0005-0000-0000-000016660000}"/>
    <cellStyle name="Normal 4 11 2 2 2 2 3 2" xfId="53824" xr:uid="{00000000-0005-0000-0000-000017660000}"/>
    <cellStyle name="Normal 4 11 2 2 2 2 4" xfId="18335" xr:uid="{00000000-0005-0000-0000-000018660000}"/>
    <cellStyle name="Normal 4 11 2 2 2 2 5" xfId="18336" xr:uid="{00000000-0005-0000-0000-000019660000}"/>
    <cellStyle name="Normal 4 11 2 2 2 2 6" xfId="18337" xr:uid="{00000000-0005-0000-0000-00001A660000}"/>
    <cellStyle name="Normal 4 11 2 2 2 3" xfId="18338" xr:uid="{00000000-0005-0000-0000-00001B660000}"/>
    <cellStyle name="Normal 4 11 2 2 2 3 2" xfId="53825" xr:uid="{00000000-0005-0000-0000-00001C660000}"/>
    <cellStyle name="Normal 4 11 2 2 2 3 3" xfId="53826" xr:uid="{00000000-0005-0000-0000-00001D660000}"/>
    <cellStyle name="Normal 4 11 2 2 2 4" xfId="18339" xr:uid="{00000000-0005-0000-0000-00001E660000}"/>
    <cellStyle name="Normal 4 11 2 2 2 4 2" xfId="53827" xr:uid="{00000000-0005-0000-0000-00001F660000}"/>
    <cellStyle name="Normal 4 11 2 2 2 5" xfId="18340" xr:uid="{00000000-0005-0000-0000-000020660000}"/>
    <cellStyle name="Normal 4 11 2 2 2 6" xfId="18341" xr:uid="{00000000-0005-0000-0000-000021660000}"/>
    <cellStyle name="Normal 4 11 2 2 2 7" xfId="18342" xr:uid="{00000000-0005-0000-0000-000022660000}"/>
    <cellStyle name="Normal 4 11 2 2 3" xfId="18343" xr:uid="{00000000-0005-0000-0000-000023660000}"/>
    <cellStyle name="Normal 4 11 2 2 3 2" xfId="18344" xr:uid="{00000000-0005-0000-0000-000024660000}"/>
    <cellStyle name="Normal 4 11 2 2 3 2 2" xfId="53828" xr:uid="{00000000-0005-0000-0000-000025660000}"/>
    <cellStyle name="Normal 4 11 2 2 3 2 3" xfId="53829" xr:uid="{00000000-0005-0000-0000-000026660000}"/>
    <cellStyle name="Normal 4 11 2 2 3 3" xfId="18345" xr:uid="{00000000-0005-0000-0000-000027660000}"/>
    <cellStyle name="Normal 4 11 2 2 3 3 2" xfId="53830" xr:uid="{00000000-0005-0000-0000-000028660000}"/>
    <cellStyle name="Normal 4 11 2 2 3 4" xfId="18346" xr:uid="{00000000-0005-0000-0000-000029660000}"/>
    <cellStyle name="Normal 4 11 2 2 3 5" xfId="18347" xr:uid="{00000000-0005-0000-0000-00002A660000}"/>
    <cellStyle name="Normal 4 11 2 2 3 6" xfId="18348" xr:uid="{00000000-0005-0000-0000-00002B660000}"/>
    <cellStyle name="Normal 4 11 2 2 4" xfId="18349" xr:uid="{00000000-0005-0000-0000-00002C660000}"/>
    <cellStyle name="Normal 4 11 2 2 4 2" xfId="53831" xr:uid="{00000000-0005-0000-0000-00002D660000}"/>
    <cellStyle name="Normal 4 11 2 2 4 3" xfId="53832" xr:uid="{00000000-0005-0000-0000-00002E660000}"/>
    <cellStyle name="Normal 4 11 2 2 5" xfId="18350" xr:uid="{00000000-0005-0000-0000-00002F660000}"/>
    <cellStyle name="Normal 4 11 2 2 5 2" xfId="53833" xr:uid="{00000000-0005-0000-0000-000030660000}"/>
    <cellStyle name="Normal 4 11 2 2 6" xfId="18351" xr:uid="{00000000-0005-0000-0000-000031660000}"/>
    <cellStyle name="Normal 4 11 2 2 7" xfId="18352" xr:uid="{00000000-0005-0000-0000-000032660000}"/>
    <cellStyle name="Normal 4 11 2 2 8" xfId="18353" xr:uid="{00000000-0005-0000-0000-000033660000}"/>
    <cellStyle name="Normal 4 11 2 2 9" xfId="18354" xr:uid="{00000000-0005-0000-0000-000034660000}"/>
    <cellStyle name="Normal 4 11 2 3" xfId="18355" xr:uid="{00000000-0005-0000-0000-000035660000}"/>
    <cellStyle name="Normal 4 11 2 3 2" xfId="18356" xr:uid="{00000000-0005-0000-0000-000036660000}"/>
    <cellStyle name="Normal 4 11 2 3 2 2" xfId="18357" xr:uid="{00000000-0005-0000-0000-000037660000}"/>
    <cellStyle name="Normal 4 11 2 3 2 2 2" xfId="18358" xr:uid="{00000000-0005-0000-0000-000038660000}"/>
    <cellStyle name="Normal 4 11 2 3 2 2 2 2" xfId="53834" xr:uid="{00000000-0005-0000-0000-000039660000}"/>
    <cellStyle name="Normal 4 11 2 3 2 2 2 3" xfId="53835" xr:uid="{00000000-0005-0000-0000-00003A660000}"/>
    <cellStyle name="Normal 4 11 2 3 2 2 3" xfId="18359" xr:uid="{00000000-0005-0000-0000-00003B660000}"/>
    <cellStyle name="Normal 4 11 2 3 2 2 3 2" xfId="53836" xr:uid="{00000000-0005-0000-0000-00003C660000}"/>
    <cellStyle name="Normal 4 11 2 3 2 2 4" xfId="18360" xr:uid="{00000000-0005-0000-0000-00003D660000}"/>
    <cellStyle name="Normal 4 11 2 3 2 2 5" xfId="18361" xr:uid="{00000000-0005-0000-0000-00003E660000}"/>
    <cellStyle name="Normal 4 11 2 3 2 2 6" xfId="18362" xr:uid="{00000000-0005-0000-0000-00003F660000}"/>
    <cellStyle name="Normal 4 11 2 3 2 3" xfId="18363" xr:uid="{00000000-0005-0000-0000-000040660000}"/>
    <cellStyle name="Normal 4 11 2 3 2 3 2" xfId="53837" xr:uid="{00000000-0005-0000-0000-000041660000}"/>
    <cellStyle name="Normal 4 11 2 3 2 3 3" xfId="53838" xr:uid="{00000000-0005-0000-0000-000042660000}"/>
    <cellStyle name="Normal 4 11 2 3 2 4" xfId="18364" xr:uid="{00000000-0005-0000-0000-000043660000}"/>
    <cellStyle name="Normal 4 11 2 3 2 4 2" xfId="53839" xr:uid="{00000000-0005-0000-0000-000044660000}"/>
    <cellStyle name="Normal 4 11 2 3 2 5" xfId="18365" xr:uid="{00000000-0005-0000-0000-000045660000}"/>
    <cellStyle name="Normal 4 11 2 3 2 6" xfId="18366" xr:uid="{00000000-0005-0000-0000-000046660000}"/>
    <cellStyle name="Normal 4 11 2 3 2 7" xfId="18367" xr:uid="{00000000-0005-0000-0000-000047660000}"/>
    <cellStyle name="Normal 4 11 2 3 3" xfId="18368" xr:uid="{00000000-0005-0000-0000-000048660000}"/>
    <cellStyle name="Normal 4 11 2 3 3 2" xfId="18369" xr:uid="{00000000-0005-0000-0000-000049660000}"/>
    <cellStyle name="Normal 4 11 2 3 3 2 2" xfId="53840" xr:uid="{00000000-0005-0000-0000-00004A660000}"/>
    <cellStyle name="Normal 4 11 2 3 3 2 3" xfId="53841" xr:uid="{00000000-0005-0000-0000-00004B660000}"/>
    <cellStyle name="Normal 4 11 2 3 3 3" xfId="18370" xr:uid="{00000000-0005-0000-0000-00004C660000}"/>
    <cellStyle name="Normal 4 11 2 3 3 3 2" xfId="53842" xr:uid="{00000000-0005-0000-0000-00004D660000}"/>
    <cellStyle name="Normal 4 11 2 3 3 4" xfId="18371" xr:uid="{00000000-0005-0000-0000-00004E660000}"/>
    <cellStyle name="Normal 4 11 2 3 3 5" xfId="18372" xr:uid="{00000000-0005-0000-0000-00004F660000}"/>
    <cellStyle name="Normal 4 11 2 3 3 6" xfId="18373" xr:uid="{00000000-0005-0000-0000-000050660000}"/>
    <cellStyle name="Normal 4 11 2 3 4" xfId="18374" xr:uid="{00000000-0005-0000-0000-000051660000}"/>
    <cellStyle name="Normal 4 11 2 3 4 2" xfId="53843" xr:uid="{00000000-0005-0000-0000-000052660000}"/>
    <cellStyle name="Normal 4 11 2 3 4 3" xfId="53844" xr:uid="{00000000-0005-0000-0000-000053660000}"/>
    <cellStyle name="Normal 4 11 2 3 5" xfId="18375" xr:uid="{00000000-0005-0000-0000-000054660000}"/>
    <cellStyle name="Normal 4 11 2 3 5 2" xfId="53845" xr:uid="{00000000-0005-0000-0000-000055660000}"/>
    <cellStyle name="Normal 4 11 2 3 6" xfId="18376" xr:uid="{00000000-0005-0000-0000-000056660000}"/>
    <cellStyle name="Normal 4 11 2 3 7" xfId="18377" xr:uid="{00000000-0005-0000-0000-000057660000}"/>
    <cellStyle name="Normal 4 11 2 3 8" xfId="18378" xr:uid="{00000000-0005-0000-0000-000058660000}"/>
    <cellStyle name="Normal 4 11 2 4" xfId="18379" xr:uid="{00000000-0005-0000-0000-000059660000}"/>
    <cellStyle name="Normal 4 11 2 4 2" xfId="18380" xr:uid="{00000000-0005-0000-0000-00005A660000}"/>
    <cellStyle name="Normal 4 11 2 4 2 2" xfId="18381" xr:uid="{00000000-0005-0000-0000-00005B660000}"/>
    <cellStyle name="Normal 4 11 2 4 2 2 2" xfId="53846" xr:uid="{00000000-0005-0000-0000-00005C660000}"/>
    <cellStyle name="Normal 4 11 2 4 2 2 3" xfId="53847" xr:uid="{00000000-0005-0000-0000-00005D660000}"/>
    <cellStyle name="Normal 4 11 2 4 2 3" xfId="18382" xr:uid="{00000000-0005-0000-0000-00005E660000}"/>
    <cellStyle name="Normal 4 11 2 4 2 3 2" xfId="53848" xr:uid="{00000000-0005-0000-0000-00005F660000}"/>
    <cellStyle name="Normal 4 11 2 4 2 4" xfId="18383" xr:uid="{00000000-0005-0000-0000-000060660000}"/>
    <cellStyle name="Normal 4 11 2 4 2 5" xfId="18384" xr:uid="{00000000-0005-0000-0000-000061660000}"/>
    <cellStyle name="Normal 4 11 2 4 2 6" xfId="18385" xr:uid="{00000000-0005-0000-0000-000062660000}"/>
    <cellStyle name="Normal 4 11 2 4 3" xfId="18386" xr:uid="{00000000-0005-0000-0000-000063660000}"/>
    <cellStyle name="Normal 4 11 2 4 3 2" xfId="53849" xr:uid="{00000000-0005-0000-0000-000064660000}"/>
    <cellStyle name="Normal 4 11 2 4 3 3" xfId="53850" xr:uid="{00000000-0005-0000-0000-000065660000}"/>
    <cellStyle name="Normal 4 11 2 4 4" xfId="18387" xr:uid="{00000000-0005-0000-0000-000066660000}"/>
    <cellStyle name="Normal 4 11 2 4 4 2" xfId="53851" xr:uid="{00000000-0005-0000-0000-000067660000}"/>
    <cellStyle name="Normal 4 11 2 4 5" xfId="18388" xr:uid="{00000000-0005-0000-0000-000068660000}"/>
    <cellStyle name="Normal 4 11 2 4 6" xfId="18389" xr:uid="{00000000-0005-0000-0000-000069660000}"/>
    <cellStyle name="Normal 4 11 2 4 7" xfId="18390" xr:uid="{00000000-0005-0000-0000-00006A660000}"/>
    <cellStyle name="Normal 4 11 2 5" xfId="18391" xr:uid="{00000000-0005-0000-0000-00006B660000}"/>
    <cellStyle name="Normal 4 11 2 5 2" xfId="18392" xr:uid="{00000000-0005-0000-0000-00006C660000}"/>
    <cellStyle name="Normal 4 11 2 5 2 2" xfId="53852" xr:uid="{00000000-0005-0000-0000-00006D660000}"/>
    <cellStyle name="Normal 4 11 2 5 2 3" xfId="53853" xr:uid="{00000000-0005-0000-0000-00006E660000}"/>
    <cellStyle name="Normal 4 11 2 5 3" xfId="18393" xr:uid="{00000000-0005-0000-0000-00006F660000}"/>
    <cellStyle name="Normal 4 11 2 5 3 2" xfId="53854" xr:uid="{00000000-0005-0000-0000-000070660000}"/>
    <cellStyle name="Normal 4 11 2 5 4" xfId="18394" xr:uid="{00000000-0005-0000-0000-000071660000}"/>
    <cellStyle name="Normal 4 11 2 5 5" xfId="18395" xr:uid="{00000000-0005-0000-0000-000072660000}"/>
    <cellStyle name="Normal 4 11 2 5 6" xfId="18396" xr:uid="{00000000-0005-0000-0000-000073660000}"/>
    <cellStyle name="Normal 4 11 2 6" xfId="18397" xr:uid="{00000000-0005-0000-0000-000074660000}"/>
    <cellStyle name="Normal 4 11 2 6 2" xfId="53855" xr:uid="{00000000-0005-0000-0000-000075660000}"/>
    <cellStyle name="Normal 4 11 2 6 3" xfId="53856" xr:uid="{00000000-0005-0000-0000-000076660000}"/>
    <cellStyle name="Normal 4 11 2 7" xfId="18398" xr:uid="{00000000-0005-0000-0000-000077660000}"/>
    <cellStyle name="Normal 4 11 2 7 2" xfId="53857" xr:uid="{00000000-0005-0000-0000-000078660000}"/>
    <cellStyle name="Normal 4 11 2 8" xfId="18399" xr:uid="{00000000-0005-0000-0000-000079660000}"/>
    <cellStyle name="Normal 4 11 2 9" xfId="18400" xr:uid="{00000000-0005-0000-0000-00007A660000}"/>
    <cellStyle name="Normal 4 11 3" xfId="18401" xr:uid="{00000000-0005-0000-0000-00007B660000}"/>
    <cellStyle name="Normal 4 11 3 2" xfId="18402" xr:uid="{00000000-0005-0000-0000-00007C660000}"/>
    <cellStyle name="Normal 4 11 3 2 2" xfId="18403" xr:uid="{00000000-0005-0000-0000-00007D660000}"/>
    <cellStyle name="Normal 4 11 3 2 2 2" xfId="18404" xr:uid="{00000000-0005-0000-0000-00007E660000}"/>
    <cellStyle name="Normal 4 11 3 2 2 2 2" xfId="53858" xr:uid="{00000000-0005-0000-0000-00007F660000}"/>
    <cellStyle name="Normal 4 11 3 2 2 2 3" xfId="53859" xr:uid="{00000000-0005-0000-0000-000080660000}"/>
    <cellStyle name="Normal 4 11 3 2 2 3" xfId="18405" xr:uid="{00000000-0005-0000-0000-000081660000}"/>
    <cellStyle name="Normal 4 11 3 2 2 3 2" xfId="53860" xr:uid="{00000000-0005-0000-0000-000082660000}"/>
    <cellStyle name="Normal 4 11 3 2 2 4" xfId="18406" xr:uid="{00000000-0005-0000-0000-000083660000}"/>
    <cellStyle name="Normal 4 11 3 2 2 5" xfId="18407" xr:uid="{00000000-0005-0000-0000-000084660000}"/>
    <cellStyle name="Normal 4 11 3 2 2 6" xfId="18408" xr:uid="{00000000-0005-0000-0000-000085660000}"/>
    <cellStyle name="Normal 4 11 3 2 3" xfId="18409" xr:uid="{00000000-0005-0000-0000-000086660000}"/>
    <cellStyle name="Normal 4 11 3 2 3 2" xfId="53861" xr:uid="{00000000-0005-0000-0000-000087660000}"/>
    <cellStyle name="Normal 4 11 3 2 3 3" xfId="53862" xr:uid="{00000000-0005-0000-0000-000088660000}"/>
    <cellStyle name="Normal 4 11 3 2 4" xfId="18410" xr:uid="{00000000-0005-0000-0000-000089660000}"/>
    <cellStyle name="Normal 4 11 3 2 4 2" xfId="53863" xr:uid="{00000000-0005-0000-0000-00008A660000}"/>
    <cellStyle name="Normal 4 11 3 2 5" xfId="18411" xr:uid="{00000000-0005-0000-0000-00008B660000}"/>
    <cellStyle name="Normal 4 11 3 2 6" xfId="18412" xr:uid="{00000000-0005-0000-0000-00008C660000}"/>
    <cellStyle name="Normal 4 11 3 2 7" xfId="18413" xr:uid="{00000000-0005-0000-0000-00008D660000}"/>
    <cellStyle name="Normal 4 11 3 3" xfId="18414" xr:uid="{00000000-0005-0000-0000-00008E660000}"/>
    <cellStyle name="Normal 4 11 3 3 2" xfId="18415" xr:uid="{00000000-0005-0000-0000-00008F660000}"/>
    <cellStyle name="Normal 4 11 3 3 2 2" xfId="53864" xr:uid="{00000000-0005-0000-0000-000090660000}"/>
    <cellStyle name="Normal 4 11 3 3 2 3" xfId="53865" xr:uid="{00000000-0005-0000-0000-000091660000}"/>
    <cellStyle name="Normal 4 11 3 3 3" xfId="18416" xr:uid="{00000000-0005-0000-0000-000092660000}"/>
    <cellStyle name="Normal 4 11 3 3 3 2" xfId="53866" xr:uid="{00000000-0005-0000-0000-000093660000}"/>
    <cellStyle name="Normal 4 11 3 3 4" xfId="18417" xr:uid="{00000000-0005-0000-0000-000094660000}"/>
    <cellStyle name="Normal 4 11 3 3 5" xfId="18418" xr:uid="{00000000-0005-0000-0000-000095660000}"/>
    <cellStyle name="Normal 4 11 3 3 6" xfId="18419" xr:uid="{00000000-0005-0000-0000-000096660000}"/>
    <cellStyle name="Normal 4 11 3 4" xfId="18420" xr:uid="{00000000-0005-0000-0000-000097660000}"/>
    <cellStyle name="Normal 4 11 3 4 2" xfId="53867" xr:uid="{00000000-0005-0000-0000-000098660000}"/>
    <cellStyle name="Normal 4 11 3 4 3" xfId="53868" xr:uid="{00000000-0005-0000-0000-000099660000}"/>
    <cellStyle name="Normal 4 11 3 5" xfId="18421" xr:uid="{00000000-0005-0000-0000-00009A660000}"/>
    <cellStyle name="Normal 4 11 3 5 2" xfId="53869" xr:uid="{00000000-0005-0000-0000-00009B660000}"/>
    <cellStyle name="Normal 4 11 3 6" xfId="18422" xr:uid="{00000000-0005-0000-0000-00009C660000}"/>
    <cellStyle name="Normal 4 11 3 7" xfId="18423" xr:uid="{00000000-0005-0000-0000-00009D660000}"/>
    <cellStyle name="Normal 4 11 3 8" xfId="18424" xr:uid="{00000000-0005-0000-0000-00009E660000}"/>
    <cellStyle name="Normal 4 11 3 9" xfId="18425" xr:uid="{00000000-0005-0000-0000-00009F660000}"/>
    <cellStyle name="Normal 4 11 4" xfId="18426" xr:uid="{00000000-0005-0000-0000-0000A0660000}"/>
    <cellStyle name="Normal 4 11 4 2" xfId="18427" xr:uid="{00000000-0005-0000-0000-0000A1660000}"/>
    <cellStyle name="Normal 4 11 4 2 2" xfId="18428" xr:uid="{00000000-0005-0000-0000-0000A2660000}"/>
    <cellStyle name="Normal 4 11 4 2 2 2" xfId="18429" xr:uid="{00000000-0005-0000-0000-0000A3660000}"/>
    <cellStyle name="Normal 4 11 4 2 2 2 2" xfId="53870" xr:uid="{00000000-0005-0000-0000-0000A4660000}"/>
    <cellStyle name="Normal 4 11 4 2 2 2 3" xfId="53871" xr:uid="{00000000-0005-0000-0000-0000A5660000}"/>
    <cellStyle name="Normal 4 11 4 2 2 3" xfId="18430" xr:uid="{00000000-0005-0000-0000-0000A6660000}"/>
    <cellStyle name="Normal 4 11 4 2 2 3 2" xfId="53872" xr:uid="{00000000-0005-0000-0000-0000A7660000}"/>
    <cellStyle name="Normal 4 11 4 2 2 4" xfId="18431" xr:uid="{00000000-0005-0000-0000-0000A8660000}"/>
    <cellStyle name="Normal 4 11 4 2 2 5" xfId="18432" xr:uid="{00000000-0005-0000-0000-0000A9660000}"/>
    <cellStyle name="Normal 4 11 4 2 2 6" xfId="18433" xr:uid="{00000000-0005-0000-0000-0000AA660000}"/>
    <cellStyle name="Normal 4 11 4 2 3" xfId="18434" xr:uid="{00000000-0005-0000-0000-0000AB660000}"/>
    <cellStyle name="Normal 4 11 4 2 3 2" xfId="53873" xr:uid="{00000000-0005-0000-0000-0000AC660000}"/>
    <cellStyle name="Normal 4 11 4 2 3 3" xfId="53874" xr:uid="{00000000-0005-0000-0000-0000AD660000}"/>
    <cellStyle name="Normal 4 11 4 2 4" xfId="18435" xr:uid="{00000000-0005-0000-0000-0000AE660000}"/>
    <cellStyle name="Normal 4 11 4 2 4 2" xfId="53875" xr:uid="{00000000-0005-0000-0000-0000AF660000}"/>
    <cellStyle name="Normal 4 11 4 2 5" xfId="18436" xr:uid="{00000000-0005-0000-0000-0000B0660000}"/>
    <cellStyle name="Normal 4 11 4 2 6" xfId="18437" xr:uid="{00000000-0005-0000-0000-0000B1660000}"/>
    <cellStyle name="Normal 4 11 4 2 7" xfId="18438" xr:uid="{00000000-0005-0000-0000-0000B2660000}"/>
    <cellStyle name="Normal 4 11 4 3" xfId="18439" xr:uid="{00000000-0005-0000-0000-0000B3660000}"/>
    <cellStyle name="Normal 4 11 4 3 2" xfId="18440" xr:uid="{00000000-0005-0000-0000-0000B4660000}"/>
    <cellStyle name="Normal 4 11 4 3 2 2" xfId="53876" xr:uid="{00000000-0005-0000-0000-0000B5660000}"/>
    <cellStyle name="Normal 4 11 4 3 2 3" xfId="53877" xr:uid="{00000000-0005-0000-0000-0000B6660000}"/>
    <cellStyle name="Normal 4 11 4 3 3" xfId="18441" xr:uid="{00000000-0005-0000-0000-0000B7660000}"/>
    <cellStyle name="Normal 4 11 4 3 3 2" xfId="53878" xr:uid="{00000000-0005-0000-0000-0000B8660000}"/>
    <cellStyle name="Normal 4 11 4 3 4" xfId="18442" xr:uid="{00000000-0005-0000-0000-0000B9660000}"/>
    <cellStyle name="Normal 4 11 4 3 5" xfId="18443" xr:uid="{00000000-0005-0000-0000-0000BA660000}"/>
    <cellStyle name="Normal 4 11 4 3 6" xfId="18444" xr:uid="{00000000-0005-0000-0000-0000BB660000}"/>
    <cellStyle name="Normal 4 11 4 4" xfId="18445" xr:uid="{00000000-0005-0000-0000-0000BC660000}"/>
    <cellStyle name="Normal 4 11 4 4 2" xfId="53879" xr:uid="{00000000-0005-0000-0000-0000BD660000}"/>
    <cellStyle name="Normal 4 11 4 4 3" xfId="53880" xr:uid="{00000000-0005-0000-0000-0000BE660000}"/>
    <cellStyle name="Normal 4 11 4 5" xfId="18446" xr:uid="{00000000-0005-0000-0000-0000BF660000}"/>
    <cellStyle name="Normal 4 11 4 5 2" xfId="53881" xr:uid="{00000000-0005-0000-0000-0000C0660000}"/>
    <cellStyle name="Normal 4 11 4 6" xfId="18447" xr:uid="{00000000-0005-0000-0000-0000C1660000}"/>
    <cellStyle name="Normal 4 11 4 7" xfId="18448" xr:uid="{00000000-0005-0000-0000-0000C2660000}"/>
    <cellStyle name="Normal 4 11 4 8" xfId="18449" xr:uid="{00000000-0005-0000-0000-0000C3660000}"/>
    <cellStyle name="Normal 4 11 5" xfId="18450" xr:uid="{00000000-0005-0000-0000-0000C4660000}"/>
    <cellStyle name="Normal 4 11 5 2" xfId="18451" xr:uid="{00000000-0005-0000-0000-0000C5660000}"/>
    <cellStyle name="Normal 4 11 5 2 2" xfId="18452" xr:uid="{00000000-0005-0000-0000-0000C6660000}"/>
    <cellStyle name="Normal 4 11 5 2 2 2" xfId="53882" xr:uid="{00000000-0005-0000-0000-0000C7660000}"/>
    <cellStyle name="Normal 4 11 5 2 2 3" xfId="53883" xr:uid="{00000000-0005-0000-0000-0000C8660000}"/>
    <cellStyle name="Normal 4 11 5 2 3" xfId="18453" xr:uid="{00000000-0005-0000-0000-0000C9660000}"/>
    <cellStyle name="Normal 4 11 5 2 3 2" xfId="53884" xr:uid="{00000000-0005-0000-0000-0000CA660000}"/>
    <cellStyle name="Normal 4 11 5 2 4" xfId="18454" xr:uid="{00000000-0005-0000-0000-0000CB660000}"/>
    <cellStyle name="Normal 4 11 5 2 5" xfId="18455" xr:uid="{00000000-0005-0000-0000-0000CC660000}"/>
    <cellStyle name="Normal 4 11 5 2 6" xfId="18456" xr:uid="{00000000-0005-0000-0000-0000CD660000}"/>
    <cellStyle name="Normal 4 11 5 3" xfId="18457" xr:uid="{00000000-0005-0000-0000-0000CE660000}"/>
    <cellStyle name="Normal 4 11 5 3 2" xfId="53885" xr:uid="{00000000-0005-0000-0000-0000CF660000}"/>
    <cellStyle name="Normal 4 11 5 3 3" xfId="53886" xr:uid="{00000000-0005-0000-0000-0000D0660000}"/>
    <cellStyle name="Normal 4 11 5 4" xfId="18458" xr:uid="{00000000-0005-0000-0000-0000D1660000}"/>
    <cellStyle name="Normal 4 11 5 4 2" xfId="53887" xr:uid="{00000000-0005-0000-0000-0000D2660000}"/>
    <cellStyle name="Normal 4 11 5 5" xfId="18459" xr:uid="{00000000-0005-0000-0000-0000D3660000}"/>
    <cellStyle name="Normal 4 11 5 6" xfId="18460" xr:uid="{00000000-0005-0000-0000-0000D4660000}"/>
    <cellStyle name="Normal 4 11 5 7" xfId="18461" xr:uid="{00000000-0005-0000-0000-0000D5660000}"/>
    <cellStyle name="Normal 4 11 6" xfId="18462" xr:uid="{00000000-0005-0000-0000-0000D6660000}"/>
    <cellStyle name="Normal 4 11 6 2" xfId="18463" xr:uid="{00000000-0005-0000-0000-0000D7660000}"/>
    <cellStyle name="Normal 4 11 6 2 2" xfId="53888" xr:uid="{00000000-0005-0000-0000-0000D8660000}"/>
    <cellStyle name="Normal 4 11 6 2 3" xfId="53889" xr:uid="{00000000-0005-0000-0000-0000D9660000}"/>
    <cellStyle name="Normal 4 11 6 3" xfId="18464" xr:uid="{00000000-0005-0000-0000-0000DA660000}"/>
    <cellStyle name="Normal 4 11 6 3 2" xfId="53890" xr:uid="{00000000-0005-0000-0000-0000DB660000}"/>
    <cellStyle name="Normal 4 11 6 4" xfId="18465" xr:uid="{00000000-0005-0000-0000-0000DC660000}"/>
    <cellStyle name="Normal 4 11 6 5" xfId="18466" xr:uid="{00000000-0005-0000-0000-0000DD660000}"/>
    <cellStyle name="Normal 4 11 6 6" xfId="18467" xr:uid="{00000000-0005-0000-0000-0000DE660000}"/>
    <cellStyle name="Normal 4 11 7" xfId="18468" xr:uid="{00000000-0005-0000-0000-0000DF660000}"/>
    <cellStyle name="Normal 4 11 7 2" xfId="53891" xr:uid="{00000000-0005-0000-0000-0000E0660000}"/>
    <cellStyle name="Normal 4 11 7 3" xfId="53892" xr:uid="{00000000-0005-0000-0000-0000E1660000}"/>
    <cellStyle name="Normal 4 11 8" xfId="18469" xr:uid="{00000000-0005-0000-0000-0000E2660000}"/>
    <cellStyle name="Normal 4 11 8 2" xfId="53893" xr:uid="{00000000-0005-0000-0000-0000E3660000}"/>
    <cellStyle name="Normal 4 11 9" xfId="18470" xr:uid="{00000000-0005-0000-0000-0000E4660000}"/>
    <cellStyle name="Normal 4 11 9 2" xfId="53894" xr:uid="{00000000-0005-0000-0000-0000E5660000}"/>
    <cellStyle name="Normal 4 12" xfId="18471" xr:uid="{00000000-0005-0000-0000-0000E6660000}"/>
    <cellStyle name="Normal 4 12 10" xfId="18472" xr:uid="{00000000-0005-0000-0000-0000E7660000}"/>
    <cellStyle name="Normal 4 12 11" xfId="18473" xr:uid="{00000000-0005-0000-0000-0000E8660000}"/>
    <cellStyle name="Normal 4 12 12" xfId="18474" xr:uid="{00000000-0005-0000-0000-0000E9660000}"/>
    <cellStyle name="Normal 4 12 13" xfId="18475" xr:uid="{00000000-0005-0000-0000-0000EA660000}"/>
    <cellStyle name="Normal 4 12 14" xfId="18476" xr:uid="{00000000-0005-0000-0000-0000EB660000}"/>
    <cellStyle name="Normal 4 12 2" xfId="18477" xr:uid="{00000000-0005-0000-0000-0000EC660000}"/>
    <cellStyle name="Normal 4 12 2 2" xfId="18478" xr:uid="{00000000-0005-0000-0000-0000ED660000}"/>
    <cellStyle name="Normal 4 12 2 2 2" xfId="18479" xr:uid="{00000000-0005-0000-0000-0000EE660000}"/>
    <cellStyle name="Normal 4 12 2 2 2 2" xfId="18480" xr:uid="{00000000-0005-0000-0000-0000EF660000}"/>
    <cellStyle name="Normal 4 12 2 2 2 2 2" xfId="53895" xr:uid="{00000000-0005-0000-0000-0000F0660000}"/>
    <cellStyle name="Normal 4 12 2 2 2 2 3" xfId="53896" xr:uid="{00000000-0005-0000-0000-0000F1660000}"/>
    <cellStyle name="Normal 4 12 2 2 2 3" xfId="18481" xr:uid="{00000000-0005-0000-0000-0000F2660000}"/>
    <cellStyle name="Normal 4 12 2 2 2 3 2" xfId="53897" xr:uid="{00000000-0005-0000-0000-0000F3660000}"/>
    <cellStyle name="Normal 4 12 2 2 2 4" xfId="18482" xr:uid="{00000000-0005-0000-0000-0000F4660000}"/>
    <cellStyle name="Normal 4 12 2 2 2 5" xfId="18483" xr:uid="{00000000-0005-0000-0000-0000F5660000}"/>
    <cellStyle name="Normal 4 12 2 2 2 6" xfId="18484" xr:uid="{00000000-0005-0000-0000-0000F6660000}"/>
    <cellStyle name="Normal 4 12 2 2 3" xfId="18485" xr:uid="{00000000-0005-0000-0000-0000F7660000}"/>
    <cellStyle name="Normal 4 12 2 2 3 2" xfId="53898" xr:uid="{00000000-0005-0000-0000-0000F8660000}"/>
    <cellStyle name="Normal 4 12 2 2 3 3" xfId="53899" xr:uid="{00000000-0005-0000-0000-0000F9660000}"/>
    <cellStyle name="Normal 4 12 2 2 4" xfId="18486" xr:uid="{00000000-0005-0000-0000-0000FA660000}"/>
    <cellStyle name="Normal 4 12 2 2 4 2" xfId="53900" xr:uid="{00000000-0005-0000-0000-0000FB660000}"/>
    <cellStyle name="Normal 4 12 2 2 5" xfId="18487" xr:uid="{00000000-0005-0000-0000-0000FC660000}"/>
    <cellStyle name="Normal 4 12 2 2 6" xfId="18488" xr:uid="{00000000-0005-0000-0000-0000FD660000}"/>
    <cellStyle name="Normal 4 12 2 2 7" xfId="18489" xr:uid="{00000000-0005-0000-0000-0000FE660000}"/>
    <cellStyle name="Normal 4 12 2 3" xfId="18490" xr:uid="{00000000-0005-0000-0000-0000FF660000}"/>
    <cellStyle name="Normal 4 12 2 3 2" xfId="18491" xr:uid="{00000000-0005-0000-0000-000000670000}"/>
    <cellStyle name="Normal 4 12 2 3 2 2" xfId="53901" xr:uid="{00000000-0005-0000-0000-000001670000}"/>
    <cellStyle name="Normal 4 12 2 3 2 3" xfId="53902" xr:uid="{00000000-0005-0000-0000-000002670000}"/>
    <cellStyle name="Normal 4 12 2 3 3" xfId="18492" xr:uid="{00000000-0005-0000-0000-000003670000}"/>
    <cellStyle name="Normal 4 12 2 3 3 2" xfId="53903" xr:uid="{00000000-0005-0000-0000-000004670000}"/>
    <cellStyle name="Normal 4 12 2 3 4" xfId="18493" xr:uid="{00000000-0005-0000-0000-000005670000}"/>
    <cellStyle name="Normal 4 12 2 3 5" xfId="18494" xr:uid="{00000000-0005-0000-0000-000006670000}"/>
    <cellStyle name="Normal 4 12 2 3 6" xfId="18495" xr:uid="{00000000-0005-0000-0000-000007670000}"/>
    <cellStyle name="Normal 4 12 2 4" xfId="18496" xr:uid="{00000000-0005-0000-0000-000008670000}"/>
    <cellStyle name="Normal 4 12 2 4 2" xfId="53904" xr:uid="{00000000-0005-0000-0000-000009670000}"/>
    <cellStyle name="Normal 4 12 2 4 3" xfId="53905" xr:uid="{00000000-0005-0000-0000-00000A670000}"/>
    <cellStyle name="Normal 4 12 2 5" xfId="18497" xr:uid="{00000000-0005-0000-0000-00000B670000}"/>
    <cellStyle name="Normal 4 12 2 5 2" xfId="53906" xr:uid="{00000000-0005-0000-0000-00000C670000}"/>
    <cellStyle name="Normal 4 12 2 6" xfId="18498" xr:uid="{00000000-0005-0000-0000-00000D670000}"/>
    <cellStyle name="Normal 4 12 2 7" xfId="18499" xr:uid="{00000000-0005-0000-0000-00000E670000}"/>
    <cellStyle name="Normal 4 12 2 8" xfId="18500" xr:uid="{00000000-0005-0000-0000-00000F670000}"/>
    <cellStyle name="Normal 4 12 2 9" xfId="18501" xr:uid="{00000000-0005-0000-0000-000010670000}"/>
    <cellStyle name="Normal 4 12 3" xfId="18502" xr:uid="{00000000-0005-0000-0000-000011670000}"/>
    <cellStyle name="Normal 4 12 3 2" xfId="18503" xr:uid="{00000000-0005-0000-0000-000012670000}"/>
    <cellStyle name="Normal 4 12 3 2 2" xfId="18504" xr:uid="{00000000-0005-0000-0000-000013670000}"/>
    <cellStyle name="Normal 4 12 3 2 2 2" xfId="18505" xr:uid="{00000000-0005-0000-0000-000014670000}"/>
    <cellStyle name="Normal 4 12 3 2 2 2 2" xfId="53907" xr:uid="{00000000-0005-0000-0000-000015670000}"/>
    <cellStyle name="Normal 4 12 3 2 2 2 3" xfId="53908" xr:uid="{00000000-0005-0000-0000-000016670000}"/>
    <cellStyle name="Normal 4 12 3 2 2 3" xfId="18506" xr:uid="{00000000-0005-0000-0000-000017670000}"/>
    <cellStyle name="Normal 4 12 3 2 2 3 2" xfId="53909" xr:uid="{00000000-0005-0000-0000-000018670000}"/>
    <cellStyle name="Normal 4 12 3 2 2 4" xfId="18507" xr:uid="{00000000-0005-0000-0000-000019670000}"/>
    <cellStyle name="Normal 4 12 3 2 2 5" xfId="18508" xr:uid="{00000000-0005-0000-0000-00001A670000}"/>
    <cellStyle name="Normal 4 12 3 2 2 6" xfId="18509" xr:uid="{00000000-0005-0000-0000-00001B670000}"/>
    <cellStyle name="Normal 4 12 3 2 3" xfId="18510" xr:uid="{00000000-0005-0000-0000-00001C670000}"/>
    <cellStyle name="Normal 4 12 3 2 3 2" xfId="53910" xr:uid="{00000000-0005-0000-0000-00001D670000}"/>
    <cellStyle name="Normal 4 12 3 2 3 3" xfId="53911" xr:uid="{00000000-0005-0000-0000-00001E670000}"/>
    <cellStyle name="Normal 4 12 3 2 4" xfId="18511" xr:uid="{00000000-0005-0000-0000-00001F670000}"/>
    <cellStyle name="Normal 4 12 3 2 4 2" xfId="53912" xr:uid="{00000000-0005-0000-0000-000020670000}"/>
    <cellStyle name="Normal 4 12 3 2 5" xfId="18512" xr:uid="{00000000-0005-0000-0000-000021670000}"/>
    <cellStyle name="Normal 4 12 3 2 6" xfId="18513" xr:uid="{00000000-0005-0000-0000-000022670000}"/>
    <cellStyle name="Normal 4 12 3 2 7" xfId="18514" xr:uid="{00000000-0005-0000-0000-000023670000}"/>
    <cellStyle name="Normal 4 12 3 3" xfId="18515" xr:uid="{00000000-0005-0000-0000-000024670000}"/>
    <cellStyle name="Normal 4 12 3 3 2" xfId="18516" xr:uid="{00000000-0005-0000-0000-000025670000}"/>
    <cellStyle name="Normal 4 12 3 3 2 2" xfId="53913" xr:uid="{00000000-0005-0000-0000-000026670000}"/>
    <cellStyle name="Normal 4 12 3 3 2 3" xfId="53914" xr:uid="{00000000-0005-0000-0000-000027670000}"/>
    <cellStyle name="Normal 4 12 3 3 3" xfId="18517" xr:uid="{00000000-0005-0000-0000-000028670000}"/>
    <cellStyle name="Normal 4 12 3 3 3 2" xfId="53915" xr:uid="{00000000-0005-0000-0000-000029670000}"/>
    <cellStyle name="Normal 4 12 3 3 4" xfId="18518" xr:uid="{00000000-0005-0000-0000-00002A670000}"/>
    <cellStyle name="Normal 4 12 3 3 5" xfId="18519" xr:uid="{00000000-0005-0000-0000-00002B670000}"/>
    <cellStyle name="Normal 4 12 3 3 6" xfId="18520" xr:uid="{00000000-0005-0000-0000-00002C670000}"/>
    <cellStyle name="Normal 4 12 3 4" xfId="18521" xr:uid="{00000000-0005-0000-0000-00002D670000}"/>
    <cellStyle name="Normal 4 12 3 4 2" xfId="53916" xr:uid="{00000000-0005-0000-0000-00002E670000}"/>
    <cellStyle name="Normal 4 12 3 4 3" xfId="53917" xr:uid="{00000000-0005-0000-0000-00002F670000}"/>
    <cellStyle name="Normal 4 12 3 5" xfId="18522" xr:uid="{00000000-0005-0000-0000-000030670000}"/>
    <cellStyle name="Normal 4 12 3 5 2" xfId="53918" xr:uid="{00000000-0005-0000-0000-000031670000}"/>
    <cellStyle name="Normal 4 12 3 6" xfId="18523" xr:uid="{00000000-0005-0000-0000-000032670000}"/>
    <cellStyle name="Normal 4 12 3 7" xfId="18524" xr:uid="{00000000-0005-0000-0000-000033670000}"/>
    <cellStyle name="Normal 4 12 3 8" xfId="18525" xr:uid="{00000000-0005-0000-0000-000034670000}"/>
    <cellStyle name="Normal 4 12 4" xfId="18526" xr:uid="{00000000-0005-0000-0000-000035670000}"/>
    <cellStyle name="Normal 4 12 4 2" xfId="18527" xr:uid="{00000000-0005-0000-0000-000036670000}"/>
    <cellStyle name="Normal 4 12 4 2 2" xfId="18528" xr:uid="{00000000-0005-0000-0000-000037670000}"/>
    <cellStyle name="Normal 4 12 4 2 2 2" xfId="53919" xr:uid="{00000000-0005-0000-0000-000038670000}"/>
    <cellStyle name="Normal 4 12 4 2 2 3" xfId="53920" xr:uid="{00000000-0005-0000-0000-000039670000}"/>
    <cellStyle name="Normal 4 12 4 2 3" xfId="18529" xr:uid="{00000000-0005-0000-0000-00003A670000}"/>
    <cellStyle name="Normal 4 12 4 2 3 2" xfId="53921" xr:uid="{00000000-0005-0000-0000-00003B670000}"/>
    <cellStyle name="Normal 4 12 4 2 4" xfId="18530" xr:uid="{00000000-0005-0000-0000-00003C670000}"/>
    <cellStyle name="Normal 4 12 4 2 5" xfId="18531" xr:uid="{00000000-0005-0000-0000-00003D670000}"/>
    <cellStyle name="Normal 4 12 4 2 6" xfId="18532" xr:uid="{00000000-0005-0000-0000-00003E670000}"/>
    <cellStyle name="Normal 4 12 4 3" xfId="18533" xr:uid="{00000000-0005-0000-0000-00003F670000}"/>
    <cellStyle name="Normal 4 12 4 3 2" xfId="53922" xr:uid="{00000000-0005-0000-0000-000040670000}"/>
    <cellStyle name="Normal 4 12 4 3 3" xfId="53923" xr:uid="{00000000-0005-0000-0000-000041670000}"/>
    <cellStyle name="Normal 4 12 4 4" xfId="18534" xr:uid="{00000000-0005-0000-0000-000042670000}"/>
    <cellStyle name="Normal 4 12 4 4 2" xfId="53924" xr:uid="{00000000-0005-0000-0000-000043670000}"/>
    <cellStyle name="Normal 4 12 4 5" xfId="18535" xr:uid="{00000000-0005-0000-0000-000044670000}"/>
    <cellStyle name="Normal 4 12 4 6" xfId="18536" xr:uid="{00000000-0005-0000-0000-000045670000}"/>
    <cellStyle name="Normal 4 12 4 7" xfId="18537" xr:uid="{00000000-0005-0000-0000-000046670000}"/>
    <cellStyle name="Normal 4 12 5" xfId="18538" xr:uid="{00000000-0005-0000-0000-000047670000}"/>
    <cellStyle name="Normal 4 12 5 2" xfId="18539" xr:uid="{00000000-0005-0000-0000-000048670000}"/>
    <cellStyle name="Normal 4 12 5 2 2" xfId="53925" xr:uid="{00000000-0005-0000-0000-000049670000}"/>
    <cellStyle name="Normal 4 12 5 2 3" xfId="53926" xr:uid="{00000000-0005-0000-0000-00004A670000}"/>
    <cellStyle name="Normal 4 12 5 3" xfId="18540" xr:uid="{00000000-0005-0000-0000-00004B670000}"/>
    <cellStyle name="Normal 4 12 5 3 2" xfId="53927" xr:uid="{00000000-0005-0000-0000-00004C670000}"/>
    <cellStyle name="Normal 4 12 5 4" xfId="18541" xr:uid="{00000000-0005-0000-0000-00004D670000}"/>
    <cellStyle name="Normal 4 12 5 5" xfId="18542" xr:uid="{00000000-0005-0000-0000-00004E670000}"/>
    <cellStyle name="Normal 4 12 5 6" xfId="18543" xr:uid="{00000000-0005-0000-0000-00004F670000}"/>
    <cellStyle name="Normal 4 12 6" xfId="18544" xr:uid="{00000000-0005-0000-0000-000050670000}"/>
    <cellStyle name="Normal 4 12 6 2" xfId="53928" xr:uid="{00000000-0005-0000-0000-000051670000}"/>
    <cellStyle name="Normal 4 12 6 3" xfId="53929" xr:uid="{00000000-0005-0000-0000-000052670000}"/>
    <cellStyle name="Normal 4 12 7" xfId="18545" xr:uid="{00000000-0005-0000-0000-000053670000}"/>
    <cellStyle name="Normal 4 12 7 2" xfId="53930" xr:uid="{00000000-0005-0000-0000-000054670000}"/>
    <cellStyle name="Normal 4 12 8" xfId="18546" xr:uid="{00000000-0005-0000-0000-000055670000}"/>
    <cellStyle name="Normal 4 12 9" xfId="18547" xr:uid="{00000000-0005-0000-0000-000056670000}"/>
    <cellStyle name="Normal 4 13" xfId="18548" xr:uid="{00000000-0005-0000-0000-000057670000}"/>
    <cellStyle name="Normal 4 13 10" xfId="18549" xr:uid="{00000000-0005-0000-0000-000058670000}"/>
    <cellStyle name="Normal 4 13 11" xfId="18550" xr:uid="{00000000-0005-0000-0000-000059670000}"/>
    <cellStyle name="Normal 4 13 12" xfId="18551" xr:uid="{00000000-0005-0000-0000-00005A670000}"/>
    <cellStyle name="Normal 4 13 13" xfId="18552" xr:uid="{00000000-0005-0000-0000-00005B670000}"/>
    <cellStyle name="Normal 4 13 14" xfId="18553" xr:uid="{00000000-0005-0000-0000-00005C670000}"/>
    <cellStyle name="Normal 4 13 2" xfId="18554" xr:uid="{00000000-0005-0000-0000-00005D670000}"/>
    <cellStyle name="Normal 4 13 2 2" xfId="18555" xr:uid="{00000000-0005-0000-0000-00005E670000}"/>
    <cellStyle name="Normal 4 13 2 2 2" xfId="18556" xr:uid="{00000000-0005-0000-0000-00005F670000}"/>
    <cellStyle name="Normal 4 13 2 2 2 2" xfId="18557" xr:uid="{00000000-0005-0000-0000-000060670000}"/>
    <cellStyle name="Normal 4 13 2 2 2 2 2" xfId="53931" xr:uid="{00000000-0005-0000-0000-000061670000}"/>
    <cellStyle name="Normal 4 13 2 2 2 2 3" xfId="53932" xr:uid="{00000000-0005-0000-0000-000062670000}"/>
    <cellStyle name="Normal 4 13 2 2 2 3" xfId="18558" xr:uid="{00000000-0005-0000-0000-000063670000}"/>
    <cellStyle name="Normal 4 13 2 2 2 3 2" xfId="53933" xr:uid="{00000000-0005-0000-0000-000064670000}"/>
    <cellStyle name="Normal 4 13 2 2 2 4" xfId="18559" xr:uid="{00000000-0005-0000-0000-000065670000}"/>
    <cellStyle name="Normal 4 13 2 2 2 5" xfId="18560" xr:uid="{00000000-0005-0000-0000-000066670000}"/>
    <cellStyle name="Normal 4 13 2 2 2 6" xfId="18561" xr:uid="{00000000-0005-0000-0000-000067670000}"/>
    <cellStyle name="Normal 4 13 2 2 3" xfId="18562" xr:uid="{00000000-0005-0000-0000-000068670000}"/>
    <cellStyle name="Normal 4 13 2 2 3 2" xfId="53934" xr:uid="{00000000-0005-0000-0000-000069670000}"/>
    <cellStyle name="Normal 4 13 2 2 3 3" xfId="53935" xr:uid="{00000000-0005-0000-0000-00006A670000}"/>
    <cellStyle name="Normal 4 13 2 2 4" xfId="18563" xr:uid="{00000000-0005-0000-0000-00006B670000}"/>
    <cellStyle name="Normal 4 13 2 2 4 2" xfId="53936" xr:uid="{00000000-0005-0000-0000-00006C670000}"/>
    <cellStyle name="Normal 4 13 2 2 5" xfId="18564" xr:uid="{00000000-0005-0000-0000-00006D670000}"/>
    <cellStyle name="Normal 4 13 2 2 6" xfId="18565" xr:uid="{00000000-0005-0000-0000-00006E670000}"/>
    <cellStyle name="Normal 4 13 2 2 7" xfId="18566" xr:uid="{00000000-0005-0000-0000-00006F670000}"/>
    <cellStyle name="Normal 4 13 2 3" xfId="18567" xr:uid="{00000000-0005-0000-0000-000070670000}"/>
    <cellStyle name="Normal 4 13 2 3 2" xfId="18568" xr:uid="{00000000-0005-0000-0000-000071670000}"/>
    <cellStyle name="Normal 4 13 2 3 2 2" xfId="53937" xr:uid="{00000000-0005-0000-0000-000072670000}"/>
    <cellStyle name="Normal 4 13 2 3 2 3" xfId="53938" xr:uid="{00000000-0005-0000-0000-000073670000}"/>
    <cellStyle name="Normal 4 13 2 3 3" xfId="18569" xr:uid="{00000000-0005-0000-0000-000074670000}"/>
    <cellStyle name="Normal 4 13 2 3 3 2" xfId="53939" xr:uid="{00000000-0005-0000-0000-000075670000}"/>
    <cellStyle name="Normal 4 13 2 3 4" xfId="18570" xr:uid="{00000000-0005-0000-0000-000076670000}"/>
    <cellStyle name="Normal 4 13 2 3 5" xfId="18571" xr:uid="{00000000-0005-0000-0000-000077670000}"/>
    <cellStyle name="Normal 4 13 2 3 6" xfId="18572" xr:uid="{00000000-0005-0000-0000-000078670000}"/>
    <cellStyle name="Normal 4 13 2 4" xfId="18573" xr:uid="{00000000-0005-0000-0000-000079670000}"/>
    <cellStyle name="Normal 4 13 2 4 2" xfId="53940" xr:uid="{00000000-0005-0000-0000-00007A670000}"/>
    <cellStyle name="Normal 4 13 2 4 3" xfId="53941" xr:uid="{00000000-0005-0000-0000-00007B670000}"/>
    <cellStyle name="Normal 4 13 2 5" xfId="18574" xr:uid="{00000000-0005-0000-0000-00007C670000}"/>
    <cellStyle name="Normal 4 13 2 5 2" xfId="53942" xr:uid="{00000000-0005-0000-0000-00007D670000}"/>
    <cellStyle name="Normal 4 13 2 6" xfId="18575" xr:uid="{00000000-0005-0000-0000-00007E670000}"/>
    <cellStyle name="Normal 4 13 2 7" xfId="18576" xr:uid="{00000000-0005-0000-0000-00007F670000}"/>
    <cellStyle name="Normal 4 13 2 8" xfId="18577" xr:uid="{00000000-0005-0000-0000-000080670000}"/>
    <cellStyle name="Normal 4 13 2 9" xfId="18578" xr:uid="{00000000-0005-0000-0000-000081670000}"/>
    <cellStyle name="Normal 4 13 3" xfId="18579" xr:uid="{00000000-0005-0000-0000-000082670000}"/>
    <cellStyle name="Normal 4 13 3 2" xfId="18580" xr:uid="{00000000-0005-0000-0000-000083670000}"/>
    <cellStyle name="Normal 4 13 3 2 2" xfId="18581" xr:uid="{00000000-0005-0000-0000-000084670000}"/>
    <cellStyle name="Normal 4 13 3 2 2 2" xfId="18582" xr:uid="{00000000-0005-0000-0000-000085670000}"/>
    <cellStyle name="Normal 4 13 3 2 2 2 2" xfId="53943" xr:uid="{00000000-0005-0000-0000-000086670000}"/>
    <cellStyle name="Normal 4 13 3 2 2 2 3" xfId="53944" xr:uid="{00000000-0005-0000-0000-000087670000}"/>
    <cellStyle name="Normal 4 13 3 2 2 3" xfId="18583" xr:uid="{00000000-0005-0000-0000-000088670000}"/>
    <cellStyle name="Normal 4 13 3 2 2 3 2" xfId="53945" xr:uid="{00000000-0005-0000-0000-000089670000}"/>
    <cellStyle name="Normal 4 13 3 2 2 4" xfId="18584" xr:uid="{00000000-0005-0000-0000-00008A670000}"/>
    <cellStyle name="Normal 4 13 3 2 2 5" xfId="18585" xr:uid="{00000000-0005-0000-0000-00008B670000}"/>
    <cellStyle name="Normal 4 13 3 2 2 6" xfId="18586" xr:uid="{00000000-0005-0000-0000-00008C670000}"/>
    <cellStyle name="Normal 4 13 3 2 3" xfId="18587" xr:uid="{00000000-0005-0000-0000-00008D670000}"/>
    <cellStyle name="Normal 4 13 3 2 3 2" xfId="53946" xr:uid="{00000000-0005-0000-0000-00008E670000}"/>
    <cellStyle name="Normal 4 13 3 2 3 3" xfId="53947" xr:uid="{00000000-0005-0000-0000-00008F670000}"/>
    <cellStyle name="Normal 4 13 3 2 4" xfId="18588" xr:uid="{00000000-0005-0000-0000-000090670000}"/>
    <cellStyle name="Normal 4 13 3 2 4 2" xfId="53948" xr:uid="{00000000-0005-0000-0000-000091670000}"/>
    <cellStyle name="Normal 4 13 3 2 5" xfId="18589" xr:uid="{00000000-0005-0000-0000-000092670000}"/>
    <cellStyle name="Normal 4 13 3 2 6" xfId="18590" xr:uid="{00000000-0005-0000-0000-000093670000}"/>
    <cellStyle name="Normal 4 13 3 2 7" xfId="18591" xr:uid="{00000000-0005-0000-0000-000094670000}"/>
    <cellStyle name="Normal 4 13 3 3" xfId="18592" xr:uid="{00000000-0005-0000-0000-000095670000}"/>
    <cellStyle name="Normal 4 13 3 3 2" xfId="18593" xr:uid="{00000000-0005-0000-0000-000096670000}"/>
    <cellStyle name="Normal 4 13 3 3 2 2" xfId="53949" xr:uid="{00000000-0005-0000-0000-000097670000}"/>
    <cellStyle name="Normal 4 13 3 3 2 3" xfId="53950" xr:uid="{00000000-0005-0000-0000-000098670000}"/>
    <cellStyle name="Normal 4 13 3 3 3" xfId="18594" xr:uid="{00000000-0005-0000-0000-000099670000}"/>
    <cellStyle name="Normal 4 13 3 3 3 2" xfId="53951" xr:uid="{00000000-0005-0000-0000-00009A670000}"/>
    <cellStyle name="Normal 4 13 3 3 4" xfId="18595" xr:uid="{00000000-0005-0000-0000-00009B670000}"/>
    <cellStyle name="Normal 4 13 3 3 5" xfId="18596" xr:uid="{00000000-0005-0000-0000-00009C670000}"/>
    <cellStyle name="Normal 4 13 3 3 6" xfId="18597" xr:uid="{00000000-0005-0000-0000-00009D670000}"/>
    <cellStyle name="Normal 4 13 3 4" xfId="18598" xr:uid="{00000000-0005-0000-0000-00009E670000}"/>
    <cellStyle name="Normal 4 13 3 4 2" xfId="53952" xr:uid="{00000000-0005-0000-0000-00009F670000}"/>
    <cellStyle name="Normal 4 13 3 4 3" xfId="53953" xr:uid="{00000000-0005-0000-0000-0000A0670000}"/>
    <cellStyle name="Normal 4 13 3 5" xfId="18599" xr:uid="{00000000-0005-0000-0000-0000A1670000}"/>
    <cellStyle name="Normal 4 13 3 5 2" xfId="53954" xr:uid="{00000000-0005-0000-0000-0000A2670000}"/>
    <cellStyle name="Normal 4 13 3 6" xfId="18600" xr:uid="{00000000-0005-0000-0000-0000A3670000}"/>
    <cellStyle name="Normal 4 13 3 7" xfId="18601" xr:uid="{00000000-0005-0000-0000-0000A4670000}"/>
    <cellStyle name="Normal 4 13 3 8" xfId="18602" xr:uid="{00000000-0005-0000-0000-0000A5670000}"/>
    <cellStyle name="Normal 4 13 4" xfId="18603" xr:uid="{00000000-0005-0000-0000-0000A6670000}"/>
    <cellStyle name="Normal 4 13 4 2" xfId="18604" xr:uid="{00000000-0005-0000-0000-0000A7670000}"/>
    <cellStyle name="Normal 4 13 4 2 2" xfId="18605" xr:uid="{00000000-0005-0000-0000-0000A8670000}"/>
    <cellStyle name="Normal 4 13 4 2 2 2" xfId="53955" xr:uid="{00000000-0005-0000-0000-0000A9670000}"/>
    <cellStyle name="Normal 4 13 4 2 2 3" xfId="53956" xr:uid="{00000000-0005-0000-0000-0000AA670000}"/>
    <cellStyle name="Normal 4 13 4 2 3" xfId="18606" xr:uid="{00000000-0005-0000-0000-0000AB670000}"/>
    <cellStyle name="Normal 4 13 4 2 3 2" xfId="53957" xr:uid="{00000000-0005-0000-0000-0000AC670000}"/>
    <cellStyle name="Normal 4 13 4 2 4" xfId="18607" xr:uid="{00000000-0005-0000-0000-0000AD670000}"/>
    <cellStyle name="Normal 4 13 4 2 5" xfId="18608" xr:uid="{00000000-0005-0000-0000-0000AE670000}"/>
    <cellStyle name="Normal 4 13 4 2 6" xfId="18609" xr:uid="{00000000-0005-0000-0000-0000AF670000}"/>
    <cellStyle name="Normal 4 13 4 3" xfId="18610" xr:uid="{00000000-0005-0000-0000-0000B0670000}"/>
    <cellStyle name="Normal 4 13 4 3 2" xfId="53958" xr:uid="{00000000-0005-0000-0000-0000B1670000}"/>
    <cellStyle name="Normal 4 13 4 3 3" xfId="53959" xr:uid="{00000000-0005-0000-0000-0000B2670000}"/>
    <cellStyle name="Normal 4 13 4 4" xfId="18611" xr:uid="{00000000-0005-0000-0000-0000B3670000}"/>
    <cellStyle name="Normal 4 13 4 4 2" xfId="53960" xr:uid="{00000000-0005-0000-0000-0000B4670000}"/>
    <cellStyle name="Normal 4 13 4 5" xfId="18612" xr:uid="{00000000-0005-0000-0000-0000B5670000}"/>
    <cellStyle name="Normal 4 13 4 6" xfId="18613" xr:uid="{00000000-0005-0000-0000-0000B6670000}"/>
    <cellStyle name="Normal 4 13 4 7" xfId="18614" xr:uid="{00000000-0005-0000-0000-0000B7670000}"/>
    <cellStyle name="Normal 4 13 5" xfId="18615" xr:uid="{00000000-0005-0000-0000-0000B8670000}"/>
    <cellStyle name="Normal 4 13 5 2" xfId="18616" xr:uid="{00000000-0005-0000-0000-0000B9670000}"/>
    <cellStyle name="Normal 4 13 5 2 2" xfId="53961" xr:uid="{00000000-0005-0000-0000-0000BA670000}"/>
    <cellStyle name="Normal 4 13 5 2 3" xfId="53962" xr:uid="{00000000-0005-0000-0000-0000BB670000}"/>
    <cellStyle name="Normal 4 13 5 3" xfId="18617" xr:uid="{00000000-0005-0000-0000-0000BC670000}"/>
    <cellStyle name="Normal 4 13 5 3 2" xfId="53963" xr:uid="{00000000-0005-0000-0000-0000BD670000}"/>
    <cellStyle name="Normal 4 13 5 4" xfId="18618" xr:uid="{00000000-0005-0000-0000-0000BE670000}"/>
    <cellStyle name="Normal 4 13 5 5" xfId="18619" xr:uid="{00000000-0005-0000-0000-0000BF670000}"/>
    <cellStyle name="Normal 4 13 5 6" xfId="18620" xr:uid="{00000000-0005-0000-0000-0000C0670000}"/>
    <cellStyle name="Normal 4 13 6" xfId="18621" xr:uid="{00000000-0005-0000-0000-0000C1670000}"/>
    <cellStyle name="Normal 4 13 6 2" xfId="53964" xr:uid="{00000000-0005-0000-0000-0000C2670000}"/>
    <cellStyle name="Normal 4 13 6 3" xfId="53965" xr:uid="{00000000-0005-0000-0000-0000C3670000}"/>
    <cellStyle name="Normal 4 13 7" xfId="18622" xr:uid="{00000000-0005-0000-0000-0000C4670000}"/>
    <cellStyle name="Normal 4 13 7 2" xfId="53966" xr:uid="{00000000-0005-0000-0000-0000C5670000}"/>
    <cellStyle name="Normal 4 13 8" xfId="18623" xr:uid="{00000000-0005-0000-0000-0000C6670000}"/>
    <cellStyle name="Normal 4 13 9" xfId="18624" xr:uid="{00000000-0005-0000-0000-0000C7670000}"/>
    <cellStyle name="Normal 4 14" xfId="18625" xr:uid="{00000000-0005-0000-0000-0000C8670000}"/>
    <cellStyle name="Normal 4 14 10" xfId="18626" xr:uid="{00000000-0005-0000-0000-0000C9670000}"/>
    <cellStyle name="Normal 4 14 11" xfId="18627" xr:uid="{00000000-0005-0000-0000-0000CA670000}"/>
    <cellStyle name="Normal 4 14 12" xfId="18628" xr:uid="{00000000-0005-0000-0000-0000CB670000}"/>
    <cellStyle name="Normal 4 14 13" xfId="18629" xr:uid="{00000000-0005-0000-0000-0000CC670000}"/>
    <cellStyle name="Normal 4 14 2" xfId="18630" xr:uid="{00000000-0005-0000-0000-0000CD670000}"/>
    <cellStyle name="Normal 4 14 2 2" xfId="18631" xr:uid="{00000000-0005-0000-0000-0000CE670000}"/>
    <cellStyle name="Normal 4 14 2 2 2" xfId="18632" xr:uid="{00000000-0005-0000-0000-0000CF670000}"/>
    <cellStyle name="Normal 4 14 2 2 2 2" xfId="18633" xr:uid="{00000000-0005-0000-0000-0000D0670000}"/>
    <cellStyle name="Normal 4 14 2 2 2 2 2" xfId="53967" xr:uid="{00000000-0005-0000-0000-0000D1670000}"/>
    <cellStyle name="Normal 4 14 2 2 2 2 3" xfId="53968" xr:uid="{00000000-0005-0000-0000-0000D2670000}"/>
    <cellStyle name="Normal 4 14 2 2 2 3" xfId="18634" xr:uid="{00000000-0005-0000-0000-0000D3670000}"/>
    <cellStyle name="Normal 4 14 2 2 2 3 2" xfId="53969" xr:uid="{00000000-0005-0000-0000-0000D4670000}"/>
    <cellStyle name="Normal 4 14 2 2 2 4" xfId="18635" xr:uid="{00000000-0005-0000-0000-0000D5670000}"/>
    <cellStyle name="Normal 4 14 2 2 2 5" xfId="18636" xr:uid="{00000000-0005-0000-0000-0000D6670000}"/>
    <cellStyle name="Normal 4 14 2 2 2 6" xfId="18637" xr:uid="{00000000-0005-0000-0000-0000D7670000}"/>
    <cellStyle name="Normal 4 14 2 2 3" xfId="18638" xr:uid="{00000000-0005-0000-0000-0000D8670000}"/>
    <cellStyle name="Normal 4 14 2 2 3 2" xfId="53970" xr:uid="{00000000-0005-0000-0000-0000D9670000}"/>
    <cellStyle name="Normal 4 14 2 2 3 3" xfId="53971" xr:uid="{00000000-0005-0000-0000-0000DA670000}"/>
    <cellStyle name="Normal 4 14 2 2 4" xfId="18639" xr:uid="{00000000-0005-0000-0000-0000DB670000}"/>
    <cellStyle name="Normal 4 14 2 2 4 2" xfId="53972" xr:uid="{00000000-0005-0000-0000-0000DC670000}"/>
    <cellStyle name="Normal 4 14 2 2 5" xfId="18640" xr:uid="{00000000-0005-0000-0000-0000DD670000}"/>
    <cellStyle name="Normal 4 14 2 2 6" xfId="18641" xr:uid="{00000000-0005-0000-0000-0000DE670000}"/>
    <cellStyle name="Normal 4 14 2 2 7" xfId="18642" xr:uid="{00000000-0005-0000-0000-0000DF670000}"/>
    <cellStyle name="Normal 4 14 2 3" xfId="18643" xr:uid="{00000000-0005-0000-0000-0000E0670000}"/>
    <cellStyle name="Normal 4 14 2 3 2" xfId="18644" xr:uid="{00000000-0005-0000-0000-0000E1670000}"/>
    <cellStyle name="Normal 4 14 2 3 2 2" xfId="53973" xr:uid="{00000000-0005-0000-0000-0000E2670000}"/>
    <cellStyle name="Normal 4 14 2 3 2 3" xfId="53974" xr:uid="{00000000-0005-0000-0000-0000E3670000}"/>
    <cellStyle name="Normal 4 14 2 3 3" xfId="18645" xr:uid="{00000000-0005-0000-0000-0000E4670000}"/>
    <cellStyle name="Normal 4 14 2 3 3 2" xfId="53975" xr:uid="{00000000-0005-0000-0000-0000E5670000}"/>
    <cellStyle name="Normal 4 14 2 3 4" xfId="18646" xr:uid="{00000000-0005-0000-0000-0000E6670000}"/>
    <cellStyle name="Normal 4 14 2 3 5" xfId="18647" xr:uid="{00000000-0005-0000-0000-0000E7670000}"/>
    <cellStyle name="Normal 4 14 2 3 6" xfId="18648" xr:uid="{00000000-0005-0000-0000-0000E8670000}"/>
    <cellStyle name="Normal 4 14 2 4" xfId="18649" xr:uid="{00000000-0005-0000-0000-0000E9670000}"/>
    <cellStyle name="Normal 4 14 2 4 2" xfId="53976" xr:uid="{00000000-0005-0000-0000-0000EA670000}"/>
    <cellStyle name="Normal 4 14 2 4 3" xfId="53977" xr:uid="{00000000-0005-0000-0000-0000EB670000}"/>
    <cellStyle name="Normal 4 14 2 5" xfId="18650" xr:uid="{00000000-0005-0000-0000-0000EC670000}"/>
    <cellStyle name="Normal 4 14 2 5 2" xfId="53978" xr:uid="{00000000-0005-0000-0000-0000ED670000}"/>
    <cellStyle name="Normal 4 14 2 6" xfId="18651" xr:uid="{00000000-0005-0000-0000-0000EE670000}"/>
    <cellStyle name="Normal 4 14 2 7" xfId="18652" xr:uid="{00000000-0005-0000-0000-0000EF670000}"/>
    <cellStyle name="Normal 4 14 2 8" xfId="18653" xr:uid="{00000000-0005-0000-0000-0000F0670000}"/>
    <cellStyle name="Normal 4 14 2 9" xfId="18654" xr:uid="{00000000-0005-0000-0000-0000F1670000}"/>
    <cellStyle name="Normal 4 14 3" xfId="18655" xr:uid="{00000000-0005-0000-0000-0000F2670000}"/>
    <cellStyle name="Normal 4 14 3 2" xfId="18656" xr:uid="{00000000-0005-0000-0000-0000F3670000}"/>
    <cellStyle name="Normal 4 14 3 2 2" xfId="18657" xr:uid="{00000000-0005-0000-0000-0000F4670000}"/>
    <cellStyle name="Normal 4 14 3 2 2 2" xfId="53979" xr:uid="{00000000-0005-0000-0000-0000F5670000}"/>
    <cellStyle name="Normal 4 14 3 2 2 3" xfId="53980" xr:uid="{00000000-0005-0000-0000-0000F6670000}"/>
    <cellStyle name="Normal 4 14 3 2 3" xfId="18658" xr:uid="{00000000-0005-0000-0000-0000F7670000}"/>
    <cellStyle name="Normal 4 14 3 2 3 2" xfId="53981" xr:uid="{00000000-0005-0000-0000-0000F8670000}"/>
    <cellStyle name="Normal 4 14 3 2 4" xfId="18659" xr:uid="{00000000-0005-0000-0000-0000F9670000}"/>
    <cellStyle name="Normal 4 14 3 2 5" xfId="18660" xr:uid="{00000000-0005-0000-0000-0000FA670000}"/>
    <cellStyle name="Normal 4 14 3 2 6" xfId="18661" xr:uid="{00000000-0005-0000-0000-0000FB670000}"/>
    <cellStyle name="Normal 4 14 3 3" xfId="18662" xr:uid="{00000000-0005-0000-0000-0000FC670000}"/>
    <cellStyle name="Normal 4 14 3 3 2" xfId="53982" xr:uid="{00000000-0005-0000-0000-0000FD670000}"/>
    <cellStyle name="Normal 4 14 3 3 3" xfId="53983" xr:uid="{00000000-0005-0000-0000-0000FE670000}"/>
    <cellStyle name="Normal 4 14 3 4" xfId="18663" xr:uid="{00000000-0005-0000-0000-0000FF670000}"/>
    <cellStyle name="Normal 4 14 3 4 2" xfId="53984" xr:uid="{00000000-0005-0000-0000-000000680000}"/>
    <cellStyle name="Normal 4 14 3 5" xfId="18664" xr:uid="{00000000-0005-0000-0000-000001680000}"/>
    <cellStyle name="Normal 4 14 3 6" xfId="18665" xr:uid="{00000000-0005-0000-0000-000002680000}"/>
    <cellStyle name="Normal 4 14 3 7" xfId="18666" xr:uid="{00000000-0005-0000-0000-000003680000}"/>
    <cellStyle name="Normal 4 14 4" xfId="18667" xr:uid="{00000000-0005-0000-0000-000004680000}"/>
    <cellStyle name="Normal 4 14 4 2" xfId="18668" xr:uid="{00000000-0005-0000-0000-000005680000}"/>
    <cellStyle name="Normal 4 14 4 2 2" xfId="53985" xr:uid="{00000000-0005-0000-0000-000006680000}"/>
    <cellStyle name="Normal 4 14 4 2 3" xfId="53986" xr:uid="{00000000-0005-0000-0000-000007680000}"/>
    <cellStyle name="Normal 4 14 4 3" xfId="18669" xr:uid="{00000000-0005-0000-0000-000008680000}"/>
    <cellStyle name="Normal 4 14 4 3 2" xfId="53987" xr:uid="{00000000-0005-0000-0000-000009680000}"/>
    <cellStyle name="Normal 4 14 4 4" xfId="18670" xr:uid="{00000000-0005-0000-0000-00000A680000}"/>
    <cellStyle name="Normal 4 14 4 5" xfId="18671" xr:uid="{00000000-0005-0000-0000-00000B680000}"/>
    <cellStyle name="Normal 4 14 4 6" xfId="18672" xr:uid="{00000000-0005-0000-0000-00000C680000}"/>
    <cellStyle name="Normal 4 14 5" xfId="18673" xr:uid="{00000000-0005-0000-0000-00000D680000}"/>
    <cellStyle name="Normal 4 14 5 2" xfId="53988" xr:uid="{00000000-0005-0000-0000-00000E680000}"/>
    <cellStyle name="Normal 4 14 5 3" xfId="53989" xr:uid="{00000000-0005-0000-0000-00000F680000}"/>
    <cellStyle name="Normal 4 14 6" xfId="18674" xr:uid="{00000000-0005-0000-0000-000010680000}"/>
    <cellStyle name="Normal 4 14 6 2" xfId="53990" xr:uid="{00000000-0005-0000-0000-000011680000}"/>
    <cellStyle name="Normal 4 14 7" xfId="18675" xr:uid="{00000000-0005-0000-0000-000012680000}"/>
    <cellStyle name="Normal 4 14 8" xfId="18676" xr:uid="{00000000-0005-0000-0000-000013680000}"/>
    <cellStyle name="Normal 4 14 9" xfId="18677" xr:uid="{00000000-0005-0000-0000-000014680000}"/>
    <cellStyle name="Normal 4 15" xfId="18678" xr:uid="{00000000-0005-0000-0000-000015680000}"/>
    <cellStyle name="Normal 4 15 2" xfId="18679" xr:uid="{00000000-0005-0000-0000-000016680000}"/>
    <cellStyle name="Normal 4 15 2 2" xfId="18680" xr:uid="{00000000-0005-0000-0000-000017680000}"/>
    <cellStyle name="Normal 4 15 2 2 2" xfId="18681" xr:uid="{00000000-0005-0000-0000-000018680000}"/>
    <cellStyle name="Normal 4 15 2 2 2 2" xfId="53991" xr:uid="{00000000-0005-0000-0000-000019680000}"/>
    <cellStyle name="Normal 4 15 2 2 2 3" xfId="53992" xr:uid="{00000000-0005-0000-0000-00001A680000}"/>
    <cellStyle name="Normal 4 15 2 2 3" xfId="18682" xr:uid="{00000000-0005-0000-0000-00001B680000}"/>
    <cellStyle name="Normal 4 15 2 2 3 2" xfId="53993" xr:uid="{00000000-0005-0000-0000-00001C680000}"/>
    <cellStyle name="Normal 4 15 2 2 4" xfId="18683" xr:uid="{00000000-0005-0000-0000-00001D680000}"/>
    <cellStyle name="Normal 4 15 2 2 5" xfId="18684" xr:uid="{00000000-0005-0000-0000-00001E680000}"/>
    <cellStyle name="Normal 4 15 2 2 6" xfId="18685" xr:uid="{00000000-0005-0000-0000-00001F680000}"/>
    <cellStyle name="Normal 4 15 2 3" xfId="18686" xr:uid="{00000000-0005-0000-0000-000020680000}"/>
    <cellStyle name="Normal 4 15 2 3 2" xfId="53994" xr:uid="{00000000-0005-0000-0000-000021680000}"/>
    <cellStyle name="Normal 4 15 2 3 3" xfId="53995" xr:uid="{00000000-0005-0000-0000-000022680000}"/>
    <cellStyle name="Normal 4 15 2 4" xfId="18687" xr:uid="{00000000-0005-0000-0000-000023680000}"/>
    <cellStyle name="Normal 4 15 2 4 2" xfId="53996" xr:uid="{00000000-0005-0000-0000-000024680000}"/>
    <cellStyle name="Normal 4 15 2 5" xfId="18688" xr:uid="{00000000-0005-0000-0000-000025680000}"/>
    <cellStyle name="Normal 4 15 2 6" xfId="18689" xr:uid="{00000000-0005-0000-0000-000026680000}"/>
    <cellStyle name="Normal 4 15 2 7" xfId="18690" xr:uid="{00000000-0005-0000-0000-000027680000}"/>
    <cellStyle name="Normal 4 15 3" xfId="18691" xr:uid="{00000000-0005-0000-0000-000028680000}"/>
    <cellStyle name="Normal 4 15 3 2" xfId="18692" xr:uid="{00000000-0005-0000-0000-000029680000}"/>
    <cellStyle name="Normal 4 15 3 2 2" xfId="53997" xr:uid="{00000000-0005-0000-0000-00002A680000}"/>
    <cellStyle name="Normal 4 15 3 2 3" xfId="53998" xr:uid="{00000000-0005-0000-0000-00002B680000}"/>
    <cellStyle name="Normal 4 15 3 3" xfId="18693" xr:uid="{00000000-0005-0000-0000-00002C680000}"/>
    <cellStyle name="Normal 4 15 3 3 2" xfId="53999" xr:uid="{00000000-0005-0000-0000-00002D680000}"/>
    <cellStyle name="Normal 4 15 3 4" xfId="18694" xr:uid="{00000000-0005-0000-0000-00002E680000}"/>
    <cellStyle name="Normal 4 15 3 5" xfId="18695" xr:uid="{00000000-0005-0000-0000-00002F680000}"/>
    <cellStyle name="Normal 4 15 3 6" xfId="18696" xr:uid="{00000000-0005-0000-0000-000030680000}"/>
    <cellStyle name="Normal 4 15 4" xfId="18697" xr:uid="{00000000-0005-0000-0000-000031680000}"/>
    <cellStyle name="Normal 4 15 4 2" xfId="54000" xr:uid="{00000000-0005-0000-0000-000032680000}"/>
    <cellStyle name="Normal 4 15 4 3" xfId="54001" xr:uid="{00000000-0005-0000-0000-000033680000}"/>
    <cellStyle name="Normal 4 15 5" xfId="18698" xr:uid="{00000000-0005-0000-0000-000034680000}"/>
    <cellStyle name="Normal 4 15 5 2" xfId="54002" xr:uid="{00000000-0005-0000-0000-000035680000}"/>
    <cellStyle name="Normal 4 15 6" xfId="18699" xr:uid="{00000000-0005-0000-0000-000036680000}"/>
    <cellStyle name="Normal 4 15 7" xfId="18700" xr:uid="{00000000-0005-0000-0000-000037680000}"/>
    <cellStyle name="Normal 4 15 8" xfId="18701" xr:uid="{00000000-0005-0000-0000-000038680000}"/>
    <cellStyle name="Normal 4 15 9" xfId="18702" xr:uid="{00000000-0005-0000-0000-000039680000}"/>
    <cellStyle name="Normal 4 16" xfId="18703" xr:uid="{00000000-0005-0000-0000-00003A680000}"/>
    <cellStyle name="Normal 4 16 2" xfId="18704" xr:uid="{00000000-0005-0000-0000-00003B680000}"/>
    <cellStyle name="Normal 4 16 2 2" xfId="18705" xr:uid="{00000000-0005-0000-0000-00003C680000}"/>
    <cellStyle name="Normal 4 16 2 2 2" xfId="18706" xr:uid="{00000000-0005-0000-0000-00003D680000}"/>
    <cellStyle name="Normal 4 16 2 2 2 2" xfId="54003" xr:uid="{00000000-0005-0000-0000-00003E680000}"/>
    <cellStyle name="Normal 4 16 2 2 2 3" xfId="54004" xr:uid="{00000000-0005-0000-0000-00003F680000}"/>
    <cellStyle name="Normal 4 16 2 2 3" xfId="18707" xr:uid="{00000000-0005-0000-0000-000040680000}"/>
    <cellStyle name="Normal 4 16 2 2 3 2" xfId="54005" xr:uid="{00000000-0005-0000-0000-000041680000}"/>
    <cellStyle name="Normal 4 16 2 2 4" xfId="18708" xr:uid="{00000000-0005-0000-0000-000042680000}"/>
    <cellStyle name="Normal 4 16 2 2 5" xfId="18709" xr:uid="{00000000-0005-0000-0000-000043680000}"/>
    <cellStyle name="Normal 4 16 2 2 6" xfId="18710" xr:uid="{00000000-0005-0000-0000-000044680000}"/>
    <cellStyle name="Normal 4 16 2 3" xfId="18711" xr:uid="{00000000-0005-0000-0000-000045680000}"/>
    <cellStyle name="Normal 4 16 2 3 2" xfId="54006" xr:uid="{00000000-0005-0000-0000-000046680000}"/>
    <cellStyle name="Normal 4 16 2 3 3" xfId="54007" xr:uid="{00000000-0005-0000-0000-000047680000}"/>
    <cellStyle name="Normal 4 16 2 4" xfId="18712" xr:uid="{00000000-0005-0000-0000-000048680000}"/>
    <cellStyle name="Normal 4 16 2 4 2" xfId="54008" xr:uid="{00000000-0005-0000-0000-000049680000}"/>
    <cellStyle name="Normal 4 16 2 5" xfId="18713" xr:uid="{00000000-0005-0000-0000-00004A680000}"/>
    <cellStyle name="Normal 4 16 2 6" xfId="18714" xr:uid="{00000000-0005-0000-0000-00004B680000}"/>
    <cellStyle name="Normal 4 16 2 7" xfId="18715" xr:uid="{00000000-0005-0000-0000-00004C680000}"/>
    <cellStyle name="Normal 4 16 3" xfId="18716" xr:uid="{00000000-0005-0000-0000-00004D680000}"/>
    <cellStyle name="Normal 4 16 3 2" xfId="18717" xr:uid="{00000000-0005-0000-0000-00004E680000}"/>
    <cellStyle name="Normal 4 16 3 2 2" xfId="54009" xr:uid="{00000000-0005-0000-0000-00004F680000}"/>
    <cellStyle name="Normal 4 16 3 2 3" xfId="54010" xr:uid="{00000000-0005-0000-0000-000050680000}"/>
    <cellStyle name="Normal 4 16 3 3" xfId="18718" xr:uid="{00000000-0005-0000-0000-000051680000}"/>
    <cellStyle name="Normal 4 16 3 3 2" xfId="54011" xr:uid="{00000000-0005-0000-0000-000052680000}"/>
    <cellStyle name="Normal 4 16 3 4" xfId="18719" xr:uid="{00000000-0005-0000-0000-000053680000}"/>
    <cellStyle name="Normal 4 16 3 5" xfId="18720" xr:uid="{00000000-0005-0000-0000-000054680000}"/>
    <cellStyle name="Normal 4 16 3 6" xfId="18721" xr:uid="{00000000-0005-0000-0000-000055680000}"/>
    <cellStyle name="Normal 4 16 4" xfId="18722" xr:uid="{00000000-0005-0000-0000-000056680000}"/>
    <cellStyle name="Normal 4 16 4 2" xfId="54012" xr:uid="{00000000-0005-0000-0000-000057680000}"/>
    <cellStyle name="Normal 4 16 4 3" xfId="54013" xr:uid="{00000000-0005-0000-0000-000058680000}"/>
    <cellStyle name="Normal 4 16 5" xfId="18723" xr:uid="{00000000-0005-0000-0000-000059680000}"/>
    <cellStyle name="Normal 4 16 5 2" xfId="54014" xr:uid="{00000000-0005-0000-0000-00005A680000}"/>
    <cellStyle name="Normal 4 16 6" xfId="18724" xr:uid="{00000000-0005-0000-0000-00005B680000}"/>
    <cellStyle name="Normal 4 16 7" xfId="18725" xr:uid="{00000000-0005-0000-0000-00005C680000}"/>
    <cellStyle name="Normal 4 16 8" xfId="18726" xr:uid="{00000000-0005-0000-0000-00005D680000}"/>
    <cellStyle name="Normal 4 17" xfId="18727" xr:uid="{00000000-0005-0000-0000-00005E680000}"/>
    <cellStyle name="Normal 4 17 2" xfId="18728" xr:uid="{00000000-0005-0000-0000-00005F680000}"/>
    <cellStyle name="Normal 4 17 2 2" xfId="18729" xr:uid="{00000000-0005-0000-0000-000060680000}"/>
    <cellStyle name="Normal 4 17 2 2 2" xfId="18730" xr:uid="{00000000-0005-0000-0000-000061680000}"/>
    <cellStyle name="Normal 4 17 2 2 2 2" xfId="54015" xr:uid="{00000000-0005-0000-0000-000062680000}"/>
    <cellStyle name="Normal 4 17 2 2 2 3" xfId="54016" xr:uid="{00000000-0005-0000-0000-000063680000}"/>
    <cellStyle name="Normal 4 17 2 2 3" xfId="18731" xr:uid="{00000000-0005-0000-0000-000064680000}"/>
    <cellStyle name="Normal 4 17 2 2 3 2" xfId="54017" xr:uid="{00000000-0005-0000-0000-000065680000}"/>
    <cellStyle name="Normal 4 17 2 2 4" xfId="18732" xr:uid="{00000000-0005-0000-0000-000066680000}"/>
    <cellStyle name="Normal 4 17 2 2 5" xfId="18733" xr:uid="{00000000-0005-0000-0000-000067680000}"/>
    <cellStyle name="Normal 4 17 2 2 6" xfId="18734" xr:uid="{00000000-0005-0000-0000-000068680000}"/>
    <cellStyle name="Normal 4 17 2 3" xfId="18735" xr:uid="{00000000-0005-0000-0000-000069680000}"/>
    <cellStyle name="Normal 4 17 2 3 2" xfId="54018" xr:uid="{00000000-0005-0000-0000-00006A680000}"/>
    <cellStyle name="Normal 4 17 2 3 3" xfId="54019" xr:uid="{00000000-0005-0000-0000-00006B680000}"/>
    <cellStyle name="Normal 4 17 2 4" xfId="18736" xr:uid="{00000000-0005-0000-0000-00006C680000}"/>
    <cellStyle name="Normal 4 17 2 4 2" xfId="54020" xr:uid="{00000000-0005-0000-0000-00006D680000}"/>
    <cellStyle name="Normal 4 17 2 5" xfId="18737" xr:uid="{00000000-0005-0000-0000-00006E680000}"/>
    <cellStyle name="Normal 4 17 2 6" xfId="18738" xr:uid="{00000000-0005-0000-0000-00006F680000}"/>
    <cellStyle name="Normal 4 17 2 7" xfId="18739" xr:uid="{00000000-0005-0000-0000-000070680000}"/>
    <cellStyle name="Normal 4 17 3" xfId="18740" xr:uid="{00000000-0005-0000-0000-000071680000}"/>
    <cellStyle name="Normal 4 17 3 2" xfId="18741" xr:uid="{00000000-0005-0000-0000-000072680000}"/>
    <cellStyle name="Normal 4 17 3 2 2" xfId="54021" xr:uid="{00000000-0005-0000-0000-000073680000}"/>
    <cellStyle name="Normal 4 17 3 2 3" xfId="54022" xr:uid="{00000000-0005-0000-0000-000074680000}"/>
    <cellStyle name="Normal 4 17 3 3" xfId="18742" xr:uid="{00000000-0005-0000-0000-000075680000}"/>
    <cellStyle name="Normal 4 17 3 3 2" xfId="54023" xr:uid="{00000000-0005-0000-0000-000076680000}"/>
    <cellStyle name="Normal 4 17 3 4" xfId="18743" xr:uid="{00000000-0005-0000-0000-000077680000}"/>
    <cellStyle name="Normal 4 17 3 5" xfId="18744" xr:uid="{00000000-0005-0000-0000-000078680000}"/>
    <cellStyle name="Normal 4 17 3 6" xfId="18745" xr:uid="{00000000-0005-0000-0000-000079680000}"/>
    <cellStyle name="Normal 4 17 4" xfId="18746" xr:uid="{00000000-0005-0000-0000-00007A680000}"/>
    <cellStyle name="Normal 4 17 4 2" xfId="54024" xr:uid="{00000000-0005-0000-0000-00007B680000}"/>
    <cellStyle name="Normal 4 17 4 3" xfId="54025" xr:uid="{00000000-0005-0000-0000-00007C680000}"/>
    <cellStyle name="Normal 4 17 5" xfId="18747" xr:uid="{00000000-0005-0000-0000-00007D680000}"/>
    <cellStyle name="Normal 4 17 5 2" xfId="54026" xr:uid="{00000000-0005-0000-0000-00007E680000}"/>
    <cellStyle name="Normal 4 17 6" xfId="18748" xr:uid="{00000000-0005-0000-0000-00007F680000}"/>
    <cellStyle name="Normal 4 17 7" xfId="18749" xr:uid="{00000000-0005-0000-0000-000080680000}"/>
    <cellStyle name="Normal 4 17 8" xfId="18750" xr:uid="{00000000-0005-0000-0000-000081680000}"/>
    <cellStyle name="Normal 4 18" xfId="18751" xr:uid="{00000000-0005-0000-0000-000082680000}"/>
    <cellStyle name="Normal 4 18 2" xfId="18752" xr:uid="{00000000-0005-0000-0000-000083680000}"/>
    <cellStyle name="Normal 4 18 2 2" xfId="18753" xr:uid="{00000000-0005-0000-0000-000084680000}"/>
    <cellStyle name="Normal 4 18 2 2 2" xfId="54027" xr:uid="{00000000-0005-0000-0000-000085680000}"/>
    <cellStyle name="Normal 4 18 2 2 3" xfId="54028" xr:uid="{00000000-0005-0000-0000-000086680000}"/>
    <cellStyle name="Normal 4 18 2 3" xfId="18754" xr:uid="{00000000-0005-0000-0000-000087680000}"/>
    <cellStyle name="Normal 4 18 2 3 2" xfId="54029" xr:uid="{00000000-0005-0000-0000-000088680000}"/>
    <cellStyle name="Normal 4 18 2 4" xfId="18755" xr:uid="{00000000-0005-0000-0000-000089680000}"/>
    <cellStyle name="Normal 4 18 2 5" xfId="18756" xr:uid="{00000000-0005-0000-0000-00008A680000}"/>
    <cellStyle name="Normal 4 18 2 6" xfId="18757" xr:uid="{00000000-0005-0000-0000-00008B680000}"/>
    <cellStyle name="Normal 4 18 3" xfId="18758" xr:uid="{00000000-0005-0000-0000-00008C680000}"/>
    <cellStyle name="Normal 4 18 3 2" xfId="54030" xr:uid="{00000000-0005-0000-0000-00008D680000}"/>
    <cellStyle name="Normal 4 18 3 3" xfId="54031" xr:uid="{00000000-0005-0000-0000-00008E680000}"/>
    <cellStyle name="Normal 4 18 4" xfId="18759" xr:uid="{00000000-0005-0000-0000-00008F680000}"/>
    <cellStyle name="Normal 4 18 4 2" xfId="54032" xr:uid="{00000000-0005-0000-0000-000090680000}"/>
    <cellStyle name="Normal 4 18 5" xfId="18760" xr:uid="{00000000-0005-0000-0000-000091680000}"/>
    <cellStyle name="Normal 4 18 6" xfId="18761" xr:uid="{00000000-0005-0000-0000-000092680000}"/>
    <cellStyle name="Normal 4 18 7" xfId="18762" xr:uid="{00000000-0005-0000-0000-000093680000}"/>
    <cellStyle name="Normal 4 19" xfId="18763" xr:uid="{00000000-0005-0000-0000-000094680000}"/>
    <cellStyle name="Normal 4 19 2" xfId="18764" xr:uid="{00000000-0005-0000-0000-000095680000}"/>
    <cellStyle name="Normal 4 19 2 2" xfId="54033" xr:uid="{00000000-0005-0000-0000-000096680000}"/>
    <cellStyle name="Normal 4 19 2 3" xfId="54034" xr:uid="{00000000-0005-0000-0000-000097680000}"/>
    <cellStyle name="Normal 4 19 3" xfId="18765" xr:uid="{00000000-0005-0000-0000-000098680000}"/>
    <cellStyle name="Normal 4 19 3 2" xfId="54035" xr:uid="{00000000-0005-0000-0000-000099680000}"/>
    <cellStyle name="Normal 4 19 4" xfId="18766" xr:uid="{00000000-0005-0000-0000-00009A680000}"/>
    <cellStyle name="Normal 4 19 5" xfId="18767" xr:uid="{00000000-0005-0000-0000-00009B680000}"/>
    <cellStyle name="Normal 4 19 6" xfId="18768" xr:uid="{00000000-0005-0000-0000-00009C680000}"/>
    <cellStyle name="Normal 4 2" xfId="18769" xr:uid="{00000000-0005-0000-0000-00009D680000}"/>
    <cellStyle name="Normal 4 2 10" xfId="18770" xr:uid="{00000000-0005-0000-0000-00009E680000}"/>
    <cellStyle name="Normal 4 2 10 10" xfId="18771" xr:uid="{00000000-0005-0000-0000-00009F680000}"/>
    <cellStyle name="Normal 4 2 10 11" xfId="18772" xr:uid="{00000000-0005-0000-0000-0000A0680000}"/>
    <cellStyle name="Normal 4 2 10 12" xfId="18773" xr:uid="{00000000-0005-0000-0000-0000A1680000}"/>
    <cellStyle name="Normal 4 2 10 13" xfId="18774" xr:uid="{00000000-0005-0000-0000-0000A2680000}"/>
    <cellStyle name="Normal 4 2 10 14" xfId="18775" xr:uid="{00000000-0005-0000-0000-0000A3680000}"/>
    <cellStyle name="Normal 4 2 10 15" xfId="18776" xr:uid="{00000000-0005-0000-0000-0000A4680000}"/>
    <cellStyle name="Normal 4 2 10 2" xfId="18777" xr:uid="{00000000-0005-0000-0000-0000A5680000}"/>
    <cellStyle name="Normal 4 2 10 2 2" xfId="18778" xr:uid="{00000000-0005-0000-0000-0000A6680000}"/>
    <cellStyle name="Normal 4 2 10 2 2 2" xfId="18779" xr:uid="{00000000-0005-0000-0000-0000A7680000}"/>
    <cellStyle name="Normal 4 2 10 2 2 2 2" xfId="18780" xr:uid="{00000000-0005-0000-0000-0000A8680000}"/>
    <cellStyle name="Normal 4 2 10 2 2 2 2 2" xfId="54036" xr:uid="{00000000-0005-0000-0000-0000A9680000}"/>
    <cellStyle name="Normal 4 2 10 2 2 2 2 3" xfId="54037" xr:uid="{00000000-0005-0000-0000-0000AA680000}"/>
    <cellStyle name="Normal 4 2 10 2 2 2 3" xfId="18781" xr:uid="{00000000-0005-0000-0000-0000AB680000}"/>
    <cellStyle name="Normal 4 2 10 2 2 2 3 2" xfId="54038" xr:uid="{00000000-0005-0000-0000-0000AC680000}"/>
    <cellStyle name="Normal 4 2 10 2 2 2 4" xfId="18782" xr:uid="{00000000-0005-0000-0000-0000AD680000}"/>
    <cellStyle name="Normal 4 2 10 2 2 2 5" xfId="18783" xr:uid="{00000000-0005-0000-0000-0000AE680000}"/>
    <cellStyle name="Normal 4 2 10 2 2 2 6" xfId="18784" xr:uid="{00000000-0005-0000-0000-0000AF680000}"/>
    <cellStyle name="Normal 4 2 10 2 2 3" xfId="18785" xr:uid="{00000000-0005-0000-0000-0000B0680000}"/>
    <cellStyle name="Normal 4 2 10 2 2 3 2" xfId="54039" xr:uid="{00000000-0005-0000-0000-0000B1680000}"/>
    <cellStyle name="Normal 4 2 10 2 2 3 3" xfId="54040" xr:uid="{00000000-0005-0000-0000-0000B2680000}"/>
    <cellStyle name="Normal 4 2 10 2 2 4" xfId="18786" xr:uid="{00000000-0005-0000-0000-0000B3680000}"/>
    <cellStyle name="Normal 4 2 10 2 2 4 2" xfId="54041" xr:uid="{00000000-0005-0000-0000-0000B4680000}"/>
    <cellStyle name="Normal 4 2 10 2 2 5" xfId="18787" xr:uid="{00000000-0005-0000-0000-0000B5680000}"/>
    <cellStyle name="Normal 4 2 10 2 2 6" xfId="18788" xr:uid="{00000000-0005-0000-0000-0000B6680000}"/>
    <cellStyle name="Normal 4 2 10 2 2 7" xfId="18789" xr:uid="{00000000-0005-0000-0000-0000B7680000}"/>
    <cellStyle name="Normal 4 2 10 2 3" xfId="18790" xr:uid="{00000000-0005-0000-0000-0000B8680000}"/>
    <cellStyle name="Normal 4 2 10 2 3 2" xfId="18791" xr:uid="{00000000-0005-0000-0000-0000B9680000}"/>
    <cellStyle name="Normal 4 2 10 2 3 2 2" xfId="54042" xr:uid="{00000000-0005-0000-0000-0000BA680000}"/>
    <cellStyle name="Normal 4 2 10 2 3 2 3" xfId="54043" xr:uid="{00000000-0005-0000-0000-0000BB680000}"/>
    <cellStyle name="Normal 4 2 10 2 3 3" xfId="18792" xr:uid="{00000000-0005-0000-0000-0000BC680000}"/>
    <cellStyle name="Normal 4 2 10 2 3 3 2" xfId="54044" xr:uid="{00000000-0005-0000-0000-0000BD680000}"/>
    <cellStyle name="Normal 4 2 10 2 3 4" xfId="18793" xr:uid="{00000000-0005-0000-0000-0000BE680000}"/>
    <cellStyle name="Normal 4 2 10 2 3 5" xfId="18794" xr:uid="{00000000-0005-0000-0000-0000BF680000}"/>
    <cellStyle name="Normal 4 2 10 2 3 6" xfId="18795" xr:uid="{00000000-0005-0000-0000-0000C0680000}"/>
    <cellStyle name="Normal 4 2 10 2 4" xfId="18796" xr:uid="{00000000-0005-0000-0000-0000C1680000}"/>
    <cellStyle name="Normal 4 2 10 2 4 2" xfId="54045" xr:uid="{00000000-0005-0000-0000-0000C2680000}"/>
    <cellStyle name="Normal 4 2 10 2 4 3" xfId="54046" xr:uid="{00000000-0005-0000-0000-0000C3680000}"/>
    <cellStyle name="Normal 4 2 10 2 5" xfId="18797" xr:uid="{00000000-0005-0000-0000-0000C4680000}"/>
    <cellStyle name="Normal 4 2 10 2 5 2" xfId="54047" xr:uid="{00000000-0005-0000-0000-0000C5680000}"/>
    <cellStyle name="Normal 4 2 10 2 6" xfId="18798" xr:uid="{00000000-0005-0000-0000-0000C6680000}"/>
    <cellStyle name="Normal 4 2 10 2 7" xfId="18799" xr:uid="{00000000-0005-0000-0000-0000C7680000}"/>
    <cellStyle name="Normal 4 2 10 2 8" xfId="18800" xr:uid="{00000000-0005-0000-0000-0000C8680000}"/>
    <cellStyle name="Normal 4 2 10 2 9" xfId="18801" xr:uid="{00000000-0005-0000-0000-0000C9680000}"/>
    <cellStyle name="Normal 4 2 10 3" xfId="18802" xr:uid="{00000000-0005-0000-0000-0000CA680000}"/>
    <cellStyle name="Normal 4 2 10 3 2" xfId="18803" xr:uid="{00000000-0005-0000-0000-0000CB680000}"/>
    <cellStyle name="Normal 4 2 10 3 2 2" xfId="18804" xr:uid="{00000000-0005-0000-0000-0000CC680000}"/>
    <cellStyle name="Normal 4 2 10 3 2 2 2" xfId="18805" xr:uid="{00000000-0005-0000-0000-0000CD680000}"/>
    <cellStyle name="Normal 4 2 10 3 2 2 2 2" xfId="54048" xr:uid="{00000000-0005-0000-0000-0000CE680000}"/>
    <cellStyle name="Normal 4 2 10 3 2 2 2 3" xfId="54049" xr:uid="{00000000-0005-0000-0000-0000CF680000}"/>
    <cellStyle name="Normal 4 2 10 3 2 2 3" xfId="18806" xr:uid="{00000000-0005-0000-0000-0000D0680000}"/>
    <cellStyle name="Normal 4 2 10 3 2 2 3 2" xfId="54050" xr:uid="{00000000-0005-0000-0000-0000D1680000}"/>
    <cellStyle name="Normal 4 2 10 3 2 2 4" xfId="18807" xr:uid="{00000000-0005-0000-0000-0000D2680000}"/>
    <cellStyle name="Normal 4 2 10 3 2 2 5" xfId="18808" xr:uid="{00000000-0005-0000-0000-0000D3680000}"/>
    <cellStyle name="Normal 4 2 10 3 2 2 6" xfId="18809" xr:uid="{00000000-0005-0000-0000-0000D4680000}"/>
    <cellStyle name="Normal 4 2 10 3 2 3" xfId="18810" xr:uid="{00000000-0005-0000-0000-0000D5680000}"/>
    <cellStyle name="Normal 4 2 10 3 2 3 2" xfId="54051" xr:uid="{00000000-0005-0000-0000-0000D6680000}"/>
    <cellStyle name="Normal 4 2 10 3 2 3 3" xfId="54052" xr:uid="{00000000-0005-0000-0000-0000D7680000}"/>
    <cellStyle name="Normal 4 2 10 3 2 4" xfId="18811" xr:uid="{00000000-0005-0000-0000-0000D8680000}"/>
    <cellStyle name="Normal 4 2 10 3 2 4 2" xfId="54053" xr:uid="{00000000-0005-0000-0000-0000D9680000}"/>
    <cellStyle name="Normal 4 2 10 3 2 5" xfId="18812" xr:uid="{00000000-0005-0000-0000-0000DA680000}"/>
    <cellStyle name="Normal 4 2 10 3 2 6" xfId="18813" xr:uid="{00000000-0005-0000-0000-0000DB680000}"/>
    <cellStyle name="Normal 4 2 10 3 2 7" xfId="18814" xr:uid="{00000000-0005-0000-0000-0000DC680000}"/>
    <cellStyle name="Normal 4 2 10 3 3" xfId="18815" xr:uid="{00000000-0005-0000-0000-0000DD680000}"/>
    <cellStyle name="Normal 4 2 10 3 3 2" xfId="18816" xr:uid="{00000000-0005-0000-0000-0000DE680000}"/>
    <cellStyle name="Normal 4 2 10 3 3 2 2" xfId="54054" xr:uid="{00000000-0005-0000-0000-0000DF680000}"/>
    <cellStyle name="Normal 4 2 10 3 3 2 3" xfId="54055" xr:uid="{00000000-0005-0000-0000-0000E0680000}"/>
    <cellStyle name="Normal 4 2 10 3 3 3" xfId="18817" xr:uid="{00000000-0005-0000-0000-0000E1680000}"/>
    <cellStyle name="Normal 4 2 10 3 3 3 2" xfId="54056" xr:uid="{00000000-0005-0000-0000-0000E2680000}"/>
    <cellStyle name="Normal 4 2 10 3 3 4" xfId="18818" xr:uid="{00000000-0005-0000-0000-0000E3680000}"/>
    <cellStyle name="Normal 4 2 10 3 3 5" xfId="18819" xr:uid="{00000000-0005-0000-0000-0000E4680000}"/>
    <cellStyle name="Normal 4 2 10 3 3 6" xfId="18820" xr:uid="{00000000-0005-0000-0000-0000E5680000}"/>
    <cellStyle name="Normal 4 2 10 3 4" xfId="18821" xr:uid="{00000000-0005-0000-0000-0000E6680000}"/>
    <cellStyle name="Normal 4 2 10 3 4 2" xfId="54057" xr:uid="{00000000-0005-0000-0000-0000E7680000}"/>
    <cellStyle name="Normal 4 2 10 3 4 3" xfId="54058" xr:uid="{00000000-0005-0000-0000-0000E8680000}"/>
    <cellStyle name="Normal 4 2 10 3 5" xfId="18822" xr:uid="{00000000-0005-0000-0000-0000E9680000}"/>
    <cellStyle name="Normal 4 2 10 3 5 2" xfId="54059" xr:uid="{00000000-0005-0000-0000-0000EA680000}"/>
    <cellStyle name="Normal 4 2 10 3 6" xfId="18823" xr:uid="{00000000-0005-0000-0000-0000EB680000}"/>
    <cellStyle name="Normal 4 2 10 3 7" xfId="18824" xr:uid="{00000000-0005-0000-0000-0000EC680000}"/>
    <cellStyle name="Normal 4 2 10 3 8" xfId="18825" xr:uid="{00000000-0005-0000-0000-0000ED680000}"/>
    <cellStyle name="Normal 4 2 10 4" xfId="18826" xr:uid="{00000000-0005-0000-0000-0000EE680000}"/>
    <cellStyle name="Normal 4 2 10 4 2" xfId="18827" xr:uid="{00000000-0005-0000-0000-0000EF680000}"/>
    <cellStyle name="Normal 4 2 10 4 2 2" xfId="18828" xr:uid="{00000000-0005-0000-0000-0000F0680000}"/>
    <cellStyle name="Normal 4 2 10 4 2 2 2" xfId="54060" xr:uid="{00000000-0005-0000-0000-0000F1680000}"/>
    <cellStyle name="Normal 4 2 10 4 2 2 3" xfId="54061" xr:uid="{00000000-0005-0000-0000-0000F2680000}"/>
    <cellStyle name="Normal 4 2 10 4 2 3" xfId="18829" xr:uid="{00000000-0005-0000-0000-0000F3680000}"/>
    <cellStyle name="Normal 4 2 10 4 2 3 2" xfId="54062" xr:uid="{00000000-0005-0000-0000-0000F4680000}"/>
    <cellStyle name="Normal 4 2 10 4 2 4" xfId="18830" xr:uid="{00000000-0005-0000-0000-0000F5680000}"/>
    <cellStyle name="Normal 4 2 10 4 2 5" xfId="18831" xr:uid="{00000000-0005-0000-0000-0000F6680000}"/>
    <cellStyle name="Normal 4 2 10 4 2 6" xfId="18832" xr:uid="{00000000-0005-0000-0000-0000F7680000}"/>
    <cellStyle name="Normal 4 2 10 4 3" xfId="18833" xr:uid="{00000000-0005-0000-0000-0000F8680000}"/>
    <cellStyle name="Normal 4 2 10 4 3 2" xfId="54063" xr:uid="{00000000-0005-0000-0000-0000F9680000}"/>
    <cellStyle name="Normal 4 2 10 4 3 3" xfId="54064" xr:uid="{00000000-0005-0000-0000-0000FA680000}"/>
    <cellStyle name="Normal 4 2 10 4 4" xfId="18834" xr:uid="{00000000-0005-0000-0000-0000FB680000}"/>
    <cellStyle name="Normal 4 2 10 4 4 2" xfId="54065" xr:uid="{00000000-0005-0000-0000-0000FC680000}"/>
    <cellStyle name="Normal 4 2 10 4 5" xfId="18835" xr:uid="{00000000-0005-0000-0000-0000FD680000}"/>
    <cellStyle name="Normal 4 2 10 4 6" xfId="18836" xr:uid="{00000000-0005-0000-0000-0000FE680000}"/>
    <cellStyle name="Normal 4 2 10 4 7" xfId="18837" xr:uid="{00000000-0005-0000-0000-0000FF680000}"/>
    <cellStyle name="Normal 4 2 10 5" xfId="18838" xr:uid="{00000000-0005-0000-0000-000000690000}"/>
    <cellStyle name="Normal 4 2 10 5 2" xfId="18839" xr:uid="{00000000-0005-0000-0000-000001690000}"/>
    <cellStyle name="Normal 4 2 10 5 2 2" xfId="54066" xr:uid="{00000000-0005-0000-0000-000002690000}"/>
    <cellStyle name="Normal 4 2 10 5 2 3" xfId="54067" xr:uid="{00000000-0005-0000-0000-000003690000}"/>
    <cellStyle name="Normal 4 2 10 5 3" xfId="18840" xr:uid="{00000000-0005-0000-0000-000004690000}"/>
    <cellStyle name="Normal 4 2 10 5 3 2" xfId="54068" xr:uid="{00000000-0005-0000-0000-000005690000}"/>
    <cellStyle name="Normal 4 2 10 5 4" xfId="18841" xr:uid="{00000000-0005-0000-0000-000006690000}"/>
    <cellStyle name="Normal 4 2 10 5 5" xfId="18842" xr:uid="{00000000-0005-0000-0000-000007690000}"/>
    <cellStyle name="Normal 4 2 10 5 6" xfId="18843" xr:uid="{00000000-0005-0000-0000-000008690000}"/>
    <cellStyle name="Normal 4 2 10 6" xfId="18844" xr:uid="{00000000-0005-0000-0000-000009690000}"/>
    <cellStyle name="Normal 4 2 10 6 2" xfId="54069" xr:uid="{00000000-0005-0000-0000-00000A690000}"/>
    <cellStyle name="Normal 4 2 10 7" xfId="18845" xr:uid="{00000000-0005-0000-0000-00000B690000}"/>
    <cellStyle name="Normal 4 2 10 8" xfId="18846" xr:uid="{00000000-0005-0000-0000-00000C690000}"/>
    <cellStyle name="Normal 4 2 10 9" xfId="18847" xr:uid="{00000000-0005-0000-0000-00000D690000}"/>
    <cellStyle name="Normal 4 2 11" xfId="18848" xr:uid="{00000000-0005-0000-0000-00000E690000}"/>
    <cellStyle name="Normal 4 2 11 2" xfId="18849" xr:uid="{00000000-0005-0000-0000-00000F690000}"/>
    <cellStyle name="Normal 4 2 11 2 2" xfId="18850" xr:uid="{00000000-0005-0000-0000-000010690000}"/>
    <cellStyle name="Normal 4 2 11 2 2 2" xfId="18851" xr:uid="{00000000-0005-0000-0000-000011690000}"/>
    <cellStyle name="Normal 4 2 11 2 2 2 2" xfId="54070" xr:uid="{00000000-0005-0000-0000-000012690000}"/>
    <cellStyle name="Normal 4 2 11 2 2 2 3" xfId="54071" xr:uid="{00000000-0005-0000-0000-000013690000}"/>
    <cellStyle name="Normal 4 2 11 2 2 3" xfId="18852" xr:uid="{00000000-0005-0000-0000-000014690000}"/>
    <cellStyle name="Normal 4 2 11 2 2 3 2" xfId="54072" xr:uid="{00000000-0005-0000-0000-000015690000}"/>
    <cellStyle name="Normal 4 2 11 2 2 4" xfId="18853" xr:uid="{00000000-0005-0000-0000-000016690000}"/>
    <cellStyle name="Normal 4 2 11 2 2 5" xfId="18854" xr:uid="{00000000-0005-0000-0000-000017690000}"/>
    <cellStyle name="Normal 4 2 11 2 2 6" xfId="18855" xr:uid="{00000000-0005-0000-0000-000018690000}"/>
    <cellStyle name="Normal 4 2 11 2 3" xfId="18856" xr:uid="{00000000-0005-0000-0000-000019690000}"/>
    <cellStyle name="Normal 4 2 11 2 3 2" xfId="54073" xr:uid="{00000000-0005-0000-0000-00001A690000}"/>
    <cellStyle name="Normal 4 2 11 2 3 3" xfId="54074" xr:uid="{00000000-0005-0000-0000-00001B690000}"/>
    <cellStyle name="Normal 4 2 11 2 4" xfId="18857" xr:uid="{00000000-0005-0000-0000-00001C690000}"/>
    <cellStyle name="Normal 4 2 11 2 4 2" xfId="54075" xr:uid="{00000000-0005-0000-0000-00001D690000}"/>
    <cellStyle name="Normal 4 2 11 2 5" xfId="18858" xr:uid="{00000000-0005-0000-0000-00001E690000}"/>
    <cellStyle name="Normal 4 2 11 2 6" xfId="18859" xr:uid="{00000000-0005-0000-0000-00001F690000}"/>
    <cellStyle name="Normal 4 2 11 2 7" xfId="18860" xr:uid="{00000000-0005-0000-0000-000020690000}"/>
    <cellStyle name="Normal 4 2 11 3" xfId="18861" xr:uid="{00000000-0005-0000-0000-000021690000}"/>
    <cellStyle name="Normal 4 2 11 3 2" xfId="18862" xr:uid="{00000000-0005-0000-0000-000022690000}"/>
    <cellStyle name="Normal 4 2 11 3 2 2" xfId="54076" xr:uid="{00000000-0005-0000-0000-000023690000}"/>
    <cellStyle name="Normal 4 2 11 3 2 3" xfId="54077" xr:uid="{00000000-0005-0000-0000-000024690000}"/>
    <cellStyle name="Normal 4 2 11 3 3" xfId="18863" xr:uid="{00000000-0005-0000-0000-000025690000}"/>
    <cellStyle name="Normal 4 2 11 3 3 2" xfId="54078" xr:uid="{00000000-0005-0000-0000-000026690000}"/>
    <cellStyle name="Normal 4 2 11 3 4" xfId="18864" xr:uid="{00000000-0005-0000-0000-000027690000}"/>
    <cellStyle name="Normal 4 2 11 3 5" xfId="18865" xr:uid="{00000000-0005-0000-0000-000028690000}"/>
    <cellStyle name="Normal 4 2 11 3 6" xfId="18866" xr:uid="{00000000-0005-0000-0000-000029690000}"/>
    <cellStyle name="Normal 4 2 11 4" xfId="18867" xr:uid="{00000000-0005-0000-0000-00002A690000}"/>
    <cellStyle name="Normal 4 2 11 4 2" xfId="54079" xr:uid="{00000000-0005-0000-0000-00002B690000}"/>
    <cellStyle name="Normal 4 2 11 4 3" xfId="54080" xr:uid="{00000000-0005-0000-0000-00002C690000}"/>
    <cellStyle name="Normal 4 2 11 5" xfId="18868" xr:uid="{00000000-0005-0000-0000-00002D690000}"/>
    <cellStyle name="Normal 4 2 11 5 2" xfId="54081" xr:uid="{00000000-0005-0000-0000-00002E690000}"/>
    <cellStyle name="Normal 4 2 11 6" xfId="18869" xr:uid="{00000000-0005-0000-0000-00002F690000}"/>
    <cellStyle name="Normal 4 2 11 7" xfId="18870" xr:uid="{00000000-0005-0000-0000-000030690000}"/>
    <cellStyle name="Normal 4 2 11 8" xfId="18871" xr:uid="{00000000-0005-0000-0000-000031690000}"/>
    <cellStyle name="Normal 4 2 11 9" xfId="18872" xr:uid="{00000000-0005-0000-0000-000032690000}"/>
    <cellStyle name="Normal 4 2 12" xfId="18873" xr:uid="{00000000-0005-0000-0000-000033690000}"/>
    <cellStyle name="Normal 4 2 12 2" xfId="18874" xr:uid="{00000000-0005-0000-0000-000034690000}"/>
    <cellStyle name="Normal 4 2 12 2 2" xfId="18875" xr:uid="{00000000-0005-0000-0000-000035690000}"/>
    <cellStyle name="Normal 4 2 12 2 2 2" xfId="18876" xr:uid="{00000000-0005-0000-0000-000036690000}"/>
    <cellStyle name="Normal 4 2 12 2 2 2 2" xfId="54082" xr:uid="{00000000-0005-0000-0000-000037690000}"/>
    <cellStyle name="Normal 4 2 12 2 2 2 3" xfId="54083" xr:uid="{00000000-0005-0000-0000-000038690000}"/>
    <cellStyle name="Normal 4 2 12 2 2 3" xfId="18877" xr:uid="{00000000-0005-0000-0000-000039690000}"/>
    <cellStyle name="Normal 4 2 12 2 2 3 2" xfId="54084" xr:uid="{00000000-0005-0000-0000-00003A690000}"/>
    <cellStyle name="Normal 4 2 12 2 2 4" xfId="18878" xr:uid="{00000000-0005-0000-0000-00003B690000}"/>
    <cellStyle name="Normal 4 2 12 2 2 5" xfId="18879" xr:uid="{00000000-0005-0000-0000-00003C690000}"/>
    <cellStyle name="Normal 4 2 12 2 2 6" xfId="18880" xr:uid="{00000000-0005-0000-0000-00003D690000}"/>
    <cellStyle name="Normal 4 2 12 2 3" xfId="18881" xr:uid="{00000000-0005-0000-0000-00003E690000}"/>
    <cellStyle name="Normal 4 2 12 2 3 2" xfId="54085" xr:uid="{00000000-0005-0000-0000-00003F690000}"/>
    <cellStyle name="Normal 4 2 12 2 3 3" xfId="54086" xr:uid="{00000000-0005-0000-0000-000040690000}"/>
    <cellStyle name="Normal 4 2 12 2 4" xfId="18882" xr:uid="{00000000-0005-0000-0000-000041690000}"/>
    <cellStyle name="Normal 4 2 12 2 4 2" xfId="54087" xr:uid="{00000000-0005-0000-0000-000042690000}"/>
    <cellStyle name="Normal 4 2 12 2 5" xfId="18883" xr:uid="{00000000-0005-0000-0000-000043690000}"/>
    <cellStyle name="Normal 4 2 12 2 6" xfId="18884" xr:uid="{00000000-0005-0000-0000-000044690000}"/>
    <cellStyle name="Normal 4 2 12 2 7" xfId="18885" xr:uid="{00000000-0005-0000-0000-000045690000}"/>
    <cellStyle name="Normal 4 2 12 3" xfId="18886" xr:uid="{00000000-0005-0000-0000-000046690000}"/>
    <cellStyle name="Normal 4 2 12 3 2" xfId="18887" xr:uid="{00000000-0005-0000-0000-000047690000}"/>
    <cellStyle name="Normal 4 2 12 3 2 2" xfId="54088" xr:uid="{00000000-0005-0000-0000-000048690000}"/>
    <cellStyle name="Normal 4 2 12 3 2 3" xfId="54089" xr:uid="{00000000-0005-0000-0000-000049690000}"/>
    <cellStyle name="Normal 4 2 12 3 3" xfId="18888" xr:uid="{00000000-0005-0000-0000-00004A690000}"/>
    <cellStyle name="Normal 4 2 12 3 3 2" xfId="54090" xr:uid="{00000000-0005-0000-0000-00004B690000}"/>
    <cellStyle name="Normal 4 2 12 3 4" xfId="18889" xr:uid="{00000000-0005-0000-0000-00004C690000}"/>
    <cellStyle name="Normal 4 2 12 3 5" xfId="18890" xr:uid="{00000000-0005-0000-0000-00004D690000}"/>
    <cellStyle name="Normal 4 2 12 3 6" xfId="18891" xr:uid="{00000000-0005-0000-0000-00004E690000}"/>
    <cellStyle name="Normal 4 2 12 4" xfId="18892" xr:uid="{00000000-0005-0000-0000-00004F690000}"/>
    <cellStyle name="Normal 4 2 12 4 2" xfId="54091" xr:uid="{00000000-0005-0000-0000-000050690000}"/>
    <cellStyle name="Normal 4 2 12 4 3" xfId="54092" xr:uid="{00000000-0005-0000-0000-000051690000}"/>
    <cellStyle name="Normal 4 2 12 5" xfId="18893" xr:uid="{00000000-0005-0000-0000-000052690000}"/>
    <cellStyle name="Normal 4 2 12 5 2" xfId="54093" xr:uid="{00000000-0005-0000-0000-000053690000}"/>
    <cellStyle name="Normal 4 2 12 6" xfId="18894" xr:uid="{00000000-0005-0000-0000-000054690000}"/>
    <cellStyle name="Normal 4 2 12 7" xfId="18895" xr:uid="{00000000-0005-0000-0000-000055690000}"/>
    <cellStyle name="Normal 4 2 12 8" xfId="18896" xr:uid="{00000000-0005-0000-0000-000056690000}"/>
    <cellStyle name="Normal 4 2 13" xfId="18897" xr:uid="{00000000-0005-0000-0000-000057690000}"/>
    <cellStyle name="Normal 4 2 13 2" xfId="18898" xr:uid="{00000000-0005-0000-0000-000058690000}"/>
    <cellStyle name="Normal 4 2 13 2 2" xfId="18899" xr:uid="{00000000-0005-0000-0000-000059690000}"/>
    <cellStyle name="Normal 4 2 13 2 2 2" xfId="54094" xr:uid="{00000000-0005-0000-0000-00005A690000}"/>
    <cellStyle name="Normal 4 2 13 2 2 3" xfId="54095" xr:uid="{00000000-0005-0000-0000-00005B690000}"/>
    <cellStyle name="Normal 4 2 13 2 3" xfId="18900" xr:uid="{00000000-0005-0000-0000-00005C690000}"/>
    <cellStyle name="Normal 4 2 13 2 3 2" xfId="54096" xr:uid="{00000000-0005-0000-0000-00005D690000}"/>
    <cellStyle name="Normal 4 2 13 2 4" xfId="18901" xr:uid="{00000000-0005-0000-0000-00005E690000}"/>
    <cellStyle name="Normal 4 2 13 2 5" xfId="18902" xr:uid="{00000000-0005-0000-0000-00005F690000}"/>
    <cellStyle name="Normal 4 2 13 2 6" xfId="18903" xr:uid="{00000000-0005-0000-0000-000060690000}"/>
    <cellStyle name="Normal 4 2 13 3" xfId="18904" xr:uid="{00000000-0005-0000-0000-000061690000}"/>
    <cellStyle name="Normal 4 2 13 3 2" xfId="54097" xr:uid="{00000000-0005-0000-0000-000062690000}"/>
    <cellStyle name="Normal 4 2 13 3 3" xfId="54098" xr:uid="{00000000-0005-0000-0000-000063690000}"/>
    <cellStyle name="Normal 4 2 13 4" xfId="18905" xr:uid="{00000000-0005-0000-0000-000064690000}"/>
    <cellStyle name="Normal 4 2 13 4 2" xfId="54099" xr:uid="{00000000-0005-0000-0000-000065690000}"/>
    <cellStyle name="Normal 4 2 13 5" xfId="18906" xr:uid="{00000000-0005-0000-0000-000066690000}"/>
    <cellStyle name="Normal 4 2 13 6" xfId="18907" xr:uid="{00000000-0005-0000-0000-000067690000}"/>
    <cellStyle name="Normal 4 2 13 7" xfId="18908" xr:uid="{00000000-0005-0000-0000-000068690000}"/>
    <cellStyle name="Normal 4 2 14" xfId="18909" xr:uid="{00000000-0005-0000-0000-000069690000}"/>
    <cellStyle name="Normal 4 2 14 2" xfId="18910" xr:uid="{00000000-0005-0000-0000-00006A690000}"/>
    <cellStyle name="Normal 4 2 14 2 2" xfId="54100" xr:uid="{00000000-0005-0000-0000-00006B690000}"/>
    <cellStyle name="Normal 4 2 14 2 3" xfId="54101" xr:uid="{00000000-0005-0000-0000-00006C690000}"/>
    <cellStyle name="Normal 4 2 14 3" xfId="18911" xr:uid="{00000000-0005-0000-0000-00006D690000}"/>
    <cellStyle name="Normal 4 2 14 3 2" xfId="54102" xr:uid="{00000000-0005-0000-0000-00006E690000}"/>
    <cellStyle name="Normal 4 2 14 4" xfId="18912" xr:uid="{00000000-0005-0000-0000-00006F690000}"/>
    <cellStyle name="Normal 4 2 14 5" xfId="18913" xr:uid="{00000000-0005-0000-0000-000070690000}"/>
    <cellStyle name="Normal 4 2 14 6" xfId="18914" xr:uid="{00000000-0005-0000-0000-000071690000}"/>
    <cellStyle name="Normal 4 2 15" xfId="18915" xr:uid="{00000000-0005-0000-0000-000072690000}"/>
    <cellStyle name="Normal 4 2 16" xfId="18916" xr:uid="{00000000-0005-0000-0000-000073690000}"/>
    <cellStyle name="Normal 4 2 17" xfId="18917" xr:uid="{00000000-0005-0000-0000-000074690000}"/>
    <cellStyle name="Normal 4 2 18" xfId="18918" xr:uid="{00000000-0005-0000-0000-000075690000}"/>
    <cellStyle name="Normal 4 2 2" xfId="18919" xr:uid="{00000000-0005-0000-0000-000076690000}"/>
    <cellStyle name="Normal 4 2 2 2" xfId="18920" xr:uid="{00000000-0005-0000-0000-000077690000}"/>
    <cellStyle name="Normal 4 2 2 2 2" xfId="18921" xr:uid="{00000000-0005-0000-0000-000078690000}"/>
    <cellStyle name="Normal 4 2 2 2 3" xfId="18922" xr:uid="{00000000-0005-0000-0000-000079690000}"/>
    <cellStyle name="Normal 4 2 2 3" xfId="18923" xr:uid="{00000000-0005-0000-0000-00007A690000}"/>
    <cellStyle name="Normal 4 2 2 3 2" xfId="18924" xr:uid="{00000000-0005-0000-0000-00007B690000}"/>
    <cellStyle name="Normal 4 2 2 4" xfId="18925" xr:uid="{00000000-0005-0000-0000-00007C690000}"/>
    <cellStyle name="Normal 4 2 2 4 2" xfId="18926" xr:uid="{00000000-0005-0000-0000-00007D690000}"/>
    <cellStyle name="Normal 4 2 2 5" xfId="18927" xr:uid="{00000000-0005-0000-0000-00007E690000}"/>
    <cellStyle name="Normal 4 2 2_Sheet1" xfId="18928" xr:uid="{00000000-0005-0000-0000-00007F690000}"/>
    <cellStyle name="Normal 4 2 3" xfId="18929" xr:uid="{00000000-0005-0000-0000-000080690000}"/>
    <cellStyle name="Normal 4 2 3 2" xfId="18930" xr:uid="{00000000-0005-0000-0000-000081690000}"/>
    <cellStyle name="Normal 4 2 3 3" xfId="18931" xr:uid="{00000000-0005-0000-0000-000082690000}"/>
    <cellStyle name="Normal 4 2 4" xfId="18932" xr:uid="{00000000-0005-0000-0000-000083690000}"/>
    <cellStyle name="Normal 4 2 4 10" xfId="18933" xr:uid="{00000000-0005-0000-0000-000084690000}"/>
    <cellStyle name="Normal 4 2 4 10 2" xfId="54103" xr:uid="{00000000-0005-0000-0000-000085690000}"/>
    <cellStyle name="Normal 4 2 4 10 3" xfId="54104" xr:uid="{00000000-0005-0000-0000-000086690000}"/>
    <cellStyle name="Normal 4 2 4 11" xfId="18934" xr:uid="{00000000-0005-0000-0000-000087690000}"/>
    <cellStyle name="Normal 4 2 4 11 2" xfId="54105" xr:uid="{00000000-0005-0000-0000-000088690000}"/>
    <cellStyle name="Normal 4 2 4 12" xfId="18935" xr:uid="{00000000-0005-0000-0000-000089690000}"/>
    <cellStyle name="Normal 4 2 4 12 2" xfId="54106" xr:uid="{00000000-0005-0000-0000-00008A690000}"/>
    <cellStyle name="Normal 4 2 4 13" xfId="18936" xr:uid="{00000000-0005-0000-0000-00008B690000}"/>
    <cellStyle name="Normal 4 2 4 14" xfId="18937" xr:uid="{00000000-0005-0000-0000-00008C690000}"/>
    <cellStyle name="Normal 4 2 4 15" xfId="18938" xr:uid="{00000000-0005-0000-0000-00008D690000}"/>
    <cellStyle name="Normal 4 2 4 16" xfId="18939" xr:uid="{00000000-0005-0000-0000-00008E690000}"/>
    <cellStyle name="Normal 4 2 4 17" xfId="18940" xr:uid="{00000000-0005-0000-0000-00008F690000}"/>
    <cellStyle name="Normal 4 2 4 18" xfId="18941" xr:uid="{00000000-0005-0000-0000-000090690000}"/>
    <cellStyle name="Normal 4 2 4 2" xfId="18942" xr:uid="{00000000-0005-0000-0000-000091690000}"/>
    <cellStyle name="Normal 4 2 4 2 10" xfId="18943" xr:uid="{00000000-0005-0000-0000-000092690000}"/>
    <cellStyle name="Normal 4 2 4 2 11" xfId="18944" xr:uid="{00000000-0005-0000-0000-000093690000}"/>
    <cellStyle name="Normal 4 2 4 2 12" xfId="18945" xr:uid="{00000000-0005-0000-0000-000094690000}"/>
    <cellStyle name="Normal 4 2 4 2 13" xfId="18946" xr:uid="{00000000-0005-0000-0000-000095690000}"/>
    <cellStyle name="Normal 4 2 4 2 14" xfId="18947" xr:uid="{00000000-0005-0000-0000-000096690000}"/>
    <cellStyle name="Normal 4 2 4 2 2" xfId="18948" xr:uid="{00000000-0005-0000-0000-000097690000}"/>
    <cellStyle name="Normal 4 2 4 2 2 10" xfId="18949" xr:uid="{00000000-0005-0000-0000-000098690000}"/>
    <cellStyle name="Normal 4 2 4 2 2 2" xfId="18950" xr:uid="{00000000-0005-0000-0000-000099690000}"/>
    <cellStyle name="Normal 4 2 4 2 2 2 2" xfId="18951" xr:uid="{00000000-0005-0000-0000-00009A690000}"/>
    <cellStyle name="Normal 4 2 4 2 2 2 2 2" xfId="18952" xr:uid="{00000000-0005-0000-0000-00009B690000}"/>
    <cellStyle name="Normal 4 2 4 2 2 2 2 2 2" xfId="54107" xr:uid="{00000000-0005-0000-0000-00009C690000}"/>
    <cellStyle name="Normal 4 2 4 2 2 2 2 2 3" xfId="54108" xr:uid="{00000000-0005-0000-0000-00009D690000}"/>
    <cellStyle name="Normal 4 2 4 2 2 2 2 3" xfId="18953" xr:uid="{00000000-0005-0000-0000-00009E690000}"/>
    <cellStyle name="Normal 4 2 4 2 2 2 2 3 2" xfId="54109" xr:uid="{00000000-0005-0000-0000-00009F690000}"/>
    <cellStyle name="Normal 4 2 4 2 2 2 2 4" xfId="18954" xr:uid="{00000000-0005-0000-0000-0000A0690000}"/>
    <cellStyle name="Normal 4 2 4 2 2 2 2 5" xfId="18955" xr:uid="{00000000-0005-0000-0000-0000A1690000}"/>
    <cellStyle name="Normal 4 2 4 2 2 2 2 6" xfId="18956" xr:uid="{00000000-0005-0000-0000-0000A2690000}"/>
    <cellStyle name="Normal 4 2 4 2 2 2 3" xfId="18957" xr:uid="{00000000-0005-0000-0000-0000A3690000}"/>
    <cellStyle name="Normal 4 2 4 2 2 2 3 2" xfId="54110" xr:uid="{00000000-0005-0000-0000-0000A4690000}"/>
    <cellStyle name="Normal 4 2 4 2 2 2 3 3" xfId="54111" xr:uid="{00000000-0005-0000-0000-0000A5690000}"/>
    <cellStyle name="Normal 4 2 4 2 2 2 4" xfId="18958" xr:uid="{00000000-0005-0000-0000-0000A6690000}"/>
    <cellStyle name="Normal 4 2 4 2 2 2 4 2" xfId="54112" xr:uid="{00000000-0005-0000-0000-0000A7690000}"/>
    <cellStyle name="Normal 4 2 4 2 2 2 5" xfId="18959" xr:uid="{00000000-0005-0000-0000-0000A8690000}"/>
    <cellStyle name="Normal 4 2 4 2 2 2 6" xfId="18960" xr:uid="{00000000-0005-0000-0000-0000A9690000}"/>
    <cellStyle name="Normal 4 2 4 2 2 2 7" xfId="18961" xr:uid="{00000000-0005-0000-0000-0000AA690000}"/>
    <cellStyle name="Normal 4 2 4 2 2 3" xfId="18962" xr:uid="{00000000-0005-0000-0000-0000AB690000}"/>
    <cellStyle name="Normal 4 2 4 2 2 3 2" xfId="18963" xr:uid="{00000000-0005-0000-0000-0000AC690000}"/>
    <cellStyle name="Normal 4 2 4 2 2 3 2 2" xfId="54113" xr:uid="{00000000-0005-0000-0000-0000AD690000}"/>
    <cellStyle name="Normal 4 2 4 2 2 3 2 3" xfId="54114" xr:uid="{00000000-0005-0000-0000-0000AE690000}"/>
    <cellStyle name="Normal 4 2 4 2 2 3 3" xfId="18964" xr:uid="{00000000-0005-0000-0000-0000AF690000}"/>
    <cellStyle name="Normal 4 2 4 2 2 3 3 2" xfId="54115" xr:uid="{00000000-0005-0000-0000-0000B0690000}"/>
    <cellStyle name="Normal 4 2 4 2 2 3 4" xfId="18965" xr:uid="{00000000-0005-0000-0000-0000B1690000}"/>
    <cellStyle name="Normal 4 2 4 2 2 3 5" xfId="18966" xr:uid="{00000000-0005-0000-0000-0000B2690000}"/>
    <cellStyle name="Normal 4 2 4 2 2 3 6" xfId="18967" xr:uid="{00000000-0005-0000-0000-0000B3690000}"/>
    <cellStyle name="Normal 4 2 4 2 2 4" xfId="18968" xr:uid="{00000000-0005-0000-0000-0000B4690000}"/>
    <cellStyle name="Normal 4 2 4 2 2 4 2" xfId="54116" xr:uid="{00000000-0005-0000-0000-0000B5690000}"/>
    <cellStyle name="Normal 4 2 4 2 2 5" xfId="18969" xr:uid="{00000000-0005-0000-0000-0000B6690000}"/>
    <cellStyle name="Normal 4 2 4 2 2 6" xfId="18970" xr:uid="{00000000-0005-0000-0000-0000B7690000}"/>
    <cellStyle name="Normal 4 2 4 2 2 7" xfId="18971" xr:uid="{00000000-0005-0000-0000-0000B8690000}"/>
    <cellStyle name="Normal 4 2 4 2 2 8" xfId="18972" xr:uid="{00000000-0005-0000-0000-0000B9690000}"/>
    <cellStyle name="Normal 4 2 4 2 2 9" xfId="18973" xr:uid="{00000000-0005-0000-0000-0000BA690000}"/>
    <cellStyle name="Normal 4 2 4 2 3" xfId="18974" xr:uid="{00000000-0005-0000-0000-0000BB690000}"/>
    <cellStyle name="Normal 4 2 4 2 3 2" xfId="18975" xr:uid="{00000000-0005-0000-0000-0000BC690000}"/>
    <cellStyle name="Normal 4 2 4 2 3 2 2" xfId="18976" xr:uid="{00000000-0005-0000-0000-0000BD690000}"/>
    <cellStyle name="Normal 4 2 4 2 3 2 2 2" xfId="18977" xr:uid="{00000000-0005-0000-0000-0000BE690000}"/>
    <cellStyle name="Normal 4 2 4 2 3 2 2 2 2" xfId="54117" xr:uid="{00000000-0005-0000-0000-0000BF690000}"/>
    <cellStyle name="Normal 4 2 4 2 3 2 2 2 3" xfId="54118" xr:uid="{00000000-0005-0000-0000-0000C0690000}"/>
    <cellStyle name="Normal 4 2 4 2 3 2 2 3" xfId="18978" xr:uid="{00000000-0005-0000-0000-0000C1690000}"/>
    <cellStyle name="Normal 4 2 4 2 3 2 2 3 2" xfId="54119" xr:uid="{00000000-0005-0000-0000-0000C2690000}"/>
    <cellStyle name="Normal 4 2 4 2 3 2 2 4" xfId="18979" xr:uid="{00000000-0005-0000-0000-0000C3690000}"/>
    <cellStyle name="Normal 4 2 4 2 3 2 2 5" xfId="18980" xr:uid="{00000000-0005-0000-0000-0000C4690000}"/>
    <cellStyle name="Normal 4 2 4 2 3 2 2 6" xfId="18981" xr:uid="{00000000-0005-0000-0000-0000C5690000}"/>
    <cellStyle name="Normal 4 2 4 2 3 2 3" xfId="18982" xr:uid="{00000000-0005-0000-0000-0000C6690000}"/>
    <cellStyle name="Normal 4 2 4 2 3 2 3 2" xfId="54120" xr:uid="{00000000-0005-0000-0000-0000C7690000}"/>
    <cellStyle name="Normal 4 2 4 2 3 2 3 3" xfId="54121" xr:uid="{00000000-0005-0000-0000-0000C8690000}"/>
    <cellStyle name="Normal 4 2 4 2 3 2 4" xfId="18983" xr:uid="{00000000-0005-0000-0000-0000C9690000}"/>
    <cellStyle name="Normal 4 2 4 2 3 2 4 2" xfId="54122" xr:uid="{00000000-0005-0000-0000-0000CA690000}"/>
    <cellStyle name="Normal 4 2 4 2 3 2 5" xfId="18984" xr:uid="{00000000-0005-0000-0000-0000CB690000}"/>
    <cellStyle name="Normal 4 2 4 2 3 2 6" xfId="18985" xr:uid="{00000000-0005-0000-0000-0000CC690000}"/>
    <cellStyle name="Normal 4 2 4 2 3 2 7" xfId="18986" xr:uid="{00000000-0005-0000-0000-0000CD690000}"/>
    <cellStyle name="Normal 4 2 4 2 3 3" xfId="18987" xr:uid="{00000000-0005-0000-0000-0000CE690000}"/>
    <cellStyle name="Normal 4 2 4 2 3 3 2" xfId="18988" xr:uid="{00000000-0005-0000-0000-0000CF690000}"/>
    <cellStyle name="Normal 4 2 4 2 3 3 2 2" xfId="54123" xr:uid="{00000000-0005-0000-0000-0000D0690000}"/>
    <cellStyle name="Normal 4 2 4 2 3 3 2 3" xfId="54124" xr:uid="{00000000-0005-0000-0000-0000D1690000}"/>
    <cellStyle name="Normal 4 2 4 2 3 3 3" xfId="18989" xr:uid="{00000000-0005-0000-0000-0000D2690000}"/>
    <cellStyle name="Normal 4 2 4 2 3 3 3 2" xfId="54125" xr:uid="{00000000-0005-0000-0000-0000D3690000}"/>
    <cellStyle name="Normal 4 2 4 2 3 3 4" xfId="18990" xr:uid="{00000000-0005-0000-0000-0000D4690000}"/>
    <cellStyle name="Normal 4 2 4 2 3 3 5" xfId="18991" xr:uid="{00000000-0005-0000-0000-0000D5690000}"/>
    <cellStyle name="Normal 4 2 4 2 3 3 6" xfId="18992" xr:uid="{00000000-0005-0000-0000-0000D6690000}"/>
    <cellStyle name="Normal 4 2 4 2 3 4" xfId="18993" xr:uid="{00000000-0005-0000-0000-0000D7690000}"/>
    <cellStyle name="Normal 4 2 4 2 3 4 2" xfId="54126" xr:uid="{00000000-0005-0000-0000-0000D8690000}"/>
    <cellStyle name="Normal 4 2 4 2 3 4 3" xfId="54127" xr:uid="{00000000-0005-0000-0000-0000D9690000}"/>
    <cellStyle name="Normal 4 2 4 2 3 5" xfId="18994" xr:uid="{00000000-0005-0000-0000-0000DA690000}"/>
    <cellStyle name="Normal 4 2 4 2 3 5 2" xfId="54128" xr:uid="{00000000-0005-0000-0000-0000DB690000}"/>
    <cellStyle name="Normal 4 2 4 2 3 6" xfId="18995" xr:uid="{00000000-0005-0000-0000-0000DC690000}"/>
    <cellStyle name="Normal 4 2 4 2 3 7" xfId="18996" xr:uid="{00000000-0005-0000-0000-0000DD690000}"/>
    <cellStyle name="Normal 4 2 4 2 3 8" xfId="18997" xr:uid="{00000000-0005-0000-0000-0000DE690000}"/>
    <cellStyle name="Normal 4 2 4 2 4" xfId="18998" xr:uid="{00000000-0005-0000-0000-0000DF690000}"/>
    <cellStyle name="Normal 4 2 4 2 4 2" xfId="18999" xr:uid="{00000000-0005-0000-0000-0000E0690000}"/>
    <cellStyle name="Normal 4 2 4 2 4 2 2" xfId="19000" xr:uid="{00000000-0005-0000-0000-0000E1690000}"/>
    <cellStyle name="Normal 4 2 4 2 4 2 2 2" xfId="54129" xr:uid="{00000000-0005-0000-0000-0000E2690000}"/>
    <cellStyle name="Normal 4 2 4 2 4 2 2 3" xfId="54130" xr:uid="{00000000-0005-0000-0000-0000E3690000}"/>
    <cellStyle name="Normal 4 2 4 2 4 2 3" xfId="19001" xr:uid="{00000000-0005-0000-0000-0000E4690000}"/>
    <cellStyle name="Normal 4 2 4 2 4 2 3 2" xfId="54131" xr:uid="{00000000-0005-0000-0000-0000E5690000}"/>
    <cellStyle name="Normal 4 2 4 2 4 2 4" xfId="19002" xr:uid="{00000000-0005-0000-0000-0000E6690000}"/>
    <cellStyle name="Normal 4 2 4 2 4 2 5" xfId="19003" xr:uid="{00000000-0005-0000-0000-0000E7690000}"/>
    <cellStyle name="Normal 4 2 4 2 4 2 6" xfId="19004" xr:uid="{00000000-0005-0000-0000-0000E8690000}"/>
    <cellStyle name="Normal 4 2 4 2 4 3" xfId="19005" xr:uid="{00000000-0005-0000-0000-0000E9690000}"/>
    <cellStyle name="Normal 4 2 4 2 4 3 2" xfId="54132" xr:uid="{00000000-0005-0000-0000-0000EA690000}"/>
    <cellStyle name="Normal 4 2 4 2 4 3 3" xfId="54133" xr:uid="{00000000-0005-0000-0000-0000EB690000}"/>
    <cellStyle name="Normal 4 2 4 2 4 4" xfId="19006" xr:uid="{00000000-0005-0000-0000-0000EC690000}"/>
    <cellStyle name="Normal 4 2 4 2 4 4 2" xfId="54134" xr:uid="{00000000-0005-0000-0000-0000ED690000}"/>
    <cellStyle name="Normal 4 2 4 2 4 5" xfId="19007" xr:uid="{00000000-0005-0000-0000-0000EE690000}"/>
    <cellStyle name="Normal 4 2 4 2 4 6" xfId="19008" xr:uid="{00000000-0005-0000-0000-0000EF690000}"/>
    <cellStyle name="Normal 4 2 4 2 4 7" xfId="19009" xr:uid="{00000000-0005-0000-0000-0000F0690000}"/>
    <cellStyle name="Normal 4 2 4 2 5" xfId="19010" xr:uid="{00000000-0005-0000-0000-0000F1690000}"/>
    <cellStyle name="Normal 4 2 4 2 5 2" xfId="19011" xr:uid="{00000000-0005-0000-0000-0000F2690000}"/>
    <cellStyle name="Normal 4 2 4 2 5 2 2" xfId="54135" xr:uid="{00000000-0005-0000-0000-0000F3690000}"/>
    <cellStyle name="Normal 4 2 4 2 5 2 3" xfId="54136" xr:uid="{00000000-0005-0000-0000-0000F4690000}"/>
    <cellStyle name="Normal 4 2 4 2 5 3" xfId="19012" xr:uid="{00000000-0005-0000-0000-0000F5690000}"/>
    <cellStyle name="Normal 4 2 4 2 5 3 2" xfId="54137" xr:uid="{00000000-0005-0000-0000-0000F6690000}"/>
    <cellStyle name="Normal 4 2 4 2 5 4" xfId="19013" xr:uid="{00000000-0005-0000-0000-0000F7690000}"/>
    <cellStyle name="Normal 4 2 4 2 5 5" xfId="19014" xr:uid="{00000000-0005-0000-0000-0000F8690000}"/>
    <cellStyle name="Normal 4 2 4 2 5 6" xfId="19015" xr:uid="{00000000-0005-0000-0000-0000F9690000}"/>
    <cellStyle name="Normal 4 2 4 2 6" xfId="19016" xr:uid="{00000000-0005-0000-0000-0000FA690000}"/>
    <cellStyle name="Normal 4 2 4 2 6 2" xfId="54138" xr:uid="{00000000-0005-0000-0000-0000FB690000}"/>
    <cellStyle name="Normal 4 2 4 2 6 3" xfId="54139" xr:uid="{00000000-0005-0000-0000-0000FC690000}"/>
    <cellStyle name="Normal 4 2 4 2 7" xfId="19017" xr:uid="{00000000-0005-0000-0000-0000FD690000}"/>
    <cellStyle name="Normal 4 2 4 2 7 2" xfId="54140" xr:uid="{00000000-0005-0000-0000-0000FE690000}"/>
    <cellStyle name="Normal 4 2 4 2 8" xfId="19018" xr:uid="{00000000-0005-0000-0000-0000FF690000}"/>
    <cellStyle name="Normal 4 2 4 2 8 2" xfId="54141" xr:uid="{00000000-0005-0000-0000-0000006A0000}"/>
    <cellStyle name="Normal 4 2 4 2 9" xfId="19019" xr:uid="{00000000-0005-0000-0000-0000016A0000}"/>
    <cellStyle name="Normal 4 2 4 3" xfId="19020" xr:uid="{00000000-0005-0000-0000-0000026A0000}"/>
    <cellStyle name="Normal 4 2 4 3 10" xfId="19021" xr:uid="{00000000-0005-0000-0000-0000036A0000}"/>
    <cellStyle name="Normal 4 2 4 3 11" xfId="19022" xr:uid="{00000000-0005-0000-0000-0000046A0000}"/>
    <cellStyle name="Normal 4 2 4 3 12" xfId="19023" xr:uid="{00000000-0005-0000-0000-0000056A0000}"/>
    <cellStyle name="Normal 4 2 4 3 13" xfId="19024" xr:uid="{00000000-0005-0000-0000-0000066A0000}"/>
    <cellStyle name="Normal 4 2 4 3 14" xfId="19025" xr:uid="{00000000-0005-0000-0000-0000076A0000}"/>
    <cellStyle name="Normal 4 2 4 3 15" xfId="19026" xr:uid="{00000000-0005-0000-0000-0000086A0000}"/>
    <cellStyle name="Normal 4 2 4 3 2" xfId="19027" xr:uid="{00000000-0005-0000-0000-0000096A0000}"/>
    <cellStyle name="Normal 4 2 4 3 2 2" xfId="19028" xr:uid="{00000000-0005-0000-0000-00000A6A0000}"/>
    <cellStyle name="Normal 4 2 4 3 2 2 2" xfId="19029" xr:uid="{00000000-0005-0000-0000-00000B6A0000}"/>
    <cellStyle name="Normal 4 2 4 3 2 2 2 2" xfId="19030" xr:uid="{00000000-0005-0000-0000-00000C6A0000}"/>
    <cellStyle name="Normal 4 2 4 3 2 2 2 2 2" xfId="54142" xr:uid="{00000000-0005-0000-0000-00000D6A0000}"/>
    <cellStyle name="Normal 4 2 4 3 2 2 2 2 3" xfId="54143" xr:uid="{00000000-0005-0000-0000-00000E6A0000}"/>
    <cellStyle name="Normal 4 2 4 3 2 2 2 3" xfId="19031" xr:uid="{00000000-0005-0000-0000-00000F6A0000}"/>
    <cellStyle name="Normal 4 2 4 3 2 2 2 3 2" xfId="54144" xr:uid="{00000000-0005-0000-0000-0000106A0000}"/>
    <cellStyle name="Normal 4 2 4 3 2 2 2 4" xfId="19032" xr:uid="{00000000-0005-0000-0000-0000116A0000}"/>
    <cellStyle name="Normal 4 2 4 3 2 2 2 5" xfId="19033" xr:uid="{00000000-0005-0000-0000-0000126A0000}"/>
    <cellStyle name="Normal 4 2 4 3 2 2 2 6" xfId="19034" xr:uid="{00000000-0005-0000-0000-0000136A0000}"/>
    <cellStyle name="Normal 4 2 4 3 2 2 3" xfId="19035" xr:uid="{00000000-0005-0000-0000-0000146A0000}"/>
    <cellStyle name="Normal 4 2 4 3 2 2 3 2" xfId="54145" xr:uid="{00000000-0005-0000-0000-0000156A0000}"/>
    <cellStyle name="Normal 4 2 4 3 2 2 3 3" xfId="54146" xr:uid="{00000000-0005-0000-0000-0000166A0000}"/>
    <cellStyle name="Normal 4 2 4 3 2 2 4" xfId="19036" xr:uid="{00000000-0005-0000-0000-0000176A0000}"/>
    <cellStyle name="Normal 4 2 4 3 2 2 4 2" xfId="54147" xr:uid="{00000000-0005-0000-0000-0000186A0000}"/>
    <cellStyle name="Normal 4 2 4 3 2 2 5" xfId="19037" xr:uid="{00000000-0005-0000-0000-0000196A0000}"/>
    <cellStyle name="Normal 4 2 4 3 2 2 6" xfId="19038" xr:uid="{00000000-0005-0000-0000-00001A6A0000}"/>
    <cellStyle name="Normal 4 2 4 3 2 2 7" xfId="19039" xr:uid="{00000000-0005-0000-0000-00001B6A0000}"/>
    <cellStyle name="Normal 4 2 4 3 2 3" xfId="19040" xr:uid="{00000000-0005-0000-0000-00001C6A0000}"/>
    <cellStyle name="Normal 4 2 4 3 2 3 2" xfId="19041" xr:uid="{00000000-0005-0000-0000-00001D6A0000}"/>
    <cellStyle name="Normal 4 2 4 3 2 3 2 2" xfId="54148" xr:uid="{00000000-0005-0000-0000-00001E6A0000}"/>
    <cellStyle name="Normal 4 2 4 3 2 3 2 3" xfId="54149" xr:uid="{00000000-0005-0000-0000-00001F6A0000}"/>
    <cellStyle name="Normal 4 2 4 3 2 3 3" xfId="19042" xr:uid="{00000000-0005-0000-0000-0000206A0000}"/>
    <cellStyle name="Normal 4 2 4 3 2 3 3 2" xfId="54150" xr:uid="{00000000-0005-0000-0000-0000216A0000}"/>
    <cellStyle name="Normal 4 2 4 3 2 3 4" xfId="19043" xr:uid="{00000000-0005-0000-0000-0000226A0000}"/>
    <cellStyle name="Normal 4 2 4 3 2 3 5" xfId="19044" xr:uid="{00000000-0005-0000-0000-0000236A0000}"/>
    <cellStyle name="Normal 4 2 4 3 2 3 6" xfId="19045" xr:uid="{00000000-0005-0000-0000-0000246A0000}"/>
    <cellStyle name="Normal 4 2 4 3 2 4" xfId="19046" xr:uid="{00000000-0005-0000-0000-0000256A0000}"/>
    <cellStyle name="Normal 4 2 4 3 2 4 2" xfId="54151" xr:uid="{00000000-0005-0000-0000-0000266A0000}"/>
    <cellStyle name="Normal 4 2 4 3 2 4 3" xfId="54152" xr:uid="{00000000-0005-0000-0000-0000276A0000}"/>
    <cellStyle name="Normal 4 2 4 3 2 5" xfId="19047" xr:uid="{00000000-0005-0000-0000-0000286A0000}"/>
    <cellStyle name="Normal 4 2 4 3 2 5 2" xfId="54153" xr:uid="{00000000-0005-0000-0000-0000296A0000}"/>
    <cellStyle name="Normal 4 2 4 3 2 6" xfId="19048" xr:uid="{00000000-0005-0000-0000-00002A6A0000}"/>
    <cellStyle name="Normal 4 2 4 3 2 7" xfId="19049" xr:uid="{00000000-0005-0000-0000-00002B6A0000}"/>
    <cellStyle name="Normal 4 2 4 3 2 8" xfId="19050" xr:uid="{00000000-0005-0000-0000-00002C6A0000}"/>
    <cellStyle name="Normal 4 2 4 3 2 9" xfId="19051" xr:uid="{00000000-0005-0000-0000-00002D6A0000}"/>
    <cellStyle name="Normal 4 2 4 3 3" xfId="19052" xr:uid="{00000000-0005-0000-0000-00002E6A0000}"/>
    <cellStyle name="Normal 4 2 4 3 3 2" xfId="19053" xr:uid="{00000000-0005-0000-0000-00002F6A0000}"/>
    <cellStyle name="Normal 4 2 4 3 3 2 2" xfId="19054" xr:uid="{00000000-0005-0000-0000-0000306A0000}"/>
    <cellStyle name="Normal 4 2 4 3 3 2 2 2" xfId="19055" xr:uid="{00000000-0005-0000-0000-0000316A0000}"/>
    <cellStyle name="Normal 4 2 4 3 3 2 2 2 2" xfId="54154" xr:uid="{00000000-0005-0000-0000-0000326A0000}"/>
    <cellStyle name="Normal 4 2 4 3 3 2 2 2 3" xfId="54155" xr:uid="{00000000-0005-0000-0000-0000336A0000}"/>
    <cellStyle name="Normal 4 2 4 3 3 2 2 3" xfId="19056" xr:uid="{00000000-0005-0000-0000-0000346A0000}"/>
    <cellStyle name="Normal 4 2 4 3 3 2 2 3 2" xfId="54156" xr:uid="{00000000-0005-0000-0000-0000356A0000}"/>
    <cellStyle name="Normal 4 2 4 3 3 2 2 4" xfId="19057" xr:uid="{00000000-0005-0000-0000-0000366A0000}"/>
    <cellStyle name="Normal 4 2 4 3 3 2 2 5" xfId="19058" xr:uid="{00000000-0005-0000-0000-0000376A0000}"/>
    <cellStyle name="Normal 4 2 4 3 3 2 2 6" xfId="19059" xr:uid="{00000000-0005-0000-0000-0000386A0000}"/>
    <cellStyle name="Normal 4 2 4 3 3 2 3" xfId="19060" xr:uid="{00000000-0005-0000-0000-0000396A0000}"/>
    <cellStyle name="Normal 4 2 4 3 3 2 3 2" xfId="54157" xr:uid="{00000000-0005-0000-0000-00003A6A0000}"/>
    <cellStyle name="Normal 4 2 4 3 3 2 3 3" xfId="54158" xr:uid="{00000000-0005-0000-0000-00003B6A0000}"/>
    <cellStyle name="Normal 4 2 4 3 3 2 4" xfId="19061" xr:uid="{00000000-0005-0000-0000-00003C6A0000}"/>
    <cellStyle name="Normal 4 2 4 3 3 2 4 2" xfId="54159" xr:uid="{00000000-0005-0000-0000-00003D6A0000}"/>
    <cellStyle name="Normal 4 2 4 3 3 2 5" xfId="19062" xr:uid="{00000000-0005-0000-0000-00003E6A0000}"/>
    <cellStyle name="Normal 4 2 4 3 3 2 6" xfId="19063" xr:uid="{00000000-0005-0000-0000-00003F6A0000}"/>
    <cellStyle name="Normal 4 2 4 3 3 2 7" xfId="19064" xr:uid="{00000000-0005-0000-0000-0000406A0000}"/>
    <cellStyle name="Normal 4 2 4 3 3 3" xfId="19065" xr:uid="{00000000-0005-0000-0000-0000416A0000}"/>
    <cellStyle name="Normal 4 2 4 3 3 3 2" xfId="19066" xr:uid="{00000000-0005-0000-0000-0000426A0000}"/>
    <cellStyle name="Normal 4 2 4 3 3 3 2 2" xfId="54160" xr:uid="{00000000-0005-0000-0000-0000436A0000}"/>
    <cellStyle name="Normal 4 2 4 3 3 3 2 3" xfId="54161" xr:uid="{00000000-0005-0000-0000-0000446A0000}"/>
    <cellStyle name="Normal 4 2 4 3 3 3 3" xfId="19067" xr:uid="{00000000-0005-0000-0000-0000456A0000}"/>
    <cellStyle name="Normal 4 2 4 3 3 3 3 2" xfId="54162" xr:uid="{00000000-0005-0000-0000-0000466A0000}"/>
    <cellStyle name="Normal 4 2 4 3 3 3 4" xfId="19068" xr:uid="{00000000-0005-0000-0000-0000476A0000}"/>
    <cellStyle name="Normal 4 2 4 3 3 3 5" xfId="19069" xr:uid="{00000000-0005-0000-0000-0000486A0000}"/>
    <cellStyle name="Normal 4 2 4 3 3 3 6" xfId="19070" xr:uid="{00000000-0005-0000-0000-0000496A0000}"/>
    <cellStyle name="Normal 4 2 4 3 3 4" xfId="19071" xr:uid="{00000000-0005-0000-0000-00004A6A0000}"/>
    <cellStyle name="Normal 4 2 4 3 3 4 2" xfId="54163" xr:uid="{00000000-0005-0000-0000-00004B6A0000}"/>
    <cellStyle name="Normal 4 2 4 3 3 4 3" xfId="54164" xr:uid="{00000000-0005-0000-0000-00004C6A0000}"/>
    <cellStyle name="Normal 4 2 4 3 3 5" xfId="19072" xr:uid="{00000000-0005-0000-0000-00004D6A0000}"/>
    <cellStyle name="Normal 4 2 4 3 3 5 2" xfId="54165" xr:uid="{00000000-0005-0000-0000-00004E6A0000}"/>
    <cellStyle name="Normal 4 2 4 3 3 6" xfId="19073" xr:uid="{00000000-0005-0000-0000-00004F6A0000}"/>
    <cellStyle name="Normal 4 2 4 3 3 7" xfId="19074" xr:uid="{00000000-0005-0000-0000-0000506A0000}"/>
    <cellStyle name="Normal 4 2 4 3 3 8" xfId="19075" xr:uid="{00000000-0005-0000-0000-0000516A0000}"/>
    <cellStyle name="Normal 4 2 4 3 4" xfId="19076" xr:uid="{00000000-0005-0000-0000-0000526A0000}"/>
    <cellStyle name="Normal 4 2 4 3 4 2" xfId="19077" xr:uid="{00000000-0005-0000-0000-0000536A0000}"/>
    <cellStyle name="Normal 4 2 4 3 4 2 2" xfId="19078" xr:uid="{00000000-0005-0000-0000-0000546A0000}"/>
    <cellStyle name="Normal 4 2 4 3 4 2 2 2" xfId="54166" xr:uid="{00000000-0005-0000-0000-0000556A0000}"/>
    <cellStyle name="Normal 4 2 4 3 4 2 2 3" xfId="54167" xr:uid="{00000000-0005-0000-0000-0000566A0000}"/>
    <cellStyle name="Normal 4 2 4 3 4 2 3" xfId="19079" xr:uid="{00000000-0005-0000-0000-0000576A0000}"/>
    <cellStyle name="Normal 4 2 4 3 4 2 3 2" xfId="54168" xr:uid="{00000000-0005-0000-0000-0000586A0000}"/>
    <cellStyle name="Normal 4 2 4 3 4 2 4" xfId="19080" xr:uid="{00000000-0005-0000-0000-0000596A0000}"/>
    <cellStyle name="Normal 4 2 4 3 4 2 5" xfId="19081" xr:uid="{00000000-0005-0000-0000-00005A6A0000}"/>
    <cellStyle name="Normal 4 2 4 3 4 2 6" xfId="19082" xr:uid="{00000000-0005-0000-0000-00005B6A0000}"/>
    <cellStyle name="Normal 4 2 4 3 4 3" xfId="19083" xr:uid="{00000000-0005-0000-0000-00005C6A0000}"/>
    <cellStyle name="Normal 4 2 4 3 4 3 2" xfId="54169" xr:uid="{00000000-0005-0000-0000-00005D6A0000}"/>
    <cellStyle name="Normal 4 2 4 3 4 3 3" xfId="54170" xr:uid="{00000000-0005-0000-0000-00005E6A0000}"/>
    <cellStyle name="Normal 4 2 4 3 4 4" xfId="19084" xr:uid="{00000000-0005-0000-0000-00005F6A0000}"/>
    <cellStyle name="Normal 4 2 4 3 4 4 2" xfId="54171" xr:uid="{00000000-0005-0000-0000-0000606A0000}"/>
    <cellStyle name="Normal 4 2 4 3 4 5" xfId="19085" xr:uid="{00000000-0005-0000-0000-0000616A0000}"/>
    <cellStyle name="Normal 4 2 4 3 4 6" xfId="19086" xr:uid="{00000000-0005-0000-0000-0000626A0000}"/>
    <cellStyle name="Normal 4 2 4 3 4 7" xfId="19087" xr:uid="{00000000-0005-0000-0000-0000636A0000}"/>
    <cellStyle name="Normal 4 2 4 3 5" xfId="19088" xr:uid="{00000000-0005-0000-0000-0000646A0000}"/>
    <cellStyle name="Normal 4 2 4 3 5 2" xfId="19089" xr:uid="{00000000-0005-0000-0000-0000656A0000}"/>
    <cellStyle name="Normal 4 2 4 3 5 2 2" xfId="54172" xr:uid="{00000000-0005-0000-0000-0000666A0000}"/>
    <cellStyle name="Normal 4 2 4 3 5 2 3" xfId="54173" xr:uid="{00000000-0005-0000-0000-0000676A0000}"/>
    <cellStyle name="Normal 4 2 4 3 5 3" xfId="19090" xr:uid="{00000000-0005-0000-0000-0000686A0000}"/>
    <cellStyle name="Normal 4 2 4 3 5 3 2" xfId="54174" xr:uid="{00000000-0005-0000-0000-0000696A0000}"/>
    <cellStyle name="Normal 4 2 4 3 5 4" xfId="19091" xr:uid="{00000000-0005-0000-0000-00006A6A0000}"/>
    <cellStyle name="Normal 4 2 4 3 5 5" xfId="19092" xr:uid="{00000000-0005-0000-0000-00006B6A0000}"/>
    <cellStyle name="Normal 4 2 4 3 5 6" xfId="19093" xr:uid="{00000000-0005-0000-0000-00006C6A0000}"/>
    <cellStyle name="Normal 4 2 4 3 6" xfId="19094" xr:uid="{00000000-0005-0000-0000-00006D6A0000}"/>
    <cellStyle name="Normal 4 2 4 3 6 2" xfId="54175" xr:uid="{00000000-0005-0000-0000-00006E6A0000}"/>
    <cellStyle name="Normal 4 2 4 3 7" xfId="19095" xr:uid="{00000000-0005-0000-0000-00006F6A0000}"/>
    <cellStyle name="Normal 4 2 4 3 8" xfId="19096" xr:uid="{00000000-0005-0000-0000-0000706A0000}"/>
    <cellStyle name="Normal 4 2 4 3 9" xfId="19097" xr:uid="{00000000-0005-0000-0000-0000716A0000}"/>
    <cellStyle name="Normal 4 2 4 4" xfId="19098" xr:uid="{00000000-0005-0000-0000-0000726A0000}"/>
    <cellStyle name="Normal 4 2 4 4 10" xfId="19099" xr:uid="{00000000-0005-0000-0000-0000736A0000}"/>
    <cellStyle name="Normal 4 2 4 4 11" xfId="19100" xr:uid="{00000000-0005-0000-0000-0000746A0000}"/>
    <cellStyle name="Normal 4 2 4 4 12" xfId="19101" xr:uid="{00000000-0005-0000-0000-0000756A0000}"/>
    <cellStyle name="Normal 4 2 4 4 13" xfId="19102" xr:uid="{00000000-0005-0000-0000-0000766A0000}"/>
    <cellStyle name="Normal 4 2 4 4 2" xfId="19103" xr:uid="{00000000-0005-0000-0000-0000776A0000}"/>
    <cellStyle name="Normal 4 2 4 4 2 2" xfId="19104" xr:uid="{00000000-0005-0000-0000-0000786A0000}"/>
    <cellStyle name="Normal 4 2 4 4 2 2 2" xfId="19105" xr:uid="{00000000-0005-0000-0000-0000796A0000}"/>
    <cellStyle name="Normal 4 2 4 4 2 2 2 2" xfId="19106" xr:uid="{00000000-0005-0000-0000-00007A6A0000}"/>
    <cellStyle name="Normal 4 2 4 4 2 2 2 2 2" xfId="54176" xr:uid="{00000000-0005-0000-0000-00007B6A0000}"/>
    <cellStyle name="Normal 4 2 4 4 2 2 2 2 3" xfId="54177" xr:uid="{00000000-0005-0000-0000-00007C6A0000}"/>
    <cellStyle name="Normal 4 2 4 4 2 2 2 3" xfId="19107" xr:uid="{00000000-0005-0000-0000-00007D6A0000}"/>
    <cellStyle name="Normal 4 2 4 4 2 2 2 3 2" xfId="54178" xr:uid="{00000000-0005-0000-0000-00007E6A0000}"/>
    <cellStyle name="Normal 4 2 4 4 2 2 2 4" xfId="19108" xr:uid="{00000000-0005-0000-0000-00007F6A0000}"/>
    <cellStyle name="Normal 4 2 4 4 2 2 2 5" xfId="19109" xr:uid="{00000000-0005-0000-0000-0000806A0000}"/>
    <cellStyle name="Normal 4 2 4 4 2 2 2 6" xfId="19110" xr:uid="{00000000-0005-0000-0000-0000816A0000}"/>
    <cellStyle name="Normal 4 2 4 4 2 2 3" xfId="19111" xr:uid="{00000000-0005-0000-0000-0000826A0000}"/>
    <cellStyle name="Normal 4 2 4 4 2 2 3 2" xfId="54179" xr:uid="{00000000-0005-0000-0000-0000836A0000}"/>
    <cellStyle name="Normal 4 2 4 4 2 2 3 3" xfId="54180" xr:uid="{00000000-0005-0000-0000-0000846A0000}"/>
    <cellStyle name="Normal 4 2 4 4 2 2 4" xfId="19112" xr:uid="{00000000-0005-0000-0000-0000856A0000}"/>
    <cellStyle name="Normal 4 2 4 4 2 2 4 2" xfId="54181" xr:uid="{00000000-0005-0000-0000-0000866A0000}"/>
    <cellStyle name="Normal 4 2 4 4 2 2 5" xfId="19113" xr:uid="{00000000-0005-0000-0000-0000876A0000}"/>
    <cellStyle name="Normal 4 2 4 4 2 2 6" xfId="19114" xr:uid="{00000000-0005-0000-0000-0000886A0000}"/>
    <cellStyle name="Normal 4 2 4 4 2 2 7" xfId="19115" xr:uid="{00000000-0005-0000-0000-0000896A0000}"/>
    <cellStyle name="Normal 4 2 4 4 2 3" xfId="19116" xr:uid="{00000000-0005-0000-0000-00008A6A0000}"/>
    <cellStyle name="Normal 4 2 4 4 2 3 2" xfId="19117" xr:uid="{00000000-0005-0000-0000-00008B6A0000}"/>
    <cellStyle name="Normal 4 2 4 4 2 3 2 2" xfId="54182" xr:uid="{00000000-0005-0000-0000-00008C6A0000}"/>
    <cellStyle name="Normal 4 2 4 4 2 3 2 3" xfId="54183" xr:uid="{00000000-0005-0000-0000-00008D6A0000}"/>
    <cellStyle name="Normal 4 2 4 4 2 3 3" xfId="19118" xr:uid="{00000000-0005-0000-0000-00008E6A0000}"/>
    <cellStyle name="Normal 4 2 4 4 2 3 3 2" xfId="54184" xr:uid="{00000000-0005-0000-0000-00008F6A0000}"/>
    <cellStyle name="Normal 4 2 4 4 2 3 4" xfId="19119" xr:uid="{00000000-0005-0000-0000-0000906A0000}"/>
    <cellStyle name="Normal 4 2 4 4 2 3 5" xfId="19120" xr:uid="{00000000-0005-0000-0000-0000916A0000}"/>
    <cellStyle name="Normal 4 2 4 4 2 3 6" xfId="19121" xr:uid="{00000000-0005-0000-0000-0000926A0000}"/>
    <cellStyle name="Normal 4 2 4 4 2 4" xfId="19122" xr:uid="{00000000-0005-0000-0000-0000936A0000}"/>
    <cellStyle name="Normal 4 2 4 4 2 4 2" xfId="54185" xr:uid="{00000000-0005-0000-0000-0000946A0000}"/>
    <cellStyle name="Normal 4 2 4 4 2 4 3" xfId="54186" xr:uid="{00000000-0005-0000-0000-0000956A0000}"/>
    <cellStyle name="Normal 4 2 4 4 2 5" xfId="19123" xr:uid="{00000000-0005-0000-0000-0000966A0000}"/>
    <cellStyle name="Normal 4 2 4 4 2 5 2" xfId="54187" xr:uid="{00000000-0005-0000-0000-0000976A0000}"/>
    <cellStyle name="Normal 4 2 4 4 2 6" xfId="19124" xr:uid="{00000000-0005-0000-0000-0000986A0000}"/>
    <cellStyle name="Normal 4 2 4 4 2 7" xfId="19125" xr:uid="{00000000-0005-0000-0000-0000996A0000}"/>
    <cellStyle name="Normal 4 2 4 4 2 8" xfId="19126" xr:uid="{00000000-0005-0000-0000-00009A6A0000}"/>
    <cellStyle name="Normal 4 2 4 4 2 9" xfId="19127" xr:uid="{00000000-0005-0000-0000-00009B6A0000}"/>
    <cellStyle name="Normal 4 2 4 4 3" xfId="19128" xr:uid="{00000000-0005-0000-0000-00009C6A0000}"/>
    <cellStyle name="Normal 4 2 4 4 3 2" xfId="19129" xr:uid="{00000000-0005-0000-0000-00009D6A0000}"/>
    <cellStyle name="Normal 4 2 4 4 3 2 2" xfId="19130" xr:uid="{00000000-0005-0000-0000-00009E6A0000}"/>
    <cellStyle name="Normal 4 2 4 4 3 2 2 2" xfId="54188" xr:uid="{00000000-0005-0000-0000-00009F6A0000}"/>
    <cellStyle name="Normal 4 2 4 4 3 2 2 3" xfId="54189" xr:uid="{00000000-0005-0000-0000-0000A06A0000}"/>
    <cellStyle name="Normal 4 2 4 4 3 2 3" xfId="19131" xr:uid="{00000000-0005-0000-0000-0000A16A0000}"/>
    <cellStyle name="Normal 4 2 4 4 3 2 3 2" xfId="54190" xr:uid="{00000000-0005-0000-0000-0000A26A0000}"/>
    <cellStyle name="Normal 4 2 4 4 3 2 4" xfId="19132" xr:uid="{00000000-0005-0000-0000-0000A36A0000}"/>
    <cellStyle name="Normal 4 2 4 4 3 2 5" xfId="19133" xr:uid="{00000000-0005-0000-0000-0000A46A0000}"/>
    <cellStyle name="Normal 4 2 4 4 3 2 6" xfId="19134" xr:uid="{00000000-0005-0000-0000-0000A56A0000}"/>
    <cellStyle name="Normal 4 2 4 4 3 3" xfId="19135" xr:uid="{00000000-0005-0000-0000-0000A66A0000}"/>
    <cellStyle name="Normal 4 2 4 4 3 3 2" xfId="54191" xr:uid="{00000000-0005-0000-0000-0000A76A0000}"/>
    <cellStyle name="Normal 4 2 4 4 3 3 3" xfId="54192" xr:uid="{00000000-0005-0000-0000-0000A86A0000}"/>
    <cellStyle name="Normal 4 2 4 4 3 4" xfId="19136" xr:uid="{00000000-0005-0000-0000-0000A96A0000}"/>
    <cellStyle name="Normal 4 2 4 4 3 4 2" xfId="54193" xr:uid="{00000000-0005-0000-0000-0000AA6A0000}"/>
    <cellStyle name="Normal 4 2 4 4 3 5" xfId="19137" xr:uid="{00000000-0005-0000-0000-0000AB6A0000}"/>
    <cellStyle name="Normal 4 2 4 4 3 6" xfId="19138" xr:uid="{00000000-0005-0000-0000-0000AC6A0000}"/>
    <cellStyle name="Normal 4 2 4 4 3 7" xfId="19139" xr:uid="{00000000-0005-0000-0000-0000AD6A0000}"/>
    <cellStyle name="Normal 4 2 4 4 4" xfId="19140" xr:uid="{00000000-0005-0000-0000-0000AE6A0000}"/>
    <cellStyle name="Normal 4 2 4 4 4 2" xfId="19141" xr:uid="{00000000-0005-0000-0000-0000AF6A0000}"/>
    <cellStyle name="Normal 4 2 4 4 4 2 2" xfId="54194" xr:uid="{00000000-0005-0000-0000-0000B06A0000}"/>
    <cellStyle name="Normal 4 2 4 4 4 2 3" xfId="54195" xr:uid="{00000000-0005-0000-0000-0000B16A0000}"/>
    <cellStyle name="Normal 4 2 4 4 4 3" xfId="19142" xr:uid="{00000000-0005-0000-0000-0000B26A0000}"/>
    <cellStyle name="Normal 4 2 4 4 4 3 2" xfId="54196" xr:uid="{00000000-0005-0000-0000-0000B36A0000}"/>
    <cellStyle name="Normal 4 2 4 4 4 4" xfId="19143" xr:uid="{00000000-0005-0000-0000-0000B46A0000}"/>
    <cellStyle name="Normal 4 2 4 4 4 5" xfId="19144" xr:uid="{00000000-0005-0000-0000-0000B56A0000}"/>
    <cellStyle name="Normal 4 2 4 4 4 6" xfId="19145" xr:uid="{00000000-0005-0000-0000-0000B66A0000}"/>
    <cellStyle name="Normal 4 2 4 4 5" xfId="19146" xr:uid="{00000000-0005-0000-0000-0000B76A0000}"/>
    <cellStyle name="Normal 4 2 4 4 5 2" xfId="54197" xr:uid="{00000000-0005-0000-0000-0000B86A0000}"/>
    <cellStyle name="Normal 4 2 4 4 5 3" xfId="54198" xr:uid="{00000000-0005-0000-0000-0000B96A0000}"/>
    <cellStyle name="Normal 4 2 4 4 6" xfId="19147" xr:uid="{00000000-0005-0000-0000-0000BA6A0000}"/>
    <cellStyle name="Normal 4 2 4 4 6 2" xfId="54199" xr:uid="{00000000-0005-0000-0000-0000BB6A0000}"/>
    <cellStyle name="Normal 4 2 4 4 7" xfId="19148" xr:uid="{00000000-0005-0000-0000-0000BC6A0000}"/>
    <cellStyle name="Normal 4 2 4 4 8" xfId="19149" xr:uid="{00000000-0005-0000-0000-0000BD6A0000}"/>
    <cellStyle name="Normal 4 2 4 4 9" xfId="19150" xr:uid="{00000000-0005-0000-0000-0000BE6A0000}"/>
    <cellStyle name="Normal 4 2 4 5" xfId="19151" xr:uid="{00000000-0005-0000-0000-0000BF6A0000}"/>
    <cellStyle name="Normal 4 2 4 5 2" xfId="19152" xr:uid="{00000000-0005-0000-0000-0000C06A0000}"/>
    <cellStyle name="Normal 4 2 4 5 2 2" xfId="19153" xr:uid="{00000000-0005-0000-0000-0000C16A0000}"/>
    <cellStyle name="Normal 4 2 4 5 2 2 2" xfId="19154" xr:uid="{00000000-0005-0000-0000-0000C26A0000}"/>
    <cellStyle name="Normal 4 2 4 5 2 2 2 2" xfId="54200" xr:uid="{00000000-0005-0000-0000-0000C36A0000}"/>
    <cellStyle name="Normal 4 2 4 5 2 2 2 3" xfId="54201" xr:uid="{00000000-0005-0000-0000-0000C46A0000}"/>
    <cellStyle name="Normal 4 2 4 5 2 2 3" xfId="19155" xr:uid="{00000000-0005-0000-0000-0000C56A0000}"/>
    <cellStyle name="Normal 4 2 4 5 2 2 3 2" xfId="54202" xr:uid="{00000000-0005-0000-0000-0000C66A0000}"/>
    <cellStyle name="Normal 4 2 4 5 2 2 4" xfId="19156" xr:uid="{00000000-0005-0000-0000-0000C76A0000}"/>
    <cellStyle name="Normal 4 2 4 5 2 2 5" xfId="19157" xr:uid="{00000000-0005-0000-0000-0000C86A0000}"/>
    <cellStyle name="Normal 4 2 4 5 2 2 6" xfId="19158" xr:uid="{00000000-0005-0000-0000-0000C96A0000}"/>
    <cellStyle name="Normal 4 2 4 5 2 3" xfId="19159" xr:uid="{00000000-0005-0000-0000-0000CA6A0000}"/>
    <cellStyle name="Normal 4 2 4 5 2 3 2" xfId="54203" xr:uid="{00000000-0005-0000-0000-0000CB6A0000}"/>
    <cellStyle name="Normal 4 2 4 5 2 3 3" xfId="54204" xr:uid="{00000000-0005-0000-0000-0000CC6A0000}"/>
    <cellStyle name="Normal 4 2 4 5 2 4" xfId="19160" xr:uid="{00000000-0005-0000-0000-0000CD6A0000}"/>
    <cellStyle name="Normal 4 2 4 5 2 4 2" xfId="54205" xr:uid="{00000000-0005-0000-0000-0000CE6A0000}"/>
    <cellStyle name="Normal 4 2 4 5 2 5" xfId="19161" xr:uid="{00000000-0005-0000-0000-0000CF6A0000}"/>
    <cellStyle name="Normal 4 2 4 5 2 6" xfId="19162" xr:uid="{00000000-0005-0000-0000-0000D06A0000}"/>
    <cellStyle name="Normal 4 2 4 5 2 7" xfId="19163" xr:uid="{00000000-0005-0000-0000-0000D16A0000}"/>
    <cellStyle name="Normal 4 2 4 5 3" xfId="19164" xr:uid="{00000000-0005-0000-0000-0000D26A0000}"/>
    <cellStyle name="Normal 4 2 4 5 3 2" xfId="19165" xr:uid="{00000000-0005-0000-0000-0000D36A0000}"/>
    <cellStyle name="Normal 4 2 4 5 3 2 2" xfId="54206" xr:uid="{00000000-0005-0000-0000-0000D46A0000}"/>
    <cellStyle name="Normal 4 2 4 5 3 2 3" xfId="54207" xr:uid="{00000000-0005-0000-0000-0000D56A0000}"/>
    <cellStyle name="Normal 4 2 4 5 3 3" xfId="19166" xr:uid="{00000000-0005-0000-0000-0000D66A0000}"/>
    <cellStyle name="Normal 4 2 4 5 3 3 2" xfId="54208" xr:uid="{00000000-0005-0000-0000-0000D76A0000}"/>
    <cellStyle name="Normal 4 2 4 5 3 4" xfId="19167" xr:uid="{00000000-0005-0000-0000-0000D86A0000}"/>
    <cellStyle name="Normal 4 2 4 5 3 5" xfId="19168" xr:uid="{00000000-0005-0000-0000-0000D96A0000}"/>
    <cellStyle name="Normal 4 2 4 5 3 6" xfId="19169" xr:uid="{00000000-0005-0000-0000-0000DA6A0000}"/>
    <cellStyle name="Normal 4 2 4 5 4" xfId="19170" xr:uid="{00000000-0005-0000-0000-0000DB6A0000}"/>
    <cellStyle name="Normal 4 2 4 5 4 2" xfId="54209" xr:uid="{00000000-0005-0000-0000-0000DC6A0000}"/>
    <cellStyle name="Normal 4 2 4 5 4 3" xfId="54210" xr:uid="{00000000-0005-0000-0000-0000DD6A0000}"/>
    <cellStyle name="Normal 4 2 4 5 5" xfId="19171" xr:uid="{00000000-0005-0000-0000-0000DE6A0000}"/>
    <cellStyle name="Normal 4 2 4 5 5 2" xfId="54211" xr:uid="{00000000-0005-0000-0000-0000DF6A0000}"/>
    <cellStyle name="Normal 4 2 4 5 6" xfId="19172" xr:uid="{00000000-0005-0000-0000-0000E06A0000}"/>
    <cellStyle name="Normal 4 2 4 5 7" xfId="19173" xr:uid="{00000000-0005-0000-0000-0000E16A0000}"/>
    <cellStyle name="Normal 4 2 4 5 8" xfId="19174" xr:uid="{00000000-0005-0000-0000-0000E26A0000}"/>
    <cellStyle name="Normal 4 2 4 5 9" xfId="19175" xr:uid="{00000000-0005-0000-0000-0000E36A0000}"/>
    <cellStyle name="Normal 4 2 4 6" xfId="19176" xr:uid="{00000000-0005-0000-0000-0000E46A0000}"/>
    <cellStyle name="Normal 4 2 4 6 2" xfId="19177" xr:uid="{00000000-0005-0000-0000-0000E56A0000}"/>
    <cellStyle name="Normal 4 2 4 6 2 2" xfId="19178" xr:uid="{00000000-0005-0000-0000-0000E66A0000}"/>
    <cellStyle name="Normal 4 2 4 6 2 2 2" xfId="19179" xr:uid="{00000000-0005-0000-0000-0000E76A0000}"/>
    <cellStyle name="Normal 4 2 4 6 2 2 2 2" xfId="54212" xr:uid="{00000000-0005-0000-0000-0000E86A0000}"/>
    <cellStyle name="Normal 4 2 4 6 2 2 2 3" xfId="54213" xr:uid="{00000000-0005-0000-0000-0000E96A0000}"/>
    <cellStyle name="Normal 4 2 4 6 2 2 3" xfId="19180" xr:uid="{00000000-0005-0000-0000-0000EA6A0000}"/>
    <cellStyle name="Normal 4 2 4 6 2 2 3 2" xfId="54214" xr:uid="{00000000-0005-0000-0000-0000EB6A0000}"/>
    <cellStyle name="Normal 4 2 4 6 2 2 4" xfId="19181" xr:uid="{00000000-0005-0000-0000-0000EC6A0000}"/>
    <cellStyle name="Normal 4 2 4 6 2 2 5" xfId="19182" xr:uid="{00000000-0005-0000-0000-0000ED6A0000}"/>
    <cellStyle name="Normal 4 2 4 6 2 2 6" xfId="19183" xr:uid="{00000000-0005-0000-0000-0000EE6A0000}"/>
    <cellStyle name="Normal 4 2 4 6 2 3" xfId="19184" xr:uid="{00000000-0005-0000-0000-0000EF6A0000}"/>
    <cellStyle name="Normal 4 2 4 6 2 3 2" xfId="54215" xr:uid="{00000000-0005-0000-0000-0000F06A0000}"/>
    <cellStyle name="Normal 4 2 4 6 2 3 3" xfId="54216" xr:uid="{00000000-0005-0000-0000-0000F16A0000}"/>
    <cellStyle name="Normal 4 2 4 6 2 4" xfId="19185" xr:uid="{00000000-0005-0000-0000-0000F26A0000}"/>
    <cellStyle name="Normal 4 2 4 6 2 4 2" xfId="54217" xr:uid="{00000000-0005-0000-0000-0000F36A0000}"/>
    <cellStyle name="Normal 4 2 4 6 2 5" xfId="19186" xr:uid="{00000000-0005-0000-0000-0000F46A0000}"/>
    <cellStyle name="Normal 4 2 4 6 2 6" xfId="19187" xr:uid="{00000000-0005-0000-0000-0000F56A0000}"/>
    <cellStyle name="Normal 4 2 4 6 2 7" xfId="19188" xr:uid="{00000000-0005-0000-0000-0000F66A0000}"/>
    <cellStyle name="Normal 4 2 4 6 3" xfId="19189" xr:uid="{00000000-0005-0000-0000-0000F76A0000}"/>
    <cellStyle name="Normal 4 2 4 6 3 2" xfId="19190" xr:uid="{00000000-0005-0000-0000-0000F86A0000}"/>
    <cellStyle name="Normal 4 2 4 6 3 2 2" xfId="54218" xr:uid="{00000000-0005-0000-0000-0000F96A0000}"/>
    <cellStyle name="Normal 4 2 4 6 3 2 3" xfId="54219" xr:uid="{00000000-0005-0000-0000-0000FA6A0000}"/>
    <cellStyle name="Normal 4 2 4 6 3 3" xfId="19191" xr:uid="{00000000-0005-0000-0000-0000FB6A0000}"/>
    <cellStyle name="Normal 4 2 4 6 3 3 2" xfId="54220" xr:uid="{00000000-0005-0000-0000-0000FC6A0000}"/>
    <cellStyle name="Normal 4 2 4 6 3 4" xfId="19192" xr:uid="{00000000-0005-0000-0000-0000FD6A0000}"/>
    <cellStyle name="Normal 4 2 4 6 3 5" xfId="19193" xr:uid="{00000000-0005-0000-0000-0000FE6A0000}"/>
    <cellStyle name="Normal 4 2 4 6 3 6" xfId="19194" xr:uid="{00000000-0005-0000-0000-0000FF6A0000}"/>
    <cellStyle name="Normal 4 2 4 6 4" xfId="19195" xr:uid="{00000000-0005-0000-0000-0000006B0000}"/>
    <cellStyle name="Normal 4 2 4 6 4 2" xfId="54221" xr:uid="{00000000-0005-0000-0000-0000016B0000}"/>
    <cellStyle name="Normal 4 2 4 6 4 3" xfId="54222" xr:uid="{00000000-0005-0000-0000-0000026B0000}"/>
    <cellStyle name="Normal 4 2 4 6 5" xfId="19196" xr:uid="{00000000-0005-0000-0000-0000036B0000}"/>
    <cellStyle name="Normal 4 2 4 6 5 2" xfId="54223" xr:uid="{00000000-0005-0000-0000-0000046B0000}"/>
    <cellStyle name="Normal 4 2 4 6 6" xfId="19197" xr:uid="{00000000-0005-0000-0000-0000056B0000}"/>
    <cellStyle name="Normal 4 2 4 6 7" xfId="19198" xr:uid="{00000000-0005-0000-0000-0000066B0000}"/>
    <cellStyle name="Normal 4 2 4 6 8" xfId="19199" xr:uid="{00000000-0005-0000-0000-0000076B0000}"/>
    <cellStyle name="Normal 4 2 4 7" xfId="19200" xr:uid="{00000000-0005-0000-0000-0000086B0000}"/>
    <cellStyle name="Normal 4 2 4 7 2" xfId="19201" xr:uid="{00000000-0005-0000-0000-0000096B0000}"/>
    <cellStyle name="Normal 4 2 4 7 2 2" xfId="19202" xr:uid="{00000000-0005-0000-0000-00000A6B0000}"/>
    <cellStyle name="Normal 4 2 4 7 2 2 2" xfId="19203" xr:uid="{00000000-0005-0000-0000-00000B6B0000}"/>
    <cellStyle name="Normal 4 2 4 7 2 2 2 2" xfId="54224" xr:uid="{00000000-0005-0000-0000-00000C6B0000}"/>
    <cellStyle name="Normal 4 2 4 7 2 2 2 3" xfId="54225" xr:uid="{00000000-0005-0000-0000-00000D6B0000}"/>
    <cellStyle name="Normal 4 2 4 7 2 2 3" xfId="19204" xr:uid="{00000000-0005-0000-0000-00000E6B0000}"/>
    <cellStyle name="Normal 4 2 4 7 2 2 3 2" xfId="54226" xr:uid="{00000000-0005-0000-0000-00000F6B0000}"/>
    <cellStyle name="Normal 4 2 4 7 2 2 4" xfId="19205" xr:uid="{00000000-0005-0000-0000-0000106B0000}"/>
    <cellStyle name="Normal 4 2 4 7 2 2 5" xfId="19206" xr:uid="{00000000-0005-0000-0000-0000116B0000}"/>
    <cellStyle name="Normal 4 2 4 7 2 2 6" xfId="19207" xr:uid="{00000000-0005-0000-0000-0000126B0000}"/>
    <cellStyle name="Normal 4 2 4 7 2 3" xfId="19208" xr:uid="{00000000-0005-0000-0000-0000136B0000}"/>
    <cellStyle name="Normal 4 2 4 7 2 3 2" xfId="54227" xr:uid="{00000000-0005-0000-0000-0000146B0000}"/>
    <cellStyle name="Normal 4 2 4 7 2 3 3" xfId="54228" xr:uid="{00000000-0005-0000-0000-0000156B0000}"/>
    <cellStyle name="Normal 4 2 4 7 2 4" xfId="19209" xr:uid="{00000000-0005-0000-0000-0000166B0000}"/>
    <cellStyle name="Normal 4 2 4 7 2 4 2" xfId="54229" xr:uid="{00000000-0005-0000-0000-0000176B0000}"/>
    <cellStyle name="Normal 4 2 4 7 2 5" xfId="19210" xr:uid="{00000000-0005-0000-0000-0000186B0000}"/>
    <cellStyle name="Normal 4 2 4 7 2 6" xfId="19211" xr:uid="{00000000-0005-0000-0000-0000196B0000}"/>
    <cellStyle name="Normal 4 2 4 7 2 7" xfId="19212" xr:uid="{00000000-0005-0000-0000-00001A6B0000}"/>
    <cellStyle name="Normal 4 2 4 7 3" xfId="19213" xr:uid="{00000000-0005-0000-0000-00001B6B0000}"/>
    <cellStyle name="Normal 4 2 4 7 3 2" xfId="19214" xr:uid="{00000000-0005-0000-0000-00001C6B0000}"/>
    <cellStyle name="Normal 4 2 4 7 3 2 2" xfId="54230" xr:uid="{00000000-0005-0000-0000-00001D6B0000}"/>
    <cellStyle name="Normal 4 2 4 7 3 2 3" xfId="54231" xr:uid="{00000000-0005-0000-0000-00001E6B0000}"/>
    <cellStyle name="Normal 4 2 4 7 3 3" xfId="19215" xr:uid="{00000000-0005-0000-0000-00001F6B0000}"/>
    <cellStyle name="Normal 4 2 4 7 3 3 2" xfId="54232" xr:uid="{00000000-0005-0000-0000-0000206B0000}"/>
    <cellStyle name="Normal 4 2 4 7 3 4" xfId="19216" xr:uid="{00000000-0005-0000-0000-0000216B0000}"/>
    <cellStyle name="Normal 4 2 4 7 3 5" xfId="19217" xr:uid="{00000000-0005-0000-0000-0000226B0000}"/>
    <cellStyle name="Normal 4 2 4 7 3 6" xfId="19218" xr:uid="{00000000-0005-0000-0000-0000236B0000}"/>
    <cellStyle name="Normal 4 2 4 7 4" xfId="19219" xr:uid="{00000000-0005-0000-0000-0000246B0000}"/>
    <cellStyle name="Normal 4 2 4 7 4 2" xfId="54233" xr:uid="{00000000-0005-0000-0000-0000256B0000}"/>
    <cellStyle name="Normal 4 2 4 7 4 3" xfId="54234" xr:uid="{00000000-0005-0000-0000-0000266B0000}"/>
    <cellStyle name="Normal 4 2 4 7 5" xfId="19220" xr:uid="{00000000-0005-0000-0000-0000276B0000}"/>
    <cellStyle name="Normal 4 2 4 7 5 2" xfId="54235" xr:uid="{00000000-0005-0000-0000-0000286B0000}"/>
    <cellStyle name="Normal 4 2 4 7 6" xfId="19221" xr:uid="{00000000-0005-0000-0000-0000296B0000}"/>
    <cellStyle name="Normal 4 2 4 7 7" xfId="19222" xr:uid="{00000000-0005-0000-0000-00002A6B0000}"/>
    <cellStyle name="Normal 4 2 4 7 8" xfId="19223" xr:uid="{00000000-0005-0000-0000-00002B6B0000}"/>
    <cellStyle name="Normal 4 2 4 8" xfId="19224" xr:uid="{00000000-0005-0000-0000-00002C6B0000}"/>
    <cellStyle name="Normal 4 2 4 8 2" xfId="19225" xr:uid="{00000000-0005-0000-0000-00002D6B0000}"/>
    <cellStyle name="Normal 4 2 4 8 2 2" xfId="19226" xr:uid="{00000000-0005-0000-0000-00002E6B0000}"/>
    <cellStyle name="Normal 4 2 4 8 2 2 2" xfId="54236" xr:uid="{00000000-0005-0000-0000-00002F6B0000}"/>
    <cellStyle name="Normal 4 2 4 8 2 2 3" xfId="54237" xr:uid="{00000000-0005-0000-0000-0000306B0000}"/>
    <cellStyle name="Normal 4 2 4 8 2 3" xfId="19227" xr:uid="{00000000-0005-0000-0000-0000316B0000}"/>
    <cellStyle name="Normal 4 2 4 8 2 3 2" xfId="54238" xr:uid="{00000000-0005-0000-0000-0000326B0000}"/>
    <cellStyle name="Normal 4 2 4 8 2 4" xfId="19228" xr:uid="{00000000-0005-0000-0000-0000336B0000}"/>
    <cellStyle name="Normal 4 2 4 8 2 5" xfId="19229" xr:uid="{00000000-0005-0000-0000-0000346B0000}"/>
    <cellStyle name="Normal 4 2 4 8 2 6" xfId="19230" xr:uid="{00000000-0005-0000-0000-0000356B0000}"/>
    <cellStyle name="Normal 4 2 4 8 3" xfId="19231" xr:uid="{00000000-0005-0000-0000-0000366B0000}"/>
    <cellStyle name="Normal 4 2 4 8 3 2" xfId="54239" xr:uid="{00000000-0005-0000-0000-0000376B0000}"/>
    <cellStyle name="Normal 4 2 4 8 3 3" xfId="54240" xr:uid="{00000000-0005-0000-0000-0000386B0000}"/>
    <cellStyle name="Normal 4 2 4 8 4" xfId="19232" xr:uid="{00000000-0005-0000-0000-0000396B0000}"/>
    <cellStyle name="Normal 4 2 4 8 4 2" xfId="54241" xr:uid="{00000000-0005-0000-0000-00003A6B0000}"/>
    <cellStyle name="Normal 4 2 4 8 5" xfId="19233" xr:uid="{00000000-0005-0000-0000-00003B6B0000}"/>
    <cellStyle name="Normal 4 2 4 8 6" xfId="19234" xr:uid="{00000000-0005-0000-0000-00003C6B0000}"/>
    <cellStyle name="Normal 4 2 4 8 7" xfId="19235" xr:uid="{00000000-0005-0000-0000-00003D6B0000}"/>
    <cellStyle name="Normal 4 2 4 9" xfId="19236" xr:uid="{00000000-0005-0000-0000-00003E6B0000}"/>
    <cellStyle name="Normal 4 2 4 9 2" xfId="19237" xr:uid="{00000000-0005-0000-0000-00003F6B0000}"/>
    <cellStyle name="Normal 4 2 4 9 2 2" xfId="54242" xr:uid="{00000000-0005-0000-0000-0000406B0000}"/>
    <cellStyle name="Normal 4 2 4 9 2 3" xfId="54243" xr:uid="{00000000-0005-0000-0000-0000416B0000}"/>
    <cellStyle name="Normal 4 2 4 9 3" xfId="19238" xr:uid="{00000000-0005-0000-0000-0000426B0000}"/>
    <cellStyle name="Normal 4 2 4 9 3 2" xfId="54244" xr:uid="{00000000-0005-0000-0000-0000436B0000}"/>
    <cellStyle name="Normal 4 2 4 9 4" xfId="19239" xr:uid="{00000000-0005-0000-0000-0000446B0000}"/>
    <cellStyle name="Normal 4 2 4 9 5" xfId="19240" xr:uid="{00000000-0005-0000-0000-0000456B0000}"/>
    <cellStyle name="Normal 4 2 4 9 6" xfId="19241" xr:uid="{00000000-0005-0000-0000-0000466B0000}"/>
    <cellStyle name="Normal 4 2 5" xfId="19242" xr:uid="{00000000-0005-0000-0000-0000476B0000}"/>
    <cellStyle name="Normal 4 2 5 10" xfId="19243" xr:uid="{00000000-0005-0000-0000-0000486B0000}"/>
    <cellStyle name="Normal 4 2 5 10 2" xfId="54245" xr:uid="{00000000-0005-0000-0000-0000496B0000}"/>
    <cellStyle name="Normal 4 2 5 10 3" xfId="54246" xr:uid="{00000000-0005-0000-0000-00004A6B0000}"/>
    <cellStyle name="Normal 4 2 5 11" xfId="19244" xr:uid="{00000000-0005-0000-0000-00004B6B0000}"/>
    <cellStyle name="Normal 4 2 5 11 2" xfId="54247" xr:uid="{00000000-0005-0000-0000-00004C6B0000}"/>
    <cellStyle name="Normal 4 2 5 12" xfId="19245" xr:uid="{00000000-0005-0000-0000-00004D6B0000}"/>
    <cellStyle name="Normal 4 2 5 12 2" xfId="54248" xr:uid="{00000000-0005-0000-0000-00004E6B0000}"/>
    <cellStyle name="Normal 4 2 5 13" xfId="19246" xr:uid="{00000000-0005-0000-0000-00004F6B0000}"/>
    <cellStyle name="Normal 4 2 5 14" xfId="19247" xr:uid="{00000000-0005-0000-0000-0000506B0000}"/>
    <cellStyle name="Normal 4 2 5 15" xfId="19248" xr:uid="{00000000-0005-0000-0000-0000516B0000}"/>
    <cellStyle name="Normal 4 2 5 16" xfId="19249" xr:uid="{00000000-0005-0000-0000-0000526B0000}"/>
    <cellStyle name="Normal 4 2 5 17" xfId="19250" xr:uid="{00000000-0005-0000-0000-0000536B0000}"/>
    <cellStyle name="Normal 4 2 5 18" xfId="19251" xr:uid="{00000000-0005-0000-0000-0000546B0000}"/>
    <cellStyle name="Normal 4 2 5 19" xfId="19252" xr:uid="{00000000-0005-0000-0000-0000556B0000}"/>
    <cellStyle name="Normal 4 2 5 2" xfId="19253" xr:uid="{00000000-0005-0000-0000-0000566B0000}"/>
    <cellStyle name="Normal 4 2 5 2 10" xfId="19254" xr:uid="{00000000-0005-0000-0000-0000576B0000}"/>
    <cellStyle name="Normal 4 2 5 2 11" xfId="19255" xr:uid="{00000000-0005-0000-0000-0000586B0000}"/>
    <cellStyle name="Normal 4 2 5 2 12" xfId="19256" xr:uid="{00000000-0005-0000-0000-0000596B0000}"/>
    <cellStyle name="Normal 4 2 5 2 13" xfId="19257" xr:uid="{00000000-0005-0000-0000-00005A6B0000}"/>
    <cellStyle name="Normal 4 2 5 2 14" xfId="19258" xr:uid="{00000000-0005-0000-0000-00005B6B0000}"/>
    <cellStyle name="Normal 4 2 5 2 2" xfId="19259" xr:uid="{00000000-0005-0000-0000-00005C6B0000}"/>
    <cellStyle name="Normal 4 2 5 2 2 10" xfId="19260" xr:uid="{00000000-0005-0000-0000-00005D6B0000}"/>
    <cellStyle name="Normal 4 2 5 2 2 2" xfId="19261" xr:uid="{00000000-0005-0000-0000-00005E6B0000}"/>
    <cellStyle name="Normal 4 2 5 2 2 2 2" xfId="19262" xr:uid="{00000000-0005-0000-0000-00005F6B0000}"/>
    <cellStyle name="Normal 4 2 5 2 2 2 2 2" xfId="19263" xr:uid="{00000000-0005-0000-0000-0000606B0000}"/>
    <cellStyle name="Normal 4 2 5 2 2 2 2 2 2" xfId="54249" xr:uid="{00000000-0005-0000-0000-0000616B0000}"/>
    <cellStyle name="Normal 4 2 5 2 2 2 2 2 3" xfId="54250" xr:uid="{00000000-0005-0000-0000-0000626B0000}"/>
    <cellStyle name="Normal 4 2 5 2 2 2 2 3" xfId="19264" xr:uid="{00000000-0005-0000-0000-0000636B0000}"/>
    <cellStyle name="Normal 4 2 5 2 2 2 2 3 2" xfId="54251" xr:uid="{00000000-0005-0000-0000-0000646B0000}"/>
    <cellStyle name="Normal 4 2 5 2 2 2 2 4" xfId="19265" xr:uid="{00000000-0005-0000-0000-0000656B0000}"/>
    <cellStyle name="Normal 4 2 5 2 2 2 2 5" xfId="19266" xr:uid="{00000000-0005-0000-0000-0000666B0000}"/>
    <cellStyle name="Normal 4 2 5 2 2 2 2 6" xfId="19267" xr:uid="{00000000-0005-0000-0000-0000676B0000}"/>
    <cellStyle name="Normal 4 2 5 2 2 2 3" xfId="19268" xr:uid="{00000000-0005-0000-0000-0000686B0000}"/>
    <cellStyle name="Normal 4 2 5 2 2 2 3 2" xfId="54252" xr:uid="{00000000-0005-0000-0000-0000696B0000}"/>
    <cellStyle name="Normal 4 2 5 2 2 2 3 3" xfId="54253" xr:uid="{00000000-0005-0000-0000-00006A6B0000}"/>
    <cellStyle name="Normal 4 2 5 2 2 2 4" xfId="19269" xr:uid="{00000000-0005-0000-0000-00006B6B0000}"/>
    <cellStyle name="Normal 4 2 5 2 2 2 4 2" xfId="54254" xr:uid="{00000000-0005-0000-0000-00006C6B0000}"/>
    <cellStyle name="Normal 4 2 5 2 2 2 5" xfId="19270" xr:uid="{00000000-0005-0000-0000-00006D6B0000}"/>
    <cellStyle name="Normal 4 2 5 2 2 2 6" xfId="19271" xr:uid="{00000000-0005-0000-0000-00006E6B0000}"/>
    <cellStyle name="Normal 4 2 5 2 2 2 7" xfId="19272" xr:uid="{00000000-0005-0000-0000-00006F6B0000}"/>
    <cellStyle name="Normal 4 2 5 2 2 3" xfId="19273" xr:uid="{00000000-0005-0000-0000-0000706B0000}"/>
    <cellStyle name="Normal 4 2 5 2 2 3 2" xfId="19274" xr:uid="{00000000-0005-0000-0000-0000716B0000}"/>
    <cellStyle name="Normal 4 2 5 2 2 3 2 2" xfId="54255" xr:uid="{00000000-0005-0000-0000-0000726B0000}"/>
    <cellStyle name="Normal 4 2 5 2 2 3 2 3" xfId="54256" xr:uid="{00000000-0005-0000-0000-0000736B0000}"/>
    <cellStyle name="Normal 4 2 5 2 2 3 3" xfId="19275" xr:uid="{00000000-0005-0000-0000-0000746B0000}"/>
    <cellStyle name="Normal 4 2 5 2 2 3 3 2" xfId="54257" xr:uid="{00000000-0005-0000-0000-0000756B0000}"/>
    <cellStyle name="Normal 4 2 5 2 2 3 4" xfId="19276" xr:uid="{00000000-0005-0000-0000-0000766B0000}"/>
    <cellStyle name="Normal 4 2 5 2 2 3 5" xfId="19277" xr:uid="{00000000-0005-0000-0000-0000776B0000}"/>
    <cellStyle name="Normal 4 2 5 2 2 3 6" xfId="19278" xr:uid="{00000000-0005-0000-0000-0000786B0000}"/>
    <cellStyle name="Normal 4 2 5 2 2 4" xfId="19279" xr:uid="{00000000-0005-0000-0000-0000796B0000}"/>
    <cellStyle name="Normal 4 2 5 2 2 4 2" xfId="54258" xr:uid="{00000000-0005-0000-0000-00007A6B0000}"/>
    <cellStyle name="Normal 4 2 5 2 2 5" xfId="19280" xr:uid="{00000000-0005-0000-0000-00007B6B0000}"/>
    <cellStyle name="Normal 4 2 5 2 2 6" xfId="19281" xr:uid="{00000000-0005-0000-0000-00007C6B0000}"/>
    <cellStyle name="Normal 4 2 5 2 2 7" xfId="19282" xr:uid="{00000000-0005-0000-0000-00007D6B0000}"/>
    <cellStyle name="Normal 4 2 5 2 2 8" xfId="19283" xr:uid="{00000000-0005-0000-0000-00007E6B0000}"/>
    <cellStyle name="Normal 4 2 5 2 2 9" xfId="19284" xr:uid="{00000000-0005-0000-0000-00007F6B0000}"/>
    <cellStyle name="Normal 4 2 5 2 3" xfId="19285" xr:uid="{00000000-0005-0000-0000-0000806B0000}"/>
    <cellStyle name="Normal 4 2 5 2 3 2" xfId="19286" xr:uid="{00000000-0005-0000-0000-0000816B0000}"/>
    <cellStyle name="Normal 4 2 5 2 3 2 2" xfId="19287" xr:uid="{00000000-0005-0000-0000-0000826B0000}"/>
    <cellStyle name="Normal 4 2 5 2 3 2 2 2" xfId="19288" xr:uid="{00000000-0005-0000-0000-0000836B0000}"/>
    <cellStyle name="Normal 4 2 5 2 3 2 2 2 2" xfId="54259" xr:uid="{00000000-0005-0000-0000-0000846B0000}"/>
    <cellStyle name="Normal 4 2 5 2 3 2 2 2 3" xfId="54260" xr:uid="{00000000-0005-0000-0000-0000856B0000}"/>
    <cellStyle name="Normal 4 2 5 2 3 2 2 3" xfId="19289" xr:uid="{00000000-0005-0000-0000-0000866B0000}"/>
    <cellStyle name="Normal 4 2 5 2 3 2 2 3 2" xfId="54261" xr:uid="{00000000-0005-0000-0000-0000876B0000}"/>
    <cellStyle name="Normal 4 2 5 2 3 2 2 4" xfId="19290" xr:uid="{00000000-0005-0000-0000-0000886B0000}"/>
    <cellStyle name="Normal 4 2 5 2 3 2 2 5" xfId="19291" xr:uid="{00000000-0005-0000-0000-0000896B0000}"/>
    <cellStyle name="Normal 4 2 5 2 3 2 2 6" xfId="19292" xr:uid="{00000000-0005-0000-0000-00008A6B0000}"/>
    <cellStyle name="Normal 4 2 5 2 3 2 3" xfId="19293" xr:uid="{00000000-0005-0000-0000-00008B6B0000}"/>
    <cellStyle name="Normal 4 2 5 2 3 2 3 2" xfId="54262" xr:uid="{00000000-0005-0000-0000-00008C6B0000}"/>
    <cellStyle name="Normal 4 2 5 2 3 2 3 3" xfId="54263" xr:uid="{00000000-0005-0000-0000-00008D6B0000}"/>
    <cellStyle name="Normal 4 2 5 2 3 2 4" xfId="19294" xr:uid="{00000000-0005-0000-0000-00008E6B0000}"/>
    <cellStyle name="Normal 4 2 5 2 3 2 4 2" xfId="54264" xr:uid="{00000000-0005-0000-0000-00008F6B0000}"/>
    <cellStyle name="Normal 4 2 5 2 3 2 5" xfId="19295" xr:uid="{00000000-0005-0000-0000-0000906B0000}"/>
    <cellStyle name="Normal 4 2 5 2 3 2 6" xfId="19296" xr:uid="{00000000-0005-0000-0000-0000916B0000}"/>
    <cellStyle name="Normal 4 2 5 2 3 2 7" xfId="19297" xr:uid="{00000000-0005-0000-0000-0000926B0000}"/>
    <cellStyle name="Normal 4 2 5 2 3 3" xfId="19298" xr:uid="{00000000-0005-0000-0000-0000936B0000}"/>
    <cellStyle name="Normal 4 2 5 2 3 3 2" xfId="19299" xr:uid="{00000000-0005-0000-0000-0000946B0000}"/>
    <cellStyle name="Normal 4 2 5 2 3 3 2 2" xfId="54265" xr:uid="{00000000-0005-0000-0000-0000956B0000}"/>
    <cellStyle name="Normal 4 2 5 2 3 3 2 3" xfId="54266" xr:uid="{00000000-0005-0000-0000-0000966B0000}"/>
    <cellStyle name="Normal 4 2 5 2 3 3 3" xfId="19300" xr:uid="{00000000-0005-0000-0000-0000976B0000}"/>
    <cellStyle name="Normal 4 2 5 2 3 3 3 2" xfId="54267" xr:uid="{00000000-0005-0000-0000-0000986B0000}"/>
    <cellStyle name="Normal 4 2 5 2 3 3 4" xfId="19301" xr:uid="{00000000-0005-0000-0000-0000996B0000}"/>
    <cellStyle name="Normal 4 2 5 2 3 3 5" xfId="19302" xr:uid="{00000000-0005-0000-0000-00009A6B0000}"/>
    <cellStyle name="Normal 4 2 5 2 3 3 6" xfId="19303" xr:uid="{00000000-0005-0000-0000-00009B6B0000}"/>
    <cellStyle name="Normal 4 2 5 2 3 4" xfId="19304" xr:uid="{00000000-0005-0000-0000-00009C6B0000}"/>
    <cellStyle name="Normal 4 2 5 2 3 4 2" xfId="54268" xr:uid="{00000000-0005-0000-0000-00009D6B0000}"/>
    <cellStyle name="Normal 4 2 5 2 3 4 3" xfId="54269" xr:uid="{00000000-0005-0000-0000-00009E6B0000}"/>
    <cellStyle name="Normal 4 2 5 2 3 5" xfId="19305" xr:uid="{00000000-0005-0000-0000-00009F6B0000}"/>
    <cellStyle name="Normal 4 2 5 2 3 5 2" xfId="54270" xr:uid="{00000000-0005-0000-0000-0000A06B0000}"/>
    <cellStyle name="Normal 4 2 5 2 3 6" xfId="19306" xr:uid="{00000000-0005-0000-0000-0000A16B0000}"/>
    <cellStyle name="Normal 4 2 5 2 3 7" xfId="19307" xr:uid="{00000000-0005-0000-0000-0000A26B0000}"/>
    <cellStyle name="Normal 4 2 5 2 3 8" xfId="19308" xr:uid="{00000000-0005-0000-0000-0000A36B0000}"/>
    <cellStyle name="Normal 4 2 5 2 4" xfId="19309" xr:uid="{00000000-0005-0000-0000-0000A46B0000}"/>
    <cellStyle name="Normal 4 2 5 2 4 2" xfId="19310" xr:uid="{00000000-0005-0000-0000-0000A56B0000}"/>
    <cellStyle name="Normal 4 2 5 2 4 2 2" xfId="19311" xr:uid="{00000000-0005-0000-0000-0000A66B0000}"/>
    <cellStyle name="Normal 4 2 5 2 4 2 2 2" xfId="54271" xr:uid="{00000000-0005-0000-0000-0000A76B0000}"/>
    <cellStyle name="Normal 4 2 5 2 4 2 2 3" xfId="54272" xr:uid="{00000000-0005-0000-0000-0000A86B0000}"/>
    <cellStyle name="Normal 4 2 5 2 4 2 3" xfId="19312" xr:uid="{00000000-0005-0000-0000-0000A96B0000}"/>
    <cellStyle name="Normal 4 2 5 2 4 2 3 2" xfId="54273" xr:uid="{00000000-0005-0000-0000-0000AA6B0000}"/>
    <cellStyle name="Normal 4 2 5 2 4 2 4" xfId="19313" xr:uid="{00000000-0005-0000-0000-0000AB6B0000}"/>
    <cellStyle name="Normal 4 2 5 2 4 2 5" xfId="19314" xr:uid="{00000000-0005-0000-0000-0000AC6B0000}"/>
    <cellStyle name="Normal 4 2 5 2 4 2 6" xfId="19315" xr:uid="{00000000-0005-0000-0000-0000AD6B0000}"/>
    <cellStyle name="Normal 4 2 5 2 4 3" xfId="19316" xr:uid="{00000000-0005-0000-0000-0000AE6B0000}"/>
    <cellStyle name="Normal 4 2 5 2 4 3 2" xfId="54274" xr:uid="{00000000-0005-0000-0000-0000AF6B0000}"/>
    <cellStyle name="Normal 4 2 5 2 4 3 3" xfId="54275" xr:uid="{00000000-0005-0000-0000-0000B06B0000}"/>
    <cellStyle name="Normal 4 2 5 2 4 4" xfId="19317" xr:uid="{00000000-0005-0000-0000-0000B16B0000}"/>
    <cellStyle name="Normal 4 2 5 2 4 4 2" xfId="54276" xr:uid="{00000000-0005-0000-0000-0000B26B0000}"/>
    <cellStyle name="Normal 4 2 5 2 4 5" xfId="19318" xr:uid="{00000000-0005-0000-0000-0000B36B0000}"/>
    <cellStyle name="Normal 4 2 5 2 4 6" xfId="19319" xr:uid="{00000000-0005-0000-0000-0000B46B0000}"/>
    <cellStyle name="Normal 4 2 5 2 4 7" xfId="19320" xr:uid="{00000000-0005-0000-0000-0000B56B0000}"/>
    <cellStyle name="Normal 4 2 5 2 5" xfId="19321" xr:uid="{00000000-0005-0000-0000-0000B66B0000}"/>
    <cellStyle name="Normal 4 2 5 2 5 2" xfId="19322" xr:uid="{00000000-0005-0000-0000-0000B76B0000}"/>
    <cellStyle name="Normal 4 2 5 2 5 2 2" xfId="54277" xr:uid="{00000000-0005-0000-0000-0000B86B0000}"/>
    <cellStyle name="Normal 4 2 5 2 5 2 3" xfId="54278" xr:uid="{00000000-0005-0000-0000-0000B96B0000}"/>
    <cellStyle name="Normal 4 2 5 2 5 3" xfId="19323" xr:uid="{00000000-0005-0000-0000-0000BA6B0000}"/>
    <cellStyle name="Normal 4 2 5 2 5 3 2" xfId="54279" xr:uid="{00000000-0005-0000-0000-0000BB6B0000}"/>
    <cellStyle name="Normal 4 2 5 2 5 4" xfId="19324" xr:uid="{00000000-0005-0000-0000-0000BC6B0000}"/>
    <cellStyle name="Normal 4 2 5 2 5 5" xfId="19325" xr:uid="{00000000-0005-0000-0000-0000BD6B0000}"/>
    <cellStyle name="Normal 4 2 5 2 5 6" xfId="19326" xr:uid="{00000000-0005-0000-0000-0000BE6B0000}"/>
    <cellStyle name="Normal 4 2 5 2 6" xfId="19327" xr:uid="{00000000-0005-0000-0000-0000BF6B0000}"/>
    <cellStyle name="Normal 4 2 5 2 6 2" xfId="54280" xr:uid="{00000000-0005-0000-0000-0000C06B0000}"/>
    <cellStyle name="Normal 4 2 5 2 6 3" xfId="54281" xr:uid="{00000000-0005-0000-0000-0000C16B0000}"/>
    <cellStyle name="Normal 4 2 5 2 7" xfId="19328" xr:uid="{00000000-0005-0000-0000-0000C26B0000}"/>
    <cellStyle name="Normal 4 2 5 2 7 2" xfId="54282" xr:uid="{00000000-0005-0000-0000-0000C36B0000}"/>
    <cellStyle name="Normal 4 2 5 2 8" xfId="19329" xr:uid="{00000000-0005-0000-0000-0000C46B0000}"/>
    <cellStyle name="Normal 4 2 5 2 8 2" xfId="54283" xr:uid="{00000000-0005-0000-0000-0000C56B0000}"/>
    <cellStyle name="Normal 4 2 5 2 9" xfId="19330" xr:uid="{00000000-0005-0000-0000-0000C66B0000}"/>
    <cellStyle name="Normal 4 2 5 3" xfId="19331" xr:uid="{00000000-0005-0000-0000-0000C76B0000}"/>
    <cellStyle name="Normal 4 2 5 3 10" xfId="19332" xr:uid="{00000000-0005-0000-0000-0000C86B0000}"/>
    <cellStyle name="Normal 4 2 5 3 11" xfId="19333" xr:uid="{00000000-0005-0000-0000-0000C96B0000}"/>
    <cellStyle name="Normal 4 2 5 3 12" xfId="19334" xr:uid="{00000000-0005-0000-0000-0000CA6B0000}"/>
    <cellStyle name="Normal 4 2 5 3 13" xfId="19335" xr:uid="{00000000-0005-0000-0000-0000CB6B0000}"/>
    <cellStyle name="Normal 4 2 5 3 14" xfId="19336" xr:uid="{00000000-0005-0000-0000-0000CC6B0000}"/>
    <cellStyle name="Normal 4 2 5 3 15" xfId="19337" xr:uid="{00000000-0005-0000-0000-0000CD6B0000}"/>
    <cellStyle name="Normal 4 2 5 3 2" xfId="19338" xr:uid="{00000000-0005-0000-0000-0000CE6B0000}"/>
    <cellStyle name="Normal 4 2 5 3 2 2" xfId="19339" xr:uid="{00000000-0005-0000-0000-0000CF6B0000}"/>
    <cellStyle name="Normal 4 2 5 3 2 2 2" xfId="19340" xr:uid="{00000000-0005-0000-0000-0000D06B0000}"/>
    <cellStyle name="Normal 4 2 5 3 2 2 2 2" xfId="19341" xr:uid="{00000000-0005-0000-0000-0000D16B0000}"/>
    <cellStyle name="Normal 4 2 5 3 2 2 2 2 2" xfId="54284" xr:uid="{00000000-0005-0000-0000-0000D26B0000}"/>
    <cellStyle name="Normal 4 2 5 3 2 2 2 2 3" xfId="54285" xr:uid="{00000000-0005-0000-0000-0000D36B0000}"/>
    <cellStyle name="Normal 4 2 5 3 2 2 2 3" xfId="19342" xr:uid="{00000000-0005-0000-0000-0000D46B0000}"/>
    <cellStyle name="Normal 4 2 5 3 2 2 2 3 2" xfId="54286" xr:uid="{00000000-0005-0000-0000-0000D56B0000}"/>
    <cellStyle name="Normal 4 2 5 3 2 2 2 4" xfId="19343" xr:uid="{00000000-0005-0000-0000-0000D66B0000}"/>
    <cellStyle name="Normal 4 2 5 3 2 2 2 5" xfId="19344" xr:uid="{00000000-0005-0000-0000-0000D76B0000}"/>
    <cellStyle name="Normal 4 2 5 3 2 2 2 6" xfId="19345" xr:uid="{00000000-0005-0000-0000-0000D86B0000}"/>
    <cellStyle name="Normal 4 2 5 3 2 2 3" xfId="19346" xr:uid="{00000000-0005-0000-0000-0000D96B0000}"/>
    <cellStyle name="Normal 4 2 5 3 2 2 3 2" xfId="54287" xr:uid="{00000000-0005-0000-0000-0000DA6B0000}"/>
    <cellStyle name="Normal 4 2 5 3 2 2 3 3" xfId="54288" xr:uid="{00000000-0005-0000-0000-0000DB6B0000}"/>
    <cellStyle name="Normal 4 2 5 3 2 2 4" xfId="19347" xr:uid="{00000000-0005-0000-0000-0000DC6B0000}"/>
    <cellStyle name="Normal 4 2 5 3 2 2 4 2" xfId="54289" xr:uid="{00000000-0005-0000-0000-0000DD6B0000}"/>
    <cellStyle name="Normal 4 2 5 3 2 2 5" xfId="19348" xr:uid="{00000000-0005-0000-0000-0000DE6B0000}"/>
    <cellStyle name="Normal 4 2 5 3 2 2 6" xfId="19349" xr:uid="{00000000-0005-0000-0000-0000DF6B0000}"/>
    <cellStyle name="Normal 4 2 5 3 2 2 7" xfId="19350" xr:uid="{00000000-0005-0000-0000-0000E06B0000}"/>
    <cellStyle name="Normal 4 2 5 3 2 3" xfId="19351" xr:uid="{00000000-0005-0000-0000-0000E16B0000}"/>
    <cellStyle name="Normal 4 2 5 3 2 3 2" xfId="19352" xr:uid="{00000000-0005-0000-0000-0000E26B0000}"/>
    <cellStyle name="Normal 4 2 5 3 2 3 2 2" xfId="54290" xr:uid="{00000000-0005-0000-0000-0000E36B0000}"/>
    <cellStyle name="Normal 4 2 5 3 2 3 2 3" xfId="54291" xr:uid="{00000000-0005-0000-0000-0000E46B0000}"/>
    <cellStyle name="Normal 4 2 5 3 2 3 3" xfId="19353" xr:uid="{00000000-0005-0000-0000-0000E56B0000}"/>
    <cellStyle name="Normal 4 2 5 3 2 3 3 2" xfId="54292" xr:uid="{00000000-0005-0000-0000-0000E66B0000}"/>
    <cellStyle name="Normal 4 2 5 3 2 3 4" xfId="19354" xr:uid="{00000000-0005-0000-0000-0000E76B0000}"/>
    <cellStyle name="Normal 4 2 5 3 2 3 5" xfId="19355" xr:uid="{00000000-0005-0000-0000-0000E86B0000}"/>
    <cellStyle name="Normal 4 2 5 3 2 3 6" xfId="19356" xr:uid="{00000000-0005-0000-0000-0000E96B0000}"/>
    <cellStyle name="Normal 4 2 5 3 2 4" xfId="19357" xr:uid="{00000000-0005-0000-0000-0000EA6B0000}"/>
    <cellStyle name="Normal 4 2 5 3 2 4 2" xfId="54293" xr:uid="{00000000-0005-0000-0000-0000EB6B0000}"/>
    <cellStyle name="Normal 4 2 5 3 2 4 3" xfId="54294" xr:uid="{00000000-0005-0000-0000-0000EC6B0000}"/>
    <cellStyle name="Normal 4 2 5 3 2 5" xfId="19358" xr:uid="{00000000-0005-0000-0000-0000ED6B0000}"/>
    <cellStyle name="Normal 4 2 5 3 2 5 2" xfId="54295" xr:uid="{00000000-0005-0000-0000-0000EE6B0000}"/>
    <cellStyle name="Normal 4 2 5 3 2 6" xfId="19359" xr:uid="{00000000-0005-0000-0000-0000EF6B0000}"/>
    <cellStyle name="Normal 4 2 5 3 2 7" xfId="19360" xr:uid="{00000000-0005-0000-0000-0000F06B0000}"/>
    <cellStyle name="Normal 4 2 5 3 2 8" xfId="19361" xr:uid="{00000000-0005-0000-0000-0000F16B0000}"/>
    <cellStyle name="Normal 4 2 5 3 2 9" xfId="19362" xr:uid="{00000000-0005-0000-0000-0000F26B0000}"/>
    <cellStyle name="Normal 4 2 5 3 3" xfId="19363" xr:uid="{00000000-0005-0000-0000-0000F36B0000}"/>
    <cellStyle name="Normal 4 2 5 3 3 2" xfId="19364" xr:uid="{00000000-0005-0000-0000-0000F46B0000}"/>
    <cellStyle name="Normal 4 2 5 3 3 2 2" xfId="19365" xr:uid="{00000000-0005-0000-0000-0000F56B0000}"/>
    <cellStyle name="Normal 4 2 5 3 3 2 2 2" xfId="19366" xr:uid="{00000000-0005-0000-0000-0000F66B0000}"/>
    <cellStyle name="Normal 4 2 5 3 3 2 2 2 2" xfId="54296" xr:uid="{00000000-0005-0000-0000-0000F76B0000}"/>
    <cellStyle name="Normal 4 2 5 3 3 2 2 2 3" xfId="54297" xr:uid="{00000000-0005-0000-0000-0000F86B0000}"/>
    <cellStyle name="Normal 4 2 5 3 3 2 2 3" xfId="19367" xr:uid="{00000000-0005-0000-0000-0000F96B0000}"/>
    <cellStyle name="Normal 4 2 5 3 3 2 2 3 2" xfId="54298" xr:uid="{00000000-0005-0000-0000-0000FA6B0000}"/>
    <cellStyle name="Normal 4 2 5 3 3 2 2 4" xfId="19368" xr:uid="{00000000-0005-0000-0000-0000FB6B0000}"/>
    <cellStyle name="Normal 4 2 5 3 3 2 2 5" xfId="19369" xr:uid="{00000000-0005-0000-0000-0000FC6B0000}"/>
    <cellStyle name="Normal 4 2 5 3 3 2 2 6" xfId="19370" xr:uid="{00000000-0005-0000-0000-0000FD6B0000}"/>
    <cellStyle name="Normal 4 2 5 3 3 2 3" xfId="19371" xr:uid="{00000000-0005-0000-0000-0000FE6B0000}"/>
    <cellStyle name="Normal 4 2 5 3 3 2 3 2" xfId="54299" xr:uid="{00000000-0005-0000-0000-0000FF6B0000}"/>
    <cellStyle name="Normal 4 2 5 3 3 2 3 3" xfId="54300" xr:uid="{00000000-0005-0000-0000-0000006C0000}"/>
    <cellStyle name="Normal 4 2 5 3 3 2 4" xfId="19372" xr:uid="{00000000-0005-0000-0000-0000016C0000}"/>
    <cellStyle name="Normal 4 2 5 3 3 2 4 2" xfId="54301" xr:uid="{00000000-0005-0000-0000-0000026C0000}"/>
    <cellStyle name="Normal 4 2 5 3 3 2 5" xfId="19373" xr:uid="{00000000-0005-0000-0000-0000036C0000}"/>
    <cellStyle name="Normal 4 2 5 3 3 2 6" xfId="19374" xr:uid="{00000000-0005-0000-0000-0000046C0000}"/>
    <cellStyle name="Normal 4 2 5 3 3 2 7" xfId="19375" xr:uid="{00000000-0005-0000-0000-0000056C0000}"/>
    <cellStyle name="Normal 4 2 5 3 3 3" xfId="19376" xr:uid="{00000000-0005-0000-0000-0000066C0000}"/>
    <cellStyle name="Normal 4 2 5 3 3 3 2" xfId="19377" xr:uid="{00000000-0005-0000-0000-0000076C0000}"/>
    <cellStyle name="Normal 4 2 5 3 3 3 2 2" xfId="54302" xr:uid="{00000000-0005-0000-0000-0000086C0000}"/>
    <cellStyle name="Normal 4 2 5 3 3 3 2 3" xfId="54303" xr:uid="{00000000-0005-0000-0000-0000096C0000}"/>
    <cellStyle name="Normal 4 2 5 3 3 3 3" xfId="19378" xr:uid="{00000000-0005-0000-0000-00000A6C0000}"/>
    <cellStyle name="Normal 4 2 5 3 3 3 3 2" xfId="54304" xr:uid="{00000000-0005-0000-0000-00000B6C0000}"/>
    <cellStyle name="Normal 4 2 5 3 3 3 4" xfId="19379" xr:uid="{00000000-0005-0000-0000-00000C6C0000}"/>
    <cellStyle name="Normal 4 2 5 3 3 3 5" xfId="19380" xr:uid="{00000000-0005-0000-0000-00000D6C0000}"/>
    <cellStyle name="Normal 4 2 5 3 3 3 6" xfId="19381" xr:uid="{00000000-0005-0000-0000-00000E6C0000}"/>
    <cellStyle name="Normal 4 2 5 3 3 4" xfId="19382" xr:uid="{00000000-0005-0000-0000-00000F6C0000}"/>
    <cellStyle name="Normal 4 2 5 3 3 4 2" xfId="54305" xr:uid="{00000000-0005-0000-0000-0000106C0000}"/>
    <cellStyle name="Normal 4 2 5 3 3 4 3" xfId="54306" xr:uid="{00000000-0005-0000-0000-0000116C0000}"/>
    <cellStyle name="Normal 4 2 5 3 3 5" xfId="19383" xr:uid="{00000000-0005-0000-0000-0000126C0000}"/>
    <cellStyle name="Normal 4 2 5 3 3 5 2" xfId="54307" xr:uid="{00000000-0005-0000-0000-0000136C0000}"/>
    <cellStyle name="Normal 4 2 5 3 3 6" xfId="19384" xr:uid="{00000000-0005-0000-0000-0000146C0000}"/>
    <cellStyle name="Normal 4 2 5 3 3 7" xfId="19385" xr:uid="{00000000-0005-0000-0000-0000156C0000}"/>
    <cellStyle name="Normal 4 2 5 3 3 8" xfId="19386" xr:uid="{00000000-0005-0000-0000-0000166C0000}"/>
    <cellStyle name="Normal 4 2 5 3 4" xfId="19387" xr:uid="{00000000-0005-0000-0000-0000176C0000}"/>
    <cellStyle name="Normal 4 2 5 3 4 2" xfId="19388" xr:uid="{00000000-0005-0000-0000-0000186C0000}"/>
    <cellStyle name="Normal 4 2 5 3 4 2 2" xfId="19389" xr:uid="{00000000-0005-0000-0000-0000196C0000}"/>
    <cellStyle name="Normal 4 2 5 3 4 2 2 2" xfId="54308" xr:uid="{00000000-0005-0000-0000-00001A6C0000}"/>
    <cellStyle name="Normal 4 2 5 3 4 2 2 3" xfId="54309" xr:uid="{00000000-0005-0000-0000-00001B6C0000}"/>
    <cellStyle name="Normal 4 2 5 3 4 2 3" xfId="19390" xr:uid="{00000000-0005-0000-0000-00001C6C0000}"/>
    <cellStyle name="Normal 4 2 5 3 4 2 3 2" xfId="54310" xr:uid="{00000000-0005-0000-0000-00001D6C0000}"/>
    <cellStyle name="Normal 4 2 5 3 4 2 4" xfId="19391" xr:uid="{00000000-0005-0000-0000-00001E6C0000}"/>
    <cellStyle name="Normal 4 2 5 3 4 2 5" xfId="19392" xr:uid="{00000000-0005-0000-0000-00001F6C0000}"/>
    <cellStyle name="Normal 4 2 5 3 4 2 6" xfId="19393" xr:uid="{00000000-0005-0000-0000-0000206C0000}"/>
    <cellStyle name="Normal 4 2 5 3 4 3" xfId="19394" xr:uid="{00000000-0005-0000-0000-0000216C0000}"/>
    <cellStyle name="Normal 4 2 5 3 4 3 2" xfId="54311" xr:uid="{00000000-0005-0000-0000-0000226C0000}"/>
    <cellStyle name="Normal 4 2 5 3 4 3 3" xfId="54312" xr:uid="{00000000-0005-0000-0000-0000236C0000}"/>
    <cellStyle name="Normal 4 2 5 3 4 4" xfId="19395" xr:uid="{00000000-0005-0000-0000-0000246C0000}"/>
    <cellStyle name="Normal 4 2 5 3 4 4 2" xfId="54313" xr:uid="{00000000-0005-0000-0000-0000256C0000}"/>
    <cellStyle name="Normal 4 2 5 3 4 5" xfId="19396" xr:uid="{00000000-0005-0000-0000-0000266C0000}"/>
    <cellStyle name="Normal 4 2 5 3 4 6" xfId="19397" xr:uid="{00000000-0005-0000-0000-0000276C0000}"/>
    <cellStyle name="Normal 4 2 5 3 4 7" xfId="19398" xr:uid="{00000000-0005-0000-0000-0000286C0000}"/>
    <cellStyle name="Normal 4 2 5 3 5" xfId="19399" xr:uid="{00000000-0005-0000-0000-0000296C0000}"/>
    <cellStyle name="Normal 4 2 5 3 5 2" xfId="19400" xr:uid="{00000000-0005-0000-0000-00002A6C0000}"/>
    <cellStyle name="Normal 4 2 5 3 5 2 2" xfId="54314" xr:uid="{00000000-0005-0000-0000-00002B6C0000}"/>
    <cellStyle name="Normal 4 2 5 3 5 2 3" xfId="54315" xr:uid="{00000000-0005-0000-0000-00002C6C0000}"/>
    <cellStyle name="Normal 4 2 5 3 5 3" xfId="19401" xr:uid="{00000000-0005-0000-0000-00002D6C0000}"/>
    <cellStyle name="Normal 4 2 5 3 5 3 2" xfId="54316" xr:uid="{00000000-0005-0000-0000-00002E6C0000}"/>
    <cellStyle name="Normal 4 2 5 3 5 4" xfId="19402" xr:uid="{00000000-0005-0000-0000-00002F6C0000}"/>
    <cellStyle name="Normal 4 2 5 3 5 5" xfId="19403" xr:uid="{00000000-0005-0000-0000-0000306C0000}"/>
    <cellStyle name="Normal 4 2 5 3 5 6" xfId="19404" xr:uid="{00000000-0005-0000-0000-0000316C0000}"/>
    <cellStyle name="Normal 4 2 5 3 6" xfId="19405" xr:uid="{00000000-0005-0000-0000-0000326C0000}"/>
    <cellStyle name="Normal 4 2 5 3 6 2" xfId="54317" xr:uid="{00000000-0005-0000-0000-0000336C0000}"/>
    <cellStyle name="Normal 4 2 5 3 7" xfId="19406" xr:uid="{00000000-0005-0000-0000-0000346C0000}"/>
    <cellStyle name="Normal 4 2 5 3 8" xfId="19407" xr:uid="{00000000-0005-0000-0000-0000356C0000}"/>
    <cellStyle name="Normal 4 2 5 3 9" xfId="19408" xr:uid="{00000000-0005-0000-0000-0000366C0000}"/>
    <cellStyle name="Normal 4 2 5 4" xfId="19409" xr:uid="{00000000-0005-0000-0000-0000376C0000}"/>
    <cellStyle name="Normal 4 2 5 4 10" xfId="19410" xr:uid="{00000000-0005-0000-0000-0000386C0000}"/>
    <cellStyle name="Normal 4 2 5 4 11" xfId="19411" xr:uid="{00000000-0005-0000-0000-0000396C0000}"/>
    <cellStyle name="Normal 4 2 5 4 12" xfId="19412" xr:uid="{00000000-0005-0000-0000-00003A6C0000}"/>
    <cellStyle name="Normal 4 2 5 4 13" xfId="19413" xr:uid="{00000000-0005-0000-0000-00003B6C0000}"/>
    <cellStyle name="Normal 4 2 5 4 2" xfId="19414" xr:uid="{00000000-0005-0000-0000-00003C6C0000}"/>
    <cellStyle name="Normal 4 2 5 4 2 2" xfId="19415" xr:uid="{00000000-0005-0000-0000-00003D6C0000}"/>
    <cellStyle name="Normal 4 2 5 4 2 2 2" xfId="19416" xr:uid="{00000000-0005-0000-0000-00003E6C0000}"/>
    <cellStyle name="Normal 4 2 5 4 2 2 2 2" xfId="19417" xr:uid="{00000000-0005-0000-0000-00003F6C0000}"/>
    <cellStyle name="Normal 4 2 5 4 2 2 2 2 2" xfId="54318" xr:uid="{00000000-0005-0000-0000-0000406C0000}"/>
    <cellStyle name="Normal 4 2 5 4 2 2 2 2 3" xfId="54319" xr:uid="{00000000-0005-0000-0000-0000416C0000}"/>
    <cellStyle name="Normal 4 2 5 4 2 2 2 3" xfId="19418" xr:uid="{00000000-0005-0000-0000-0000426C0000}"/>
    <cellStyle name="Normal 4 2 5 4 2 2 2 3 2" xfId="54320" xr:uid="{00000000-0005-0000-0000-0000436C0000}"/>
    <cellStyle name="Normal 4 2 5 4 2 2 2 4" xfId="19419" xr:uid="{00000000-0005-0000-0000-0000446C0000}"/>
    <cellStyle name="Normal 4 2 5 4 2 2 2 5" xfId="19420" xr:uid="{00000000-0005-0000-0000-0000456C0000}"/>
    <cellStyle name="Normal 4 2 5 4 2 2 2 6" xfId="19421" xr:uid="{00000000-0005-0000-0000-0000466C0000}"/>
    <cellStyle name="Normal 4 2 5 4 2 2 3" xfId="19422" xr:uid="{00000000-0005-0000-0000-0000476C0000}"/>
    <cellStyle name="Normal 4 2 5 4 2 2 3 2" xfId="54321" xr:uid="{00000000-0005-0000-0000-0000486C0000}"/>
    <cellStyle name="Normal 4 2 5 4 2 2 3 3" xfId="54322" xr:uid="{00000000-0005-0000-0000-0000496C0000}"/>
    <cellStyle name="Normal 4 2 5 4 2 2 4" xfId="19423" xr:uid="{00000000-0005-0000-0000-00004A6C0000}"/>
    <cellStyle name="Normal 4 2 5 4 2 2 4 2" xfId="54323" xr:uid="{00000000-0005-0000-0000-00004B6C0000}"/>
    <cellStyle name="Normal 4 2 5 4 2 2 5" xfId="19424" xr:uid="{00000000-0005-0000-0000-00004C6C0000}"/>
    <cellStyle name="Normal 4 2 5 4 2 2 6" xfId="19425" xr:uid="{00000000-0005-0000-0000-00004D6C0000}"/>
    <cellStyle name="Normal 4 2 5 4 2 2 7" xfId="19426" xr:uid="{00000000-0005-0000-0000-00004E6C0000}"/>
    <cellStyle name="Normal 4 2 5 4 2 3" xfId="19427" xr:uid="{00000000-0005-0000-0000-00004F6C0000}"/>
    <cellStyle name="Normal 4 2 5 4 2 3 2" xfId="19428" xr:uid="{00000000-0005-0000-0000-0000506C0000}"/>
    <cellStyle name="Normal 4 2 5 4 2 3 2 2" xfId="54324" xr:uid="{00000000-0005-0000-0000-0000516C0000}"/>
    <cellStyle name="Normal 4 2 5 4 2 3 2 3" xfId="54325" xr:uid="{00000000-0005-0000-0000-0000526C0000}"/>
    <cellStyle name="Normal 4 2 5 4 2 3 3" xfId="19429" xr:uid="{00000000-0005-0000-0000-0000536C0000}"/>
    <cellStyle name="Normal 4 2 5 4 2 3 3 2" xfId="54326" xr:uid="{00000000-0005-0000-0000-0000546C0000}"/>
    <cellStyle name="Normal 4 2 5 4 2 3 4" xfId="19430" xr:uid="{00000000-0005-0000-0000-0000556C0000}"/>
    <cellStyle name="Normal 4 2 5 4 2 3 5" xfId="19431" xr:uid="{00000000-0005-0000-0000-0000566C0000}"/>
    <cellStyle name="Normal 4 2 5 4 2 3 6" xfId="19432" xr:uid="{00000000-0005-0000-0000-0000576C0000}"/>
    <cellStyle name="Normal 4 2 5 4 2 4" xfId="19433" xr:uid="{00000000-0005-0000-0000-0000586C0000}"/>
    <cellStyle name="Normal 4 2 5 4 2 4 2" xfId="54327" xr:uid="{00000000-0005-0000-0000-0000596C0000}"/>
    <cellStyle name="Normal 4 2 5 4 2 4 3" xfId="54328" xr:uid="{00000000-0005-0000-0000-00005A6C0000}"/>
    <cellStyle name="Normal 4 2 5 4 2 5" xfId="19434" xr:uid="{00000000-0005-0000-0000-00005B6C0000}"/>
    <cellStyle name="Normal 4 2 5 4 2 5 2" xfId="54329" xr:uid="{00000000-0005-0000-0000-00005C6C0000}"/>
    <cellStyle name="Normal 4 2 5 4 2 6" xfId="19435" xr:uid="{00000000-0005-0000-0000-00005D6C0000}"/>
    <cellStyle name="Normal 4 2 5 4 2 7" xfId="19436" xr:uid="{00000000-0005-0000-0000-00005E6C0000}"/>
    <cellStyle name="Normal 4 2 5 4 2 8" xfId="19437" xr:uid="{00000000-0005-0000-0000-00005F6C0000}"/>
    <cellStyle name="Normal 4 2 5 4 2 9" xfId="19438" xr:uid="{00000000-0005-0000-0000-0000606C0000}"/>
    <cellStyle name="Normal 4 2 5 4 3" xfId="19439" xr:uid="{00000000-0005-0000-0000-0000616C0000}"/>
    <cellStyle name="Normal 4 2 5 4 3 2" xfId="19440" xr:uid="{00000000-0005-0000-0000-0000626C0000}"/>
    <cellStyle name="Normal 4 2 5 4 3 2 2" xfId="19441" xr:uid="{00000000-0005-0000-0000-0000636C0000}"/>
    <cellStyle name="Normal 4 2 5 4 3 2 2 2" xfId="54330" xr:uid="{00000000-0005-0000-0000-0000646C0000}"/>
    <cellStyle name="Normal 4 2 5 4 3 2 2 3" xfId="54331" xr:uid="{00000000-0005-0000-0000-0000656C0000}"/>
    <cellStyle name="Normal 4 2 5 4 3 2 3" xfId="19442" xr:uid="{00000000-0005-0000-0000-0000666C0000}"/>
    <cellStyle name="Normal 4 2 5 4 3 2 3 2" xfId="54332" xr:uid="{00000000-0005-0000-0000-0000676C0000}"/>
    <cellStyle name="Normal 4 2 5 4 3 2 4" xfId="19443" xr:uid="{00000000-0005-0000-0000-0000686C0000}"/>
    <cellStyle name="Normal 4 2 5 4 3 2 5" xfId="19444" xr:uid="{00000000-0005-0000-0000-0000696C0000}"/>
    <cellStyle name="Normal 4 2 5 4 3 2 6" xfId="19445" xr:uid="{00000000-0005-0000-0000-00006A6C0000}"/>
    <cellStyle name="Normal 4 2 5 4 3 3" xfId="19446" xr:uid="{00000000-0005-0000-0000-00006B6C0000}"/>
    <cellStyle name="Normal 4 2 5 4 3 3 2" xfId="54333" xr:uid="{00000000-0005-0000-0000-00006C6C0000}"/>
    <cellStyle name="Normal 4 2 5 4 3 3 3" xfId="54334" xr:uid="{00000000-0005-0000-0000-00006D6C0000}"/>
    <cellStyle name="Normal 4 2 5 4 3 4" xfId="19447" xr:uid="{00000000-0005-0000-0000-00006E6C0000}"/>
    <cellStyle name="Normal 4 2 5 4 3 4 2" xfId="54335" xr:uid="{00000000-0005-0000-0000-00006F6C0000}"/>
    <cellStyle name="Normal 4 2 5 4 3 5" xfId="19448" xr:uid="{00000000-0005-0000-0000-0000706C0000}"/>
    <cellStyle name="Normal 4 2 5 4 3 6" xfId="19449" xr:uid="{00000000-0005-0000-0000-0000716C0000}"/>
    <cellStyle name="Normal 4 2 5 4 3 7" xfId="19450" xr:uid="{00000000-0005-0000-0000-0000726C0000}"/>
    <cellStyle name="Normal 4 2 5 4 4" xfId="19451" xr:uid="{00000000-0005-0000-0000-0000736C0000}"/>
    <cellStyle name="Normal 4 2 5 4 4 2" xfId="19452" xr:uid="{00000000-0005-0000-0000-0000746C0000}"/>
    <cellStyle name="Normal 4 2 5 4 4 2 2" xfId="54336" xr:uid="{00000000-0005-0000-0000-0000756C0000}"/>
    <cellStyle name="Normal 4 2 5 4 4 2 3" xfId="54337" xr:uid="{00000000-0005-0000-0000-0000766C0000}"/>
    <cellStyle name="Normal 4 2 5 4 4 3" xfId="19453" xr:uid="{00000000-0005-0000-0000-0000776C0000}"/>
    <cellStyle name="Normal 4 2 5 4 4 3 2" xfId="54338" xr:uid="{00000000-0005-0000-0000-0000786C0000}"/>
    <cellStyle name="Normal 4 2 5 4 4 4" xfId="19454" xr:uid="{00000000-0005-0000-0000-0000796C0000}"/>
    <cellStyle name="Normal 4 2 5 4 4 5" xfId="19455" xr:uid="{00000000-0005-0000-0000-00007A6C0000}"/>
    <cellStyle name="Normal 4 2 5 4 4 6" xfId="19456" xr:uid="{00000000-0005-0000-0000-00007B6C0000}"/>
    <cellStyle name="Normal 4 2 5 4 5" xfId="19457" xr:uid="{00000000-0005-0000-0000-00007C6C0000}"/>
    <cellStyle name="Normal 4 2 5 4 5 2" xfId="54339" xr:uid="{00000000-0005-0000-0000-00007D6C0000}"/>
    <cellStyle name="Normal 4 2 5 4 5 3" xfId="54340" xr:uid="{00000000-0005-0000-0000-00007E6C0000}"/>
    <cellStyle name="Normal 4 2 5 4 6" xfId="19458" xr:uid="{00000000-0005-0000-0000-00007F6C0000}"/>
    <cellStyle name="Normal 4 2 5 4 6 2" xfId="54341" xr:uid="{00000000-0005-0000-0000-0000806C0000}"/>
    <cellStyle name="Normal 4 2 5 4 7" xfId="19459" xr:uid="{00000000-0005-0000-0000-0000816C0000}"/>
    <cellStyle name="Normal 4 2 5 4 8" xfId="19460" xr:uid="{00000000-0005-0000-0000-0000826C0000}"/>
    <cellStyle name="Normal 4 2 5 4 9" xfId="19461" xr:uid="{00000000-0005-0000-0000-0000836C0000}"/>
    <cellStyle name="Normal 4 2 5 5" xfId="19462" xr:uid="{00000000-0005-0000-0000-0000846C0000}"/>
    <cellStyle name="Normal 4 2 5 5 2" xfId="19463" xr:uid="{00000000-0005-0000-0000-0000856C0000}"/>
    <cellStyle name="Normal 4 2 5 5 2 2" xfId="19464" xr:uid="{00000000-0005-0000-0000-0000866C0000}"/>
    <cellStyle name="Normal 4 2 5 5 2 2 2" xfId="19465" xr:uid="{00000000-0005-0000-0000-0000876C0000}"/>
    <cellStyle name="Normal 4 2 5 5 2 2 2 2" xfId="54342" xr:uid="{00000000-0005-0000-0000-0000886C0000}"/>
    <cellStyle name="Normal 4 2 5 5 2 2 2 3" xfId="54343" xr:uid="{00000000-0005-0000-0000-0000896C0000}"/>
    <cellStyle name="Normal 4 2 5 5 2 2 3" xfId="19466" xr:uid="{00000000-0005-0000-0000-00008A6C0000}"/>
    <cellStyle name="Normal 4 2 5 5 2 2 3 2" xfId="54344" xr:uid="{00000000-0005-0000-0000-00008B6C0000}"/>
    <cellStyle name="Normal 4 2 5 5 2 2 4" xfId="19467" xr:uid="{00000000-0005-0000-0000-00008C6C0000}"/>
    <cellStyle name="Normal 4 2 5 5 2 2 5" xfId="19468" xr:uid="{00000000-0005-0000-0000-00008D6C0000}"/>
    <cellStyle name="Normal 4 2 5 5 2 2 6" xfId="19469" xr:uid="{00000000-0005-0000-0000-00008E6C0000}"/>
    <cellStyle name="Normal 4 2 5 5 2 3" xfId="19470" xr:uid="{00000000-0005-0000-0000-00008F6C0000}"/>
    <cellStyle name="Normal 4 2 5 5 2 3 2" xfId="54345" xr:uid="{00000000-0005-0000-0000-0000906C0000}"/>
    <cellStyle name="Normal 4 2 5 5 2 3 3" xfId="54346" xr:uid="{00000000-0005-0000-0000-0000916C0000}"/>
    <cellStyle name="Normal 4 2 5 5 2 4" xfId="19471" xr:uid="{00000000-0005-0000-0000-0000926C0000}"/>
    <cellStyle name="Normal 4 2 5 5 2 4 2" xfId="54347" xr:uid="{00000000-0005-0000-0000-0000936C0000}"/>
    <cellStyle name="Normal 4 2 5 5 2 5" xfId="19472" xr:uid="{00000000-0005-0000-0000-0000946C0000}"/>
    <cellStyle name="Normal 4 2 5 5 2 6" xfId="19473" xr:uid="{00000000-0005-0000-0000-0000956C0000}"/>
    <cellStyle name="Normal 4 2 5 5 2 7" xfId="19474" xr:uid="{00000000-0005-0000-0000-0000966C0000}"/>
    <cellStyle name="Normal 4 2 5 5 3" xfId="19475" xr:uid="{00000000-0005-0000-0000-0000976C0000}"/>
    <cellStyle name="Normal 4 2 5 5 3 2" xfId="19476" xr:uid="{00000000-0005-0000-0000-0000986C0000}"/>
    <cellStyle name="Normal 4 2 5 5 3 2 2" xfId="54348" xr:uid="{00000000-0005-0000-0000-0000996C0000}"/>
    <cellStyle name="Normal 4 2 5 5 3 2 3" xfId="54349" xr:uid="{00000000-0005-0000-0000-00009A6C0000}"/>
    <cellStyle name="Normal 4 2 5 5 3 3" xfId="19477" xr:uid="{00000000-0005-0000-0000-00009B6C0000}"/>
    <cellStyle name="Normal 4 2 5 5 3 3 2" xfId="54350" xr:uid="{00000000-0005-0000-0000-00009C6C0000}"/>
    <cellStyle name="Normal 4 2 5 5 3 4" xfId="19478" xr:uid="{00000000-0005-0000-0000-00009D6C0000}"/>
    <cellStyle name="Normal 4 2 5 5 3 5" xfId="19479" xr:uid="{00000000-0005-0000-0000-00009E6C0000}"/>
    <cellStyle name="Normal 4 2 5 5 3 6" xfId="19480" xr:uid="{00000000-0005-0000-0000-00009F6C0000}"/>
    <cellStyle name="Normal 4 2 5 5 4" xfId="19481" xr:uid="{00000000-0005-0000-0000-0000A06C0000}"/>
    <cellStyle name="Normal 4 2 5 5 4 2" xfId="54351" xr:uid="{00000000-0005-0000-0000-0000A16C0000}"/>
    <cellStyle name="Normal 4 2 5 5 4 3" xfId="54352" xr:uid="{00000000-0005-0000-0000-0000A26C0000}"/>
    <cellStyle name="Normal 4 2 5 5 5" xfId="19482" xr:uid="{00000000-0005-0000-0000-0000A36C0000}"/>
    <cellStyle name="Normal 4 2 5 5 5 2" xfId="54353" xr:uid="{00000000-0005-0000-0000-0000A46C0000}"/>
    <cellStyle name="Normal 4 2 5 5 6" xfId="19483" xr:uid="{00000000-0005-0000-0000-0000A56C0000}"/>
    <cellStyle name="Normal 4 2 5 5 7" xfId="19484" xr:uid="{00000000-0005-0000-0000-0000A66C0000}"/>
    <cellStyle name="Normal 4 2 5 5 8" xfId="19485" xr:uid="{00000000-0005-0000-0000-0000A76C0000}"/>
    <cellStyle name="Normal 4 2 5 5 9" xfId="19486" xr:uid="{00000000-0005-0000-0000-0000A86C0000}"/>
    <cellStyle name="Normal 4 2 5 6" xfId="19487" xr:uid="{00000000-0005-0000-0000-0000A96C0000}"/>
    <cellStyle name="Normal 4 2 5 6 2" xfId="19488" xr:uid="{00000000-0005-0000-0000-0000AA6C0000}"/>
    <cellStyle name="Normal 4 2 5 6 2 2" xfId="19489" xr:uid="{00000000-0005-0000-0000-0000AB6C0000}"/>
    <cellStyle name="Normal 4 2 5 6 2 2 2" xfId="19490" xr:uid="{00000000-0005-0000-0000-0000AC6C0000}"/>
    <cellStyle name="Normal 4 2 5 6 2 2 2 2" xfId="54354" xr:uid="{00000000-0005-0000-0000-0000AD6C0000}"/>
    <cellStyle name="Normal 4 2 5 6 2 2 2 3" xfId="54355" xr:uid="{00000000-0005-0000-0000-0000AE6C0000}"/>
    <cellStyle name="Normal 4 2 5 6 2 2 3" xfId="19491" xr:uid="{00000000-0005-0000-0000-0000AF6C0000}"/>
    <cellStyle name="Normal 4 2 5 6 2 2 3 2" xfId="54356" xr:uid="{00000000-0005-0000-0000-0000B06C0000}"/>
    <cellStyle name="Normal 4 2 5 6 2 2 4" xfId="19492" xr:uid="{00000000-0005-0000-0000-0000B16C0000}"/>
    <cellStyle name="Normal 4 2 5 6 2 2 5" xfId="19493" xr:uid="{00000000-0005-0000-0000-0000B26C0000}"/>
    <cellStyle name="Normal 4 2 5 6 2 2 6" xfId="19494" xr:uid="{00000000-0005-0000-0000-0000B36C0000}"/>
    <cellStyle name="Normal 4 2 5 6 2 3" xfId="19495" xr:uid="{00000000-0005-0000-0000-0000B46C0000}"/>
    <cellStyle name="Normal 4 2 5 6 2 3 2" xfId="54357" xr:uid="{00000000-0005-0000-0000-0000B56C0000}"/>
    <cellStyle name="Normal 4 2 5 6 2 3 3" xfId="54358" xr:uid="{00000000-0005-0000-0000-0000B66C0000}"/>
    <cellStyle name="Normal 4 2 5 6 2 4" xfId="19496" xr:uid="{00000000-0005-0000-0000-0000B76C0000}"/>
    <cellStyle name="Normal 4 2 5 6 2 4 2" xfId="54359" xr:uid="{00000000-0005-0000-0000-0000B86C0000}"/>
    <cellStyle name="Normal 4 2 5 6 2 5" xfId="19497" xr:uid="{00000000-0005-0000-0000-0000B96C0000}"/>
    <cellStyle name="Normal 4 2 5 6 2 6" xfId="19498" xr:uid="{00000000-0005-0000-0000-0000BA6C0000}"/>
    <cellStyle name="Normal 4 2 5 6 2 7" xfId="19499" xr:uid="{00000000-0005-0000-0000-0000BB6C0000}"/>
    <cellStyle name="Normal 4 2 5 6 3" xfId="19500" xr:uid="{00000000-0005-0000-0000-0000BC6C0000}"/>
    <cellStyle name="Normal 4 2 5 6 3 2" xfId="19501" xr:uid="{00000000-0005-0000-0000-0000BD6C0000}"/>
    <cellStyle name="Normal 4 2 5 6 3 2 2" xfId="54360" xr:uid="{00000000-0005-0000-0000-0000BE6C0000}"/>
    <cellStyle name="Normal 4 2 5 6 3 2 3" xfId="54361" xr:uid="{00000000-0005-0000-0000-0000BF6C0000}"/>
    <cellStyle name="Normal 4 2 5 6 3 3" xfId="19502" xr:uid="{00000000-0005-0000-0000-0000C06C0000}"/>
    <cellStyle name="Normal 4 2 5 6 3 3 2" xfId="54362" xr:uid="{00000000-0005-0000-0000-0000C16C0000}"/>
    <cellStyle name="Normal 4 2 5 6 3 4" xfId="19503" xr:uid="{00000000-0005-0000-0000-0000C26C0000}"/>
    <cellStyle name="Normal 4 2 5 6 3 5" xfId="19504" xr:uid="{00000000-0005-0000-0000-0000C36C0000}"/>
    <cellStyle name="Normal 4 2 5 6 3 6" xfId="19505" xr:uid="{00000000-0005-0000-0000-0000C46C0000}"/>
    <cellStyle name="Normal 4 2 5 6 4" xfId="19506" xr:uid="{00000000-0005-0000-0000-0000C56C0000}"/>
    <cellStyle name="Normal 4 2 5 6 4 2" xfId="54363" xr:uid="{00000000-0005-0000-0000-0000C66C0000}"/>
    <cellStyle name="Normal 4 2 5 6 4 3" xfId="54364" xr:uid="{00000000-0005-0000-0000-0000C76C0000}"/>
    <cellStyle name="Normal 4 2 5 6 5" xfId="19507" xr:uid="{00000000-0005-0000-0000-0000C86C0000}"/>
    <cellStyle name="Normal 4 2 5 6 5 2" xfId="54365" xr:uid="{00000000-0005-0000-0000-0000C96C0000}"/>
    <cellStyle name="Normal 4 2 5 6 6" xfId="19508" xr:uid="{00000000-0005-0000-0000-0000CA6C0000}"/>
    <cellStyle name="Normal 4 2 5 6 7" xfId="19509" xr:uid="{00000000-0005-0000-0000-0000CB6C0000}"/>
    <cellStyle name="Normal 4 2 5 6 8" xfId="19510" xr:uid="{00000000-0005-0000-0000-0000CC6C0000}"/>
    <cellStyle name="Normal 4 2 5 7" xfId="19511" xr:uid="{00000000-0005-0000-0000-0000CD6C0000}"/>
    <cellStyle name="Normal 4 2 5 7 2" xfId="19512" xr:uid="{00000000-0005-0000-0000-0000CE6C0000}"/>
    <cellStyle name="Normal 4 2 5 7 2 2" xfId="19513" xr:uid="{00000000-0005-0000-0000-0000CF6C0000}"/>
    <cellStyle name="Normal 4 2 5 7 2 2 2" xfId="19514" xr:uid="{00000000-0005-0000-0000-0000D06C0000}"/>
    <cellStyle name="Normal 4 2 5 7 2 2 2 2" xfId="54366" xr:uid="{00000000-0005-0000-0000-0000D16C0000}"/>
    <cellStyle name="Normal 4 2 5 7 2 2 2 3" xfId="54367" xr:uid="{00000000-0005-0000-0000-0000D26C0000}"/>
    <cellStyle name="Normal 4 2 5 7 2 2 3" xfId="19515" xr:uid="{00000000-0005-0000-0000-0000D36C0000}"/>
    <cellStyle name="Normal 4 2 5 7 2 2 3 2" xfId="54368" xr:uid="{00000000-0005-0000-0000-0000D46C0000}"/>
    <cellStyle name="Normal 4 2 5 7 2 2 4" xfId="19516" xr:uid="{00000000-0005-0000-0000-0000D56C0000}"/>
    <cellStyle name="Normal 4 2 5 7 2 2 5" xfId="19517" xr:uid="{00000000-0005-0000-0000-0000D66C0000}"/>
    <cellStyle name="Normal 4 2 5 7 2 2 6" xfId="19518" xr:uid="{00000000-0005-0000-0000-0000D76C0000}"/>
    <cellStyle name="Normal 4 2 5 7 2 3" xfId="19519" xr:uid="{00000000-0005-0000-0000-0000D86C0000}"/>
    <cellStyle name="Normal 4 2 5 7 2 3 2" xfId="54369" xr:uid="{00000000-0005-0000-0000-0000D96C0000}"/>
    <cellStyle name="Normal 4 2 5 7 2 3 3" xfId="54370" xr:uid="{00000000-0005-0000-0000-0000DA6C0000}"/>
    <cellStyle name="Normal 4 2 5 7 2 4" xfId="19520" xr:uid="{00000000-0005-0000-0000-0000DB6C0000}"/>
    <cellStyle name="Normal 4 2 5 7 2 4 2" xfId="54371" xr:uid="{00000000-0005-0000-0000-0000DC6C0000}"/>
    <cellStyle name="Normal 4 2 5 7 2 5" xfId="19521" xr:uid="{00000000-0005-0000-0000-0000DD6C0000}"/>
    <cellStyle name="Normal 4 2 5 7 2 6" xfId="19522" xr:uid="{00000000-0005-0000-0000-0000DE6C0000}"/>
    <cellStyle name="Normal 4 2 5 7 2 7" xfId="19523" xr:uid="{00000000-0005-0000-0000-0000DF6C0000}"/>
    <cellStyle name="Normal 4 2 5 7 3" xfId="19524" xr:uid="{00000000-0005-0000-0000-0000E06C0000}"/>
    <cellStyle name="Normal 4 2 5 7 3 2" xfId="19525" xr:uid="{00000000-0005-0000-0000-0000E16C0000}"/>
    <cellStyle name="Normal 4 2 5 7 3 2 2" xfId="54372" xr:uid="{00000000-0005-0000-0000-0000E26C0000}"/>
    <cellStyle name="Normal 4 2 5 7 3 2 3" xfId="54373" xr:uid="{00000000-0005-0000-0000-0000E36C0000}"/>
    <cellStyle name="Normal 4 2 5 7 3 3" xfId="19526" xr:uid="{00000000-0005-0000-0000-0000E46C0000}"/>
    <cellStyle name="Normal 4 2 5 7 3 3 2" xfId="54374" xr:uid="{00000000-0005-0000-0000-0000E56C0000}"/>
    <cellStyle name="Normal 4 2 5 7 3 4" xfId="19527" xr:uid="{00000000-0005-0000-0000-0000E66C0000}"/>
    <cellStyle name="Normal 4 2 5 7 3 5" xfId="19528" xr:uid="{00000000-0005-0000-0000-0000E76C0000}"/>
    <cellStyle name="Normal 4 2 5 7 3 6" xfId="19529" xr:uid="{00000000-0005-0000-0000-0000E86C0000}"/>
    <cellStyle name="Normal 4 2 5 7 4" xfId="19530" xr:uid="{00000000-0005-0000-0000-0000E96C0000}"/>
    <cellStyle name="Normal 4 2 5 7 4 2" xfId="54375" xr:uid="{00000000-0005-0000-0000-0000EA6C0000}"/>
    <cellStyle name="Normal 4 2 5 7 4 3" xfId="54376" xr:uid="{00000000-0005-0000-0000-0000EB6C0000}"/>
    <cellStyle name="Normal 4 2 5 7 5" xfId="19531" xr:uid="{00000000-0005-0000-0000-0000EC6C0000}"/>
    <cellStyle name="Normal 4 2 5 7 5 2" xfId="54377" xr:uid="{00000000-0005-0000-0000-0000ED6C0000}"/>
    <cellStyle name="Normal 4 2 5 7 6" xfId="19532" xr:uid="{00000000-0005-0000-0000-0000EE6C0000}"/>
    <cellStyle name="Normal 4 2 5 7 7" xfId="19533" xr:uid="{00000000-0005-0000-0000-0000EF6C0000}"/>
    <cellStyle name="Normal 4 2 5 7 8" xfId="19534" xr:uid="{00000000-0005-0000-0000-0000F06C0000}"/>
    <cellStyle name="Normal 4 2 5 8" xfId="19535" xr:uid="{00000000-0005-0000-0000-0000F16C0000}"/>
    <cellStyle name="Normal 4 2 5 8 2" xfId="19536" xr:uid="{00000000-0005-0000-0000-0000F26C0000}"/>
    <cellStyle name="Normal 4 2 5 8 2 2" xfId="19537" xr:uid="{00000000-0005-0000-0000-0000F36C0000}"/>
    <cellStyle name="Normal 4 2 5 8 2 2 2" xfId="54378" xr:uid="{00000000-0005-0000-0000-0000F46C0000}"/>
    <cellStyle name="Normal 4 2 5 8 2 2 3" xfId="54379" xr:uid="{00000000-0005-0000-0000-0000F56C0000}"/>
    <cellStyle name="Normal 4 2 5 8 2 3" xfId="19538" xr:uid="{00000000-0005-0000-0000-0000F66C0000}"/>
    <cellStyle name="Normal 4 2 5 8 2 3 2" xfId="54380" xr:uid="{00000000-0005-0000-0000-0000F76C0000}"/>
    <cellStyle name="Normal 4 2 5 8 2 4" xfId="19539" xr:uid="{00000000-0005-0000-0000-0000F86C0000}"/>
    <cellStyle name="Normal 4 2 5 8 2 5" xfId="19540" xr:uid="{00000000-0005-0000-0000-0000F96C0000}"/>
    <cellStyle name="Normal 4 2 5 8 2 6" xfId="19541" xr:uid="{00000000-0005-0000-0000-0000FA6C0000}"/>
    <cellStyle name="Normal 4 2 5 8 3" xfId="19542" xr:uid="{00000000-0005-0000-0000-0000FB6C0000}"/>
    <cellStyle name="Normal 4 2 5 8 3 2" xfId="54381" xr:uid="{00000000-0005-0000-0000-0000FC6C0000}"/>
    <cellStyle name="Normal 4 2 5 8 3 3" xfId="54382" xr:uid="{00000000-0005-0000-0000-0000FD6C0000}"/>
    <cellStyle name="Normal 4 2 5 8 4" xfId="19543" xr:uid="{00000000-0005-0000-0000-0000FE6C0000}"/>
    <cellStyle name="Normal 4 2 5 8 4 2" xfId="54383" xr:uid="{00000000-0005-0000-0000-0000FF6C0000}"/>
    <cellStyle name="Normal 4 2 5 8 5" xfId="19544" xr:uid="{00000000-0005-0000-0000-0000006D0000}"/>
    <cellStyle name="Normal 4 2 5 8 6" xfId="19545" xr:uid="{00000000-0005-0000-0000-0000016D0000}"/>
    <cellStyle name="Normal 4 2 5 8 7" xfId="19546" xr:uid="{00000000-0005-0000-0000-0000026D0000}"/>
    <cellStyle name="Normal 4 2 5 9" xfId="19547" xr:uid="{00000000-0005-0000-0000-0000036D0000}"/>
    <cellStyle name="Normal 4 2 5 9 2" xfId="19548" xr:uid="{00000000-0005-0000-0000-0000046D0000}"/>
    <cellStyle name="Normal 4 2 5 9 2 2" xfId="54384" xr:uid="{00000000-0005-0000-0000-0000056D0000}"/>
    <cellStyle name="Normal 4 2 5 9 2 3" xfId="54385" xr:uid="{00000000-0005-0000-0000-0000066D0000}"/>
    <cellStyle name="Normal 4 2 5 9 3" xfId="19549" xr:uid="{00000000-0005-0000-0000-0000076D0000}"/>
    <cellStyle name="Normal 4 2 5 9 3 2" xfId="54386" xr:uid="{00000000-0005-0000-0000-0000086D0000}"/>
    <cellStyle name="Normal 4 2 5 9 4" xfId="19550" xr:uid="{00000000-0005-0000-0000-0000096D0000}"/>
    <cellStyle name="Normal 4 2 5 9 5" xfId="19551" xr:uid="{00000000-0005-0000-0000-00000A6D0000}"/>
    <cellStyle name="Normal 4 2 5 9 6" xfId="19552" xr:uid="{00000000-0005-0000-0000-00000B6D0000}"/>
    <cellStyle name="Normal 4 2 6" xfId="19553" xr:uid="{00000000-0005-0000-0000-00000C6D0000}"/>
    <cellStyle name="Normal 4 2 6 10" xfId="19554" xr:uid="{00000000-0005-0000-0000-00000D6D0000}"/>
    <cellStyle name="Normal 4 2 6 11" xfId="19555" xr:uid="{00000000-0005-0000-0000-00000E6D0000}"/>
    <cellStyle name="Normal 4 2 6 12" xfId="19556" xr:uid="{00000000-0005-0000-0000-00000F6D0000}"/>
    <cellStyle name="Normal 4 2 6 13" xfId="19557" xr:uid="{00000000-0005-0000-0000-0000106D0000}"/>
    <cellStyle name="Normal 4 2 6 14" xfId="19558" xr:uid="{00000000-0005-0000-0000-0000116D0000}"/>
    <cellStyle name="Normal 4 2 6 15" xfId="19559" xr:uid="{00000000-0005-0000-0000-0000126D0000}"/>
    <cellStyle name="Normal 4 2 6 16" xfId="19560" xr:uid="{00000000-0005-0000-0000-0000136D0000}"/>
    <cellStyle name="Normal 4 2 6 2" xfId="19561" xr:uid="{00000000-0005-0000-0000-0000146D0000}"/>
    <cellStyle name="Normal 4 2 6 2 10" xfId="19562" xr:uid="{00000000-0005-0000-0000-0000156D0000}"/>
    <cellStyle name="Normal 4 2 6 2 11" xfId="19563" xr:uid="{00000000-0005-0000-0000-0000166D0000}"/>
    <cellStyle name="Normal 4 2 6 2 12" xfId="19564" xr:uid="{00000000-0005-0000-0000-0000176D0000}"/>
    <cellStyle name="Normal 4 2 6 2 13" xfId="19565" xr:uid="{00000000-0005-0000-0000-0000186D0000}"/>
    <cellStyle name="Normal 4 2 6 2 14" xfId="19566" xr:uid="{00000000-0005-0000-0000-0000196D0000}"/>
    <cellStyle name="Normal 4 2 6 2 15" xfId="19567" xr:uid="{00000000-0005-0000-0000-00001A6D0000}"/>
    <cellStyle name="Normal 4 2 6 2 2" xfId="19568" xr:uid="{00000000-0005-0000-0000-00001B6D0000}"/>
    <cellStyle name="Normal 4 2 6 2 2 2" xfId="19569" xr:uid="{00000000-0005-0000-0000-00001C6D0000}"/>
    <cellStyle name="Normal 4 2 6 2 2 2 2" xfId="19570" xr:uid="{00000000-0005-0000-0000-00001D6D0000}"/>
    <cellStyle name="Normal 4 2 6 2 2 2 2 2" xfId="19571" xr:uid="{00000000-0005-0000-0000-00001E6D0000}"/>
    <cellStyle name="Normal 4 2 6 2 2 2 2 2 2" xfId="54387" xr:uid="{00000000-0005-0000-0000-00001F6D0000}"/>
    <cellStyle name="Normal 4 2 6 2 2 2 2 2 3" xfId="54388" xr:uid="{00000000-0005-0000-0000-0000206D0000}"/>
    <cellStyle name="Normal 4 2 6 2 2 2 2 3" xfId="19572" xr:uid="{00000000-0005-0000-0000-0000216D0000}"/>
    <cellStyle name="Normal 4 2 6 2 2 2 2 3 2" xfId="54389" xr:uid="{00000000-0005-0000-0000-0000226D0000}"/>
    <cellStyle name="Normal 4 2 6 2 2 2 2 4" xfId="19573" xr:uid="{00000000-0005-0000-0000-0000236D0000}"/>
    <cellStyle name="Normal 4 2 6 2 2 2 2 5" xfId="19574" xr:uid="{00000000-0005-0000-0000-0000246D0000}"/>
    <cellStyle name="Normal 4 2 6 2 2 2 2 6" xfId="19575" xr:uid="{00000000-0005-0000-0000-0000256D0000}"/>
    <cellStyle name="Normal 4 2 6 2 2 2 3" xfId="19576" xr:uid="{00000000-0005-0000-0000-0000266D0000}"/>
    <cellStyle name="Normal 4 2 6 2 2 2 3 2" xfId="54390" xr:uid="{00000000-0005-0000-0000-0000276D0000}"/>
    <cellStyle name="Normal 4 2 6 2 2 2 3 3" xfId="54391" xr:uid="{00000000-0005-0000-0000-0000286D0000}"/>
    <cellStyle name="Normal 4 2 6 2 2 2 4" xfId="19577" xr:uid="{00000000-0005-0000-0000-0000296D0000}"/>
    <cellStyle name="Normal 4 2 6 2 2 2 4 2" xfId="54392" xr:uid="{00000000-0005-0000-0000-00002A6D0000}"/>
    <cellStyle name="Normal 4 2 6 2 2 2 5" xfId="19578" xr:uid="{00000000-0005-0000-0000-00002B6D0000}"/>
    <cellStyle name="Normal 4 2 6 2 2 2 6" xfId="19579" xr:uid="{00000000-0005-0000-0000-00002C6D0000}"/>
    <cellStyle name="Normal 4 2 6 2 2 2 7" xfId="19580" xr:uid="{00000000-0005-0000-0000-00002D6D0000}"/>
    <cellStyle name="Normal 4 2 6 2 2 3" xfId="19581" xr:uid="{00000000-0005-0000-0000-00002E6D0000}"/>
    <cellStyle name="Normal 4 2 6 2 2 3 2" xfId="19582" xr:uid="{00000000-0005-0000-0000-00002F6D0000}"/>
    <cellStyle name="Normal 4 2 6 2 2 3 2 2" xfId="54393" xr:uid="{00000000-0005-0000-0000-0000306D0000}"/>
    <cellStyle name="Normal 4 2 6 2 2 3 2 3" xfId="54394" xr:uid="{00000000-0005-0000-0000-0000316D0000}"/>
    <cellStyle name="Normal 4 2 6 2 2 3 3" xfId="19583" xr:uid="{00000000-0005-0000-0000-0000326D0000}"/>
    <cellStyle name="Normal 4 2 6 2 2 3 3 2" xfId="54395" xr:uid="{00000000-0005-0000-0000-0000336D0000}"/>
    <cellStyle name="Normal 4 2 6 2 2 3 4" xfId="19584" xr:uid="{00000000-0005-0000-0000-0000346D0000}"/>
    <cellStyle name="Normal 4 2 6 2 2 3 5" xfId="19585" xr:uid="{00000000-0005-0000-0000-0000356D0000}"/>
    <cellStyle name="Normal 4 2 6 2 2 3 6" xfId="19586" xr:uid="{00000000-0005-0000-0000-0000366D0000}"/>
    <cellStyle name="Normal 4 2 6 2 2 4" xfId="19587" xr:uid="{00000000-0005-0000-0000-0000376D0000}"/>
    <cellStyle name="Normal 4 2 6 2 2 4 2" xfId="54396" xr:uid="{00000000-0005-0000-0000-0000386D0000}"/>
    <cellStyle name="Normal 4 2 6 2 2 4 3" xfId="54397" xr:uid="{00000000-0005-0000-0000-0000396D0000}"/>
    <cellStyle name="Normal 4 2 6 2 2 5" xfId="19588" xr:uid="{00000000-0005-0000-0000-00003A6D0000}"/>
    <cellStyle name="Normal 4 2 6 2 2 5 2" xfId="54398" xr:uid="{00000000-0005-0000-0000-00003B6D0000}"/>
    <cellStyle name="Normal 4 2 6 2 2 6" xfId="19589" xr:uid="{00000000-0005-0000-0000-00003C6D0000}"/>
    <cellStyle name="Normal 4 2 6 2 2 7" xfId="19590" xr:uid="{00000000-0005-0000-0000-00003D6D0000}"/>
    <cellStyle name="Normal 4 2 6 2 2 8" xfId="19591" xr:uid="{00000000-0005-0000-0000-00003E6D0000}"/>
    <cellStyle name="Normal 4 2 6 2 2 9" xfId="19592" xr:uid="{00000000-0005-0000-0000-00003F6D0000}"/>
    <cellStyle name="Normal 4 2 6 2 3" xfId="19593" xr:uid="{00000000-0005-0000-0000-0000406D0000}"/>
    <cellStyle name="Normal 4 2 6 2 3 2" xfId="19594" xr:uid="{00000000-0005-0000-0000-0000416D0000}"/>
    <cellStyle name="Normal 4 2 6 2 3 2 2" xfId="19595" xr:uid="{00000000-0005-0000-0000-0000426D0000}"/>
    <cellStyle name="Normal 4 2 6 2 3 2 2 2" xfId="19596" xr:uid="{00000000-0005-0000-0000-0000436D0000}"/>
    <cellStyle name="Normal 4 2 6 2 3 2 2 2 2" xfId="54399" xr:uid="{00000000-0005-0000-0000-0000446D0000}"/>
    <cellStyle name="Normal 4 2 6 2 3 2 2 2 3" xfId="54400" xr:uid="{00000000-0005-0000-0000-0000456D0000}"/>
    <cellStyle name="Normal 4 2 6 2 3 2 2 3" xfId="19597" xr:uid="{00000000-0005-0000-0000-0000466D0000}"/>
    <cellStyle name="Normal 4 2 6 2 3 2 2 3 2" xfId="54401" xr:uid="{00000000-0005-0000-0000-0000476D0000}"/>
    <cellStyle name="Normal 4 2 6 2 3 2 2 4" xfId="19598" xr:uid="{00000000-0005-0000-0000-0000486D0000}"/>
    <cellStyle name="Normal 4 2 6 2 3 2 2 5" xfId="19599" xr:uid="{00000000-0005-0000-0000-0000496D0000}"/>
    <cellStyle name="Normal 4 2 6 2 3 2 2 6" xfId="19600" xr:uid="{00000000-0005-0000-0000-00004A6D0000}"/>
    <cellStyle name="Normal 4 2 6 2 3 2 3" xfId="19601" xr:uid="{00000000-0005-0000-0000-00004B6D0000}"/>
    <cellStyle name="Normal 4 2 6 2 3 2 3 2" xfId="54402" xr:uid="{00000000-0005-0000-0000-00004C6D0000}"/>
    <cellStyle name="Normal 4 2 6 2 3 2 3 3" xfId="54403" xr:uid="{00000000-0005-0000-0000-00004D6D0000}"/>
    <cellStyle name="Normal 4 2 6 2 3 2 4" xfId="19602" xr:uid="{00000000-0005-0000-0000-00004E6D0000}"/>
    <cellStyle name="Normal 4 2 6 2 3 2 4 2" xfId="54404" xr:uid="{00000000-0005-0000-0000-00004F6D0000}"/>
    <cellStyle name="Normal 4 2 6 2 3 2 5" xfId="19603" xr:uid="{00000000-0005-0000-0000-0000506D0000}"/>
    <cellStyle name="Normal 4 2 6 2 3 2 6" xfId="19604" xr:uid="{00000000-0005-0000-0000-0000516D0000}"/>
    <cellStyle name="Normal 4 2 6 2 3 2 7" xfId="19605" xr:uid="{00000000-0005-0000-0000-0000526D0000}"/>
    <cellStyle name="Normal 4 2 6 2 3 3" xfId="19606" xr:uid="{00000000-0005-0000-0000-0000536D0000}"/>
    <cellStyle name="Normal 4 2 6 2 3 3 2" xfId="19607" xr:uid="{00000000-0005-0000-0000-0000546D0000}"/>
    <cellStyle name="Normal 4 2 6 2 3 3 2 2" xfId="54405" xr:uid="{00000000-0005-0000-0000-0000556D0000}"/>
    <cellStyle name="Normal 4 2 6 2 3 3 2 3" xfId="54406" xr:uid="{00000000-0005-0000-0000-0000566D0000}"/>
    <cellStyle name="Normal 4 2 6 2 3 3 3" xfId="19608" xr:uid="{00000000-0005-0000-0000-0000576D0000}"/>
    <cellStyle name="Normal 4 2 6 2 3 3 3 2" xfId="54407" xr:uid="{00000000-0005-0000-0000-0000586D0000}"/>
    <cellStyle name="Normal 4 2 6 2 3 3 4" xfId="19609" xr:uid="{00000000-0005-0000-0000-0000596D0000}"/>
    <cellStyle name="Normal 4 2 6 2 3 3 5" xfId="19610" xr:uid="{00000000-0005-0000-0000-00005A6D0000}"/>
    <cellStyle name="Normal 4 2 6 2 3 3 6" xfId="19611" xr:uid="{00000000-0005-0000-0000-00005B6D0000}"/>
    <cellStyle name="Normal 4 2 6 2 3 4" xfId="19612" xr:uid="{00000000-0005-0000-0000-00005C6D0000}"/>
    <cellStyle name="Normal 4 2 6 2 3 4 2" xfId="54408" xr:uid="{00000000-0005-0000-0000-00005D6D0000}"/>
    <cellStyle name="Normal 4 2 6 2 3 4 3" xfId="54409" xr:uid="{00000000-0005-0000-0000-00005E6D0000}"/>
    <cellStyle name="Normal 4 2 6 2 3 5" xfId="19613" xr:uid="{00000000-0005-0000-0000-00005F6D0000}"/>
    <cellStyle name="Normal 4 2 6 2 3 5 2" xfId="54410" xr:uid="{00000000-0005-0000-0000-0000606D0000}"/>
    <cellStyle name="Normal 4 2 6 2 3 6" xfId="19614" xr:uid="{00000000-0005-0000-0000-0000616D0000}"/>
    <cellStyle name="Normal 4 2 6 2 3 7" xfId="19615" xr:uid="{00000000-0005-0000-0000-0000626D0000}"/>
    <cellStyle name="Normal 4 2 6 2 3 8" xfId="19616" xr:uid="{00000000-0005-0000-0000-0000636D0000}"/>
    <cellStyle name="Normal 4 2 6 2 4" xfId="19617" xr:uid="{00000000-0005-0000-0000-0000646D0000}"/>
    <cellStyle name="Normal 4 2 6 2 4 2" xfId="19618" xr:uid="{00000000-0005-0000-0000-0000656D0000}"/>
    <cellStyle name="Normal 4 2 6 2 4 2 2" xfId="19619" xr:uid="{00000000-0005-0000-0000-0000666D0000}"/>
    <cellStyle name="Normal 4 2 6 2 4 2 2 2" xfId="54411" xr:uid="{00000000-0005-0000-0000-0000676D0000}"/>
    <cellStyle name="Normal 4 2 6 2 4 2 2 3" xfId="54412" xr:uid="{00000000-0005-0000-0000-0000686D0000}"/>
    <cellStyle name="Normal 4 2 6 2 4 2 3" xfId="19620" xr:uid="{00000000-0005-0000-0000-0000696D0000}"/>
    <cellStyle name="Normal 4 2 6 2 4 2 3 2" xfId="54413" xr:uid="{00000000-0005-0000-0000-00006A6D0000}"/>
    <cellStyle name="Normal 4 2 6 2 4 2 4" xfId="19621" xr:uid="{00000000-0005-0000-0000-00006B6D0000}"/>
    <cellStyle name="Normal 4 2 6 2 4 2 5" xfId="19622" xr:uid="{00000000-0005-0000-0000-00006C6D0000}"/>
    <cellStyle name="Normal 4 2 6 2 4 2 6" xfId="19623" xr:uid="{00000000-0005-0000-0000-00006D6D0000}"/>
    <cellStyle name="Normal 4 2 6 2 4 3" xfId="19624" xr:uid="{00000000-0005-0000-0000-00006E6D0000}"/>
    <cellStyle name="Normal 4 2 6 2 4 3 2" xfId="54414" xr:uid="{00000000-0005-0000-0000-00006F6D0000}"/>
    <cellStyle name="Normal 4 2 6 2 4 3 3" xfId="54415" xr:uid="{00000000-0005-0000-0000-0000706D0000}"/>
    <cellStyle name="Normal 4 2 6 2 4 4" xfId="19625" xr:uid="{00000000-0005-0000-0000-0000716D0000}"/>
    <cellStyle name="Normal 4 2 6 2 4 4 2" xfId="54416" xr:uid="{00000000-0005-0000-0000-0000726D0000}"/>
    <cellStyle name="Normal 4 2 6 2 4 5" xfId="19626" xr:uid="{00000000-0005-0000-0000-0000736D0000}"/>
    <cellStyle name="Normal 4 2 6 2 4 6" xfId="19627" xr:uid="{00000000-0005-0000-0000-0000746D0000}"/>
    <cellStyle name="Normal 4 2 6 2 4 7" xfId="19628" xr:uid="{00000000-0005-0000-0000-0000756D0000}"/>
    <cellStyle name="Normal 4 2 6 2 5" xfId="19629" xr:uid="{00000000-0005-0000-0000-0000766D0000}"/>
    <cellStyle name="Normal 4 2 6 2 5 2" xfId="19630" xr:uid="{00000000-0005-0000-0000-0000776D0000}"/>
    <cellStyle name="Normal 4 2 6 2 5 2 2" xfId="54417" xr:uid="{00000000-0005-0000-0000-0000786D0000}"/>
    <cellStyle name="Normal 4 2 6 2 5 2 3" xfId="54418" xr:uid="{00000000-0005-0000-0000-0000796D0000}"/>
    <cellStyle name="Normal 4 2 6 2 5 3" xfId="19631" xr:uid="{00000000-0005-0000-0000-00007A6D0000}"/>
    <cellStyle name="Normal 4 2 6 2 5 3 2" xfId="54419" xr:uid="{00000000-0005-0000-0000-00007B6D0000}"/>
    <cellStyle name="Normal 4 2 6 2 5 4" xfId="19632" xr:uid="{00000000-0005-0000-0000-00007C6D0000}"/>
    <cellStyle name="Normal 4 2 6 2 5 5" xfId="19633" xr:uid="{00000000-0005-0000-0000-00007D6D0000}"/>
    <cellStyle name="Normal 4 2 6 2 5 6" xfId="19634" xr:uid="{00000000-0005-0000-0000-00007E6D0000}"/>
    <cellStyle name="Normal 4 2 6 2 6" xfId="19635" xr:uid="{00000000-0005-0000-0000-00007F6D0000}"/>
    <cellStyle name="Normal 4 2 6 2 6 2" xfId="54420" xr:uid="{00000000-0005-0000-0000-0000806D0000}"/>
    <cellStyle name="Normal 4 2 6 2 7" xfId="19636" xr:uid="{00000000-0005-0000-0000-0000816D0000}"/>
    <cellStyle name="Normal 4 2 6 2 8" xfId="19637" xr:uid="{00000000-0005-0000-0000-0000826D0000}"/>
    <cellStyle name="Normal 4 2 6 2 9" xfId="19638" xr:uid="{00000000-0005-0000-0000-0000836D0000}"/>
    <cellStyle name="Normal 4 2 6 3" xfId="19639" xr:uid="{00000000-0005-0000-0000-0000846D0000}"/>
    <cellStyle name="Normal 4 2 6 3 2" xfId="19640" xr:uid="{00000000-0005-0000-0000-0000856D0000}"/>
    <cellStyle name="Normal 4 2 6 3 2 2" xfId="19641" xr:uid="{00000000-0005-0000-0000-0000866D0000}"/>
    <cellStyle name="Normal 4 2 6 3 2 2 2" xfId="19642" xr:uid="{00000000-0005-0000-0000-0000876D0000}"/>
    <cellStyle name="Normal 4 2 6 3 2 2 2 2" xfId="54421" xr:uid="{00000000-0005-0000-0000-0000886D0000}"/>
    <cellStyle name="Normal 4 2 6 3 2 2 2 3" xfId="54422" xr:uid="{00000000-0005-0000-0000-0000896D0000}"/>
    <cellStyle name="Normal 4 2 6 3 2 2 3" xfId="19643" xr:uid="{00000000-0005-0000-0000-00008A6D0000}"/>
    <cellStyle name="Normal 4 2 6 3 2 2 3 2" xfId="54423" xr:uid="{00000000-0005-0000-0000-00008B6D0000}"/>
    <cellStyle name="Normal 4 2 6 3 2 2 4" xfId="19644" xr:uid="{00000000-0005-0000-0000-00008C6D0000}"/>
    <cellStyle name="Normal 4 2 6 3 2 2 5" xfId="19645" xr:uid="{00000000-0005-0000-0000-00008D6D0000}"/>
    <cellStyle name="Normal 4 2 6 3 2 2 6" xfId="19646" xr:uid="{00000000-0005-0000-0000-00008E6D0000}"/>
    <cellStyle name="Normal 4 2 6 3 2 3" xfId="19647" xr:uid="{00000000-0005-0000-0000-00008F6D0000}"/>
    <cellStyle name="Normal 4 2 6 3 2 3 2" xfId="54424" xr:uid="{00000000-0005-0000-0000-0000906D0000}"/>
    <cellStyle name="Normal 4 2 6 3 2 3 3" xfId="54425" xr:uid="{00000000-0005-0000-0000-0000916D0000}"/>
    <cellStyle name="Normal 4 2 6 3 2 4" xfId="19648" xr:uid="{00000000-0005-0000-0000-0000926D0000}"/>
    <cellStyle name="Normal 4 2 6 3 2 4 2" xfId="54426" xr:uid="{00000000-0005-0000-0000-0000936D0000}"/>
    <cellStyle name="Normal 4 2 6 3 2 5" xfId="19649" xr:uid="{00000000-0005-0000-0000-0000946D0000}"/>
    <cellStyle name="Normal 4 2 6 3 2 6" xfId="19650" xr:uid="{00000000-0005-0000-0000-0000956D0000}"/>
    <cellStyle name="Normal 4 2 6 3 2 7" xfId="19651" xr:uid="{00000000-0005-0000-0000-0000966D0000}"/>
    <cellStyle name="Normal 4 2 6 3 3" xfId="19652" xr:uid="{00000000-0005-0000-0000-0000976D0000}"/>
    <cellStyle name="Normal 4 2 6 3 3 2" xfId="19653" xr:uid="{00000000-0005-0000-0000-0000986D0000}"/>
    <cellStyle name="Normal 4 2 6 3 3 2 2" xfId="54427" xr:uid="{00000000-0005-0000-0000-0000996D0000}"/>
    <cellStyle name="Normal 4 2 6 3 3 2 3" xfId="54428" xr:uid="{00000000-0005-0000-0000-00009A6D0000}"/>
    <cellStyle name="Normal 4 2 6 3 3 3" xfId="19654" xr:uid="{00000000-0005-0000-0000-00009B6D0000}"/>
    <cellStyle name="Normal 4 2 6 3 3 3 2" xfId="54429" xr:uid="{00000000-0005-0000-0000-00009C6D0000}"/>
    <cellStyle name="Normal 4 2 6 3 3 4" xfId="19655" xr:uid="{00000000-0005-0000-0000-00009D6D0000}"/>
    <cellStyle name="Normal 4 2 6 3 3 5" xfId="19656" xr:uid="{00000000-0005-0000-0000-00009E6D0000}"/>
    <cellStyle name="Normal 4 2 6 3 3 6" xfId="19657" xr:uid="{00000000-0005-0000-0000-00009F6D0000}"/>
    <cellStyle name="Normal 4 2 6 3 4" xfId="19658" xr:uid="{00000000-0005-0000-0000-0000A06D0000}"/>
    <cellStyle name="Normal 4 2 6 3 4 2" xfId="54430" xr:uid="{00000000-0005-0000-0000-0000A16D0000}"/>
    <cellStyle name="Normal 4 2 6 3 4 3" xfId="54431" xr:uid="{00000000-0005-0000-0000-0000A26D0000}"/>
    <cellStyle name="Normal 4 2 6 3 5" xfId="19659" xr:uid="{00000000-0005-0000-0000-0000A36D0000}"/>
    <cellStyle name="Normal 4 2 6 3 5 2" xfId="54432" xr:uid="{00000000-0005-0000-0000-0000A46D0000}"/>
    <cellStyle name="Normal 4 2 6 3 6" xfId="19660" xr:uid="{00000000-0005-0000-0000-0000A56D0000}"/>
    <cellStyle name="Normal 4 2 6 3 7" xfId="19661" xr:uid="{00000000-0005-0000-0000-0000A66D0000}"/>
    <cellStyle name="Normal 4 2 6 3 8" xfId="19662" xr:uid="{00000000-0005-0000-0000-0000A76D0000}"/>
    <cellStyle name="Normal 4 2 6 3 9" xfId="19663" xr:uid="{00000000-0005-0000-0000-0000A86D0000}"/>
    <cellStyle name="Normal 4 2 6 4" xfId="19664" xr:uid="{00000000-0005-0000-0000-0000A96D0000}"/>
    <cellStyle name="Normal 4 2 6 4 2" xfId="19665" xr:uid="{00000000-0005-0000-0000-0000AA6D0000}"/>
    <cellStyle name="Normal 4 2 6 4 2 2" xfId="19666" xr:uid="{00000000-0005-0000-0000-0000AB6D0000}"/>
    <cellStyle name="Normal 4 2 6 4 2 2 2" xfId="19667" xr:uid="{00000000-0005-0000-0000-0000AC6D0000}"/>
    <cellStyle name="Normal 4 2 6 4 2 2 2 2" xfId="54433" xr:uid="{00000000-0005-0000-0000-0000AD6D0000}"/>
    <cellStyle name="Normal 4 2 6 4 2 2 2 3" xfId="54434" xr:uid="{00000000-0005-0000-0000-0000AE6D0000}"/>
    <cellStyle name="Normal 4 2 6 4 2 2 3" xfId="19668" xr:uid="{00000000-0005-0000-0000-0000AF6D0000}"/>
    <cellStyle name="Normal 4 2 6 4 2 2 3 2" xfId="54435" xr:uid="{00000000-0005-0000-0000-0000B06D0000}"/>
    <cellStyle name="Normal 4 2 6 4 2 2 4" xfId="19669" xr:uid="{00000000-0005-0000-0000-0000B16D0000}"/>
    <cellStyle name="Normal 4 2 6 4 2 2 5" xfId="19670" xr:uid="{00000000-0005-0000-0000-0000B26D0000}"/>
    <cellStyle name="Normal 4 2 6 4 2 2 6" xfId="19671" xr:uid="{00000000-0005-0000-0000-0000B36D0000}"/>
    <cellStyle name="Normal 4 2 6 4 2 3" xfId="19672" xr:uid="{00000000-0005-0000-0000-0000B46D0000}"/>
    <cellStyle name="Normal 4 2 6 4 2 3 2" xfId="54436" xr:uid="{00000000-0005-0000-0000-0000B56D0000}"/>
    <cellStyle name="Normal 4 2 6 4 2 3 3" xfId="54437" xr:uid="{00000000-0005-0000-0000-0000B66D0000}"/>
    <cellStyle name="Normal 4 2 6 4 2 4" xfId="19673" xr:uid="{00000000-0005-0000-0000-0000B76D0000}"/>
    <cellStyle name="Normal 4 2 6 4 2 4 2" xfId="54438" xr:uid="{00000000-0005-0000-0000-0000B86D0000}"/>
    <cellStyle name="Normal 4 2 6 4 2 5" xfId="19674" xr:uid="{00000000-0005-0000-0000-0000B96D0000}"/>
    <cellStyle name="Normal 4 2 6 4 2 6" xfId="19675" xr:uid="{00000000-0005-0000-0000-0000BA6D0000}"/>
    <cellStyle name="Normal 4 2 6 4 2 7" xfId="19676" xr:uid="{00000000-0005-0000-0000-0000BB6D0000}"/>
    <cellStyle name="Normal 4 2 6 4 3" xfId="19677" xr:uid="{00000000-0005-0000-0000-0000BC6D0000}"/>
    <cellStyle name="Normal 4 2 6 4 3 2" xfId="19678" xr:uid="{00000000-0005-0000-0000-0000BD6D0000}"/>
    <cellStyle name="Normal 4 2 6 4 3 2 2" xfId="54439" xr:uid="{00000000-0005-0000-0000-0000BE6D0000}"/>
    <cellStyle name="Normal 4 2 6 4 3 2 3" xfId="54440" xr:uid="{00000000-0005-0000-0000-0000BF6D0000}"/>
    <cellStyle name="Normal 4 2 6 4 3 3" xfId="19679" xr:uid="{00000000-0005-0000-0000-0000C06D0000}"/>
    <cellStyle name="Normal 4 2 6 4 3 3 2" xfId="54441" xr:uid="{00000000-0005-0000-0000-0000C16D0000}"/>
    <cellStyle name="Normal 4 2 6 4 3 4" xfId="19680" xr:uid="{00000000-0005-0000-0000-0000C26D0000}"/>
    <cellStyle name="Normal 4 2 6 4 3 5" xfId="19681" xr:uid="{00000000-0005-0000-0000-0000C36D0000}"/>
    <cellStyle name="Normal 4 2 6 4 3 6" xfId="19682" xr:uid="{00000000-0005-0000-0000-0000C46D0000}"/>
    <cellStyle name="Normal 4 2 6 4 4" xfId="19683" xr:uid="{00000000-0005-0000-0000-0000C56D0000}"/>
    <cellStyle name="Normal 4 2 6 4 4 2" xfId="54442" xr:uid="{00000000-0005-0000-0000-0000C66D0000}"/>
    <cellStyle name="Normal 4 2 6 4 4 3" xfId="54443" xr:uid="{00000000-0005-0000-0000-0000C76D0000}"/>
    <cellStyle name="Normal 4 2 6 4 5" xfId="19684" xr:uid="{00000000-0005-0000-0000-0000C86D0000}"/>
    <cellStyle name="Normal 4 2 6 4 5 2" xfId="54444" xr:uid="{00000000-0005-0000-0000-0000C96D0000}"/>
    <cellStyle name="Normal 4 2 6 4 6" xfId="19685" xr:uid="{00000000-0005-0000-0000-0000CA6D0000}"/>
    <cellStyle name="Normal 4 2 6 4 7" xfId="19686" xr:uid="{00000000-0005-0000-0000-0000CB6D0000}"/>
    <cellStyle name="Normal 4 2 6 4 8" xfId="19687" xr:uid="{00000000-0005-0000-0000-0000CC6D0000}"/>
    <cellStyle name="Normal 4 2 6 5" xfId="19688" xr:uid="{00000000-0005-0000-0000-0000CD6D0000}"/>
    <cellStyle name="Normal 4 2 6 5 2" xfId="19689" xr:uid="{00000000-0005-0000-0000-0000CE6D0000}"/>
    <cellStyle name="Normal 4 2 6 5 2 2" xfId="19690" xr:uid="{00000000-0005-0000-0000-0000CF6D0000}"/>
    <cellStyle name="Normal 4 2 6 5 2 2 2" xfId="54445" xr:uid="{00000000-0005-0000-0000-0000D06D0000}"/>
    <cellStyle name="Normal 4 2 6 5 2 2 3" xfId="54446" xr:uid="{00000000-0005-0000-0000-0000D16D0000}"/>
    <cellStyle name="Normal 4 2 6 5 2 3" xfId="19691" xr:uid="{00000000-0005-0000-0000-0000D26D0000}"/>
    <cellStyle name="Normal 4 2 6 5 2 3 2" xfId="54447" xr:uid="{00000000-0005-0000-0000-0000D36D0000}"/>
    <cellStyle name="Normal 4 2 6 5 2 4" xfId="19692" xr:uid="{00000000-0005-0000-0000-0000D46D0000}"/>
    <cellStyle name="Normal 4 2 6 5 2 5" xfId="19693" xr:uid="{00000000-0005-0000-0000-0000D56D0000}"/>
    <cellStyle name="Normal 4 2 6 5 2 6" xfId="19694" xr:uid="{00000000-0005-0000-0000-0000D66D0000}"/>
    <cellStyle name="Normal 4 2 6 5 3" xfId="19695" xr:uid="{00000000-0005-0000-0000-0000D76D0000}"/>
    <cellStyle name="Normal 4 2 6 5 3 2" xfId="54448" xr:uid="{00000000-0005-0000-0000-0000D86D0000}"/>
    <cellStyle name="Normal 4 2 6 5 3 3" xfId="54449" xr:uid="{00000000-0005-0000-0000-0000D96D0000}"/>
    <cellStyle name="Normal 4 2 6 5 4" xfId="19696" xr:uid="{00000000-0005-0000-0000-0000DA6D0000}"/>
    <cellStyle name="Normal 4 2 6 5 4 2" xfId="54450" xr:uid="{00000000-0005-0000-0000-0000DB6D0000}"/>
    <cellStyle name="Normal 4 2 6 5 5" xfId="19697" xr:uid="{00000000-0005-0000-0000-0000DC6D0000}"/>
    <cellStyle name="Normal 4 2 6 5 6" xfId="19698" xr:uid="{00000000-0005-0000-0000-0000DD6D0000}"/>
    <cellStyle name="Normal 4 2 6 5 7" xfId="19699" xr:uid="{00000000-0005-0000-0000-0000DE6D0000}"/>
    <cellStyle name="Normal 4 2 6 6" xfId="19700" xr:uid="{00000000-0005-0000-0000-0000DF6D0000}"/>
    <cellStyle name="Normal 4 2 6 6 2" xfId="19701" xr:uid="{00000000-0005-0000-0000-0000E06D0000}"/>
    <cellStyle name="Normal 4 2 6 6 2 2" xfId="54451" xr:uid="{00000000-0005-0000-0000-0000E16D0000}"/>
    <cellStyle name="Normal 4 2 6 6 2 3" xfId="54452" xr:uid="{00000000-0005-0000-0000-0000E26D0000}"/>
    <cellStyle name="Normal 4 2 6 6 3" xfId="19702" xr:uid="{00000000-0005-0000-0000-0000E36D0000}"/>
    <cellStyle name="Normal 4 2 6 6 3 2" xfId="54453" xr:uid="{00000000-0005-0000-0000-0000E46D0000}"/>
    <cellStyle name="Normal 4 2 6 6 4" xfId="19703" xr:uid="{00000000-0005-0000-0000-0000E56D0000}"/>
    <cellStyle name="Normal 4 2 6 6 5" xfId="19704" xr:uid="{00000000-0005-0000-0000-0000E66D0000}"/>
    <cellStyle name="Normal 4 2 6 6 6" xfId="19705" xr:uid="{00000000-0005-0000-0000-0000E76D0000}"/>
    <cellStyle name="Normal 4 2 6 7" xfId="19706" xr:uid="{00000000-0005-0000-0000-0000E86D0000}"/>
    <cellStyle name="Normal 4 2 6 7 2" xfId="54454" xr:uid="{00000000-0005-0000-0000-0000E96D0000}"/>
    <cellStyle name="Normal 4 2 6 8" xfId="19707" xr:uid="{00000000-0005-0000-0000-0000EA6D0000}"/>
    <cellStyle name="Normal 4 2 6 9" xfId="19708" xr:uid="{00000000-0005-0000-0000-0000EB6D0000}"/>
    <cellStyle name="Normal 4 2 7" xfId="19709" xr:uid="{00000000-0005-0000-0000-0000EC6D0000}"/>
    <cellStyle name="Normal 4 2 7 10" xfId="19710" xr:uid="{00000000-0005-0000-0000-0000ED6D0000}"/>
    <cellStyle name="Normal 4 2 7 11" xfId="19711" xr:uid="{00000000-0005-0000-0000-0000EE6D0000}"/>
    <cellStyle name="Normal 4 2 7 12" xfId="19712" xr:uid="{00000000-0005-0000-0000-0000EF6D0000}"/>
    <cellStyle name="Normal 4 2 7 13" xfId="19713" xr:uid="{00000000-0005-0000-0000-0000F06D0000}"/>
    <cellStyle name="Normal 4 2 7 14" xfId="19714" xr:uid="{00000000-0005-0000-0000-0000F16D0000}"/>
    <cellStyle name="Normal 4 2 7 15" xfId="19715" xr:uid="{00000000-0005-0000-0000-0000F26D0000}"/>
    <cellStyle name="Normal 4 2 7 16" xfId="19716" xr:uid="{00000000-0005-0000-0000-0000F36D0000}"/>
    <cellStyle name="Normal 4 2 7 2" xfId="19717" xr:uid="{00000000-0005-0000-0000-0000F46D0000}"/>
    <cellStyle name="Normal 4 2 7 2 10" xfId="19718" xr:uid="{00000000-0005-0000-0000-0000F56D0000}"/>
    <cellStyle name="Normal 4 2 7 2 11" xfId="19719" xr:uid="{00000000-0005-0000-0000-0000F66D0000}"/>
    <cellStyle name="Normal 4 2 7 2 12" xfId="19720" xr:uid="{00000000-0005-0000-0000-0000F76D0000}"/>
    <cellStyle name="Normal 4 2 7 2 13" xfId="19721" xr:uid="{00000000-0005-0000-0000-0000F86D0000}"/>
    <cellStyle name="Normal 4 2 7 2 14" xfId="19722" xr:uid="{00000000-0005-0000-0000-0000F96D0000}"/>
    <cellStyle name="Normal 4 2 7 2 2" xfId="19723" xr:uid="{00000000-0005-0000-0000-0000FA6D0000}"/>
    <cellStyle name="Normal 4 2 7 2 2 2" xfId="19724" xr:uid="{00000000-0005-0000-0000-0000FB6D0000}"/>
    <cellStyle name="Normal 4 2 7 2 2 2 2" xfId="19725" xr:uid="{00000000-0005-0000-0000-0000FC6D0000}"/>
    <cellStyle name="Normal 4 2 7 2 2 2 2 2" xfId="19726" xr:uid="{00000000-0005-0000-0000-0000FD6D0000}"/>
    <cellStyle name="Normal 4 2 7 2 2 2 2 2 2" xfId="54455" xr:uid="{00000000-0005-0000-0000-0000FE6D0000}"/>
    <cellStyle name="Normal 4 2 7 2 2 2 2 2 3" xfId="54456" xr:uid="{00000000-0005-0000-0000-0000FF6D0000}"/>
    <cellStyle name="Normal 4 2 7 2 2 2 2 3" xfId="19727" xr:uid="{00000000-0005-0000-0000-0000006E0000}"/>
    <cellStyle name="Normal 4 2 7 2 2 2 2 3 2" xfId="54457" xr:uid="{00000000-0005-0000-0000-0000016E0000}"/>
    <cellStyle name="Normal 4 2 7 2 2 2 2 4" xfId="19728" xr:uid="{00000000-0005-0000-0000-0000026E0000}"/>
    <cellStyle name="Normal 4 2 7 2 2 2 2 5" xfId="19729" xr:uid="{00000000-0005-0000-0000-0000036E0000}"/>
    <cellStyle name="Normal 4 2 7 2 2 2 2 6" xfId="19730" xr:uid="{00000000-0005-0000-0000-0000046E0000}"/>
    <cellStyle name="Normal 4 2 7 2 2 2 3" xfId="19731" xr:uid="{00000000-0005-0000-0000-0000056E0000}"/>
    <cellStyle name="Normal 4 2 7 2 2 2 3 2" xfId="54458" xr:uid="{00000000-0005-0000-0000-0000066E0000}"/>
    <cellStyle name="Normal 4 2 7 2 2 2 3 3" xfId="54459" xr:uid="{00000000-0005-0000-0000-0000076E0000}"/>
    <cellStyle name="Normal 4 2 7 2 2 2 4" xfId="19732" xr:uid="{00000000-0005-0000-0000-0000086E0000}"/>
    <cellStyle name="Normal 4 2 7 2 2 2 4 2" xfId="54460" xr:uid="{00000000-0005-0000-0000-0000096E0000}"/>
    <cellStyle name="Normal 4 2 7 2 2 2 5" xfId="19733" xr:uid="{00000000-0005-0000-0000-00000A6E0000}"/>
    <cellStyle name="Normal 4 2 7 2 2 2 6" xfId="19734" xr:uid="{00000000-0005-0000-0000-00000B6E0000}"/>
    <cellStyle name="Normal 4 2 7 2 2 2 7" xfId="19735" xr:uid="{00000000-0005-0000-0000-00000C6E0000}"/>
    <cellStyle name="Normal 4 2 7 2 2 3" xfId="19736" xr:uid="{00000000-0005-0000-0000-00000D6E0000}"/>
    <cellStyle name="Normal 4 2 7 2 2 3 2" xfId="19737" xr:uid="{00000000-0005-0000-0000-00000E6E0000}"/>
    <cellStyle name="Normal 4 2 7 2 2 3 2 2" xfId="54461" xr:uid="{00000000-0005-0000-0000-00000F6E0000}"/>
    <cellStyle name="Normal 4 2 7 2 2 3 2 3" xfId="54462" xr:uid="{00000000-0005-0000-0000-0000106E0000}"/>
    <cellStyle name="Normal 4 2 7 2 2 3 3" xfId="19738" xr:uid="{00000000-0005-0000-0000-0000116E0000}"/>
    <cellStyle name="Normal 4 2 7 2 2 3 3 2" xfId="54463" xr:uid="{00000000-0005-0000-0000-0000126E0000}"/>
    <cellStyle name="Normal 4 2 7 2 2 3 4" xfId="19739" xr:uid="{00000000-0005-0000-0000-0000136E0000}"/>
    <cellStyle name="Normal 4 2 7 2 2 3 5" xfId="19740" xr:uid="{00000000-0005-0000-0000-0000146E0000}"/>
    <cellStyle name="Normal 4 2 7 2 2 3 6" xfId="19741" xr:uid="{00000000-0005-0000-0000-0000156E0000}"/>
    <cellStyle name="Normal 4 2 7 2 2 4" xfId="19742" xr:uid="{00000000-0005-0000-0000-0000166E0000}"/>
    <cellStyle name="Normal 4 2 7 2 2 4 2" xfId="54464" xr:uid="{00000000-0005-0000-0000-0000176E0000}"/>
    <cellStyle name="Normal 4 2 7 2 2 4 3" xfId="54465" xr:uid="{00000000-0005-0000-0000-0000186E0000}"/>
    <cellStyle name="Normal 4 2 7 2 2 5" xfId="19743" xr:uid="{00000000-0005-0000-0000-0000196E0000}"/>
    <cellStyle name="Normal 4 2 7 2 2 5 2" xfId="54466" xr:uid="{00000000-0005-0000-0000-00001A6E0000}"/>
    <cellStyle name="Normal 4 2 7 2 2 6" xfId="19744" xr:uid="{00000000-0005-0000-0000-00001B6E0000}"/>
    <cellStyle name="Normal 4 2 7 2 2 7" xfId="19745" xr:uid="{00000000-0005-0000-0000-00001C6E0000}"/>
    <cellStyle name="Normal 4 2 7 2 2 8" xfId="19746" xr:uid="{00000000-0005-0000-0000-00001D6E0000}"/>
    <cellStyle name="Normal 4 2 7 2 2 9" xfId="19747" xr:uid="{00000000-0005-0000-0000-00001E6E0000}"/>
    <cellStyle name="Normal 4 2 7 2 3" xfId="19748" xr:uid="{00000000-0005-0000-0000-00001F6E0000}"/>
    <cellStyle name="Normal 4 2 7 2 3 2" xfId="19749" xr:uid="{00000000-0005-0000-0000-0000206E0000}"/>
    <cellStyle name="Normal 4 2 7 2 3 2 2" xfId="19750" xr:uid="{00000000-0005-0000-0000-0000216E0000}"/>
    <cellStyle name="Normal 4 2 7 2 3 2 2 2" xfId="19751" xr:uid="{00000000-0005-0000-0000-0000226E0000}"/>
    <cellStyle name="Normal 4 2 7 2 3 2 2 2 2" xfId="54467" xr:uid="{00000000-0005-0000-0000-0000236E0000}"/>
    <cellStyle name="Normal 4 2 7 2 3 2 2 2 3" xfId="54468" xr:uid="{00000000-0005-0000-0000-0000246E0000}"/>
    <cellStyle name="Normal 4 2 7 2 3 2 2 3" xfId="19752" xr:uid="{00000000-0005-0000-0000-0000256E0000}"/>
    <cellStyle name="Normal 4 2 7 2 3 2 2 3 2" xfId="54469" xr:uid="{00000000-0005-0000-0000-0000266E0000}"/>
    <cellStyle name="Normal 4 2 7 2 3 2 2 4" xfId="19753" xr:uid="{00000000-0005-0000-0000-0000276E0000}"/>
    <cellStyle name="Normal 4 2 7 2 3 2 2 5" xfId="19754" xr:uid="{00000000-0005-0000-0000-0000286E0000}"/>
    <cellStyle name="Normal 4 2 7 2 3 2 2 6" xfId="19755" xr:uid="{00000000-0005-0000-0000-0000296E0000}"/>
    <cellStyle name="Normal 4 2 7 2 3 2 3" xfId="19756" xr:uid="{00000000-0005-0000-0000-00002A6E0000}"/>
    <cellStyle name="Normal 4 2 7 2 3 2 3 2" xfId="54470" xr:uid="{00000000-0005-0000-0000-00002B6E0000}"/>
    <cellStyle name="Normal 4 2 7 2 3 2 3 3" xfId="54471" xr:uid="{00000000-0005-0000-0000-00002C6E0000}"/>
    <cellStyle name="Normal 4 2 7 2 3 2 4" xfId="19757" xr:uid="{00000000-0005-0000-0000-00002D6E0000}"/>
    <cellStyle name="Normal 4 2 7 2 3 2 4 2" xfId="54472" xr:uid="{00000000-0005-0000-0000-00002E6E0000}"/>
    <cellStyle name="Normal 4 2 7 2 3 2 5" xfId="19758" xr:uid="{00000000-0005-0000-0000-00002F6E0000}"/>
    <cellStyle name="Normal 4 2 7 2 3 2 6" xfId="19759" xr:uid="{00000000-0005-0000-0000-0000306E0000}"/>
    <cellStyle name="Normal 4 2 7 2 3 2 7" xfId="19760" xr:uid="{00000000-0005-0000-0000-0000316E0000}"/>
    <cellStyle name="Normal 4 2 7 2 3 3" xfId="19761" xr:uid="{00000000-0005-0000-0000-0000326E0000}"/>
    <cellStyle name="Normal 4 2 7 2 3 3 2" xfId="19762" xr:uid="{00000000-0005-0000-0000-0000336E0000}"/>
    <cellStyle name="Normal 4 2 7 2 3 3 2 2" xfId="54473" xr:uid="{00000000-0005-0000-0000-0000346E0000}"/>
    <cellStyle name="Normal 4 2 7 2 3 3 2 3" xfId="54474" xr:uid="{00000000-0005-0000-0000-0000356E0000}"/>
    <cellStyle name="Normal 4 2 7 2 3 3 3" xfId="19763" xr:uid="{00000000-0005-0000-0000-0000366E0000}"/>
    <cellStyle name="Normal 4 2 7 2 3 3 3 2" xfId="54475" xr:uid="{00000000-0005-0000-0000-0000376E0000}"/>
    <cellStyle name="Normal 4 2 7 2 3 3 4" xfId="19764" xr:uid="{00000000-0005-0000-0000-0000386E0000}"/>
    <cellStyle name="Normal 4 2 7 2 3 3 5" xfId="19765" xr:uid="{00000000-0005-0000-0000-0000396E0000}"/>
    <cellStyle name="Normal 4 2 7 2 3 3 6" xfId="19766" xr:uid="{00000000-0005-0000-0000-00003A6E0000}"/>
    <cellStyle name="Normal 4 2 7 2 3 4" xfId="19767" xr:uid="{00000000-0005-0000-0000-00003B6E0000}"/>
    <cellStyle name="Normal 4 2 7 2 3 4 2" xfId="54476" xr:uid="{00000000-0005-0000-0000-00003C6E0000}"/>
    <cellStyle name="Normal 4 2 7 2 3 4 3" xfId="54477" xr:uid="{00000000-0005-0000-0000-00003D6E0000}"/>
    <cellStyle name="Normal 4 2 7 2 3 5" xfId="19768" xr:uid="{00000000-0005-0000-0000-00003E6E0000}"/>
    <cellStyle name="Normal 4 2 7 2 3 5 2" xfId="54478" xr:uid="{00000000-0005-0000-0000-00003F6E0000}"/>
    <cellStyle name="Normal 4 2 7 2 3 6" xfId="19769" xr:uid="{00000000-0005-0000-0000-0000406E0000}"/>
    <cellStyle name="Normal 4 2 7 2 3 7" xfId="19770" xr:uid="{00000000-0005-0000-0000-0000416E0000}"/>
    <cellStyle name="Normal 4 2 7 2 3 8" xfId="19771" xr:uid="{00000000-0005-0000-0000-0000426E0000}"/>
    <cellStyle name="Normal 4 2 7 2 4" xfId="19772" xr:uid="{00000000-0005-0000-0000-0000436E0000}"/>
    <cellStyle name="Normal 4 2 7 2 4 2" xfId="19773" xr:uid="{00000000-0005-0000-0000-0000446E0000}"/>
    <cellStyle name="Normal 4 2 7 2 4 2 2" xfId="19774" xr:uid="{00000000-0005-0000-0000-0000456E0000}"/>
    <cellStyle name="Normal 4 2 7 2 4 2 2 2" xfId="54479" xr:uid="{00000000-0005-0000-0000-0000466E0000}"/>
    <cellStyle name="Normal 4 2 7 2 4 2 2 3" xfId="54480" xr:uid="{00000000-0005-0000-0000-0000476E0000}"/>
    <cellStyle name="Normal 4 2 7 2 4 2 3" xfId="19775" xr:uid="{00000000-0005-0000-0000-0000486E0000}"/>
    <cellStyle name="Normal 4 2 7 2 4 2 3 2" xfId="54481" xr:uid="{00000000-0005-0000-0000-0000496E0000}"/>
    <cellStyle name="Normal 4 2 7 2 4 2 4" xfId="19776" xr:uid="{00000000-0005-0000-0000-00004A6E0000}"/>
    <cellStyle name="Normal 4 2 7 2 4 2 5" xfId="19777" xr:uid="{00000000-0005-0000-0000-00004B6E0000}"/>
    <cellStyle name="Normal 4 2 7 2 4 2 6" xfId="19778" xr:uid="{00000000-0005-0000-0000-00004C6E0000}"/>
    <cellStyle name="Normal 4 2 7 2 4 3" xfId="19779" xr:uid="{00000000-0005-0000-0000-00004D6E0000}"/>
    <cellStyle name="Normal 4 2 7 2 4 3 2" xfId="54482" xr:uid="{00000000-0005-0000-0000-00004E6E0000}"/>
    <cellStyle name="Normal 4 2 7 2 4 3 3" xfId="54483" xr:uid="{00000000-0005-0000-0000-00004F6E0000}"/>
    <cellStyle name="Normal 4 2 7 2 4 4" xfId="19780" xr:uid="{00000000-0005-0000-0000-0000506E0000}"/>
    <cellStyle name="Normal 4 2 7 2 4 4 2" xfId="54484" xr:uid="{00000000-0005-0000-0000-0000516E0000}"/>
    <cellStyle name="Normal 4 2 7 2 4 5" xfId="19781" xr:uid="{00000000-0005-0000-0000-0000526E0000}"/>
    <cellStyle name="Normal 4 2 7 2 4 6" xfId="19782" xr:uid="{00000000-0005-0000-0000-0000536E0000}"/>
    <cellStyle name="Normal 4 2 7 2 4 7" xfId="19783" xr:uid="{00000000-0005-0000-0000-0000546E0000}"/>
    <cellStyle name="Normal 4 2 7 2 5" xfId="19784" xr:uid="{00000000-0005-0000-0000-0000556E0000}"/>
    <cellStyle name="Normal 4 2 7 2 5 2" xfId="19785" xr:uid="{00000000-0005-0000-0000-0000566E0000}"/>
    <cellStyle name="Normal 4 2 7 2 5 2 2" xfId="54485" xr:uid="{00000000-0005-0000-0000-0000576E0000}"/>
    <cellStyle name="Normal 4 2 7 2 5 2 3" xfId="54486" xr:uid="{00000000-0005-0000-0000-0000586E0000}"/>
    <cellStyle name="Normal 4 2 7 2 5 3" xfId="19786" xr:uid="{00000000-0005-0000-0000-0000596E0000}"/>
    <cellStyle name="Normal 4 2 7 2 5 3 2" xfId="54487" xr:uid="{00000000-0005-0000-0000-00005A6E0000}"/>
    <cellStyle name="Normal 4 2 7 2 5 4" xfId="19787" xr:uid="{00000000-0005-0000-0000-00005B6E0000}"/>
    <cellStyle name="Normal 4 2 7 2 5 5" xfId="19788" xr:uid="{00000000-0005-0000-0000-00005C6E0000}"/>
    <cellStyle name="Normal 4 2 7 2 5 6" xfId="19789" xr:uid="{00000000-0005-0000-0000-00005D6E0000}"/>
    <cellStyle name="Normal 4 2 7 2 6" xfId="19790" xr:uid="{00000000-0005-0000-0000-00005E6E0000}"/>
    <cellStyle name="Normal 4 2 7 2 6 2" xfId="54488" xr:uid="{00000000-0005-0000-0000-00005F6E0000}"/>
    <cellStyle name="Normal 4 2 7 2 6 3" xfId="54489" xr:uid="{00000000-0005-0000-0000-0000606E0000}"/>
    <cellStyle name="Normal 4 2 7 2 7" xfId="19791" xr:uid="{00000000-0005-0000-0000-0000616E0000}"/>
    <cellStyle name="Normal 4 2 7 2 7 2" xfId="54490" xr:uid="{00000000-0005-0000-0000-0000626E0000}"/>
    <cellStyle name="Normal 4 2 7 2 8" xfId="19792" xr:uid="{00000000-0005-0000-0000-0000636E0000}"/>
    <cellStyle name="Normal 4 2 7 2 9" xfId="19793" xr:uid="{00000000-0005-0000-0000-0000646E0000}"/>
    <cellStyle name="Normal 4 2 7 3" xfId="19794" xr:uid="{00000000-0005-0000-0000-0000656E0000}"/>
    <cellStyle name="Normal 4 2 7 3 2" xfId="19795" xr:uid="{00000000-0005-0000-0000-0000666E0000}"/>
    <cellStyle name="Normal 4 2 7 3 2 2" xfId="19796" xr:uid="{00000000-0005-0000-0000-0000676E0000}"/>
    <cellStyle name="Normal 4 2 7 3 2 2 2" xfId="19797" xr:uid="{00000000-0005-0000-0000-0000686E0000}"/>
    <cellStyle name="Normal 4 2 7 3 2 2 2 2" xfId="54491" xr:uid="{00000000-0005-0000-0000-0000696E0000}"/>
    <cellStyle name="Normal 4 2 7 3 2 2 2 3" xfId="54492" xr:uid="{00000000-0005-0000-0000-00006A6E0000}"/>
    <cellStyle name="Normal 4 2 7 3 2 2 3" xfId="19798" xr:uid="{00000000-0005-0000-0000-00006B6E0000}"/>
    <cellStyle name="Normal 4 2 7 3 2 2 3 2" xfId="54493" xr:uid="{00000000-0005-0000-0000-00006C6E0000}"/>
    <cellStyle name="Normal 4 2 7 3 2 2 4" xfId="19799" xr:uid="{00000000-0005-0000-0000-00006D6E0000}"/>
    <cellStyle name="Normal 4 2 7 3 2 2 5" xfId="19800" xr:uid="{00000000-0005-0000-0000-00006E6E0000}"/>
    <cellStyle name="Normal 4 2 7 3 2 2 6" xfId="19801" xr:uid="{00000000-0005-0000-0000-00006F6E0000}"/>
    <cellStyle name="Normal 4 2 7 3 2 3" xfId="19802" xr:uid="{00000000-0005-0000-0000-0000706E0000}"/>
    <cellStyle name="Normal 4 2 7 3 2 3 2" xfId="54494" xr:uid="{00000000-0005-0000-0000-0000716E0000}"/>
    <cellStyle name="Normal 4 2 7 3 2 3 3" xfId="54495" xr:uid="{00000000-0005-0000-0000-0000726E0000}"/>
    <cellStyle name="Normal 4 2 7 3 2 4" xfId="19803" xr:uid="{00000000-0005-0000-0000-0000736E0000}"/>
    <cellStyle name="Normal 4 2 7 3 2 4 2" xfId="54496" xr:uid="{00000000-0005-0000-0000-0000746E0000}"/>
    <cellStyle name="Normal 4 2 7 3 2 5" xfId="19804" xr:uid="{00000000-0005-0000-0000-0000756E0000}"/>
    <cellStyle name="Normal 4 2 7 3 2 6" xfId="19805" xr:uid="{00000000-0005-0000-0000-0000766E0000}"/>
    <cellStyle name="Normal 4 2 7 3 2 7" xfId="19806" xr:uid="{00000000-0005-0000-0000-0000776E0000}"/>
    <cellStyle name="Normal 4 2 7 3 3" xfId="19807" xr:uid="{00000000-0005-0000-0000-0000786E0000}"/>
    <cellStyle name="Normal 4 2 7 3 3 2" xfId="19808" xr:uid="{00000000-0005-0000-0000-0000796E0000}"/>
    <cellStyle name="Normal 4 2 7 3 3 2 2" xfId="54497" xr:uid="{00000000-0005-0000-0000-00007A6E0000}"/>
    <cellStyle name="Normal 4 2 7 3 3 2 3" xfId="54498" xr:uid="{00000000-0005-0000-0000-00007B6E0000}"/>
    <cellStyle name="Normal 4 2 7 3 3 3" xfId="19809" xr:uid="{00000000-0005-0000-0000-00007C6E0000}"/>
    <cellStyle name="Normal 4 2 7 3 3 3 2" xfId="54499" xr:uid="{00000000-0005-0000-0000-00007D6E0000}"/>
    <cellStyle name="Normal 4 2 7 3 3 4" xfId="19810" xr:uid="{00000000-0005-0000-0000-00007E6E0000}"/>
    <cellStyle name="Normal 4 2 7 3 3 5" xfId="19811" xr:uid="{00000000-0005-0000-0000-00007F6E0000}"/>
    <cellStyle name="Normal 4 2 7 3 3 6" xfId="19812" xr:uid="{00000000-0005-0000-0000-0000806E0000}"/>
    <cellStyle name="Normal 4 2 7 3 4" xfId="19813" xr:uid="{00000000-0005-0000-0000-0000816E0000}"/>
    <cellStyle name="Normal 4 2 7 3 4 2" xfId="54500" xr:uid="{00000000-0005-0000-0000-0000826E0000}"/>
    <cellStyle name="Normal 4 2 7 3 4 3" xfId="54501" xr:uid="{00000000-0005-0000-0000-0000836E0000}"/>
    <cellStyle name="Normal 4 2 7 3 5" xfId="19814" xr:uid="{00000000-0005-0000-0000-0000846E0000}"/>
    <cellStyle name="Normal 4 2 7 3 5 2" xfId="54502" xr:uid="{00000000-0005-0000-0000-0000856E0000}"/>
    <cellStyle name="Normal 4 2 7 3 6" xfId="19815" xr:uid="{00000000-0005-0000-0000-0000866E0000}"/>
    <cellStyle name="Normal 4 2 7 3 7" xfId="19816" xr:uid="{00000000-0005-0000-0000-0000876E0000}"/>
    <cellStyle name="Normal 4 2 7 3 8" xfId="19817" xr:uid="{00000000-0005-0000-0000-0000886E0000}"/>
    <cellStyle name="Normal 4 2 7 3 9" xfId="19818" xr:uid="{00000000-0005-0000-0000-0000896E0000}"/>
    <cellStyle name="Normal 4 2 7 4" xfId="19819" xr:uid="{00000000-0005-0000-0000-00008A6E0000}"/>
    <cellStyle name="Normal 4 2 7 4 2" xfId="19820" xr:uid="{00000000-0005-0000-0000-00008B6E0000}"/>
    <cellStyle name="Normal 4 2 7 4 2 2" xfId="19821" xr:uid="{00000000-0005-0000-0000-00008C6E0000}"/>
    <cellStyle name="Normal 4 2 7 4 2 2 2" xfId="19822" xr:uid="{00000000-0005-0000-0000-00008D6E0000}"/>
    <cellStyle name="Normal 4 2 7 4 2 2 2 2" xfId="54503" xr:uid="{00000000-0005-0000-0000-00008E6E0000}"/>
    <cellStyle name="Normal 4 2 7 4 2 2 2 3" xfId="54504" xr:uid="{00000000-0005-0000-0000-00008F6E0000}"/>
    <cellStyle name="Normal 4 2 7 4 2 2 3" xfId="19823" xr:uid="{00000000-0005-0000-0000-0000906E0000}"/>
    <cellStyle name="Normal 4 2 7 4 2 2 3 2" xfId="54505" xr:uid="{00000000-0005-0000-0000-0000916E0000}"/>
    <cellStyle name="Normal 4 2 7 4 2 2 4" xfId="19824" xr:uid="{00000000-0005-0000-0000-0000926E0000}"/>
    <cellStyle name="Normal 4 2 7 4 2 2 5" xfId="19825" xr:uid="{00000000-0005-0000-0000-0000936E0000}"/>
    <cellStyle name="Normal 4 2 7 4 2 2 6" xfId="19826" xr:uid="{00000000-0005-0000-0000-0000946E0000}"/>
    <cellStyle name="Normal 4 2 7 4 2 3" xfId="19827" xr:uid="{00000000-0005-0000-0000-0000956E0000}"/>
    <cellStyle name="Normal 4 2 7 4 2 3 2" xfId="54506" xr:uid="{00000000-0005-0000-0000-0000966E0000}"/>
    <cellStyle name="Normal 4 2 7 4 2 3 3" xfId="54507" xr:uid="{00000000-0005-0000-0000-0000976E0000}"/>
    <cellStyle name="Normal 4 2 7 4 2 4" xfId="19828" xr:uid="{00000000-0005-0000-0000-0000986E0000}"/>
    <cellStyle name="Normal 4 2 7 4 2 4 2" xfId="54508" xr:uid="{00000000-0005-0000-0000-0000996E0000}"/>
    <cellStyle name="Normal 4 2 7 4 2 5" xfId="19829" xr:uid="{00000000-0005-0000-0000-00009A6E0000}"/>
    <cellStyle name="Normal 4 2 7 4 2 6" xfId="19830" xr:uid="{00000000-0005-0000-0000-00009B6E0000}"/>
    <cellStyle name="Normal 4 2 7 4 2 7" xfId="19831" xr:uid="{00000000-0005-0000-0000-00009C6E0000}"/>
    <cellStyle name="Normal 4 2 7 4 3" xfId="19832" xr:uid="{00000000-0005-0000-0000-00009D6E0000}"/>
    <cellStyle name="Normal 4 2 7 4 3 2" xfId="19833" xr:uid="{00000000-0005-0000-0000-00009E6E0000}"/>
    <cellStyle name="Normal 4 2 7 4 3 2 2" xfId="54509" xr:uid="{00000000-0005-0000-0000-00009F6E0000}"/>
    <cellStyle name="Normal 4 2 7 4 3 2 3" xfId="54510" xr:uid="{00000000-0005-0000-0000-0000A06E0000}"/>
    <cellStyle name="Normal 4 2 7 4 3 3" xfId="19834" xr:uid="{00000000-0005-0000-0000-0000A16E0000}"/>
    <cellStyle name="Normal 4 2 7 4 3 3 2" xfId="54511" xr:uid="{00000000-0005-0000-0000-0000A26E0000}"/>
    <cellStyle name="Normal 4 2 7 4 3 4" xfId="19835" xr:uid="{00000000-0005-0000-0000-0000A36E0000}"/>
    <cellStyle name="Normal 4 2 7 4 3 5" xfId="19836" xr:uid="{00000000-0005-0000-0000-0000A46E0000}"/>
    <cellStyle name="Normal 4 2 7 4 3 6" xfId="19837" xr:uid="{00000000-0005-0000-0000-0000A56E0000}"/>
    <cellStyle name="Normal 4 2 7 4 4" xfId="19838" xr:uid="{00000000-0005-0000-0000-0000A66E0000}"/>
    <cellStyle name="Normal 4 2 7 4 4 2" xfId="54512" xr:uid="{00000000-0005-0000-0000-0000A76E0000}"/>
    <cellStyle name="Normal 4 2 7 4 4 3" xfId="54513" xr:uid="{00000000-0005-0000-0000-0000A86E0000}"/>
    <cellStyle name="Normal 4 2 7 4 5" xfId="19839" xr:uid="{00000000-0005-0000-0000-0000A96E0000}"/>
    <cellStyle name="Normal 4 2 7 4 5 2" xfId="54514" xr:uid="{00000000-0005-0000-0000-0000AA6E0000}"/>
    <cellStyle name="Normal 4 2 7 4 6" xfId="19840" xr:uid="{00000000-0005-0000-0000-0000AB6E0000}"/>
    <cellStyle name="Normal 4 2 7 4 7" xfId="19841" xr:uid="{00000000-0005-0000-0000-0000AC6E0000}"/>
    <cellStyle name="Normal 4 2 7 4 8" xfId="19842" xr:uid="{00000000-0005-0000-0000-0000AD6E0000}"/>
    <cellStyle name="Normal 4 2 7 5" xfId="19843" xr:uid="{00000000-0005-0000-0000-0000AE6E0000}"/>
    <cellStyle name="Normal 4 2 7 5 2" xfId="19844" xr:uid="{00000000-0005-0000-0000-0000AF6E0000}"/>
    <cellStyle name="Normal 4 2 7 5 2 2" xfId="19845" xr:uid="{00000000-0005-0000-0000-0000B06E0000}"/>
    <cellStyle name="Normal 4 2 7 5 2 2 2" xfId="54515" xr:uid="{00000000-0005-0000-0000-0000B16E0000}"/>
    <cellStyle name="Normal 4 2 7 5 2 2 3" xfId="54516" xr:uid="{00000000-0005-0000-0000-0000B26E0000}"/>
    <cellStyle name="Normal 4 2 7 5 2 3" xfId="19846" xr:uid="{00000000-0005-0000-0000-0000B36E0000}"/>
    <cellStyle name="Normal 4 2 7 5 2 3 2" xfId="54517" xr:uid="{00000000-0005-0000-0000-0000B46E0000}"/>
    <cellStyle name="Normal 4 2 7 5 2 4" xfId="19847" xr:uid="{00000000-0005-0000-0000-0000B56E0000}"/>
    <cellStyle name="Normal 4 2 7 5 2 5" xfId="19848" xr:uid="{00000000-0005-0000-0000-0000B66E0000}"/>
    <cellStyle name="Normal 4 2 7 5 2 6" xfId="19849" xr:uid="{00000000-0005-0000-0000-0000B76E0000}"/>
    <cellStyle name="Normal 4 2 7 5 3" xfId="19850" xr:uid="{00000000-0005-0000-0000-0000B86E0000}"/>
    <cellStyle name="Normal 4 2 7 5 3 2" xfId="54518" xr:uid="{00000000-0005-0000-0000-0000B96E0000}"/>
    <cellStyle name="Normal 4 2 7 5 3 3" xfId="54519" xr:uid="{00000000-0005-0000-0000-0000BA6E0000}"/>
    <cellStyle name="Normal 4 2 7 5 4" xfId="19851" xr:uid="{00000000-0005-0000-0000-0000BB6E0000}"/>
    <cellStyle name="Normal 4 2 7 5 4 2" xfId="54520" xr:uid="{00000000-0005-0000-0000-0000BC6E0000}"/>
    <cellStyle name="Normal 4 2 7 5 5" xfId="19852" xr:uid="{00000000-0005-0000-0000-0000BD6E0000}"/>
    <cellStyle name="Normal 4 2 7 5 6" xfId="19853" xr:uid="{00000000-0005-0000-0000-0000BE6E0000}"/>
    <cellStyle name="Normal 4 2 7 5 7" xfId="19854" xr:uid="{00000000-0005-0000-0000-0000BF6E0000}"/>
    <cellStyle name="Normal 4 2 7 6" xfId="19855" xr:uid="{00000000-0005-0000-0000-0000C06E0000}"/>
    <cellStyle name="Normal 4 2 7 6 2" xfId="19856" xr:uid="{00000000-0005-0000-0000-0000C16E0000}"/>
    <cellStyle name="Normal 4 2 7 6 2 2" xfId="54521" xr:uid="{00000000-0005-0000-0000-0000C26E0000}"/>
    <cellStyle name="Normal 4 2 7 6 2 3" xfId="54522" xr:uid="{00000000-0005-0000-0000-0000C36E0000}"/>
    <cellStyle name="Normal 4 2 7 6 3" xfId="19857" xr:uid="{00000000-0005-0000-0000-0000C46E0000}"/>
    <cellStyle name="Normal 4 2 7 6 3 2" xfId="54523" xr:uid="{00000000-0005-0000-0000-0000C56E0000}"/>
    <cellStyle name="Normal 4 2 7 6 4" xfId="19858" xr:uid="{00000000-0005-0000-0000-0000C66E0000}"/>
    <cellStyle name="Normal 4 2 7 6 5" xfId="19859" xr:uid="{00000000-0005-0000-0000-0000C76E0000}"/>
    <cellStyle name="Normal 4 2 7 6 6" xfId="19860" xr:uid="{00000000-0005-0000-0000-0000C86E0000}"/>
    <cellStyle name="Normal 4 2 7 7" xfId="19861" xr:uid="{00000000-0005-0000-0000-0000C96E0000}"/>
    <cellStyle name="Normal 4 2 7 7 2" xfId="54524" xr:uid="{00000000-0005-0000-0000-0000CA6E0000}"/>
    <cellStyle name="Normal 4 2 7 8" xfId="19862" xr:uid="{00000000-0005-0000-0000-0000CB6E0000}"/>
    <cellStyle name="Normal 4 2 7 9" xfId="19863" xr:uid="{00000000-0005-0000-0000-0000CC6E0000}"/>
    <cellStyle name="Normal 4 2 8" xfId="19864" xr:uid="{00000000-0005-0000-0000-0000CD6E0000}"/>
    <cellStyle name="Normal 4 2 8 10" xfId="19865" xr:uid="{00000000-0005-0000-0000-0000CE6E0000}"/>
    <cellStyle name="Normal 4 2 8 11" xfId="19866" xr:uid="{00000000-0005-0000-0000-0000CF6E0000}"/>
    <cellStyle name="Normal 4 2 8 12" xfId="19867" xr:uid="{00000000-0005-0000-0000-0000D06E0000}"/>
    <cellStyle name="Normal 4 2 8 13" xfId="19868" xr:uid="{00000000-0005-0000-0000-0000D16E0000}"/>
    <cellStyle name="Normal 4 2 8 14" xfId="19869" xr:uid="{00000000-0005-0000-0000-0000D26E0000}"/>
    <cellStyle name="Normal 4 2 8 15" xfId="19870" xr:uid="{00000000-0005-0000-0000-0000D36E0000}"/>
    <cellStyle name="Normal 4 2 8 16" xfId="19871" xr:uid="{00000000-0005-0000-0000-0000D46E0000}"/>
    <cellStyle name="Normal 4 2 8 2" xfId="19872" xr:uid="{00000000-0005-0000-0000-0000D56E0000}"/>
    <cellStyle name="Normal 4 2 8 2 10" xfId="19873" xr:uid="{00000000-0005-0000-0000-0000D66E0000}"/>
    <cellStyle name="Normal 4 2 8 2 11" xfId="19874" xr:uid="{00000000-0005-0000-0000-0000D76E0000}"/>
    <cellStyle name="Normal 4 2 8 2 12" xfId="19875" xr:uid="{00000000-0005-0000-0000-0000D86E0000}"/>
    <cellStyle name="Normal 4 2 8 2 13" xfId="19876" xr:uid="{00000000-0005-0000-0000-0000D96E0000}"/>
    <cellStyle name="Normal 4 2 8 2 14" xfId="19877" xr:uid="{00000000-0005-0000-0000-0000DA6E0000}"/>
    <cellStyle name="Normal 4 2 8 2 2" xfId="19878" xr:uid="{00000000-0005-0000-0000-0000DB6E0000}"/>
    <cellStyle name="Normal 4 2 8 2 2 2" xfId="19879" xr:uid="{00000000-0005-0000-0000-0000DC6E0000}"/>
    <cellStyle name="Normal 4 2 8 2 2 2 2" xfId="19880" xr:uid="{00000000-0005-0000-0000-0000DD6E0000}"/>
    <cellStyle name="Normal 4 2 8 2 2 2 2 2" xfId="19881" xr:uid="{00000000-0005-0000-0000-0000DE6E0000}"/>
    <cellStyle name="Normal 4 2 8 2 2 2 2 2 2" xfId="54525" xr:uid="{00000000-0005-0000-0000-0000DF6E0000}"/>
    <cellStyle name="Normal 4 2 8 2 2 2 2 2 3" xfId="54526" xr:uid="{00000000-0005-0000-0000-0000E06E0000}"/>
    <cellStyle name="Normal 4 2 8 2 2 2 2 3" xfId="19882" xr:uid="{00000000-0005-0000-0000-0000E16E0000}"/>
    <cellStyle name="Normal 4 2 8 2 2 2 2 3 2" xfId="54527" xr:uid="{00000000-0005-0000-0000-0000E26E0000}"/>
    <cellStyle name="Normal 4 2 8 2 2 2 2 4" xfId="19883" xr:uid="{00000000-0005-0000-0000-0000E36E0000}"/>
    <cellStyle name="Normal 4 2 8 2 2 2 2 5" xfId="19884" xr:uid="{00000000-0005-0000-0000-0000E46E0000}"/>
    <cellStyle name="Normal 4 2 8 2 2 2 2 6" xfId="19885" xr:uid="{00000000-0005-0000-0000-0000E56E0000}"/>
    <cellStyle name="Normal 4 2 8 2 2 2 3" xfId="19886" xr:uid="{00000000-0005-0000-0000-0000E66E0000}"/>
    <cellStyle name="Normal 4 2 8 2 2 2 3 2" xfId="54528" xr:uid="{00000000-0005-0000-0000-0000E76E0000}"/>
    <cellStyle name="Normal 4 2 8 2 2 2 3 3" xfId="54529" xr:uid="{00000000-0005-0000-0000-0000E86E0000}"/>
    <cellStyle name="Normal 4 2 8 2 2 2 4" xfId="19887" xr:uid="{00000000-0005-0000-0000-0000E96E0000}"/>
    <cellStyle name="Normal 4 2 8 2 2 2 4 2" xfId="54530" xr:uid="{00000000-0005-0000-0000-0000EA6E0000}"/>
    <cellStyle name="Normal 4 2 8 2 2 2 5" xfId="19888" xr:uid="{00000000-0005-0000-0000-0000EB6E0000}"/>
    <cellStyle name="Normal 4 2 8 2 2 2 6" xfId="19889" xr:uid="{00000000-0005-0000-0000-0000EC6E0000}"/>
    <cellStyle name="Normal 4 2 8 2 2 2 7" xfId="19890" xr:uid="{00000000-0005-0000-0000-0000ED6E0000}"/>
    <cellStyle name="Normal 4 2 8 2 2 3" xfId="19891" xr:uid="{00000000-0005-0000-0000-0000EE6E0000}"/>
    <cellStyle name="Normal 4 2 8 2 2 3 2" xfId="19892" xr:uid="{00000000-0005-0000-0000-0000EF6E0000}"/>
    <cellStyle name="Normal 4 2 8 2 2 3 2 2" xfId="54531" xr:uid="{00000000-0005-0000-0000-0000F06E0000}"/>
    <cellStyle name="Normal 4 2 8 2 2 3 2 3" xfId="54532" xr:uid="{00000000-0005-0000-0000-0000F16E0000}"/>
    <cellStyle name="Normal 4 2 8 2 2 3 3" xfId="19893" xr:uid="{00000000-0005-0000-0000-0000F26E0000}"/>
    <cellStyle name="Normal 4 2 8 2 2 3 3 2" xfId="54533" xr:uid="{00000000-0005-0000-0000-0000F36E0000}"/>
    <cellStyle name="Normal 4 2 8 2 2 3 4" xfId="19894" xr:uid="{00000000-0005-0000-0000-0000F46E0000}"/>
    <cellStyle name="Normal 4 2 8 2 2 3 5" xfId="19895" xr:uid="{00000000-0005-0000-0000-0000F56E0000}"/>
    <cellStyle name="Normal 4 2 8 2 2 3 6" xfId="19896" xr:uid="{00000000-0005-0000-0000-0000F66E0000}"/>
    <cellStyle name="Normal 4 2 8 2 2 4" xfId="19897" xr:uid="{00000000-0005-0000-0000-0000F76E0000}"/>
    <cellStyle name="Normal 4 2 8 2 2 4 2" xfId="54534" xr:uid="{00000000-0005-0000-0000-0000F86E0000}"/>
    <cellStyle name="Normal 4 2 8 2 2 4 3" xfId="54535" xr:uid="{00000000-0005-0000-0000-0000F96E0000}"/>
    <cellStyle name="Normal 4 2 8 2 2 5" xfId="19898" xr:uid="{00000000-0005-0000-0000-0000FA6E0000}"/>
    <cellStyle name="Normal 4 2 8 2 2 5 2" xfId="54536" xr:uid="{00000000-0005-0000-0000-0000FB6E0000}"/>
    <cellStyle name="Normal 4 2 8 2 2 6" xfId="19899" xr:uid="{00000000-0005-0000-0000-0000FC6E0000}"/>
    <cellStyle name="Normal 4 2 8 2 2 7" xfId="19900" xr:uid="{00000000-0005-0000-0000-0000FD6E0000}"/>
    <cellStyle name="Normal 4 2 8 2 2 8" xfId="19901" xr:uid="{00000000-0005-0000-0000-0000FE6E0000}"/>
    <cellStyle name="Normal 4 2 8 2 2 9" xfId="19902" xr:uid="{00000000-0005-0000-0000-0000FF6E0000}"/>
    <cellStyle name="Normal 4 2 8 2 3" xfId="19903" xr:uid="{00000000-0005-0000-0000-0000006F0000}"/>
    <cellStyle name="Normal 4 2 8 2 3 2" xfId="19904" xr:uid="{00000000-0005-0000-0000-0000016F0000}"/>
    <cellStyle name="Normal 4 2 8 2 3 2 2" xfId="19905" xr:uid="{00000000-0005-0000-0000-0000026F0000}"/>
    <cellStyle name="Normal 4 2 8 2 3 2 2 2" xfId="19906" xr:uid="{00000000-0005-0000-0000-0000036F0000}"/>
    <cellStyle name="Normal 4 2 8 2 3 2 2 2 2" xfId="54537" xr:uid="{00000000-0005-0000-0000-0000046F0000}"/>
    <cellStyle name="Normal 4 2 8 2 3 2 2 2 3" xfId="54538" xr:uid="{00000000-0005-0000-0000-0000056F0000}"/>
    <cellStyle name="Normal 4 2 8 2 3 2 2 3" xfId="19907" xr:uid="{00000000-0005-0000-0000-0000066F0000}"/>
    <cellStyle name="Normal 4 2 8 2 3 2 2 3 2" xfId="54539" xr:uid="{00000000-0005-0000-0000-0000076F0000}"/>
    <cellStyle name="Normal 4 2 8 2 3 2 2 4" xfId="19908" xr:uid="{00000000-0005-0000-0000-0000086F0000}"/>
    <cellStyle name="Normal 4 2 8 2 3 2 2 5" xfId="19909" xr:uid="{00000000-0005-0000-0000-0000096F0000}"/>
    <cellStyle name="Normal 4 2 8 2 3 2 2 6" xfId="19910" xr:uid="{00000000-0005-0000-0000-00000A6F0000}"/>
    <cellStyle name="Normal 4 2 8 2 3 2 3" xfId="19911" xr:uid="{00000000-0005-0000-0000-00000B6F0000}"/>
    <cellStyle name="Normal 4 2 8 2 3 2 3 2" xfId="54540" xr:uid="{00000000-0005-0000-0000-00000C6F0000}"/>
    <cellStyle name="Normal 4 2 8 2 3 2 3 3" xfId="54541" xr:uid="{00000000-0005-0000-0000-00000D6F0000}"/>
    <cellStyle name="Normal 4 2 8 2 3 2 4" xfId="19912" xr:uid="{00000000-0005-0000-0000-00000E6F0000}"/>
    <cellStyle name="Normal 4 2 8 2 3 2 4 2" xfId="54542" xr:uid="{00000000-0005-0000-0000-00000F6F0000}"/>
    <cellStyle name="Normal 4 2 8 2 3 2 5" xfId="19913" xr:uid="{00000000-0005-0000-0000-0000106F0000}"/>
    <cellStyle name="Normal 4 2 8 2 3 2 6" xfId="19914" xr:uid="{00000000-0005-0000-0000-0000116F0000}"/>
    <cellStyle name="Normal 4 2 8 2 3 2 7" xfId="19915" xr:uid="{00000000-0005-0000-0000-0000126F0000}"/>
    <cellStyle name="Normal 4 2 8 2 3 3" xfId="19916" xr:uid="{00000000-0005-0000-0000-0000136F0000}"/>
    <cellStyle name="Normal 4 2 8 2 3 3 2" xfId="19917" xr:uid="{00000000-0005-0000-0000-0000146F0000}"/>
    <cellStyle name="Normal 4 2 8 2 3 3 2 2" xfId="54543" xr:uid="{00000000-0005-0000-0000-0000156F0000}"/>
    <cellStyle name="Normal 4 2 8 2 3 3 2 3" xfId="54544" xr:uid="{00000000-0005-0000-0000-0000166F0000}"/>
    <cellStyle name="Normal 4 2 8 2 3 3 3" xfId="19918" xr:uid="{00000000-0005-0000-0000-0000176F0000}"/>
    <cellStyle name="Normal 4 2 8 2 3 3 3 2" xfId="54545" xr:uid="{00000000-0005-0000-0000-0000186F0000}"/>
    <cellStyle name="Normal 4 2 8 2 3 3 4" xfId="19919" xr:uid="{00000000-0005-0000-0000-0000196F0000}"/>
    <cellStyle name="Normal 4 2 8 2 3 3 5" xfId="19920" xr:uid="{00000000-0005-0000-0000-00001A6F0000}"/>
    <cellStyle name="Normal 4 2 8 2 3 3 6" xfId="19921" xr:uid="{00000000-0005-0000-0000-00001B6F0000}"/>
    <cellStyle name="Normal 4 2 8 2 3 4" xfId="19922" xr:uid="{00000000-0005-0000-0000-00001C6F0000}"/>
    <cellStyle name="Normal 4 2 8 2 3 4 2" xfId="54546" xr:uid="{00000000-0005-0000-0000-00001D6F0000}"/>
    <cellStyle name="Normal 4 2 8 2 3 4 3" xfId="54547" xr:uid="{00000000-0005-0000-0000-00001E6F0000}"/>
    <cellStyle name="Normal 4 2 8 2 3 5" xfId="19923" xr:uid="{00000000-0005-0000-0000-00001F6F0000}"/>
    <cellStyle name="Normal 4 2 8 2 3 5 2" xfId="54548" xr:uid="{00000000-0005-0000-0000-0000206F0000}"/>
    <cellStyle name="Normal 4 2 8 2 3 6" xfId="19924" xr:uid="{00000000-0005-0000-0000-0000216F0000}"/>
    <cellStyle name="Normal 4 2 8 2 3 7" xfId="19925" xr:uid="{00000000-0005-0000-0000-0000226F0000}"/>
    <cellStyle name="Normal 4 2 8 2 3 8" xfId="19926" xr:uid="{00000000-0005-0000-0000-0000236F0000}"/>
    <cellStyle name="Normal 4 2 8 2 4" xfId="19927" xr:uid="{00000000-0005-0000-0000-0000246F0000}"/>
    <cellStyle name="Normal 4 2 8 2 4 2" xfId="19928" xr:uid="{00000000-0005-0000-0000-0000256F0000}"/>
    <cellStyle name="Normal 4 2 8 2 4 2 2" xfId="19929" xr:uid="{00000000-0005-0000-0000-0000266F0000}"/>
    <cellStyle name="Normal 4 2 8 2 4 2 2 2" xfId="54549" xr:uid="{00000000-0005-0000-0000-0000276F0000}"/>
    <cellStyle name="Normal 4 2 8 2 4 2 2 3" xfId="54550" xr:uid="{00000000-0005-0000-0000-0000286F0000}"/>
    <cellStyle name="Normal 4 2 8 2 4 2 3" xfId="19930" xr:uid="{00000000-0005-0000-0000-0000296F0000}"/>
    <cellStyle name="Normal 4 2 8 2 4 2 3 2" xfId="54551" xr:uid="{00000000-0005-0000-0000-00002A6F0000}"/>
    <cellStyle name="Normal 4 2 8 2 4 2 4" xfId="19931" xr:uid="{00000000-0005-0000-0000-00002B6F0000}"/>
    <cellStyle name="Normal 4 2 8 2 4 2 5" xfId="19932" xr:uid="{00000000-0005-0000-0000-00002C6F0000}"/>
    <cellStyle name="Normal 4 2 8 2 4 2 6" xfId="19933" xr:uid="{00000000-0005-0000-0000-00002D6F0000}"/>
    <cellStyle name="Normal 4 2 8 2 4 3" xfId="19934" xr:uid="{00000000-0005-0000-0000-00002E6F0000}"/>
    <cellStyle name="Normal 4 2 8 2 4 3 2" xfId="54552" xr:uid="{00000000-0005-0000-0000-00002F6F0000}"/>
    <cellStyle name="Normal 4 2 8 2 4 3 3" xfId="54553" xr:uid="{00000000-0005-0000-0000-0000306F0000}"/>
    <cellStyle name="Normal 4 2 8 2 4 4" xfId="19935" xr:uid="{00000000-0005-0000-0000-0000316F0000}"/>
    <cellStyle name="Normal 4 2 8 2 4 4 2" xfId="54554" xr:uid="{00000000-0005-0000-0000-0000326F0000}"/>
    <cellStyle name="Normal 4 2 8 2 4 5" xfId="19936" xr:uid="{00000000-0005-0000-0000-0000336F0000}"/>
    <cellStyle name="Normal 4 2 8 2 4 6" xfId="19937" xr:uid="{00000000-0005-0000-0000-0000346F0000}"/>
    <cellStyle name="Normal 4 2 8 2 4 7" xfId="19938" xr:uid="{00000000-0005-0000-0000-0000356F0000}"/>
    <cellStyle name="Normal 4 2 8 2 5" xfId="19939" xr:uid="{00000000-0005-0000-0000-0000366F0000}"/>
    <cellStyle name="Normal 4 2 8 2 5 2" xfId="19940" xr:uid="{00000000-0005-0000-0000-0000376F0000}"/>
    <cellStyle name="Normal 4 2 8 2 5 2 2" xfId="54555" xr:uid="{00000000-0005-0000-0000-0000386F0000}"/>
    <cellStyle name="Normal 4 2 8 2 5 2 3" xfId="54556" xr:uid="{00000000-0005-0000-0000-0000396F0000}"/>
    <cellStyle name="Normal 4 2 8 2 5 3" xfId="19941" xr:uid="{00000000-0005-0000-0000-00003A6F0000}"/>
    <cellStyle name="Normal 4 2 8 2 5 3 2" xfId="54557" xr:uid="{00000000-0005-0000-0000-00003B6F0000}"/>
    <cellStyle name="Normal 4 2 8 2 5 4" xfId="19942" xr:uid="{00000000-0005-0000-0000-00003C6F0000}"/>
    <cellStyle name="Normal 4 2 8 2 5 5" xfId="19943" xr:uid="{00000000-0005-0000-0000-00003D6F0000}"/>
    <cellStyle name="Normal 4 2 8 2 5 6" xfId="19944" xr:uid="{00000000-0005-0000-0000-00003E6F0000}"/>
    <cellStyle name="Normal 4 2 8 2 6" xfId="19945" xr:uid="{00000000-0005-0000-0000-00003F6F0000}"/>
    <cellStyle name="Normal 4 2 8 2 6 2" xfId="54558" xr:uid="{00000000-0005-0000-0000-0000406F0000}"/>
    <cellStyle name="Normal 4 2 8 2 6 3" xfId="54559" xr:uid="{00000000-0005-0000-0000-0000416F0000}"/>
    <cellStyle name="Normal 4 2 8 2 7" xfId="19946" xr:uid="{00000000-0005-0000-0000-0000426F0000}"/>
    <cellStyle name="Normal 4 2 8 2 7 2" xfId="54560" xr:uid="{00000000-0005-0000-0000-0000436F0000}"/>
    <cellStyle name="Normal 4 2 8 2 8" xfId="19947" xr:uid="{00000000-0005-0000-0000-0000446F0000}"/>
    <cellStyle name="Normal 4 2 8 2 9" xfId="19948" xr:uid="{00000000-0005-0000-0000-0000456F0000}"/>
    <cellStyle name="Normal 4 2 8 3" xfId="19949" xr:uid="{00000000-0005-0000-0000-0000466F0000}"/>
    <cellStyle name="Normal 4 2 8 3 2" xfId="19950" xr:uid="{00000000-0005-0000-0000-0000476F0000}"/>
    <cellStyle name="Normal 4 2 8 3 2 2" xfId="19951" xr:uid="{00000000-0005-0000-0000-0000486F0000}"/>
    <cellStyle name="Normal 4 2 8 3 2 2 2" xfId="19952" xr:uid="{00000000-0005-0000-0000-0000496F0000}"/>
    <cellStyle name="Normal 4 2 8 3 2 2 2 2" xfId="54561" xr:uid="{00000000-0005-0000-0000-00004A6F0000}"/>
    <cellStyle name="Normal 4 2 8 3 2 2 2 3" xfId="54562" xr:uid="{00000000-0005-0000-0000-00004B6F0000}"/>
    <cellStyle name="Normal 4 2 8 3 2 2 3" xfId="19953" xr:uid="{00000000-0005-0000-0000-00004C6F0000}"/>
    <cellStyle name="Normal 4 2 8 3 2 2 3 2" xfId="54563" xr:uid="{00000000-0005-0000-0000-00004D6F0000}"/>
    <cellStyle name="Normal 4 2 8 3 2 2 4" xfId="19954" xr:uid="{00000000-0005-0000-0000-00004E6F0000}"/>
    <cellStyle name="Normal 4 2 8 3 2 2 5" xfId="19955" xr:uid="{00000000-0005-0000-0000-00004F6F0000}"/>
    <cellStyle name="Normal 4 2 8 3 2 2 6" xfId="19956" xr:uid="{00000000-0005-0000-0000-0000506F0000}"/>
    <cellStyle name="Normal 4 2 8 3 2 3" xfId="19957" xr:uid="{00000000-0005-0000-0000-0000516F0000}"/>
    <cellStyle name="Normal 4 2 8 3 2 3 2" xfId="54564" xr:uid="{00000000-0005-0000-0000-0000526F0000}"/>
    <cellStyle name="Normal 4 2 8 3 2 3 3" xfId="54565" xr:uid="{00000000-0005-0000-0000-0000536F0000}"/>
    <cellStyle name="Normal 4 2 8 3 2 4" xfId="19958" xr:uid="{00000000-0005-0000-0000-0000546F0000}"/>
    <cellStyle name="Normal 4 2 8 3 2 4 2" xfId="54566" xr:uid="{00000000-0005-0000-0000-0000556F0000}"/>
    <cellStyle name="Normal 4 2 8 3 2 5" xfId="19959" xr:uid="{00000000-0005-0000-0000-0000566F0000}"/>
    <cellStyle name="Normal 4 2 8 3 2 6" xfId="19960" xr:uid="{00000000-0005-0000-0000-0000576F0000}"/>
    <cellStyle name="Normal 4 2 8 3 2 7" xfId="19961" xr:uid="{00000000-0005-0000-0000-0000586F0000}"/>
    <cellStyle name="Normal 4 2 8 3 3" xfId="19962" xr:uid="{00000000-0005-0000-0000-0000596F0000}"/>
    <cellStyle name="Normal 4 2 8 3 3 2" xfId="19963" xr:uid="{00000000-0005-0000-0000-00005A6F0000}"/>
    <cellStyle name="Normal 4 2 8 3 3 2 2" xfId="54567" xr:uid="{00000000-0005-0000-0000-00005B6F0000}"/>
    <cellStyle name="Normal 4 2 8 3 3 2 3" xfId="54568" xr:uid="{00000000-0005-0000-0000-00005C6F0000}"/>
    <cellStyle name="Normal 4 2 8 3 3 3" xfId="19964" xr:uid="{00000000-0005-0000-0000-00005D6F0000}"/>
    <cellStyle name="Normal 4 2 8 3 3 3 2" xfId="54569" xr:uid="{00000000-0005-0000-0000-00005E6F0000}"/>
    <cellStyle name="Normal 4 2 8 3 3 4" xfId="19965" xr:uid="{00000000-0005-0000-0000-00005F6F0000}"/>
    <cellStyle name="Normal 4 2 8 3 3 5" xfId="19966" xr:uid="{00000000-0005-0000-0000-0000606F0000}"/>
    <cellStyle name="Normal 4 2 8 3 3 6" xfId="19967" xr:uid="{00000000-0005-0000-0000-0000616F0000}"/>
    <cellStyle name="Normal 4 2 8 3 4" xfId="19968" xr:uid="{00000000-0005-0000-0000-0000626F0000}"/>
    <cellStyle name="Normal 4 2 8 3 4 2" xfId="54570" xr:uid="{00000000-0005-0000-0000-0000636F0000}"/>
    <cellStyle name="Normal 4 2 8 3 4 3" xfId="54571" xr:uid="{00000000-0005-0000-0000-0000646F0000}"/>
    <cellStyle name="Normal 4 2 8 3 5" xfId="19969" xr:uid="{00000000-0005-0000-0000-0000656F0000}"/>
    <cellStyle name="Normal 4 2 8 3 5 2" xfId="54572" xr:uid="{00000000-0005-0000-0000-0000666F0000}"/>
    <cellStyle name="Normal 4 2 8 3 6" xfId="19970" xr:uid="{00000000-0005-0000-0000-0000676F0000}"/>
    <cellStyle name="Normal 4 2 8 3 7" xfId="19971" xr:uid="{00000000-0005-0000-0000-0000686F0000}"/>
    <cellStyle name="Normal 4 2 8 3 8" xfId="19972" xr:uid="{00000000-0005-0000-0000-0000696F0000}"/>
    <cellStyle name="Normal 4 2 8 3 9" xfId="19973" xr:uid="{00000000-0005-0000-0000-00006A6F0000}"/>
    <cellStyle name="Normal 4 2 8 4" xfId="19974" xr:uid="{00000000-0005-0000-0000-00006B6F0000}"/>
    <cellStyle name="Normal 4 2 8 4 2" xfId="19975" xr:uid="{00000000-0005-0000-0000-00006C6F0000}"/>
    <cellStyle name="Normal 4 2 8 4 2 2" xfId="19976" xr:uid="{00000000-0005-0000-0000-00006D6F0000}"/>
    <cellStyle name="Normal 4 2 8 4 2 2 2" xfId="19977" xr:uid="{00000000-0005-0000-0000-00006E6F0000}"/>
    <cellStyle name="Normal 4 2 8 4 2 2 2 2" xfId="54573" xr:uid="{00000000-0005-0000-0000-00006F6F0000}"/>
    <cellStyle name="Normal 4 2 8 4 2 2 2 3" xfId="54574" xr:uid="{00000000-0005-0000-0000-0000706F0000}"/>
    <cellStyle name="Normal 4 2 8 4 2 2 3" xfId="19978" xr:uid="{00000000-0005-0000-0000-0000716F0000}"/>
    <cellStyle name="Normal 4 2 8 4 2 2 3 2" xfId="54575" xr:uid="{00000000-0005-0000-0000-0000726F0000}"/>
    <cellStyle name="Normal 4 2 8 4 2 2 4" xfId="19979" xr:uid="{00000000-0005-0000-0000-0000736F0000}"/>
    <cellStyle name="Normal 4 2 8 4 2 2 5" xfId="19980" xr:uid="{00000000-0005-0000-0000-0000746F0000}"/>
    <cellStyle name="Normal 4 2 8 4 2 2 6" xfId="19981" xr:uid="{00000000-0005-0000-0000-0000756F0000}"/>
    <cellStyle name="Normal 4 2 8 4 2 3" xfId="19982" xr:uid="{00000000-0005-0000-0000-0000766F0000}"/>
    <cellStyle name="Normal 4 2 8 4 2 3 2" xfId="54576" xr:uid="{00000000-0005-0000-0000-0000776F0000}"/>
    <cellStyle name="Normal 4 2 8 4 2 3 3" xfId="54577" xr:uid="{00000000-0005-0000-0000-0000786F0000}"/>
    <cellStyle name="Normal 4 2 8 4 2 4" xfId="19983" xr:uid="{00000000-0005-0000-0000-0000796F0000}"/>
    <cellStyle name="Normal 4 2 8 4 2 4 2" xfId="54578" xr:uid="{00000000-0005-0000-0000-00007A6F0000}"/>
    <cellStyle name="Normal 4 2 8 4 2 5" xfId="19984" xr:uid="{00000000-0005-0000-0000-00007B6F0000}"/>
    <cellStyle name="Normal 4 2 8 4 2 6" xfId="19985" xr:uid="{00000000-0005-0000-0000-00007C6F0000}"/>
    <cellStyle name="Normal 4 2 8 4 2 7" xfId="19986" xr:uid="{00000000-0005-0000-0000-00007D6F0000}"/>
    <cellStyle name="Normal 4 2 8 4 3" xfId="19987" xr:uid="{00000000-0005-0000-0000-00007E6F0000}"/>
    <cellStyle name="Normal 4 2 8 4 3 2" xfId="19988" xr:uid="{00000000-0005-0000-0000-00007F6F0000}"/>
    <cellStyle name="Normal 4 2 8 4 3 2 2" xfId="54579" xr:uid="{00000000-0005-0000-0000-0000806F0000}"/>
    <cellStyle name="Normal 4 2 8 4 3 2 3" xfId="54580" xr:uid="{00000000-0005-0000-0000-0000816F0000}"/>
    <cellStyle name="Normal 4 2 8 4 3 3" xfId="19989" xr:uid="{00000000-0005-0000-0000-0000826F0000}"/>
    <cellStyle name="Normal 4 2 8 4 3 3 2" xfId="54581" xr:uid="{00000000-0005-0000-0000-0000836F0000}"/>
    <cellStyle name="Normal 4 2 8 4 3 4" xfId="19990" xr:uid="{00000000-0005-0000-0000-0000846F0000}"/>
    <cellStyle name="Normal 4 2 8 4 3 5" xfId="19991" xr:uid="{00000000-0005-0000-0000-0000856F0000}"/>
    <cellStyle name="Normal 4 2 8 4 3 6" xfId="19992" xr:uid="{00000000-0005-0000-0000-0000866F0000}"/>
    <cellStyle name="Normal 4 2 8 4 4" xfId="19993" xr:uid="{00000000-0005-0000-0000-0000876F0000}"/>
    <cellStyle name="Normal 4 2 8 4 4 2" xfId="54582" xr:uid="{00000000-0005-0000-0000-0000886F0000}"/>
    <cellStyle name="Normal 4 2 8 4 4 3" xfId="54583" xr:uid="{00000000-0005-0000-0000-0000896F0000}"/>
    <cellStyle name="Normal 4 2 8 4 5" xfId="19994" xr:uid="{00000000-0005-0000-0000-00008A6F0000}"/>
    <cellStyle name="Normal 4 2 8 4 5 2" xfId="54584" xr:uid="{00000000-0005-0000-0000-00008B6F0000}"/>
    <cellStyle name="Normal 4 2 8 4 6" xfId="19995" xr:uid="{00000000-0005-0000-0000-00008C6F0000}"/>
    <cellStyle name="Normal 4 2 8 4 7" xfId="19996" xr:uid="{00000000-0005-0000-0000-00008D6F0000}"/>
    <cellStyle name="Normal 4 2 8 4 8" xfId="19997" xr:uid="{00000000-0005-0000-0000-00008E6F0000}"/>
    <cellStyle name="Normal 4 2 8 5" xfId="19998" xr:uid="{00000000-0005-0000-0000-00008F6F0000}"/>
    <cellStyle name="Normal 4 2 8 5 2" xfId="19999" xr:uid="{00000000-0005-0000-0000-0000906F0000}"/>
    <cellStyle name="Normal 4 2 8 5 2 2" xfId="20000" xr:uid="{00000000-0005-0000-0000-0000916F0000}"/>
    <cellStyle name="Normal 4 2 8 5 2 2 2" xfId="54585" xr:uid="{00000000-0005-0000-0000-0000926F0000}"/>
    <cellStyle name="Normal 4 2 8 5 2 2 3" xfId="54586" xr:uid="{00000000-0005-0000-0000-0000936F0000}"/>
    <cellStyle name="Normal 4 2 8 5 2 3" xfId="20001" xr:uid="{00000000-0005-0000-0000-0000946F0000}"/>
    <cellStyle name="Normal 4 2 8 5 2 3 2" xfId="54587" xr:uid="{00000000-0005-0000-0000-0000956F0000}"/>
    <cellStyle name="Normal 4 2 8 5 2 4" xfId="20002" xr:uid="{00000000-0005-0000-0000-0000966F0000}"/>
    <cellStyle name="Normal 4 2 8 5 2 5" xfId="20003" xr:uid="{00000000-0005-0000-0000-0000976F0000}"/>
    <cellStyle name="Normal 4 2 8 5 2 6" xfId="20004" xr:uid="{00000000-0005-0000-0000-0000986F0000}"/>
    <cellStyle name="Normal 4 2 8 5 3" xfId="20005" xr:uid="{00000000-0005-0000-0000-0000996F0000}"/>
    <cellStyle name="Normal 4 2 8 5 3 2" xfId="54588" xr:uid="{00000000-0005-0000-0000-00009A6F0000}"/>
    <cellStyle name="Normal 4 2 8 5 3 3" xfId="54589" xr:uid="{00000000-0005-0000-0000-00009B6F0000}"/>
    <cellStyle name="Normal 4 2 8 5 4" xfId="20006" xr:uid="{00000000-0005-0000-0000-00009C6F0000}"/>
    <cellStyle name="Normal 4 2 8 5 4 2" xfId="54590" xr:uid="{00000000-0005-0000-0000-00009D6F0000}"/>
    <cellStyle name="Normal 4 2 8 5 5" xfId="20007" xr:uid="{00000000-0005-0000-0000-00009E6F0000}"/>
    <cellStyle name="Normal 4 2 8 5 6" xfId="20008" xr:uid="{00000000-0005-0000-0000-00009F6F0000}"/>
    <cellStyle name="Normal 4 2 8 5 7" xfId="20009" xr:uid="{00000000-0005-0000-0000-0000A06F0000}"/>
    <cellStyle name="Normal 4 2 8 6" xfId="20010" xr:uid="{00000000-0005-0000-0000-0000A16F0000}"/>
    <cellStyle name="Normal 4 2 8 6 2" xfId="20011" xr:uid="{00000000-0005-0000-0000-0000A26F0000}"/>
    <cellStyle name="Normal 4 2 8 6 2 2" xfId="54591" xr:uid="{00000000-0005-0000-0000-0000A36F0000}"/>
    <cellStyle name="Normal 4 2 8 6 2 3" xfId="54592" xr:uid="{00000000-0005-0000-0000-0000A46F0000}"/>
    <cellStyle name="Normal 4 2 8 6 3" xfId="20012" xr:uid="{00000000-0005-0000-0000-0000A56F0000}"/>
    <cellStyle name="Normal 4 2 8 6 3 2" xfId="54593" xr:uid="{00000000-0005-0000-0000-0000A66F0000}"/>
    <cellStyle name="Normal 4 2 8 6 4" xfId="20013" xr:uid="{00000000-0005-0000-0000-0000A76F0000}"/>
    <cellStyle name="Normal 4 2 8 6 5" xfId="20014" xr:uid="{00000000-0005-0000-0000-0000A86F0000}"/>
    <cellStyle name="Normal 4 2 8 6 6" xfId="20015" xr:uid="{00000000-0005-0000-0000-0000A96F0000}"/>
    <cellStyle name="Normal 4 2 8 7" xfId="20016" xr:uid="{00000000-0005-0000-0000-0000AA6F0000}"/>
    <cellStyle name="Normal 4 2 8 7 2" xfId="54594" xr:uid="{00000000-0005-0000-0000-0000AB6F0000}"/>
    <cellStyle name="Normal 4 2 8 8" xfId="20017" xr:uid="{00000000-0005-0000-0000-0000AC6F0000}"/>
    <cellStyle name="Normal 4 2 8 9" xfId="20018" xr:uid="{00000000-0005-0000-0000-0000AD6F0000}"/>
    <cellStyle name="Normal 4 2 9" xfId="20019" xr:uid="{00000000-0005-0000-0000-0000AE6F0000}"/>
    <cellStyle name="Normal 4 2 9 10" xfId="20020" xr:uid="{00000000-0005-0000-0000-0000AF6F0000}"/>
    <cellStyle name="Normal 4 2 9 11" xfId="20021" xr:uid="{00000000-0005-0000-0000-0000B06F0000}"/>
    <cellStyle name="Normal 4 2 9 12" xfId="20022" xr:uid="{00000000-0005-0000-0000-0000B16F0000}"/>
    <cellStyle name="Normal 4 2 9 13" xfId="20023" xr:uid="{00000000-0005-0000-0000-0000B26F0000}"/>
    <cellStyle name="Normal 4 2 9 14" xfId="20024" xr:uid="{00000000-0005-0000-0000-0000B36F0000}"/>
    <cellStyle name="Normal 4 2 9 15" xfId="20025" xr:uid="{00000000-0005-0000-0000-0000B46F0000}"/>
    <cellStyle name="Normal 4 2 9 16" xfId="20026" xr:uid="{00000000-0005-0000-0000-0000B56F0000}"/>
    <cellStyle name="Normal 4 2 9 2" xfId="20027" xr:uid="{00000000-0005-0000-0000-0000B66F0000}"/>
    <cellStyle name="Normal 4 2 9 2 10" xfId="20028" xr:uid="{00000000-0005-0000-0000-0000B76F0000}"/>
    <cellStyle name="Normal 4 2 9 2 11" xfId="20029" xr:uid="{00000000-0005-0000-0000-0000B86F0000}"/>
    <cellStyle name="Normal 4 2 9 2 12" xfId="20030" xr:uid="{00000000-0005-0000-0000-0000B96F0000}"/>
    <cellStyle name="Normal 4 2 9 2 13" xfId="20031" xr:uid="{00000000-0005-0000-0000-0000BA6F0000}"/>
    <cellStyle name="Normal 4 2 9 2 14" xfId="20032" xr:uid="{00000000-0005-0000-0000-0000BB6F0000}"/>
    <cellStyle name="Normal 4 2 9 2 2" xfId="20033" xr:uid="{00000000-0005-0000-0000-0000BC6F0000}"/>
    <cellStyle name="Normal 4 2 9 2 2 2" xfId="20034" xr:uid="{00000000-0005-0000-0000-0000BD6F0000}"/>
    <cellStyle name="Normal 4 2 9 2 2 2 2" xfId="20035" xr:uid="{00000000-0005-0000-0000-0000BE6F0000}"/>
    <cellStyle name="Normal 4 2 9 2 2 2 2 2" xfId="20036" xr:uid="{00000000-0005-0000-0000-0000BF6F0000}"/>
    <cellStyle name="Normal 4 2 9 2 2 2 2 2 2" xfId="54595" xr:uid="{00000000-0005-0000-0000-0000C06F0000}"/>
    <cellStyle name="Normal 4 2 9 2 2 2 2 2 3" xfId="54596" xr:uid="{00000000-0005-0000-0000-0000C16F0000}"/>
    <cellStyle name="Normal 4 2 9 2 2 2 2 3" xfId="20037" xr:uid="{00000000-0005-0000-0000-0000C26F0000}"/>
    <cellStyle name="Normal 4 2 9 2 2 2 2 3 2" xfId="54597" xr:uid="{00000000-0005-0000-0000-0000C36F0000}"/>
    <cellStyle name="Normal 4 2 9 2 2 2 2 4" xfId="20038" xr:uid="{00000000-0005-0000-0000-0000C46F0000}"/>
    <cellStyle name="Normal 4 2 9 2 2 2 2 5" xfId="20039" xr:uid="{00000000-0005-0000-0000-0000C56F0000}"/>
    <cellStyle name="Normal 4 2 9 2 2 2 2 6" xfId="20040" xr:uid="{00000000-0005-0000-0000-0000C66F0000}"/>
    <cellStyle name="Normal 4 2 9 2 2 2 3" xfId="20041" xr:uid="{00000000-0005-0000-0000-0000C76F0000}"/>
    <cellStyle name="Normal 4 2 9 2 2 2 3 2" xfId="54598" xr:uid="{00000000-0005-0000-0000-0000C86F0000}"/>
    <cellStyle name="Normal 4 2 9 2 2 2 3 3" xfId="54599" xr:uid="{00000000-0005-0000-0000-0000C96F0000}"/>
    <cellStyle name="Normal 4 2 9 2 2 2 4" xfId="20042" xr:uid="{00000000-0005-0000-0000-0000CA6F0000}"/>
    <cellStyle name="Normal 4 2 9 2 2 2 4 2" xfId="54600" xr:uid="{00000000-0005-0000-0000-0000CB6F0000}"/>
    <cellStyle name="Normal 4 2 9 2 2 2 5" xfId="20043" xr:uid="{00000000-0005-0000-0000-0000CC6F0000}"/>
    <cellStyle name="Normal 4 2 9 2 2 2 6" xfId="20044" xr:uid="{00000000-0005-0000-0000-0000CD6F0000}"/>
    <cellStyle name="Normal 4 2 9 2 2 2 7" xfId="20045" xr:uid="{00000000-0005-0000-0000-0000CE6F0000}"/>
    <cellStyle name="Normal 4 2 9 2 2 3" xfId="20046" xr:uid="{00000000-0005-0000-0000-0000CF6F0000}"/>
    <cellStyle name="Normal 4 2 9 2 2 3 2" xfId="20047" xr:uid="{00000000-0005-0000-0000-0000D06F0000}"/>
    <cellStyle name="Normal 4 2 9 2 2 3 2 2" xfId="54601" xr:uid="{00000000-0005-0000-0000-0000D16F0000}"/>
    <cellStyle name="Normal 4 2 9 2 2 3 2 3" xfId="54602" xr:uid="{00000000-0005-0000-0000-0000D26F0000}"/>
    <cellStyle name="Normal 4 2 9 2 2 3 3" xfId="20048" xr:uid="{00000000-0005-0000-0000-0000D36F0000}"/>
    <cellStyle name="Normal 4 2 9 2 2 3 3 2" xfId="54603" xr:uid="{00000000-0005-0000-0000-0000D46F0000}"/>
    <cellStyle name="Normal 4 2 9 2 2 3 4" xfId="20049" xr:uid="{00000000-0005-0000-0000-0000D56F0000}"/>
    <cellStyle name="Normal 4 2 9 2 2 3 5" xfId="20050" xr:uid="{00000000-0005-0000-0000-0000D66F0000}"/>
    <cellStyle name="Normal 4 2 9 2 2 3 6" xfId="20051" xr:uid="{00000000-0005-0000-0000-0000D76F0000}"/>
    <cellStyle name="Normal 4 2 9 2 2 4" xfId="20052" xr:uid="{00000000-0005-0000-0000-0000D86F0000}"/>
    <cellStyle name="Normal 4 2 9 2 2 4 2" xfId="54604" xr:uid="{00000000-0005-0000-0000-0000D96F0000}"/>
    <cellStyle name="Normal 4 2 9 2 2 4 3" xfId="54605" xr:uid="{00000000-0005-0000-0000-0000DA6F0000}"/>
    <cellStyle name="Normal 4 2 9 2 2 5" xfId="20053" xr:uid="{00000000-0005-0000-0000-0000DB6F0000}"/>
    <cellStyle name="Normal 4 2 9 2 2 5 2" xfId="54606" xr:uid="{00000000-0005-0000-0000-0000DC6F0000}"/>
    <cellStyle name="Normal 4 2 9 2 2 6" xfId="20054" xr:uid="{00000000-0005-0000-0000-0000DD6F0000}"/>
    <cellStyle name="Normal 4 2 9 2 2 7" xfId="20055" xr:uid="{00000000-0005-0000-0000-0000DE6F0000}"/>
    <cellStyle name="Normal 4 2 9 2 2 8" xfId="20056" xr:uid="{00000000-0005-0000-0000-0000DF6F0000}"/>
    <cellStyle name="Normal 4 2 9 2 2 9" xfId="20057" xr:uid="{00000000-0005-0000-0000-0000E06F0000}"/>
    <cellStyle name="Normal 4 2 9 2 3" xfId="20058" xr:uid="{00000000-0005-0000-0000-0000E16F0000}"/>
    <cellStyle name="Normal 4 2 9 2 3 2" xfId="20059" xr:uid="{00000000-0005-0000-0000-0000E26F0000}"/>
    <cellStyle name="Normal 4 2 9 2 3 2 2" xfId="20060" xr:uid="{00000000-0005-0000-0000-0000E36F0000}"/>
    <cellStyle name="Normal 4 2 9 2 3 2 2 2" xfId="20061" xr:uid="{00000000-0005-0000-0000-0000E46F0000}"/>
    <cellStyle name="Normal 4 2 9 2 3 2 2 2 2" xfId="54607" xr:uid="{00000000-0005-0000-0000-0000E56F0000}"/>
    <cellStyle name="Normal 4 2 9 2 3 2 2 2 3" xfId="54608" xr:uid="{00000000-0005-0000-0000-0000E66F0000}"/>
    <cellStyle name="Normal 4 2 9 2 3 2 2 3" xfId="20062" xr:uid="{00000000-0005-0000-0000-0000E76F0000}"/>
    <cellStyle name="Normal 4 2 9 2 3 2 2 3 2" xfId="54609" xr:uid="{00000000-0005-0000-0000-0000E86F0000}"/>
    <cellStyle name="Normal 4 2 9 2 3 2 2 4" xfId="20063" xr:uid="{00000000-0005-0000-0000-0000E96F0000}"/>
    <cellStyle name="Normal 4 2 9 2 3 2 2 5" xfId="20064" xr:uid="{00000000-0005-0000-0000-0000EA6F0000}"/>
    <cellStyle name="Normal 4 2 9 2 3 2 2 6" xfId="20065" xr:uid="{00000000-0005-0000-0000-0000EB6F0000}"/>
    <cellStyle name="Normal 4 2 9 2 3 2 3" xfId="20066" xr:uid="{00000000-0005-0000-0000-0000EC6F0000}"/>
    <cellStyle name="Normal 4 2 9 2 3 2 3 2" xfId="54610" xr:uid="{00000000-0005-0000-0000-0000ED6F0000}"/>
    <cellStyle name="Normal 4 2 9 2 3 2 3 3" xfId="54611" xr:uid="{00000000-0005-0000-0000-0000EE6F0000}"/>
    <cellStyle name="Normal 4 2 9 2 3 2 4" xfId="20067" xr:uid="{00000000-0005-0000-0000-0000EF6F0000}"/>
    <cellStyle name="Normal 4 2 9 2 3 2 4 2" xfId="54612" xr:uid="{00000000-0005-0000-0000-0000F06F0000}"/>
    <cellStyle name="Normal 4 2 9 2 3 2 5" xfId="20068" xr:uid="{00000000-0005-0000-0000-0000F16F0000}"/>
    <cellStyle name="Normal 4 2 9 2 3 2 6" xfId="20069" xr:uid="{00000000-0005-0000-0000-0000F26F0000}"/>
    <cellStyle name="Normal 4 2 9 2 3 2 7" xfId="20070" xr:uid="{00000000-0005-0000-0000-0000F36F0000}"/>
    <cellStyle name="Normal 4 2 9 2 3 3" xfId="20071" xr:uid="{00000000-0005-0000-0000-0000F46F0000}"/>
    <cellStyle name="Normal 4 2 9 2 3 3 2" xfId="20072" xr:uid="{00000000-0005-0000-0000-0000F56F0000}"/>
    <cellStyle name="Normal 4 2 9 2 3 3 2 2" xfId="54613" xr:uid="{00000000-0005-0000-0000-0000F66F0000}"/>
    <cellStyle name="Normal 4 2 9 2 3 3 2 3" xfId="54614" xr:uid="{00000000-0005-0000-0000-0000F76F0000}"/>
    <cellStyle name="Normal 4 2 9 2 3 3 3" xfId="20073" xr:uid="{00000000-0005-0000-0000-0000F86F0000}"/>
    <cellStyle name="Normal 4 2 9 2 3 3 3 2" xfId="54615" xr:uid="{00000000-0005-0000-0000-0000F96F0000}"/>
    <cellStyle name="Normal 4 2 9 2 3 3 4" xfId="20074" xr:uid="{00000000-0005-0000-0000-0000FA6F0000}"/>
    <cellStyle name="Normal 4 2 9 2 3 3 5" xfId="20075" xr:uid="{00000000-0005-0000-0000-0000FB6F0000}"/>
    <cellStyle name="Normal 4 2 9 2 3 3 6" xfId="20076" xr:uid="{00000000-0005-0000-0000-0000FC6F0000}"/>
    <cellStyle name="Normal 4 2 9 2 3 4" xfId="20077" xr:uid="{00000000-0005-0000-0000-0000FD6F0000}"/>
    <cellStyle name="Normal 4 2 9 2 3 4 2" xfId="54616" xr:uid="{00000000-0005-0000-0000-0000FE6F0000}"/>
    <cellStyle name="Normal 4 2 9 2 3 4 3" xfId="54617" xr:uid="{00000000-0005-0000-0000-0000FF6F0000}"/>
    <cellStyle name="Normal 4 2 9 2 3 5" xfId="20078" xr:uid="{00000000-0005-0000-0000-000000700000}"/>
    <cellStyle name="Normal 4 2 9 2 3 5 2" xfId="54618" xr:uid="{00000000-0005-0000-0000-000001700000}"/>
    <cellStyle name="Normal 4 2 9 2 3 6" xfId="20079" xr:uid="{00000000-0005-0000-0000-000002700000}"/>
    <cellStyle name="Normal 4 2 9 2 3 7" xfId="20080" xr:uid="{00000000-0005-0000-0000-000003700000}"/>
    <cellStyle name="Normal 4 2 9 2 3 8" xfId="20081" xr:uid="{00000000-0005-0000-0000-000004700000}"/>
    <cellStyle name="Normal 4 2 9 2 4" xfId="20082" xr:uid="{00000000-0005-0000-0000-000005700000}"/>
    <cellStyle name="Normal 4 2 9 2 4 2" xfId="20083" xr:uid="{00000000-0005-0000-0000-000006700000}"/>
    <cellStyle name="Normal 4 2 9 2 4 2 2" xfId="20084" xr:uid="{00000000-0005-0000-0000-000007700000}"/>
    <cellStyle name="Normal 4 2 9 2 4 2 2 2" xfId="54619" xr:uid="{00000000-0005-0000-0000-000008700000}"/>
    <cellStyle name="Normal 4 2 9 2 4 2 2 3" xfId="54620" xr:uid="{00000000-0005-0000-0000-000009700000}"/>
    <cellStyle name="Normal 4 2 9 2 4 2 3" xfId="20085" xr:uid="{00000000-0005-0000-0000-00000A700000}"/>
    <cellStyle name="Normal 4 2 9 2 4 2 3 2" xfId="54621" xr:uid="{00000000-0005-0000-0000-00000B700000}"/>
    <cellStyle name="Normal 4 2 9 2 4 2 4" xfId="20086" xr:uid="{00000000-0005-0000-0000-00000C700000}"/>
    <cellStyle name="Normal 4 2 9 2 4 2 5" xfId="20087" xr:uid="{00000000-0005-0000-0000-00000D700000}"/>
    <cellStyle name="Normal 4 2 9 2 4 2 6" xfId="20088" xr:uid="{00000000-0005-0000-0000-00000E700000}"/>
    <cellStyle name="Normal 4 2 9 2 4 3" xfId="20089" xr:uid="{00000000-0005-0000-0000-00000F700000}"/>
    <cellStyle name="Normal 4 2 9 2 4 3 2" xfId="54622" xr:uid="{00000000-0005-0000-0000-000010700000}"/>
    <cellStyle name="Normal 4 2 9 2 4 3 3" xfId="54623" xr:uid="{00000000-0005-0000-0000-000011700000}"/>
    <cellStyle name="Normal 4 2 9 2 4 4" xfId="20090" xr:uid="{00000000-0005-0000-0000-000012700000}"/>
    <cellStyle name="Normal 4 2 9 2 4 4 2" xfId="54624" xr:uid="{00000000-0005-0000-0000-000013700000}"/>
    <cellStyle name="Normal 4 2 9 2 4 5" xfId="20091" xr:uid="{00000000-0005-0000-0000-000014700000}"/>
    <cellStyle name="Normal 4 2 9 2 4 6" xfId="20092" xr:uid="{00000000-0005-0000-0000-000015700000}"/>
    <cellStyle name="Normal 4 2 9 2 4 7" xfId="20093" xr:uid="{00000000-0005-0000-0000-000016700000}"/>
    <cellStyle name="Normal 4 2 9 2 5" xfId="20094" xr:uid="{00000000-0005-0000-0000-000017700000}"/>
    <cellStyle name="Normal 4 2 9 2 5 2" xfId="20095" xr:uid="{00000000-0005-0000-0000-000018700000}"/>
    <cellStyle name="Normal 4 2 9 2 5 2 2" xfId="54625" xr:uid="{00000000-0005-0000-0000-000019700000}"/>
    <cellStyle name="Normal 4 2 9 2 5 2 3" xfId="54626" xr:uid="{00000000-0005-0000-0000-00001A700000}"/>
    <cellStyle name="Normal 4 2 9 2 5 3" xfId="20096" xr:uid="{00000000-0005-0000-0000-00001B700000}"/>
    <cellStyle name="Normal 4 2 9 2 5 3 2" xfId="54627" xr:uid="{00000000-0005-0000-0000-00001C700000}"/>
    <cellStyle name="Normal 4 2 9 2 5 4" xfId="20097" xr:uid="{00000000-0005-0000-0000-00001D700000}"/>
    <cellStyle name="Normal 4 2 9 2 5 5" xfId="20098" xr:uid="{00000000-0005-0000-0000-00001E700000}"/>
    <cellStyle name="Normal 4 2 9 2 5 6" xfId="20099" xr:uid="{00000000-0005-0000-0000-00001F700000}"/>
    <cellStyle name="Normal 4 2 9 2 6" xfId="20100" xr:uid="{00000000-0005-0000-0000-000020700000}"/>
    <cellStyle name="Normal 4 2 9 2 6 2" xfId="54628" xr:uid="{00000000-0005-0000-0000-000021700000}"/>
    <cellStyle name="Normal 4 2 9 2 6 3" xfId="54629" xr:uid="{00000000-0005-0000-0000-000022700000}"/>
    <cellStyle name="Normal 4 2 9 2 7" xfId="20101" xr:uid="{00000000-0005-0000-0000-000023700000}"/>
    <cellStyle name="Normal 4 2 9 2 7 2" xfId="54630" xr:uid="{00000000-0005-0000-0000-000024700000}"/>
    <cellStyle name="Normal 4 2 9 2 8" xfId="20102" xr:uid="{00000000-0005-0000-0000-000025700000}"/>
    <cellStyle name="Normal 4 2 9 2 9" xfId="20103" xr:uid="{00000000-0005-0000-0000-000026700000}"/>
    <cellStyle name="Normal 4 2 9 3" xfId="20104" xr:uid="{00000000-0005-0000-0000-000027700000}"/>
    <cellStyle name="Normal 4 2 9 3 2" xfId="20105" xr:uid="{00000000-0005-0000-0000-000028700000}"/>
    <cellStyle name="Normal 4 2 9 3 2 2" xfId="20106" xr:uid="{00000000-0005-0000-0000-000029700000}"/>
    <cellStyle name="Normal 4 2 9 3 2 2 2" xfId="20107" xr:uid="{00000000-0005-0000-0000-00002A700000}"/>
    <cellStyle name="Normal 4 2 9 3 2 2 2 2" xfId="54631" xr:uid="{00000000-0005-0000-0000-00002B700000}"/>
    <cellStyle name="Normal 4 2 9 3 2 2 2 3" xfId="54632" xr:uid="{00000000-0005-0000-0000-00002C700000}"/>
    <cellStyle name="Normal 4 2 9 3 2 2 3" xfId="20108" xr:uid="{00000000-0005-0000-0000-00002D700000}"/>
    <cellStyle name="Normal 4 2 9 3 2 2 3 2" xfId="54633" xr:uid="{00000000-0005-0000-0000-00002E700000}"/>
    <cellStyle name="Normal 4 2 9 3 2 2 4" xfId="20109" xr:uid="{00000000-0005-0000-0000-00002F700000}"/>
    <cellStyle name="Normal 4 2 9 3 2 2 5" xfId="20110" xr:uid="{00000000-0005-0000-0000-000030700000}"/>
    <cellStyle name="Normal 4 2 9 3 2 2 6" xfId="20111" xr:uid="{00000000-0005-0000-0000-000031700000}"/>
    <cellStyle name="Normal 4 2 9 3 2 3" xfId="20112" xr:uid="{00000000-0005-0000-0000-000032700000}"/>
    <cellStyle name="Normal 4 2 9 3 2 3 2" xfId="54634" xr:uid="{00000000-0005-0000-0000-000033700000}"/>
    <cellStyle name="Normal 4 2 9 3 2 3 3" xfId="54635" xr:uid="{00000000-0005-0000-0000-000034700000}"/>
    <cellStyle name="Normal 4 2 9 3 2 4" xfId="20113" xr:uid="{00000000-0005-0000-0000-000035700000}"/>
    <cellStyle name="Normal 4 2 9 3 2 4 2" xfId="54636" xr:uid="{00000000-0005-0000-0000-000036700000}"/>
    <cellStyle name="Normal 4 2 9 3 2 5" xfId="20114" xr:uid="{00000000-0005-0000-0000-000037700000}"/>
    <cellStyle name="Normal 4 2 9 3 2 6" xfId="20115" xr:uid="{00000000-0005-0000-0000-000038700000}"/>
    <cellStyle name="Normal 4 2 9 3 2 7" xfId="20116" xr:uid="{00000000-0005-0000-0000-000039700000}"/>
    <cellStyle name="Normal 4 2 9 3 3" xfId="20117" xr:uid="{00000000-0005-0000-0000-00003A700000}"/>
    <cellStyle name="Normal 4 2 9 3 3 2" xfId="20118" xr:uid="{00000000-0005-0000-0000-00003B700000}"/>
    <cellStyle name="Normal 4 2 9 3 3 2 2" xfId="54637" xr:uid="{00000000-0005-0000-0000-00003C700000}"/>
    <cellStyle name="Normal 4 2 9 3 3 2 3" xfId="54638" xr:uid="{00000000-0005-0000-0000-00003D700000}"/>
    <cellStyle name="Normal 4 2 9 3 3 3" xfId="20119" xr:uid="{00000000-0005-0000-0000-00003E700000}"/>
    <cellStyle name="Normal 4 2 9 3 3 3 2" xfId="54639" xr:uid="{00000000-0005-0000-0000-00003F700000}"/>
    <cellStyle name="Normal 4 2 9 3 3 4" xfId="20120" xr:uid="{00000000-0005-0000-0000-000040700000}"/>
    <cellStyle name="Normal 4 2 9 3 3 5" xfId="20121" xr:uid="{00000000-0005-0000-0000-000041700000}"/>
    <cellStyle name="Normal 4 2 9 3 3 6" xfId="20122" xr:uid="{00000000-0005-0000-0000-000042700000}"/>
    <cellStyle name="Normal 4 2 9 3 4" xfId="20123" xr:uid="{00000000-0005-0000-0000-000043700000}"/>
    <cellStyle name="Normal 4 2 9 3 4 2" xfId="54640" xr:uid="{00000000-0005-0000-0000-000044700000}"/>
    <cellStyle name="Normal 4 2 9 3 4 3" xfId="54641" xr:uid="{00000000-0005-0000-0000-000045700000}"/>
    <cellStyle name="Normal 4 2 9 3 5" xfId="20124" xr:uid="{00000000-0005-0000-0000-000046700000}"/>
    <cellStyle name="Normal 4 2 9 3 5 2" xfId="54642" xr:uid="{00000000-0005-0000-0000-000047700000}"/>
    <cellStyle name="Normal 4 2 9 3 6" xfId="20125" xr:uid="{00000000-0005-0000-0000-000048700000}"/>
    <cellStyle name="Normal 4 2 9 3 7" xfId="20126" xr:uid="{00000000-0005-0000-0000-000049700000}"/>
    <cellStyle name="Normal 4 2 9 3 8" xfId="20127" xr:uid="{00000000-0005-0000-0000-00004A700000}"/>
    <cellStyle name="Normal 4 2 9 3 9" xfId="20128" xr:uid="{00000000-0005-0000-0000-00004B700000}"/>
    <cellStyle name="Normal 4 2 9 4" xfId="20129" xr:uid="{00000000-0005-0000-0000-00004C700000}"/>
    <cellStyle name="Normal 4 2 9 4 2" xfId="20130" xr:uid="{00000000-0005-0000-0000-00004D700000}"/>
    <cellStyle name="Normal 4 2 9 4 2 2" xfId="20131" xr:uid="{00000000-0005-0000-0000-00004E700000}"/>
    <cellStyle name="Normal 4 2 9 4 2 2 2" xfId="20132" xr:uid="{00000000-0005-0000-0000-00004F700000}"/>
    <cellStyle name="Normal 4 2 9 4 2 2 2 2" xfId="54643" xr:uid="{00000000-0005-0000-0000-000050700000}"/>
    <cellStyle name="Normal 4 2 9 4 2 2 2 3" xfId="54644" xr:uid="{00000000-0005-0000-0000-000051700000}"/>
    <cellStyle name="Normal 4 2 9 4 2 2 3" xfId="20133" xr:uid="{00000000-0005-0000-0000-000052700000}"/>
    <cellStyle name="Normal 4 2 9 4 2 2 3 2" xfId="54645" xr:uid="{00000000-0005-0000-0000-000053700000}"/>
    <cellStyle name="Normal 4 2 9 4 2 2 4" xfId="20134" xr:uid="{00000000-0005-0000-0000-000054700000}"/>
    <cellStyle name="Normal 4 2 9 4 2 2 5" xfId="20135" xr:uid="{00000000-0005-0000-0000-000055700000}"/>
    <cellStyle name="Normal 4 2 9 4 2 2 6" xfId="20136" xr:uid="{00000000-0005-0000-0000-000056700000}"/>
    <cellStyle name="Normal 4 2 9 4 2 3" xfId="20137" xr:uid="{00000000-0005-0000-0000-000057700000}"/>
    <cellStyle name="Normal 4 2 9 4 2 3 2" xfId="54646" xr:uid="{00000000-0005-0000-0000-000058700000}"/>
    <cellStyle name="Normal 4 2 9 4 2 3 3" xfId="54647" xr:uid="{00000000-0005-0000-0000-000059700000}"/>
    <cellStyle name="Normal 4 2 9 4 2 4" xfId="20138" xr:uid="{00000000-0005-0000-0000-00005A700000}"/>
    <cellStyle name="Normal 4 2 9 4 2 4 2" xfId="54648" xr:uid="{00000000-0005-0000-0000-00005B700000}"/>
    <cellStyle name="Normal 4 2 9 4 2 5" xfId="20139" xr:uid="{00000000-0005-0000-0000-00005C700000}"/>
    <cellStyle name="Normal 4 2 9 4 2 6" xfId="20140" xr:uid="{00000000-0005-0000-0000-00005D700000}"/>
    <cellStyle name="Normal 4 2 9 4 2 7" xfId="20141" xr:uid="{00000000-0005-0000-0000-00005E700000}"/>
    <cellStyle name="Normal 4 2 9 4 3" xfId="20142" xr:uid="{00000000-0005-0000-0000-00005F700000}"/>
    <cellStyle name="Normal 4 2 9 4 3 2" xfId="20143" xr:uid="{00000000-0005-0000-0000-000060700000}"/>
    <cellStyle name="Normal 4 2 9 4 3 2 2" xfId="54649" xr:uid="{00000000-0005-0000-0000-000061700000}"/>
    <cellStyle name="Normal 4 2 9 4 3 2 3" xfId="54650" xr:uid="{00000000-0005-0000-0000-000062700000}"/>
    <cellStyle name="Normal 4 2 9 4 3 3" xfId="20144" xr:uid="{00000000-0005-0000-0000-000063700000}"/>
    <cellStyle name="Normal 4 2 9 4 3 3 2" xfId="54651" xr:uid="{00000000-0005-0000-0000-000064700000}"/>
    <cellStyle name="Normal 4 2 9 4 3 4" xfId="20145" xr:uid="{00000000-0005-0000-0000-000065700000}"/>
    <cellStyle name="Normal 4 2 9 4 3 5" xfId="20146" xr:uid="{00000000-0005-0000-0000-000066700000}"/>
    <cellStyle name="Normal 4 2 9 4 3 6" xfId="20147" xr:uid="{00000000-0005-0000-0000-000067700000}"/>
    <cellStyle name="Normal 4 2 9 4 4" xfId="20148" xr:uid="{00000000-0005-0000-0000-000068700000}"/>
    <cellStyle name="Normal 4 2 9 4 4 2" xfId="54652" xr:uid="{00000000-0005-0000-0000-000069700000}"/>
    <cellStyle name="Normal 4 2 9 4 4 3" xfId="54653" xr:uid="{00000000-0005-0000-0000-00006A700000}"/>
    <cellStyle name="Normal 4 2 9 4 5" xfId="20149" xr:uid="{00000000-0005-0000-0000-00006B700000}"/>
    <cellStyle name="Normal 4 2 9 4 5 2" xfId="54654" xr:uid="{00000000-0005-0000-0000-00006C700000}"/>
    <cellStyle name="Normal 4 2 9 4 6" xfId="20150" xr:uid="{00000000-0005-0000-0000-00006D700000}"/>
    <cellStyle name="Normal 4 2 9 4 7" xfId="20151" xr:uid="{00000000-0005-0000-0000-00006E700000}"/>
    <cellStyle name="Normal 4 2 9 4 8" xfId="20152" xr:uid="{00000000-0005-0000-0000-00006F700000}"/>
    <cellStyle name="Normal 4 2 9 5" xfId="20153" xr:uid="{00000000-0005-0000-0000-000070700000}"/>
    <cellStyle name="Normal 4 2 9 5 2" xfId="20154" xr:uid="{00000000-0005-0000-0000-000071700000}"/>
    <cellStyle name="Normal 4 2 9 5 2 2" xfId="20155" xr:uid="{00000000-0005-0000-0000-000072700000}"/>
    <cellStyle name="Normal 4 2 9 5 2 2 2" xfId="54655" xr:uid="{00000000-0005-0000-0000-000073700000}"/>
    <cellStyle name="Normal 4 2 9 5 2 2 3" xfId="54656" xr:uid="{00000000-0005-0000-0000-000074700000}"/>
    <cellStyle name="Normal 4 2 9 5 2 3" xfId="20156" xr:uid="{00000000-0005-0000-0000-000075700000}"/>
    <cellStyle name="Normal 4 2 9 5 2 3 2" xfId="54657" xr:uid="{00000000-0005-0000-0000-000076700000}"/>
    <cellStyle name="Normal 4 2 9 5 2 4" xfId="20157" xr:uid="{00000000-0005-0000-0000-000077700000}"/>
    <cellStyle name="Normal 4 2 9 5 2 5" xfId="20158" xr:uid="{00000000-0005-0000-0000-000078700000}"/>
    <cellStyle name="Normal 4 2 9 5 2 6" xfId="20159" xr:uid="{00000000-0005-0000-0000-000079700000}"/>
    <cellStyle name="Normal 4 2 9 5 3" xfId="20160" xr:uid="{00000000-0005-0000-0000-00007A700000}"/>
    <cellStyle name="Normal 4 2 9 5 3 2" xfId="54658" xr:uid="{00000000-0005-0000-0000-00007B700000}"/>
    <cellStyle name="Normal 4 2 9 5 3 3" xfId="54659" xr:uid="{00000000-0005-0000-0000-00007C700000}"/>
    <cellStyle name="Normal 4 2 9 5 4" xfId="20161" xr:uid="{00000000-0005-0000-0000-00007D700000}"/>
    <cellStyle name="Normal 4 2 9 5 4 2" xfId="54660" xr:uid="{00000000-0005-0000-0000-00007E700000}"/>
    <cellStyle name="Normal 4 2 9 5 5" xfId="20162" xr:uid="{00000000-0005-0000-0000-00007F700000}"/>
    <cellStyle name="Normal 4 2 9 5 6" xfId="20163" xr:uid="{00000000-0005-0000-0000-000080700000}"/>
    <cellStyle name="Normal 4 2 9 5 7" xfId="20164" xr:uid="{00000000-0005-0000-0000-000081700000}"/>
    <cellStyle name="Normal 4 2 9 6" xfId="20165" xr:uid="{00000000-0005-0000-0000-000082700000}"/>
    <cellStyle name="Normal 4 2 9 6 2" xfId="20166" xr:uid="{00000000-0005-0000-0000-000083700000}"/>
    <cellStyle name="Normal 4 2 9 6 2 2" xfId="54661" xr:uid="{00000000-0005-0000-0000-000084700000}"/>
    <cellStyle name="Normal 4 2 9 6 2 3" xfId="54662" xr:uid="{00000000-0005-0000-0000-000085700000}"/>
    <cellStyle name="Normal 4 2 9 6 3" xfId="20167" xr:uid="{00000000-0005-0000-0000-000086700000}"/>
    <cellStyle name="Normal 4 2 9 6 3 2" xfId="54663" xr:uid="{00000000-0005-0000-0000-000087700000}"/>
    <cellStyle name="Normal 4 2 9 6 4" xfId="20168" xr:uid="{00000000-0005-0000-0000-000088700000}"/>
    <cellStyle name="Normal 4 2 9 6 5" xfId="20169" xr:uid="{00000000-0005-0000-0000-000089700000}"/>
    <cellStyle name="Normal 4 2 9 6 6" xfId="20170" xr:uid="{00000000-0005-0000-0000-00008A700000}"/>
    <cellStyle name="Normal 4 2 9 7" xfId="20171" xr:uid="{00000000-0005-0000-0000-00008B700000}"/>
    <cellStyle name="Normal 4 2 9 7 2" xfId="54664" xr:uid="{00000000-0005-0000-0000-00008C700000}"/>
    <cellStyle name="Normal 4 2 9 8" xfId="20172" xr:uid="{00000000-0005-0000-0000-00008D700000}"/>
    <cellStyle name="Normal 4 2 9 9" xfId="20173" xr:uid="{00000000-0005-0000-0000-00008E700000}"/>
    <cellStyle name="Normal 4 2_Sheet1" xfId="20174" xr:uid="{00000000-0005-0000-0000-00008F700000}"/>
    <cellStyle name="Normal 4 20" xfId="20175" xr:uid="{00000000-0005-0000-0000-000090700000}"/>
    <cellStyle name="Normal 4 20 2" xfId="54665" xr:uid="{00000000-0005-0000-0000-000091700000}"/>
    <cellStyle name="Normal 4 20 3" xfId="54666" xr:uid="{00000000-0005-0000-0000-000092700000}"/>
    <cellStyle name="Normal 4 21" xfId="20176" xr:uid="{00000000-0005-0000-0000-000093700000}"/>
    <cellStyle name="Normal 4 21 2" xfId="54667" xr:uid="{00000000-0005-0000-0000-000094700000}"/>
    <cellStyle name="Normal 4 22" xfId="20177" xr:uid="{00000000-0005-0000-0000-000095700000}"/>
    <cellStyle name="Normal 4 22 2" xfId="54668" xr:uid="{00000000-0005-0000-0000-000096700000}"/>
    <cellStyle name="Normal 4 23" xfId="20178" xr:uid="{00000000-0005-0000-0000-000097700000}"/>
    <cellStyle name="Normal 4 24" xfId="20179" xr:uid="{00000000-0005-0000-0000-000098700000}"/>
    <cellStyle name="Normal 4 25" xfId="20180" xr:uid="{00000000-0005-0000-0000-000099700000}"/>
    <cellStyle name="Normal 4 26" xfId="20181" xr:uid="{00000000-0005-0000-0000-00009A700000}"/>
    <cellStyle name="Normal 4 27" xfId="20182" xr:uid="{00000000-0005-0000-0000-00009B700000}"/>
    <cellStyle name="Normal 4 28" xfId="20183" xr:uid="{00000000-0005-0000-0000-00009C700000}"/>
    <cellStyle name="Normal 4 3" xfId="20184" xr:uid="{00000000-0005-0000-0000-00009D700000}"/>
    <cellStyle name="Normal 4 3 2" xfId="20185" xr:uid="{00000000-0005-0000-0000-00009E700000}"/>
    <cellStyle name="Normal 4 3 2 10" xfId="20186" xr:uid="{00000000-0005-0000-0000-00009F700000}"/>
    <cellStyle name="Normal 4 3 2 10 2" xfId="20187" xr:uid="{00000000-0005-0000-0000-0000A0700000}"/>
    <cellStyle name="Normal 4 3 2 10 2 2" xfId="20188" xr:uid="{00000000-0005-0000-0000-0000A1700000}"/>
    <cellStyle name="Normal 4 3 2 10 2 2 2" xfId="20189" xr:uid="{00000000-0005-0000-0000-0000A2700000}"/>
    <cellStyle name="Normal 4 3 2 10 2 2 2 2" xfId="20190" xr:uid="{00000000-0005-0000-0000-0000A3700000}"/>
    <cellStyle name="Normal 4 3 2 10 2 2 3" xfId="20191" xr:uid="{00000000-0005-0000-0000-0000A4700000}"/>
    <cellStyle name="Normal 4 3 2 10 2 3" xfId="20192" xr:uid="{00000000-0005-0000-0000-0000A5700000}"/>
    <cellStyle name="Normal 4 3 2 10 2 3 2" xfId="20193" xr:uid="{00000000-0005-0000-0000-0000A6700000}"/>
    <cellStyle name="Normal 4 3 2 10 2 4" xfId="20194" xr:uid="{00000000-0005-0000-0000-0000A7700000}"/>
    <cellStyle name="Normal 4 3 2 10 3" xfId="20195" xr:uid="{00000000-0005-0000-0000-0000A8700000}"/>
    <cellStyle name="Normal 4 3 2 10 3 2" xfId="20196" xr:uid="{00000000-0005-0000-0000-0000A9700000}"/>
    <cellStyle name="Normal 4 3 2 10 3 2 2" xfId="20197" xr:uid="{00000000-0005-0000-0000-0000AA700000}"/>
    <cellStyle name="Normal 4 3 2 10 3 3" xfId="20198" xr:uid="{00000000-0005-0000-0000-0000AB700000}"/>
    <cellStyle name="Normal 4 3 2 10 4" xfId="20199" xr:uid="{00000000-0005-0000-0000-0000AC700000}"/>
    <cellStyle name="Normal 4 3 2 10 4 2" xfId="20200" xr:uid="{00000000-0005-0000-0000-0000AD700000}"/>
    <cellStyle name="Normal 4 3 2 10 5" xfId="20201" xr:uid="{00000000-0005-0000-0000-0000AE700000}"/>
    <cellStyle name="Normal 4 3 2 11" xfId="20202" xr:uid="{00000000-0005-0000-0000-0000AF700000}"/>
    <cellStyle name="Normal 4 3 2 11 2" xfId="20203" xr:uid="{00000000-0005-0000-0000-0000B0700000}"/>
    <cellStyle name="Normal 4 3 2 11 2 2" xfId="20204" xr:uid="{00000000-0005-0000-0000-0000B1700000}"/>
    <cellStyle name="Normal 4 3 2 11 2 2 2" xfId="20205" xr:uid="{00000000-0005-0000-0000-0000B2700000}"/>
    <cellStyle name="Normal 4 3 2 11 2 2 2 2" xfId="20206" xr:uid="{00000000-0005-0000-0000-0000B3700000}"/>
    <cellStyle name="Normal 4 3 2 11 2 2 3" xfId="20207" xr:uid="{00000000-0005-0000-0000-0000B4700000}"/>
    <cellStyle name="Normal 4 3 2 11 2 3" xfId="20208" xr:uid="{00000000-0005-0000-0000-0000B5700000}"/>
    <cellStyle name="Normal 4 3 2 11 2 3 2" xfId="20209" xr:uid="{00000000-0005-0000-0000-0000B6700000}"/>
    <cellStyle name="Normal 4 3 2 11 2 4" xfId="20210" xr:uid="{00000000-0005-0000-0000-0000B7700000}"/>
    <cellStyle name="Normal 4 3 2 11 3" xfId="20211" xr:uid="{00000000-0005-0000-0000-0000B8700000}"/>
    <cellStyle name="Normal 4 3 2 11 3 2" xfId="20212" xr:uid="{00000000-0005-0000-0000-0000B9700000}"/>
    <cellStyle name="Normal 4 3 2 11 3 2 2" xfId="20213" xr:uid="{00000000-0005-0000-0000-0000BA700000}"/>
    <cellStyle name="Normal 4 3 2 11 3 3" xfId="20214" xr:uid="{00000000-0005-0000-0000-0000BB700000}"/>
    <cellStyle name="Normal 4 3 2 11 4" xfId="20215" xr:uid="{00000000-0005-0000-0000-0000BC700000}"/>
    <cellStyle name="Normal 4 3 2 11 4 2" xfId="20216" xr:uid="{00000000-0005-0000-0000-0000BD700000}"/>
    <cellStyle name="Normal 4 3 2 11 5" xfId="20217" xr:uid="{00000000-0005-0000-0000-0000BE700000}"/>
    <cellStyle name="Normal 4 3 2 12" xfId="20218" xr:uid="{00000000-0005-0000-0000-0000BF700000}"/>
    <cellStyle name="Normal 4 3 2 12 2" xfId="20219" xr:uid="{00000000-0005-0000-0000-0000C0700000}"/>
    <cellStyle name="Normal 4 3 2 12 2 2" xfId="20220" xr:uid="{00000000-0005-0000-0000-0000C1700000}"/>
    <cellStyle name="Normal 4 3 2 12 2 2 2" xfId="20221" xr:uid="{00000000-0005-0000-0000-0000C2700000}"/>
    <cellStyle name="Normal 4 3 2 12 2 3" xfId="20222" xr:uid="{00000000-0005-0000-0000-0000C3700000}"/>
    <cellStyle name="Normal 4 3 2 12 3" xfId="20223" xr:uid="{00000000-0005-0000-0000-0000C4700000}"/>
    <cellStyle name="Normal 4 3 2 12 3 2" xfId="20224" xr:uid="{00000000-0005-0000-0000-0000C5700000}"/>
    <cellStyle name="Normal 4 3 2 12 3 2 2" xfId="20225" xr:uid="{00000000-0005-0000-0000-0000C6700000}"/>
    <cellStyle name="Normal 4 3 2 12 3 3" xfId="20226" xr:uid="{00000000-0005-0000-0000-0000C7700000}"/>
    <cellStyle name="Normal 4 3 2 12 4" xfId="20227" xr:uid="{00000000-0005-0000-0000-0000C8700000}"/>
    <cellStyle name="Normal 4 3 2 12 4 2" xfId="20228" xr:uid="{00000000-0005-0000-0000-0000C9700000}"/>
    <cellStyle name="Normal 4 3 2 12 5" xfId="20229" xr:uid="{00000000-0005-0000-0000-0000CA700000}"/>
    <cellStyle name="Normal 4 3 2 13" xfId="20230" xr:uid="{00000000-0005-0000-0000-0000CB700000}"/>
    <cellStyle name="Normal 4 3 2 13 2" xfId="20231" xr:uid="{00000000-0005-0000-0000-0000CC700000}"/>
    <cellStyle name="Normal 4 3 2 13 2 2" xfId="20232" xr:uid="{00000000-0005-0000-0000-0000CD700000}"/>
    <cellStyle name="Normal 4 3 2 13 2 2 2" xfId="20233" xr:uid="{00000000-0005-0000-0000-0000CE700000}"/>
    <cellStyle name="Normal 4 3 2 13 2 3" xfId="20234" xr:uid="{00000000-0005-0000-0000-0000CF700000}"/>
    <cellStyle name="Normal 4 3 2 13 3" xfId="20235" xr:uid="{00000000-0005-0000-0000-0000D0700000}"/>
    <cellStyle name="Normal 4 3 2 13 3 2" xfId="20236" xr:uid="{00000000-0005-0000-0000-0000D1700000}"/>
    <cellStyle name="Normal 4 3 2 13 4" xfId="20237" xr:uid="{00000000-0005-0000-0000-0000D2700000}"/>
    <cellStyle name="Normal 4 3 2 14" xfId="20238" xr:uid="{00000000-0005-0000-0000-0000D3700000}"/>
    <cellStyle name="Normal 4 3 2 14 2" xfId="20239" xr:uid="{00000000-0005-0000-0000-0000D4700000}"/>
    <cellStyle name="Normal 4 3 2 14 2 2" xfId="20240" xr:uid="{00000000-0005-0000-0000-0000D5700000}"/>
    <cellStyle name="Normal 4 3 2 14 3" xfId="20241" xr:uid="{00000000-0005-0000-0000-0000D6700000}"/>
    <cellStyle name="Normal 4 3 2 15" xfId="20242" xr:uid="{00000000-0005-0000-0000-0000D7700000}"/>
    <cellStyle name="Normal 4 3 2 15 2" xfId="20243" xr:uid="{00000000-0005-0000-0000-0000D8700000}"/>
    <cellStyle name="Normal 4 3 2 15 2 2" xfId="20244" xr:uid="{00000000-0005-0000-0000-0000D9700000}"/>
    <cellStyle name="Normal 4 3 2 15 3" xfId="20245" xr:uid="{00000000-0005-0000-0000-0000DA700000}"/>
    <cellStyle name="Normal 4 3 2 16" xfId="20246" xr:uid="{00000000-0005-0000-0000-0000DB700000}"/>
    <cellStyle name="Normal 4 3 2 16 2" xfId="20247" xr:uid="{00000000-0005-0000-0000-0000DC700000}"/>
    <cellStyle name="Normal 4 3 2 17" xfId="20248" xr:uid="{00000000-0005-0000-0000-0000DD700000}"/>
    <cellStyle name="Normal 4 3 2 18" xfId="20249" xr:uid="{00000000-0005-0000-0000-0000DE700000}"/>
    <cellStyle name="Normal 4 3 2 2" xfId="20250" xr:uid="{00000000-0005-0000-0000-0000DF700000}"/>
    <cellStyle name="Normal 4 3 2 2 2" xfId="20251" xr:uid="{00000000-0005-0000-0000-0000E0700000}"/>
    <cellStyle name="Normal 4 3 2 2 2 2" xfId="20252" xr:uid="{00000000-0005-0000-0000-0000E1700000}"/>
    <cellStyle name="Normal 4 3 2 2 2 2 2" xfId="20253" xr:uid="{00000000-0005-0000-0000-0000E2700000}"/>
    <cellStyle name="Normal 4 3 2 2 2 2 2 2" xfId="20254" xr:uid="{00000000-0005-0000-0000-0000E3700000}"/>
    <cellStyle name="Normal 4 3 2 2 2 2 2 2 2" xfId="20255" xr:uid="{00000000-0005-0000-0000-0000E4700000}"/>
    <cellStyle name="Normal 4 3 2 2 2 2 2 2 2 2" xfId="20256" xr:uid="{00000000-0005-0000-0000-0000E5700000}"/>
    <cellStyle name="Normal 4 3 2 2 2 2 2 2 2 2 2" xfId="20257" xr:uid="{00000000-0005-0000-0000-0000E6700000}"/>
    <cellStyle name="Normal 4 3 2 2 2 2 2 2 2 3" xfId="20258" xr:uid="{00000000-0005-0000-0000-0000E7700000}"/>
    <cellStyle name="Normal 4 3 2 2 2 2 2 2 3" xfId="20259" xr:uid="{00000000-0005-0000-0000-0000E8700000}"/>
    <cellStyle name="Normal 4 3 2 2 2 2 2 2 3 2" xfId="20260" xr:uid="{00000000-0005-0000-0000-0000E9700000}"/>
    <cellStyle name="Normal 4 3 2 2 2 2 2 2 4" xfId="20261" xr:uid="{00000000-0005-0000-0000-0000EA700000}"/>
    <cellStyle name="Normal 4 3 2 2 2 2 2 3" xfId="20262" xr:uid="{00000000-0005-0000-0000-0000EB700000}"/>
    <cellStyle name="Normal 4 3 2 2 2 2 2 3 2" xfId="20263" xr:uid="{00000000-0005-0000-0000-0000EC700000}"/>
    <cellStyle name="Normal 4 3 2 2 2 2 2 3 2 2" xfId="20264" xr:uid="{00000000-0005-0000-0000-0000ED700000}"/>
    <cellStyle name="Normal 4 3 2 2 2 2 2 3 3" xfId="20265" xr:uid="{00000000-0005-0000-0000-0000EE700000}"/>
    <cellStyle name="Normal 4 3 2 2 2 2 2 4" xfId="20266" xr:uid="{00000000-0005-0000-0000-0000EF700000}"/>
    <cellStyle name="Normal 4 3 2 2 2 2 2 4 2" xfId="20267" xr:uid="{00000000-0005-0000-0000-0000F0700000}"/>
    <cellStyle name="Normal 4 3 2 2 2 2 2 5" xfId="20268" xr:uid="{00000000-0005-0000-0000-0000F1700000}"/>
    <cellStyle name="Normal 4 3 2 2 2 2 3" xfId="20269" xr:uid="{00000000-0005-0000-0000-0000F2700000}"/>
    <cellStyle name="Normal 4 3 2 2 2 2 3 2" xfId="20270" xr:uid="{00000000-0005-0000-0000-0000F3700000}"/>
    <cellStyle name="Normal 4 3 2 2 2 2 3 2 2" xfId="20271" xr:uid="{00000000-0005-0000-0000-0000F4700000}"/>
    <cellStyle name="Normal 4 3 2 2 2 2 3 2 2 2" xfId="20272" xr:uid="{00000000-0005-0000-0000-0000F5700000}"/>
    <cellStyle name="Normal 4 3 2 2 2 2 3 2 3" xfId="20273" xr:uid="{00000000-0005-0000-0000-0000F6700000}"/>
    <cellStyle name="Normal 4 3 2 2 2 2 3 3" xfId="20274" xr:uid="{00000000-0005-0000-0000-0000F7700000}"/>
    <cellStyle name="Normal 4 3 2 2 2 2 3 3 2" xfId="20275" xr:uid="{00000000-0005-0000-0000-0000F8700000}"/>
    <cellStyle name="Normal 4 3 2 2 2 2 3 3 2 2" xfId="20276" xr:uid="{00000000-0005-0000-0000-0000F9700000}"/>
    <cellStyle name="Normal 4 3 2 2 2 2 3 3 3" xfId="20277" xr:uid="{00000000-0005-0000-0000-0000FA700000}"/>
    <cellStyle name="Normal 4 3 2 2 2 2 3 4" xfId="20278" xr:uid="{00000000-0005-0000-0000-0000FB700000}"/>
    <cellStyle name="Normal 4 3 2 2 2 2 3 4 2" xfId="20279" xr:uid="{00000000-0005-0000-0000-0000FC700000}"/>
    <cellStyle name="Normal 4 3 2 2 2 2 3 5" xfId="20280" xr:uid="{00000000-0005-0000-0000-0000FD700000}"/>
    <cellStyle name="Normal 4 3 2 2 2 2 4" xfId="20281" xr:uid="{00000000-0005-0000-0000-0000FE700000}"/>
    <cellStyle name="Normal 4 3 2 2 2 2 4 2" xfId="20282" xr:uid="{00000000-0005-0000-0000-0000FF700000}"/>
    <cellStyle name="Normal 4 3 2 2 2 2 4 2 2" xfId="20283" xr:uid="{00000000-0005-0000-0000-000000710000}"/>
    <cellStyle name="Normal 4 3 2 2 2 2 4 3" xfId="20284" xr:uid="{00000000-0005-0000-0000-000001710000}"/>
    <cellStyle name="Normal 4 3 2 2 2 2 5" xfId="20285" xr:uid="{00000000-0005-0000-0000-000002710000}"/>
    <cellStyle name="Normal 4 3 2 2 2 2 5 2" xfId="20286" xr:uid="{00000000-0005-0000-0000-000003710000}"/>
    <cellStyle name="Normal 4 3 2 2 2 2 5 2 2" xfId="20287" xr:uid="{00000000-0005-0000-0000-000004710000}"/>
    <cellStyle name="Normal 4 3 2 2 2 2 5 3" xfId="20288" xr:uid="{00000000-0005-0000-0000-000005710000}"/>
    <cellStyle name="Normal 4 3 2 2 2 2 6" xfId="20289" xr:uid="{00000000-0005-0000-0000-000006710000}"/>
    <cellStyle name="Normal 4 3 2 2 2 2 6 2" xfId="20290" xr:uid="{00000000-0005-0000-0000-000007710000}"/>
    <cellStyle name="Normal 4 3 2 2 2 2 7" xfId="20291" xr:uid="{00000000-0005-0000-0000-000008710000}"/>
    <cellStyle name="Normal 4 3 2 2 2 3" xfId="20292" xr:uid="{00000000-0005-0000-0000-000009710000}"/>
    <cellStyle name="Normal 4 3 2 2 2 3 2" xfId="20293" xr:uid="{00000000-0005-0000-0000-00000A710000}"/>
    <cellStyle name="Normal 4 3 2 2 2 3 2 2" xfId="20294" xr:uid="{00000000-0005-0000-0000-00000B710000}"/>
    <cellStyle name="Normal 4 3 2 2 2 3 2 2 2" xfId="20295" xr:uid="{00000000-0005-0000-0000-00000C710000}"/>
    <cellStyle name="Normal 4 3 2 2 2 3 2 2 2 2" xfId="20296" xr:uid="{00000000-0005-0000-0000-00000D710000}"/>
    <cellStyle name="Normal 4 3 2 2 2 3 2 2 3" xfId="20297" xr:uid="{00000000-0005-0000-0000-00000E710000}"/>
    <cellStyle name="Normal 4 3 2 2 2 3 2 3" xfId="20298" xr:uid="{00000000-0005-0000-0000-00000F710000}"/>
    <cellStyle name="Normal 4 3 2 2 2 3 2 3 2" xfId="20299" xr:uid="{00000000-0005-0000-0000-000010710000}"/>
    <cellStyle name="Normal 4 3 2 2 2 3 2 4" xfId="20300" xr:uid="{00000000-0005-0000-0000-000011710000}"/>
    <cellStyle name="Normal 4 3 2 2 2 3 3" xfId="20301" xr:uid="{00000000-0005-0000-0000-000012710000}"/>
    <cellStyle name="Normal 4 3 2 2 2 3 3 2" xfId="20302" xr:uid="{00000000-0005-0000-0000-000013710000}"/>
    <cellStyle name="Normal 4 3 2 2 2 3 3 2 2" xfId="20303" xr:uid="{00000000-0005-0000-0000-000014710000}"/>
    <cellStyle name="Normal 4 3 2 2 2 3 3 3" xfId="20304" xr:uid="{00000000-0005-0000-0000-000015710000}"/>
    <cellStyle name="Normal 4 3 2 2 2 3 4" xfId="20305" xr:uid="{00000000-0005-0000-0000-000016710000}"/>
    <cellStyle name="Normal 4 3 2 2 2 3 4 2" xfId="20306" xr:uid="{00000000-0005-0000-0000-000017710000}"/>
    <cellStyle name="Normal 4 3 2 2 2 3 5" xfId="20307" xr:uid="{00000000-0005-0000-0000-000018710000}"/>
    <cellStyle name="Normal 4 3 2 2 2 4" xfId="20308" xr:uid="{00000000-0005-0000-0000-000019710000}"/>
    <cellStyle name="Normal 4 3 2 2 2 4 2" xfId="20309" xr:uid="{00000000-0005-0000-0000-00001A710000}"/>
    <cellStyle name="Normal 4 3 2 2 2 4 2 2" xfId="20310" xr:uid="{00000000-0005-0000-0000-00001B710000}"/>
    <cellStyle name="Normal 4 3 2 2 2 4 2 2 2" xfId="20311" xr:uid="{00000000-0005-0000-0000-00001C710000}"/>
    <cellStyle name="Normal 4 3 2 2 2 4 2 3" xfId="20312" xr:uid="{00000000-0005-0000-0000-00001D710000}"/>
    <cellStyle name="Normal 4 3 2 2 2 4 3" xfId="20313" xr:uid="{00000000-0005-0000-0000-00001E710000}"/>
    <cellStyle name="Normal 4 3 2 2 2 4 3 2" xfId="20314" xr:uid="{00000000-0005-0000-0000-00001F710000}"/>
    <cellStyle name="Normal 4 3 2 2 2 4 3 2 2" xfId="20315" xr:uid="{00000000-0005-0000-0000-000020710000}"/>
    <cellStyle name="Normal 4 3 2 2 2 4 3 3" xfId="20316" xr:uid="{00000000-0005-0000-0000-000021710000}"/>
    <cellStyle name="Normal 4 3 2 2 2 4 4" xfId="20317" xr:uid="{00000000-0005-0000-0000-000022710000}"/>
    <cellStyle name="Normal 4 3 2 2 2 4 4 2" xfId="20318" xr:uid="{00000000-0005-0000-0000-000023710000}"/>
    <cellStyle name="Normal 4 3 2 2 2 4 5" xfId="20319" xr:uid="{00000000-0005-0000-0000-000024710000}"/>
    <cellStyle name="Normal 4 3 2 2 2 5" xfId="20320" xr:uid="{00000000-0005-0000-0000-000025710000}"/>
    <cellStyle name="Normal 4 3 2 2 2 5 2" xfId="20321" xr:uid="{00000000-0005-0000-0000-000026710000}"/>
    <cellStyle name="Normal 4 3 2 2 2 5 2 2" xfId="20322" xr:uid="{00000000-0005-0000-0000-000027710000}"/>
    <cellStyle name="Normal 4 3 2 2 2 5 3" xfId="20323" xr:uid="{00000000-0005-0000-0000-000028710000}"/>
    <cellStyle name="Normal 4 3 2 2 2 6" xfId="20324" xr:uid="{00000000-0005-0000-0000-000029710000}"/>
    <cellStyle name="Normal 4 3 2 2 2 6 2" xfId="20325" xr:uid="{00000000-0005-0000-0000-00002A710000}"/>
    <cellStyle name="Normal 4 3 2 2 2 6 2 2" xfId="20326" xr:uid="{00000000-0005-0000-0000-00002B710000}"/>
    <cellStyle name="Normal 4 3 2 2 2 6 3" xfId="20327" xr:uid="{00000000-0005-0000-0000-00002C710000}"/>
    <cellStyle name="Normal 4 3 2 2 2 7" xfId="20328" xr:uid="{00000000-0005-0000-0000-00002D710000}"/>
    <cellStyle name="Normal 4 3 2 2 2 7 2" xfId="20329" xr:uid="{00000000-0005-0000-0000-00002E710000}"/>
    <cellStyle name="Normal 4 3 2 2 2 8" xfId="20330" xr:uid="{00000000-0005-0000-0000-00002F710000}"/>
    <cellStyle name="Normal 4 3 2 2 3" xfId="20331" xr:uid="{00000000-0005-0000-0000-000030710000}"/>
    <cellStyle name="Normal 4 3 2 2 3 2" xfId="20332" xr:uid="{00000000-0005-0000-0000-000031710000}"/>
    <cellStyle name="Normal 4 3 2 2 3 2 2" xfId="20333" xr:uid="{00000000-0005-0000-0000-000032710000}"/>
    <cellStyle name="Normal 4 3 2 2 3 2 2 2" xfId="20334" xr:uid="{00000000-0005-0000-0000-000033710000}"/>
    <cellStyle name="Normal 4 3 2 2 3 2 2 2 2" xfId="20335" xr:uid="{00000000-0005-0000-0000-000034710000}"/>
    <cellStyle name="Normal 4 3 2 2 3 2 2 2 2 2" xfId="20336" xr:uid="{00000000-0005-0000-0000-000035710000}"/>
    <cellStyle name="Normal 4 3 2 2 3 2 2 2 3" xfId="20337" xr:uid="{00000000-0005-0000-0000-000036710000}"/>
    <cellStyle name="Normal 4 3 2 2 3 2 2 3" xfId="20338" xr:uid="{00000000-0005-0000-0000-000037710000}"/>
    <cellStyle name="Normal 4 3 2 2 3 2 2 3 2" xfId="20339" xr:uid="{00000000-0005-0000-0000-000038710000}"/>
    <cellStyle name="Normal 4 3 2 2 3 2 2 4" xfId="20340" xr:uid="{00000000-0005-0000-0000-000039710000}"/>
    <cellStyle name="Normal 4 3 2 2 3 2 3" xfId="20341" xr:uid="{00000000-0005-0000-0000-00003A710000}"/>
    <cellStyle name="Normal 4 3 2 2 3 2 3 2" xfId="20342" xr:uid="{00000000-0005-0000-0000-00003B710000}"/>
    <cellStyle name="Normal 4 3 2 2 3 2 3 2 2" xfId="20343" xr:uid="{00000000-0005-0000-0000-00003C710000}"/>
    <cellStyle name="Normal 4 3 2 2 3 2 3 3" xfId="20344" xr:uid="{00000000-0005-0000-0000-00003D710000}"/>
    <cellStyle name="Normal 4 3 2 2 3 2 4" xfId="20345" xr:uid="{00000000-0005-0000-0000-00003E710000}"/>
    <cellStyle name="Normal 4 3 2 2 3 2 4 2" xfId="20346" xr:uid="{00000000-0005-0000-0000-00003F710000}"/>
    <cellStyle name="Normal 4 3 2 2 3 2 5" xfId="20347" xr:uid="{00000000-0005-0000-0000-000040710000}"/>
    <cellStyle name="Normal 4 3 2 2 3 3" xfId="20348" xr:uid="{00000000-0005-0000-0000-000041710000}"/>
    <cellStyle name="Normal 4 3 2 2 3 3 2" xfId="20349" xr:uid="{00000000-0005-0000-0000-000042710000}"/>
    <cellStyle name="Normal 4 3 2 2 3 3 2 2" xfId="20350" xr:uid="{00000000-0005-0000-0000-000043710000}"/>
    <cellStyle name="Normal 4 3 2 2 3 3 2 2 2" xfId="20351" xr:uid="{00000000-0005-0000-0000-000044710000}"/>
    <cellStyle name="Normal 4 3 2 2 3 3 2 3" xfId="20352" xr:uid="{00000000-0005-0000-0000-000045710000}"/>
    <cellStyle name="Normal 4 3 2 2 3 3 3" xfId="20353" xr:uid="{00000000-0005-0000-0000-000046710000}"/>
    <cellStyle name="Normal 4 3 2 2 3 3 3 2" xfId="20354" xr:uid="{00000000-0005-0000-0000-000047710000}"/>
    <cellStyle name="Normal 4 3 2 2 3 3 3 2 2" xfId="20355" xr:uid="{00000000-0005-0000-0000-000048710000}"/>
    <cellStyle name="Normal 4 3 2 2 3 3 3 3" xfId="20356" xr:uid="{00000000-0005-0000-0000-000049710000}"/>
    <cellStyle name="Normal 4 3 2 2 3 3 4" xfId="20357" xr:uid="{00000000-0005-0000-0000-00004A710000}"/>
    <cellStyle name="Normal 4 3 2 2 3 3 4 2" xfId="20358" xr:uid="{00000000-0005-0000-0000-00004B710000}"/>
    <cellStyle name="Normal 4 3 2 2 3 3 5" xfId="20359" xr:uid="{00000000-0005-0000-0000-00004C710000}"/>
    <cellStyle name="Normal 4 3 2 2 3 4" xfId="20360" xr:uid="{00000000-0005-0000-0000-00004D710000}"/>
    <cellStyle name="Normal 4 3 2 2 3 4 2" xfId="20361" xr:uid="{00000000-0005-0000-0000-00004E710000}"/>
    <cellStyle name="Normal 4 3 2 2 3 4 2 2" xfId="20362" xr:uid="{00000000-0005-0000-0000-00004F710000}"/>
    <cellStyle name="Normal 4 3 2 2 3 4 3" xfId="20363" xr:uid="{00000000-0005-0000-0000-000050710000}"/>
    <cellStyle name="Normal 4 3 2 2 3 5" xfId="20364" xr:uid="{00000000-0005-0000-0000-000051710000}"/>
    <cellStyle name="Normal 4 3 2 2 3 5 2" xfId="20365" xr:uid="{00000000-0005-0000-0000-000052710000}"/>
    <cellStyle name="Normal 4 3 2 2 3 5 2 2" xfId="20366" xr:uid="{00000000-0005-0000-0000-000053710000}"/>
    <cellStyle name="Normal 4 3 2 2 3 5 3" xfId="20367" xr:uid="{00000000-0005-0000-0000-000054710000}"/>
    <cellStyle name="Normal 4 3 2 2 3 6" xfId="20368" xr:uid="{00000000-0005-0000-0000-000055710000}"/>
    <cellStyle name="Normal 4 3 2 2 3 6 2" xfId="20369" xr:uid="{00000000-0005-0000-0000-000056710000}"/>
    <cellStyle name="Normal 4 3 2 2 3 7" xfId="20370" xr:uid="{00000000-0005-0000-0000-000057710000}"/>
    <cellStyle name="Normal 4 3 2 2 4" xfId="20371" xr:uid="{00000000-0005-0000-0000-000058710000}"/>
    <cellStyle name="Normal 4 3 2 2 4 2" xfId="20372" xr:uid="{00000000-0005-0000-0000-000059710000}"/>
    <cellStyle name="Normal 4 3 2 2 4 2 2" xfId="20373" xr:uid="{00000000-0005-0000-0000-00005A710000}"/>
    <cellStyle name="Normal 4 3 2 2 4 2 2 2" xfId="20374" xr:uid="{00000000-0005-0000-0000-00005B710000}"/>
    <cellStyle name="Normal 4 3 2 2 4 2 2 2 2" xfId="20375" xr:uid="{00000000-0005-0000-0000-00005C710000}"/>
    <cellStyle name="Normal 4 3 2 2 4 2 2 3" xfId="20376" xr:uid="{00000000-0005-0000-0000-00005D710000}"/>
    <cellStyle name="Normal 4 3 2 2 4 2 3" xfId="20377" xr:uid="{00000000-0005-0000-0000-00005E710000}"/>
    <cellStyle name="Normal 4 3 2 2 4 2 3 2" xfId="20378" xr:uid="{00000000-0005-0000-0000-00005F710000}"/>
    <cellStyle name="Normal 4 3 2 2 4 2 4" xfId="20379" xr:uid="{00000000-0005-0000-0000-000060710000}"/>
    <cellStyle name="Normal 4 3 2 2 4 3" xfId="20380" xr:uid="{00000000-0005-0000-0000-000061710000}"/>
    <cellStyle name="Normal 4 3 2 2 4 3 2" xfId="20381" xr:uid="{00000000-0005-0000-0000-000062710000}"/>
    <cellStyle name="Normal 4 3 2 2 4 3 2 2" xfId="20382" xr:uid="{00000000-0005-0000-0000-000063710000}"/>
    <cellStyle name="Normal 4 3 2 2 4 3 3" xfId="20383" xr:uid="{00000000-0005-0000-0000-000064710000}"/>
    <cellStyle name="Normal 4 3 2 2 4 4" xfId="20384" xr:uid="{00000000-0005-0000-0000-000065710000}"/>
    <cellStyle name="Normal 4 3 2 2 4 4 2" xfId="20385" xr:uid="{00000000-0005-0000-0000-000066710000}"/>
    <cellStyle name="Normal 4 3 2 2 4 5" xfId="20386" xr:uid="{00000000-0005-0000-0000-000067710000}"/>
    <cellStyle name="Normal 4 3 2 2 5" xfId="20387" xr:uid="{00000000-0005-0000-0000-000068710000}"/>
    <cellStyle name="Normal 4 3 2 2 5 2" xfId="20388" xr:uid="{00000000-0005-0000-0000-000069710000}"/>
    <cellStyle name="Normal 4 3 2 2 5 2 2" xfId="20389" xr:uid="{00000000-0005-0000-0000-00006A710000}"/>
    <cellStyle name="Normal 4 3 2 2 5 2 2 2" xfId="20390" xr:uid="{00000000-0005-0000-0000-00006B710000}"/>
    <cellStyle name="Normal 4 3 2 2 5 2 3" xfId="20391" xr:uid="{00000000-0005-0000-0000-00006C710000}"/>
    <cellStyle name="Normal 4 3 2 2 5 3" xfId="20392" xr:uid="{00000000-0005-0000-0000-00006D710000}"/>
    <cellStyle name="Normal 4 3 2 2 5 3 2" xfId="20393" xr:uid="{00000000-0005-0000-0000-00006E710000}"/>
    <cellStyle name="Normal 4 3 2 2 5 3 2 2" xfId="20394" xr:uid="{00000000-0005-0000-0000-00006F710000}"/>
    <cellStyle name="Normal 4 3 2 2 5 3 3" xfId="20395" xr:uid="{00000000-0005-0000-0000-000070710000}"/>
    <cellStyle name="Normal 4 3 2 2 5 4" xfId="20396" xr:uid="{00000000-0005-0000-0000-000071710000}"/>
    <cellStyle name="Normal 4 3 2 2 5 4 2" xfId="20397" xr:uid="{00000000-0005-0000-0000-000072710000}"/>
    <cellStyle name="Normal 4 3 2 2 5 5" xfId="20398" xr:uid="{00000000-0005-0000-0000-000073710000}"/>
    <cellStyle name="Normal 4 3 2 2 6" xfId="20399" xr:uid="{00000000-0005-0000-0000-000074710000}"/>
    <cellStyle name="Normal 4 3 2 2 6 2" xfId="20400" xr:uid="{00000000-0005-0000-0000-000075710000}"/>
    <cellStyle name="Normal 4 3 2 2 6 2 2" xfId="20401" xr:uid="{00000000-0005-0000-0000-000076710000}"/>
    <cellStyle name="Normal 4 3 2 2 6 3" xfId="20402" xr:uid="{00000000-0005-0000-0000-000077710000}"/>
    <cellStyle name="Normal 4 3 2 2 7" xfId="20403" xr:uid="{00000000-0005-0000-0000-000078710000}"/>
    <cellStyle name="Normal 4 3 2 2 7 2" xfId="20404" xr:uid="{00000000-0005-0000-0000-000079710000}"/>
    <cellStyle name="Normal 4 3 2 2 7 2 2" xfId="20405" xr:uid="{00000000-0005-0000-0000-00007A710000}"/>
    <cellStyle name="Normal 4 3 2 2 7 3" xfId="20406" xr:uid="{00000000-0005-0000-0000-00007B710000}"/>
    <cellStyle name="Normal 4 3 2 2 8" xfId="20407" xr:uid="{00000000-0005-0000-0000-00007C710000}"/>
    <cellStyle name="Normal 4 3 2 2 8 2" xfId="20408" xr:uid="{00000000-0005-0000-0000-00007D710000}"/>
    <cellStyle name="Normal 4 3 2 2 9" xfId="20409" xr:uid="{00000000-0005-0000-0000-00007E710000}"/>
    <cellStyle name="Normal 4 3 2 3" xfId="20410" xr:uid="{00000000-0005-0000-0000-00007F710000}"/>
    <cellStyle name="Normal 4 3 2 3 2" xfId="20411" xr:uid="{00000000-0005-0000-0000-000080710000}"/>
    <cellStyle name="Normal 4 3 2 3 2 2" xfId="20412" xr:uid="{00000000-0005-0000-0000-000081710000}"/>
    <cellStyle name="Normal 4 3 2 3 2 2 2" xfId="20413" xr:uid="{00000000-0005-0000-0000-000082710000}"/>
    <cellStyle name="Normal 4 3 2 3 2 2 2 2" xfId="20414" xr:uid="{00000000-0005-0000-0000-000083710000}"/>
    <cellStyle name="Normal 4 3 2 3 2 2 2 2 2" xfId="20415" xr:uid="{00000000-0005-0000-0000-000084710000}"/>
    <cellStyle name="Normal 4 3 2 3 2 2 2 2 2 2" xfId="20416" xr:uid="{00000000-0005-0000-0000-000085710000}"/>
    <cellStyle name="Normal 4 3 2 3 2 2 2 2 3" xfId="20417" xr:uid="{00000000-0005-0000-0000-000086710000}"/>
    <cellStyle name="Normal 4 3 2 3 2 2 2 3" xfId="20418" xr:uid="{00000000-0005-0000-0000-000087710000}"/>
    <cellStyle name="Normal 4 3 2 3 2 2 2 3 2" xfId="20419" xr:uid="{00000000-0005-0000-0000-000088710000}"/>
    <cellStyle name="Normal 4 3 2 3 2 2 2 4" xfId="20420" xr:uid="{00000000-0005-0000-0000-000089710000}"/>
    <cellStyle name="Normal 4 3 2 3 2 2 3" xfId="20421" xr:uid="{00000000-0005-0000-0000-00008A710000}"/>
    <cellStyle name="Normal 4 3 2 3 2 2 3 2" xfId="20422" xr:uid="{00000000-0005-0000-0000-00008B710000}"/>
    <cellStyle name="Normal 4 3 2 3 2 2 3 2 2" xfId="20423" xr:uid="{00000000-0005-0000-0000-00008C710000}"/>
    <cellStyle name="Normal 4 3 2 3 2 2 3 3" xfId="20424" xr:uid="{00000000-0005-0000-0000-00008D710000}"/>
    <cellStyle name="Normal 4 3 2 3 2 2 4" xfId="20425" xr:uid="{00000000-0005-0000-0000-00008E710000}"/>
    <cellStyle name="Normal 4 3 2 3 2 2 4 2" xfId="20426" xr:uid="{00000000-0005-0000-0000-00008F710000}"/>
    <cellStyle name="Normal 4 3 2 3 2 2 5" xfId="20427" xr:uid="{00000000-0005-0000-0000-000090710000}"/>
    <cellStyle name="Normal 4 3 2 3 2 3" xfId="20428" xr:uid="{00000000-0005-0000-0000-000091710000}"/>
    <cellStyle name="Normal 4 3 2 3 2 3 2" xfId="20429" xr:uid="{00000000-0005-0000-0000-000092710000}"/>
    <cellStyle name="Normal 4 3 2 3 2 3 2 2" xfId="20430" xr:uid="{00000000-0005-0000-0000-000093710000}"/>
    <cellStyle name="Normal 4 3 2 3 2 3 2 2 2" xfId="20431" xr:uid="{00000000-0005-0000-0000-000094710000}"/>
    <cellStyle name="Normal 4 3 2 3 2 3 2 3" xfId="20432" xr:uid="{00000000-0005-0000-0000-000095710000}"/>
    <cellStyle name="Normal 4 3 2 3 2 3 3" xfId="20433" xr:uid="{00000000-0005-0000-0000-000096710000}"/>
    <cellStyle name="Normal 4 3 2 3 2 3 3 2" xfId="20434" xr:uid="{00000000-0005-0000-0000-000097710000}"/>
    <cellStyle name="Normal 4 3 2 3 2 3 3 2 2" xfId="20435" xr:uid="{00000000-0005-0000-0000-000098710000}"/>
    <cellStyle name="Normal 4 3 2 3 2 3 3 3" xfId="20436" xr:uid="{00000000-0005-0000-0000-000099710000}"/>
    <cellStyle name="Normal 4 3 2 3 2 3 4" xfId="20437" xr:uid="{00000000-0005-0000-0000-00009A710000}"/>
    <cellStyle name="Normal 4 3 2 3 2 3 4 2" xfId="20438" xr:uid="{00000000-0005-0000-0000-00009B710000}"/>
    <cellStyle name="Normal 4 3 2 3 2 3 5" xfId="20439" xr:uid="{00000000-0005-0000-0000-00009C710000}"/>
    <cellStyle name="Normal 4 3 2 3 2 4" xfId="20440" xr:uid="{00000000-0005-0000-0000-00009D710000}"/>
    <cellStyle name="Normal 4 3 2 3 2 4 2" xfId="20441" xr:uid="{00000000-0005-0000-0000-00009E710000}"/>
    <cellStyle name="Normal 4 3 2 3 2 4 2 2" xfId="20442" xr:uid="{00000000-0005-0000-0000-00009F710000}"/>
    <cellStyle name="Normal 4 3 2 3 2 4 3" xfId="20443" xr:uid="{00000000-0005-0000-0000-0000A0710000}"/>
    <cellStyle name="Normal 4 3 2 3 2 5" xfId="20444" xr:uid="{00000000-0005-0000-0000-0000A1710000}"/>
    <cellStyle name="Normal 4 3 2 3 2 5 2" xfId="20445" xr:uid="{00000000-0005-0000-0000-0000A2710000}"/>
    <cellStyle name="Normal 4 3 2 3 2 5 2 2" xfId="20446" xr:uid="{00000000-0005-0000-0000-0000A3710000}"/>
    <cellStyle name="Normal 4 3 2 3 2 5 3" xfId="20447" xr:uid="{00000000-0005-0000-0000-0000A4710000}"/>
    <cellStyle name="Normal 4 3 2 3 2 6" xfId="20448" xr:uid="{00000000-0005-0000-0000-0000A5710000}"/>
    <cellStyle name="Normal 4 3 2 3 2 6 2" xfId="20449" xr:uid="{00000000-0005-0000-0000-0000A6710000}"/>
    <cellStyle name="Normal 4 3 2 3 2 7" xfId="20450" xr:uid="{00000000-0005-0000-0000-0000A7710000}"/>
    <cellStyle name="Normal 4 3 2 3 3" xfId="20451" xr:uid="{00000000-0005-0000-0000-0000A8710000}"/>
    <cellStyle name="Normal 4 3 2 3 3 2" xfId="20452" xr:uid="{00000000-0005-0000-0000-0000A9710000}"/>
    <cellStyle name="Normal 4 3 2 3 3 2 2" xfId="20453" xr:uid="{00000000-0005-0000-0000-0000AA710000}"/>
    <cellStyle name="Normal 4 3 2 3 3 2 2 2" xfId="20454" xr:uid="{00000000-0005-0000-0000-0000AB710000}"/>
    <cellStyle name="Normal 4 3 2 3 3 2 2 2 2" xfId="20455" xr:uid="{00000000-0005-0000-0000-0000AC710000}"/>
    <cellStyle name="Normal 4 3 2 3 3 2 2 3" xfId="20456" xr:uid="{00000000-0005-0000-0000-0000AD710000}"/>
    <cellStyle name="Normal 4 3 2 3 3 2 3" xfId="20457" xr:uid="{00000000-0005-0000-0000-0000AE710000}"/>
    <cellStyle name="Normal 4 3 2 3 3 2 3 2" xfId="20458" xr:uid="{00000000-0005-0000-0000-0000AF710000}"/>
    <cellStyle name="Normal 4 3 2 3 3 2 4" xfId="20459" xr:uid="{00000000-0005-0000-0000-0000B0710000}"/>
    <cellStyle name="Normal 4 3 2 3 3 3" xfId="20460" xr:uid="{00000000-0005-0000-0000-0000B1710000}"/>
    <cellStyle name="Normal 4 3 2 3 3 3 2" xfId="20461" xr:uid="{00000000-0005-0000-0000-0000B2710000}"/>
    <cellStyle name="Normal 4 3 2 3 3 3 2 2" xfId="20462" xr:uid="{00000000-0005-0000-0000-0000B3710000}"/>
    <cellStyle name="Normal 4 3 2 3 3 3 3" xfId="20463" xr:uid="{00000000-0005-0000-0000-0000B4710000}"/>
    <cellStyle name="Normal 4 3 2 3 3 4" xfId="20464" xr:uid="{00000000-0005-0000-0000-0000B5710000}"/>
    <cellStyle name="Normal 4 3 2 3 3 4 2" xfId="20465" xr:uid="{00000000-0005-0000-0000-0000B6710000}"/>
    <cellStyle name="Normal 4 3 2 3 3 5" xfId="20466" xr:uid="{00000000-0005-0000-0000-0000B7710000}"/>
    <cellStyle name="Normal 4 3 2 3 4" xfId="20467" xr:uid="{00000000-0005-0000-0000-0000B8710000}"/>
    <cellStyle name="Normal 4 3 2 3 4 2" xfId="20468" xr:uid="{00000000-0005-0000-0000-0000B9710000}"/>
    <cellStyle name="Normal 4 3 2 3 4 2 2" xfId="20469" xr:uid="{00000000-0005-0000-0000-0000BA710000}"/>
    <cellStyle name="Normal 4 3 2 3 4 2 2 2" xfId="20470" xr:uid="{00000000-0005-0000-0000-0000BB710000}"/>
    <cellStyle name="Normal 4 3 2 3 4 2 3" xfId="20471" xr:uid="{00000000-0005-0000-0000-0000BC710000}"/>
    <cellStyle name="Normal 4 3 2 3 4 3" xfId="20472" xr:uid="{00000000-0005-0000-0000-0000BD710000}"/>
    <cellStyle name="Normal 4 3 2 3 4 3 2" xfId="20473" xr:uid="{00000000-0005-0000-0000-0000BE710000}"/>
    <cellStyle name="Normal 4 3 2 3 4 3 2 2" xfId="20474" xr:uid="{00000000-0005-0000-0000-0000BF710000}"/>
    <cellStyle name="Normal 4 3 2 3 4 3 3" xfId="20475" xr:uid="{00000000-0005-0000-0000-0000C0710000}"/>
    <cellStyle name="Normal 4 3 2 3 4 4" xfId="20476" xr:uid="{00000000-0005-0000-0000-0000C1710000}"/>
    <cellStyle name="Normal 4 3 2 3 4 4 2" xfId="20477" xr:uid="{00000000-0005-0000-0000-0000C2710000}"/>
    <cellStyle name="Normal 4 3 2 3 4 5" xfId="20478" xr:uid="{00000000-0005-0000-0000-0000C3710000}"/>
    <cellStyle name="Normal 4 3 2 3 5" xfId="20479" xr:uid="{00000000-0005-0000-0000-0000C4710000}"/>
    <cellStyle name="Normal 4 3 2 3 5 2" xfId="20480" xr:uid="{00000000-0005-0000-0000-0000C5710000}"/>
    <cellStyle name="Normal 4 3 2 3 5 2 2" xfId="20481" xr:uid="{00000000-0005-0000-0000-0000C6710000}"/>
    <cellStyle name="Normal 4 3 2 3 5 3" xfId="20482" xr:uid="{00000000-0005-0000-0000-0000C7710000}"/>
    <cellStyle name="Normal 4 3 2 3 6" xfId="20483" xr:uid="{00000000-0005-0000-0000-0000C8710000}"/>
    <cellStyle name="Normal 4 3 2 3 6 2" xfId="20484" xr:uid="{00000000-0005-0000-0000-0000C9710000}"/>
    <cellStyle name="Normal 4 3 2 3 6 2 2" xfId="20485" xr:uid="{00000000-0005-0000-0000-0000CA710000}"/>
    <cellStyle name="Normal 4 3 2 3 6 3" xfId="20486" xr:uid="{00000000-0005-0000-0000-0000CB710000}"/>
    <cellStyle name="Normal 4 3 2 3 7" xfId="20487" xr:uid="{00000000-0005-0000-0000-0000CC710000}"/>
    <cellStyle name="Normal 4 3 2 3 7 2" xfId="20488" xr:uid="{00000000-0005-0000-0000-0000CD710000}"/>
    <cellStyle name="Normal 4 3 2 3 8" xfId="20489" xr:uid="{00000000-0005-0000-0000-0000CE710000}"/>
    <cellStyle name="Normal 4 3 2 4" xfId="20490" xr:uid="{00000000-0005-0000-0000-0000CF710000}"/>
    <cellStyle name="Normal 4 3 2 4 2" xfId="20491" xr:uid="{00000000-0005-0000-0000-0000D0710000}"/>
    <cellStyle name="Normal 4 3 2 4 2 2" xfId="20492" xr:uid="{00000000-0005-0000-0000-0000D1710000}"/>
    <cellStyle name="Normal 4 3 2 4 2 2 2" xfId="20493" xr:uid="{00000000-0005-0000-0000-0000D2710000}"/>
    <cellStyle name="Normal 4 3 2 4 2 2 2 2" xfId="20494" xr:uid="{00000000-0005-0000-0000-0000D3710000}"/>
    <cellStyle name="Normal 4 3 2 4 2 2 2 2 2" xfId="20495" xr:uid="{00000000-0005-0000-0000-0000D4710000}"/>
    <cellStyle name="Normal 4 3 2 4 2 2 2 2 2 2" xfId="20496" xr:uid="{00000000-0005-0000-0000-0000D5710000}"/>
    <cellStyle name="Normal 4 3 2 4 2 2 2 2 3" xfId="20497" xr:uid="{00000000-0005-0000-0000-0000D6710000}"/>
    <cellStyle name="Normal 4 3 2 4 2 2 2 3" xfId="20498" xr:uid="{00000000-0005-0000-0000-0000D7710000}"/>
    <cellStyle name="Normal 4 3 2 4 2 2 2 3 2" xfId="20499" xr:uid="{00000000-0005-0000-0000-0000D8710000}"/>
    <cellStyle name="Normal 4 3 2 4 2 2 2 4" xfId="20500" xr:uid="{00000000-0005-0000-0000-0000D9710000}"/>
    <cellStyle name="Normal 4 3 2 4 2 2 3" xfId="20501" xr:uid="{00000000-0005-0000-0000-0000DA710000}"/>
    <cellStyle name="Normal 4 3 2 4 2 2 3 2" xfId="20502" xr:uid="{00000000-0005-0000-0000-0000DB710000}"/>
    <cellStyle name="Normal 4 3 2 4 2 2 3 2 2" xfId="20503" xr:uid="{00000000-0005-0000-0000-0000DC710000}"/>
    <cellStyle name="Normal 4 3 2 4 2 2 3 3" xfId="20504" xr:uid="{00000000-0005-0000-0000-0000DD710000}"/>
    <cellStyle name="Normal 4 3 2 4 2 2 4" xfId="20505" xr:uid="{00000000-0005-0000-0000-0000DE710000}"/>
    <cellStyle name="Normal 4 3 2 4 2 2 4 2" xfId="20506" xr:uid="{00000000-0005-0000-0000-0000DF710000}"/>
    <cellStyle name="Normal 4 3 2 4 2 2 5" xfId="20507" xr:uid="{00000000-0005-0000-0000-0000E0710000}"/>
    <cellStyle name="Normal 4 3 2 4 2 3" xfId="20508" xr:uid="{00000000-0005-0000-0000-0000E1710000}"/>
    <cellStyle name="Normal 4 3 2 4 2 3 2" xfId="20509" xr:uid="{00000000-0005-0000-0000-0000E2710000}"/>
    <cellStyle name="Normal 4 3 2 4 2 3 2 2" xfId="20510" xr:uid="{00000000-0005-0000-0000-0000E3710000}"/>
    <cellStyle name="Normal 4 3 2 4 2 3 2 2 2" xfId="20511" xr:uid="{00000000-0005-0000-0000-0000E4710000}"/>
    <cellStyle name="Normal 4 3 2 4 2 3 2 3" xfId="20512" xr:uid="{00000000-0005-0000-0000-0000E5710000}"/>
    <cellStyle name="Normal 4 3 2 4 2 3 3" xfId="20513" xr:uid="{00000000-0005-0000-0000-0000E6710000}"/>
    <cellStyle name="Normal 4 3 2 4 2 3 3 2" xfId="20514" xr:uid="{00000000-0005-0000-0000-0000E7710000}"/>
    <cellStyle name="Normal 4 3 2 4 2 3 3 2 2" xfId="20515" xr:uid="{00000000-0005-0000-0000-0000E8710000}"/>
    <cellStyle name="Normal 4 3 2 4 2 3 3 3" xfId="20516" xr:uid="{00000000-0005-0000-0000-0000E9710000}"/>
    <cellStyle name="Normal 4 3 2 4 2 3 4" xfId="20517" xr:uid="{00000000-0005-0000-0000-0000EA710000}"/>
    <cellStyle name="Normal 4 3 2 4 2 3 4 2" xfId="20518" xr:uid="{00000000-0005-0000-0000-0000EB710000}"/>
    <cellStyle name="Normal 4 3 2 4 2 3 5" xfId="20519" xr:uid="{00000000-0005-0000-0000-0000EC710000}"/>
    <cellStyle name="Normal 4 3 2 4 2 4" xfId="20520" xr:uid="{00000000-0005-0000-0000-0000ED710000}"/>
    <cellStyle name="Normal 4 3 2 4 2 4 2" xfId="20521" xr:uid="{00000000-0005-0000-0000-0000EE710000}"/>
    <cellStyle name="Normal 4 3 2 4 2 4 2 2" xfId="20522" xr:uid="{00000000-0005-0000-0000-0000EF710000}"/>
    <cellStyle name="Normal 4 3 2 4 2 4 3" xfId="20523" xr:uid="{00000000-0005-0000-0000-0000F0710000}"/>
    <cellStyle name="Normal 4 3 2 4 2 5" xfId="20524" xr:uid="{00000000-0005-0000-0000-0000F1710000}"/>
    <cellStyle name="Normal 4 3 2 4 2 5 2" xfId="20525" xr:uid="{00000000-0005-0000-0000-0000F2710000}"/>
    <cellStyle name="Normal 4 3 2 4 2 5 2 2" xfId="20526" xr:uid="{00000000-0005-0000-0000-0000F3710000}"/>
    <cellStyle name="Normal 4 3 2 4 2 5 3" xfId="20527" xr:uid="{00000000-0005-0000-0000-0000F4710000}"/>
    <cellStyle name="Normal 4 3 2 4 2 6" xfId="20528" xr:uid="{00000000-0005-0000-0000-0000F5710000}"/>
    <cellStyle name="Normal 4 3 2 4 2 6 2" xfId="20529" xr:uid="{00000000-0005-0000-0000-0000F6710000}"/>
    <cellStyle name="Normal 4 3 2 4 2 7" xfId="20530" xr:uid="{00000000-0005-0000-0000-0000F7710000}"/>
    <cellStyle name="Normal 4 3 2 4 3" xfId="20531" xr:uid="{00000000-0005-0000-0000-0000F8710000}"/>
    <cellStyle name="Normal 4 3 2 4 3 2" xfId="20532" xr:uid="{00000000-0005-0000-0000-0000F9710000}"/>
    <cellStyle name="Normal 4 3 2 4 3 2 2" xfId="20533" xr:uid="{00000000-0005-0000-0000-0000FA710000}"/>
    <cellStyle name="Normal 4 3 2 4 3 2 2 2" xfId="20534" xr:uid="{00000000-0005-0000-0000-0000FB710000}"/>
    <cellStyle name="Normal 4 3 2 4 3 2 2 2 2" xfId="20535" xr:uid="{00000000-0005-0000-0000-0000FC710000}"/>
    <cellStyle name="Normal 4 3 2 4 3 2 2 3" xfId="20536" xr:uid="{00000000-0005-0000-0000-0000FD710000}"/>
    <cellStyle name="Normal 4 3 2 4 3 2 3" xfId="20537" xr:uid="{00000000-0005-0000-0000-0000FE710000}"/>
    <cellStyle name="Normal 4 3 2 4 3 2 3 2" xfId="20538" xr:uid="{00000000-0005-0000-0000-0000FF710000}"/>
    <cellStyle name="Normal 4 3 2 4 3 2 4" xfId="20539" xr:uid="{00000000-0005-0000-0000-000000720000}"/>
    <cellStyle name="Normal 4 3 2 4 3 3" xfId="20540" xr:uid="{00000000-0005-0000-0000-000001720000}"/>
    <cellStyle name="Normal 4 3 2 4 3 3 2" xfId="20541" xr:uid="{00000000-0005-0000-0000-000002720000}"/>
    <cellStyle name="Normal 4 3 2 4 3 3 2 2" xfId="20542" xr:uid="{00000000-0005-0000-0000-000003720000}"/>
    <cellStyle name="Normal 4 3 2 4 3 3 3" xfId="20543" xr:uid="{00000000-0005-0000-0000-000004720000}"/>
    <cellStyle name="Normal 4 3 2 4 3 4" xfId="20544" xr:uid="{00000000-0005-0000-0000-000005720000}"/>
    <cellStyle name="Normal 4 3 2 4 3 4 2" xfId="20545" xr:uid="{00000000-0005-0000-0000-000006720000}"/>
    <cellStyle name="Normal 4 3 2 4 3 5" xfId="20546" xr:uid="{00000000-0005-0000-0000-000007720000}"/>
    <cellStyle name="Normal 4 3 2 4 4" xfId="20547" xr:uid="{00000000-0005-0000-0000-000008720000}"/>
    <cellStyle name="Normal 4 3 2 4 4 2" xfId="20548" xr:uid="{00000000-0005-0000-0000-000009720000}"/>
    <cellStyle name="Normal 4 3 2 4 4 2 2" xfId="20549" xr:uid="{00000000-0005-0000-0000-00000A720000}"/>
    <cellStyle name="Normal 4 3 2 4 4 2 2 2" xfId="20550" xr:uid="{00000000-0005-0000-0000-00000B720000}"/>
    <cellStyle name="Normal 4 3 2 4 4 2 3" xfId="20551" xr:uid="{00000000-0005-0000-0000-00000C720000}"/>
    <cellStyle name="Normal 4 3 2 4 4 3" xfId="20552" xr:uid="{00000000-0005-0000-0000-00000D720000}"/>
    <cellStyle name="Normal 4 3 2 4 4 3 2" xfId="20553" xr:uid="{00000000-0005-0000-0000-00000E720000}"/>
    <cellStyle name="Normal 4 3 2 4 4 3 2 2" xfId="20554" xr:uid="{00000000-0005-0000-0000-00000F720000}"/>
    <cellStyle name="Normal 4 3 2 4 4 3 3" xfId="20555" xr:uid="{00000000-0005-0000-0000-000010720000}"/>
    <cellStyle name="Normal 4 3 2 4 4 4" xfId="20556" xr:uid="{00000000-0005-0000-0000-000011720000}"/>
    <cellStyle name="Normal 4 3 2 4 4 4 2" xfId="20557" xr:uid="{00000000-0005-0000-0000-000012720000}"/>
    <cellStyle name="Normal 4 3 2 4 4 5" xfId="20558" xr:uid="{00000000-0005-0000-0000-000013720000}"/>
    <cellStyle name="Normal 4 3 2 4 5" xfId="20559" xr:uid="{00000000-0005-0000-0000-000014720000}"/>
    <cellStyle name="Normal 4 3 2 4 5 2" xfId="20560" xr:uid="{00000000-0005-0000-0000-000015720000}"/>
    <cellStyle name="Normal 4 3 2 4 5 2 2" xfId="20561" xr:uid="{00000000-0005-0000-0000-000016720000}"/>
    <cellStyle name="Normal 4 3 2 4 5 3" xfId="20562" xr:uid="{00000000-0005-0000-0000-000017720000}"/>
    <cellStyle name="Normal 4 3 2 4 6" xfId="20563" xr:uid="{00000000-0005-0000-0000-000018720000}"/>
    <cellStyle name="Normal 4 3 2 4 6 2" xfId="20564" xr:uid="{00000000-0005-0000-0000-000019720000}"/>
    <cellStyle name="Normal 4 3 2 4 6 2 2" xfId="20565" xr:uid="{00000000-0005-0000-0000-00001A720000}"/>
    <cellStyle name="Normal 4 3 2 4 6 3" xfId="20566" xr:uid="{00000000-0005-0000-0000-00001B720000}"/>
    <cellStyle name="Normal 4 3 2 4 7" xfId="20567" xr:uid="{00000000-0005-0000-0000-00001C720000}"/>
    <cellStyle name="Normal 4 3 2 4 7 2" xfId="20568" xr:uid="{00000000-0005-0000-0000-00001D720000}"/>
    <cellStyle name="Normal 4 3 2 4 8" xfId="20569" xr:uid="{00000000-0005-0000-0000-00001E720000}"/>
    <cellStyle name="Normal 4 3 2 5" xfId="20570" xr:uid="{00000000-0005-0000-0000-00001F720000}"/>
    <cellStyle name="Normal 4 3 2 5 2" xfId="20571" xr:uid="{00000000-0005-0000-0000-000020720000}"/>
    <cellStyle name="Normal 4 3 2 5 2 2" xfId="20572" xr:uid="{00000000-0005-0000-0000-000021720000}"/>
    <cellStyle name="Normal 4 3 2 5 2 2 2" xfId="20573" xr:uid="{00000000-0005-0000-0000-000022720000}"/>
    <cellStyle name="Normal 4 3 2 5 2 2 2 2" xfId="20574" xr:uid="{00000000-0005-0000-0000-000023720000}"/>
    <cellStyle name="Normal 4 3 2 5 2 2 2 2 2" xfId="20575" xr:uid="{00000000-0005-0000-0000-000024720000}"/>
    <cellStyle name="Normal 4 3 2 5 2 2 2 2 2 2" xfId="20576" xr:uid="{00000000-0005-0000-0000-000025720000}"/>
    <cellStyle name="Normal 4 3 2 5 2 2 2 2 3" xfId="20577" xr:uid="{00000000-0005-0000-0000-000026720000}"/>
    <cellStyle name="Normal 4 3 2 5 2 2 2 3" xfId="20578" xr:uid="{00000000-0005-0000-0000-000027720000}"/>
    <cellStyle name="Normal 4 3 2 5 2 2 2 3 2" xfId="20579" xr:uid="{00000000-0005-0000-0000-000028720000}"/>
    <cellStyle name="Normal 4 3 2 5 2 2 2 4" xfId="20580" xr:uid="{00000000-0005-0000-0000-000029720000}"/>
    <cellStyle name="Normal 4 3 2 5 2 2 3" xfId="20581" xr:uid="{00000000-0005-0000-0000-00002A720000}"/>
    <cellStyle name="Normal 4 3 2 5 2 2 3 2" xfId="20582" xr:uid="{00000000-0005-0000-0000-00002B720000}"/>
    <cellStyle name="Normal 4 3 2 5 2 2 3 2 2" xfId="20583" xr:uid="{00000000-0005-0000-0000-00002C720000}"/>
    <cellStyle name="Normal 4 3 2 5 2 2 3 3" xfId="20584" xr:uid="{00000000-0005-0000-0000-00002D720000}"/>
    <cellStyle name="Normal 4 3 2 5 2 2 4" xfId="20585" xr:uid="{00000000-0005-0000-0000-00002E720000}"/>
    <cellStyle name="Normal 4 3 2 5 2 2 4 2" xfId="20586" xr:uid="{00000000-0005-0000-0000-00002F720000}"/>
    <cellStyle name="Normal 4 3 2 5 2 2 5" xfId="20587" xr:uid="{00000000-0005-0000-0000-000030720000}"/>
    <cellStyle name="Normal 4 3 2 5 2 3" xfId="20588" xr:uid="{00000000-0005-0000-0000-000031720000}"/>
    <cellStyle name="Normal 4 3 2 5 2 3 2" xfId="20589" xr:uid="{00000000-0005-0000-0000-000032720000}"/>
    <cellStyle name="Normal 4 3 2 5 2 3 2 2" xfId="20590" xr:uid="{00000000-0005-0000-0000-000033720000}"/>
    <cellStyle name="Normal 4 3 2 5 2 3 2 2 2" xfId="20591" xr:uid="{00000000-0005-0000-0000-000034720000}"/>
    <cellStyle name="Normal 4 3 2 5 2 3 2 3" xfId="20592" xr:uid="{00000000-0005-0000-0000-000035720000}"/>
    <cellStyle name="Normal 4 3 2 5 2 3 3" xfId="20593" xr:uid="{00000000-0005-0000-0000-000036720000}"/>
    <cellStyle name="Normal 4 3 2 5 2 3 3 2" xfId="20594" xr:uid="{00000000-0005-0000-0000-000037720000}"/>
    <cellStyle name="Normal 4 3 2 5 2 3 3 2 2" xfId="20595" xr:uid="{00000000-0005-0000-0000-000038720000}"/>
    <cellStyle name="Normal 4 3 2 5 2 3 3 3" xfId="20596" xr:uid="{00000000-0005-0000-0000-000039720000}"/>
    <cellStyle name="Normal 4 3 2 5 2 3 4" xfId="20597" xr:uid="{00000000-0005-0000-0000-00003A720000}"/>
    <cellStyle name="Normal 4 3 2 5 2 3 4 2" xfId="20598" xr:uid="{00000000-0005-0000-0000-00003B720000}"/>
    <cellStyle name="Normal 4 3 2 5 2 3 5" xfId="20599" xr:uid="{00000000-0005-0000-0000-00003C720000}"/>
    <cellStyle name="Normal 4 3 2 5 2 4" xfId="20600" xr:uid="{00000000-0005-0000-0000-00003D720000}"/>
    <cellStyle name="Normal 4 3 2 5 2 4 2" xfId="20601" xr:uid="{00000000-0005-0000-0000-00003E720000}"/>
    <cellStyle name="Normal 4 3 2 5 2 4 2 2" xfId="20602" xr:uid="{00000000-0005-0000-0000-00003F720000}"/>
    <cellStyle name="Normal 4 3 2 5 2 4 3" xfId="20603" xr:uid="{00000000-0005-0000-0000-000040720000}"/>
    <cellStyle name="Normal 4 3 2 5 2 5" xfId="20604" xr:uid="{00000000-0005-0000-0000-000041720000}"/>
    <cellStyle name="Normal 4 3 2 5 2 5 2" xfId="20605" xr:uid="{00000000-0005-0000-0000-000042720000}"/>
    <cellStyle name="Normal 4 3 2 5 2 5 2 2" xfId="20606" xr:uid="{00000000-0005-0000-0000-000043720000}"/>
    <cellStyle name="Normal 4 3 2 5 2 5 3" xfId="20607" xr:uid="{00000000-0005-0000-0000-000044720000}"/>
    <cellStyle name="Normal 4 3 2 5 2 6" xfId="20608" xr:uid="{00000000-0005-0000-0000-000045720000}"/>
    <cellStyle name="Normal 4 3 2 5 2 6 2" xfId="20609" xr:uid="{00000000-0005-0000-0000-000046720000}"/>
    <cellStyle name="Normal 4 3 2 5 2 7" xfId="20610" xr:uid="{00000000-0005-0000-0000-000047720000}"/>
    <cellStyle name="Normal 4 3 2 5 3" xfId="20611" xr:uid="{00000000-0005-0000-0000-000048720000}"/>
    <cellStyle name="Normal 4 3 2 5 3 2" xfId="20612" xr:uid="{00000000-0005-0000-0000-000049720000}"/>
    <cellStyle name="Normal 4 3 2 5 3 2 2" xfId="20613" xr:uid="{00000000-0005-0000-0000-00004A720000}"/>
    <cellStyle name="Normal 4 3 2 5 3 2 2 2" xfId="20614" xr:uid="{00000000-0005-0000-0000-00004B720000}"/>
    <cellStyle name="Normal 4 3 2 5 3 2 2 2 2" xfId="20615" xr:uid="{00000000-0005-0000-0000-00004C720000}"/>
    <cellStyle name="Normal 4 3 2 5 3 2 2 3" xfId="20616" xr:uid="{00000000-0005-0000-0000-00004D720000}"/>
    <cellStyle name="Normal 4 3 2 5 3 2 3" xfId="20617" xr:uid="{00000000-0005-0000-0000-00004E720000}"/>
    <cellStyle name="Normal 4 3 2 5 3 2 3 2" xfId="20618" xr:uid="{00000000-0005-0000-0000-00004F720000}"/>
    <cellStyle name="Normal 4 3 2 5 3 2 4" xfId="20619" xr:uid="{00000000-0005-0000-0000-000050720000}"/>
    <cellStyle name="Normal 4 3 2 5 3 3" xfId="20620" xr:uid="{00000000-0005-0000-0000-000051720000}"/>
    <cellStyle name="Normal 4 3 2 5 3 3 2" xfId="20621" xr:uid="{00000000-0005-0000-0000-000052720000}"/>
    <cellStyle name="Normal 4 3 2 5 3 3 2 2" xfId="20622" xr:uid="{00000000-0005-0000-0000-000053720000}"/>
    <cellStyle name="Normal 4 3 2 5 3 3 3" xfId="20623" xr:uid="{00000000-0005-0000-0000-000054720000}"/>
    <cellStyle name="Normal 4 3 2 5 3 4" xfId="20624" xr:uid="{00000000-0005-0000-0000-000055720000}"/>
    <cellStyle name="Normal 4 3 2 5 3 4 2" xfId="20625" xr:uid="{00000000-0005-0000-0000-000056720000}"/>
    <cellStyle name="Normal 4 3 2 5 3 5" xfId="20626" xr:uid="{00000000-0005-0000-0000-000057720000}"/>
    <cellStyle name="Normal 4 3 2 5 4" xfId="20627" xr:uid="{00000000-0005-0000-0000-000058720000}"/>
    <cellStyle name="Normal 4 3 2 5 4 2" xfId="20628" xr:uid="{00000000-0005-0000-0000-000059720000}"/>
    <cellStyle name="Normal 4 3 2 5 4 2 2" xfId="20629" xr:uid="{00000000-0005-0000-0000-00005A720000}"/>
    <cellStyle name="Normal 4 3 2 5 4 2 2 2" xfId="20630" xr:uid="{00000000-0005-0000-0000-00005B720000}"/>
    <cellStyle name="Normal 4 3 2 5 4 2 3" xfId="20631" xr:uid="{00000000-0005-0000-0000-00005C720000}"/>
    <cellStyle name="Normal 4 3 2 5 4 3" xfId="20632" xr:uid="{00000000-0005-0000-0000-00005D720000}"/>
    <cellStyle name="Normal 4 3 2 5 4 3 2" xfId="20633" xr:uid="{00000000-0005-0000-0000-00005E720000}"/>
    <cellStyle name="Normal 4 3 2 5 4 3 2 2" xfId="20634" xr:uid="{00000000-0005-0000-0000-00005F720000}"/>
    <cellStyle name="Normal 4 3 2 5 4 3 3" xfId="20635" xr:uid="{00000000-0005-0000-0000-000060720000}"/>
    <cellStyle name="Normal 4 3 2 5 4 4" xfId="20636" xr:uid="{00000000-0005-0000-0000-000061720000}"/>
    <cellStyle name="Normal 4 3 2 5 4 4 2" xfId="20637" xr:uid="{00000000-0005-0000-0000-000062720000}"/>
    <cellStyle name="Normal 4 3 2 5 4 5" xfId="20638" xr:uid="{00000000-0005-0000-0000-000063720000}"/>
    <cellStyle name="Normal 4 3 2 5 5" xfId="20639" xr:uid="{00000000-0005-0000-0000-000064720000}"/>
    <cellStyle name="Normal 4 3 2 5 5 2" xfId="20640" xr:uid="{00000000-0005-0000-0000-000065720000}"/>
    <cellStyle name="Normal 4 3 2 5 5 2 2" xfId="20641" xr:uid="{00000000-0005-0000-0000-000066720000}"/>
    <cellStyle name="Normal 4 3 2 5 5 3" xfId="20642" xr:uid="{00000000-0005-0000-0000-000067720000}"/>
    <cellStyle name="Normal 4 3 2 5 6" xfId="20643" xr:uid="{00000000-0005-0000-0000-000068720000}"/>
    <cellStyle name="Normal 4 3 2 5 6 2" xfId="20644" xr:uid="{00000000-0005-0000-0000-000069720000}"/>
    <cellStyle name="Normal 4 3 2 5 6 2 2" xfId="20645" xr:uid="{00000000-0005-0000-0000-00006A720000}"/>
    <cellStyle name="Normal 4 3 2 5 6 3" xfId="20646" xr:uid="{00000000-0005-0000-0000-00006B720000}"/>
    <cellStyle name="Normal 4 3 2 5 7" xfId="20647" xr:uid="{00000000-0005-0000-0000-00006C720000}"/>
    <cellStyle name="Normal 4 3 2 5 7 2" xfId="20648" xr:uid="{00000000-0005-0000-0000-00006D720000}"/>
    <cellStyle name="Normal 4 3 2 5 8" xfId="20649" xr:uid="{00000000-0005-0000-0000-00006E720000}"/>
    <cellStyle name="Normal 4 3 2 6" xfId="20650" xr:uid="{00000000-0005-0000-0000-00006F720000}"/>
    <cellStyle name="Normal 4 3 2 6 2" xfId="20651" xr:uid="{00000000-0005-0000-0000-000070720000}"/>
    <cellStyle name="Normal 4 3 2 6 2 2" xfId="20652" xr:uid="{00000000-0005-0000-0000-000071720000}"/>
    <cellStyle name="Normal 4 3 2 6 2 2 2" xfId="20653" xr:uid="{00000000-0005-0000-0000-000072720000}"/>
    <cellStyle name="Normal 4 3 2 6 2 2 2 2" xfId="20654" xr:uid="{00000000-0005-0000-0000-000073720000}"/>
    <cellStyle name="Normal 4 3 2 6 2 2 2 2 2" xfId="20655" xr:uid="{00000000-0005-0000-0000-000074720000}"/>
    <cellStyle name="Normal 4 3 2 6 2 2 2 3" xfId="20656" xr:uid="{00000000-0005-0000-0000-000075720000}"/>
    <cellStyle name="Normal 4 3 2 6 2 2 3" xfId="20657" xr:uid="{00000000-0005-0000-0000-000076720000}"/>
    <cellStyle name="Normal 4 3 2 6 2 2 3 2" xfId="20658" xr:uid="{00000000-0005-0000-0000-000077720000}"/>
    <cellStyle name="Normal 4 3 2 6 2 2 4" xfId="20659" xr:uid="{00000000-0005-0000-0000-000078720000}"/>
    <cellStyle name="Normal 4 3 2 6 2 3" xfId="20660" xr:uid="{00000000-0005-0000-0000-000079720000}"/>
    <cellStyle name="Normal 4 3 2 6 2 3 2" xfId="20661" xr:uid="{00000000-0005-0000-0000-00007A720000}"/>
    <cellStyle name="Normal 4 3 2 6 2 3 2 2" xfId="20662" xr:uid="{00000000-0005-0000-0000-00007B720000}"/>
    <cellStyle name="Normal 4 3 2 6 2 3 3" xfId="20663" xr:uid="{00000000-0005-0000-0000-00007C720000}"/>
    <cellStyle name="Normal 4 3 2 6 2 4" xfId="20664" xr:uid="{00000000-0005-0000-0000-00007D720000}"/>
    <cellStyle name="Normal 4 3 2 6 2 4 2" xfId="20665" xr:uid="{00000000-0005-0000-0000-00007E720000}"/>
    <cellStyle name="Normal 4 3 2 6 2 5" xfId="20666" xr:uid="{00000000-0005-0000-0000-00007F720000}"/>
    <cellStyle name="Normal 4 3 2 6 3" xfId="20667" xr:uid="{00000000-0005-0000-0000-000080720000}"/>
    <cellStyle name="Normal 4 3 2 6 3 2" xfId="20668" xr:uid="{00000000-0005-0000-0000-000081720000}"/>
    <cellStyle name="Normal 4 3 2 6 3 2 2" xfId="20669" xr:uid="{00000000-0005-0000-0000-000082720000}"/>
    <cellStyle name="Normal 4 3 2 6 3 2 2 2" xfId="20670" xr:uid="{00000000-0005-0000-0000-000083720000}"/>
    <cellStyle name="Normal 4 3 2 6 3 2 3" xfId="20671" xr:uid="{00000000-0005-0000-0000-000084720000}"/>
    <cellStyle name="Normal 4 3 2 6 3 3" xfId="20672" xr:uid="{00000000-0005-0000-0000-000085720000}"/>
    <cellStyle name="Normal 4 3 2 6 3 3 2" xfId="20673" xr:uid="{00000000-0005-0000-0000-000086720000}"/>
    <cellStyle name="Normal 4 3 2 6 3 3 2 2" xfId="20674" xr:uid="{00000000-0005-0000-0000-000087720000}"/>
    <cellStyle name="Normal 4 3 2 6 3 3 3" xfId="20675" xr:uid="{00000000-0005-0000-0000-000088720000}"/>
    <cellStyle name="Normal 4 3 2 6 3 4" xfId="20676" xr:uid="{00000000-0005-0000-0000-000089720000}"/>
    <cellStyle name="Normal 4 3 2 6 3 4 2" xfId="20677" xr:uid="{00000000-0005-0000-0000-00008A720000}"/>
    <cellStyle name="Normal 4 3 2 6 3 5" xfId="20678" xr:uid="{00000000-0005-0000-0000-00008B720000}"/>
    <cellStyle name="Normal 4 3 2 6 4" xfId="20679" xr:uid="{00000000-0005-0000-0000-00008C720000}"/>
    <cellStyle name="Normal 4 3 2 6 4 2" xfId="20680" xr:uid="{00000000-0005-0000-0000-00008D720000}"/>
    <cellStyle name="Normal 4 3 2 6 4 2 2" xfId="20681" xr:uid="{00000000-0005-0000-0000-00008E720000}"/>
    <cellStyle name="Normal 4 3 2 6 4 3" xfId="20682" xr:uid="{00000000-0005-0000-0000-00008F720000}"/>
    <cellStyle name="Normal 4 3 2 6 5" xfId="20683" xr:uid="{00000000-0005-0000-0000-000090720000}"/>
    <cellStyle name="Normal 4 3 2 6 5 2" xfId="20684" xr:uid="{00000000-0005-0000-0000-000091720000}"/>
    <cellStyle name="Normal 4 3 2 6 5 2 2" xfId="20685" xr:uid="{00000000-0005-0000-0000-000092720000}"/>
    <cellStyle name="Normal 4 3 2 6 5 3" xfId="20686" xr:uid="{00000000-0005-0000-0000-000093720000}"/>
    <cellStyle name="Normal 4 3 2 6 6" xfId="20687" xr:uid="{00000000-0005-0000-0000-000094720000}"/>
    <cellStyle name="Normal 4 3 2 6 6 2" xfId="20688" xr:uid="{00000000-0005-0000-0000-000095720000}"/>
    <cellStyle name="Normal 4 3 2 6 7" xfId="20689" xr:uid="{00000000-0005-0000-0000-000096720000}"/>
    <cellStyle name="Normal 4 3 2 7" xfId="20690" xr:uid="{00000000-0005-0000-0000-000097720000}"/>
    <cellStyle name="Normal 4 3 2 7 2" xfId="20691" xr:uid="{00000000-0005-0000-0000-000098720000}"/>
    <cellStyle name="Normal 4 3 2 7 2 2" xfId="20692" xr:uid="{00000000-0005-0000-0000-000099720000}"/>
    <cellStyle name="Normal 4 3 2 7 2 2 2" xfId="20693" xr:uid="{00000000-0005-0000-0000-00009A720000}"/>
    <cellStyle name="Normal 4 3 2 7 2 2 2 2" xfId="20694" xr:uid="{00000000-0005-0000-0000-00009B720000}"/>
    <cellStyle name="Normal 4 3 2 7 2 2 2 2 2" xfId="20695" xr:uid="{00000000-0005-0000-0000-00009C720000}"/>
    <cellStyle name="Normal 4 3 2 7 2 2 2 3" xfId="20696" xr:uid="{00000000-0005-0000-0000-00009D720000}"/>
    <cellStyle name="Normal 4 3 2 7 2 2 3" xfId="20697" xr:uid="{00000000-0005-0000-0000-00009E720000}"/>
    <cellStyle name="Normal 4 3 2 7 2 2 3 2" xfId="20698" xr:uid="{00000000-0005-0000-0000-00009F720000}"/>
    <cellStyle name="Normal 4 3 2 7 2 2 4" xfId="20699" xr:uid="{00000000-0005-0000-0000-0000A0720000}"/>
    <cellStyle name="Normal 4 3 2 7 2 3" xfId="20700" xr:uid="{00000000-0005-0000-0000-0000A1720000}"/>
    <cellStyle name="Normal 4 3 2 7 2 3 2" xfId="20701" xr:uid="{00000000-0005-0000-0000-0000A2720000}"/>
    <cellStyle name="Normal 4 3 2 7 2 3 2 2" xfId="20702" xr:uid="{00000000-0005-0000-0000-0000A3720000}"/>
    <cellStyle name="Normal 4 3 2 7 2 3 3" xfId="20703" xr:uid="{00000000-0005-0000-0000-0000A4720000}"/>
    <cellStyle name="Normal 4 3 2 7 2 4" xfId="20704" xr:uid="{00000000-0005-0000-0000-0000A5720000}"/>
    <cellStyle name="Normal 4 3 2 7 2 4 2" xfId="20705" xr:uid="{00000000-0005-0000-0000-0000A6720000}"/>
    <cellStyle name="Normal 4 3 2 7 2 5" xfId="20706" xr:uid="{00000000-0005-0000-0000-0000A7720000}"/>
    <cellStyle name="Normal 4 3 2 7 3" xfId="20707" xr:uid="{00000000-0005-0000-0000-0000A8720000}"/>
    <cellStyle name="Normal 4 3 2 7 3 2" xfId="20708" xr:uid="{00000000-0005-0000-0000-0000A9720000}"/>
    <cellStyle name="Normal 4 3 2 7 3 2 2" xfId="20709" xr:uid="{00000000-0005-0000-0000-0000AA720000}"/>
    <cellStyle name="Normal 4 3 2 7 3 2 2 2" xfId="20710" xr:uid="{00000000-0005-0000-0000-0000AB720000}"/>
    <cellStyle name="Normal 4 3 2 7 3 2 3" xfId="20711" xr:uid="{00000000-0005-0000-0000-0000AC720000}"/>
    <cellStyle name="Normal 4 3 2 7 3 3" xfId="20712" xr:uid="{00000000-0005-0000-0000-0000AD720000}"/>
    <cellStyle name="Normal 4 3 2 7 3 3 2" xfId="20713" xr:uid="{00000000-0005-0000-0000-0000AE720000}"/>
    <cellStyle name="Normal 4 3 2 7 3 3 2 2" xfId="20714" xr:uid="{00000000-0005-0000-0000-0000AF720000}"/>
    <cellStyle name="Normal 4 3 2 7 3 3 3" xfId="20715" xr:uid="{00000000-0005-0000-0000-0000B0720000}"/>
    <cellStyle name="Normal 4 3 2 7 3 4" xfId="20716" xr:uid="{00000000-0005-0000-0000-0000B1720000}"/>
    <cellStyle name="Normal 4 3 2 7 3 4 2" xfId="20717" xr:uid="{00000000-0005-0000-0000-0000B2720000}"/>
    <cellStyle name="Normal 4 3 2 7 3 5" xfId="20718" xr:uid="{00000000-0005-0000-0000-0000B3720000}"/>
    <cellStyle name="Normal 4 3 2 7 4" xfId="20719" xr:uid="{00000000-0005-0000-0000-0000B4720000}"/>
    <cellStyle name="Normal 4 3 2 7 4 2" xfId="20720" xr:uid="{00000000-0005-0000-0000-0000B5720000}"/>
    <cellStyle name="Normal 4 3 2 7 4 2 2" xfId="20721" xr:uid="{00000000-0005-0000-0000-0000B6720000}"/>
    <cellStyle name="Normal 4 3 2 7 4 3" xfId="20722" xr:uid="{00000000-0005-0000-0000-0000B7720000}"/>
    <cellStyle name="Normal 4 3 2 7 5" xfId="20723" xr:uid="{00000000-0005-0000-0000-0000B8720000}"/>
    <cellStyle name="Normal 4 3 2 7 5 2" xfId="20724" xr:uid="{00000000-0005-0000-0000-0000B9720000}"/>
    <cellStyle name="Normal 4 3 2 7 5 2 2" xfId="20725" xr:uid="{00000000-0005-0000-0000-0000BA720000}"/>
    <cellStyle name="Normal 4 3 2 7 5 3" xfId="20726" xr:uid="{00000000-0005-0000-0000-0000BB720000}"/>
    <cellStyle name="Normal 4 3 2 7 6" xfId="20727" xr:uid="{00000000-0005-0000-0000-0000BC720000}"/>
    <cellStyle name="Normal 4 3 2 7 6 2" xfId="20728" xr:uid="{00000000-0005-0000-0000-0000BD720000}"/>
    <cellStyle name="Normal 4 3 2 7 7" xfId="20729" xr:uid="{00000000-0005-0000-0000-0000BE720000}"/>
    <cellStyle name="Normal 4 3 2 8" xfId="20730" xr:uid="{00000000-0005-0000-0000-0000BF720000}"/>
    <cellStyle name="Normal 4 3 2 8 2" xfId="20731" xr:uid="{00000000-0005-0000-0000-0000C0720000}"/>
    <cellStyle name="Normal 4 3 2 8 2 2" xfId="20732" xr:uid="{00000000-0005-0000-0000-0000C1720000}"/>
    <cellStyle name="Normal 4 3 2 8 2 2 2" xfId="20733" xr:uid="{00000000-0005-0000-0000-0000C2720000}"/>
    <cellStyle name="Normal 4 3 2 8 2 2 2 2" xfId="20734" xr:uid="{00000000-0005-0000-0000-0000C3720000}"/>
    <cellStyle name="Normal 4 3 2 8 2 2 3" xfId="20735" xr:uid="{00000000-0005-0000-0000-0000C4720000}"/>
    <cellStyle name="Normal 4 3 2 8 2 3" xfId="20736" xr:uid="{00000000-0005-0000-0000-0000C5720000}"/>
    <cellStyle name="Normal 4 3 2 8 2 3 2" xfId="20737" xr:uid="{00000000-0005-0000-0000-0000C6720000}"/>
    <cellStyle name="Normal 4 3 2 8 2 4" xfId="20738" xr:uid="{00000000-0005-0000-0000-0000C7720000}"/>
    <cellStyle name="Normal 4 3 2 8 3" xfId="20739" xr:uid="{00000000-0005-0000-0000-0000C8720000}"/>
    <cellStyle name="Normal 4 3 2 8 3 2" xfId="20740" xr:uid="{00000000-0005-0000-0000-0000C9720000}"/>
    <cellStyle name="Normal 4 3 2 8 3 2 2" xfId="20741" xr:uid="{00000000-0005-0000-0000-0000CA720000}"/>
    <cellStyle name="Normal 4 3 2 8 3 3" xfId="20742" xr:uid="{00000000-0005-0000-0000-0000CB720000}"/>
    <cellStyle name="Normal 4 3 2 8 4" xfId="20743" xr:uid="{00000000-0005-0000-0000-0000CC720000}"/>
    <cellStyle name="Normal 4 3 2 8 4 2" xfId="20744" xr:uid="{00000000-0005-0000-0000-0000CD720000}"/>
    <cellStyle name="Normal 4 3 2 8 5" xfId="20745" xr:uid="{00000000-0005-0000-0000-0000CE720000}"/>
    <cellStyle name="Normal 4 3 2 9" xfId="20746" xr:uid="{00000000-0005-0000-0000-0000CF720000}"/>
    <cellStyle name="Normal 4 3 2 9 2" xfId="20747" xr:uid="{00000000-0005-0000-0000-0000D0720000}"/>
    <cellStyle name="Normal 4 3 2 9 2 2" xfId="20748" xr:uid="{00000000-0005-0000-0000-0000D1720000}"/>
    <cellStyle name="Normal 4 3 2 9 2 2 2" xfId="20749" xr:uid="{00000000-0005-0000-0000-0000D2720000}"/>
    <cellStyle name="Normal 4 3 2 9 2 2 2 2" xfId="20750" xr:uid="{00000000-0005-0000-0000-0000D3720000}"/>
    <cellStyle name="Normal 4 3 2 9 2 2 3" xfId="20751" xr:uid="{00000000-0005-0000-0000-0000D4720000}"/>
    <cellStyle name="Normal 4 3 2 9 2 3" xfId="20752" xr:uid="{00000000-0005-0000-0000-0000D5720000}"/>
    <cellStyle name="Normal 4 3 2 9 2 3 2" xfId="20753" xr:uid="{00000000-0005-0000-0000-0000D6720000}"/>
    <cellStyle name="Normal 4 3 2 9 2 4" xfId="20754" xr:uid="{00000000-0005-0000-0000-0000D7720000}"/>
    <cellStyle name="Normal 4 3 2 9 3" xfId="20755" xr:uid="{00000000-0005-0000-0000-0000D8720000}"/>
    <cellStyle name="Normal 4 3 2 9 3 2" xfId="20756" xr:uid="{00000000-0005-0000-0000-0000D9720000}"/>
    <cellStyle name="Normal 4 3 2 9 3 2 2" xfId="20757" xr:uid="{00000000-0005-0000-0000-0000DA720000}"/>
    <cellStyle name="Normal 4 3 2 9 3 3" xfId="20758" xr:uid="{00000000-0005-0000-0000-0000DB720000}"/>
    <cellStyle name="Normal 4 3 2 9 4" xfId="20759" xr:uid="{00000000-0005-0000-0000-0000DC720000}"/>
    <cellStyle name="Normal 4 3 2 9 4 2" xfId="20760" xr:uid="{00000000-0005-0000-0000-0000DD720000}"/>
    <cellStyle name="Normal 4 3 2 9 5" xfId="20761" xr:uid="{00000000-0005-0000-0000-0000DE720000}"/>
    <cellStyle name="Normal 4 3 3" xfId="20762" xr:uid="{00000000-0005-0000-0000-0000DF720000}"/>
    <cellStyle name="Normal 4 3 3 2" xfId="20763" xr:uid="{00000000-0005-0000-0000-0000E0720000}"/>
    <cellStyle name="Normal 4 3 3 2 2" xfId="20764" xr:uid="{00000000-0005-0000-0000-0000E1720000}"/>
    <cellStyle name="Normal 4 3 3 2 2 2" xfId="20765" xr:uid="{00000000-0005-0000-0000-0000E2720000}"/>
    <cellStyle name="Normal 4 3 3 2 2 2 2" xfId="54669" xr:uid="{00000000-0005-0000-0000-0000E3720000}"/>
    <cellStyle name="Normal 4 3 3 2 2 2 3" xfId="54670" xr:uid="{00000000-0005-0000-0000-0000E4720000}"/>
    <cellStyle name="Normal 4 3 3 2 2 3" xfId="54671" xr:uid="{00000000-0005-0000-0000-0000E5720000}"/>
    <cellStyle name="Normal 4 3 3 2 2 4" xfId="54672" xr:uid="{00000000-0005-0000-0000-0000E6720000}"/>
    <cellStyle name="Normal 4 3 3 2 3" xfId="20766" xr:uid="{00000000-0005-0000-0000-0000E7720000}"/>
    <cellStyle name="Normal 4 3 3 2 3 2" xfId="54673" xr:uid="{00000000-0005-0000-0000-0000E8720000}"/>
    <cellStyle name="Normal 4 3 3 2 3 3" xfId="54674" xr:uid="{00000000-0005-0000-0000-0000E9720000}"/>
    <cellStyle name="Normal 4 3 3 2 4" xfId="20767" xr:uid="{00000000-0005-0000-0000-0000EA720000}"/>
    <cellStyle name="Normal 4 3 3 2 4 2" xfId="54675" xr:uid="{00000000-0005-0000-0000-0000EB720000}"/>
    <cellStyle name="Normal 4 3 3 2 5" xfId="54676" xr:uid="{00000000-0005-0000-0000-0000EC720000}"/>
    <cellStyle name="Normal 4 3 3 2 6" xfId="54677" xr:uid="{00000000-0005-0000-0000-0000ED720000}"/>
    <cellStyle name="Normal 4 3 3 3" xfId="20768" xr:uid="{00000000-0005-0000-0000-0000EE720000}"/>
    <cellStyle name="Normal 4 3 3 3 2" xfId="20769" xr:uid="{00000000-0005-0000-0000-0000EF720000}"/>
    <cellStyle name="Normal 4 3 3 3 2 2" xfId="54678" xr:uid="{00000000-0005-0000-0000-0000F0720000}"/>
    <cellStyle name="Normal 4 3 3 3 2 3" xfId="54679" xr:uid="{00000000-0005-0000-0000-0000F1720000}"/>
    <cellStyle name="Normal 4 3 3 3 3" xfId="54680" xr:uid="{00000000-0005-0000-0000-0000F2720000}"/>
    <cellStyle name="Normal 4 3 3 3 4" xfId="54681" xr:uid="{00000000-0005-0000-0000-0000F3720000}"/>
    <cellStyle name="Normal 4 3 3 4" xfId="20770" xr:uid="{00000000-0005-0000-0000-0000F4720000}"/>
    <cellStyle name="Normal 4 3 3 4 2" xfId="54682" xr:uid="{00000000-0005-0000-0000-0000F5720000}"/>
    <cellStyle name="Normal 4 3 3 4 3" xfId="54683" xr:uid="{00000000-0005-0000-0000-0000F6720000}"/>
    <cellStyle name="Normal 4 3 3 5" xfId="20771" xr:uid="{00000000-0005-0000-0000-0000F7720000}"/>
    <cellStyle name="Normal 4 3 3 5 2" xfId="54684" xr:uid="{00000000-0005-0000-0000-0000F8720000}"/>
    <cellStyle name="Normal 4 3 3 6" xfId="20772" xr:uid="{00000000-0005-0000-0000-0000F9720000}"/>
    <cellStyle name="Normal 4 3 3 7" xfId="54685" xr:uid="{00000000-0005-0000-0000-0000FA720000}"/>
    <cellStyle name="Normal 4 3 4" xfId="20773" xr:uid="{00000000-0005-0000-0000-0000FB720000}"/>
    <cellStyle name="Normal 4 3 4 10" xfId="20774" xr:uid="{00000000-0005-0000-0000-0000FC720000}"/>
    <cellStyle name="Normal 4 3 4 10 2" xfId="20775" xr:uid="{00000000-0005-0000-0000-0000FD720000}"/>
    <cellStyle name="Normal 4 3 4 10 2 2" xfId="20776" xr:uid="{00000000-0005-0000-0000-0000FE720000}"/>
    <cellStyle name="Normal 4 3 4 10 2 2 2" xfId="20777" xr:uid="{00000000-0005-0000-0000-0000FF720000}"/>
    <cellStyle name="Normal 4 3 4 10 2 2 2 2" xfId="20778" xr:uid="{00000000-0005-0000-0000-000000730000}"/>
    <cellStyle name="Normal 4 3 4 10 2 2 3" xfId="20779" xr:uid="{00000000-0005-0000-0000-000001730000}"/>
    <cellStyle name="Normal 4 3 4 10 2 3" xfId="20780" xr:uid="{00000000-0005-0000-0000-000002730000}"/>
    <cellStyle name="Normal 4 3 4 10 2 3 2" xfId="20781" xr:uid="{00000000-0005-0000-0000-000003730000}"/>
    <cellStyle name="Normal 4 3 4 10 2 4" xfId="20782" xr:uid="{00000000-0005-0000-0000-000004730000}"/>
    <cellStyle name="Normal 4 3 4 10 3" xfId="20783" xr:uid="{00000000-0005-0000-0000-000005730000}"/>
    <cellStyle name="Normal 4 3 4 10 3 2" xfId="20784" xr:uid="{00000000-0005-0000-0000-000006730000}"/>
    <cellStyle name="Normal 4 3 4 10 3 2 2" xfId="20785" xr:uid="{00000000-0005-0000-0000-000007730000}"/>
    <cellStyle name="Normal 4 3 4 10 3 3" xfId="20786" xr:uid="{00000000-0005-0000-0000-000008730000}"/>
    <cellStyle name="Normal 4 3 4 10 4" xfId="20787" xr:uid="{00000000-0005-0000-0000-000009730000}"/>
    <cellStyle name="Normal 4 3 4 10 4 2" xfId="20788" xr:uid="{00000000-0005-0000-0000-00000A730000}"/>
    <cellStyle name="Normal 4 3 4 10 5" xfId="20789" xr:uid="{00000000-0005-0000-0000-00000B730000}"/>
    <cellStyle name="Normal 4 3 4 11" xfId="20790" xr:uid="{00000000-0005-0000-0000-00000C730000}"/>
    <cellStyle name="Normal 4 3 4 11 2" xfId="20791" xr:uid="{00000000-0005-0000-0000-00000D730000}"/>
    <cellStyle name="Normal 4 3 4 11 2 2" xfId="20792" xr:uid="{00000000-0005-0000-0000-00000E730000}"/>
    <cellStyle name="Normal 4 3 4 11 2 2 2" xfId="20793" xr:uid="{00000000-0005-0000-0000-00000F730000}"/>
    <cellStyle name="Normal 4 3 4 11 2 2 2 2" xfId="20794" xr:uid="{00000000-0005-0000-0000-000010730000}"/>
    <cellStyle name="Normal 4 3 4 11 2 2 3" xfId="20795" xr:uid="{00000000-0005-0000-0000-000011730000}"/>
    <cellStyle name="Normal 4 3 4 11 2 3" xfId="20796" xr:uid="{00000000-0005-0000-0000-000012730000}"/>
    <cellStyle name="Normal 4 3 4 11 2 3 2" xfId="20797" xr:uid="{00000000-0005-0000-0000-000013730000}"/>
    <cellStyle name="Normal 4 3 4 11 2 4" xfId="20798" xr:uid="{00000000-0005-0000-0000-000014730000}"/>
    <cellStyle name="Normal 4 3 4 11 3" xfId="20799" xr:uid="{00000000-0005-0000-0000-000015730000}"/>
    <cellStyle name="Normal 4 3 4 11 3 2" xfId="20800" xr:uid="{00000000-0005-0000-0000-000016730000}"/>
    <cellStyle name="Normal 4 3 4 11 3 2 2" xfId="20801" xr:uid="{00000000-0005-0000-0000-000017730000}"/>
    <cellStyle name="Normal 4 3 4 11 3 3" xfId="20802" xr:uid="{00000000-0005-0000-0000-000018730000}"/>
    <cellStyle name="Normal 4 3 4 11 4" xfId="20803" xr:uid="{00000000-0005-0000-0000-000019730000}"/>
    <cellStyle name="Normal 4 3 4 11 4 2" xfId="20804" xr:uid="{00000000-0005-0000-0000-00001A730000}"/>
    <cellStyle name="Normal 4 3 4 11 5" xfId="20805" xr:uid="{00000000-0005-0000-0000-00001B730000}"/>
    <cellStyle name="Normal 4 3 4 12" xfId="20806" xr:uid="{00000000-0005-0000-0000-00001C730000}"/>
    <cellStyle name="Normal 4 3 4 12 2" xfId="20807" xr:uid="{00000000-0005-0000-0000-00001D730000}"/>
    <cellStyle name="Normal 4 3 4 12 2 2" xfId="20808" xr:uid="{00000000-0005-0000-0000-00001E730000}"/>
    <cellStyle name="Normal 4 3 4 12 2 2 2" xfId="20809" xr:uid="{00000000-0005-0000-0000-00001F730000}"/>
    <cellStyle name="Normal 4 3 4 12 2 3" xfId="20810" xr:uid="{00000000-0005-0000-0000-000020730000}"/>
    <cellStyle name="Normal 4 3 4 12 3" xfId="20811" xr:uid="{00000000-0005-0000-0000-000021730000}"/>
    <cellStyle name="Normal 4 3 4 12 3 2" xfId="20812" xr:uid="{00000000-0005-0000-0000-000022730000}"/>
    <cellStyle name="Normal 4 3 4 12 3 2 2" xfId="20813" xr:uid="{00000000-0005-0000-0000-000023730000}"/>
    <cellStyle name="Normal 4 3 4 12 3 3" xfId="20814" xr:uid="{00000000-0005-0000-0000-000024730000}"/>
    <cellStyle name="Normal 4 3 4 12 4" xfId="20815" xr:uid="{00000000-0005-0000-0000-000025730000}"/>
    <cellStyle name="Normal 4 3 4 12 4 2" xfId="20816" xr:uid="{00000000-0005-0000-0000-000026730000}"/>
    <cellStyle name="Normal 4 3 4 12 5" xfId="20817" xr:uid="{00000000-0005-0000-0000-000027730000}"/>
    <cellStyle name="Normal 4 3 4 13" xfId="20818" xr:uid="{00000000-0005-0000-0000-000028730000}"/>
    <cellStyle name="Normal 4 3 4 13 2" xfId="20819" xr:uid="{00000000-0005-0000-0000-000029730000}"/>
    <cellStyle name="Normal 4 3 4 13 2 2" xfId="20820" xr:uid="{00000000-0005-0000-0000-00002A730000}"/>
    <cellStyle name="Normal 4 3 4 13 2 2 2" xfId="20821" xr:uid="{00000000-0005-0000-0000-00002B730000}"/>
    <cellStyle name="Normal 4 3 4 13 2 3" xfId="20822" xr:uid="{00000000-0005-0000-0000-00002C730000}"/>
    <cellStyle name="Normal 4 3 4 13 3" xfId="20823" xr:uid="{00000000-0005-0000-0000-00002D730000}"/>
    <cellStyle name="Normal 4 3 4 13 3 2" xfId="20824" xr:uid="{00000000-0005-0000-0000-00002E730000}"/>
    <cellStyle name="Normal 4 3 4 13 4" xfId="20825" xr:uid="{00000000-0005-0000-0000-00002F730000}"/>
    <cellStyle name="Normal 4 3 4 14" xfId="20826" xr:uid="{00000000-0005-0000-0000-000030730000}"/>
    <cellStyle name="Normal 4 3 4 14 2" xfId="20827" xr:uid="{00000000-0005-0000-0000-000031730000}"/>
    <cellStyle name="Normal 4 3 4 14 2 2" xfId="20828" xr:uid="{00000000-0005-0000-0000-000032730000}"/>
    <cellStyle name="Normal 4 3 4 14 3" xfId="20829" xr:uid="{00000000-0005-0000-0000-000033730000}"/>
    <cellStyle name="Normal 4 3 4 15" xfId="20830" xr:uid="{00000000-0005-0000-0000-000034730000}"/>
    <cellStyle name="Normal 4 3 4 15 2" xfId="20831" xr:uid="{00000000-0005-0000-0000-000035730000}"/>
    <cellStyle name="Normal 4 3 4 15 2 2" xfId="20832" xr:uid="{00000000-0005-0000-0000-000036730000}"/>
    <cellStyle name="Normal 4 3 4 15 3" xfId="20833" xr:uid="{00000000-0005-0000-0000-000037730000}"/>
    <cellStyle name="Normal 4 3 4 16" xfId="20834" xr:uid="{00000000-0005-0000-0000-000038730000}"/>
    <cellStyle name="Normal 4 3 4 16 2" xfId="20835" xr:uid="{00000000-0005-0000-0000-000039730000}"/>
    <cellStyle name="Normal 4 3 4 17" xfId="20836" xr:uid="{00000000-0005-0000-0000-00003A730000}"/>
    <cellStyle name="Normal 4 3 4 2" xfId="20837" xr:uid="{00000000-0005-0000-0000-00003B730000}"/>
    <cellStyle name="Normal 4 3 4 2 2" xfId="20838" xr:uid="{00000000-0005-0000-0000-00003C730000}"/>
    <cellStyle name="Normal 4 3 4 2 2 2" xfId="20839" xr:uid="{00000000-0005-0000-0000-00003D730000}"/>
    <cellStyle name="Normal 4 3 4 2 2 2 2" xfId="20840" xr:uid="{00000000-0005-0000-0000-00003E730000}"/>
    <cellStyle name="Normal 4 3 4 2 2 2 2 2" xfId="20841" xr:uid="{00000000-0005-0000-0000-00003F730000}"/>
    <cellStyle name="Normal 4 3 4 2 2 2 2 2 2" xfId="20842" xr:uid="{00000000-0005-0000-0000-000040730000}"/>
    <cellStyle name="Normal 4 3 4 2 2 2 2 2 2 2" xfId="20843" xr:uid="{00000000-0005-0000-0000-000041730000}"/>
    <cellStyle name="Normal 4 3 4 2 2 2 2 2 2 2 2" xfId="20844" xr:uid="{00000000-0005-0000-0000-000042730000}"/>
    <cellStyle name="Normal 4 3 4 2 2 2 2 2 2 3" xfId="20845" xr:uid="{00000000-0005-0000-0000-000043730000}"/>
    <cellStyle name="Normal 4 3 4 2 2 2 2 2 3" xfId="20846" xr:uid="{00000000-0005-0000-0000-000044730000}"/>
    <cellStyle name="Normal 4 3 4 2 2 2 2 2 3 2" xfId="20847" xr:uid="{00000000-0005-0000-0000-000045730000}"/>
    <cellStyle name="Normal 4 3 4 2 2 2 2 2 4" xfId="20848" xr:uid="{00000000-0005-0000-0000-000046730000}"/>
    <cellStyle name="Normal 4 3 4 2 2 2 2 3" xfId="20849" xr:uid="{00000000-0005-0000-0000-000047730000}"/>
    <cellStyle name="Normal 4 3 4 2 2 2 2 3 2" xfId="20850" xr:uid="{00000000-0005-0000-0000-000048730000}"/>
    <cellStyle name="Normal 4 3 4 2 2 2 2 3 2 2" xfId="20851" xr:uid="{00000000-0005-0000-0000-000049730000}"/>
    <cellStyle name="Normal 4 3 4 2 2 2 2 3 3" xfId="20852" xr:uid="{00000000-0005-0000-0000-00004A730000}"/>
    <cellStyle name="Normal 4 3 4 2 2 2 2 4" xfId="20853" xr:uid="{00000000-0005-0000-0000-00004B730000}"/>
    <cellStyle name="Normal 4 3 4 2 2 2 2 4 2" xfId="20854" xr:uid="{00000000-0005-0000-0000-00004C730000}"/>
    <cellStyle name="Normal 4 3 4 2 2 2 2 5" xfId="20855" xr:uid="{00000000-0005-0000-0000-00004D730000}"/>
    <cellStyle name="Normal 4 3 4 2 2 2 3" xfId="20856" xr:uid="{00000000-0005-0000-0000-00004E730000}"/>
    <cellStyle name="Normal 4 3 4 2 2 2 3 2" xfId="20857" xr:uid="{00000000-0005-0000-0000-00004F730000}"/>
    <cellStyle name="Normal 4 3 4 2 2 2 3 2 2" xfId="20858" xr:uid="{00000000-0005-0000-0000-000050730000}"/>
    <cellStyle name="Normal 4 3 4 2 2 2 3 2 2 2" xfId="20859" xr:uid="{00000000-0005-0000-0000-000051730000}"/>
    <cellStyle name="Normal 4 3 4 2 2 2 3 2 3" xfId="20860" xr:uid="{00000000-0005-0000-0000-000052730000}"/>
    <cellStyle name="Normal 4 3 4 2 2 2 3 3" xfId="20861" xr:uid="{00000000-0005-0000-0000-000053730000}"/>
    <cellStyle name="Normal 4 3 4 2 2 2 3 3 2" xfId="20862" xr:uid="{00000000-0005-0000-0000-000054730000}"/>
    <cellStyle name="Normal 4 3 4 2 2 2 3 3 2 2" xfId="20863" xr:uid="{00000000-0005-0000-0000-000055730000}"/>
    <cellStyle name="Normal 4 3 4 2 2 2 3 3 3" xfId="20864" xr:uid="{00000000-0005-0000-0000-000056730000}"/>
    <cellStyle name="Normal 4 3 4 2 2 2 3 4" xfId="20865" xr:uid="{00000000-0005-0000-0000-000057730000}"/>
    <cellStyle name="Normal 4 3 4 2 2 2 3 4 2" xfId="20866" xr:uid="{00000000-0005-0000-0000-000058730000}"/>
    <cellStyle name="Normal 4 3 4 2 2 2 3 5" xfId="20867" xr:uid="{00000000-0005-0000-0000-000059730000}"/>
    <cellStyle name="Normal 4 3 4 2 2 2 4" xfId="20868" xr:uid="{00000000-0005-0000-0000-00005A730000}"/>
    <cellStyle name="Normal 4 3 4 2 2 2 4 2" xfId="20869" xr:uid="{00000000-0005-0000-0000-00005B730000}"/>
    <cellStyle name="Normal 4 3 4 2 2 2 4 2 2" xfId="20870" xr:uid="{00000000-0005-0000-0000-00005C730000}"/>
    <cellStyle name="Normal 4 3 4 2 2 2 4 3" xfId="20871" xr:uid="{00000000-0005-0000-0000-00005D730000}"/>
    <cellStyle name="Normal 4 3 4 2 2 2 5" xfId="20872" xr:uid="{00000000-0005-0000-0000-00005E730000}"/>
    <cellStyle name="Normal 4 3 4 2 2 2 5 2" xfId="20873" xr:uid="{00000000-0005-0000-0000-00005F730000}"/>
    <cellStyle name="Normal 4 3 4 2 2 2 5 2 2" xfId="20874" xr:uid="{00000000-0005-0000-0000-000060730000}"/>
    <cellStyle name="Normal 4 3 4 2 2 2 5 3" xfId="20875" xr:uid="{00000000-0005-0000-0000-000061730000}"/>
    <cellStyle name="Normal 4 3 4 2 2 2 6" xfId="20876" xr:uid="{00000000-0005-0000-0000-000062730000}"/>
    <cellStyle name="Normal 4 3 4 2 2 2 6 2" xfId="20877" xr:uid="{00000000-0005-0000-0000-000063730000}"/>
    <cellStyle name="Normal 4 3 4 2 2 2 7" xfId="20878" xr:uid="{00000000-0005-0000-0000-000064730000}"/>
    <cellStyle name="Normal 4 3 4 2 2 3" xfId="20879" xr:uid="{00000000-0005-0000-0000-000065730000}"/>
    <cellStyle name="Normal 4 3 4 2 2 3 2" xfId="20880" xr:uid="{00000000-0005-0000-0000-000066730000}"/>
    <cellStyle name="Normal 4 3 4 2 2 3 2 2" xfId="20881" xr:uid="{00000000-0005-0000-0000-000067730000}"/>
    <cellStyle name="Normal 4 3 4 2 2 3 2 2 2" xfId="20882" xr:uid="{00000000-0005-0000-0000-000068730000}"/>
    <cellStyle name="Normal 4 3 4 2 2 3 2 2 2 2" xfId="20883" xr:uid="{00000000-0005-0000-0000-000069730000}"/>
    <cellStyle name="Normal 4 3 4 2 2 3 2 2 3" xfId="20884" xr:uid="{00000000-0005-0000-0000-00006A730000}"/>
    <cellStyle name="Normal 4 3 4 2 2 3 2 3" xfId="20885" xr:uid="{00000000-0005-0000-0000-00006B730000}"/>
    <cellStyle name="Normal 4 3 4 2 2 3 2 3 2" xfId="20886" xr:uid="{00000000-0005-0000-0000-00006C730000}"/>
    <cellStyle name="Normal 4 3 4 2 2 3 2 4" xfId="20887" xr:uid="{00000000-0005-0000-0000-00006D730000}"/>
    <cellStyle name="Normal 4 3 4 2 2 3 3" xfId="20888" xr:uid="{00000000-0005-0000-0000-00006E730000}"/>
    <cellStyle name="Normal 4 3 4 2 2 3 3 2" xfId="20889" xr:uid="{00000000-0005-0000-0000-00006F730000}"/>
    <cellStyle name="Normal 4 3 4 2 2 3 3 2 2" xfId="20890" xr:uid="{00000000-0005-0000-0000-000070730000}"/>
    <cellStyle name="Normal 4 3 4 2 2 3 3 3" xfId="20891" xr:uid="{00000000-0005-0000-0000-000071730000}"/>
    <cellStyle name="Normal 4 3 4 2 2 3 4" xfId="20892" xr:uid="{00000000-0005-0000-0000-000072730000}"/>
    <cellStyle name="Normal 4 3 4 2 2 3 4 2" xfId="20893" xr:uid="{00000000-0005-0000-0000-000073730000}"/>
    <cellStyle name="Normal 4 3 4 2 2 3 5" xfId="20894" xr:uid="{00000000-0005-0000-0000-000074730000}"/>
    <cellStyle name="Normal 4 3 4 2 2 4" xfId="20895" xr:uid="{00000000-0005-0000-0000-000075730000}"/>
    <cellStyle name="Normal 4 3 4 2 2 4 2" xfId="20896" xr:uid="{00000000-0005-0000-0000-000076730000}"/>
    <cellStyle name="Normal 4 3 4 2 2 4 2 2" xfId="20897" xr:uid="{00000000-0005-0000-0000-000077730000}"/>
    <cellStyle name="Normal 4 3 4 2 2 4 2 2 2" xfId="20898" xr:uid="{00000000-0005-0000-0000-000078730000}"/>
    <cellStyle name="Normal 4 3 4 2 2 4 2 3" xfId="20899" xr:uid="{00000000-0005-0000-0000-000079730000}"/>
    <cellStyle name="Normal 4 3 4 2 2 4 3" xfId="20900" xr:uid="{00000000-0005-0000-0000-00007A730000}"/>
    <cellStyle name="Normal 4 3 4 2 2 4 3 2" xfId="20901" xr:uid="{00000000-0005-0000-0000-00007B730000}"/>
    <cellStyle name="Normal 4 3 4 2 2 4 3 2 2" xfId="20902" xr:uid="{00000000-0005-0000-0000-00007C730000}"/>
    <cellStyle name="Normal 4 3 4 2 2 4 3 3" xfId="20903" xr:uid="{00000000-0005-0000-0000-00007D730000}"/>
    <cellStyle name="Normal 4 3 4 2 2 4 4" xfId="20904" xr:uid="{00000000-0005-0000-0000-00007E730000}"/>
    <cellStyle name="Normal 4 3 4 2 2 4 4 2" xfId="20905" xr:uid="{00000000-0005-0000-0000-00007F730000}"/>
    <cellStyle name="Normal 4 3 4 2 2 4 5" xfId="20906" xr:uid="{00000000-0005-0000-0000-000080730000}"/>
    <cellStyle name="Normal 4 3 4 2 2 5" xfId="20907" xr:uid="{00000000-0005-0000-0000-000081730000}"/>
    <cellStyle name="Normal 4 3 4 2 2 5 2" xfId="20908" xr:uid="{00000000-0005-0000-0000-000082730000}"/>
    <cellStyle name="Normal 4 3 4 2 2 5 2 2" xfId="20909" xr:uid="{00000000-0005-0000-0000-000083730000}"/>
    <cellStyle name="Normal 4 3 4 2 2 5 3" xfId="20910" xr:uid="{00000000-0005-0000-0000-000084730000}"/>
    <cellStyle name="Normal 4 3 4 2 2 6" xfId="20911" xr:uid="{00000000-0005-0000-0000-000085730000}"/>
    <cellStyle name="Normal 4 3 4 2 2 6 2" xfId="20912" xr:uid="{00000000-0005-0000-0000-000086730000}"/>
    <cellStyle name="Normal 4 3 4 2 2 6 2 2" xfId="20913" xr:uid="{00000000-0005-0000-0000-000087730000}"/>
    <cellStyle name="Normal 4 3 4 2 2 6 3" xfId="20914" xr:uid="{00000000-0005-0000-0000-000088730000}"/>
    <cellStyle name="Normal 4 3 4 2 2 7" xfId="20915" xr:uid="{00000000-0005-0000-0000-000089730000}"/>
    <cellStyle name="Normal 4 3 4 2 2 7 2" xfId="20916" xr:uid="{00000000-0005-0000-0000-00008A730000}"/>
    <cellStyle name="Normal 4 3 4 2 2 8" xfId="20917" xr:uid="{00000000-0005-0000-0000-00008B730000}"/>
    <cellStyle name="Normal 4 3 4 2 3" xfId="20918" xr:uid="{00000000-0005-0000-0000-00008C730000}"/>
    <cellStyle name="Normal 4 3 4 2 3 2" xfId="20919" xr:uid="{00000000-0005-0000-0000-00008D730000}"/>
    <cellStyle name="Normal 4 3 4 2 3 2 2" xfId="20920" xr:uid="{00000000-0005-0000-0000-00008E730000}"/>
    <cellStyle name="Normal 4 3 4 2 3 2 2 2" xfId="20921" xr:uid="{00000000-0005-0000-0000-00008F730000}"/>
    <cellStyle name="Normal 4 3 4 2 3 2 2 2 2" xfId="20922" xr:uid="{00000000-0005-0000-0000-000090730000}"/>
    <cellStyle name="Normal 4 3 4 2 3 2 2 2 2 2" xfId="20923" xr:uid="{00000000-0005-0000-0000-000091730000}"/>
    <cellStyle name="Normal 4 3 4 2 3 2 2 2 3" xfId="20924" xr:uid="{00000000-0005-0000-0000-000092730000}"/>
    <cellStyle name="Normal 4 3 4 2 3 2 2 3" xfId="20925" xr:uid="{00000000-0005-0000-0000-000093730000}"/>
    <cellStyle name="Normal 4 3 4 2 3 2 2 3 2" xfId="20926" xr:uid="{00000000-0005-0000-0000-000094730000}"/>
    <cellStyle name="Normal 4 3 4 2 3 2 2 4" xfId="20927" xr:uid="{00000000-0005-0000-0000-000095730000}"/>
    <cellStyle name="Normal 4 3 4 2 3 2 3" xfId="20928" xr:uid="{00000000-0005-0000-0000-000096730000}"/>
    <cellStyle name="Normal 4 3 4 2 3 2 3 2" xfId="20929" xr:uid="{00000000-0005-0000-0000-000097730000}"/>
    <cellStyle name="Normal 4 3 4 2 3 2 3 2 2" xfId="20930" xr:uid="{00000000-0005-0000-0000-000098730000}"/>
    <cellStyle name="Normal 4 3 4 2 3 2 3 3" xfId="20931" xr:uid="{00000000-0005-0000-0000-000099730000}"/>
    <cellStyle name="Normal 4 3 4 2 3 2 4" xfId="20932" xr:uid="{00000000-0005-0000-0000-00009A730000}"/>
    <cellStyle name="Normal 4 3 4 2 3 2 4 2" xfId="20933" xr:uid="{00000000-0005-0000-0000-00009B730000}"/>
    <cellStyle name="Normal 4 3 4 2 3 2 5" xfId="20934" xr:uid="{00000000-0005-0000-0000-00009C730000}"/>
    <cellStyle name="Normal 4 3 4 2 3 3" xfId="20935" xr:uid="{00000000-0005-0000-0000-00009D730000}"/>
    <cellStyle name="Normal 4 3 4 2 3 3 2" xfId="20936" xr:uid="{00000000-0005-0000-0000-00009E730000}"/>
    <cellStyle name="Normal 4 3 4 2 3 3 2 2" xfId="20937" xr:uid="{00000000-0005-0000-0000-00009F730000}"/>
    <cellStyle name="Normal 4 3 4 2 3 3 2 2 2" xfId="20938" xr:uid="{00000000-0005-0000-0000-0000A0730000}"/>
    <cellStyle name="Normal 4 3 4 2 3 3 2 3" xfId="20939" xr:uid="{00000000-0005-0000-0000-0000A1730000}"/>
    <cellStyle name="Normal 4 3 4 2 3 3 3" xfId="20940" xr:uid="{00000000-0005-0000-0000-0000A2730000}"/>
    <cellStyle name="Normal 4 3 4 2 3 3 3 2" xfId="20941" xr:uid="{00000000-0005-0000-0000-0000A3730000}"/>
    <cellStyle name="Normal 4 3 4 2 3 3 3 2 2" xfId="20942" xr:uid="{00000000-0005-0000-0000-0000A4730000}"/>
    <cellStyle name="Normal 4 3 4 2 3 3 3 3" xfId="20943" xr:uid="{00000000-0005-0000-0000-0000A5730000}"/>
    <cellStyle name="Normal 4 3 4 2 3 3 4" xfId="20944" xr:uid="{00000000-0005-0000-0000-0000A6730000}"/>
    <cellStyle name="Normal 4 3 4 2 3 3 4 2" xfId="20945" xr:uid="{00000000-0005-0000-0000-0000A7730000}"/>
    <cellStyle name="Normal 4 3 4 2 3 3 5" xfId="20946" xr:uid="{00000000-0005-0000-0000-0000A8730000}"/>
    <cellStyle name="Normal 4 3 4 2 3 4" xfId="20947" xr:uid="{00000000-0005-0000-0000-0000A9730000}"/>
    <cellStyle name="Normal 4 3 4 2 3 4 2" xfId="20948" xr:uid="{00000000-0005-0000-0000-0000AA730000}"/>
    <cellStyle name="Normal 4 3 4 2 3 4 2 2" xfId="20949" xr:uid="{00000000-0005-0000-0000-0000AB730000}"/>
    <cellStyle name="Normal 4 3 4 2 3 4 3" xfId="20950" xr:uid="{00000000-0005-0000-0000-0000AC730000}"/>
    <cellStyle name="Normal 4 3 4 2 3 5" xfId="20951" xr:uid="{00000000-0005-0000-0000-0000AD730000}"/>
    <cellStyle name="Normal 4 3 4 2 3 5 2" xfId="20952" xr:uid="{00000000-0005-0000-0000-0000AE730000}"/>
    <cellStyle name="Normal 4 3 4 2 3 5 2 2" xfId="20953" xr:uid="{00000000-0005-0000-0000-0000AF730000}"/>
    <cellStyle name="Normal 4 3 4 2 3 5 3" xfId="20954" xr:uid="{00000000-0005-0000-0000-0000B0730000}"/>
    <cellStyle name="Normal 4 3 4 2 3 6" xfId="20955" xr:uid="{00000000-0005-0000-0000-0000B1730000}"/>
    <cellStyle name="Normal 4 3 4 2 3 6 2" xfId="20956" xr:uid="{00000000-0005-0000-0000-0000B2730000}"/>
    <cellStyle name="Normal 4 3 4 2 3 7" xfId="20957" xr:uid="{00000000-0005-0000-0000-0000B3730000}"/>
    <cellStyle name="Normal 4 3 4 2 4" xfId="20958" xr:uid="{00000000-0005-0000-0000-0000B4730000}"/>
    <cellStyle name="Normal 4 3 4 2 4 2" xfId="20959" xr:uid="{00000000-0005-0000-0000-0000B5730000}"/>
    <cellStyle name="Normal 4 3 4 2 4 2 2" xfId="20960" xr:uid="{00000000-0005-0000-0000-0000B6730000}"/>
    <cellStyle name="Normal 4 3 4 2 4 2 2 2" xfId="20961" xr:uid="{00000000-0005-0000-0000-0000B7730000}"/>
    <cellStyle name="Normal 4 3 4 2 4 2 2 2 2" xfId="20962" xr:uid="{00000000-0005-0000-0000-0000B8730000}"/>
    <cellStyle name="Normal 4 3 4 2 4 2 2 3" xfId="20963" xr:uid="{00000000-0005-0000-0000-0000B9730000}"/>
    <cellStyle name="Normal 4 3 4 2 4 2 3" xfId="20964" xr:uid="{00000000-0005-0000-0000-0000BA730000}"/>
    <cellStyle name="Normal 4 3 4 2 4 2 3 2" xfId="20965" xr:uid="{00000000-0005-0000-0000-0000BB730000}"/>
    <cellStyle name="Normal 4 3 4 2 4 2 4" xfId="20966" xr:uid="{00000000-0005-0000-0000-0000BC730000}"/>
    <cellStyle name="Normal 4 3 4 2 4 3" xfId="20967" xr:uid="{00000000-0005-0000-0000-0000BD730000}"/>
    <cellStyle name="Normal 4 3 4 2 4 3 2" xfId="20968" xr:uid="{00000000-0005-0000-0000-0000BE730000}"/>
    <cellStyle name="Normal 4 3 4 2 4 3 2 2" xfId="20969" xr:uid="{00000000-0005-0000-0000-0000BF730000}"/>
    <cellStyle name="Normal 4 3 4 2 4 3 3" xfId="20970" xr:uid="{00000000-0005-0000-0000-0000C0730000}"/>
    <cellStyle name="Normal 4 3 4 2 4 4" xfId="20971" xr:uid="{00000000-0005-0000-0000-0000C1730000}"/>
    <cellStyle name="Normal 4 3 4 2 4 4 2" xfId="20972" xr:uid="{00000000-0005-0000-0000-0000C2730000}"/>
    <cellStyle name="Normal 4 3 4 2 4 5" xfId="20973" xr:uid="{00000000-0005-0000-0000-0000C3730000}"/>
    <cellStyle name="Normal 4 3 4 2 5" xfId="20974" xr:uid="{00000000-0005-0000-0000-0000C4730000}"/>
    <cellStyle name="Normal 4 3 4 2 5 2" xfId="20975" xr:uid="{00000000-0005-0000-0000-0000C5730000}"/>
    <cellStyle name="Normal 4 3 4 2 5 2 2" xfId="20976" xr:uid="{00000000-0005-0000-0000-0000C6730000}"/>
    <cellStyle name="Normal 4 3 4 2 5 2 2 2" xfId="20977" xr:uid="{00000000-0005-0000-0000-0000C7730000}"/>
    <cellStyle name="Normal 4 3 4 2 5 2 3" xfId="20978" xr:uid="{00000000-0005-0000-0000-0000C8730000}"/>
    <cellStyle name="Normal 4 3 4 2 5 3" xfId="20979" xr:uid="{00000000-0005-0000-0000-0000C9730000}"/>
    <cellStyle name="Normal 4 3 4 2 5 3 2" xfId="20980" xr:uid="{00000000-0005-0000-0000-0000CA730000}"/>
    <cellStyle name="Normal 4 3 4 2 5 3 2 2" xfId="20981" xr:uid="{00000000-0005-0000-0000-0000CB730000}"/>
    <cellStyle name="Normal 4 3 4 2 5 3 3" xfId="20982" xr:uid="{00000000-0005-0000-0000-0000CC730000}"/>
    <cellStyle name="Normal 4 3 4 2 5 4" xfId="20983" xr:uid="{00000000-0005-0000-0000-0000CD730000}"/>
    <cellStyle name="Normal 4 3 4 2 5 4 2" xfId="20984" xr:uid="{00000000-0005-0000-0000-0000CE730000}"/>
    <cellStyle name="Normal 4 3 4 2 5 5" xfId="20985" xr:uid="{00000000-0005-0000-0000-0000CF730000}"/>
    <cellStyle name="Normal 4 3 4 2 6" xfId="20986" xr:uid="{00000000-0005-0000-0000-0000D0730000}"/>
    <cellStyle name="Normal 4 3 4 2 6 2" xfId="20987" xr:uid="{00000000-0005-0000-0000-0000D1730000}"/>
    <cellStyle name="Normal 4 3 4 2 6 2 2" xfId="20988" xr:uid="{00000000-0005-0000-0000-0000D2730000}"/>
    <cellStyle name="Normal 4 3 4 2 6 3" xfId="20989" xr:uid="{00000000-0005-0000-0000-0000D3730000}"/>
    <cellStyle name="Normal 4 3 4 2 7" xfId="20990" xr:uid="{00000000-0005-0000-0000-0000D4730000}"/>
    <cellStyle name="Normal 4 3 4 2 7 2" xfId="20991" xr:uid="{00000000-0005-0000-0000-0000D5730000}"/>
    <cellStyle name="Normal 4 3 4 2 7 2 2" xfId="20992" xr:uid="{00000000-0005-0000-0000-0000D6730000}"/>
    <cellStyle name="Normal 4 3 4 2 7 3" xfId="20993" xr:uid="{00000000-0005-0000-0000-0000D7730000}"/>
    <cellStyle name="Normal 4 3 4 2 8" xfId="20994" xr:uid="{00000000-0005-0000-0000-0000D8730000}"/>
    <cellStyle name="Normal 4 3 4 2 8 2" xfId="20995" xr:uid="{00000000-0005-0000-0000-0000D9730000}"/>
    <cellStyle name="Normal 4 3 4 2 9" xfId="20996" xr:uid="{00000000-0005-0000-0000-0000DA730000}"/>
    <cellStyle name="Normal 4 3 4 3" xfId="20997" xr:uid="{00000000-0005-0000-0000-0000DB730000}"/>
    <cellStyle name="Normal 4 3 4 3 2" xfId="20998" xr:uid="{00000000-0005-0000-0000-0000DC730000}"/>
    <cellStyle name="Normal 4 3 4 3 2 2" xfId="20999" xr:uid="{00000000-0005-0000-0000-0000DD730000}"/>
    <cellStyle name="Normal 4 3 4 3 2 2 2" xfId="21000" xr:uid="{00000000-0005-0000-0000-0000DE730000}"/>
    <cellStyle name="Normal 4 3 4 3 2 2 2 2" xfId="21001" xr:uid="{00000000-0005-0000-0000-0000DF730000}"/>
    <cellStyle name="Normal 4 3 4 3 2 2 2 2 2" xfId="21002" xr:uid="{00000000-0005-0000-0000-0000E0730000}"/>
    <cellStyle name="Normal 4 3 4 3 2 2 2 2 2 2" xfId="21003" xr:uid="{00000000-0005-0000-0000-0000E1730000}"/>
    <cellStyle name="Normal 4 3 4 3 2 2 2 2 3" xfId="21004" xr:uid="{00000000-0005-0000-0000-0000E2730000}"/>
    <cellStyle name="Normal 4 3 4 3 2 2 2 3" xfId="21005" xr:uid="{00000000-0005-0000-0000-0000E3730000}"/>
    <cellStyle name="Normal 4 3 4 3 2 2 2 3 2" xfId="21006" xr:uid="{00000000-0005-0000-0000-0000E4730000}"/>
    <cellStyle name="Normal 4 3 4 3 2 2 2 4" xfId="21007" xr:uid="{00000000-0005-0000-0000-0000E5730000}"/>
    <cellStyle name="Normal 4 3 4 3 2 2 3" xfId="21008" xr:uid="{00000000-0005-0000-0000-0000E6730000}"/>
    <cellStyle name="Normal 4 3 4 3 2 2 3 2" xfId="21009" xr:uid="{00000000-0005-0000-0000-0000E7730000}"/>
    <cellStyle name="Normal 4 3 4 3 2 2 3 2 2" xfId="21010" xr:uid="{00000000-0005-0000-0000-0000E8730000}"/>
    <cellStyle name="Normal 4 3 4 3 2 2 3 3" xfId="21011" xr:uid="{00000000-0005-0000-0000-0000E9730000}"/>
    <cellStyle name="Normal 4 3 4 3 2 2 4" xfId="21012" xr:uid="{00000000-0005-0000-0000-0000EA730000}"/>
    <cellStyle name="Normal 4 3 4 3 2 2 4 2" xfId="21013" xr:uid="{00000000-0005-0000-0000-0000EB730000}"/>
    <cellStyle name="Normal 4 3 4 3 2 2 5" xfId="21014" xr:uid="{00000000-0005-0000-0000-0000EC730000}"/>
    <cellStyle name="Normal 4 3 4 3 2 3" xfId="21015" xr:uid="{00000000-0005-0000-0000-0000ED730000}"/>
    <cellStyle name="Normal 4 3 4 3 2 3 2" xfId="21016" xr:uid="{00000000-0005-0000-0000-0000EE730000}"/>
    <cellStyle name="Normal 4 3 4 3 2 3 2 2" xfId="21017" xr:uid="{00000000-0005-0000-0000-0000EF730000}"/>
    <cellStyle name="Normal 4 3 4 3 2 3 2 2 2" xfId="21018" xr:uid="{00000000-0005-0000-0000-0000F0730000}"/>
    <cellStyle name="Normal 4 3 4 3 2 3 2 3" xfId="21019" xr:uid="{00000000-0005-0000-0000-0000F1730000}"/>
    <cellStyle name="Normal 4 3 4 3 2 3 3" xfId="21020" xr:uid="{00000000-0005-0000-0000-0000F2730000}"/>
    <cellStyle name="Normal 4 3 4 3 2 3 3 2" xfId="21021" xr:uid="{00000000-0005-0000-0000-0000F3730000}"/>
    <cellStyle name="Normal 4 3 4 3 2 3 3 2 2" xfId="21022" xr:uid="{00000000-0005-0000-0000-0000F4730000}"/>
    <cellStyle name="Normal 4 3 4 3 2 3 3 3" xfId="21023" xr:uid="{00000000-0005-0000-0000-0000F5730000}"/>
    <cellStyle name="Normal 4 3 4 3 2 3 4" xfId="21024" xr:uid="{00000000-0005-0000-0000-0000F6730000}"/>
    <cellStyle name="Normal 4 3 4 3 2 3 4 2" xfId="21025" xr:uid="{00000000-0005-0000-0000-0000F7730000}"/>
    <cellStyle name="Normal 4 3 4 3 2 3 5" xfId="21026" xr:uid="{00000000-0005-0000-0000-0000F8730000}"/>
    <cellStyle name="Normal 4 3 4 3 2 4" xfId="21027" xr:uid="{00000000-0005-0000-0000-0000F9730000}"/>
    <cellStyle name="Normal 4 3 4 3 2 4 2" xfId="21028" xr:uid="{00000000-0005-0000-0000-0000FA730000}"/>
    <cellStyle name="Normal 4 3 4 3 2 4 2 2" xfId="21029" xr:uid="{00000000-0005-0000-0000-0000FB730000}"/>
    <cellStyle name="Normal 4 3 4 3 2 4 3" xfId="21030" xr:uid="{00000000-0005-0000-0000-0000FC730000}"/>
    <cellStyle name="Normal 4 3 4 3 2 5" xfId="21031" xr:uid="{00000000-0005-0000-0000-0000FD730000}"/>
    <cellStyle name="Normal 4 3 4 3 2 5 2" xfId="21032" xr:uid="{00000000-0005-0000-0000-0000FE730000}"/>
    <cellStyle name="Normal 4 3 4 3 2 5 2 2" xfId="21033" xr:uid="{00000000-0005-0000-0000-0000FF730000}"/>
    <cellStyle name="Normal 4 3 4 3 2 5 3" xfId="21034" xr:uid="{00000000-0005-0000-0000-000000740000}"/>
    <cellStyle name="Normal 4 3 4 3 2 6" xfId="21035" xr:uid="{00000000-0005-0000-0000-000001740000}"/>
    <cellStyle name="Normal 4 3 4 3 2 6 2" xfId="21036" xr:uid="{00000000-0005-0000-0000-000002740000}"/>
    <cellStyle name="Normal 4 3 4 3 2 7" xfId="21037" xr:uid="{00000000-0005-0000-0000-000003740000}"/>
    <cellStyle name="Normal 4 3 4 3 3" xfId="21038" xr:uid="{00000000-0005-0000-0000-000004740000}"/>
    <cellStyle name="Normal 4 3 4 3 3 2" xfId="21039" xr:uid="{00000000-0005-0000-0000-000005740000}"/>
    <cellStyle name="Normal 4 3 4 3 3 2 2" xfId="21040" xr:uid="{00000000-0005-0000-0000-000006740000}"/>
    <cellStyle name="Normal 4 3 4 3 3 2 2 2" xfId="21041" xr:uid="{00000000-0005-0000-0000-000007740000}"/>
    <cellStyle name="Normal 4 3 4 3 3 2 2 2 2" xfId="21042" xr:uid="{00000000-0005-0000-0000-000008740000}"/>
    <cellStyle name="Normal 4 3 4 3 3 2 2 3" xfId="21043" xr:uid="{00000000-0005-0000-0000-000009740000}"/>
    <cellStyle name="Normal 4 3 4 3 3 2 3" xfId="21044" xr:uid="{00000000-0005-0000-0000-00000A740000}"/>
    <cellStyle name="Normal 4 3 4 3 3 2 3 2" xfId="21045" xr:uid="{00000000-0005-0000-0000-00000B740000}"/>
    <cellStyle name="Normal 4 3 4 3 3 2 4" xfId="21046" xr:uid="{00000000-0005-0000-0000-00000C740000}"/>
    <cellStyle name="Normal 4 3 4 3 3 3" xfId="21047" xr:uid="{00000000-0005-0000-0000-00000D740000}"/>
    <cellStyle name="Normal 4 3 4 3 3 3 2" xfId="21048" xr:uid="{00000000-0005-0000-0000-00000E740000}"/>
    <cellStyle name="Normal 4 3 4 3 3 3 2 2" xfId="21049" xr:uid="{00000000-0005-0000-0000-00000F740000}"/>
    <cellStyle name="Normal 4 3 4 3 3 3 3" xfId="21050" xr:uid="{00000000-0005-0000-0000-000010740000}"/>
    <cellStyle name="Normal 4 3 4 3 3 4" xfId="21051" xr:uid="{00000000-0005-0000-0000-000011740000}"/>
    <cellStyle name="Normal 4 3 4 3 3 4 2" xfId="21052" xr:uid="{00000000-0005-0000-0000-000012740000}"/>
    <cellStyle name="Normal 4 3 4 3 3 5" xfId="21053" xr:uid="{00000000-0005-0000-0000-000013740000}"/>
    <cellStyle name="Normal 4 3 4 3 4" xfId="21054" xr:uid="{00000000-0005-0000-0000-000014740000}"/>
    <cellStyle name="Normal 4 3 4 3 4 2" xfId="21055" xr:uid="{00000000-0005-0000-0000-000015740000}"/>
    <cellStyle name="Normal 4 3 4 3 4 2 2" xfId="21056" xr:uid="{00000000-0005-0000-0000-000016740000}"/>
    <cellStyle name="Normal 4 3 4 3 4 2 2 2" xfId="21057" xr:uid="{00000000-0005-0000-0000-000017740000}"/>
    <cellStyle name="Normal 4 3 4 3 4 2 3" xfId="21058" xr:uid="{00000000-0005-0000-0000-000018740000}"/>
    <cellStyle name="Normal 4 3 4 3 4 3" xfId="21059" xr:uid="{00000000-0005-0000-0000-000019740000}"/>
    <cellStyle name="Normal 4 3 4 3 4 3 2" xfId="21060" xr:uid="{00000000-0005-0000-0000-00001A740000}"/>
    <cellStyle name="Normal 4 3 4 3 4 3 2 2" xfId="21061" xr:uid="{00000000-0005-0000-0000-00001B740000}"/>
    <cellStyle name="Normal 4 3 4 3 4 3 3" xfId="21062" xr:uid="{00000000-0005-0000-0000-00001C740000}"/>
    <cellStyle name="Normal 4 3 4 3 4 4" xfId="21063" xr:uid="{00000000-0005-0000-0000-00001D740000}"/>
    <cellStyle name="Normal 4 3 4 3 4 4 2" xfId="21064" xr:uid="{00000000-0005-0000-0000-00001E740000}"/>
    <cellStyle name="Normal 4 3 4 3 4 5" xfId="21065" xr:uid="{00000000-0005-0000-0000-00001F740000}"/>
    <cellStyle name="Normal 4 3 4 3 5" xfId="21066" xr:uid="{00000000-0005-0000-0000-000020740000}"/>
    <cellStyle name="Normal 4 3 4 3 5 2" xfId="21067" xr:uid="{00000000-0005-0000-0000-000021740000}"/>
    <cellStyle name="Normal 4 3 4 3 5 2 2" xfId="21068" xr:uid="{00000000-0005-0000-0000-000022740000}"/>
    <cellStyle name="Normal 4 3 4 3 5 3" xfId="21069" xr:uid="{00000000-0005-0000-0000-000023740000}"/>
    <cellStyle name="Normal 4 3 4 3 6" xfId="21070" xr:uid="{00000000-0005-0000-0000-000024740000}"/>
    <cellStyle name="Normal 4 3 4 3 6 2" xfId="21071" xr:uid="{00000000-0005-0000-0000-000025740000}"/>
    <cellStyle name="Normal 4 3 4 3 6 2 2" xfId="21072" xr:uid="{00000000-0005-0000-0000-000026740000}"/>
    <cellStyle name="Normal 4 3 4 3 6 3" xfId="21073" xr:uid="{00000000-0005-0000-0000-000027740000}"/>
    <cellStyle name="Normal 4 3 4 3 7" xfId="21074" xr:uid="{00000000-0005-0000-0000-000028740000}"/>
    <cellStyle name="Normal 4 3 4 3 7 2" xfId="21075" xr:uid="{00000000-0005-0000-0000-000029740000}"/>
    <cellStyle name="Normal 4 3 4 3 8" xfId="21076" xr:uid="{00000000-0005-0000-0000-00002A740000}"/>
    <cellStyle name="Normal 4 3 4 4" xfId="21077" xr:uid="{00000000-0005-0000-0000-00002B740000}"/>
    <cellStyle name="Normal 4 3 4 4 2" xfId="21078" xr:uid="{00000000-0005-0000-0000-00002C740000}"/>
    <cellStyle name="Normal 4 3 4 4 2 2" xfId="21079" xr:uid="{00000000-0005-0000-0000-00002D740000}"/>
    <cellStyle name="Normal 4 3 4 4 2 2 2" xfId="21080" xr:uid="{00000000-0005-0000-0000-00002E740000}"/>
    <cellStyle name="Normal 4 3 4 4 2 2 2 2" xfId="21081" xr:uid="{00000000-0005-0000-0000-00002F740000}"/>
    <cellStyle name="Normal 4 3 4 4 2 2 2 2 2" xfId="21082" xr:uid="{00000000-0005-0000-0000-000030740000}"/>
    <cellStyle name="Normal 4 3 4 4 2 2 2 2 2 2" xfId="21083" xr:uid="{00000000-0005-0000-0000-000031740000}"/>
    <cellStyle name="Normal 4 3 4 4 2 2 2 2 3" xfId="21084" xr:uid="{00000000-0005-0000-0000-000032740000}"/>
    <cellStyle name="Normal 4 3 4 4 2 2 2 3" xfId="21085" xr:uid="{00000000-0005-0000-0000-000033740000}"/>
    <cellStyle name="Normal 4 3 4 4 2 2 2 3 2" xfId="21086" xr:uid="{00000000-0005-0000-0000-000034740000}"/>
    <cellStyle name="Normal 4 3 4 4 2 2 2 4" xfId="21087" xr:uid="{00000000-0005-0000-0000-000035740000}"/>
    <cellStyle name="Normal 4 3 4 4 2 2 3" xfId="21088" xr:uid="{00000000-0005-0000-0000-000036740000}"/>
    <cellStyle name="Normal 4 3 4 4 2 2 3 2" xfId="21089" xr:uid="{00000000-0005-0000-0000-000037740000}"/>
    <cellStyle name="Normal 4 3 4 4 2 2 3 2 2" xfId="21090" xr:uid="{00000000-0005-0000-0000-000038740000}"/>
    <cellStyle name="Normal 4 3 4 4 2 2 3 3" xfId="21091" xr:uid="{00000000-0005-0000-0000-000039740000}"/>
    <cellStyle name="Normal 4 3 4 4 2 2 4" xfId="21092" xr:uid="{00000000-0005-0000-0000-00003A740000}"/>
    <cellStyle name="Normal 4 3 4 4 2 2 4 2" xfId="21093" xr:uid="{00000000-0005-0000-0000-00003B740000}"/>
    <cellStyle name="Normal 4 3 4 4 2 2 5" xfId="21094" xr:uid="{00000000-0005-0000-0000-00003C740000}"/>
    <cellStyle name="Normal 4 3 4 4 2 3" xfId="21095" xr:uid="{00000000-0005-0000-0000-00003D740000}"/>
    <cellStyle name="Normal 4 3 4 4 2 3 2" xfId="21096" xr:uid="{00000000-0005-0000-0000-00003E740000}"/>
    <cellStyle name="Normal 4 3 4 4 2 3 2 2" xfId="21097" xr:uid="{00000000-0005-0000-0000-00003F740000}"/>
    <cellStyle name="Normal 4 3 4 4 2 3 2 2 2" xfId="21098" xr:uid="{00000000-0005-0000-0000-000040740000}"/>
    <cellStyle name="Normal 4 3 4 4 2 3 2 3" xfId="21099" xr:uid="{00000000-0005-0000-0000-000041740000}"/>
    <cellStyle name="Normal 4 3 4 4 2 3 3" xfId="21100" xr:uid="{00000000-0005-0000-0000-000042740000}"/>
    <cellStyle name="Normal 4 3 4 4 2 3 3 2" xfId="21101" xr:uid="{00000000-0005-0000-0000-000043740000}"/>
    <cellStyle name="Normal 4 3 4 4 2 3 3 2 2" xfId="21102" xr:uid="{00000000-0005-0000-0000-000044740000}"/>
    <cellStyle name="Normal 4 3 4 4 2 3 3 3" xfId="21103" xr:uid="{00000000-0005-0000-0000-000045740000}"/>
    <cellStyle name="Normal 4 3 4 4 2 3 4" xfId="21104" xr:uid="{00000000-0005-0000-0000-000046740000}"/>
    <cellStyle name="Normal 4 3 4 4 2 3 4 2" xfId="21105" xr:uid="{00000000-0005-0000-0000-000047740000}"/>
    <cellStyle name="Normal 4 3 4 4 2 3 5" xfId="21106" xr:uid="{00000000-0005-0000-0000-000048740000}"/>
    <cellStyle name="Normal 4 3 4 4 2 4" xfId="21107" xr:uid="{00000000-0005-0000-0000-000049740000}"/>
    <cellStyle name="Normal 4 3 4 4 2 4 2" xfId="21108" xr:uid="{00000000-0005-0000-0000-00004A740000}"/>
    <cellStyle name="Normal 4 3 4 4 2 4 2 2" xfId="21109" xr:uid="{00000000-0005-0000-0000-00004B740000}"/>
    <cellStyle name="Normal 4 3 4 4 2 4 3" xfId="21110" xr:uid="{00000000-0005-0000-0000-00004C740000}"/>
    <cellStyle name="Normal 4 3 4 4 2 5" xfId="21111" xr:uid="{00000000-0005-0000-0000-00004D740000}"/>
    <cellStyle name="Normal 4 3 4 4 2 5 2" xfId="21112" xr:uid="{00000000-0005-0000-0000-00004E740000}"/>
    <cellStyle name="Normal 4 3 4 4 2 5 2 2" xfId="21113" xr:uid="{00000000-0005-0000-0000-00004F740000}"/>
    <cellStyle name="Normal 4 3 4 4 2 5 3" xfId="21114" xr:uid="{00000000-0005-0000-0000-000050740000}"/>
    <cellStyle name="Normal 4 3 4 4 2 6" xfId="21115" xr:uid="{00000000-0005-0000-0000-000051740000}"/>
    <cellStyle name="Normal 4 3 4 4 2 6 2" xfId="21116" xr:uid="{00000000-0005-0000-0000-000052740000}"/>
    <cellStyle name="Normal 4 3 4 4 2 7" xfId="21117" xr:uid="{00000000-0005-0000-0000-000053740000}"/>
    <cellStyle name="Normal 4 3 4 4 3" xfId="21118" xr:uid="{00000000-0005-0000-0000-000054740000}"/>
    <cellStyle name="Normal 4 3 4 4 3 2" xfId="21119" xr:uid="{00000000-0005-0000-0000-000055740000}"/>
    <cellStyle name="Normal 4 3 4 4 3 2 2" xfId="21120" xr:uid="{00000000-0005-0000-0000-000056740000}"/>
    <cellStyle name="Normal 4 3 4 4 3 2 2 2" xfId="21121" xr:uid="{00000000-0005-0000-0000-000057740000}"/>
    <cellStyle name="Normal 4 3 4 4 3 2 2 2 2" xfId="21122" xr:uid="{00000000-0005-0000-0000-000058740000}"/>
    <cellStyle name="Normal 4 3 4 4 3 2 2 3" xfId="21123" xr:uid="{00000000-0005-0000-0000-000059740000}"/>
    <cellStyle name="Normal 4 3 4 4 3 2 3" xfId="21124" xr:uid="{00000000-0005-0000-0000-00005A740000}"/>
    <cellStyle name="Normal 4 3 4 4 3 2 3 2" xfId="21125" xr:uid="{00000000-0005-0000-0000-00005B740000}"/>
    <cellStyle name="Normal 4 3 4 4 3 2 4" xfId="21126" xr:uid="{00000000-0005-0000-0000-00005C740000}"/>
    <cellStyle name="Normal 4 3 4 4 3 3" xfId="21127" xr:uid="{00000000-0005-0000-0000-00005D740000}"/>
    <cellStyle name="Normal 4 3 4 4 3 3 2" xfId="21128" xr:uid="{00000000-0005-0000-0000-00005E740000}"/>
    <cellStyle name="Normal 4 3 4 4 3 3 2 2" xfId="21129" xr:uid="{00000000-0005-0000-0000-00005F740000}"/>
    <cellStyle name="Normal 4 3 4 4 3 3 3" xfId="21130" xr:uid="{00000000-0005-0000-0000-000060740000}"/>
    <cellStyle name="Normal 4 3 4 4 3 4" xfId="21131" xr:uid="{00000000-0005-0000-0000-000061740000}"/>
    <cellStyle name="Normal 4 3 4 4 3 4 2" xfId="21132" xr:uid="{00000000-0005-0000-0000-000062740000}"/>
    <cellStyle name="Normal 4 3 4 4 3 5" xfId="21133" xr:uid="{00000000-0005-0000-0000-000063740000}"/>
    <cellStyle name="Normal 4 3 4 4 4" xfId="21134" xr:uid="{00000000-0005-0000-0000-000064740000}"/>
    <cellStyle name="Normal 4 3 4 4 4 2" xfId="21135" xr:uid="{00000000-0005-0000-0000-000065740000}"/>
    <cellStyle name="Normal 4 3 4 4 4 2 2" xfId="21136" xr:uid="{00000000-0005-0000-0000-000066740000}"/>
    <cellStyle name="Normal 4 3 4 4 4 2 2 2" xfId="21137" xr:uid="{00000000-0005-0000-0000-000067740000}"/>
    <cellStyle name="Normal 4 3 4 4 4 2 3" xfId="21138" xr:uid="{00000000-0005-0000-0000-000068740000}"/>
    <cellStyle name="Normal 4 3 4 4 4 3" xfId="21139" xr:uid="{00000000-0005-0000-0000-000069740000}"/>
    <cellStyle name="Normal 4 3 4 4 4 3 2" xfId="21140" xr:uid="{00000000-0005-0000-0000-00006A740000}"/>
    <cellStyle name="Normal 4 3 4 4 4 3 2 2" xfId="21141" xr:uid="{00000000-0005-0000-0000-00006B740000}"/>
    <cellStyle name="Normal 4 3 4 4 4 3 3" xfId="21142" xr:uid="{00000000-0005-0000-0000-00006C740000}"/>
    <cellStyle name="Normal 4 3 4 4 4 4" xfId="21143" xr:uid="{00000000-0005-0000-0000-00006D740000}"/>
    <cellStyle name="Normal 4 3 4 4 4 4 2" xfId="21144" xr:uid="{00000000-0005-0000-0000-00006E740000}"/>
    <cellStyle name="Normal 4 3 4 4 4 5" xfId="21145" xr:uid="{00000000-0005-0000-0000-00006F740000}"/>
    <cellStyle name="Normal 4 3 4 4 5" xfId="21146" xr:uid="{00000000-0005-0000-0000-000070740000}"/>
    <cellStyle name="Normal 4 3 4 4 5 2" xfId="21147" xr:uid="{00000000-0005-0000-0000-000071740000}"/>
    <cellStyle name="Normal 4 3 4 4 5 2 2" xfId="21148" xr:uid="{00000000-0005-0000-0000-000072740000}"/>
    <cellStyle name="Normal 4 3 4 4 5 3" xfId="21149" xr:uid="{00000000-0005-0000-0000-000073740000}"/>
    <cellStyle name="Normal 4 3 4 4 6" xfId="21150" xr:uid="{00000000-0005-0000-0000-000074740000}"/>
    <cellStyle name="Normal 4 3 4 4 6 2" xfId="21151" xr:uid="{00000000-0005-0000-0000-000075740000}"/>
    <cellStyle name="Normal 4 3 4 4 6 2 2" xfId="21152" xr:uid="{00000000-0005-0000-0000-000076740000}"/>
    <cellStyle name="Normal 4 3 4 4 6 3" xfId="21153" xr:uid="{00000000-0005-0000-0000-000077740000}"/>
    <cellStyle name="Normal 4 3 4 4 7" xfId="21154" xr:uid="{00000000-0005-0000-0000-000078740000}"/>
    <cellStyle name="Normal 4 3 4 4 7 2" xfId="21155" xr:uid="{00000000-0005-0000-0000-000079740000}"/>
    <cellStyle name="Normal 4 3 4 4 8" xfId="21156" xr:uid="{00000000-0005-0000-0000-00007A740000}"/>
    <cellStyle name="Normal 4 3 4 5" xfId="21157" xr:uid="{00000000-0005-0000-0000-00007B740000}"/>
    <cellStyle name="Normal 4 3 4 5 2" xfId="21158" xr:uid="{00000000-0005-0000-0000-00007C740000}"/>
    <cellStyle name="Normal 4 3 4 5 2 2" xfId="21159" xr:uid="{00000000-0005-0000-0000-00007D740000}"/>
    <cellStyle name="Normal 4 3 4 5 2 2 2" xfId="21160" xr:uid="{00000000-0005-0000-0000-00007E740000}"/>
    <cellStyle name="Normal 4 3 4 5 2 2 2 2" xfId="21161" xr:uid="{00000000-0005-0000-0000-00007F740000}"/>
    <cellStyle name="Normal 4 3 4 5 2 2 2 2 2" xfId="21162" xr:uid="{00000000-0005-0000-0000-000080740000}"/>
    <cellStyle name="Normal 4 3 4 5 2 2 2 2 2 2" xfId="21163" xr:uid="{00000000-0005-0000-0000-000081740000}"/>
    <cellStyle name="Normal 4 3 4 5 2 2 2 2 3" xfId="21164" xr:uid="{00000000-0005-0000-0000-000082740000}"/>
    <cellStyle name="Normal 4 3 4 5 2 2 2 3" xfId="21165" xr:uid="{00000000-0005-0000-0000-000083740000}"/>
    <cellStyle name="Normal 4 3 4 5 2 2 2 3 2" xfId="21166" xr:uid="{00000000-0005-0000-0000-000084740000}"/>
    <cellStyle name="Normal 4 3 4 5 2 2 2 4" xfId="21167" xr:uid="{00000000-0005-0000-0000-000085740000}"/>
    <cellStyle name="Normal 4 3 4 5 2 2 3" xfId="21168" xr:uid="{00000000-0005-0000-0000-000086740000}"/>
    <cellStyle name="Normal 4 3 4 5 2 2 3 2" xfId="21169" xr:uid="{00000000-0005-0000-0000-000087740000}"/>
    <cellStyle name="Normal 4 3 4 5 2 2 3 2 2" xfId="21170" xr:uid="{00000000-0005-0000-0000-000088740000}"/>
    <cellStyle name="Normal 4 3 4 5 2 2 3 3" xfId="21171" xr:uid="{00000000-0005-0000-0000-000089740000}"/>
    <cellStyle name="Normal 4 3 4 5 2 2 4" xfId="21172" xr:uid="{00000000-0005-0000-0000-00008A740000}"/>
    <cellStyle name="Normal 4 3 4 5 2 2 4 2" xfId="21173" xr:uid="{00000000-0005-0000-0000-00008B740000}"/>
    <cellStyle name="Normal 4 3 4 5 2 2 5" xfId="21174" xr:uid="{00000000-0005-0000-0000-00008C740000}"/>
    <cellStyle name="Normal 4 3 4 5 2 3" xfId="21175" xr:uid="{00000000-0005-0000-0000-00008D740000}"/>
    <cellStyle name="Normal 4 3 4 5 2 3 2" xfId="21176" xr:uid="{00000000-0005-0000-0000-00008E740000}"/>
    <cellStyle name="Normal 4 3 4 5 2 3 2 2" xfId="21177" xr:uid="{00000000-0005-0000-0000-00008F740000}"/>
    <cellStyle name="Normal 4 3 4 5 2 3 2 2 2" xfId="21178" xr:uid="{00000000-0005-0000-0000-000090740000}"/>
    <cellStyle name="Normal 4 3 4 5 2 3 2 3" xfId="21179" xr:uid="{00000000-0005-0000-0000-000091740000}"/>
    <cellStyle name="Normal 4 3 4 5 2 3 3" xfId="21180" xr:uid="{00000000-0005-0000-0000-000092740000}"/>
    <cellStyle name="Normal 4 3 4 5 2 3 3 2" xfId="21181" xr:uid="{00000000-0005-0000-0000-000093740000}"/>
    <cellStyle name="Normal 4 3 4 5 2 3 3 2 2" xfId="21182" xr:uid="{00000000-0005-0000-0000-000094740000}"/>
    <cellStyle name="Normal 4 3 4 5 2 3 3 3" xfId="21183" xr:uid="{00000000-0005-0000-0000-000095740000}"/>
    <cellStyle name="Normal 4 3 4 5 2 3 4" xfId="21184" xr:uid="{00000000-0005-0000-0000-000096740000}"/>
    <cellStyle name="Normal 4 3 4 5 2 3 4 2" xfId="21185" xr:uid="{00000000-0005-0000-0000-000097740000}"/>
    <cellStyle name="Normal 4 3 4 5 2 3 5" xfId="21186" xr:uid="{00000000-0005-0000-0000-000098740000}"/>
    <cellStyle name="Normal 4 3 4 5 2 4" xfId="21187" xr:uid="{00000000-0005-0000-0000-000099740000}"/>
    <cellStyle name="Normal 4 3 4 5 2 4 2" xfId="21188" xr:uid="{00000000-0005-0000-0000-00009A740000}"/>
    <cellStyle name="Normal 4 3 4 5 2 4 2 2" xfId="21189" xr:uid="{00000000-0005-0000-0000-00009B740000}"/>
    <cellStyle name="Normal 4 3 4 5 2 4 3" xfId="21190" xr:uid="{00000000-0005-0000-0000-00009C740000}"/>
    <cellStyle name="Normal 4 3 4 5 2 5" xfId="21191" xr:uid="{00000000-0005-0000-0000-00009D740000}"/>
    <cellStyle name="Normal 4 3 4 5 2 5 2" xfId="21192" xr:uid="{00000000-0005-0000-0000-00009E740000}"/>
    <cellStyle name="Normal 4 3 4 5 2 5 2 2" xfId="21193" xr:uid="{00000000-0005-0000-0000-00009F740000}"/>
    <cellStyle name="Normal 4 3 4 5 2 5 3" xfId="21194" xr:uid="{00000000-0005-0000-0000-0000A0740000}"/>
    <cellStyle name="Normal 4 3 4 5 2 6" xfId="21195" xr:uid="{00000000-0005-0000-0000-0000A1740000}"/>
    <cellStyle name="Normal 4 3 4 5 2 6 2" xfId="21196" xr:uid="{00000000-0005-0000-0000-0000A2740000}"/>
    <cellStyle name="Normal 4 3 4 5 2 7" xfId="21197" xr:uid="{00000000-0005-0000-0000-0000A3740000}"/>
    <cellStyle name="Normal 4 3 4 5 3" xfId="21198" xr:uid="{00000000-0005-0000-0000-0000A4740000}"/>
    <cellStyle name="Normal 4 3 4 5 3 2" xfId="21199" xr:uid="{00000000-0005-0000-0000-0000A5740000}"/>
    <cellStyle name="Normal 4 3 4 5 3 2 2" xfId="21200" xr:uid="{00000000-0005-0000-0000-0000A6740000}"/>
    <cellStyle name="Normal 4 3 4 5 3 2 2 2" xfId="21201" xr:uid="{00000000-0005-0000-0000-0000A7740000}"/>
    <cellStyle name="Normal 4 3 4 5 3 2 2 2 2" xfId="21202" xr:uid="{00000000-0005-0000-0000-0000A8740000}"/>
    <cellStyle name="Normal 4 3 4 5 3 2 2 3" xfId="21203" xr:uid="{00000000-0005-0000-0000-0000A9740000}"/>
    <cellStyle name="Normal 4 3 4 5 3 2 3" xfId="21204" xr:uid="{00000000-0005-0000-0000-0000AA740000}"/>
    <cellStyle name="Normal 4 3 4 5 3 2 3 2" xfId="21205" xr:uid="{00000000-0005-0000-0000-0000AB740000}"/>
    <cellStyle name="Normal 4 3 4 5 3 2 4" xfId="21206" xr:uid="{00000000-0005-0000-0000-0000AC740000}"/>
    <cellStyle name="Normal 4 3 4 5 3 3" xfId="21207" xr:uid="{00000000-0005-0000-0000-0000AD740000}"/>
    <cellStyle name="Normal 4 3 4 5 3 3 2" xfId="21208" xr:uid="{00000000-0005-0000-0000-0000AE740000}"/>
    <cellStyle name="Normal 4 3 4 5 3 3 2 2" xfId="21209" xr:uid="{00000000-0005-0000-0000-0000AF740000}"/>
    <cellStyle name="Normal 4 3 4 5 3 3 3" xfId="21210" xr:uid="{00000000-0005-0000-0000-0000B0740000}"/>
    <cellStyle name="Normal 4 3 4 5 3 4" xfId="21211" xr:uid="{00000000-0005-0000-0000-0000B1740000}"/>
    <cellStyle name="Normal 4 3 4 5 3 4 2" xfId="21212" xr:uid="{00000000-0005-0000-0000-0000B2740000}"/>
    <cellStyle name="Normal 4 3 4 5 3 5" xfId="21213" xr:uid="{00000000-0005-0000-0000-0000B3740000}"/>
    <cellStyle name="Normal 4 3 4 5 4" xfId="21214" xr:uid="{00000000-0005-0000-0000-0000B4740000}"/>
    <cellStyle name="Normal 4 3 4 5 4 2" xfId="21215" xr:uid="{00000000-0005-0000-0000-0000B5740000}"/>
    <cellStyle name="Normal 4 3 4 5 4 2 2" xfId="21216" xr:uid="{00000000-0005-0000-0000-0000B6740000}"/>
    <cellStyle name="Normal 4 3 4 5 4 2 2 2" xfId="21217" xr:uid="{00000000-0005-0000-0000-0000B7740000}"/>
    <cellStyle name="Normal 4 3 4 5 4 2 3" xfId="21218" xr:uid="{00000000-0005-0000-0000-0000B8740000}"/>
    <cellStyle name="Normal 4 3 4 5 4 3" xfId="21219" xr:uid="{00000000-0005-0000-0000-0000B9740000}"/>
    <cellStyle name="Normal 4 3 4 5 4 3 2" xfId="21220" xr:uid="{00000000-0005-0000-0000-0000BA740000}"/>
    <cellStyle name="Normal 4 3 4 5 4 3 2 2" xfId="21221" xr:uid="{00000000-0005-0000-0000-0000BB740000}"/>
    <cellStyle name="Normal 4 3 4 5 4 3 3" xfId="21222" xr:uid="{00000000-0005-0000-0000-0000BC740000}"/>
    <cellStyle name="Normal 4 3 4 5 4 4" xfId="21223" xr:uid="{00000000-0005-0000-0000-0000BD740000}"/>
    <cellStyle name="Normal 4 3 4 5 4 4 2" xfId="21224" xr:uid="{00000000-0005-0000-0000-0000BE740000}"/>
    <cellStyle name="Normal 4 3 4 5 4 5" xfId="21225" xr:uid="{00000000-0005-0000-0000-0000BF740000}"/>
    <cellStyle name="Normal 4 3 4 5 5" xfId="21226" xr:uid="{00000000-0005-0000-0000-0000C0740000}"/>
    <cellStyle name="Normal 4 3 4 5 5 2" xfId="21227" xr:uid="{00000000-0005-0000-0000-0000C1740000}"/>
    <cellStyle name="Normal 4 3 4 5 5 2 2" xfId="21228" xr:uid="{00000000-0005-0000-0000-0000C2740000}"/>
    <cellStyle name="Normal 4 3 4 5 5 3" xfId="21229" xr:uid="{00000000-0005-0000-0000-0000C3740000}"/>
    <cellStyle name="Normal 4 3 4 5 6" xfId="21230" xr:uid="{00000000-0005-0000-0000-0000C4740000}"/>
    <cellStyle name="Normal 4 3 4 5 6 2" xfId="21231" xr:uid="{00000000-0005-0000-0000-0000C5740000}"/>
    <cellStyle name="Normal 4 3 4 5 6 2 2" xfId="21232" xr:uid="{00000000-0005-0000-0000-0000C6740000}"/>
    <cellStyle name="Normal 4 3 4 5 6 3" xfId="21233" xr:uid="{00000000-0005-0000-0000-0000C7740000}"/>
    <cellStyle name="Normal 4 3 4 5 7" xfId="21234" xr:uid="{00000000-0005-0000-0000-0000C8740000}"/>
    <cellStyle name="Normal 4 3 4 5 7 2" xfId="21235" xr:uid="{00000000-0005-0000-0000-0000C9740000}"/>
    <cellStyle name="Normal 4 3 4 5 8" xfId="21236" xr:uid="{00000000-0005-0000-0000-0000CA740000}"/>
    <cellStyle name="Normal 4 3 4 6" xfId="21237" xr:uid="{00000000-0005-0000-0000-0000CB740000}"/>
    <cellStyle name="Normal 4 3 4 6 2" xfId="21238" xr:uid="{00000000-0005-0000-0000-0000CC740000}"/>
    <cellStyle name="Normal 4 3 4 6 2 2" xfId="21239" xr:uid="{00000000-0005-0000-0000-0000CD740000}"/>
    <cellStyle name="Normal 4 3 4 6 2 2 2" xfId="21240" xr:uid="{00000000-0005-0000-0000-0000CE740000}"/>
    <cellStyle name="Normal 4 3 4 6 2 2 2 2" xfId="21241" xr:uid="{00000000-0005-0000-0000-0000CF740000}"/>
    <cellStyle name="Normal 4 3 4 6 2 2 2 2 2" xfId="21242" xr:uid="{00000000-0005-0000-0000-0000D0740000}"/>
    <cellStyle name="Normal 4 3 4 6 2 2 2 3" xfId="21243" xr:uid="{00000000-0005-0000-0000-0000D1740000}"/>
    <cellStyle name="Normal 4 3 4 6 2 2 3" xfId="21244" xr:uid="{00000000-0005-0000-0000-0000D2740000}"/>
    <cellStyle name="Normal 4 3 4 6 2 2 3 2" xfId="21245" xr:uid="{00000000-0005-0000-0000-0000D3740000}"/>
    <cellStyle name="Normal 4 3 4 6 2 2 4" xfId="21246" xr:uid="{00000000-0005-0000-0000-0000D4740000}"/>
    <cellStyle name="Normal 4 3 4 6 2 3" xfId="21247" xr:uid="{00000000-0005-0000-0000-0000D5740000}"/>
    <cellStyle name="Normal 4 3 4 6 2 3 2" xfId="21248" xr:uid="{00000000-0005-0000-0000-0000D6740000}"/>
    <cellStyle name="Normal 4 3 4 6 2 3 2 2" xfId="21249" xr:uid="{00000000-0005-0000-0000-0000D7740000}"/>
    <cellStyle name="Normal 4 3 4 6 2 3 3" xfId="21250" xr:uid="{00000000-0005-0000-0000-0000D8740000}"/>
    <cellStyle name="Normal 4 3 4 6 2 4" xfId="21251" xr:uid="{00000000-0005-0000-0000-0000D9740000}"/>
    <cellStyle name="Normal 4 3 4 6 2 4 2" xfId="21252" xr:uid="{00000000-0005-0000-0000-0000DA740000}"/>
    <cellStyle name="Normal 4 3 4 6 2 5" xfId="21253" xr:uid="{00000000-0005-0000-0000-0000DB740000}"/>
    <cellStyle name="Normal 4 3 4 6 3" xfId="21254" xr:uid="{00000000-0005-0000-0000-0000DC740000}"/>
    <cellStyle name="Normal 4 3 4 6 3 2" xfId="21255" xr:uid="{00000000-0005-0000-0000-0000DD740000}"/>
    <cellStyle name="Normal 4 3 4 6 3 2 2" xfId="21256" xr:uid="{00000000-0005-0000-0000-0000DE740000}"/>
    <cellStyle name="Normal 4 3 4 6 3 2 2 2" xfId="21257" xr:uid="{00000000-0005-0000-0000-0000DF740000}"/>
    <cellStyle name="Normal 4 3 4 6 3 2 3" xfId="21258" xr:uid="{00000000-0005-0000-0000-0000E0740000}"/>
    <cellStyle name="Normal 4 3 4 6 3 3" xfId="21259" xr:uid="{00000000-0005-0000-0000-0000E1740000}"/>
    <cellStyle name="Normal 4 3 4 6 3 3 2" xfId="21260" xr:uid="{00000000-0005-0000-0000-0000E2740000}"/>
    <cellStyle name="Normal 4 3 4 6 3 3 2 2" xfId="21261" xr:uid="{00000000-0005-0000-0000-0000E3740000}"/>
    <cellStyle name="Normal 4 3 4 6 3 3 3" xfId="21262" xr:uid="{00000000-0005-0000-0000-0000E4740000}"/>
    <cellStyle name="Normal 4 3 4 6 3 4" xfId="21263" xr:uid="{00000000-0005-0000-0000-0000E5740000}"/>
    <cellStyle name="Normal 4 3 4 6 3 4 2" xfId="21264" xr:uid="{00000000-0005-0000-0000-0000E6740000}"/>
    <cellStyle name="Normal 4 3 4 6 3 5" xfId="21265" xr:uid="{00000000-0005-0000-0000-0000E7740000}"/>
    <cellStyle name="Normal 4 3 4 6 4" xfId="21266" xr:uid="{00000000-0005-0000-0000-0000E8740000}"/>
    <cellStyle name="Normal 4 3 4 6 4 2" xfId="21267" xr:uid="{00000000-0005-0000-0000-0000E9740000}"/>
    <cellStyle name="Normal 4 3 4 6 4 2 2" xfId="21268" xr:uid="{00000000-0005-0000-0000-0000EA740000}"/>
    <cellStyle name="Normal 4 3 4 6 4 3" xfId="21269" xr:uid="{00000000-0005-0000-0000-0000EB740000}"/>
    <cellStyle name="Normal 4 3 4 6 5" xfId="21270" xr:uid="{00000000-0005-0000-0000-0000EC740000}"/>
    <cellStyle name="Normal 4 3 4 6 5 2" xfId="21271" xr:uid="{00000000-0005-0000-0000-0000ED740000}"/>
    <cellStyle name="Normal 4 3 4 6 5 2 2" xfId="21272" xr:uid="{00000000-0005-0000-0000-0000EE740000}"/>
    <cellStyle name="Normal 4 3 4 6 5 3" xfId="21273" xr:uid="{00000000-0005-0000-0000-0000EF740000}"/>
    <cellStyle name="Normal 4 3 4 6 6" xfId="21274" xr:uid="{00000000-0005-0000-0000-0000F0740000}"/>
    <cellStyle name="Normal 4 3 4 6 6 2" xfId="21275" xr:uid="{00000000-0005-0000-0000-0000F1740000}"/>
    <cellStyle name="Normal 4 3 4 6 7" xfId="21276" xr:uid="{00000000-0005-0000-0000-0000F2740000}"/>
    <cellStyle name="Normal 4 3 4 7" xfId="21277" xr:uid="{00000000-0005-0000-0000-0000F3740000}"/>
    <cellStyle name="Normal 4 3 4 7 2" xfId="21278" xr:uid="{00000000-0005-0000-0000-0000F4740000}"/>
    <cellStyle name="Normal 4 3 4 7 2 2" xfId="21279" xr:uid="{00000000-0005-0000-0000-0000F5740000}"/>
    <cellStyle name="Normal 4 3 4 7 2 2 2" xfId="21280" xr:uid="{00000000-0005-0000-0000-0000F6740000}"/>
    <cellStyle name="Normal 4 3 4 7 2 2 2 2" xfId="21281" xr:uid="{00000000-0005-0000-0000-0000F7740000}"/>
    <cellStyle name="Normal 4 3 4 7 2 2 2 2 2" xfId="21282" xr:uid="{00000000-0005-0000-0000-0000F8740000}"/>
    <cellStyle name="Normal 4 3 4 7 2 2 2 3" xfId="21283" xr:uid="{00000000-0005-0000-0000-0000F9740000}"/>
    <cellStyle name="Normal 4 3 4 7 2 2 3" xfId="21284" xr:uid="{00000000-0005-0000-0000-0000FA740000}"/>
    <cellStyle name="Normal 4 3 4 7 2 2 3 2" xfId="21285" xr:uid="{00000000-0005-0000-0000-0000FB740000}"/>
    <cellStyle name="Normal 4 3 4 7 2 2 4" xfId="21286" xr:uid="{00000000-0005-0000-0000-0000FC740000}"/>
    <cellStyle name="Normal 4 3 4 7 2 3" xfId="21287" xr:uid="{00000000-0005-0000-0000-0000FD740000}"/>
    <cellStyle name="Normal 4 3 4 7 2 3 2" xfId="21288" xr:uid="{00000000-0005-0000-0000-0000FE740000}"/>
    <cellStyle name="Normal 4 3 4 7 2 3 2 2" xfId="21289" xr:uid="{00000000-0005-0000-0000-0000FF740000}"/>
    <cellStyle name="Normal 4 3 4 7 2 3 3" xfId="21290" xr:uid="{00000000-0005-0000-0000-000000750000}"/>
    <cellStyle name="Normal 4 3 4 7 2 4" xfId="21291" xr:uid="{00000000-0005-0000-0000-000001750000}"/>
    <cellStyle name="Normal 4 3 4 7 2 4 2" xfId="21292" xr:uid="{00000000-0005-0000-0000-000002750000}"/>
    <cellStyle name="Normal 4 3 4 7 2 5" xfId="21293" xr:uid="{00000000-0005-0000-0000-000003750000}"/>
    <cellStyle name="Normal 4 3 4 7 3" xfId="21294" xr:uid="{00000000-0005-0000-0000-000004750000}"/>
    <cellStyle name="Normal 4 3 4 7 3 2" xfId="21295" xr:uid="{00000000-0005-0000-0000-000005750000}"/>
    <cellStyle name="Normal 4 3 4 7 3 2 2" xfId="21296" xr:uid="{00000000-0005-0000-0000-000006750000}"/>
    <cellStyle name="Normal 4 3 4 7 3 2 2 2" xfId="21297" xr:uid="{00000000-0005-0000-0000-000007750000}"/>
    <cellStyle name="Normal 4 3 4 7 3 2 3" xfId="21298" xr:uid="{00000000-0005-0000-0000-000008750000}"/>
    <cellStyle name="Normal 4 3 4 7 3 3" xfId="21299" xr:uid="{00000000-0005-0000-0000-000009750000}"/>
    <cellStyle name="Normal 4 3 4 7 3 3 2" xfId="21300" xr:uid="{00000000-0005-0000-0000-00000A750000}"/>
    <cellStyle name="Normal 4 3 4 7 3 3 2 2" xfId="21301" xr:uid="{00000000-0005-0000-0000-00000B750000}"/>
    <cellStyle name="Normal 4 3 4 7 3 3 3" xfId="21302" xr:uid="{00000000-0005-0000-0000-00000C750000}"/>
    <cellStyle name="Normal 4 3 4 7 3 4" xfId="21303" xr:uid="{00000000-0005-0000-0000-00000D750000}"/>
    <cellStyle name="Normal 4 3 4 7 3 4 2" xfId="21304" xr:uid="{00000000-0005-0000-0000-00000E750000}"/>
    <cellStyle name="Normal 4 3 4 7 3 5" xfId="21305" xr:uid="{00000000-0005-0000-0000-00000F750000}"/>
    <cellStyle name="Normal 4 3 4 7 4" xfId="21306" xr:uid="{00000000-0005-0000-0000-000010750000}"/>
    <cellStyle name="Normal 4 3 4 7 4 2" xfId="21307" xr:uid="{00000000-0005-0000-0000-000011750000}"/>
    <cellStyle name="Normal 4 3 4 7 4 2 2" xfId="21308" xr:uid="{00000000-0005-0000-0000-000012750000}"/>
    <cellStyle name="Normal 4 3 4 7 4 3" xfId="21309" xr:uid="{00000000-0005-0000-0000-000013750000}"/>
    <cellStyle name="Normal 4 3 4 7 5" xfId="21310" xr:uid="{00000000-0005-0000-0000-000014750000}"/>
    <cellStyle name="Normal 4 3 4 7 5 2" xfId="21311" xr:uid="{00000000-0005-0000-0000-000015750000}"/>
    <cellStyle name="Normal 4 3 4 7 5 2 2" xfId="21312" xr:uid="{00000000-0005-0000-0000-000016750000}"/>
    <cellStyle name="Normal 4 3 4 7 5 3" xfId="21313" xr:uid="{00000000-0005-0000-0000-000017750000}"/>
    <cellStyle name="Normal 4 3 4 7 6" xfId="21314" xr:uid="{00000000-0005-0000-0000-000018750000}"/>
    <cellStyle name="Normal 4 3 4 7 6 2" xfId="21315" xr:uid="{00000000-0005-0000-0000-000019750000}"/>
    <cellStyle name="Normal 4 3 4 7 7" xfId="21316" xr:uid="{00000000-0005-0000-0000-00001A750000}"/>
    <cellStyle name="Normal 4 3 4 8" xfId="21317" xr:uid="{00000000-0005-0000-0000-00001B750000}"/>
    <cellStyle name="Normal 4 3 4 8 2" xfId="21318" xr:uid="{00000000-0005-0000-0000-00001C750000}"/>
    <cellStyle name="Normal 4 3 4 8 2 2" xfId="21319" xr:uid="{00000000-0005-0000-0000-00001D750000}"/>
    <cellStyle name="Normal 4 3 4 8 2 2 2" xfId="21320" xr:uid="{00000000-0005-0000-0000-00001E750000}"/>
    <cellStyle name="Normal 4 3 4 8 2 2 2 2" xfId="21321" xr:uid="{00000000-0005-0000-0000-00001F750000}"/>
    <cellStyle name="Normal 4 3 4 8 2 2 3" xfId="21322" xr:uid="{00000000-0005-0000-0000-000020750000}"/>
    <cellStyle name="Normal 4 3 4 8 2 3" xfId="21323" xr:uid="{00000000-0005-0000-0000-000021750000}"/>
    <cellStyle name="Normal 4 3 4 8 2 3 2" xfId="21324" xr:uid="{00000000-0005-0000-0000-000022750000}"/>
    <cellStyle name="Normal 4 3 4 8 2 4" xfId="21325" xr:uid="{00000000-0005-0000-0000-000023750000}"/>
    <cellStyle name="Normal 4 3 4 8 3" xfId="21326" xr:uid="{00000000-0005-0000-0000-000024750000}"/>
    <cellStyle name="Normal 4 3 4 8 3 2" xfId="21327" xr:uid="{00000000-0005-0000-0000-000025750000}"/>
    <cellStyle name="Normal 4 3 4 8 3 2 2" xfId="21328" xr:uid="{00000000-0005-0000-0000-000026750000}"/>
    <cellStyle name="Normal 4 3 4 8 3 3" xfId="21329" xr:uid="{00000000-0005-0000-0000-000027750000}"/>
    <cellStyle name="Normal 4 3 4 8 4" xfId="21330" xr:uid="{00000000-0005-0000-0000-000028750000}"/>
    <cellStyle name="Normal 4 3 4 8 4 2" xfId="21331" xr:uid="{00000000-0005-0000-0000-000029750000}"/>
    <cellStyle name="Normal 4 3 4 8 5" xfId="21332" xr:uid="{00000000-0005-0000-0000-00002A750000}"/>
    <cellStyle name="Normal 4 3 4 9" xfId="21333" xr:uid="{00000000-0005-0000-0000-00002B750000}"/>
    <cellStyle name="Normal 4 3 4 9 2" xfId="21334" xr:uid="{00000000-0005-0000-0000-00002C750000}"/>
    <cellStyle name="Normal 4 3 4 9 2 2" xfId="21335" xr:uid="{00000000-0005-0000-0000-00002D750000}"/>
    <cellStyle name="Normal 4 3 4 9 2 2 2" xfId="21336" xr:uid="{00000000-0005-0000-0000-00002E750000}"/>
    <cellStyle name="Normal 4 3 4 9 2 2 2 2" xfId="21337" xr:uid="{00000000-0005-0000-0000-00002F750000}"/>
    <cellStyle name="Normal 4 3 4 9 2 2 3" xfId="21338" xr:uid="{00000000-0005-0000-0000-000030750000}"/>
    <cellStyle name="Normal 4 3 4 9 2 3" xfId="21339" xr:uid="{00000000-0005-0000-0000-000031750000}"/>
    <cellStyle name="Normal 4 3 4 9 2 3 2" xfId="21340" xr:uid="{00000000-0005-0000-0000-000032750000}"/>
    <cellStyle name="Normal 4 3 4 9 2 4" xfId="21341" xr:uid="{00000000-0005-0000-0000-000033750000}"/>
    <cellStyle name="Normal 4 3 4 9 3" xfId="21342" xr:uid="{00000000-0005-0000-0000-000034750000}"/>
    <cellStyle name="Normal 4 3 4 9 3 2" xfId="21343" xr:uid="{00000000-0005-0000-0000-000035750000}"/>
    <cellStyle name="Normal 4 3 4 9 3 2 2" xfId="21344" xr:uid="{00000000-0005-0000-0000-000036750000}"/>
    <cellStyle name="Normal 4 3 4 9 3 3" xfId="21345" xr:uid="{00000000-0005-0000-0000-000037750000}"/>
    <cellStyle name="Normal 4 3 4 9 4" xfId="21346" xr:uid="{00000000-0005-0000-0000-000038750000}"/>
    <cellStyle name="Normal 4 3 4 9 4 2" xfId="21347" xr:uid="{00000000-0005-0000-0000-000039750000}"/>
    <cellStyle name="Normal 4 3 4 9 5" xfId="21348" xr:uid="{00000000-0005-0000-0000-00003A750000}"/>
    <cellStyle name="Normal 4 3 5" xfId="21349" xr:uid="{00000000-0005-0000-0000-00003B750000}"/>
    <cellStyle name="Normal 4 3 5 2" xfId="21350" xr:uid="{00000000-0005-0000-0000-00003C750000}"/>
    <cellStyle name="Normal 4 3 5 2 2" xfId="54686" xr:uid="{00000000-0005-0000-0000-00003D750000}"/>
    <cellStyle name="Normal 4 3 5 2 3" xfId="54687" xr:uid="{00000000-0005-0000-0000-00003E750000}"/>
    <cellStyle name="Normal 4 3 5 3" xfId="54688" xr:uid="{00000000-0005-0000-0000-00003F750000}"/>
    <cellStyle name="Normal 4 3 5 4" xfId="54689" xr:uid="{00000000-0005-0000-0000-000040750000}"/>
    <cellStyle name="Normal 4 3 6" xfId="21351" xr:uid="{00000000-0005-0000-0000-000041750000}"/>
    <cellStyle name="Normal 4 3 6 2" xfId="54690" xr:uid="{00000000-0005-0000-0000-000042750000}"/>
    <cellStyle name="Normal 4 3 6 3" xfId="54691" xr:uid="{00000000-0005-0000-0000-000043750000}"/>
    <cellStyle name="Normal 4 3 7" xfId="21352" xr:uid="{00000000-0005-0000-0000-000044750000}"/>
    <cellStyle name="Normal 4 3 7 2" xfId="54692" xr:uid="{00000000-0005-0000-0000-000045750000}"/>
    <cellStyle name="Normal 4 3 8" xfId="54693" xr:uid="{00000000-0005-0000-0000-000046750000}"/>
    <cellStyle name="Normal 4 4" xfId="21353" xr:uid="{00000000-0005-0000-0000-000047750000}"/>
    <cellStyle name="Normal 4 4 10" xfId="21354" xr:uid="{00000000-0005-0000-0000-000048750000}"/>
    <cellStyle name="Normal 4 4 10 2" xfId="21355" xr:uid="{00000000-0005-0000-0000-000049750000}"/>
    <cellStyle name="Normal 4 4 10 2 2" xfId="21356" xr:uid="{00000000-0005-0000-0000-00004A750000}"/>
    <cellStyle name="Normal 4 4 10 2 2 2" xfId="54694" xr:uid="{00000000-0005-0000-0000-00004B750000}"/>
    <cellStyle name="Normal 4 4 10 2 2 3" xfId="54695" xr:uid="{00000000-0005-0000-0000-00004C750000}"/>
    <cellStyle name="Normal 4 4 10 2 3" xfId="21357" xr:uid="{00000000-0005-0000-0000-00004D750000}"/>
    <cellStyle name="Normal 4 4 10 2 3 2" xfId="54696" xr:uid="{00000000-0005-0000-0000-00004E750000}"/>
    <cellStyle name="Normal 4 4 10 2 4" xfId="21358" xr:uid="{00000000-0005-0000-0000-00004F750000}"/>
    <cellStyle name="Normal 4 4 10 2 5" xfId="21359" xr:uid="{00000000-0005-0000-0000-000050750000}"/>
    <cellStyle name="Normal 4 4 10 2 6" xfId="21360" xr:uid="{00000000-0005-0000-0000-000051750000}"/>
    <cellStyle name="Normal 4 4 10 3" xfId="21361" xr:uid="{00000000-0005-0000-0000-000052750000}"/>
    <cellStyle name="Normal 4 4 10 3 2" xfId="54697" xr:uid="{00000000-0005-0000-0000-000053750000}"/>
    <cellStyle name="Normal 4 4 10 3 3" xfId="54698" xr:uid="{00000000-0005-0000-0000-000054750000}"/>
    <cellStyle name="Normal 4 4 10 4" xfId="21362" xr:uid="{00000000-0005-0000-0000-000055750000}"/>
    <cellStyle name="Normal 4 4 10 4 2" xfId="54699" xr:uid="{00000000-0005-0000-0000-000056750000}"/>
    <cellStyle name="Normal 4 4 10 5" xfId="21363" xr:uid="{00000000-0005-0000-0000-000057750000}"/>
    <cellStyle name="Normal 4 4 10 6" xfId="21364" xr:uid="{00000000-0005-0000-0000-000058750000}"/>
    <cellStyle name="Normal 4 4 10 7" xfId="21365" xr:uid="{00000000-0005-0000-0000-000059750000}"/>
    <cellStyle name="Normal 4 4 11" xfId="21366" xr:uid="{00000000-0005-0000-0000-00005A750000}"/>
    <cellStyle name="Normal 4 4 11 2" xfId="21367" xr:uid="{00000000-0005-0000-0000-00005B750000}"/>
    <cellStyle name="Normal 4 4 11 2 2" xfId="54700" xr:uid="{00000000-0005-0000-0000-00005C750000}"/>
    <cellStyle name="Normal 4 4 11 2 3" xfId="54701" xr:uid="{00000000-0005-0000-0000-00005D750000}"/>
    <cellStyle name="Normal 4 4 11 3" xfId="21368" xr:uid="{00000000-0005-0000-0000-00005E750000}"/>
    <cellStyle name="Normal 4 4 11 3 2" xfId="54702" xr:uid="{00000000-0005-0000-0000-00005F750000}"/>
    <cellStyle name="Normal 4 4 11 4" xfId="21369" xr:uid="{00000000-0005-0000-0000-000060750000}"/>
    <cellStyle name="Normal 4 4 11 5" xfId="21370" xr:uid="{00000000-0005-0000-0000-000061750000}"/>
    <cellStyle name="Normal 4 4 11 6" xfId="21371" xr:uid="{00000000-0005-0000-0000-000062750000}"/>
    <cellStyle name="Normal 4 4 12" xfId="21372" xr:uid="{00000000-0005-0000-0000-000063750000}"/>
    <cellStyle name="Normal 4 4 12 2" xfId="54703" xr:uid="{00000000-0005-0000-0000-000064750000}"/>
    <cellStyle name="Normal 4 4 12 3" xfId="54704" xr:uid="{00000000-0005-0000-0000-000065750000}"/>
    <cellStyle name="Normal 4 4 13" xfId="21373" xr:uid="{00000000-0005-0000-0000-000066750000}"/>
    <cellStyle name="Normal 4 4 13 2" xfId="54705" xr:uid="{00000000-0005-0000-0000-000067750000}"/>
    <cellStyle name="Normal 4 4 14" xfId="21374" xr:uid="{00000000-0005-0000-0000-000068750000}"/>
    <cellStyle name="Normal 4 4 14 2" xfId="54706" xr:uid="{00000000-0005-0000-0000-000069750000}"/>
    <cellStyle name="Normal 4 4 15" xfId="21375" xr:uid="{00000000-0005-0000-0000-00006A750000}"/>
    <cellStyle name="Normal 4 4 16" xfId="21376" xr:uid="{00000000-0005-0000-0000-00006B750000}"/>
    <cellStyle name="Normal 4 4 17" xfId="21377" xr:uid="{00000000-0005-0000-0000-00006C750000}"/>
    <cellStyle name="Normal 4 4 18" xfId="21378" xr:uid="{00000000-0005-0000-0000-00006D750000}"/>
    <cellStyle name="Normal 4 4 19" xfId="21379" xr:uid="{00000000-0005-0000-0000-00006E750000}"/>
    <cellStyle name="Normal 4 4 2" xfId="21380" xr:uid="{00000000-0005-0000-0000-00006F750000}"/>
    <cellStyle name="Normal 4 4 2 10" xfId="21381" xr:uid="{00000000-0005-0000-0000-000070750000}"/>
    <cellStyle name="Normal 4 4 2 11" xfId="21382" xr:uid="{00000000-0005-0000-0000-000071750000}"/>
    <cellStyle name="Normal 4 4 2 12" xfId="21383" xr:uid="{00000000-0005-0000-0000-000072750000}"/>
    <cellStyle name="Normal 4 4 2 13" xfId="21384" xr:uid="{00000000-0005-0000-0000-000073750000}"/>
    <cellStyle name="Normal 4 4 2 14" xfId="21385" xr:uid="{00000000-0005-0000-0000-000074750000}"/>
    <cellStyle name="Normal 4 4 2 15" xfId="21386" xr:uid="{00000000-0005-0000-0000-000075750000}"/>
    <cellStyle name="Normal 4 4 2 16" xfId="21387" xr:uid="{00000000-0005-0000-0000-000076750000}"/>
    <cellStyle name="Normal 4 4 2 2" xfId="21388" xr:uid="{00000000-0005-0000-0000-000077750000}"/>
    <cellStyle name="Normal 4 4 2 2 10" xfId="21389" xr:uid="{00000000-0005-0000-0000-000078750000}"/>
    <cellStyle name="Normal 4 4 2 2 11" xfId="21390" xr:uid="{00000000-0005-0000-0000-000079750000}"/>
    <cellStyle name="Normal 4 4 2 2 12" xfId="21391" xr:uid="{00000000-0005-0000-0000-00007A750000}"/>
    <cellStyle name="Normal 4 4 2 2 13" xfId="21392" xr:uid="{00000000-0005-0000-0000-00007B750000}"/>
    <cellStyle name="Normal 4 4 2 2 14" xfId="21393" xr:uid="{00000000-0005-0000-0000-00007C750000}"/>
    <cellStyle name="Normal 4 4 2 2 2" xfId="21394" xr:uid="{00000000-0005-0000-0000-00007D750000}"/>
    <cellStyle name="Normal 4 4 2 2 2 2" xfId="21395" xr:uid="{00000000-0005-0000-0000-00007E750000}"/>
    <cellStyle name="Normal 4 4 2 2 2 2 2" xfId="21396" xr:uid="{00000000-0005-0000-0000-00007F750000}"/>
    <cellStyle name="Normal 4 4 2 2 2 2 2 2" xfId="21397" xr:uid="{00000000-0005-0000-0000-000080750000}"/>
    <cellStyle name="Normal 4 4 2 2 2 2 2 2 2" xfId="54707" xr:uid="{00000000-0005-0000-0000-000081750000}"/>
    <cellStyle name="Normal 4 4 2 2 2 2 2 2 3" xfId="54708" xr:uid="{00000000-0005-0000-0000-000082750000}"/>
    <cellStyle name="Normal 4 4 2 2 2 2 2 3" xfId="21398" xr:uid="{00000000-0005-0000-0000-000083750000}"/>
    <cellStyle name="Normal 4 4 2 2 2 2 2 3 2" xfId="54709" xr:uid="{00000000-0005-0000-0000-000084750000}"/>
    <cellStyle name="Normal 4 4 2 2 2 2 2 4" xfId="21399" xr:uid="{00000000-0005-0000-0000-000085750000}"/>
    <cellStyle name="Normal 4 4 2 2 2 2 2 5" xfId="21400" xr:uid="{00000000-0005-0000-0000-000086750000}"/>
    <cellStyle name="Normal 4 4 2 2 2 2 2 6" xfId="21401" xr:uid="{00000000-0005-0000-0000-000087750000}"/>
    <cellStyle name="Normal 4 4 2 2 2 2 3" xfId="21402" xr:uid="{00000000-0005-0000-0000-000088750000}"/>
    <cellStyle name="Normal 4 4 2 2 2 2 3 2" xfId="54710" xr:uid="{00000000-0005-0000-0000-000089750000}"/>
    <cellStyle name="Normal 4 4 2 2 2 2 3 3" xfId="54711" xr:uid="{00000000-0005-0000-0000-00008A750000}"/>
    <cellStyle name="Normal 4 4 2 2 2 2 4" xfId="21403" xr:uid="{00000000-0005-0000-0000-00008B750000}"/>
    <cellStyle name="Normal 4 4 2 2 2 2 4 2" xfId="54712" xr:uid="{00000000-0005-0000-0000-00008C750000}"/>
    <cellStyle name="Normal 4 4 2 2 2 2 5" xfId="21404" xr:uid="{00000000-0005-0000-0000-00008D750000}"/>
    <cellStyle name="Normal 4 4 2 2 2 2 6" xfId="21405" xr:uid="{00000000-0005-0000-0000-00008E750000}"/>
    <cellStyle name="Normal 4 4 2 2 2 2 7" xfId="21406" xr:uid="{00000000-0005-0000-0000-00008F750000}"/>
    <cellStyle name="Normal 4 4 2 2 2 3" xfId="21407" xr:uid="{00000000-0005-0000-0000-000090750000}"/>
    <cellStyle name="Normal 4 4 2 2 2 3 2" xfId="21408" xr:uid="{00000000-0005-0000-0000-000091750000}"/>
    <cellStyle name="Normal 4 4 2 2 2 3 2 2" xfId="54713" xr:uid="{00000000-0005-0000-0000-000092750000}"/>
    <cellStyle name="Normal 4 4 2 2 2 3 2 3" xfId="54714" xr:uid="{00000000-0005-0000-0000-000093750000}"/>
    <cellStyle name="Normal 4 4 2 2 2 3 3" xfId="21409" xr:uid="{00000000-0005-0000-0000-000094750000}"/>
    <cellStyle name="Normal 4 4 2 2 2 3 3 2" xfId="54715" xr:uid="{00000000-0005-0000-0000-000095750000}"/>
    <cellStyle name="Normal 4 4 2 2 2 3 4" xfId="21410" xr:uid="{00000000-0005-0000-0000-000096750000}"/>
    <cellStyle name="Normal 4 4 2 2 2 3 5" xfId="21411" xr:uid="{00000000-0005-0000-0000-000097750000}"/>
    <cellStyle name="Normal 4 4 2 2 2 3 6" xfId="21412" xr:uid="{00000000-0005-0000-0000-000098750000}"/>
    <cellStyle name="Normal 4 4 2 2 2 4" xfId="21413" xr:uid="{00000000-0005-0000-0000-000099750000}"/>
    <cellStyle name="Normal 4 4 2 2 2 4 2" xfId="54716" xr:uid="{00000000-0005-0000-0000-00009A750000}"/>
    <cellStyle name="Normal 4 4 2 2 2 4 3" xfId="54717" xr:uid="{00000000-0005-0000-0000-00009B750000}"/>
    <cellStyle name="Normal 4 4 2 2 2 5" xfId="21414" xr:uid="{00000000-0005-0000-0000-00009C750000}"/>
    <cellStyle name="Normal 4 4 2 2 2 5 2" xfId="54718" xr:uid="{00000000-0005-0000-0000-00009D750000}"/>
    <cellStyle name="Normal 4 4 2 2 2 6" xfId="21415" xr:uid="{00000000-0005-0000-0000-00009E750000}"/>
    <cellStyle name="Normal 4 4 2 2 2 7" xfId="21416" xr:uid="{00000000-0005-0000-0000-00009F750000}"/>
    <cellStyle name="Normal 4 4 2 2 2 8" xfId="21417" xr:uid="{00000000-0005-0000-0000-0000A0750000}"/>
    <cellStyle name="Normal 4 4 2 2 2 9" xfId="21418" xr:uid="{00000000-0005-0000-0000-0000A1750000}"/>
    <cellStyle name="Normal 4 4 2 2 3" xfId="21419" xr:uid="{00000000-0005-0000-0000-0000A2750000}"/>
    <cellStyle name="Normal 4 4 2 2 3 2" xfId="21420" xr:uid="{00000000-0005-0000-0000-0000A3750000}"/>
    <cellStyle name="Normal 4 4 2 2 3 2 2" xfId="21421" xr:uid="{00000000-0005-0000-0000-0000A4750000}"/>
    <cellStyle name="Normal 4 4 2 2 3 2 2 2" xfId="21422" xr:uid="{00000000-0005-0000-0000-0000A5750000}"/>
    <cellStyle name="Normal 4 4 2 2 3 2 2 2 2" xfId="54719" xr:uid="{00000000-0005-0000-0000-0000A6750000}"/>
    <cellStyle name="Normal 4 4 2 2 3 2 2 2 3" xfId="54720" xr:uid="{00000000-0005-0000-0000-0000A7750000}"/>
    <cellStyle name="Normal 4 4 2 2 3 2 2 3" xfId="21423" xr:uid="{00000000-0005-0000-0000-0000A8750000}"/>
    <cellStyle name="Normal 4 4 2 2 3 2 2 3 2" xfId="54721" xr:uid="{00000000-0005-0000-0000-0000A9750000}"/>
    <cellStyle name="Normal 4 4 2 2 3 2 2 4" xfId="21424" xr:uid="{00000000-0005-0000-0000-0000AA750000}"/>
    <cellStyle name="Normal 4 4 2 2 3 2 2 5" xfId="21425" xr:uid="{00000000-0005-0000-0000-0000AB750000}"/>
    <cellStyle name="Normal 4 4 2 2 3 2 2 6" xfId="21426" xr:uid="{00000000-0005-0000-0000-0000AC750000}"/>
    <cellStyle name="Normal 4 4 2 2 3 2 3" xfId="21427" xr:uid="{00000000-0005-0000-0000-0000AD750000}"/>
    <cellStyle name="Normal 4 4 2 2 3 2 3 2" xfId="54722" xr:uid="{00000000-0005-0000-0000-0000AE750000}"/>
    <cellStyle name="Normal 4 4 2 2 3 2 3 3" xfId="54723" xr:uid="{00000000-0005-0000-0000-0000AF750000}"/>
    <cellStyle name="Normal 4 4 2 2 3 2 4" xfId="21428" xr:uid="{00000000-0005-0000-0000-0000B0750000}"/>
    <cellStyle name="Normal 4 4 2 2 3 2 4 2" xfId="54724" xr:uid="{00000000-0005-0000-0000-0000B1750000}"/>
    <cellStyle name="Normal 4 4 2 2 3 2 5" xfId="21429" xr:uid="{00000000-0005-0000-0000-0000B2750000}"/>
    <cellStyle name="Normal 4 4 2 2 3 2 6" xfId="21430" xr:uid="{00000000-0005-0000-0000-0000B3750000}"/>
    <cellStyle name="Normal 4 4 2 2 3 2 7" xfId="21431" xr:uid="{00000000-0005-0000-0000-0000B4750000}"/>
    <cellStyle name="Normal 4 4 2 2 3 3" xfId="21432" xr:uid="{00000000-0005-0000-0000-0000B5750000}"/>
    <cellStyle name="Normal 4 4 2 2 3 3 2" xfId="21433" xr:uid="{00000000-0005-0000-0000-0000B6750000}"/>
    <cellStyle name="Normal 4 4 2 2 3 3 2 2" xfId="54725" xr:uid="{00000000-0005-0000-0000-0000B7750000}"/>
    <cellStyle name="Normal 4 4 2 2 3 3 2 3" xfId="54726" xr:uid="{00000000-0005-0000-0000-0000B8750000}"/>
    <cellStyle name="Normal 4 4 2 2 3 3 3" xfId="21434" xr:uid="{00000000-0005-0000-0000-0000B9750000}"/>
    <cellStyle name="Normal 4 4 2 2 3 3 3 2" xfId="54727" xr:uid="{00000000-0005-0000-0000-0000BA750000}"/>
    <cellStyle name="Normal 4 4 2 2 3 3 4" xfId="21435" xr:uid="{00000000-0005-0000-0000-0000BB750000}"/>
    <cellStyle name="Normal 4 4 2 2 3 3 5" xfId="21436" xr:uid="{00000000-0005-0000-0000-0000BC750000}"/>
    <cellStyle name="Normal 4 4 2 2 3 3 6" xfId="21437" xr:uid="{00000000-0005-0000-0000-0000BD750000}"/>
    <cellStyle name="Normal 4 4 2 2 3 4" xfId="21438" xr:uid="{00000000-0005-0000-0000-0000BE750000}"/>
    <cellStyle name="Normal 4 4 2 2 3 4 2" xfId="54728" xr:uid="{00000000-0005-0000-0000-0000BF750000}"/>
    <cellStyle name="Normal 4 4 2 2 3 4 3" xfId="54729" xr:uid="{00000000-0005-0000-0000-0000C0750000}"/>
    <cellStyle name="Normal 4 4 2 2 3 5" xfId="21439" xr:uid="{00000000-0005-0000-0000-0000C1750000}"/>
    <cellStyle name="Normal 4 4 2 2 3 5 2" xfId="54730" xr:uid="{00000000-0005-0000-0000-0000C2750000}"/>
    <cellStyle name="Normal 4 4 2 2 3 6" xfId="21440" xr:uid="{00000000-0005-0000-0000-0000C3750000}"/>
    <cellStyle name="Normal 4 4 2 2 3 7" xfId="21441" xr:uid="{00000000-0005-0000-0000-0000C4750000}"/>
    <cellStyle name="Normal 4 4 2 2 3 8" xfId="21442" xr:uid="{00000000-0005-0000-0000-0000C5750000}"/>
    <cellStyle name="Normal 4 4 2 2 4" xfId="21443" xr:uid="{00000000-0005-0000-0000-0000C6750000}"/>
    <cellStyle name="Normal 4 4 2 2 4 2" xfId="21444" xr:uid="{00000000-0005-0000-0000-0000C7750000}"/>
    <cellStyle name="Normal 4 4 2 2 4 2 2" xfId="21445" xr:uid="{00000000-0005-0000-0000-0000C8750000}"/>
    <cellStyle name="Normal 4 4 2 2 4 2 2 2" xfId="54731" xr:uid="{00000000-0005-0000-0000-0000C9750000}"/>
    <cellStyle name="Normal 4 4 2 2 4 2 2 3" xfId="54732" xr:uid="{00000000-0005-0000-0000-0000CA750000}"/>
    <cellStyle name="Normal 4 4 2 2 4 2 3" xfId="21446" xr:uid="{00000000-0005-0000-0000-0000CB750000}"/>
    <cellStyle name="Normal 4 4 2 2 4 2 3 2" xfId="54733" xr:uid="{00000000-0005-0000-0000-0000CC750000}"/>
    <cellStyle name="Normal 4 4 2 2 4 2 4" xfId="21447" xr:uid="{00000000-0005-0000-0000-0000CD750000}"/>
    <cellStyle name="Normal 4 4 2 2 4 2 5" xfId="21448" xr:uid="{00000000-0005-0000-0000-0000CE750000}"/>
    <cellStyle name="Normal 4 4 2 2 4 2 6" xfId="21449" xr:uid="{00000000-0005-0000-0000-0000CF750000}"/>
    <cellStyle name="Normal 4 4 2 2 4 3" xfId="21450" xr:uid="{00000000-0005-0000-0000-0000D0750000}"/>
    <cellStyle name="Normal 4 4 2 2 4 3 2" xfId="54734" xr:uid="{00000000-0005-0000-0000-0000D1750000}"/>
    <cellStyle name="Normal 4 4 2 2 4 3 3" xfId="54735" xr:uid="{00000000-0005-0000-0000-0000D2750000}"/>
    <cellStyle name="Normal 4 4 2 2 4 4" xfId="21451" xr:uid="{00000000-0005-0000-0000-0000D3750000}"/>
    <cellStyle name="Normal 4 4 2 2 4 4 2" xfId="54736" xr:uid="{00000000-0005-0000-0000-0000D4750000}"/>
    <cellStyle name="Normal 4 4 2 2 4 5" xfId="21452" xr:uid="{00000000-0005-0000-0000-0000D5750000}"/>
    <cellStyle name="Normal 4 4 2 2 4 6" xfId="21453" xr:uid="{00000000-0005-0000-0000-0000D6750000}"/>
    <cellStyle name="Normal 4 4 2 2 4 7" xfId="21454" xr:uid="{00000000-0005-0000-0000-0000D7750000}"/>
    <cellStyle name="Normal 4 4 2 2 5" xfId="21455" xr:uid="{00000000-0005-0000-0000-0000D8750000}"/>
    <cellStyle name="Normal 4 4 2 2 5 2" xfId="21456" xr:uid="{00000000-0005-0000-0000-0000D9750000}"/>
    <cellStyle name="Normal 4 4 2 2 5 2 2" xfId="54737" xr:uid="{00000000-0005-0000-0000-0000DA750000}"/>
    <cellStyle name="Normal 4 4 2 2 5 2 3" xfId="54738" xr:uid="{00000000-0005-0000-0000-0000DB750000}"/>
    <cellStyle name="Normal 4 4 2 2 5 3" xfId="21457" xr:uid="{00000000-0005-0000-0000-0000DC750000}"/>
    <cellStyle name="Normal 4 4 2 2 5 3 2" xfId="54739" xr:uid="{00000000-0005-0000-0000-0000DD750000}"/>
    <cellStyle name="Normal 4 4 2 2 5 4" xfId="21458" xr:uid="{00000000-0005-0000-0000-0000DE750000}"/>
    <cellStyle name="Normal 4 4 2 2 5 5" xfId="21459" xr:uid="{00000000-0005-0000-0000-0000DF750000}"/>
    <cellStyle name="Normal 4 4 2 2 5 6" xfId="21460" xr:uid="{00000000-0005-0000-0000-0000E0750000}"/>
    <cellStyle name="Normal 4 4 2 2 6" xfId="21461" xr:uid="{00000000-0005-0000-0000-0000E1750000}"/>
    <cellStyle name="Normal 4 4 2 2 6 2" xfId="54740" xr:uid="{00000000-0005-0000-0000-0000E2750000}"/>
    <cellStyle name="Normal 4 4 2 2 6 3" xfId="54741" xr:uid="{00000000-0005-0000-0000-0000E3750000}"/>
    <cellStyle name="Normal 4 4 2 2 7" xfId="21462" xr:uid="{00000000-0005-0000-0000-0000E4750000}"/>
    <cellStyle name="Normal 4 4 2 2 7 2" xfId="54742" xr:uid="{00000000-0005-0000-0000-0000E5750000}"/>
    <cellStyle name="Normal 4 4 2 2 8" xfId="21463" xr:uid="{00000000-0005-0000-0000-0000E6750000}"/>
    <cellStyle name="Normal 4 4 2 2 9" xfId="21464" xr:uid="{00000000-0005-0000-0000-0000E7750000}"/>
    <cellStyle name="Normal 4 4 2 3" xfId="21465" xr:uid="{00000000-0005-0000-0000-0000E8750000}"/>
    <cellStyle name="Normal 4 4 2 3 2" xfId="21466" xr:uid="{00000000-0005-0000-0000-0000E9750000}"/>
    <cellStyle name="Normal 4 4 2 3 2 2" xfId="21467" xr:uid="{00000000-0005-0000-0000-0000EA750000}"/>
    <cellStyle name="Normal 4 4 2 3 2 2 2" xfId="21468" xr:uid="{00000000-0005-0000-0000-0000EB750000}"/>
    <cellStyle name="Normal 4 4 2 3 2 2 2 2" xfId="54743" xr:uid="{00000000-0005-0000-0000-0000EC750000}"/>
    <cellStyle name="Normal 4 4 2 3 2 2 2 3" xfId="54744" xr:uid="{00000000-0005-0000-0000-0000ED750000}"/>
    <cellStyle name="Normal 4 4 2 3 2 2 3" xfId="21469" xr:uid="{00000000-0005-0000-0000-0000EE750000}"/>
    <cellStyle name="Normal 4 4 2 3 2 2 3 2" xfId="54745" xr:uid="{00000000-0005-0000-0000-0000EF750000}"/>
    <cellStyle name="Normal 4 4 2 3 2 2 4" xfId="21470" xr:uid="{00000000-0005-0000-0000-0000F0750000}"/>
    <cellStyle name="Normal 4 4 2 3 2 2 5" xfId="21471" xr:uid="{00000000-0005-0000-0000-0000F1750000}"/>
    <cellStyle name="Normal 4 4 2 3 2 2 6" xfId="21472" xr:uid="{00000000-0005-0000-0000-0000F2750000}"/>
    <cellStyle name="Normal 4 4 2 3 2 3" xfId="21473" xr:uid="{00000000-0005-0000-0000-0000F3750000}"/>
    <cellStyle name="Normal 4 4 2 3 2 3 2" xfId="54746" xr:uid="{00000000-0005-0000-0000-0000F4750000}"/>
    <cellStyle name="Normal 4 4 2 3 2 3 3" xfId="54747" xr:uid="{00000000-0005-0000-0000-0000F5750000}"/>
    <cellStyle name="Normal 4 4 2 3 2 4" xfId="21474" xr:uid="{00000000-0005-0000-0000-0000F6750000}"/>
    <cellStyle name="Normal 4 4 2 3 2 4 2" xfId="54748" xr:uid="{00000000-0005-0000-0000-0000F7750000}"/>
    <cellStyle name="Normal 4 4 2 3 2 5" xfId="21475" xr:uid="{00000000-0005-0000-0000-0000F8750000}"/>
    <cellStyle name="Normal 4 4 2 3 2 6" xfId="21476" xr:uid="{00000000-0005-0000-0000-0000F9750000}"/>
    <cellStyle name="Normal 4 4 2 3 2 7" xfId="21477" xr:uid="{00000000-0005-0000-0000-0000FA750000}"/>
    <cellStyle name="Normal 4 4 2 3 3" xfId="21478" xr:uid="{00000000-0005-0000-0000-0000FB750000}"/>
    <cellStyle name="Normal 4 4 2 3 3 2" xfId="21479" xr:uid="{00000000-0005-0000-0000-0000FC750000}"/>
    <cellStyle name="Normal 4 4 2 3 3 2 2" xfId="54749" xr:uid="{00000000-0005-0000-0000-0000FD750000}"/>
    <cellStyle name="Normal 4 4 2 3 3 2 3" xfId="54750" xr:uid="{00000000-0005-0000-0000-0000FE750000}"/>
    <cellStyle name="Normal 4 4 2 3 3 3" xfId="21480" xr:uid="{00000000-0005-0000-0000-0000FF750000}"/>
    <cellStyle name="Normal 4 4 2 3 3 3 2" xfId="54751" xr:uid="{00000000-0005-0000-0000-000000760000}"/>
    <cellStyle name="Normal 4 4 2 3 3 4" xfId="21481" xr:uid="{00000000-0005-0000-0000-000001760000}"/>
    <cellStyle name="Normal 4 4 2 3 3 5" xfId="21482" xr:uid="{00000000-0005-0000-0000-000002760000}"/>
    <cellStyle name="Normal 4 4 2 3 3 6" xfId="21483" xr:uid="{00000000-0005-0000-0000-000003760000}"/>
    <cellStyle name="Normal 4 4 2 3 4" xfId="21484" xr:uid="{00000000-0005-0000-0000-000004760000}"/>
    <cellStyle name="Normal 4 4 2 3 4 2" xfId="54752" xr:uid="{00000000-0005-0000-0000-000005760000}"/>
    <cellStyle name="Normal 4 4 2 3 4 3" xfId="54753" xr:uid="{00000000-0005-0000-0000-000006760000}"/>
    <cellStyle name="Normal 4 4 2 3 5" xfId="21485" xr:uid="{00000000-0005-0000-0000-000007760000}"/>
    <cellStyle name="Normal 4 4 2 3 5 2" xfId="54754" xr:uid="{00000000-0005-0000-0000-000008760000}"/>
    <cellStyle name="Normal 4 4 2 3 6" xfId="21486" xr:uid="{00000000-0005-0000-0000-000009760000}"/>
    <cellStyle name="Normal 4 4 2 3 7" xfId="21487" xr:uid="{00000000-0005-0000-0000-00000A760000}"/>
    <cellStyle name="Normal 4 4 2 3 8" xfId="21488" xr:uid="{00000000-0005-0000-0000-00000B760000}"/>
    <cellStyle name="Normal 4 4 2 3 9" xfId="21489" xr:uid="{00000000-0005-0000-0000-00000C760000}"/>
    <cellStyle name="Normal 4 4 2 4" xfId="21490" xr:uid="{00000000-0005-0000-0000-00000D760000}"/>
    <cellStyle name="Normal 4 4 2 4 2" xfId="21491" xr:uid="{00000000-0005-0000-0000-00000E760000}"/>
    <cellStyle name="Normal 4 4 2 4 2 2" xfId="21492" xr:uid="{00000000-0005-0000-0000-00000F760000}"/>
    <cellStyle name="Normal 4 4 2 4 2 2 2" xfId="21493" xr:uid="{00000000-0005-0000-0000-000010760000}"/>
    <cellStyle name="Normal 4 4 2 4 2 2 2 2" xfId="54755" xr:uid="{00000000-0005-0000-0000-000011760000}"/>
    <cellStyle name="Normal 4 4 2 4 2 2 2 3" xfId="54756" xr:uid="{00000000-0005-0000-0000-000012760000}"/>
    <cellStyle name="Normal 4 4 2 4 2 2 3" xfId="21494" xr:uid="{00000000-0005-0000-0000-000013760000}"/>
    <cellStyle name="Normal 4 4 2 4 2 2 3 2" xfId="54757" xr:uid="{00000000-0005-0000-0000-000014760000}"/>
    <cellStyle name="Normal 4 4 2 4 2 2 4" xfId="21495" xr:uid="{00000000-0005-0000-0000-000015760000}"/>
    <cellStyle name="Normal 4 4 2 4 2 2 5" xfId="21496" xr:uid="{00000000-0005-0000-0000-000016760000}"/>
    <cellStyle name="Normal 4 4 2 4 2 2 6" xfId="21497" xr:uid="{00000000-0005-0000-0000-000017760000}"/>
    <cellStyle name="Normal 4 4 2 4 2 3" xfId="21498" xr:uid="{00000000-0005-0000-0000-000018760000}"/>
    <cellStyle name="Normal 4 4 2 4 2 3 2" xfId="54758" xr:uid="{00000000-0005-0000-0000-000019760000}"/>
    <cellStyle name="Normal 4 4 2 4 2 3 3" xfId="54759" xr:uid="{00000000-0005-0000-0000-00001A760000}"/>
    <cellStyle name="Normal 4 4 2 4 2 4" xfId="21499" xr:uid="{00000000-0005-0000-0000-00001B760000}"/>
    <cellStyle name="Normal 4 4 2 4 2 4 2" xfId="54760" xr:uid="{00000000-0005-0000-0000-00001C760000}"/>
    <cellStyle name="Normal 4 4 2 4 2 5" xfId="21500" xr:uid="{00000000-0005-0000-0000-00001D760000}"/>
    <cellStyle name="Normal 4 4 2 4 2 6" xfId="21501" xr:uid="{00000000-0005-0000-0000-00001E760000}"/>
    <cellStyle name="Normal 4 4 2 4 2 7" xfId="21502" xr:uid="{00000000-0005-0000-0000-00001F760000}"/>
    <cellStyle name="Normal 4 4 2 4 3" xfId="21503" xr:uid="{00000000-0005-0000-0000-000020760000}"/>
    <cellStyle name="Normal 4 4 2 4 3 2" xfId="21504" xr:uid="{00000000-0005-0000-0000-000021760000}"/>
    <cellStyle name="Normal 4 4 2 4 3 2 2" xfId="54761" xr:uid="{00000000-0005-0000-0000-000022760000}"/>
    <cellStyle name="Normal 4 4 2 4 3 2 3" xfId="54762" xr:uid="{00000000-0005-0000-0000-000023760000}"/>
    <cellStyle name="Normal 4 4 2 4 3 3" xfId="21505" xr:uid="{00000000-0005-0000-0000-000024760000}"/>
    <cellStyle name="Normal 4 4 2 4 3 3 2" xfId="54763" xr:uid="{00000000-0005-0000-0000-000025760000}"/>
    <cellStyle name="Normal 4 4 2 4 3 4" xfId="21506" xr:uid="{00000000-0005-0000-0000-000026760000}"/>
    <cellStyle name="Normal 4 4 2 4 3 5" xfId="21507" xr:uid="{00000000-0005-0000-0000-000027760000}"/>
    <cellStyle name="Normal 4 4 2 4 3 6" xfId="21508" xr:uid="{00000000-0005-0000-0000-000028760000}"/>
    <cellStyle name="Normal 4 4 2 4 4" xfId="21509" xr:uid="{00000000-0005-0000-0000-000029760000}"/>
    <cellStyle name="Normal 4 4 2 4 4 2" xfId="54764" xr:uid="{00000000-0005-0000-0000-00002A760000}"/>
    <cellStyle name="Normal 4 4 2 4 4 3" xfId="54765" xr:uid="{00000000-0005-0000-0000-00002B760000}"/>
    <cellStyle name="Normal 4 4 2 4 5" xfId="21510" xr:uid="{00000000-0005-0000-0000-00002C760000}"/>
    <cellStyle name="Normal 4 4 2 4 5 2" xfId="54766" xr:uid="{00000000-0005-0000-0000-00002D760000}"/>
    <cellStyle name="Normal 4 4 2 4 6" xfId="21511" xr:uid="{00000000-0005-0000-0000-00002E760000}"/>
    <cellStyle name="Normal 4 4 2 4 7" xfId="21512" xr:uid="{00000000-0005-0000-0000-00002F760000}"/>
    <cellStyle name="Normal 4 4 2 4 8" xfId="21513" xr:uid="{00000000-0005-0000-0000-000030760000}"/>
    <cellStyle name="Normal 4 4 2 5" xfId="21514" xr:uid="{00000000-0005-0000-0000-000031760000}"/>
    <cellStyle name="Normal 4 4 2 5 2" xfId="21515" xr:uid="{00000000-0005-0000-0000-000032760000}"/>
    <cellStyle name="Normal 4 4 2 5 2 2" xfId="21516" xr:uid="{00000000-0005-0000-0000-000033760000}"/>
    <cellStyle name="Normal 4 4 2 5 2 2 2" xfId="54767" xr:uid="{00000000-0005-0000-0000-000034760000}"/>
    <cellStyle name="Normal 4 4 2 5 2 2 3" xfId="54768" xr:uid="{00000000-0005-0000-0000-000035760000}"/>
    <cellStyle name="Normal 4 4 2 5 2 3" xfId="21517" xr:uid="{00000000-0005-0000-0000-000036760000}"/>
    <cellStyle name="Normal 4 4 2 5 2 3 2" xfId="54769" xr:uid="{00000000-0005-0000-0000-000037760000}"/>
    <cellStyle name="Normal 4 4 2 5 2 4" xfId="21518" xr:uid="{00000000-0005-0000-0000-000038760000}"/>
    <cellStyle name="Normal 4 4 2 5 2 5" xfId="21519" xr:uid="{00000000-0005-0000-0000-000039760000}"/>
    <cellStyle name="Normal 4 4 2 5 2 6" xfId="21520" xr:uid="{00000000-0005-0000-0000-00003A760000}"/>
    <cellStyle name="Normal 4 4 2 5 3" xfId="21521" xr:uid="{00000000-0005-0000-0000-00003B760000}"/>
    <cellStyle name="Normal 4 4 2 5 3 2" xfId="54770" xr:uid="{00000000-0005-0000-0000-00003C760000}"/>
    <cellStyle name="Normal 4 4 2 5 3 3" xfId="54771" xr:uid="{00000000-0005-0000-0000-00003D760000}"/>
    <cellStyle name="Normal 4 4 2 5 4" xfId="21522" xr:uid="{00000000-0005-0000-0000-00003E760000}"/>
    <cellStyle name="Normal 4 4 2 5 4 2" xfId="54772" xr:uid="{00000000-0005-0000-0000-00003F760000}"/>
    <cellStyle name="Normal 4 4 2 5 5" xfId="21523" xr:uid="{00000000-0005-0000-0000-000040760000}"/>
    <cellStyle name="Normal 4 4 2 5 6" xfId="21524" xr:uid="{00000000-0005-0000-0000-000041760000}"/>
    <cellStyle name="Normal 4 4 2 5 7" xfId="21525" xr:uid="{00000000-0005-0000-0000-000042760000}"/>
    <cellStyle name="Normal 4 4 2 6" xfId="21526" xr:uid="{00000000-0005-0000-0000-000043760000}"/>
    <cellStyle name="Normal 4 4 2 6 2" xfId="21527" xr:uid="{00000000-0005-0000-0000-000044760000}"/>
    <cellStyle name="Normal 4 4 2 6 2 2" xfId="54773" xr:uid="{00000000-0005-0000-0000-000045760000}"/>
    <cellStyle name="Normal 4 4 2 6 2 3" xfId="54774" xr:uid="{00000000-0005-0000-0000-000046760000}"/>
    <cellStyle name="Normal 4 4 2 6 3" xfId="21528" xr:uid="{00000000-0005-0000-0000-000047760000}"/>
    <cellStyle name="Normal 4 4 2 6 3 2" xfId="54775" xr:uid="{00000000-0005-0000-0000-000048760000}"/>
    <cellStyle name="Normal 4 4 2 6 4" xfId="21529" xr:uid="{00000000-0005-0000-0000-000049760000}"/>
    <cellStyle name="Normal 4 4 2 6 5" xfId="21530" xr:uid="{00000000-0005-0000-0000-00004A760000}"/>
    <cellStyle name="Normal 4 4 2 6 6" xfId="21531" xr:uid="{00000000-0005-0000-0000-00004B760000}"/>
    <cellStyle name="Normal 4 4 2 7" xfId="21532" xr:uid="{00000000-0005-0000-0000-00004C760000}"/>
    <cellStyle name="Normal 4 4 2 7 2" xfId="54776" xr:uid="{00000000-0005-0000-0000-00004D760000}"/>
    <cellStyle name="Normal 4 4 2 7 3" xfId="54777" xr:uid="{00000000-0005-0000-0000-00004E760000}"/>
    <cellStyle name="Normal 4 4 2 8" xfId="21533" xr:uid="{00000000-0005-0000-0000-00004F760000}"/>
    <cellStyle name="Normal 4 4 2 8 2" xfId="54778" xr:uid="{00000000-0005-0000-0000-000050760000}"/>
    <cellStyle name="Normal 4 4 2 9" xfId="21534" xr:uid="{00000000-0005-0000-0000-000051760000}"/>
    <cellStyle name="Normal 4 4 2 9 2" xfId="54779" xr:uid="{00000000-0005-0000-0000-000052760000}"/>
    <cellStyle name="Normal 4 4 20" xfId="21535" xr:uid="{00000000-0005-0000-0000-000053760000}"/>
    <cellStyle name="Normal 4 4 21" xfId="21536" xr:uid="{00000000-0005-0000-0000-000054760000}"/>
    <cellStyle name="Normal 4 4 3" xfId="21537" xr:uid="{00000000-0005-0000-0000-000055760000}"/>
    <cellStyle name="Normal 4 4 3 10" xfId="21538" xr:uid="{00000000-0005-0000-0000-000056760000}"/>
    <cellStyle name="Normal 4 4 3 11" xfId="21539" xr:uid="{00000000-0005-0000-0000-000057760000}"/>
    <cellStyle name="Normal 4 4 3 12" xfId="21540" xr:uid="{00000000-0005-0000-0000-000058760000}"/>
    <cellStyle name="Normal 4 4 3 13" xfId="21541" xr:uid="{00000000-0005-0000-0000-000059760000}"/>
    <cellStyle name="Normal 4 4 3 14" xfId="21542" xr:uid="{00000000-0005-0000-0000-00005A760000}"/>
    <cellStyle name="Normal 4 4 3 15" xfId="21543" xr:uid="{00000000-0005-0000-0000-00005B760000}"/>
    <cellStyle name="Normal 4 4 3 2" xfId="21544" xr:uid="{00000000-0005-0000-0000-00005C760000}"/>
    <cellStyle name="Normal 4 4 3 2 10" xfId="21545" xr:uid="{00000000-0005-0000-0000-00005D760000}"/>
    <cellStyle name="Normal 4 4 3 2 11" xfId="21546" xr:uid="{00000000-0005-0000-0000-00005E760000}"/>
    <cellStyle name="Normal 4 4 3 2 12" xfId="21547" xr:uid="{00000000-0005-0000-0000-00005F760000}"/>
    <cellStyle name="Normal 4 4 3 2 13" xfId="21548" xr:uid="{00000000-0005-0000-0000-000060760000}"/>
    <cellStyle name="Normal 4 4 3 2 14" xfId="21549" xr:uid="{00000000-0005-0000-0000-000061760000}"/>
    <cellStyle name="Normal 4 4 3 2 2" xfId="21550" xr:uid="{00000000-0005-0000-0000-000062760000}"/>
    <cellStyle name="Normal 4 4 3 2 2 2" xfId="21551" xr:uid="{00000000-0005-0000-0000-000063760000}"/>
    <cellStyle name="Normal 4 4 3 2 2 2 2" xfId="21552" xr:uid="{00000000-0005-0000-0000-000064760000}"/>
    <cellStyle name="Normal 4 4 3 2 2 2 2 2" xfId="21553" xr:uid="{00000000-0005-0000-0000-000065760000}"/>
    <cellStyle name="Normal 4 4 3 2 2 2 2 2 2" xfId="54780" xr:uid="{00000000-0005-0000-0000-000066760000}"/>
    <cellStyle name="Normal 4 4 3 2 2 2 2 2 3" xfId="54781" xr:uid="{00000000-0005-0000-0000-000067760000}"/>
    <cellStyle name="Normal 4 4 3 2 2 2 2 3" xfId="21554" xr:uid="{00000000-0005-0000-0000-000068760000}"/>
    <cellStyle name="Normal 4 4 3 2 2 2 2 3 2" xfId="54782" xr:uid="{00000000-0005-0000-0000-000069760000}"/>
    <cellStyle name="Normal 4 4 3 2 2 2 2 4" xfId="21555" xr:uid="{00000000-0005-0000-0000-00006A760000}"/>
    <cellStyle name="Normal 4 4 3 2 2 2 2 5" xfId="21556" xr:uid="{00000000-0005-0000-0000-00006B760000}"/>
    <cellStyle name="Normal 4 4 3 2 2 2 2 6" xfId="21557" xr:uid="{00000000-0005-0000-0000-00006C760000}"/>
    <cellStyle name="Normal 4 4 3 2 2 2 3" xfId="21558" xr:uid="{00000000-0005-0000-0000-00006D760000}"/>
    <cellStyle name="Normal 4 4 3 2 2 2 3 2" xfId="54783" xr:uid="{00000000-0005-0000-0000-00006E760000}"/>
    <cellStyle name="Normal 4 4 3 2 2 2 3 3" xfId="54784" xr:uid="{00000000-0005-0000-0000-00006F760000}"/>
    <cellStyle name="Normal 4 4 3 2 2 2 4" xfId="21559" xr:uid="{00000000-0005-0000-0000-000070760000}"/>
    <cellStyle name="Normal 4 4 3 2 2 2 4 2" xfId="54785" xr:uid="{00000000-0005-0000-0000-000071760000}"/>
    <cellStyle name="Normal 4 4 3 2 2 2 5" xfId="21560" xr:uid="{00000000-0005-0000-0000-000072760000}"/>
    <cellStyle name="Normal 4 4 3 2 2 2 6" xfId="21561" xr:uid="{00000000-0005-0000-0000-000073760000}"/>
    <cellStyle name="Normal 4 4 3 2 2 2 7" xfId="21562" xr:uid="{00000000-0005-0000-0000-000074760000}"/>
    <cellStyle name="Normal 4 4 3 2 2 3" xfId="21563" xr:uid="{00000000-0005-0000-0000-000075760000}"/>
    <cellStyle name="Normal 4 4 3 2 2 3 2" xfId="21564" xr:uid="{00000000-0005-0000-0000-000076760000}"/>
    <cellStyle name="Normal 4 4 3 2 2 3 2 2" xfId="54786" xr:uid="{00000000-0005-0000-0000-000077760000}"/>
    <cellStyle name="Normal 4 4 3 2 2 3 2 3" xfId="54787" xr:uid="{00000000-0005-0000-0000-000078760000}"/>
    <cellStyle name="Normal 4 4 3 2 2 3 3" xfId="21565" xr:uid="{00000000-0005-0000-0000-000079760000}"/>
    <cellStyle name="Normal 4 4 3 2 2 3 3 2" xfId="54788" xr:uid="{00000000-0005-0000-0000-00007A760000}"/>
    <cellStyle name="Normal 4 4 3 2 2 3 4" xfId="21566" xr:uid="{00000000-0005-0000-0000-00007B760000}"/>
    <cellStyle name="Normal 4 4 3 2 2 3 5" xfId="21567" xr:uid="{00000000-0005-0000-0000-00007C760000}"/>
    <cellStyle name="Normal 4 4 3 2 2 3 6" xfId="21568" xr:uid="{00000000-0005-0000-0000-00007D760000}"/>
    <cellStyle name="Normal 4 4 3 2 2 4" xfId="21569" xr:uid="{00000000-0005-0000-0000-00007E760000}"/>
    <cellStyle name="Normal 4 4 3 2 2 4 2" xfId="54789" xr:uid="{00000000-0005-0000-0000-00007F760000}"/>
    <cellStyle name="Normal 4 4 3 2 2 4 3" xfId="54790" xr:uid="{00000000-0005-0000-0000-000080760000}"/>
    <cellStyle name="Normal 4 4 3 2 2 5" xfId="21570" xr:uid="{00000000-0005-0000-0000-000081760000}"/>
    <cellStyle name="Normal 4 4 3 2 2 5 2" xfId="54791" xr:uid="{00000000-0005-0000-0000-000082760000}"/>
    <cellStyle name="Normal 4 4 3 2 2 6" xfId="21571" xr:uid="{00000000-0005-0000-0000-000083760000}"/>
    <cellStyle name="Normal 4 4 3 2 2 7" xfId="21572" xr:uid="{00000000-0005-0000-0000-000084760000}"/>
    <cellStyle name="Normal 4 4 3 2 2 8" xfId="21573" xr:uid="{00000000-0005-0000-0000-000085760000}"/>
    <cellStyle name="Normal 4 4 3 2 2 9" xfId="21574" xr:uid="{00000000-0005-0000-0000-000086760000}"/>
    <cellStyle name="Normal 4 4 3 2 3" xfId="21575" xr:uid="{00000000-0005-0000-0000-000087760000}"/>
    <cellStyle name="Normal 4 4 3 2 3 2" xfId="21576" xr:uid="{00000000-0005-0000-0000-000088760000}"/>
    <cellStyle name="Normal 4 4 3 2 3 2 2" xfId="21577" xr:uid="{00000000-0005-0000-0000-000089760000}"/>
    <cellStyle name="Normal 4 4 3 2 3 2 2 2" xfId="21578" xr:uid="{00000000-0005-0000-0000-00008A760000}"/>
    <cellStyle name="Normal 4 4 3 2 3 2 2 2 2" xfId="54792" xr:uid="{00000000-0005-0000-0000-00008B760000}"/>
    <cellStyle name="Normal 4 4 3 2 3 2 2 2 3" xfId="54793" xr:uid="{00000000-0005-0000-0000-00008C760000}"/>
    <cellStyle name="Normal 4 4 3 2 3 2 2 3" xfId="21579" xr:uid="{00000000-0005-0000-0000-00008D760000}"/>
    <cellStyle name="Normal 4 4 3 2 3 2 2 3 2" xfId="54794" xr:uid="{00000000-0005-0000-0000-00008E760000}"/>
    <cellStyle name="Normal 4 4 3 2 3 2 2 4" xfId="21580" xr:uid="{00000000-0005-0000-0000-00008F760000}"/>
    <cellStyle name="Normal 4 4 3 2 3 2 2 5" xfId="21581" xr:uid="{00000000-0005-0000-0000-000090760000}"/>
    <cellStyle name="Normal 4 4 3 2 3 2 2 6" xfId="21582" xr:uid="{00000000-0005-0000-0000-000091760000}"/>
    <cellStyle name="Normal 4 4 3 2 3 2 3" xfId="21583" xr:uid="{00000000-0005-0000-0000-000092760000}"/>
    <cellStyle name="Normal 4 4 3 2 3 2 3 2" xfId="54795" xr:uid="{00000000-0005-0000-0000-000093760000}"/>
    <cellStyle name="Normal 4 4 3 2 3 2 3 3" xfId="54796" xr:uid="{00000000-0005-0000-0000-000094760000}"/>
    <cellStyle name="Normal 4 4 3 2 3 2 4" xfId="21584" xr:uid="{00000000-0005-0000-0000-000095760000}"/>
    <cellStyle name="Normal 4 4 3 2 3 2 4 2" xfId="54797" xr:uid="{00000000-0005-0000-0000-000096760000}"/>
    <cellStyle name="Normal 4 4 3 2 3 2 5" xfId="21585" xr:uid="{00000000-0005-0000-0000-000097760000}"/>
    <cellStyle name="Normal 4 4 3 2 3 2 6" xfId="21586" xr:uid="{00000000-0005-0000-0000-000098760000}"/>
    <cellStyle name="Normal 4 4 3 2 3 2 7" xfId="21587" xr:uid="{00000000-0005-0000-0000-000099760000}"/>
    <cellStyle name="Normal 4 4 3 2 3 3" xfId="21588" xr:uid="{00000000-0005-0000-0000-00009A760000}"/>
    <cellStyle name="Normal 4 4 3 2 3 3 2" xfId="21589" xr:uid="{00000000-0005-0000-0000-00009B760000}"/>
    <cellStyle name="Normal 4 4 3 2 3 3 2 2" xfId="54798" xr:uid="{00000000-0005-0000-0000-00009C760000}"/>
    <cellStyle name="Normal 4 4 3 2 3 3 2 3" xfId="54799" xr:uid="{00000000-0005-0000-0000-00009D760000}"/>
    <cellStyle name="Normal 4 4 3 2 3 3 3" xfId="21590" xr:uid="{00000000-0005-0000-0000-00009E760000}"/>
    <cellStyle name="Normal 4 4 3 2 3 3 3 2" xfId="54800" xr:uid="{00000000-0005-0000-0000-00009F760000}"/>
    <cellStyle name="Normal 4 4 3 2 3 3 4" xfId="21591" xr:uid="{00000000-0005-0000-0000-0000A0760000}"/>
    <cellStyle name="Normal 4 4 3 2 3 3 5" xfId="21592" xr:uid="{00000000-0005-0000-0000-0000A1760000}"/>
    <cellStyle name="Normal 4 4 3 2 3 3 6" xfId="21593" xr:uid="{00000000-0005-0000-0000-0000A2760000}"/>
    <cellStyle name="Normal 4 4 3 2 3 4" xfId="21594" xr:uid="{00000000-0005-0000-0000-0000A3760000}"/>
    <cellStyle name="Normal 4 4 3 2 3 4 2" xfId="54801" xr:uid="{00000000-0005-0000-0000-0000A4760000}"/>
    <cellStyle name="Normal 4 4 3 2 3 4 3" xfId="54802" xr:uid="{00000000-0005-0000-0000-0000A5760000}"/>
    <cellStyle name="Normal 4 4 3 2 3 5" xfId="21595" xr:uid="{00000000-0005-0000-0000-0000A6760000}"/>
    <cellStyle name="Normal 4 4 3 2 3 5 2" xfId="54803" xr:uid="{00000000-0005-0000-0000-0000A7760000}"/>
    <cellStyle name="Normal 4 4 3 2 3 6" xfId="21596" xr:uid="{00000000-0005-0000-0000-0000A8760000}"/>
    <cellStyle name="Normal 4 4 3 2 3 7" xfId="21597" xr:uid="{00000000-0005-0000-0000-0000A9760000}"/>
    <cellStyle name="Normal 4 4 3 2 3 8" xfId="21598" xr:uid="{00000000-0005-0000-0000-0000AA760000}"/>
    <cellStyle name="Normal 4 4 3 2 4" xfId="21599" xr:uid="{00000000-0005-0000-0000-0000AB760000}"/>
    <cellStyle name="Normal 4 4 3 2 4 2" xfId="21600" xr:uid="{00000000-0005-0000-0000-0000AC760000}"/>
    <cellStyle name="Normal 4 4 3 2 4 2 2" xfId="21601" xr:uid="{00000000-0005-0000-0000-0000AD760000}"/>
    <cellStyle name="Normal 4 4 3 2 4 2 2 2" xfId="54804" xr:uid="{00000000-0005-0000-0000-0000AE760000}"/>
    <cellStyle name="Normal 4 4 3 2 4 2 2 3" xfId="54805" xr:uid="{00000000-0005-0000-0000-0000AF760000}"/>
    <cellStyle name="Normal 4 4 3 2 4 2 3" xfId="21602" xr:uid="{00000000-0005-0000-0000-0000B0760000}"/>
    <cellStyle name="Normal 4 4 3 2 4 2 3 2" xfId="54806" xr:uid="{00000000-0005-0000-0000-0000B1760000}"/>
    <cellStyle name="Normal 4 4 3 2 4 2 4" xfId="21603" xr:uid="{00000000-0005-0000-0000-0000B2760000}"/>
    <cellStyle name="Normal 4 4 3 2 4 2 5" xfId="21604" xr:uid="{00000000-0005-0000-0000-0000B3760000}"/>
    <cellStyle name="Normal 4 4 3 2 4 2 6" xfId="21605" xr:uid="{00000000-0005-0000-0000-0000B4760000}"/>
    <cellStyle name="Normal 4 4 3 2 4 3" xfId="21606" xr:uid="{00000000-0005-0000-0000-0000B5760000}"/>
    <cellStyle name="Normal 4 4 3 2 4 3 2" xfId="54807" xr:uid="{00000000-0005-0000-0000-0000B6760000}"/>
    <cellStyle name="Normal 4 4 3 2 4 3 3" xfId="54808" xr:uid="{00000000-0005-0000-0000-0000B7760000}"/>
    <cellStyle name="Normal 4 4 3 2 4 4" xfId="21607" xr:uid="{00000000-0005-0000-0000-0000B8760000}"/>
    <cellStyle name="Normal 4 4 3 2 4 4 2" xfId="54809" xr:uid="{00000000-0005-0000-0000-0000B9760000}"/>
    <cellStyle name="Normal 4 4 3 2 4 5" xfId="21608" xr:uid="{00000000-0005-0000-0000-0000BA760000}"/>
    <cellStyle name="Normal 4 4 3 2 4 6" xfId="21609" xr:uid="{00000000-0005-0000-0000-0000BB760000}"/>
    <cellStyle name="Normal 4 4 3 2 4 7" xfId="21610" xr:uid="{00000000-0005-0000-0000-0000BC760000}"/>
    <cellStyle name="Normal 4 4 3 2 5" xfId="21611" xr:uid="{00000000-0005-0000-0000-0000BD760000}"/>
    <cellStyle name="Normal 4 4 3 2 5 2" xfId="21612" xr:uid="{00000000-0005-0000-0000-0000BE760000}"/>
    <cellStyle name="Normal 4 4 3 2 5 2 2" xfId="54810" xr:uid="{00000000-0005-0000-0000-0000BF760000}"/>
    <cellStyle name="Normal 4 4 3 2 5 2 3" xfId="54811" xr:uid="{00000000-0005-0000-0000-0000C0760000}"/>
    <cellStyle name="Normal 4 4 3 2 5 3" xfId="21613" xr:uid="{00000000-0005-0000-0000-0000C1760000}"/>
    <cellStyle name="Normal 4 4 3 2 5 3 2" xfId="54812" xr:uid="{00000000-0005-0000-0000-0000C2760000}"/>
    <cellStyle name="Normal 4 4 3 2 5 4" xfId="21614" xr:uid="{00000000-0005-0000-0000-0000C3760000}"/>
    <cellStyle name="Normal 4 4 3 2 5 5" xfId="21615" xr:uid="{00000000-0005-0000-0000-0000C4760000}"/>
    <cellStyle name="Normal 4 4 3 2 5 6" xfId="21616" xr:uid="{00000000-0005-0000-0000-0000C5760000}"/>
    <cellStyle name="Normal 4 4 3 2 6" xfId="21617" xr:uid="{00000000-0005-0000-0000-0000C6760000}"/>
    <cellStyle name="Normal 4 4 3 2 6 2" xfId="54813" xr:uid="{00000000-0005-0000-0000-0000C7760000}"/>
    <cellStyle name="Normal 4 4 3 2 6 3" xfId="54814" xr:uid="{00000000-0005-0000-0000-0000C8760000}"/>
    <cellStyle name="Normal 4 4 3 2 7" xfId="21618" xr:uid="{00000000-0005-0000-0000-0000C9760000}"/>
    <cellStyle name="Normal 4 4 3 2 7 2" xfId="54815" xr:uid="{00000000-0005-0000-0000-0000CA760000}"/>
    <cellStyle name="Normal 4 4 3 2 8" xfId="21619" xr:uid="{00000000-0005-0000-0000-0000CB760000}"/>
    <cellStyle name="Normal 4 4 3 2 9" xfId="21620" xr:uid="{00000000-0005-0000-0000-0000CC760000}"/>
    <cellStyle name="Normal 4 4 3 3" xfId="21621" xr:uid="{00000000-0005-0000-0000-0000CD760000}"/>
    <cellStyle name="Normal 4 4 3 3 2" xfId="21622" xr:uid="{00000000-0005-0000-0000-0000CE760000}"/>
    <cellStyle name="Normal 4 4 3 3 2 2" xfId="21623" xr:uid="{00000000-0005-0000-0000-0000CF760000}"/>
    <cellStyle name="Normal 4 4 3 3 2 2 2" xfId="21624" xr:uid="{00000000-0005-0000-0000-0000D0760000}"/>
    <cellStyle name="Normal 4 4 3 3 2 2 2 2" xfId="54816" xr:uid="{00000000-0005-0000-0000-0000D1760000}"/>
    <cellStyle name="Normal 4 4 3 3 2 2 2 3" xfId="54817" xr:uid="{00000000-0005-0000-0000-0000D2760000}"/>
    <cellStyle name="Normal 4 4 3 3 2 2 3" xfId="21625" xr:uid="{00000000-0005-0000-0000-0000D3760000}"/>
    <cellStyle name="Normal 4 4 3 3 2 2 3 2" xfId="54818" xr:uid="{00000000-0005-0000-0000-0000D4760000}"/>
    <cellStyle name="Normal 4 4 3 3 2 2 4" xfId="21626" xr:uid="{00000000-0005-0000-0000-0000D5760000}"/>
    <cellStyle name="Normal 4 4 3 3 2 2 5" xfId="21627" xr:uid="{00000000-0005-0000-0000-0000D6760000}"/>
    <cellStyle name="Normal 4 4 3 3 2 2 6" xfId="21628" xr:uid="{00000000-0005-0000-0000-0000D7760000}"/>
    <cellStyle name="Normal 4 4 3 3 2 3" xfId="21629" xr:uid="{00000000-0005-0000-0000-0000D8760000}"/>
    <cellStyle name="Normal 4 4 3 3 2 3 2" xfId="54819" xr:uid="{00000000-0005-0000-0000-0000D9760000}"/>
    <cellStyle name="Normal 4 4 3 3 2 3 3" xfId="54820" xr:uid="{00000000-0005-0000-0000-0000DA760000}"/>
    <cellStyle name="Normal 4 4 3 3 2 4" xfId="21630" xr:uid="{00000000-0005-0000-0000-0000DB760000}"/>
    <cellStyle name="Normal 4 4 3 3 2 4 2" xfId="54821" xr:uid="{00000000-0005-0000-0000-0000DC760000}"/>
    <cellStyle name="Normal 4 4 3 3 2 5" xfId="21631" xr:uid="{00000000-0005-0000-0000-0000DD760000}"/>
    <cellStyle name="Normal 4 4 3 3 2 6" xfId="21632" xr:uid="{00000000-0005-0000-0000-0000DE760000}"/>
    <cellStyle name="Normal 4 4 3 3 2 7" xfId="21633" xr:uid="{00000000-0005-0000-0000-0000DF760000}"/>
    <cellStyle name="Normal 4 4 3 3 3" xfId="21634" xr:uid="{00000000-0005-0000-0000-0000E0760000}"/>
    <cellStyle name="Normal 4 4 3 3 3 2" xfId="21635" xr:uid="{00000000-0005-0000-0000-0000E1760000}"/>
    <cellStyle name="Normal 4 4 3 3 3 2 2" xfId="54822" xr:uid="{00000000-0005-0000-0000-0000E2760000}"/>
    <cellStyle name="Normal 4 4 3 3 3 2 3" xfId="54823" xr:uid="{00000000-0005-0000-0000-0000E3760000}"/>
    <cellStyle name="Normal 4 4 3 3 3 3" xfId="21636" xr:uid="{00000000-0005-0000-0000-0000E4760000}"/>
    <cellStyle name="Normal 4 4 3 3 3 3 2" xfId="54824" xr:uid="{00000000-0005-0000-0000-0000E5760000}"/>
    <cellStyle name="Normal 4 4 3 3 3 4" xfId="21637" xr:uid="{00000000-0005-0000-0000-0000E6760000}"/>
    <cellStyle name="Normal 4 4 3 3 3 5" xfId="21638" xr:uid="{00000000-0005-0000-0000-0000E7760000}"/>
    <cellStyle name="Normal 4 4 3 3 3 6" xfId="21639" xr:uid="{00000000-0005-0000-0000-0000E8760000}"/>
    <cellStyle name="Normal 4 4 3 3 4" xfId="21640" xr:uid="{00000000-0005-0000-0000-0000E9760000}"/>
    <cellStyle name="Normal 4 4 3 3 4 2" xfId="54825" xr:uid="{00000000-0005-0000-0000-0000EA760000}"/>
    <cellStyle name="Normal 4 4 3 3 4 3" xfId="54826" xr:uid="{00000000-0005-0000-0000-0000EB760000}"/>
    <cellStyle name="Normal 4 4 3 3 5" xfId="21641" xr:uid="{00000000-0005-0000-0000-0000EC760000}"/>
    <cellStyle name="Normal 4 4 3 3 5 2" xfId="54827" xr:uid="{00000000-0005-0000-0000-0000ED760000}"/>
    <cellStyle name="Normal 4 4 3 3 6" xfId="21642" xr:uid="{00000000-0005-0000-0000-0000EE760000}"/>
    <cellStyle name="Normal 4 4 3 3 7" xfId="21643" xr:uid="{00000000-0005-0000-0000-0000EF760000}"/>
    <cellStyle name="Normal 4 4 3 3 8" xfId="21644" xr:uid="{00000000-0005-0000-0000-0000F0760000}"/>
    <cellStyle name="Normal 4 4 3 3 9" xfId="21645" xr:uid="{00000000-0005-0000-0000-0000F1760000}"/>
    <cellStyle name="Normal 4 4 3 4" xfId="21646" xr:uid="{00000000-0005-0000-0000-0000F2760000}"/>
    <cellStyle name="Normal 4 4 3 4 2" xfId="21647" xr:uid="{00000000-0005-0000-0000-0000F3760000}"/>
    <cellStyle name="Normal 4 4 3 4 2 2" xfId="21648" xr:uid="{00000000-0005-0000-0000-0000F4760000}"/>
    <cellStyle name="Normal 4 4 3 4 2 2 2" xfId="21649" xr:uid="{00000000-0005-0000-0000-0000F5760000}"/>
    <cellStyle name="Normal 4 4 3 4 2 2 2 2" xfId="54828" xr:uid="{00000000-0005-0000-0000-0000F6760000}"/>
    <cellStyle name="Normal 4 4 3 4 2 2 2 3" xfId="54829" xr:uid="{00000000-0005-0000-0000-0000F7760000}"/>
    <cellStyle name="Normal 4 4 3 4 2 2 3" xfId="21650" xr:uid="{00000000-0005-0000-0000-0000F8760000}"/>
    <cellStyle name="Normal 4 4 3 4 2 2 3 2" xfId="54830" xr:uid="{00000000-0005-0000-0000-0000F9760000}"/>
    <cellStyle name="Normal 4 4 3 4 2 2 4" xfId="21651" xr:uid="{00000000-0005-0000-0000-0000FA760000}"/>
    <cellStyle name="Normal 4 4 3 4 2 2 5" xfId="21652" xr:uid="{00000000-0005-0000-0000-0000FB760000}"/>
    <cellStyle name="Normal 4 4 3 4 2 2 6" xfId="21653" xr:uid="{00000000-0005-0000-0000-0000FC760000}"/>
    <cellStyle name="Normal 4 4 3 4 2 3" xfId="21654" xr:uid="{00000000-0005-0000-0000-0000FD760000}"/>
    <cellStyle name="Normal 4 4 3 4 2 3 2" xfId="54831" xr:uid="{00000000-0005-0000-0000-0000FE760000}"/>
    <cellStyle name="Normal 4 4 3 4 2 3 3" xfId="54832" xr:uid="{00000000-0005-0000-0000-0000FF760000}"/>
    <cellStyle name="Normal 4 4 3 4 2 4" xfId="21655" xr:uid="{00000000-0005-0000-0000-000000770000}"/>
    <cellStyle name="Normal 4 4 3 4 2 4 2" xfId="54833" xr:uid="{00000000-0005-0000-0000-000001770000}"/>
    <cellStyle name="Normal 4 4 3 4 2 5" xfId="21656" xr:uid="{00000000-0005-0000-0000-000002770000}"/>
    <cellStyle name="Normal 4 4 3 4 2 6" xfId="21657" xr:uid="{00000000-0005-0000-0000-000003770000}"/>
    <cellStyle name="Normal 4 4 3 4 2 7" xfId="21658" xr:uid="{00000000-0005-0000-0000-000004770000}"/>
    <cellStyle name="Normal 4 4 3 4 3" xfId="21659" xr:uid="{00000000-0005-0000-0000-000005770000}"/>
    <cellStyle name="Normal 4 4 3 4 3 2" xfId="21660" xr:uid="{00000000-0005-0000-0000-000006770000}"/>
    <cellStyle name="Normal 4 4 3 4 3 2 2" xfId="54834" xr:uid="{00000000-0005-0000-0000-000007770000}"/>
    <cellStyle name="Normal 4 4 3 4 3 2 3" xfId="54835" xr:uid="{00000000-0005-0000-0000-000008770000}"/>
    <cellStyle name="Normal 4 4 3 4 3 3" xfId="21661" xr:uid="{00000000-0005-0000-0000-000009770000}"/>
    <cellStyle name="Normal 4 4 3 4 3 3 2" xfId="54836" xr:uid="{00000000-0005-0000-0000-00000A770000}"/>
    <cellStyle name="Normal 4 4 3 4 3 4" xfId="21662" xr:uid="{00000000-0005-0000-0000-00000B770000}"/>
    <cellStyle name="Normal 4 4 3 4 3 5" xfId="21663" xr:uid="{00000000-0005-0000-0000-00000C770000}"/>
    <cellStyle name="Normal 4 4 3 4 3 6" xfId="21664" xr:uid="{00000000-0005-0000-0000-00000D770000}"/>
    <cellStyle name="Normal 4 4 3 4 4" xfId="21665" xr:uid="{00000000-0005-0000-0000-00000E770000}"/>
    <cellStyle name="Normal 4 4 3 4 4 2" xfId="54837" xr:uid="{00000000-0005-0000-0000-00000F770000}"/>
    <cellStyle name="Normal 4 4 3 4 4 3" xfId="54838" xr:uid="{00000000-0005-0000-0000-000010770000}"/>
    <cellStyle name="Normal 4 4 3 4 5" xfId="21666" xr:uid="{00000000-0005-0000-0000-000011770000}"/>
    <cellStyle name="Normal 4 4 3 4 5 2" xfId="54839" xr:uid="{00000000-0005-0000-0000-000012770000}"/>
    <cellStyle name="Normal 4 4 3 4 6" xfId="21667" xr:uid="{00000000-0005-0000-0000-000013770000}"/>
    <cellStyle name="Normal 4 4 3 4 7" xfId="21668" xr:uid="{00000000-0005-0000-0000-000014770000}"/>
    <cellStyle name="Normal 4 4 3 4 8" xfId="21669" xr:uid="{00000000-0005-0000-0000-000015770000}"/>
    <cellStyle name="Normal 4 4 3 5" xfId="21670" xr:uid="{00000000-0005-0000-0000-000016770000}"/>
    <cellStyle name="Normal 4 4 3 5 2" xfId="21671" xr:uid="{00000000-0005-0000-0000-000017770000}"/>
    <cellStyle name="Normal 4 4 3 5 2 2" xfId="21672" xr:uid="{00000000-0005-0000-0000-000018770000}"/>
    <cellStyle name="Normal 4 4 3 5 2 2 2" xfId="54840" xr:uid="{00000000-0005-0000-0000-000019770000}"/>
    <cellStyle name="Normal 4 4 3 5 2 2 3" xfId="54841" xr:uid="{00000000-0005-0000-0000-00001A770000}"/>
    <cellStyle name="Normal 4 4 3 5 2 3" xfId="21673" xr:uid="{00000000-0005-0000-0000-00001B770000}"/>
    <cellStyle name="Normal 4 4 3 5 2 3 2" xfId="54842" xr:uid="{00000000-0005-0000-0000-00001C770000}"/>
    <cellStyle name="Normal 4 4 3 5 2 4" xfId="21674" xr:uid="{00000000-0005-0000-0000-00001D770000}"/>
    <cellStyle name="Normal 4 4 3 5 2 5" xfId="21675" xr:uid="{00000000-0005-0000-0000-00001E770000}"/>
    <cellStyle name="Normal 4 4 3 5 2 6" xfId="21676" xr:uid="{00000000-0005-0000-0000-00001F770000}"/>
    <cellStyle name="Normal 4 4 3 5 3" xfId="21677" xr:uid="{00000000-0005-0000-0000-000020770000}"/>
    <cellStyle name="Normal 4 4 3 5 3 2" xfId="54843" xr:uid="{00000000-0005-0000-0000-000021770000}"/>
    <cellStyle name="Normal 4 4 3 5 3 3" xfId="54844" xr:uid="{00000000-0005-0000-0000-000022770000}"/>
    <cellStyle name="Normal 4 4 3 5 4" xfId="21678" xr:uid="{00000000-0005-0000-0000-000023770000}"/>
    <cellStyle name="Normal 4 4 3 5 4 2" xfId="54845" xr:uid="{00000000-0005-0000-0000-000024770000}"/>
    <cellStyle name="Normal 4 4 3 5 5" xfId="21679" xr:uid="{00000000-0005-0000-0000-000025770000}"/>
    <cellStyle name="Normal 4 4 3 5 6" xfId="21680" xr:uid="{00000000-0005-0000-0000-000026770000}"/>
    <cellStyle name="Normal 4 4 3 5 7" xfId="21681" xr:uid="{00000000-0005-0000-0000-000027770000}"/>
    <cellStyle name="Normal 4 4 3 6" xfId="21682" xr:uid="{00000000-0005-0000-0000-000028770000}"/>
    <cellStyle name="Normal 4 4 3 6 2" xfId="21683" xr:uid="{00000000-0005-0000-0000-000029770000}"/>
    <cellStyle name="Normal 4 4 3 6 2 2" xfId="54846" xr:uid="{00000000-0005-0000-0000-00002A770000}"/>
    <cellStyle name="Normal 4 4 3 6 2 3" xfId="54847" xr:uid="{00000000-0005-0000-0000-00002B770000}"/>
    <cellStyle name="Normal 4 4 3 6 3" xfId="21684" xr:uid="{00000000-0005-0000-0000-00002C770000}"/>
    <cellStyle name="Normal 4 4 3 6 3 2" xfId="54848" xr:uid="{00000000-0005-0000-0000-00002D770000}"/>
    <cellStyle name="Normal 4 4 3 6 4" xfId="21685" xr:uid="{00000000-0005-0000-0000-00002E770000}"/>
    <cellStyle name="Normal 4 4 3 6 5" xfId="21686" xr:uid="{00000000-0005-0000-0000-00002F770000}"/>
    <cellStyle name="Normal 4 4 3 6 6" xfId="21687" xr:uid="{00000000-0005-0000-0000-000030770000}"/>
    <cellStyle name="Normal 4 4 3 7" xfId="21688" xr:uid="{00000000-0005-0000-0000-000031770000}"/>
    <cellStyle name="Normal 4 4 3 7 2" xfId="54849" xr:uid="{00000000-0005-0000-0000-000032770000}"/>
    <cellStyle name="Normal 4 4 3 7 3" xfId="54850" xr:uid="{00000000-0005-0000-0000-000033770000}"/>
    <cellStyle name="Normal 4 4 3 8" xfId="21689" xr:uid="{00000000-0005-0000-0000-000034770000}"/>
    <cellStyle name="Normal 4 4 3 8 2" xfId="54851" xr:uid="{00000000-0005-0000-0000-000035770000}"/>
    <cellStyle name="Normal 4 4 3 9" xfId="21690" xr:uid="{00000000-0005-0000-0000-000036770000}"/>
    <cellStyle name="Normal 4 4 4" xfId="21691" xr:uid="{00000000-0005-0000-0000-000037770000}"/>
    <cellStyle name="Normal 4 4 4 10" xfId="21692" xr:uid="{00000000-0005-0000-0000-000038770000}"/>
    <cellStyle name="Normal 4 4 4 11" xfId="21693" xr:uid="{00000000-0005-0000-0000-000039770000}"/>
    <cellStyle name="Normal 4 4 4 12" xfId="21694" xr:uid="{00000000-0005-0000-0000-00003A770000}"/>
    <cellStyle name="Normal 4 4 4 13" xfId="21695" xr:uid="{00000000-0005-0000-0000-00003B770000}"/>
    <cellStyle name="Normal 4 4 4 14" xfId="21696" xr:uid="{00000000-0005-0000-0000-00003C770000}"/>
    <cellStyle name="Normal 4 4 4 2" xfId="21697" xr:uid="{00000000-0005-0000-0000-00003D770000}"/>
    <cellStyle name="Normal 4 4 4 2 2" xfId="21698" xr:uid="{00000000-0005-0000-0000-00003E770000}"/>
    <cellStyle name="Normal 4 4 4 2 2 2" xfId="21699" xr:uid="{00000000-0005-0000-0000-00003F770000}"/>
    <cellStyle name="Normal 4 4 4 2 2 2 2" xfId="21700" xr:uid="{00000000-0005-0000-0000-000040770000}"/>
    <cellStyle name="Normal 4 4 4 2 2 2 2 2" xfId="54852" xr:uid="{00000000-0005-0000-0000-000041770000}"/>
    <cellStyle name="Normal 4 4 4 2 2 2 2 3" xfId="54853" xr:uid="{00000000-0005-0000-0000-000042770000}"/>
    <cellStyle name="Normal 4 4 4 2 2 2 3" xfId="21701" xr:uid="{00000000-0005-0000-0000-000043770000}"/>
    <cellStyle name="Normal 4 4 4 2 2 2 3 2" xfId="54854" xr:uid="{00000000-0005-0000-0000-000044770000}"/>
    <cellStyle name="Normal 4 4 4 2 2 2 4" xfId="21702" xr:uid="{00000000-0005-0000-0000-000045770000}"/>
    <cellStyle name="Normal 4 4 4 2 2 2 5" xfId="21703" xr:uid="{00000000-0005-0000-0000-000046770000}"/>
    <cellStyle name="Normal 4 4 4 2 2 2 6" xfId="21704" xr:uid="{00000000-0005-0000-0000-000047770000}"/>
    <cellStyle name="Normal 4 4 4 2 2 3" xfId="21705" xr:uid="{00000000-0005-0000-0000-000048770000}"/>
    <cellStyle name="Normal 4 4 4 2 2 3 2" xfId="54855" xr:uid="{00000000-0005-0000-0000-000049770000}"/>
    <cellStyle name="Normal 4 4 4 2 2 3 3" xfId="54856" xr:uid="{00000000-0005-0000-0000-00004A770000}"/>
    <cellStyle name="Normal 4 4 4 2 2 4" xfId="21706" xr:uid="{00000000-0005-0000-0000-00004B770000}"/>
    <cellStyle name="Normal 4 4 4 2 2 4 2" xfId="54857" xr:uid="{00000000-0005-0000-0000-00004C770000}"/>
    <cellStyle name="Normal 4 4 4 2 2 5" xfId="21707" xr:uid="{00000000-0005-0000-0000-00004D770000}"/>
    <cellStyle name="Normal 4 4 4 2 2 6" xfId="21708" xr:uid="{00000000-0005-0000-0000-00004E770000}"/>
    <cellStyle name="Normal 4 4 4 2 2 7" xfId="21709" xr:uid="{00000000-0005-0000-0000-00004F770000}"/>
    <cellStyle name="Normal 4 4 4 2 3" xfId="21710" xr:uid="{00000000-0005-0000-0000-000050770000}"/>
    <cellStyle name="Normal 4 4 4 2 3 2" xfId="21711" xr:uid="{00000000-0005-0000-0000-000051770000}"/>
    <cellStyle name="Normal 4 4 4 2 3 2 2" xfId="54858" xr:uid="{00000000-0005-0000-0000-000052770000}"/>
    <cellStyle name="Normal 4 4 4 2 3 2 3" xfId="54859" xr:uid="{00000000-0005-0000-0000-000053770000}"/>
    <cellStyle name="Normal 4 4 4 2 3 3" xfId="21712" xr:uid="{00000000-0005-0000-0000-000054770000}"/>
    <cellStyle name="Normal 4 4 4 2 3 3 2" xfId="54860" xr:uid="{00000000-0005-0000-0000-000055770000}"/>
    <cellStyle name="Normal 4 4 4 2 3 4" xfId="21713" xr:uid="{00000000-0005-0000-0000-000056770000}"/>
    <cellStyle name="Normal 4 4 4 2 3 5" xfId="21714" xr:uid="{00000000-0005-0000-0000-000057770000}"/>
    <cellStyle name="Normal 4 4 4 2 3 6" xfId="21715" xr:uid="{00000000-0005-0000-0000-000058770000}"/>
    <cellStyle name="Normal 4 4 4 2 4" xfId="21716" xr:uid="{00000000-0005-0000-0000-000059770000}"/>
    <cellStyle name="Normal 4 4 4 2 4 2" xfId="54861" xr:uid="{00000000-0005-0000-0000-00005A770000}"/>
    <cellStyle name="Normal 4 4 4 2 4 3" xfId="54862" xr:uid="{00000000-0005-0000-0000-00005B770000}"/>
    <cellStyle name="Normal 4 4 4 2 5" xfId="21717" xr:uid="{00000000-0005-0000-0000-00005C770000}"/>
    <cellStyle name="Normal 4 4 4 2 5 2" xfId="54863" xr:uid="{00000000-0005-0000-0000-00005D770000}"/>
    <cellStyle name="Normal 4 4 4 2 6" xfId="21718" xr:uid="{00000000-0005-0000-0000-00005E770000}"/>
    <cellStyle name="Normal 4 4 4 2 7" xfId="21719" xr:uid="{00000000-0005-0000-0000-00005F770000}"/>
    <cellStyle name="Normal 4 4 4 2 8" xfId="21720" xr:uid="{00000000-0005-0000-0000-000060770000}"/>
    <cellStyle name="Normal 4 4 4 2 9" xfId="21721" xr:uid="{00000000-0005-0000-0000-000061770000}"/>
    <cellStyle name="Normal 4 4 4 3" xfId="21722" xr:uid="{00000000-0005-0000-0000-000062770000}"/>
    <cellStyle name="Normal 4 4 4 3 2" xfId="21723" xr:uid="{00000000-0005-0000-0000-000063770000}"/>
    <cellStyle name="Normal 4 4 4 3 2 2" xfId="21724" xr:uid="{00000000-0005-0000-0000-000064770000}"/>
    <cellStyle name="Normal 4 4 4 3 2 2 2" xfId="21725" xr:uid="{00000000-0005-0000-0000-000065770000}"/>
    <cellStyle name="Normal 4 4 4 3 2 2 2 2" xfId="54864" xr:uid="{00000000-0005-0000-0000-000066770000}"/>
    <cellStyle name="Normal 4 4 4 3 2 2 2 3" xfId="54865" xr:uid="{00000000-0005-0000-0000-000067770000}"/>
    <cellStyle name="Normal 4 4 4 3 2 2 3" xfId="21726" xr:uid="{00000000-0005-0000-0000-000068770000}"/>
    <cellStyle name="Normal 4 4 4 3 2 2 3 2" xfId="54866" xr:uid="{00000000-0005-0000-0000-000069770000}"/>
    <cellStyle name="Normal 4 4 4 3 2 2 4" xfId="21727" xr:uid="{00000000-0005-0000-0000-00006A770000}"/>
    <cellStyle name="Normal 4 4 4 3 2 2 5" xfId="21728" xr:uid="{00000000-0005-0000-0000-00006B770000}"/>
    <cellStyle name="Normal 4 4 4 3 2 2 6" xfId="21729" xr:uid="{00000000-0005-0000-0000-00006C770000}"/>
    <cellStyle name="Normal 4 4 4 3 2 3" xfId="21730" xr:uid="{00000000-0005-0000-0000-00006D770000}"/>
    <cellStyle name="Normal 4 4 4 3 2 3 2" xfId="54867" xr:uid="{00000000-0005-0000-0000-00006E770000}"/>
    <cellStyle name="Normal 4 4 4 3 2 3 3" xfId="54868" xr:uid="{00000000-0005-0000-0000-00006F770000}"/>
    <cellStyle name="Normal 4 4 4 3 2 4" xfId="21731" xr:uid="{00000000-0005-0000-0000-000070770000}"/>
    <cellStyle name="Normal 4 4 4 3 2 4 2" xfId="54869" xr:uid="{00000000-0005-0000-0000-000071770000}"/>
    <cellStyle name="Normal 4 4 4 3 2 5" xfId="21732" xr:uid="{00000000-0005-0000-0000-000072770000}"/>
    <cellStyle name="Normal 4 4 4 3 2 6" xfId="21733" xr:uid="{00000000-0005-0000-0000-000073770000}"/>
    <cellStyle name="Normal 4 4 4 3 2 7" xfId="21734" xr:uid="{00000000-0005-0000-0000-000074770000}"/>
    <cellStyle name="Normal 4 4 4 3 3" xfId="21735" xr:uid="{00000000-0005-0000-0000-000075770000}"/>
    <cellStyle name="Normal 4 4 4 3 3 2" xfId="21736" xr:uid="{00000000-0005-0000-0000-000076770000}"/>
    <cellStyle name="Normal 4 4 4 3 3 2 2" xfId="54870" xr:uid="{00000000-0005-0000-0000-000077770000}"/>
    <cellStyle name="Normal 4 4 4 3 3 2 3" xfId="54871" xr:uid="{00000000-0005-0000-0000-000078770000}"/>
    <cellStyle name="Normal 4 4 4 3 3 3" xfId="21737" xr:uid="{00000000-0005-0000-0000-000079770000}"/>
    <cellStyle name="Normal 4 4 4 3 3 3 2" xfId="54872" xr:uid="{00000000-0005-0000-0000-00007A770000}"/>
    <cellStyle name="Normal 4 4 4 3 3 4" xfId="21738" xr:uid="{00000000-0005-0000-0000-00007B770000}"/>
    <cellStyle name="Normal 4 4 4 3 3 5" xfId="21739" xr:uid="{00000000-0005-0000-0000-00007C770000}"/>
    <cellStyle name="Normal 4 4 4 3 3 6" xfId="21740" xr:uid="{00000000-0005-0000-0000-00007D770000}"/>
    <cellStyle name="Normal 4 4 4 3 4" xfId="21741" xr:uid="{00000000-0005-0000-0000-00007E770000}"/>
    <cellStyle name="Normal 4 4 4 3 4 2" xfId="54873" xr:uid="{00000000-0005-0000-0000-00007F770000}"/>
    <cellStyle name="Normal 4 4 4 3 4 3" xfId="54874" xr:uid="{00000000-0005-0000-0000-000080770000}"/>
    <cellStyle name="Normal 4 4 4 3 5" xfId="21742" xr:uid="{00000000-0005-0000-0000-000081770000}"/>
    <cellStyle name="Normal 4 4 4 3 5 2" xfId="54875" xr:uid="{00000000-0005-0000-0000-000082770000}"/>
    <cellStyle name="Normal 4 4 4 3 6" xfId="21743" xr:uid="{00000000-0005-0000-0000-000083770000}"/>
    <cellStyle name="Normal 4 4 4 3 7" xfId="21744" xr:uid="{00000000-0005-0000-0000-000084770000}"/>
    <cellStyle name="Normal 4 4 4 3 8" xfId="21745" xr:uid="{00000000-0005-0000-0000-000085770000}"/>
    <cellStyle name="Normal 4 4 4 4" xfId="21746" xr:uid="{00000000-0005-0000-0000-000086770000}"/>
    <cellStyle name="Normal 4 4 4 4 2" xfId="21747" xr:uid="{00000000-0005-0000-0000-000087770000}"/>
    <cellStyle name="Normal 4 4 4 4 2 2" xfId="21748" xr:uid="{00000000-0005-0000-0000-000088770000}"/>
    <cellStyle name="Normal 4 4 4 4 2 2 2" xfId="54876" xr:uid="{00000000-0005-0000-0000-000089770000}"/>
    <cellStyle name="Normal 4 4 4 4 2 2 3" xfId="54877" xr:uid="{00000000-0005-0000-0000-00008A770000}"/>
    <cellStyle name="Normal 4 4 4 4 2 3" xfId="21749" xr:uid="{00000000-0005-0000-0000-00008B770000}"/>
    <cellStyle name="Normal 4 4 4 4 2 3 2" xfId="54878" xr:uid="{00000000-0005-0000-0000-00008C770000}"/>
    <cellStyle name="Normal 4 4 4 4 2 4" xfId="21750" xr:uid="{00000000-0005-0000-0000-00008D770000}"/>
    <cellStyle name="Normal 4 4 4 4 2 5" xfId="21751" xr:uid="{00000000-0005-0000-0000-00008E770000}"/>
    <cellStyle name="Normal 4 4 4 4 2 6" xfId="21752" xr:uid="{00000000-0005-0000-0000-00008F770000}"/>
    <cellStyle name="Normal 4 4 4 4 3" xfId="21753" xr:uid="{00000000-0005-0000-0000-000090770000}"/>
    <cellStyle name="Normal 4 4 4 4 3 2" xfId="54879" xr:uid="{00000000-0005-0000-0000-000091770000}"/>
    <cellStyle name="Normal 4 4 4 4 3 3" xfId="54880" xr:uid="{00000000-0005-0000-0000-000092770000}"/>
    <cellStyle name="Normal 4 4 4 4 4" xfId="21754" xr:uid="{00000000-0005-0000-0000-000093770000}"/>
    <cellStyle name="Normal 4 4 4 4 4 2" xfId="54881" xr:uid="{00000000-0005-0000-0000-000094770000}"/>
    <cellStyle name="Normal 4 4 4 4 5" xfId="21755" xr:uid="{00000000-0005-0000-0000-000095770000}"/>
    <cellStyle name="Normal 4 4 4 4 6" xfId="21756" xr:uid="{00000000-0005-0000-0000-000096770000}"/>
    <cellStyle name="Normal 4 4 4 4 7" xfId="21757" xr:uid="{00000000-0005-0000-0000-000097770000}"/>
    <cellStyle name="Normal 4 4 4 5" xfId="21758" xr:uid="{00000000-0005-0000-0000-000098770000}"/>
    <cellStyle name="Normal 4 4 4 5 2" xfId="21759" xr:uid="{00000000-0005-0000-0000-000099770000}"/>
    <cellStyle name="Normal 4 4 4 5 2 2" xfId="54882" xr:uid="{00000000-0005-0000-0000-00009A770000}"/>
    <cellStyle name="Normal 4 4 4 5 2 3" xfId="54883" xr:uid="{00000000-0005-0000-0000-00009B770000}"/>
    <cellStyle name="Normal 4 4 4 5 3" xfId="21760" xr:uid="{00000000-0005-0000-0000-00009C770000}"/>
    <cellStyle name="Normal 4 4 4 5 3 2" xfId="54884" xr:uid="{00000000-0005-0000-0000-00009D770000}"/>
    <cellStyle name="Normal 4 4 4 5 4" xfId="21761" xr:uid="{00000000-0005-0000-0000-00009E770000}"/>
    <cellStyle name="Normal 4 4 4 5 5" xfId="21762" xr:uid="{00000000-0005-0000-0000-00009F770000}"/>
    <cellStyle name="Normal 4 4 4 5 6" xfId="21763" xr:uid="{00000000-0005-0000-0000-0000A0770000}"/>
    <cellStyle name="Normal 4 4 4 6" xfId="21764" xr:uid="{00000000-0005-0000-0000-0000A1770000}"/>
    <cellStyle name="Normal 4 4 4 6 2" xfId="54885" xr:uid="{00000000-0005-0000-0000-0000A2770000}"/>
    <cellStyle name="Normal 4 4 4 6 3" xfId="54886" xr:uid="{00000000-0005-0000-0000-0000A3770000}"/>
    <cellStyle name="Normal 4 4 4 7" xfId="21765" xr:uid="{00000000-0005-0000-0000-0000A4770000}"/>
    <cellStyle name="Normal 4 4 4 7 2" xfId="54887" xr:uid="{00000000-0005-0000-0000-0000A5770000}"/>
    <cellStyle name="Normal 4 4 4 8" xfId="21766" xr:uid="{00000000-0005-0000-0000-0000A6770000}"/>
    <cellStyle name="Normal 4 4 4 9" xfId="21767" xr:uid="{00000000-0005-0000-0000-0000A7770000}"/>
    <cellStyle name="Normal 4 4 5" xfId="21768" xr:uid="{00000000-0005-0000-0000-0000A8770000}"/>
    <cellStyle name="Normal 4 4 5 10" xfId="21769" xr:uid="{00000000-0005-0000-0000-0000A9770000}"/>
    <cellStyle name="Normal 4 4 5 11" xfId="21770" xr:uid="{00000000-0005-0000-0000-0000AA770000}"/>
    <cellStyle name="Normal 4 4 5 12" xfId="21771" xr:uid="{00000000-0005-0000-0000-0000AB770000}"/>
    <cellStyle name="Normal 4 4 5 13" xfId="21772" xr:uid="{00000000-0005-0000-0000-0000AC770000}"/>
    <cellStyle name="Normal 4 4 5 14" xfId="21773" xr:uid="{00000000-0005-0000-0000-0000AD770000}"/>
    <cellStyle name="Normal 4 4 5 2" xfId="21774" xr:uid="{00000000-0005-0000-0000-0000AE770000}"/>
    <cellStyle name="Normal 4 4 5 2 2" xfId="21775" xr:uid="{00000000-0005-0000-0000-0000AF770000}"/>
    <cellStyle name="Normal 4 4 5 2 2 2" xfId="21776" xr:uid="{00000000-0005-0000-0000-0000B0770000}"/>
    <cellStyle name="Normal 4 4 5 2 2 2 2" xfId="21777" xr:uid="{00000000-0005-0000-0000-0000B1770000}"/>
    <cellStyle name="Normal 4 4 5 2 2 2 2 2" xfId="54888" xr:uid="{00000000-0005-0000-0000-0000B2770000}"/>
    <cellStyle name="Normal 4 4 5 2 2 2 2 3" xfId="54889" xr:uid="{00000000-0005-0000-0000-0000B3770000}"/>
    <cellStyle name="Normal 4 4 5 2 2 2 3" xfId="21778" xr:uid="{00000000-0005-0000-0000-0000B4770000}"/>
    <cellStyle name="Normal 4 4 5 2 2 2 3 2" xfId="54890" xr:uid="{00000000-0005-0000-0000-0000B5770000}"/>
    <cellStyle name="Normal 4 4 5 2 2 2 4" xfId="21779" xr:uid="{00000000-0005-0000-0000-0000B6770000}"/>
    <cellStyle name="Normal 4 4 5 2 2 2 5" xfId="21780" xr:uid="{00000000-0005-0000-0000-0000B7770000}"/>
    <cellStyle name="Normal 4 4 5 2 2 2 6" xfId="21781" xr:uid="{00000000-0005-0000-0000-0000B8770000}"/>
    <cellStyle name="Normal 4 4 5 2 2 3" xfId="21782" xr:uid="{00000000-0005-0000-0000-0000B9770000}"/>
    <cellStyle name="Normal 4 4 5 2 2 3 2" xfId="54891" xr:uid="{00000000-0005-0000-0000-0000BA770000}"/>
    <cellStyle name="Normal 4 4 5 2 2 3 3" xfId="54892" xr:uid="{00000000-0005-0000-0000-0000BB770000}"/>
    <cellStyle name="Normal 4 4 5 2 2 4" xfId="21783" xr:uid="{00000000-0005-0000-0000-0000BC770000}"/>
    <cellStyle name="Normal 4 4 5 2 2 4 2" xfId="54893" xr:uid="{00000000-0005-0000-0000-0000BD770000}"/>
    <cellStyle name="Normal 4 4 5 2 2 5" xfId="21784" xr:uid="{00000000-0005-0000-0000-0000BE770000}"/>
    <cellStyle name="Normal 4 4 5 2 2 6" xfId="21785" xr:uid="{00000000-0005-0000-0000-0000BF770000}"/>
    <cellStyle name="Normal 4 4 5 2 2 7" xfId="21786" xr:uid="{00000000-0005-0000-0000-0000C0770000}"/>
    <cellStyle name="Normal 4 4 5 2 3" xfId="21787" xr:uid="{00000000-0005-0000-0000-0000C1770000}"/>
    <cellStyle name="Normal 4 4 5 2 3 2" xfId="21788" xr:uid="{00000000-0005-0000-0000-0000C2770000}"/>
    <cellStyle name="Normal 4 4 5 2 3 2 2" xfId="54894" xr:uid="{00000000-0005-0000-0000-0000C3770000}"/>
    <cellStyle name="Normal 4 4 5 2 3 2 3" xfId="54895" xr:uid="{00000000-0005-0000-0000-0000C4770000}"/>
    <cellStyle name="Normal 4 4 5 2 3 3" xfId="21789" xr:uid="{00000000-0005-0000-0000-0000C5770000}"/>
    <cellStyle name="Normal 4 4 5 2 3 3 2" xfId="54896" xr:uid="{00000000-0005-0000-0000-0000C6770000}"/>
    <cellStyle name="Normal 4 4 5 2 3 4" xfId="21790" xr:uid="{00000000-0005-0000-0000-0000C7770000}"/>
    <cellStyle name="Normal 4 4 5 2 3 5" xfId="21791" xr:uid="{00000000-0005-0000-0000-0000C8770000}"/>
    <cellStyle name="Normal 4 4 5 2 3 6" xfId="21792" xr:uid="{00000000-0005-0000-0000-0000C9770000}"/>
    <cellStyle name="Normal 4 4 5 2 4" xfId="21793" xr:uid="{00000000-0005-0000-0000-0000CA770000}"/>
    <cellStyle name="Normal 4 4 5 2 4 2" xfId="54897" xr:uid="{00000000-0005-0000-0000-0000CB770000}"/>
    <cellStyle name="Normal 4 4 5 2 4 3" xfId="54898" xr:uid="{00000000-0005-0000-0000-0000CC770000}"/>
    <cellStyle name="Normal 4 4 5 2 5" xfId="21794" xr:uid="{00000000-0005-0000-0000-0000CD770000}"/>
    <cellStyle name="Normal 4 4 5 2 5 2" xfId="54899" xr:uid="{00000000-0005-0000-0000-0000CE770000}"/>
    <cellStyle name="Normal 4 4 5 2 6" xfId="21795" xr:uid="{00000000-0005-0000-0000-0000CF770000}"/>
    <cellStyle name="Normal 4 4 5 2 7" xfId="21796" xr:uid="{00000000-0005-0000-0000-0000D0770000}"/>
    <cellStyle name="Normal 4 4 5 2 8" xfId="21797" xr:uid="{00000000-0005-0000-0000-0000D1770000}"/>
    <cellStyle name="Normal 4 4 5 2 9" xfId="21798" xr:uid="{00000000-0005-0000-0000-0000D2770000}"/>
    <cellStyle name="Normal 4 4 5 3" xfId="21799" xr:uid="{00000000-0005-0000-0000-0000D3770000}"/>
    <cellStyle name="Normal 4 4 5 3 2" xfId="21800" xr:uid="{00000000-0005-0000-0000-0000D4770000}"/>
    <cellStyle name="Normal 4 4 5 3 2 2" xfId="21801" xr:uid="{00000000-0005-0000-0000-0000D5770000}"/>
    <cellStyle name="Normal 4 4 5 3 2 2 2" xfId="21802" xr:uid="{00000000-0005-0000-0000-0000D6770000}"/>
    <cellStyle name="Normal 4 4 5 3 2 2 2 2" xfId="54900" xr:uid="{00000000-0005-0000-0000-0000D7770000}"/>
    <cellStyle name="Normal 4 4 5 3 2 2 2 3" xfId="54901" xr:uid="{00000000-0005-0000-0000-0000D8770000}"/>
    <cellStyle name="Normal 4 4 5 3 2 2 3" xfId="21803" xr:uid="{00000000-0005-0000-0000-0000D9770000}"/>
    <cellStyle name="Normal 4 4 5 3 2 2 3 2" xfId="54902" xr:uid="{00000000-0005-0000-0000-0000DA770000}"/>
    <cellStyle name="Normal 4 4 5 3 2 2 4" xfId="21804" xr:uid="{00000000-0005-0000-0000-0000DB770000}"/>
    <cellStyle name="Normal 4 4 5 3 2 2 5" xfId="21805" xr:uid="{00000000-0005-0000-0000-0000DC770000}"/>
    <cellStyle name="Normal 4 4 5 3 2 2 6" xfId="21806" xr:uid="{00000000-0005-0000-0000-0000DD770000}"/>
    <cellStyle name="Normal 4 4 5 3 2 3" xfId="21807" xr:uid="{00000000-0005-0000-0000-0000DE770000}"/>
    <cellStyle name="Normal 4 4 5 3 2 3 2" xfId="54903" xr:uid="{00000000-0005-0000-0000-0000DF770000}"/>
    <cellStyle name="Normal 4 4 5 3 2 3 3" xfId="54904" xr:uid="{00000000-0005-0000-0000-0000E0770000}"/>
    <cellStyle name="Normal 4 4 5 3 2 4" xfId="21808" xr:uid="{00000000-0005-0000-0000-0000E1770000}"/>
    <cellStyle name="Normal 4 4 5 3 2 4 2" xfId="54905" xr:uid="{00000000-0005-0000-0000-0000E2770000}"/>
    <cellStyle name="Normal 4 4 5 3 2 5" xfId="21809" xr:uid="{00000000-0005-0000-0000-0000E3770000}"/>
    <cellStyle name="Normal 4 4 5 3 2 6" xfId="21810" xr:uid="{00000000-0005-0000-0000-0000E4770000}"/>
    <cellStyle name="Normal 4 4 5 3 2 7" xfId="21811" xr:uid="{00000000-0005-0000-0000-0000E5770000}"/>
    <cellStyle name="Normal 4 4 5 3 3" xfId="21812" xr:uid="{00000000-0005-0000-0000-0000E6770000}"/>
    <cellStyle name="Normal 4 4 5 3 3 2" xfId="21813" xr:uid="{00000000-0005-0000-0000-0000E7770000}"/>
    <cellStyle name="Normal 4 4 5 3 3 2 2" xfId="54906" xr:uid="{00000000-0005-0000-0000-0000E8770000}"/>
    <cellStyle name="Normal 4 4 5 3 3 2 3" xfId="54907" xr:uid="{00000000-0005-0000-0000-0000E9770000}"/>
    <cellStyle name="Normal 4 4 5 3 3 3" xfId="21814" xr:uid="{00000000-0005-0000-0000-0000EA770000}"/>
    <cellStyle name="Normal 4 4 5 3 3 3 2" xfId="54908" xr:uid="{00000000-0005-0000-0000-0000EB770000}"/>
    <cellStyle name="Normal 4 4 5 3 3 4" xfId="21815" xr:uid="{00000000-0005-0000-0000-0000EC770000}"/>
    <cellStyle name="Normal 4 4 5 3 3 5" xfId="21816" xr:uid="{00000000-0005-0000-0000-0000ED770000}"/>
    <cellStyle name="Normal 4 4 5 3 3 6" xfId="21817" xr:uid="{00000000-0005-0000-0000-0000EE770000}"/>
    <cellStyle name="Normal 4 4 5 3 4" xfId="21818" xr:uid="{00000000-0005-0000-0000-0000EF770000}"/>
    <cellStyle name="Normal 4 4 5 3 4 2" xfId="54909" xr:uid="{00000000-0005-0000-0000-0000F0770000}"/>
    <cellStyle name="Normal 4 4 5 3 4 3" xfId="54910" xr:uid="{00000000-0005-0000-0000-0000F1770000}"/>
    <cellStyle name="Normal 4 4 5 3 5" xfId="21819" xr:uid="{00000000-0005-0000-0000-0000F2770000}"/>
    <cellStyle name="Normal 4 4 5 3 5 2" xfId="54911" xr:uid="{00000000-0005-0000-0000-0000F3770000}"/>
    <cellStyle name="Normal 4 4 5 3 6" xfId="21820" xr:uid="{00000000-0005-0000-0000-0000F4770000}"/>
    <cellStyle name="Normal 4 4 5 3 7" xfId="21821" xr:uid="{00000000-0005-0000-0000-0000F5770000}"/>
    <cellStyle name="Normal 4 4 5 3 8" xfId="21822" xr:uid="{00000000-0005-0000-0000-0000F6770000}"/>
    <cellStyle name="Normal 4 4 5 4" xfId="21823" xr:uid="{00000000-0005-0000-0000-0000F7770000}"/>
    <cellStyle name="Normal 4 4 5 4 2" xfId="21824" xr:uid="{00000000-0005-0000-0000-0000F8770000}"/>
    <cellStyle name="Normal 4 4 5 4 2 2" xfId="21825" xr:uid="{00000000-0005-0000-0000-0000F9770000}"/>
    <cellStyle name="Normal 4 4 5 4 2 2 2" xfId="54912" xr:uid="{00000000-0005-0000-0000-0000FA770000}"/>
    <cellStyle name="Normal 4 4 5 4 2 2 3" xfId="54913" xr:uid="{00000000-0005-0000-0000-0000FB770000}"/>
    <cellStyle name="Normal 4 4 5 4 2 3" xfId="21826" xr:uid="{00000000-0005-0000-0000-0000FC770000}"/>
    <cellStyle name="Normal 4 4 5 4 2 3 2" xfId="54914" xr:uid="{00000000-0005-0000-0000-0000FD770000}"/>
    <cellStyle name="Normal 4 4 5 4 2 4" xfId="21827" xr:uid="{00000000-0005-0000-0000-0000FE770000}"/>
    <cellStyle name="Normal 4 4 5 4 2 5" xfId="21828" xr:uid="{00000000-0005-0000-0000-0000FF770000}"/>
    <cellStyle name="Normal 4 4 5 4 2 6" xfId="21829" xr:uid="{00000000-0005-0000-0000-000000780000}"/>
    <cellStyle name="Normal 4 4 5 4 3" xfId="21830" xr:uid="{00000000-0005-0000-0000-000001780000}"/>
    <cellStyle name="Normal 4 4 5 4 3 2" xfId="54915" xr:uid="{00000000-0005-0000-0000-000002780000}"/>
    <cellStyle name="Normal 4 4 5 4 3 3" xfId="54916" xr:uid="{00000000-0005-0000-0000-000003780000}"/>
    <cellStyle name="Normal 4 4 5 4 4" xfId="21831" xr:uid="{00000000-0005-0000-0000-000004780000}"/>
    <cellStyle name="Normal 4 4 5 4 4 2" xfId="54917" xr:uid="{00000000-0005-0000-0000-000005780000}"/>
    <cellStyle name="Normal 4 4 5 4 5" xfId="21832" xr:uid="{00000000-0005-0000-0000-000006780000}"/>
    <cellStyle name="Normal 4 4 5 4 6" xfId="21833" xr:uid="{00000000-0005-0000-0000-000007780000}"/>
    <cellStyle name="Normal 4 4 5 4 7" xfId="21834" xr:uid="{00000000-0005-0000-0000-000008780000}"/>
    <cellStyle name="Normal 4 4 5 5" xfId="21835" xr:uid="{00000000-0005-0000-0000-000009780000}"/>
    <cellStyle name="Normal 4 4 5 5 2" xfId="21836" xr:uid="{00000000-0005-0000-0000-00000A780000}"/>
    <cellStyle name="Normal 4 4 5 5 2 2" xfId="54918" xr:uid="{00000000-0005-0000-0000-00000B780000}"/>
    <cellStyle name="Normal 4 4 5 5 2 3" xfId="54919" xr:uid="{00000000-0005-0000-0000-00000C780000}"/>
    <cellStyle name="Normal 4 4 5 5 3" xfId="21837" xr:uid="{00000000-0005-0000-0000-00000D780000}"/>
    <cellStyle name="Normal 4 4 5 5 3 2" xfId="54920" xr:uid="{00000000-0005-0000-0000-00000E780000}"/>
    <cellStyle name="Normal 4 4 5 5 4" xfId="21838" xr:uid="{00000000-0005-0000-0000-00000F780000}"/>
    <cellStyle name="Normal 4 4 5 5 5" xfId="21839" xr:uid="{00000000-0005-0000-0000-000010780000}"/>
    <cellStyle name="Normal 4 4 5 5 6" xfId="21840" xr:uid="{00000000-0005-0000-0000-000011780000}"/>
    <cellStyle name="Normal 4 4 5 6" xfId="21841" xr:uid="{00000000-0005-0000-0000-000012780000}"/>
    <cellStyle name="Normal 4 4 5 6 2" xfId="54921" xr:uid="{00000000-0005-0000-0000-000013780000}"/>
    <cellStyle name="Normal 4 4 5 6 3" xfId="54922" xr:uid="{00000000-0005-0000-0000-000014780000}"/>
    <cellStyle name="Normal 4 4 5 7" xfId="21842" xr:uid="{00000000-0005-0000-0000-000015780000}"/>
    <cellStyle name="Normal 4 4 5 7 2" xfId="54923" xr:uid="{00000000-0005-0000-0000-000016780000}"/>
    <cellStyle name="Normal 4 4 5 8" xfId="21843" xr:uid="{00000000-0005-0000-0000-000017780000}"/>
    <cellStyle name="Normal 4 4 5 9" xfId="21844" xr:uid="{00000000-0005-0000-0000-000018780000}"/>
    <cellStyle name="Normal 4 4 6" xfId="21845" xr:uid="{00000000-0005-0000-0000-000019780000}"/>
    <cellStyle name="Normal 4 4 6 10" xfId="21846" xr:uid="{00000000-0005-0000-0000-00001A780000}"/>
    <cellStyle name="Normal 4 4 6 11" xfId="21847" xr:uid="{00000000-0005-0000-0000-00001B780000}"/>
    <cellStyle name="Normal 4 4 6 12" xfId="21848" xr:uid="{00000000-0005-0000-0000-00001C780000}"/>
    <cellStyle name="Normal 4 4 6 13" xfId="21849" xr:uid="{00000000-0005-0000-0000-00001D780000}"/>
    <cellStyle name="Normal 4 4 6 2" xfId="21850" xr:uid="{00000000-0005-0000-0000-00001E780000}"/>
    <cellStyle name="Normal 4 4 6 2 2" xfId="21851" xr:uid="{00000000-0005-0000-0000-00001F780000}"/>
    <cellStyle name="Normal 4 4 6 2 2 2" xfId="21852" xr:uid="{00000000-0005-0000-0000-000020780000}"/>
    <cellStyle name="Normal 4 4 6 2 2 2 2" xfId="21853" xr:uid="{00000000-0005-0000-0000-000021780000}"/>
    <cellStyle name="Normal 4 4 6 2 2 2 2 2" xfId="54924" xr:uid="{00000000-0005-0000-0000-000022780000}"/>
    <cellStyle name="Normal 4 4 6 2 2 2 2 3" xfId="54925" xr:uid="{00000000-0005-0000-0000-000023780000}"/>
    <cellStyle name="Normal 4 4 6 2 2 2 3" xfId="21854" xr:uid="{00000000-0005-0000-0000-000024780000}"/>
    <cellStyle name="Normal 4 4 6 2 2 2 3 2" xfId="54926" xr:uid="{00000000-0005-0000-0000-000025780000}"/>
    <cellStyle name="Normal 4 4 6 2 2 2 4" xfId="21855" xr:uid="{00000000-0005-0000-0000-000026780000}"/>
    <cellStyle name="Normal 4 4 6 2 2 2 5" xfId="21856" xr:uid="{00000000-0005-0000-0000-000027780000}"/>
    <cellStyle name="Normal 4 4 6 2 2 2 6" xfId="21857" xr:uid="{00000000-0005-0000-0000-000028780000}"/>
    <cellStyle name="Normal 4 4 6 2 2 3" xfId="21858" xr:uid="{00000000-0005-0000-0000-000029780000}"/>
    <cellStyle name="Normal 4 4 6 2 2 3 2" xfId="54927" xr:uid="{00000000-0005-0000-0000-00002A780000}"/>
    <cellStyle name="Normal 4 4 6 2 2 3 3" xfId="54928" xr:uid="{00000000-0005-0000-0000-00002B780000}"/>
    <cellStyle name="Normal 4 4 6 2 2 4" xfId="21859" xr:uid="{00000000-0005-0000-0000-00002C780000}"/>
    <cellStyle name="Normal 4 4 6 2 2 4 2" xfId="54929" xr:uid="{00000000-0005-0000-0000-00002D780000}"/>
    <cellStyle name="Normal 4 4 6 2 2 5" xfId="21860" xr:uid="{00000000-0005-0000-0000-00002E780000}"/>
    <cellStyle name="Normal 4 4 6 2 2 6" xfId="21861" xr:uid="{00000000-0005-0000-0000-00002F780000}"/>
    <cellStyle name="Normal 4 4 6 2 2 7" xfId="21862" xr:uid="{00000000-0005-0000-0000-000030780000}"/>
    <cellStyle name="Normal 4 4 6 2 3" xfId="21863" xr:uid="{00000000-0005-0000-0000-000031780000}"/>
    <cellStyle name="Normal 4 4 6 2 3 2" xfId="21864" xr:uid="{00000000-0005-0000-0000-000032780000}"/>
    <cellStyle name="Normal 4 4 6 2 3 2 2" xfId="54930" xr:uid="{00000000-0005-0000-0000-000033780000}"/>
    <cellStyle name="Normal 4 4 6 2 3 2 3" xfId="54931" xr:uid="{00000000-0005-0000-0000-000034780000}"/>
    <cellStyle name="Normal 4 4 6 2 3 3" xfId="21865" xr:uid="{00000000-0005-0000-0000-000035780000}"/>
    <cellStyle name="Normal 4 4 6 2 3 3 2" xfId="54932" xr:uid="{00000000-0005-0000-0000-000036780000}"/>
    <cellStyle name="Normal 4 4 6 2 3 4" xfId="21866" xr:uid="{00000000-0005-0000-0000-000037780000}"/>
    <cellStyle name="Normal 4 4 6 2 3 5" xfId="21867" xr:uid="{00000000-0005-0000-0000-000038780000}"/>
    <cellStyle name="Normal 4 4 6 2 3 6" xfId="21868" xr:uid="{00000000-0005-0000-0000-000039780000}"/>
    <cellStyle name="Normal 4 4 6 2 4" xfId="21869" xr:uid="{00000000-0005-0000-0000-00003A780000}"/>
    <cellStyle name="Normal 4 4 6 2 4 2" xfId="54933" xr:uid="{00000000-0005-0000-0000-00003B780000}"/>
    <cellStyle name="Normal 4 4 6 2 4 3" xfId="54934" xr:uid="{00000000-0005-0000-0000-00003C780000}"/>
    <cellStyle name="Normal 4 4 6 2 5" xfId="21870" xr:uid="{00000000-0005-0000-0000-00003D780000}"/>
    <cellStyle name="Normal 4 4 6 2 5 2" xfId="54935" xr:uid="{00000000-0005-0000-0000-00003E780000}"/>
    <cellStyle name="Normal 4 4 6 2 6" xfId="21871" xr:uid="{00000000-0005-0000-0000-00003F780000}"/>
    <cellStyle name="Normal 4 4 6 2 7" xfId="21872" xr:uid="{00000000-0005-0000-0000-000040780000}"/>
    <cellStyle name="Normal 4 4 6 2 8" xfId="21873" xr:uid="{00000000-0005-0000-0000-000041780000}"/>
    <cellStyle name="Normal 4 4 6 2 9" xfId="21874" xr:uid="{00000000-0005-0000-0000-000042780000}"/>
    <cellStyle name="Normal 4 4 6 3" xfId="21875" xr:uid="{00000000-0005-0000-0000-000043780000}"/>
    <cellStyle name="Normal 4 4 6 3 2" xfId="21876" xr:uid="{00000000-0005-0000-0000-000044780000}"/>
    <cellStyle name="Normal 4 4 6 3 2 2" xfId="21877" xr:uid="{00000000-0005-0000-0000-000045780000}"/>
    <cellStyle name="Normal 4 4 6 3 2 2 2" xfId="54936" xr:uid="{00000000-0005-0000-0000-000046780000}"/>
    <cellStyle name="Normal 4 4 6 3 2 2 3" xfId="54937" xr:uid="{00000000-0005-0000-0000-000047780000}"/>
    <cellStyle name="Normal 4 4 6 3 2 3" xfId="21878" xr:uid="{00000000-0005-0000-0000-000048780000}"/>
    <cellStyle name="Normal 4 4 6 3 2 3 2" xfId="54938" xr:uid="{00000000-0005-0000-0000-000049780000}"/>
    <cellStyle name="Normal 4 4 6 3 2 4" xfId="21879" xr:uid="{00000000-0005-0000-0000-00004A780000}"/>
    <cellStyle name="Normal 4 4 6 3 2 5" xfId="21880" xr:uid="{00000000-0005-0000-0000-00004B780000}"/>
    <cellStyle name="Normal 4 4 6 3 2 6" xfId="21881" xr:uid="{00000000-0005-0000-0000-00004C780000}"/>
    <cellStyle name="Normal 4 4 6 3 3" xfId="21882" xr:uid="{00000000-0005-0000-0000-00004D780000}"/>
    <cellStyle name="Normal 4 4 6 3 3 2" xfId="54939" xr:uid="{00000000-0005-0000-0000-00004E780000}"/>
    <cellStyle name="Normal 4 4 6 3 3 3" xfId="54940" xr:uid="{00000000-0005-0000-0000-00004F780000}"/>
    <cellStyle name="Normal 4 4 6 3 4" xfId="21883" xr:uid="{00000000-0005-0000-0000-000050780000}"/>
    <cellStyle name="Normal 4 4 6 3 4 2" xfId="54941" xr:uid="{00000000-0005-0000-0000-000051780000}"/>
    <cellStyle name="Normal 4 4 6 3 5" xfId="21884" xr:uid="{00000000-0005-0000-0000-000052780000}"/>
    <cellStyle name="Normal 4 4 6 3 6" xfId="21885" xr:uid="{00000000-0005-0000-0000-000053780000}"/>
    <cellStyle name="Normal 4 4 6 3 7" xfId="21886" xr:uid="{00000000-0005-0000-0000-000054780000}"/>
    <cellStyle name="Normal 4 4 6 4" xfId="21887" xr:uid="{00000000-0005-0000-0000-000055780000}"/>
    <cellStyle name="Normal 4 4 6 4 2" xfId="21888" xr:uid="{00000000-0005-0000-0000-000056780000}"/>
    <cellStyle name="Normal 4 4 6 4 2 2" xfId="54942" xr:uid="{00000000-0005-0000-0000-000057780000}"/>
    <cellStyle name="Normal 4 4 6 4 2 3" xfId="54943" xr:uid="{00000000-0005-0000-0000-000058780000}"/>
    <cellStyle name="Normal 4 4 6 4 3" xfId="21889" xr:uid="{00000000-0005-0000-0000-000059780000}"/>
    <cellStyle name="Normal 4 4 6 4 3 2" xfId="54944" xr:uid="{00000000-0005-0000-0000-00005A780000}"/>
    <cellStyle name="Normal 4 4 6 4 4" xfId="21890" xr:uid="{00000000-0005-0000-0000-00005B780000}"/>
    <cellStyle name="Normal 4 4 6 4 5" xfId="21891" xr:uid="{00000000-0005-0000-0000-00005C780000}"/>
    <cellStyle name="Normal 4 4 6 4 6" xfId="21892" xr:uid="{00000000-0005-0000-0000-00005D780000}"/>
    <cellStyle name="Normal 4 4 6 5" xfId="21893" xr:uid="{00000000-0005-0000-0000-00005E780000}"/>
    <cellStyle name="Normal 4 4 6 5 2" xfId="54945" xr:uid="{00000000-0005-0000-0000-00005F780000}"/>
    <cellStyle name="Normal 4 4 6 5 3" xfId="54946" xr:uid="{00000000-0005-0000-0000-000060780000}"/>
    <cellStyle name="Normal 4 4 6 6" xfId="21894" xr:uid="{00000000-0005-0000-0000-000061780000}"/>
    <cellStyle name="Normal 4 4 6 6 2" xfId="54947" xr:uid="{00000000-0005-0000-0000-000062780000}"/>
    <cellStyle name="Normal 4 4 6 7" xfId="21895" xr:uid="{00000000-0005-0000-0000-000063780000}"/>
    <cellStyle name="Normal 4 4 6 8" xfId="21896" xr:uid="{00000000-0005-0000-0000-000064780000}"/>
    <cellStyle name="Normal 4 4 6 9" xfId="21897" xr:uid="{00000000-0005-0000-0000-000065780000}"/>
    <cellStyle name="Normal 4 4 7" xfId="21898" xr:uid="{00000000-0005-0000-0000-000066780000}"/>
    <cellStyle name="Normal 4 4 7 2" xfId="21899" xr:uid="{00000000-0005-0000-0000-000067780000}"/>
    <cellStyle name="Normal 4 4 7 2 2" xfId="21900" xr:uid="{00000000-0005-0000-0000-000068780000}"/>
    <cellStyle name="Normal 4 4 7 2 2 2" xfId="21901" xr:uid="{00000000-0005-0000-0000-000069780000}"/>
    <cellStyle name="Normal 4 4 7 2 2 2 2" xfId="54948" xr:uid="{00000000-0005-0000-0000-00006A780000}"/>
    <cellStyle name="Normal 4 4 7 2 2 2 3" xfId="54949" xr:uid="{00000000-0005-0000-0000-00006B780000}"/>
    <cellStyle name="Normal 4 4 7 2 2 3" xfId="21902" xr:uid="{00000000-0005-0000-0000-00006C780000}"/>
    <cellStyle name="Normal 4 4 7 2 2 3 2" xfId="54950" xr:uid="{00000000-0005-0000-0000-00006D780000}"/>
    <cellStyle name="Normal 4 4 7 2 2 4" xfId="21903" xr:uid="{00000000-0005-0000-0000-00006E780000}"/>
    <cellStyle name="Normal 4 4 7 2 2 5" xfId="21904" xr:uid="{00000000-0005-0000-0000-00006F780000}"/>
    <cellStyle name="Normal 4 4 7 2 2 6" xfId="21905" xr:uid="{00000000-0005-0000-0000-000070780000}"/>
    <cellStyle name="Normal 4 4 7 2 3" xfId="21906" xr:uid="{00000000-0005-0000-0000-000071780000}"/>
    <cellStyle name="Normal 4 4 7 2 3 2" xfId="54951" xr:uid="{00000000-0005-0000-0000-000072780000}"/>
    <cellStyle name="Normal 4 4 7 2 3 3" xfId="54952" xr:uid="{00000000-0005-0000-0000-000073780000}"/>
    <cellStyle name="Normal 4 4 7 2 4" xfId="21907" xr:uid="{00000000-0005-0000-0000-000074780000}"/>
    <cellStyle name="Normal 4 4 7 2 4 2" xfId="54953" xr:uid="{00000000-0005-0000-0000-000075780000}"/>
    <cellStyle name="Normal 4 4 7 2 5" xfId="21908" xr:uid="{00000000-0005-0000-0000-000076780000}"/>
    <cellStyle name="Normal 4 4 7 2 6" xfId="21909" xr:uid="{00000000-0005-0000-0000-000077780000}"/>
    <cellStyle name="Normal 4 4 7 2 7" xfId="21910" xr:uid="{00000000-0005-0000-0000-000078780000}"/>
    <cellStyle name="Normal 4 4 7 3" xfId="21911" xr:uid="{00000000-0005-0000-0000-000079780000}"/>
    <cellStyle name="Normal 4 4 7 3 2" xfId="21912" xr:uid="{00000000-0005-0000-0000-00007A780000}"/>
    <cellStyle name="Normal 4 4 7 3 2 2" xfId="54954" xr:uid="{00000000-0005-0000-0000-00007B780000}"/>
    <cellStyle name="Normal 4 4 7 3 2 3" xfId="54955" xr:uid="{00000000-0005-0000-0000-00007C780000}"/>
    <cellStyle name="Normal 4 4 7 3 3" xfId="21913" xr:uid="{00000000-0005-0000-0000-00007D780000}"/>
    <cellStyle name="Normal 4 4 7 3 3 2" xfId="54956" xr:uid="{00000000-0005-0000-0000-00007E780000}"/>
    <cellStyle name="Normal 4 4 7 3 4" xfId="21914" xr:uid="{00000000-0005-0000-0000-00007F780000}"/>
    <cellStyle name="Normal 4 4 7 3 5" xfId="21915" xr:uid="{00000000-0005-0000-0000-000080780000}"/>
    <cellStyle name="Normal 4 4 7 3 6" xfId="21916" xr:uid="{00000000-0005-0000-0000-000081780000}"/>
    <cellStyle name="Normal 4 4 7 4" xfId="21917" xr:uid="{00000000-0005-0000-0000-000082780000}"/>
    <cellStyle name="Normal 4 4 7 4 2" xfId="54957" xr:uid="{00000000-0005-0000-0000-000083780000}"/>
    <cellStyle name="Normal 4 4 7 4 3" xfId="54958" xr:uid="{00000000-0005-0000-0000-000084780000}"/>
    <cellStyle name="Normal 4 4 7 5" xfId="21918" xr:uid="{00000000-0005-0000-0000-000085780000}"/>
    <cellStyle name="Normal 4 4 7 5 2" xfId="54959" xr:uid="{00000000-0005-0000-0000-000086780000}"/>
    <cellStyle name="Normal 4 4 7 6" xfId="21919" xr:uid="{00000000-0005-0000-0000-000087780000}"/>
    <cellStyle name="Normal 4 4 7 7" xfId="21920" xr:uid="{00000000-0005-0000-0000-000088780000}"/>
    <cellStyle name="Normal 4 4 7 8" xfId="21921" xr:uid="{00000000-0005-0000-0000-000089780000}"/>
    <cellStyle name="Normal 4 4 7 9" xfId="21922" xr:uid="{00000000-0005-0000-0000-00008A780000}"/>
    <cellStyle name="Normal 4 4 8" xfId="21923" xr:uid="{00000000-0005-0000-0000-00008B780000}"/>
    <cellStyle name="Normal 4 4 8 2" xfId="21924" xr:uid="{00000000-0005-0000-0000-00008C780000}"/>
    <cellStyle name="Normal 4 4 8 2 2" xfId="21925" xr:uid="{00000000-0005-0000-0000-00008D780000}"/>
    <cellStyle name="Normal 4 4 8 2 2 2" xfId="21926" xr:uid="{00000000-0005-0000-0000-00008E780000}"/>
    <cellStyle name="Normal 4 4 8 2 2 2 2" xfId="54960" xr:uid="{00000000-0005-0000-0000-00008F780000}"/>
    <cellStyle name="Normal 4 4 8 2 2 2 3" xfId="54961" xr:uid="{00000000-0005-0000-0000-000090780000}"/>
    <cellStyle name="Normal 4 4 8 2 2 3" xfId="21927" xr:uid="{00000000-0005-0000-0000-000091780000}"/>
    <cellStyle name="Normal 4 4 8 2 2 3 2" xfId="54962" xr:uid="{00000000-0005-0000-0000-000092780000}"/>
    <cellStyle name="Normal 4 4 8 2 2 4" xfId="21928" xr:uid="{00000000-0005-0000-0000-000093780000}"/>
    <cellStyle name="Normal 4 4 8 2 2 5" xfId="21929" xr:uid="{00000000-0005-0000-0000-000094780000}"/>
    <cellStyle name="Normal 4 4 8 2 2 6" xfId="21930" xr:uid="{00000000-0005-0000-0000-000095780000}"/>
    <cellStyle name="Normal 4 4 8 2 3" xfId="21931" xr:uid="{00000000-0005-0000-0000-000096780000}"/>
    <cellStyle name="Normal 4 4 8 2 3 2" xfId="54963" xr:uid="{00000000-0005-0000-0000-000097780000}"/>
    <cellStyle name="Normal 4 4 8 2 3 3" xfId="54964" xr:uid="{00000000-0005-0000-0000-000098780000}"/>
    <cellStyle name="Normal 4 4 8 2 4" xfId="21932" xr:uid="{00000000-0005-0000-0000-000099780000}"/>
    <cellStyle name="Normal 4 4 8 2 4 2" xfId="54965" xr:uid="{00000000-0005-0000-0000-00009A780000}"/>
    <cellStyle name="Normal 4 4 8 2 5" xfId="21933" xr:uid="{00000000-0005-0000-0000-00009B780000}"/>
    <cellStyle name="Normal 4 4 8 2 6" xfId="21934" xr:uid="{00000000-0005-0000-0000-00009C780000}"/>
    <cellStyle name="Normal 4 4 8 2 7" xfId="21935" xr:uid="{00000000-0005-0000-0000-00009D780000}"/>
    <cellStyle name="Normal 4 4 8 3" xfId="21936" xr:uid="{00000000-0005-0000-0000-00009E780000}"/>
    <cellStyle name="Normal 4 4 8 3 2" xfId="21937" xr:uid="{00000000-0005-0000-0000-00009F780000}"/>
    <cellStyle name="Normal 4 4 8 3 2 2" xfId="54966" xr:uid="{00000000-0005-0000-0000-0000A0780000}"/>
    <cellStyle name="Normal 4 4 8 3 2 3" xfId="54967" xr:uid="{00000000-0005-0000-0000-0000A1780000}"/>
    <cellStyle name="Normal 4 4 8 3 3" xfId="21938" xr:uid="{00000000-0005-0000-0000-0000A2780000}"/>
    <cellStyle name="Normal 4 4 8 3 3 2" xfId="54968" xr:uid="{00000000-0005-0000-0000-0000A3780000}"/>
    <cellStyle name="Normal 4 4 8 3 4" xfId="21939" xr:uid="{00000000-0005-0000-0000-0000A4780000}"/>
    <cellStyle name="Normal 4 4 8 3 5" xfId="21940" xr:uid="{00000000-0005-0000-0000-0000A5780000}"/>
    <cellStyle name="Normal 4 4 8 3 6" xfId="21941" xr:uid="{00000000-0005-0000-0000-0000A6780000}"/>
    <cellStyle name="Normal 4 4 8 4" xfId="21942" xr:uid="{00000000-0005-0000-0000-0000A7780000}"/>
    <cellStyle name="Normal 4 4 8 4 2" xfId="54969" xr:uid="{00000000-0005-0000-0000-0000A8780000}"/>
    <cellStyle name="Normal 4 4 8 4 3" xfId="54970" xr:uid="{00000000-0005-0000-0000-0000A9780000}"/>
    <cellStyle name="Normal 4 4 8 5" xfId="21943" xr:uid="{00000000-0005-0000-0000-0000AA780000}"/>
    <cellStyle name="Normal 4 4 8 5 2" xfId="54971" xr:uid="{00000000-0005-0000-0000-0000AB780000}"/>
    <cellStyle name="Normal 4 4 8 6" xfId="21944" xr:uid="{00000000-0005-0000-0000-0000AC780000}"/>
    <cellStyle name="Normal 4 4 8 7" xfId="21945" xr:uid="{00000000-0005-0000-0000-0000AD780000}"/>
    <cellStyle name="Normal 4 4 8 8" xfId="21946" xr:uid="{00000000-0005-0000-0000-0000AE780000}"/>
    <cellStyle name="Normal 4 4 9" xfId="21947" xr:uid="{00000000-0005-0000-0000-0000AF780000}"/>
    <cellStyle name="Normal 4 4 9 2" xfId="21948" xr:uid="{00000000-0005-0000-0000-0000B0780000}"/>
    <cellStyle name="Normal 4 4 9 2 2" xfId="21949" xr:uid="{00000000-0005-0000-0000-0000B1780000}"/>
    <cellStyle name="Normal 4 4 9 2 2 2" xfId="21950" xr:uid="{00000000-0005-0000-0000-0000B2780000}"/>
    <cellStyle name="Normal 4 4 9 2 2 2 2" xfId="54972" xr:uid="{00000000-0005-0000-0000-0000B3780000}"/>
    <cellStyle name="Normal 4 4 9 2 2 2 3" xfId="54973" xr:uid="{00000000-0005-0000-0000-0000B4780000}"/>
    <cellStyle name="Normal 4 4 9 2 2 3" xfId="21951" xr:uid="{00000000-0005-0000-0000-0000B5780000}"/>
    <cellStyle name="Normal 4 4 9 2 2 3 2" xfId="54974" xr:uid="{00000000-0005-0000-0000-0000B6780000}"/>
    <cellStyle name="Normal 4 4 9 2 2 4" xfId="21952" xr:uid="{00000000-0005-0000-0000-0000B7780000}"/>
    <cellStyle name="Normal 4 4 9 2 2 5" xfId="21953" xr:uid="{00000000-0005-0000-0000-0000B8780000}"/>
    <cellStyle name="Normal 4 4 9 2 2 6" xfId="21954" xr:uid="{00000000-0005-0000-0000-0000B9780000}"/>
    <cellStyle name="Normal 4 4 9 2 3" xfId="21955" xr:uid="{00000000-0005-0000-0000-0000BA780000}"/>
    <cellStyle name="Normal 4 4 9 2 3 2" xfId="54975" xr:uid="{00000000-0005-0000-0000-0000BB780000}"/>
    <cellStyle name="Normal 4 4 9 2 3 3" xfId="54976" xr:uid="{00000000-0005-0000-0000-0000BC780000}"/>
    <cellStyle name="Normal 4 4 9 2 4" xfId="21956" xr:uid="{00000000-0005-0000-0000-0000BD780000}"/>
    <cellStyle name="Normal 4 4 9 2 4 2" xfId="54977" xr:uid="{00000000-0005-0000-0000-0000BE780000}"/>
    <cellStyle name="Normal 4 4 9 2 5" xfId="21957" xr:uid="{00000000-0005-0000-0000-0000BF780000}"/>
    <cellStyle name="Normal 4 4 9 2 6" xfId="21958" xr:uid="{00000000-0005-0000-0000-0000C0780000}"/>
    <cellStyle name="Normal 4 4 9 2 7" xfId="21959" xr:uid="{00000000-0005-0000-0000-0000C1780000}"/>
    <cellStyle name="Normal 4 4 9 3" xfId="21960" xr:uid="{00000000-0005-0000-0000-0000C2780000}"/>
    <cellStyle name="Normal 4 4 9 3 2" xfId="21961" xr:uid="{00000000-0005-0000-0000-0000C3780000}"/>
    <cellStyle name="Normal 4 4 9 3 2 2" xfId="54978" xr:uid="{00000000-0005-0000-0000-0000C4780000}"/>
    <cellStyle name="Normal 4 4 9 3 2 3" xfId="54979" xr:uid="{00000000-0005-0000-0000-0000C5780000}"/>
    <cellStyle name="Normal 4 4 9 3 3" xfId="21962" xr:uid="{00000000-0005-0000-0000-0000C6780000}"/>
    <cellStyle name="Normal 4 4 9 3 3 2" xfId="54980" xr:uid="{00000000-0005-0000-0000-0000C7780000}"/>
    <cellStyle name="Normal 4 4 9 3 4" xfId="21963" xr:uid="{00000000-0005-0000-0000-0000C8780000}"/>
    <cellStyle name="Normal 4 4 9 3 5" xfId="21964" xr:uid="{00000000-0005-0000-0000-0000C9780000}"/>
    <cellStyle name="Normal 4 4 9 3 6" xfId="21965" xr:uid="{00000000-0005-0000-0000-0000CA780000}"/>
    <cellStyle name="Normal 4 4 9 4" xfId="21966" xr:uid="{00000000-0005-0000-0000-0000CB780000}"/>
    <cellStyle name="Normal 4 4 9 4 2" xfId="54981" xr:uid="{00000000-0005-0000-0000-0000CC780000}"/>
    <cellStyle name="Normal 4 4 9 4 3" xfId="54982" xr:uid="{00000000-0005-0000-0000-0000CD780000}"/>
    <cellStyle name="Normal 4 4 9 5" xfId="21967" xr:uid="{00000000-0005-0000-0000-0000CE780000}"/>
    <cellStyle name="Normal 4 4 9 5 2" xfId="54983" xr:uid="{00000000-0005-0000-0000-0000CF780000}"/>
    <cellStyle name="Normal 4 4 9 6" xfId="21968" xr:uid="{00000000-0005-0000-0000-0000D0780000}"/>
    <cellStyle name="Normal 4 4 9 7" xfId="21969" xr:uid="{00000000-0005-0000-0000-0000D1780000}"/>
    <cellStyle name="Normal 4 4 9 8" xfId="21970" xr:uid="{00000000-0005-0000-0000-0000D2780000}"/>
    <cellStyle name="Normal 4 5" xfId="21971" xr:uid="{00000000-0005-0000-0000-0000D3780000}"/>
    <cellStyle name="Normal 4 5 10" xfId="21972" xr:uid="{00000000-0005-0000-0000-0000D4780000}"/>
    <cellStyle name="Normal 4 5 10 2" xfId="21973" xr:uid="{00000000-0005-0000-0000-0000D5780000}"/>
    <cellStyle name="Normal 4 5 10 2 2" xfId="21974" xr:uid="{00000000-0005-0000-0000-0000D6780000}"/>
    <cellStyle name="Normal 4 5 10 2 2 2" xfId="54984" xr:uid="{00000000-0005-0000-0000-0000D7780000}"/>
    <cellStyle name="Normal 4 5 10 2 2 3" xfId="54985" xr:uid="{00000000-0005-0000-0000-0000D8780000}"/>
    <cellStyle name="Normal 4 5 10 2 3" xfId="21975" xr:uid="{00000000-0005-0000-0000-0000D9780000}"/>
    <cellStyle name="Normal 4 5 10 2 3 2" xfId="54986" xr:uid="{00000000-0005-0000-0000-0000DA780000}"/>
    <cellStyle name="Normal 4 5 10 2 4" xfId="21976" xr:uid="{00000000-0005-0000-0000-0000DB780000}"/>
    <cellStyle name="Normal 4 5 10 2 5" xfId="21977" xr:uid="{00000000-0005-0000-0000-0000DC780000}"/>
    <cellStyle name="Normal 4 5 10 2 6" xfId="21978" xr:uid="{00000000-0005-0000-0000-0000DD780000}"/>
    <cellStyle name="Normal 4 5 10 3" xfId="21979" xr:uid="{00000000-0005-0000-0000-0000DE780000}"/>
    <cellStyle name="Normal 4 5 10 3 2" xfId="54987" xr:uid="{00000000-0005-0000-0000-0000DF780000}"/>
    <cellStyle name="Normal 4 5 10 3 3" xfId="54988" xr:uid="{00000000-0005-0000-0000-0000E0780000}"/>
    <cellStyle name="Normal 4 5 10 4" xfId="21980" xr:uid="{00000000-0005-0000-0000-0000E1780000}"/>
    <cellStyle name="Normal 4 5 10 4 2" xfId="54989" xr:uid="{00000000-0005-0000-0000-0000E2780000}"/>
    <cellStyle name="Normal 4 5 10 5" xfId="21981" xr:uid="{00000000-0005-0000-0000-0000E3780000}"/>
    <cellStyle name="Normal 4 5 10 6" xfId="21982" xr:uid="{00000000-0005-0000-0000-0000E4780000}"/>
    <cellStyle name="Normal 4 5 10 7" xfId="21983" xr:uid="{00000000-0005-0000-0000-0000E5780000}"/>
    <cellStyle name="Normal 4 5 11" xfId="21984" xr:uid="{00000000-0005-0000-0000-0000E6780000}"/>
    <cellStyle name="Normal 4 5 11 2" xfId="21985" xr:uid="{00000000-0005-0000-0000-0000E7780000}"/>
    <cellStyle name="Normal 4 5 11 2 2" xfId="54990" xr:uid="{00000000-0005-0000-0000-0000E8780000}"/>
    <cellStyle name="Normal 4 5 11 2 3" xfId="54991" xr:uid="{00000000-0005-0000-0000-0000E9780000}"/>
    <cellStyle name="Normal 4 5 11 3" xfId="21986" xr:uid="{00000000-0005-0000-0000-0000EA780000}"/>
    <cellStyle name="Normal 4 5 11 3 2" xfId="54992" xr:uid="{00000000-0005-0000-0000-0000EB780000}"/>
    <cellStyle name="Normal 4 5 11 4" xfId="21987" xr:uid="{00000000-0005-0000-0000-0000EC780000}"/>
    <cellStyle name="Normal 4 5 11 5" xfId="21988" xr:uid="{00000000-0005-0000-0000-0000ED780000}"/>
    <cellStyle name="Normal 4 5 11 6" xfId="21989" xr:uid="{00000000-0005-0000-0000-0000EE780000}"/>
    <cellStyle name="Normal 4 5 12" xfId="21990" xr:uid="{00000000-0005-0000-0000-0000EF780000}"/>
    <cellStyle name="Normal 4 5 12 2" xfId="54993" xr:uid="{00000000-0005-0000-0000-0000F0780000}"/>
    <cellStyle name="Normal 4 5 12 3" xfId="54994" xr:uid="{00000000-0005-0000-0000-0000F1780000}"/>
    <cellStyle name="Normal 4 5 13" xfId="21991" xr:uid="{00000000-0005-0000-0000-0000F2780000}"/>
    <cellStyle name="Normal 4 5 13 2" xfId="54995" xr:uid="{00000000-0005-0000-0000-0000F3780000}"/>
    <cellStyle name="Normal 4 5 14" xfId="21992" xr:uid="{00000000-0005-0000-0000-0000F4780000}"/>
    <cellStyle name="Normal 4 5 14 2" xfId="54996" xr:uid="{00000000-0005-0000-0000-0000F5780000}"/>
    <cellStyle name="Normal 4 5 15" xfId="21993" xr:uid="{00000000-0005-0000-0000-0000F6780000}"/>
    <cellStyle name="Normal 4 5 16" xfId="21994" xr:uid="{00000000-0005-0000-0000-0000F7780000}"/>
    <cellStyle name="Normal 4 5 17" xfId="21995" xr:uid="{00000000-0005-0000-0000-0000F8780000}"/>
    <cellStyle name="Normal 4 5 18" xfId="21996" xr:uid="{00000000-0005-0000-0000-0000F9780000}"/>
    <cellStyle name="Normal 4 5 19" xfId="21997" xr:uid="{00000000-0005-0000-0000-0000FA780000}"/>
    <cellStyle name="Normal 4 5 2" xfId="21998" xr:uid="{00000000-0005-0000-0000-0000FB780000}"/>
    <cellStyle name="Normal 4 5 2 10" xfId="21999" xr:uid="{00000000-0005-0000-0000-0000FC780000}"/>
    <cellStyle name="Normal 4 5 2 11" xfId="22000" xr:uid="{00000000-0005-0000-0000-0000FD780000}"/>
    <cellStyle name="Normal 4 5 2 12" xfId="22001" xr:uid="{00000000-0005-0000-0000-0000FE780000}"/>
    <cellStyle name="Normal 4 5 2 13" xfId="22002" xr:uid="{00000000-0005-0000-0000-0000FF780000}"/>
    <cellStyle name="Normal 4 5 2 14" xfId="22003" xr:uid="{00000000-0005-0000-0000-000000790000}"/>
    <cellStyle name="Normal 4 5 2 15" xfId="22004" xr:uid="{00000000-0005-0000-0000-000001790000}"/>
    <cellStyle name="Normal 4 5 2 2" xfId="22005" xr:uid="{00000000-0005-0000-0000-000002790000}"/>
    <cellStyle name="Normal 4 5 2 2 10" xfId="22006" xr:uid="{00000000-0005-0000-0000-000003790000}"/>
    <cellStyle name="Normal 4 5 2 2 11" xfId="22007" xr:uid="{00000000-0005-0000-0000-000004790000}"/>
    <cellStyle name="Normal 4 5 2 2 12" xfId="22008" xr:uid="{00000000-0005-0000-0000-000005790000}"/>
    <cellStyle name="Normal 4 5 2 2 13" xfId="22009" xr:uid="{00000000-0005-0000-0000-000006790000}"/>
    <cellStyle name="Normal 4 5 2 2 14" xfId="22010" xr:uid="{00000000-0005-0000-0000-000007790000}"/>
    <cellStyle name="Normal 4 5 2 2 2" xfId="22011" xr:uid="{00000000-0005-0000-0000-000008790000}"/>
    <cellStyle name="Normal 4 5 2 2 2 2" xfId="22012" xr:uid="{00000000-0005-0000-0000-000009790000}"/>
    <cellStyle name="Normal 4 5 2 2 2 2 2" xfId="22013" xr:uid="{00000000-0005-0000-0000-00000A790000}"/>
    <cellStyle name="Normal 4 5 2 2 2 2 2 2" xfId="22014" xr:uid="{00000000-0005-0000-0000-00000B790000}"/>
    <cellStyle name="Normal 4 5 2 2 2 2 2 2 2" xfId="54997" xr:uid="{00000000-0005-0000-0000-00000C790000}"/>
    <cellStyle name="Normal 4 5 2 2 2 2 2 2 3" xfId="54998" xr:uid="{00000000-0005-0000-0000-00000D790000}"/>
    <cellStyle name="Normal 4 5 2 2 2 2 2 3" xfId="22015" xr:uid="{00000000-0005-0000-0000-00000E790000}"/>
    <cellStyle name="Normal 4 5 2 2 2 2 2 3 2" xfId="54999" xr:uid="{00000000-0005-0000-0000-00000F790000}"/>
    <cellStyle name="Normal 4 5 2 2 2 2 2 4" xfId="22016" xr:uid="{00000000-0005-0000-0000-000010790000}"/>
    <cellStyle name="Normal 4 5 2 2 2 2 2 5" xfId="22017" xr:uid="{00000000-0005-0000-0000-000011790000}"/>
    <cellStyle name="Normal 4 5 2 2 2 2 2 6" xfId="22018" xr:uid="{00000000-0005-0000-0000-000012790000}"/>
    <cellStyle name="Normal 4 5 2 2 2 2 3" xfId="22019" xr:uid="{00000000-0005-0000-0000-000013790000}"/>
    <cellStyle name="Normal 4 5 2 2 2 2 3 2" xfId="55000" xr:uid="{00000000-0005-0000-0000-000014790000}"/>
    <cellStyle name="Normal 4 5 2 2 2 2 3 3" xfId="55001" xr:uid="{00000000-0005-0000-0000-000015790000}"/>
    <cellStyle name="Normal 4 5 2 2 2 2 4" xfId="22020" xr:uid="{00000000-0005-0000-0000-000016790000}"/>
    <cellStyle name="Normal 4 5 2 2 2 2 4 2" xfId="55002" xr:uid="{00000000-0005-0000-0000-000017790000}"/>
    <cellStyle name="Normal 4 5 2 2 2 2 5" xfId="22021" xr:uid="{00000000-0005-0000-0000-000018790000}"/>
    <cellStyle name="Normal 4 5 2 2 2 2 6" xfId="22022" xr:uid="{00000000-0005-0000-0000-000019790000}"/>
    <cellStyle name="Normal 4 5 2 2 2 2 7" xfId="22023" xr:uid="{00000000-0005-0000-0000-00001A790000}"/>
    <cellStyle name="Normal 4 5 2 2 2 3" xfId="22024" xr:uid="{00000000-0005-0000-0000-00001B790000}"/>
    <cellStyle name="Normal 4 5 2 2 2 3 2" xfId="22025" xr:uid="{00000000-0005-0000-0000-00001C790000}"/>
    <cellStyle name="Normal 4 5 2 2 2 3 2 2" xfId="55003" xr:uid="{00000000-0005-0000-0000-00001D790000}"/>
    <cellStyle name="Normal 4 5 2 2 2 3 2 3" xfId="55004" xr:uid="{00000000-0005-0000-0000-00001E790000}"/>
    <cellStyle name="Normal 4 5 2 2 2 3 3" xfId="22026" xr:uid="{00000000-0005-0000-0000-00001F790000}"/>
    <cellStyle name="Normal 4 5 2 2 2 3 3 2" xfId="55005" xr:uid="{00000000-0005-0000-0000-000020790000}"/>
    <cellStyle name="Normal 4 5 2 2 2 3 4" xfId="22027" xr:uid="{00000000-0005-0000-0000-000021790000}"/>
    <cellStyle name="Normal 4 5 2 2 2 3 5" xfId="22028" xr:uid="{00000000-0005-0000-0000-000022790000}"/>
    <cellStyle name="Normal 4 5 2 2 2 3 6" xfId="22029" xr:uid="{00000000-0005-0000-0000-000023790000}"/>
    <cellStyle name="Normal 4 5 2 2 2 4" xfId="22030" xr:uid="{00000000-0005-0000-0000-000024790000}"/>
    <cellStyle name="Normal 4 5 2 2 2 4 2" xfId="55006" xr:uid="{00000000-0005-0000-0000-000025790000}"/>
    <cellStyle name="Normal 4 5 2 2 2 4 3" xfId="55007" xr:uid="{00000000-0005-0000-0000-000026790000}"/>
    <cellStyle name="Normal 4 5 2 2 2 5" xfId="22031" xr:uid="{00000000-0005-0000-0000-000027790000}"/>
    <cellStyle name="Normal 4 5 2 2 2 5 2" xfId="55008" xr:uid="{00000000-0005-0000-0000-000028790000}"/>
    <cellStyle name="Normal 4 5 2 2 2 6" xfId="22032" xr:uid="{00000000-0005-0000-0000-000029790000}"/>
    <cellStyle name="Normal 4 5 2 2 2 7" xfId="22033" xr:uid="{00000000-0005-0000-0000-00002A790000}"/>
    <cellStyle name="Normal 4 5 2 2 2 8" xfId="22034" xr:uid="{00000000-0005-0000-0000-00002B790000}"/>
    <cellStyle name="Normal 4 5 2 2 2 9" xfId="22035" xr:uid="{00000000-0005-0000-0000-00002C790000}"/>
    <cellStyle name="Normal 4 5 2 2 3" xfId="22036" xr:uid="{00000000-0005-0000-0000-00002D790000}"/>
    <cellStyle name="Normal 4 5 2 2 3 2" xfId="22037" xr:uid="{00000000-0005-0000-0000-00002E790000}"/>
    <cellStyle name="Normal 4 5 2 2 3 2 2" xfId="22038" xr:uid="{00000000-0005-0000-0000-00002F790000}"/>
    <cellStyle name="Normal 4 5 2 2 3 2 2 2" xfId="22039" xr:uid="{00000000-0005-0000-0000-000030790000}"/>
    <cellStyle name="Normal 4 5 2 2 3 2 2 2 2" xfId="55009" xr:uid="{00000000-0005-0000-0000-000031790000}"/>
    <cellStyle name="Normal 4 5 2 2 3 2 2 2 3" xfId="55010" xr:uid="{00000000-0005-0000-0000-000032790000}"/>
    <cellStyle name="Normal 4 5 2 2 3 2 2 3" xfId="22040" xr:uid="{00000000-0005-0000-0000-000033790000}"/>
    <cellStyle name="Normal 4 5 2 2 3 2 2 3 2" xfId="55011" xr:uid="{00000000-0005-0000-0000-000034790000}"/>
    <cellStyle name="Normal 4 5 2 2 3 2 2 4" xfId="22041" xr:uid="{00000000-0005-0000-0000-000035790000}"/>
    <cellStyle name="Normal 4 5 2 2 3 2 2 5" xfId="22042" xr:uid="{00000000-0005-0000-0000-000036790000}"/>
    <cellStyle name="Normal 4 5 2 2 3 2 2 6" xfId="22043" xr:uid="{00000000-0005-0000-0000-000037790000}"/>
    <cellStyle name="Normal 4 5 2 2 3 2 3" xfId="22044" xr:uid="{00000000-0005-0000-0000-000038790000}"/>
    <cellStyle name="Normal 4 5 2 2 3 2 3 2" xfId="55012" xr:uid="{00000000-0005-0000-0000-000039790000}"/>
    <cellStyle name="Normal 4 5 2 2 3 2 3 3" xfId="55013" xr:uid="{00000000-0005-0000-0000-00003A790000}"/>
    <cellStyle name="Normal 4 5 2 2 3 2 4" xfId="22045" xr:uid="{00000000-0005-0000-0000-00003B790000}"/>
    <cellStyle name="Normal 4 5 2 2 3 2 4 2" xfId="55014" xr:uid="{00000000-0005-0000-0000-00003C790000}"/>
    <cellStyle name="Normal 4 5 2 2 3 2 5" xfId="22046" xr:uid="{00000000-0005-0000-0000-00003D790000}"/>
    <cellStyle name="Normal 4 5 2 2 3 2 6" xfId="22047" xr:uid="{00000000-0005-0000-0000-00003E790000}"/>
    <cellStyle name="Normal 4 5 2 2 3 2 7" xfId="22048" xr:uid="{00000000-0005-0000-0000-00003F790000}"/>
    <cellStyle name="Normal 4 5 2 2 3 3" xfId="22049" xr:uid="{00000000-0005-0000-0000-000040790000}"/>
    <cellStyle name="Normal 4 5 2 2 3 3 2" xfId="22050" xr:uid="{00000000-0005-0000-0000-000041790000}"/>
    <cellStyle name="Normal 4 5 2 2 3 3 2 2" xfId="55015" xr:uid="{00000000-0005-0000-0000-000042790000}"/>
    <cellStyle name="Normal 4 5 2 2 3 3 2 3" xfId="55016" xr:uid="{00000000-0005-0000-0000-000043790000}"/>
    <cellStyle name="Normal 4 5 2 2 3 3 3" xfId="22051" xr:uid="{00000000-0005-0000-0000-000044790000}"/>
    <cellStyle name="Normal 4 5 2 2 3 3 3 2" xfId="55017" xr:uid="{00000000-0005-0000-0000-000045790000}"/>
    <cellStyle name="Normal 4 5 2 2 3 3 4" xfId="22052" xr:uid="{00000000-0005-0000-0000-000046790000}"/>
    <cellStyle name="Normal 4 5 2 2 3 3 5" xfId="22053" xr:uid="{00000000-0005-0000-0000-000047790000}"/>
    <cellStyle name="Normal 4 5 2 2 3 3 6" xfId="22054" xr:uid="{00000000-0005-0000-0000-000048790000}"/>
    <cellStyle name="Normal 4 5 2 2 3 4" xfId="22055" xr:uid="{00000000-0005-0000-0000-000049790000}"/>
    <cellStyle name="Normal 4 5 2 2 3 4 2" xfId="55018" xr:uid="{00000000-0005-0000-0000-00004A790000}"/>
    <cellStyle name="Normal 4 5 2 2 3 4 3" xfId="55019" xr:uid="{00000000-0005-0000-0000-00004B790000}"/>
    <cellStyle name="Normal 4 5 2 2 3 5" xfId="22056" xr:uid="{00000000-0005-0000-0000-00004C790000}"/>
    <cellStyle name="Normal 4 5 2 2 3 5 2" xfId="55020" xr:uid="{00000000-0005-0000-0000-00004D790000}"/>
    <cellStyle name="Normal 4 5 2 2 3 6" xfId="22057" xr:uid="{00000000-0005-0000-0000-00004E790000}"/>
    <cellStyle name="Normal 4 5 2 2 3 7" xfId="22058" xr:uid="{00000000-0005-0000-0000-00004F790000}"/>
    <cellStyle name="Normal 4 5 2 2 3 8" xfId="22059" xr:uid="{00000000-0005-0000-0000-000050790000}"/>
    <cellStyle name="Normal 4 5 2 2 4" xfId="22060" xr:uid="{00000000-0005-0000-0000-000051790000}"/>
    <cellStyle name="Normal 4 5 2 2 4 2" xfId="22061" xr:uid="{00000000-0005-0000-0000-000052790000}"/>
    <cellStyle name="Normal 4 5 2 2 4 2 2" xfId="22062" xr:uid="{00000000-0005-0000-0000-000053790000}"/>
    <cellStyle name="Normal 4 5 2 2 4 2 2 2" xfId="55021" xr:uid="{00000000-0005-0000-0000-000054790000}"/>
    <cellStyle name="Normal 4 5 2 2 4 2 2 3" xfId="55022" xr:uid="{00000000-0005-0000-0000-000055790000}"/>
    <cellStyle name="Normal 4 5 2 2 4 2 3" xfId="22063" xr:uid="{00000000-0005-0000-0000-000056790000}"/>
    <cellStyle name="Normal 4 5 2 2 4 2 3 2" xfId="55023" xr:uid="{00000000-0005-0000-0000-000057790000}"/>
    <cellStyle name="Normal 4 5 2 2 4 2 4" xfId="22064" xr:uid="{00000000-0005-0000-0000-000058790000}"/>
    <cellStyle name="Normal 4 5 2 2 4 2 5" xfId="22065" xr:uid="{00000000-0005-0000-0000-000059790000}"/>
    <cellStyle name="Normal 4 5 2 2 4 2 6" xfId="22066" xr:uid="{00000000-0005-0000-0000-00005A790000}"/>
    <cellStyle name="Normal 4 5 2 2 4 3" xfId="22067" xr:uid="{00000000-0005-0000-0000-00005B790000}"/>
    <cellStyle name="Normal 4 5 2 2 4 3 2" xfId="55024" xr:uid="{00000000-0005-0000-0000-00005C790000}"/>
    <cellStyle name="Normal 4 5 2 2 4 3 3" xfId="55025" xr:uid="{00000000-0005-0000-0000-00005D790000}"/>
    <cellStyle name="Normal 4 5 2 2 4 4" xfId="22068" xr:uid="{00000000-0005-0000-0000-00005E790000}"/>
    <cellStyle name="Normal 4 5 2 2 4 4 2" xfId="55026" xr:uid="{00000000-0005-0000-0000-00005F790000}"/>
    <cellStyle name="Normal 4 5 2 2 4 5" xfId="22069" xr:uid="{00000000-0005-0000-0000-000060790000}"/>
    <cellStyle name="Normal 4 5 2 2 4 6" xfId="22070" xr:uid="{00000000-0005-0000-0000-000061790000}"/>
    <cellStyle name="Normal 4 5 2 2 4 7" xfId="22071" xr:uid="{00000000-0005-0000-0000-000062790000}"/>
    <cellStyle name="Normal 4 5 2 2 5" xfId="22072" xr:uid="{00000000-0005-0000-0000-000063790000}"/>
    <cellStyle name="Normal 4 5 2 2 5 2" xfId="22073" xr:uid="{00000000-0005-0000-0000-000064790000}"/>
    <cellStyle name="Normal 4 5 2 2 5 2 2" xfId="55027" xr:uid="{00000000-0005-0000-0000-000065790000}"/>
    <cellStyle name="Normal 4 5 2 2 5 2 3" xfId="55028" xr:uid="{00000000-0005-0000-0000-000066790000}"/>
    <cellStyle name="Normal 4 5 2 2 5 3" xfId="22074" xr:uid="{00000000-0005-0000-0000-000067790000}"/>
    <cellStyle name="Normal 4 5 2 2 5 3 2" xfId="55029" xr:uid="{00000000-0005-0000-0000-000068790000}"/>
    <cellStyle name="Normal 4 5 2 2 5 4" xfId="22075" xr:uid="{00000000-0005-0000-0000-000069790000}"/>
    <cellStyle name="Normal 4 5 2 2 5 5" xfId="22076" xr:uid="{00000000-0005-0000-0000-00006A790000}"/>
    <cellStyle name="Normal 4 5 2 2 5 6" xfId="22077" xr:uid="{00000000-0005-0000-0000-00006B790000}"/>
    <cellStyle name="Normal 4 5 2 2 6" xfId="22078" xr:uid="{00000000-0005-0000-0000-00006C790000}"/>
    <cellStyle name="Normal 4 5 2 2 6 2" xfId="55030" xr:uid="{00000000-0005-0000-0000-00006D790000}"/>
    <cellStyle name="Normal 4 5 2 2 6 3" xfId="55031" xr:uid="{00000000-0005-0000-0000-00006E790000}"/>
    <cellStyle name="Normal 4 5 2 2 7" xfId="22079" xr:uid="{00000000-0005-0000-0000-00006F790000}"/>
    <cellStyle name="Normal 4 5 2 2 7 2" xfId="55032" xr:uid="{00000000-0005-0000-0000-000070790000}"/>
    <cellStyle name="Normal 4 5 2 2 8" xfId="22080" xr:uid="{00000000-0005-0000-0000-000071790000}"/>
    <cellStyle name="Normal 4 5 2 2 9" xfId="22081" xr:uid="{00000000-0005-0000-0000-000072790000}"/>
    <cellStyle name="Normal 4 5 2 3" xfId="22082" xr:uid="{00000000-0005-0000-0000-000073790000}"/>
    <cellStyle name="Normal 4 5 2 3 2" xfId="22083" xr:uid="{00000000-0005-0000-0000-000074790000}"/>
    <cellStyle name="Normal 4 5 2 3 2 2" xfId="22084" xr:uid="{00000000-0005-0000-0000-000075790000}"/>
    <cellStyle name="Normal 4 5 2 3 2 2 2" xfId="22085" xr:uid="{00000000-0005-0000-0000-000076790000}"/>
    <cellStyle name="Normal 4 5 2 3 2 2 2 2" xfId="55033" xr:uid="{00000000-0005-0000-0000-000077790000}"/>
    <cellStyle name="Normal 4 5 2 3 2 2 2 3" xfId="55034" xr:uid="{00000000-0005-0000-0000-000078790000}"/>
    <cellStyle name="Normal 4 5 2 3 2 2 3" xfId="22086" xr:uid="{00000000-0005-0000-0000-000079790000}"/>
    <cellStyle name="Normal 4 5 2 3 2 2 3 2" xfId="55035" xr:uid="{00000000-0005-0000-0000-00007A790000}"/>
    <cellStyle name="Normal 4 5 2 3 2 2 4" xfId="22087" xr:uid="{00000000-0005-0000-0000-00007B790000}"/>
    <cellStyle name="Normal 4 5 2 3 2 2 5" xfId="22088" xr:uid="{00000000-0005-0000-0000-00007C790000}"/>
    <cellStyle name="Normal 4 5 2 3 2 2 6" xfId="22089" xr:uid="{00000000-0005-0000-0000-00007D790000}"/>
    <cellStyle name="Normal 4 5 2 3 2 3" xfId="22090" xr:uid="{00000000-0005-0000-0000-00007E790000}"/>
    <cellStyle name="Normal 4 5 2 3 2 3 2" xfId="55036" xr:uid="{00000000-0005-0000-0000-00007F790000}"/>
    <cellStyle name="Normal 4 5 2 3 2 3 3" xfId="55037" xr:uid="{00000000-0005-0000-0000-000080790000}"/>
    <cellStyle name="Normal 4 5 2 3 2 4" xfId="22091" xr:uid="{00000000-0005-0000-0000-000081790000}"/>
    <cellStyle name="Normal 4 5 2 3 2 4 2" xfId="55038" xr:uid="{00000000-0005-0000-0000-000082790000}"/>
    <cellStyle name="Normal 4 5 2 3 2 5" xfId="22092" xr:uid="{00000000-0005-0000-0000-000083790000}"/>
    <cellStyle name="Normal 4 5 2 3 2 6" xfId="22093" xr:uid="{00000000-0005-0000-0000-000084790000}"/>
    <cellStyle name="Normal 4 5 2 3 2 7" xfId="22094" xr:uid="{00000000-0005-0000-0000-000085790000}"/>
    <cellStyle name="Normal 4 5 2 3 3" xfId="22095" xr:uid="{00000000-0005-0000-0000-000086790000}"/>
    <cellStyle name="Normal 4 5 2 3 3 2" xfId="22096" xr:uid="{00000000-0005-0000-0000-000087790000}"/>
    <cellStyle name="Normal 4 5 2 3 3 2 2" xfId="55039" xr:uid="{00000000-0005-0000-0000-000088790000}"/>
    <cellStyle name="Normal 4 5 2 3 3 2 3" xfId="55040" xr:uid="{00000000-0005-0000-0000-000089790000}"/>
    <cellStyle name="Normal 4 5 2 3 3 3" xfId="22097" xr:uid="{00000000-0005-0000-0000-00008A790000}"/>
    <cellStyle name="Normal 4 5 2 3 3 3 2" xfId="55041" xr:uid="{00000000-0005-0000-0000-00008B790000}"/>
    <cellStyle name="Normal 4 5 2 3 3 4" xfId="22098" xr:uid="{00000000-0005-0000-0000-00008C790000}"/>
    <cellStyle name="Normal 4 5 2 3 3 5" xfId="22099" xr:uid="{00000000-0005-0000-0000-00008D790000}"/>
    <cellStyle name="Normal 4 5 2 3 3 6" xfId="22100" xr:uid="{00000000-0005-0000-0000-00008E790000}"/>
    <cellStyle name="Normal 4 5 2 3 4" xfId="22101" xr:uid="{00000000-0005-0000-0000-00008F790000}"/>
    <cellStyle name="Normal 4 5 2 3 4 2" xfId="55042" xr:uid="{00000000-0005-0000-0000-000090790000}"/>
    <cellStyle name="Normal 4 5 2 3 4 3" xfId="55043" xr:uid="{00000000-0005-0000-0000-000091790000}"/>
    <cellStyle name="Normal 4 5 2 3 5" xfId="22102" xr:uid="{00000000-0005-0000-0000-000092790000}"/>
    <cellStyle name="Normal 4 5 2 3 5 2" xfId="55044" xr:uid="{00000000-0005-0000-0000-000093790000}"/>
    <cellStyle name="Normal 4 5 2 3 6" xfId="22103" xr:uid="{00000000-0005-0000-0000-000094790000}"/>
    <cellStyle name="Normal 4 5 2 3 7" xfId="22104" xr:uid="{00000000-0005-0000-0000-000095790000}"/>
    <cellStyle name="Normal 4 5 2 3 8" xfId="22105" xr:uid="{00000000-0005-0000-0000-000096790000}"/>
    <cellStyle name="Normal 4 5 2 3 9" xfId="22106" xr:uid="{00000000-0005-0000-0000-000097790000}"/>
    <cellStyle name="Normal 4 5 2 4" xfId="22107" xr:uid="{00000000-0005-0000-0000-000098790000}"/>
    <cellStyle name="Normal 4 5 2 4 2" xfId="22108" xr:uid="{00000000-0005-0000-0000-000099790000}"/>
    <cellStyle name="Normal 4 5 2 4 2 2" xfId="22109" xr:uid="{00000000-0005-0000-0000-00009A790000}"/>
    <cellStyle name="Normal 4 5 2 4 2 2 2" xfId="22110" xr:uid="{00000000-0005-0000-0000-00009B790000}"/>
    <cellStyle name="Normal 4 5 2 4 2 2 2 2" xfId="55045" xr:uid="{00000000-0005-0000-0000-00009C790000}"/>
    <cellStyle name="Normal 4 5 2 4 2 2 2 3" xfId="55046" xr:uid="{00000000-0005-0000-0000-00009D790000}"/>
    <cellStyle name="Normal 4 5 2 4 2 2 3" xfId="22111" xr:uid="{00000000-0005-0000-0000-00009E790000}"/>
    <cellStyle name="Normal 4 5 2 4 2 2 3 2" xfId="55047" xr:uid="{00000000-0005-0000-0000-00009F790000}"/>
    <cellStyle name="Normal 4 5 2 4 2 2 4" xfId="22112" xr:uid="{00000000-0005-0000-0000-0000A0790000}"/>
    <cellStyle name="Normal 4 5 2 4 2 2 5" xfId="22113" xr:uid="{00000000-0005-0000-0000-0000A1790000}"/>
    <cellStyle name="Normal 4 5 2 4 2 2 6" xfId="22114" xr:uid="{00000000-0005-0000-0000-0000A2790000}"/>
    <cellStyle name="Normal 4 5 2 4 2 3" xfId="22115" xr:uid="{00000000-0005-0000-0000-0000A3790000}"/>
    <cellStyle name="Normal 4 5 2 4 2 3 2" xfId="55048" xr:uid="{00000000-0005-0000-0000-0000A4790000}"/>
    <cellStyle name="Normal 4 5 2 4 2 3 3" xfId="55049" xr:uid="{00000000-0005-0000-0000-0000A5790000}"/>
    <cellStyle name="Normal 4 5 2 4 2 4" xfId="22116" xr:uid="{00000000-0005-0000-0000-0000A6790000}"/>
    <cellStyle name="Normal 4 5 2 4 2 4 2" xfId="55050" xr:uid="{00000000-0005-0000-0000-0000A7790000}"/>
    <cellStyle name="Normal 4 5 2 4 2 5" xfId="22117" xr:uid="{00000000-0005-0000-0000-0000A8790000}"/>
    <cellStyle name="Normal 4 5 2 4 2 6" xfId="22118" xr:uid="{00000000-0005-0000-0000-0000A9790000}"/>
    <cellStyle name="Normal 4 5 2 4 2 7" xfId="22119" xr:uid="{00000000-0005-0000-0000-0000AA790000}"/>
    <cellStyle name="Normal 4 5 2 4 3" xfId="22120" xr:uid="{00000000-0005-0000-0000-0000AB790000}"/>
    <cellStyle name="Normal 4 5 2 4 3 2" xfId="22121" xr:uid="{00000000-0005-0000-0000-0000AC790000}"/>
    <cellStyle name="Normal 4 5 2 4 3 2 2" xfId="55051" xr:uid="{00000000-0005-0000-0000-0000AD790000}"/>
    <cellStyle name="Normal 4 5 2 4 3 2 3" xfId="55052" xr:uid="{00000000-0005-0000-0000-0000AE790000}"/>
    <cellStyle name="Normal 4 5 2 4 3 3" xfId="22122" xr:uid="{00000000-0005-0000-0000-0000AF790000}"/>
    <cellStyle name="Normal 4 5 2 4 3 3 2" xfId="55053" xr:uid="{00000000-0005-0000-0000-0000B0790000}"/>
    <cellStyle name="Normal 4 5 2 4 3 4" xfId="22123" xr:uid="{00000000-0005-0000-0000-0000B1790000}"/>
    <cellStyle name="Normal 4 5 2 4 3 5" xfId="22124" xr:uid="{00000000-0005-0000-0000-0000B2790000}"/>
    <cellStyle name="Normal 4 5 2 4 3 6" xfId="22125" xr:uid="{00000000-0005-0000-0000-0000B3790000}"/>
    <cellStyle name="Normal 4 5 2 4 4" xfId="22126" xr:uid="{00000000-0005-0000-0000-0000B4790000}"/>
    <cellStyle name="Normal 4 5 2 4 4 2" xfId="55054" xr:uid="{00000000-0005-0000-0000-0000B5790000}"/>
    <cellStyle name="Normal 4 5 2 4 4 3" xfId="55055" xr:uid="{00000000-0005-0000-0000-0000B6790000}"/>
    <cellStyle name="Normal 4 5 2 4 5" xfId="22127" xr:uid="{00000000-0005-0000-0000-0000B7790000}"/>
    <cellStyle name="Normal 4 5 2 4 5 2" xfId="55056" xr:uid="{00000000-0005-0000-0000-0000B8790000}"/>
    <cellStyle name="Normal 4 5 2 4 6" xfId="22128" xr:uid="{00000000-0005-0000-0000-0000B9790000}"/>
    <cellStyle name="Normal 4 5 2 4 7" xfId="22129" xr:uid="{00000000-0005-0000-0000-0000BA790000}"/>
    <cellStyle name="Normal 4 5 2 4 8" xfId="22130" xr:uid="{00000000-0005-0000-0000-0000BB790000}"/>
    <cellStyle name="Normal 4 5 2 5" xfId="22131" xr:uid="{00000000-0005-0000-0000-0000BC790000}"/>
    <cellStyle name="Normal 4 5 2 5 2" xfId="22132" xr:uid="{00000000-0005-0000-0000-0000BD790000}"/>
    <cellStyle name="Normal 4 5 2 5 2 2" xfId="22133" xr:uid="{00000000-0005-0000-0000-0000BE790000}"/>
    <cellStyle name="Normal 4 5 2 5 2 2 2" xfId="55057" xr:uid="{00000000-0005-0000-0000-0000BF790000}"/>
    <cellStyle name="Normal 4 5 2 5 2 2 3" xfId="55058" xr:uid="{00000000-0005-0000-0000-0000C0790000}"/>
    <cellStyle name="Normal 4 5 2 5 2 3" xfId="22134" xr:uid="{00000000-0005-0000-0000-0000C1790000}"/>
    <cellStyle name="Normal 4 5 2 5 2 3 2" xfId="55059" xr:uid="{00000000-0005-0000-0000-0000C2790000}"/>
    <cellStyle name="Normal 4 5 2 5 2 4" xfId="22135" xr:uid="{00000000-0005-0000-0000-0000C3790000}"/>
    <cellStyle name="Normal 4 5 2 5 2 5" xfId="22136" xr:uid="{00000000-0005-0000-0000-0000C4790000}"/>
    <cellStyle name="Normal 4 5 2 5 2 6" xfId="22137" xr:uid="{00000000-0005-0000-0000-0000C5790000}"/>
    <cellStyle name="Normal 4 5 2 5 3" xfId="22138" xr:uid="{00000000-0005-0000-0000-0000C6790000}"/>
    <cellStyle name="Normal 4 5 2 5 3 2" xfId="55060" xr:uid="{00000000-0005-0000-0000-0000C7790000}"/>
    <cellStyle name="Normal 4 5 2 5 3 3" xfId="55061" xr:uid="{00000000-0005-0000-0000-0000C8790000}"/>
    <cellStyle name="Normal 4 5 2 5 4" xfId="22139" xr:uid="{00000000-0005-0000-0000-0000C9790000}"/>
    <cellStyle name="Normal 4 5 2 5 4 2" xfId="55062" xr:uid="{00000000-0005-0000-0000-0000CA790000}"/>
    <cellStyle name="Normal 4 5 2 5 5" xfId="22140" xr:uid="{00000000-0005-0000-0000-0000CB790000}"/>
    <cellStyle name="Normal 4 5 2 5 6" xfId="22141" xr:uid="{00000000-0005-0000-0000-0000CC790000}"/>
    <cellStyle name="Normal 4 5 2 5 7" xfId="22142" xr:uid="{00000000-0005-0000-0000-0000CD790000}"/>
    <cellStyle name="Normal 4 5 2 6" xfId="22143" xr:uid="{00000000-0005-0000-0000-0000CE790000}"/>
    <cellStyle name="Normal 4 5 2 6 2" xfId="22144" xr:uid="{00000000-0005-0000-0000-0000CF790000}"/>
    <cellStyle name="Normal 4 5 2 6 2 2" xfId="55063" xr:uid="{00000000-0005-0000-0000-0000D0790000}"/>
    <cellStyle name="Normal 4 5 2 6 2 3" xfId="55064" xr:uid="{00000000-0005-0000-0000-0000D1790000}"/>
    <cellStyle name="Normal 4 5 2 6 3" xfId="22145" xr:uid="{00000000-0005-0000-0000-0000D2790000}"/>
    <cellStyle name="Normal 4 5 2 6 3 2" xfId="55065" xr:uid="{00000000-0005-0000-0000-0000D3790000}"/>
    <cellStyle name="Normal 4 5 2 6 4" xfId="22146" xr:uid="{00000000-0005-0000-0000-0000D4790000}"/>
    <cellStyle name="Normal 4 5 2 6 5" xfId="22147" xr:uid="{00000000-0005-0000-0000-0000D5790000}"/>
    <cellStyle name="Normal 4 5 2 6 6" xfId="22148" xr:uid="{00000000-0005-0000-0000-0000D6790000}"/>
    <cellStyle name="Normal 4 5 2 7" xfId="22149" xr:uid="{00000000-0005-0000-0000-0000D7790000}"/>
    <cellStyle name="Normal 4 5 2 7 2" xfId="55066" xr:uid="{00000000-0005-0000-0000-0000D8790000}"/>
    <cellStyle name="Normal 4 5 2 7 3" xfId="55067" xr:uid="{00000000-0005-0000-0000-0000D9790000}"/>
    <cellStyle name="Normal 4 5 2 8" xfId="22150" xr:uid="{00000000-0005-0000-0000-0000DA790000}"/>
    <cellStyle name="Normal 4 5 2 8 2" xfId="55068" xr:uid="{00000000-0005-0000-0000-0000DB790000}"/>
    <cellStyle name="Normal 4 5 2 9" xfId="22151" xr:uid="{00000000-0005-0000-0000-0000DC790000}"/>
    <cellStyle name="Normal 4 5 2 9 2" xfId="55069" xr:uid="{00000000-0005-0000-0000-0000DD790000}"/>
    <cellStyle name="Normal 4 5 20" xfId="22152" xr:uid="{00000000-0005-0000-0000-0000DE790000}"/>
    <cellStyle name="Normal 4 5 3" xfId="22153" xr:uid="{00000000-0005-0000-0000-0000DF790000}"/>
    <cellStyle name="Normal 4 5 3 10" xfId="22154" xr:uid="{00000000-0005-0000-0000-0000E0790000}"/>
    <cellStyle name="Normal 4 5 3 11" xfId="22155" xr:uid="{00000000-0005-0000-0000-0000E1790000}"/>
    <cellStyle name="Normal 4 5 3 12" xfId="22156" xr:uid="{00000000-0005-0000-0000-0000E2790000}"/>
    <cellStyle name="Normal 4 5 3 13" xfId="22157" xr:uid="{00000000-0005-0000-0000-0000E3790000}"/>
    <cellStyle name="Normal 4 5 3 14" xfId="22158" xr:uid="{00000000-0005-0000-0000-0000E4790000}"/>
    <cellStyle name="Normal 4 5 3 15" xfId="22159" xr:uid="{00000000-0005-0000-0000-0000E5790000}"/>
    <cellStyle name="Normal 4 5 3 2" xfId="22160" xr:uid="{00000000-0005-0000-0000-0000E6790000}"/>
    <cellStyle name="Normal 4 5 3 2 10" xfId="22161" xr:uid="{00000000-0005-0000-0000-0000E7790000}"/>
    <cellStyle name="Normal 4 5 3 2 11" xfId="22162" xr:uid="{00000000-0005-0000-0000-0000E8790000}"/>
    <cellStyle name="Normal 4 5 3 2 12" xfId="22163" xr:uid="{00000000-0005-0000-0000-0000E9790000}"/>
    <cellStyle name="Normal 4 5 3 2 13" xfId="22164" xr:uid="{00000000-0005-0000-0000-0000EA790000}"/>
    <cellStyle name="Normal 4 5 3 2 14" xfId="22165" xr:uid="{00000000-0005-0000-0000-0000EB790000}"/>
    <cellStyle name="Normal 4 5 3 2 2" xfId="22166" xr:uid="{00000000-0005-0000-0000-0000EC790000}"/>
    <cellStyle name="Normal 4 5 3 2 2 2" xfId="22167" xr:uid="{00000000-0005-0000-0000-0000ED790000}"/>
    <cellStyle name="Normal 4 5 3 2 2 2 2" xfId="22168" xr:uid="{00000000-0005-0000-0000-0000EE790000}"/>
    <cellStyle name="Normal 4 5 3 2 2 2 2 2" xfId="22169" xr:uid="{00000000-0005-0000-0000-0000EF790000}"/>
    <cellStyle name="Normal 4 5 3 2 2 2 2 2 2" xfId="55070" xr:uid="{00000000-0005-0000-0000-0000F0790000}"/>
    <cellStyle name="Normal 4 5 3 2 2 2 2 2 3" xfId="55071" xr:uid="{00000000-0005-0000-0000-0000F1790000}"/>
    <cellStyle name="Normal 4 5 3 2 2 2 2 3" xfId="22170" xr:uid="{00000000-0005-0000-0000-0000F2790000}"/>
    <cellStyle name="Normal 4 5 3 2 2 2 2 3 2" xfId="55072" xr:uid="{00000000-0005-0000-0000-0000F3790000}"/>
    <cellStyle name="Normal 4 5 3 2 2 2 2 4" xfId="22171" xr:uid="{00000000-0005-0000-0000-0000F4790000}"/>
    <cellStyle name="Normal 4 5 3 2 2 2 2 5" xfId="22172" xr:uid="{00000000-0005-0000-0000-0000F5790000}"/>
    <cellStyle name="Normal 4 5 3 2 2 2 2 6" xfId="22173" xr:uid="{00000000-0005-0000-0000-0000F6790000}"/>
    <cellStyle name="Normal 4 5 3 2 2 2 3" xfId="22174" xr:uid="{00000000-0005-0000-0000-0000F7790000}"/>
    <cellStyle name="Normal 4 5 3 2 2 2 3 2" xfId="55073" xr:uid="{00000000-0005-0000-0000-0000F8790000}"/>
    <cellStyle name="Normal 4 5 3 2 2 2 3 3" xfId="55074" xr:uid="{00000000-0005-0000-0000-0000F9790000}"/>
    <cellStyle name="Normal 4 5 3 2 2 2 4" xfId="22175" xr:uid="{00000000-0005-0000-0000-0000FA790000}"/>
    <cellStyle name="Normal 4 5 3 2 2 2 4 2" xfId="55075" xr:uid="{00000000-0005-0000-0000-0000FB790000}"/>
    <cellStyle name="Normal 4 5 3 2 2 2 5" xfId="22176" xr:uid="{00000000-0005-0000-0000-0000FC790000}"/>
    <cellStyle name="Normal 4 5 3 2 2 2 6" xfId="22177" xr:uid="{00000000-0005-0000-0000-0000FD790000}"/>
    <cellStyle name="Normal 4 5 3 2 2 2 7" xfId="22178" xr:uid="{00000000-0005-0000-0000-0000FE790000}"/>
    <cellStyle name="Normal 4 5 3 2 2 3" xfId="22179" xr:uid="{00000000-0005-0000-0000-0000FF790000}"/>
    <cellStyle name="Normal 4 5 3 2 2 3 2" xfId="22180" xr:uid="{00000000-0005-0000-0000-0000007A0000}"/>
    <cellStyle name="Normal 4 5 3 2 2 3 2 2" xfId="55076" xr:uid="{00000000-0005-0000-0000-0000017A0000}"/>
    <cellStyle name="Normal 4 5 3 2 2 3 2 3" xfId="55077" xr:uid="{00000000-0005-0000-0000-0000027A0000}"/>
    <cellStyle name="Normal 4 5 3 2 2 3 3" xfId="22181" xr:uid="{00000000-0005-0000-0000-0000037A0000}"/>
    <cellStyle name="Normal 4 5 3 2 2 3 3 2" xfId="55078" xr:uid="{00000000-0005-0000-0000-0000047A0000}"/>
    <cellStyle name="Normal 4 5 3 2 2 3 4" xfId="22182" xr:uid="{00000000-0005-0000-0000-0000057A0000}"/>
    <cellStyle name="Normal 4 5 3 2 2 3 5" xfId="22183" xr:uid="{00000000-0005-0000-0000-0000067A0000}"/>
    <cellStyle name="Normal 4 5 3 2 2 3 6" xfId="22184" xr:uid="{00000000-0005-0000-0000-0000077A0000}"/>
    <cellStyle name="Normal 4 5 3 2 2 4" xfId="22185" xr:uid="{00000000-0005-0000-0000-0000087A0000}"/>
    <cellStyle name="Normal 4 5 3 2 2 4 2" xfId="55079" xr:uid="{00000000-0005-0000-0000-0000097A0000}"/>
    <cellStyle name="Normal 4 5 3 2 2 4 3" xfId="55080" xr:uid="{00000000-0005-0000-0000-00000A7A0000}"/>
    <cellStyle name="Normal 4 5 3 2 2 5" xfId="22186" xr:uid="{00000000-0005-0000-0000-00000B7A0000}"/>
    <cellStyle name="Normal 4 5 3 2 2 5 2" xfId="55081" xr:uid="{00000000-0005-0000-0000-00000C7A0000}"/>
    <cellStyle name="Normal 4 5 3 2 2 6" xfId="22187" xr:uid="{00000000-0005-0000-0000-00000D7A0000}"/>
    <cellStyle name="Normal 4 5 3 2 2 7" xfId="22188" xr:uid="{00000000-0005-0000-0000-00000E7A0000}"/>
    <cellStyle name="Normal 4 5 3 2 2 8" xfId="22189" xr:uid="{00000000-0005-0000-0000-00000F7A0000}"/>
    <cellStyle name="Normal 4 5 3 2 2 9" xfId="22190" xr:uid="{00000000-0005-0000-0000-0000107A0000}"/>
    <cellStyle name="Normal 4 5 3 2 3" xfId="22191" xr:uid="{00000000-0005-0000-0000-0000117A0000}"/>
    <cellStyle name="Normal 4 5 3 2 3 2" xfId="22192" xr:uid="{00000000-0005-0000-0000-0000127A0000}"/>
    <cellStyle name="Normal 4 5 3 2 3 2 2" xfId="22193" xr:uid="{00000000-0005-0000-0000-0000137A0000}"/>
    <cellStyle name="Normal 4 5 3 2 3 2 2 2" xfId="22194" xr:uid="{00000000-0005-0000-0000-0000147A0000}"/>
    <cellStyle name="Normal 4 5 3 2 3 2 2 2 2" xfId="55082" xr:uid="{00000000-0005-0000-0000-0000157A0000}"/>
    <cellStyle name="Normal 4 5 3 2 3 2 2 2 3" xfId="55083" xr:uid="{00000000-0005-0000-0000-0000167A0000}"/>
    <cellStyle name="Normal 4 5 3 2 3 2 2 3" xfId="22195" xr:uid="{00000000-0005-0000-0000-0000177A0000}"/>
    <cellStyle name="Normal 4 5 3 2 3 2 2 3 2" xfId="55084" xr:uid="{00000000-0005-0000-0000-0000187A0000}"/>
    <cellStyle name="Normal 4 5 3 2 3 2 2 4" xfId="22196" xr:uid="{00000000-0005-0000-0000-0000197A0000}"/>
    <cellStyle name="Normal 4 5 3 2 3 2 2 5" xfId="22197" xr:uid="{00000000-0005-0000-0000-00001A7A0000}"/>
    <cellStyle name="Normal 4 5 3 2 3 2 2 6" xfId="22198" xr:uid="{00000000-0005-0000-0000-00001B7A0000}"/>
    <cellStyle name="Normal 4 5 3 2 3 2 3" xfId="22199" xr:uid="{00000000-0005-0000-0000-00001C7A0000}"/>
    <cellStyle name="Normal 4 5 3 2 3 2 3 2" xfId="55085" xr:uid="{00000000-0005-0000-0000-00001D7A0000}"/>
    <cellStyle name="Normal 4 5 3 2 3 2 3 3" xfId="55086" xr:uid="{00000000-0005-0000-0000-00001E7A0000}"/>
    <cellStyle name="Normal 4 5 3 2 3 2 4" xfId="22200" xr:uid="{00000000-0005-0000-0000-00001F7A0000}"/>
    <cellStyle name="Normal 4 5 3 2 3 2 4 2" xfId="55087" xr:uid="{00000000-0005-0000-0000-0000207A0000}"/>
    <cellStyle name="Normal 4 5 3 2 3 2 5" xfId="22201" xr:uid="{00000000-0005-0000-0000-0000217A0000}"/>
    <cellStyle name="Normal 4 5 3 2 3 2 6" xfId="22202" xr:uid="{00000000-0005-0000-0000-0000227A0000}"/>
    <cellStyle name="Normal 4 5 3 2 3 2 7" xfId="22203" xr:uid="{00000000-0005-0000-0000-0000237A0000}"/>
    <cellStyle name="Normal 4 5 3 2 3 3" xfId="22204" xr:uid="{00000000-0005-0000-0000-0000247A0000}"/>
    <cellStyle name="Normal 4 5 3 2 3 3 2" xfId="22205" xr:uid="{00000000-0005-0000-0000-0000257A0000}"/>
    <cellStyle name="Normal 4 5 3 2 3 3 2 2" xfId="55088" xr:uid="{00000000-0005-0000-0000-0000267A0000}"/>
    <cellStyle name="Normal 4 5 3 2 3 3 2 3" xfId="55089" xr:uid="{00000000-0005-0000-0000-0000277A0000}"/>
    <cellStyle name="Normal 4 5 3 2 3 3 3" xfId="22206" xr:uid="{00000000-0005-0000-0000-0000287A0000}"/>
    <cellStyle name="Normal 4 5 3 2 3 3 3 2" xfId="55090" xr:uid="{00000000-0005-0000-0000-0000297A0000}"/>
    <cellStyle name="Normal 4 5 3 2 3 3 4" xfId="22207" xr:uid="{00000000-0005-0000-0000-00002A7A0000}"/>
    <cellStyle name="Normal 4 5 3 2 3 3 5" xfId="22208" xr:uid="{00000000-0005-0000-0000-00002B7A0000}"/>
    <cellStyle name="Normal 4 5 3 2 3 3 6" xfId="22209" xr:uid="{00000000-0005-0000-0000-00002C7A0000}"/>
    <cellStyle name="Normal 4 5 3 2 3 4" xfId="22210" xr:uid="{00000000-0005-0000-0000-00002D7A0000}"/>
    <cellStyle name="Normal 4 5 3 2 3 4 2" xfId="55091" xr:uid="{00000000-0005-0000-0000-00002E7A0000}"/>
    <cellStyle name="Normal 4 5 3 2 3 4 3" xfId="55092" xr:uid="{00000000-0005-0000-0000-00002F7A0000}"/>
    <cellStyle name="Normal 4 5 3 2 3 5" xfId="22211" xr:uid="{00000000-0005-0000-0000-0000307A0000}"/>
    <cellStyle name="Normal 4 5 3 2 3 5 2" xfId="55093" xr:uid="{00000000-0005-0000-0000-0000317A0000}"/>
    <cellStyle name="Normal 4 5 3 2 3 6" xfId="22212" xr:uid="{00000000-0005-0000-0000-0000327A0000}"/>
    <cellStyle name="Normal 4 5 3 2 3 7" xfId="22213" xr:uid="{00000000-0005-0000-0000-0000337A0000}"/>
    <cellStyle name="Normal 4 5 3 2 3 8" xfId="22214" xr:uid="{00000000-0005-0000-0000-0000347A0000}"/>
    <cellStyle name="Normal 4 5 3 2 4" xfId="22215" xr:uid="{00000000-0005-0000-0000-0000357A0000}"/>
    <cellStyle name="Normal 4 5 3 2 4 2" xfId="22216" xr:uid="{00000000-0005-0000-0000-0000367A0000}"/>
    <cellStyle name="Normal 4 5 3 2 4 2 2" xfId="22217" xr:uid="{00000000-0005-0000-0000-0000377A0000}"/>
    <cellStyle name="Normal 4 5 3 2 4 2 2 2" xfId="55094" xr:uid="{00000000-0005-0000-0000-0000387A0000}"/>
    <cellStyle name="Normal 4 5 3 2 4 2 2 3" xfId="55095" xr:uid="{00000000-0005-0000-0000-0000397A0000}"/>
    <cellStyle name="Normal 4 5 3 2 4 2 3" xfId="22218" xr:uid="{00000000-0005-0000-0000-00003A7A0000}"/>
    <cellStyle name="Normal 4 5 3 2 4 2 3 2" xfId="55096" xr:uid="{00000000-0005-0000-0000-00003B7A0000}"/>
    <cellStyle name="Normal 4 5 3 2 4 2 4" xfId="22219" xr:uid="{00000000-0005-0000-0000-00003C7A0000}"/>
    <cellStyle name="Normal 4 5 3 2 4 2 5" xfId="22220" xr:uid="{00000000-0005-0000-0000-00003D7A0000}"/>
    <cellStyle name="Normal 4 5 3 2 4 2 6" xfId="22221" xr:uid="{00000000-0005-0000-0000-00003E7A0000}"/>
    <cellStyle name="Normal 4 5 3 2 4 3" xfId="22222" xr:uid="{00000000-0005-0000-0000-00003F7A0000}"/>
    <cellStyle name="Normal 4 5 3 2 4 3 2" xfId="55097" xr:uid="{00000000-0005-0000-0000-0000407A0000}"/>
    <cellStyle name="Normal 4 5 3 2 4 3 3" xfId="55098" xr:uid="{00000000-0005-0000-0000-0000417A0000}"/>
    <cellStyle name="Normal 4 5 3 2 4 4" xfId="22223" xr:uid="{00000000-0005-0000-0000-0000427A0000}"/>
    <cellStyle name="Normal 4 5 3 2 4 4 2" xfId="55099" xr:uid="{00000000-0005-0000-0000-0000437A0000}"/>
    <cellStyle name="Normal 4 5 3 2 4 5" xfId="22224" xr:uid="{00000000-0005-0000-0000-0000447A0000}"/>
    <cellStyle name="Normal 4 5 3 2 4 6" xfId="22225" xr:uid="{00000000-0005-0000-0000-0000457A0000}"/>
    <cellStyle name="Normal 4 5 3 2 4 7" xfId="22226" xr:uid="{00000000-0005-0000-0000-0000467A0000}"/>
    <cellStyle name="Normal 4 5 3 2 5" xfId="22227" xr:uid="{00000000-0005-0000-0000-0000477A0000}"/>
    <cellStyle name="Normal 4 5 3 2 5 2" xfId="22228" xr:uid="{00000000-0005-0000-0000-0000487A0000}"/>
    <cellStyle name="Normal 4 5 3 2 5 2 2" xfId="55100" xr:uid="{00000000-0005-0000-0000-0000497A0000}"/>
    <cellStyle name="Normal 4 5 3 2 5 2 3" xfId="55101" xr:uid="{00000000-0005-0000-0000-00004A7A0000}"/>
    <cellStyle name="Normal 4 5 3 2 5 3" xfId="22229" xr:uid="{00000000-0005-0000-0000-00004B7A0000}"/>
    <cellStyle name="Normal 4 5 3 2 5 3 2" xfId="55102" xr:uid="{00000000-0005-0000-0000-00004C7A0000}"/>
    <cellStyle name="Normal 4 5 3 2 5 4" xfId="22230" xr:uid="{00000000-0005-0000-0000-00004D7A0000}"/>
    <cellStyle name="Normal 4 5 3 2 5 5" xfId="22231" xr:uid="{00000000-0005-0000-0000-00004E7A0000}"/>
    <cellStyle name="Normal 4 5 3 2 5 6" xfId="22232" xr:uid="{00000000-0005-0000-0000-00004F7A0000}"/>
    <cellStyle name="Normal 4 5 3 2 6" xfId="22233" xr:uid="{00000000-0005-0000-0000-0000507A0000}"/>
    <cellStyle name="Normal 4 5 3 2 6 2" xfId="55103" xr:uid="{00000000-0005-0000-0000-0000517A0000}"/>
    <cellStyle name="Normal 4 5 3 2 6 3" xfId="55104" xr:uid="{00000000-0005-0000-0000-0000527A0000}"/>
    <cellStyle name="Normal 4 5 3 2 7" xfId="22234" xr:uid="{00000000-0005-0000-0000-0000537A0000}"/>
    <cellStyle name="Normal 4 5 3 2 7 2" xfId="55105" xr:uid="{00000000-0005-0000-0000-0000547A0000}"/>
    <cellStyle name="Normal 4 5 3 2 8" xfId="22235" xr:uid="{00000000-0005-0000-0000-0000557A0000}"/>
    <cellStyle name="Normal 4 5 3 2 9" xfId="22236" xr:uid="{00000000-0005-0000-0000-0000567A0000}"/>
    <cellStyle name="Normal 4 5 3 3" xfId="22237" xr:uid="{00000000-0005-0000-0000-0000577A0000}"/>
    <cellStyle name="Normal 4 5 3 3 2" xfId="22238" xr:uid="{00000000-0005-0000-0000-0000587A0000}"/>
    <cellStyle name="Normal 4 5 3 3 2 2" xfId="22239" xr:uid="{00000000-0005-0000-0000-0000597A0000}"/>
    <cellStyle name="Normal 4 5 3 3 2 2 2" xfId="22240" xr:uid="{00000000-0005-0000-0000-00005A7A0000}"/>
    <cellStyle name="Normal 4 5 3 3 2 2 2 2" xfId="55106" xr:uid="{00000000-0005-0000-0000-00005B7A0000}"/>
    <cellStyle name="Normal 4 5 3 3 2 2 2 3" xfId="55107" xr:uid="{00000000-0005-0000-0000-00005C7A0000}"/>
    <cellStyle name="Normal 4 5 3 3 2 2 3" xfId="22241" xr:uid="{00000000-0005-0000-0000-00005D7A0000}"/>
    <cellStyle name="Normal 4 5 3 3 2 2 3 2" xfId="55108" xr:uid="{00000000-0005-0000-0000-00005E7A0000}"/>
    <cellStyle name="Normal 4 5 3 3 2 2 4" xfId="22242" xr:uid="{00000000-0005-0000-0000-00005F7A0000}"/>
    <cellStyle name="Normal 4 5 3 3 2 2 5" xfId="22243" xr:uid="{00000000-0005-0000-0000-0000607A0000}"/>
    <cellStyle name="Normal 4 5 3 3 2 2 6" xfId="22244" xr:uid="{00000000-0005-0000-0000-0000617A0000}"/>
    <cellStyle name="Normal 4 5 3 3 2 3" xfId="22245" xr:uid="{00000000-0005-0000-0000-0000627A0000}"/>
    <cellStyle name="Normal 4 5 3 3 2 3 2" xfId="55109" xr:uid="{00000000-0005-0000-0000-0000637A0000}"/>
    <cellStyle name="Normal 4 5 3 3 2 3 3" xfId="55110" xr:uid="{00000000-0005-0000-0000-0000647A0000}"/>
    <cellStyle name="Normal 4 5 3 3 2 4" xfId="22246" xr:uid="{00000000-0005-0000-0000-0000657A0000}"/>
    <cellStyle name="Normal 4 5 3 3 2 4 2" xfId="55111" xr:uid="{00000000-0005-0000-0000-0000667A0000}"/>
    <cellStyle name="Normal 4 5 3 3 2 5" xfId="22247" xr:uid="{00000000-0005-0000-0000-0000677A0000}"/>
    <cellStyle name="Normal 4 5 3 3 2 6" xfId="22248" xr:uid="{00000000-0005-0000-0000-0000687A0000}"/>
    <cellStyle name="Normal 4 5 3 3 2 7" xfId="22249" xr:uid="{00000000-0005-0000-0000-0000697A0000}"/>
    <cellStyle name="Normal 4 5 3 3 3" xfId="22250" xr:uid="{00000000-0005-0000-0000-00006A7A0000}"/>
    <cellStyle name="Normal 4 5 3 3 3 2" xfId="22251" xr:uid="{00000000-0005-0000-0000-00006B7A0000}"/>
    <cellStyle name="Normal 4 5 3 3 3 2 2" xfId="55112" xr:uid="{00000000-0005-0000-0000-00006C7A0000}"/>
    <cellStyle name="Normal 4 5 3 3 3 2 3" xfId="55113" xr:uid="{00000000-0005-0000-0000-00006D7A0000}"/>
    <cellStyle name="Normal 4 5 3 3 3 3" xfId="22252" xr:uid="{00000000-0005-0000-0000-00006E7A0000}"/>
    <cellStyle name="Normal 4 5 3 3 3 3 2" xfId="55114" xr:uid="{00000000-0005-0000-0000-00006F7A0000}"/>
    <cellStyle name="Normal 4 5 3 3 3 4" xfId="22253" xr:uid="{00000000-0005-0000-0000-0000707A0000}"/>
    <cellStyle name="Normal 4 5 3 3 3 5" xfId="22254" xr:uid="{00000000-0005-0000-0000-0000717A0000}"/>
    <cellStyle name="Normal 4 5 3 3 3 6" xfId="22255" xr:uid="{00000000-0005-0000-0000-0000727A0000}"/>
    <cellStyle name="Normal 4 5 3 3 4" xfId="22256" xr:uid="{00000000-0005-0000-0000-0000737A0000}"/>
    <cellStyle name="Normal 4 5 3 3 4 2" xfId="55115" xr:uid="{00000000-0005-0000-0000-0000747A0000}"/>
    <cellStyle name="Normal 4 5 3 3 4 3" xfId="55116" xr:uid="{00000000-0005-0000-0000-0000757A0000}"/>
    <cellStyle name="Normal 4 5 3 3 5" xfId="22257" xr:uid="{00000000-0005-0000-0000-0000767A0000}"/>
    <cellStyle name="Normal 4 5 3 3 5 2" xfId="55117" xr:uid="{00000000-0005-0000-0000-0000777A0000}"/>
    <cellStyle name="Normal 4 5 3 3 6" xfId="22258" xr:uid="{00000000-0005-0000-0000-0000787A0000}"/>
    <cellStyle name="Normal 4 5 3 3 7" xfId="22259" xr:uid="{00000000-0005-0000-0000-0000797A0000}"/>
    <cellStyle name="Normal 4 5 3 3 8" xfId="22260" xr:uid="{00000000-0005-0000-0000-00007A7A0000}"/>
    <cellStyle name="Normal 4 5 3 3 9" xfId="22261" xr:uid="{00000000-0005-0000-0000-00007B7A0000}"/>
    <cellStyle name="Normal 4 5 3 4" xfId="22262" xr:uid="{00000000-0005-0000-0000-00007C7A0000}"/>
    <cellStyle name="Normal 4 5 3 4 2" xfId="22263" xr:uid="{00000000-0005-0000-0000-00007D7A0000}"/>
    <cellStyle name="Normal 4 5 3 4 2 2" xfId="22264" xr:uid="{00000000-0005-0000-0000-00007E7A0000}"/>
    <cellStyle name="Normal 4 5 3 4 2 2 2" xfId="22265" xr:uid="{00000000-0005-0000-0000-00007F7A0000}"/>
    <cellStyle name="Normal 4 5 3 4 2 2 2 2" xfId="55118" xr:uid="{00000000-0005-0000-0000-0000807A0000}"/>
    <cellStyle name="Normal 4 5 3 4 2 2 2 3" xfId="55119" xr:uid="{00000000-0005-0000-0000-0000817A0000}"/>
    <cellStyle name="Normal 4 5 3 4 2 2 3" xfId="22266" xr:uid="{00000000-0005-0000-0000-0000827A0000}"/>
    <cellStyle name="Normal 4 5 3 4 2 2 3 2" xfId="55120" xr:uid="{00000000-0005-0000-0000-0000837A0000}"/>
    <cellStyle name="Normal 4 5 3 4 2 2 4" xfId="22267" xr:uid="{00000000-0005-0000-0000-0000847A0000}"/>
    <cellStyle name="Normal 4 5 3 4 2 2 5" xfId="22268" xr:uid="{00000000-0005-0000-0000-0000857A0000}"/>
    <cellStyle name="Normal 4 5 3 4 2 2 6" xfId="22269" xr:uid="{00000000-0005-0000-0000-0000867A0000}"/>
    <cellStyle name="Normal 4 5 3 4 2 3" xfId="22270" xr:uid="{00000000-0005-0000-0000-0000877A0000}"/>
    <cellStyle name="Normal 4 5 3 4 2 3 2" xfId="55121" xr:uid="{00000000-0005-0000-0000-0000887A0000}"/>
    <cellStyle name="Normal 4 5 3 4 2 3 3" xfId="55122" xr:uid="{00000000-0005-0000-0000-0000897A0000}"/>
    <cellStyle name="Normal 4 5 3 4 2 4" xfId="22271" xr:uid="{00000000-0005-0000-0000-00008A7A0000}"/>
    <cellStyle name="Normal 4 5 3 4 2 4 2" xfId="55123" xr:uid="{00000000-0005-0000-0000-00008B7A0000}"/>
    <cellStyle name="Normal 4 5 3 4 2 5" xfId="22272" xr:uid="{00000000-0005-0000-0000-00008C7A0000}"/>
    <cellStyle name="Normal 4 5 3 4 2 6" xfId="22273" xr:uid="{00000000-0005-0000-0000-00008D7A0000}"/>
    <cellStyle name="Normal 4 5 3 4 2 7" xfId="22274" xr:uid="{00000000-0005-0000-0000-00008E7A0000}"/>
    <cellStyle name="Normal 4 5 3 4 3" xfId="22275" xr:uid="{00000000-0005-0000-0000-00008F7A0000}"/>
    <cellStyle name="Normal 4 5 3 4 3 2" xfId="22276" xr:uid="{00000000-0005-0000-0000-0000907A0000}"/>
    <cellStyle name="Normal 4 5 3 4 3 2 2" xfId="55124" xr:uid="{00000000-0005-0000-0000-0000917A0000}"/>
    <cellStyle name="Normal 4 5 3 4 3 2 3" xfId="55125" xr:uid="{00000000-0005-0000-0000-0000927A0000}"/>
    <cellStyle name="Normal 4 5 3 4 3 3" xfId="22277" xr:uid="{00000000-0005-0000-0000-0000937A0000}"/>
    <cellStyle name="Normal 4 5 3 4 3 3 2" xfId="55126" xr:uid="{00000000-0005-0000-0000-0000947A0000}"/>
    <cellStyle name="Normal 4 5 3 4 3 4" xfId="22278" xr:uid="{00000000-0005-0000-0000-0000957A0000}"/>
    <cellStyle name="Normal 4 5 3 4 3 5" xfId="22279" xr:uid="{00000000-0005-0000-0000-0000967A0000}"/>
    <cellStyle name="Normal 4 5 3 4 3 6" xfId="22280" xr:uid="{00000000-0005-0000-0000-0000977A0000}"/>
    <cellStyle name="Normal 4 5 3 4 4" xfId="22281" xr:uid="{00000000-0005-0000-0000-0000987A0000}"/>
    <cellStyle name="Normal 4 5 3 4 4 2" xfId="55127" xr:uid="{00000000-0005-0000-0000-0000997A0000}"/>
    <cellStyle name="Normal 4 5 3 4 4 3" xfId="55128" xr:uid="{00000000-0005-0000-0000-00009A7A0000}"/>
    <cellStyle name="Normal 4 5 3 4 5" xfId="22282" xr:uid="{00000000-0005-0000-0000-00009B7A0000}"/>
    <cellStyle name="Normal 4 5 3 4 5 2" xfId="55129" xr:uid="{00000000-0005-0000-0000-00009C7A0000}"/>
    <cellStyle name="Normal 4 5 3 4 6" xfId="22283" xr:uid="{00000000-0005-0000-0000-00009D7A0000}"/>
    <cellStyle name="Normal 4 5 3 4 7" xfId="22284" xr:uid="{00000000-0005-0000-0000-00009E7A0000}"/>
    <cellStyle name="Normal 4 5 3 4 8" xfId="22285" xr:uid="{00000000-0005-0000-0000-00009F7A0000}"/>
    <cellStyle name="Normal 4 5 3 5" xfId="22286" xr:uid="{00000000-0005-0000-0000-0000A07A0000}"/>
    <cellStyle name="Normal 4 5 3 5 2" xfId="22287" xr:uid="{00000000-0005-0000-0000-0000A17A0000}"/>
    <cellStyle name="Normal 4 5 3 5 2 2" xfId="22288" xr:uid="{00000000-0005-0000-0000-0000A27A0000}"/>
    <cellStyle name="Normal 4 5 3 5 2 2 2" xfId="55130" xr:uid="{00000000-0005-0000-0000-0000A37A0000}"/>
    <cellStyle name="Normal 4 5 3 5 2 2 3" xfId="55131" xr:uid="{00000000-0005-0000-0000-0000A47A0000}"/>
    <cellStyle name="Normal 4 5 3 5 2 3" xfId="22289" xr:uid="{00000000-0005-0000-0000-0000A57A0000}"/>
    <cellStyle name="Normal 4 5 3 5 2 3 2" xfId="55132" xr:uid="{00000000-0005-0000-0000-0000A67A0000}"/>
    <cellStyle name="Normal 4 5 3 5 2 4" xfId="22290" xr:uid="{00000000-0005-0000-0000-0000A77A0000}"/>
    <cellStyle name="Normal 4 5 3 5 2 5" xfId="22291" xr:uid="{00000000-0005-0000-0000-0000A87A0000}"/>
    <cellStyle name="Normal 4 5 3 5 2 6" xfId="22292" xr:uid="{00000000-0005-0000-0000-0000A97A0000}"/>
    <cellStyle name="Normal 4 5 3 5 3" xfId="22293" xr:uid="{00000000-0005-0000-0000-0000AA7A0000}"/>
    <cellStyle name="Normal 4 5 3 5 3 2" xfId="55133" xr:uid="{00000000-0005-0000-0000-0000AB7A0000}"/>
    <cellStyle name="Normal 4 5 3 5 3 3" xfId="55134" xr:uid="{00000000-0005-0000-0000-0000AC7A0000}"/>
    <cellStyle name="Normal 4 5 3 5 4" xfId="22294" xr:uid="{00000000-0005-0000-0000-0000AD7A0000}"/>
    <cellStyle name="Normal 4 5 3 5 4 2" xfId="55135" xr:uid="{00000000-0005-0000-0000-0000AE7A0000}"/>
    <cellStyle name="Normal 4 5 3 5 5" xfId="22295" xr:uid="{00000000-0005-0000-0000-0000AF7A0000}"/>
    <cellStyle name="Normal 4 5 3 5 6" xfId="22296" xr:uid="{00000000-0005-0000-0000-0000B07A0000}"/>
    <cellStyle name="Normal 4 5 3 5 7" xfId="22297" xr:uid="{00000000-0005-0000-0000-0000B17A0000}"/>
    <cellStyle name="Normal 4 5 3 6" xfId="22298" xr:uid="{00000000-0005-0000-0000-0000B27A0000}"/>
    <cellStyle name="Normal 4 5 3 6 2" xfId="22299" xr:uid="{00000000-0005-0000-0000-0000B37A0000}"/>
    <cellStyle name="Normal 4 5 3 6 2 2" xfId="55136" xr:uid="{00000000-0005-0000-0000-0000B47A0000}"/>
    <cellStyle name="Normal 4 5 3 6 2 3" xfId="55137" xr:uid="{00000000-0005-0000-0000-0000B57A0000}"/>
    <cellStyle name="Normal 4 5 3 6 3" xfId="22300" xr:uid="{00000000-0005-0000-0000-0000B67A0000}"/>
    <cellStyle name="Normal 4 5 3 6 3 2" xfId="55138" xr:uid="{00000000-0005-0000-0000-0000B77A0000}"/>
    <cellStyle name="Normal 4 5 3 6 4" xfId="22301" xr:uid="{00000000-0005-0000-0000-0000B87A0000}"/>
    <cellStyle name="Normal 4 5 3 6 5" xfId="22302" xr:uid="{00000000-0005-0000-0000-0000B97A0000}"/>
    <cellStyle name="Normal 4 5 3 6 6" xfId="22303" xr:uid="{00000000-0005-0000-0000-0000BA7A0000}"/>
    <cellStyle name="Normal 4 5 3 7" xfId="22304" xr:uid="{00000000-0005-0000-0000-0000BB7A0000}"/>
    <cellStyle name="Normal 4 5 3 7 2" xfId="55139" xr:uid="{00000000-0005-0000-0000-0000BC7A0000}"/>
    <cellStyle name="Normal 4 5 3 7 3" xfId="55140" xr:uid="{00000000-0005-0000-0000-0000BD7A0000}"/>
    <cellStyle name="Normal 4 5 3 8" xfId="22305" xr:uid="{00000000-0005-0000-0000-0000BE7A0000}"/>
    <cellStyle name="Normal 4 5 3 8 2" xfId="55141" xr:uid="{00000000-0005-0000-0000-0000BF7A0000}"/>
    <cellStyle name="Normal 4 5 3 9" xfId="22306" xr:uid="{00000000-0005-0000-0000-0000C07A0000}"/>
    <cellStyle name="Normal 4 5 4" xfId="22307" xr:uid="{00000000-0005-0000-0000-0000C17A0000}"/>
    <cellStyle name="Normal 4 5 4 10" xfId="22308" xr:uid="{00000000-0005-0000-0000-0000C27A0000}"/>
    <cellStyle name="Normal 4 5 4 11" xfId="22309" xr:uid="{00000000-0005-0000-0000-0000C37A0000}"/>
    <cellStyle name="Normal 4 5 4 12" xfId="22310" xr:uid="{00000000-0005-0000-0000-0000C47A0000}"/>
    <cellStyle name="Normal 4 5 4 13" xfId="22311" xr:uid="{00000000-0005-0000-0000-0000C57A0000}"/>
    <cellStyle name="Normal 4 5 4 14" xfId="22312" xr:uid="{00000000-0005-0000-0000-0000C67A0000}"/>
    <cellStyle name="Normal 4 5 4 2" xfId="22313" xr:uid="{00000000-0005-0000-0000-0000C77A0000}"/>
    <cellStyle name="Normal 4 5 4 2 2" xfId="22314" xr:uid="{00000000-0005-0000-0000-0000C87A0000}"/>
    <cellStyle name="Normal 4 5 4 2 2 2" xfId="22315" xr:uid="{00000000-0005-0000-0000-0000C97A0000}"/>
    <cellStyle name="Normal 4 5 4 2 2 2 2" xfId="22316" xr:uid="{00000000-0005-0000-0000-0000CA7A0000}"/>
    <cellStyle name="Normal 4 5 4 2 2 2 2 2" xfId="55142" xr:uid="{00000000-0005-0000-0000-0000CB7A0000}"/>
    <cellStyle name="Normal 4 5 4 2 2 2 2 3" xfId="55143" xr:uid="{00000000-0005-0000-0000-0000CC7A0000}"/>
    <cellStyle name="Normal 4 5 4 2 2 2 3" xfId="22317" xr:uid="{00000000-0005-0000-0000-0000CD7A0000}"/>
    <cellStyle name="Normal 4 5 4 2 2 2 3 2" xfId="55144" xr:uid="{00000000-0005-0000-0000-0000CE7A0000}"/>
    <cellStyle name="Normal 4 5 4 2 2 2 4" xfId="22318" xr:uid="{00000000-0005-0000-0000-0000CF7A0000}"/>
    <cellStyle name="Normal 4 5 4 2 2 2 5" xfId="22319" xr:uid="{00000000-0005-0000-0000-0000D07A0000}"/>
    <cellStyle name="Normal 4 5 4 2 2 2 6" xfId="22320" xr:uid="{00000000-0005-0000-0000-0000D17A0000}"/>
    <cellStyle name="Normal 4 5 4 2 2 3" xfId="22321" xr:uid="{00000000-0005-0000-0000-0000D27A0000}"/>
    <cellStyle name="Normal 4 5 4 2 2 3 2" xfId="55145" xr:uid="{00000000-0005-0000-0000-0000D37A0000}"/>
    <cellStyle name="Normal 4 5 4 2 2 3 3" xfId="55146" xr:uid="{00000000-0005-0000-0000-0000D47A0000}"/>
    <cellStyle name="Normal 4 5 4 2 2 4" xfId="22322" xr:uid="{00000000-0005-0000-0000-0000D57A0000}"/>
    <cellStyle name="Normal 4 5 4 2 2 4 2" xfId="55147" xr:uid="{00000000-0005-0000-0000-0000D67A0000}"/>
    <cellStyle name="Normal 4 5 4 2 2 5" xfId="22323" xr:uid="{00000000-0005-0000-0000-0000D77A0000}"/>
    <cellStyle name="Normal 4 5 4 2 2 6" xfId="22324" xr:uid="{00000000-0005-0000-0000-0000D87A0000}"/>
    <cellStyle name="Normal 4 5 4 2 2 7" xfId="22325" xr:uid="{00000000-0005-0000-0000-0000D97A0000}"/>
    <cellStyle name="Normal 4 5 4 2 3" xfId="22326" xr:uid="{00000000-0005-0000-0000-0000DA7A0000}"/>
    <cellStyle name="Normal 4 5 4 2 3 2" xfId="22327" xr:uid="{00000000-0005-0000-0000-0000DB7A0000}"/>
    <cellStyle name="Normal 4 5 4 2 3 2 2" xfId="55148" xr:uid="{00000000-0005-0000-0000-0000DC7A0000}"/>
    <cellStyle name="Normal 4 5 4 2 3 2 3" xfId="55149" xr:uid="{00000000-0005-0000-0000-0000DD7A0000}"/>
    <cellStyle name="Normal 4 5 4 2 3 3" xfId="22328" xr:uid="{00000000-0005-0000-0000-0000DE7A0000}"/>
    <cellStyle name="Normal 4 5 4 2 3 3 2" xfId="55150" xr:uid="{00000000-0005-0000-0000-0000DF7A0000}"/>
    <cellStyle name="Normal 4 5 4 2 3 4" xfId="22329" xr:uid="{00000000-0005-0000-0000-0000E07A0000}"/>
    <cellStyle name="Normal 4 5 4 2 3 5" xfId="22330" xr:uid="{00000000-0005-0000-0000-0000E17A0000}"/>
    <cellStyle name="Normal 4 5 4 2 3 6" xfId="22331" xr:uid="{00000000-0005-0000-0000-0000E27A0000}"/>
    <cellStyle name="Normal 4 5 4 2 4" xfId="22332" xr:uid="{00000000-0005-0000-0000-0000E37A0000}"/>
    <cellStyle name="Normal 4 5 4 2 4 2" xfId="55151" xr:uid="{00000000-0005-0000-0000-0000E47A0000}"/>
    <cellStyle name="Normal 4 5 4 2 4 3" xfId="55152" xr:uid="{00000000-0005-0000-0000-0000E57A0000}"/>
    <cellStyle name="Normal 4 5 4 2 5" xfId="22333" xr:uid="{00000000-0005-0000-0000-0000E67A0000}"/>
    <cellStyle name="Normal 4 5 4 2 5 2" xfId="55153" xr:uid="{00000000-0005-0000-0000-0000E77A0000}"/>
    <cellStyle name="Normal 4 5 4 2 6" xfId="22334" xr:uid="{00000000-0005-0000-0000-0000E87A0000}"/>
    <cellStyle name="Normal 4 5 4 2 7" xfId="22335" xr:uid="{00000000-0005-0000-0000-0000E97A0000}"/>
    <cellStyle name="Normal 4 5 4 2 8" xfId="22336" xr:uid="{00000000-0005-0000-0000-0000EA7A0000}"/>
    <cellStyle name="Normal 4 5 4 2 9" xfId="22337" xr:uid="{00000000-0005-0000-0000-0000EB7A0000}"/>
    <cellStyle name="Normal 4 5 4 3" xfId="22338" xr:uid="{00000000-0005-0000-0000-0000EC7A0000}"/>
    <cellStyle name="Normal 4 5 4 3 2" xfId="22339" xr:uid="{00000000-0005-0000-0000-0000ED7A0000}"/>
    <cellStyle name="Normal 4 5 4 3 2 2" xfId="22340" xr:uid="{00000000-0005-0000-0000-0000EE7A0000}"/>
    <cellStyle name="Normal 4 5 4 3 2 2 2" xfId="22341" xr:uid="{00000000-0005-0000-0000-0000EF7A0000}"/>
    <cellStyle name="Normal 4 5 4 3 2 2 2 2" xfId="55154" xr:uid="{00000000-0005-0000-0000-0000F07A0000}"/>
    <cellStyle name="Normal 4 5 4 3 2 2 2 3" xfId="55155" xr:uid="{00000000-0005-0000-0000-0000F17A0000}"/>
    <cellStyle name="Normal 4 5 4 3 2 2 3" xfId="22342" xr:uid="{00000000-0005-0000-0000-0000F27A0000}"/>
    <cellStyle name="Normal 4 5 4 3 2 2 3 2" xfId="55156" xr:uid="{00000000-0005-0000-0000-0000F37A0000}"/>
    <cellStyle name="Normal 4 5 4 3 2 2 4" xfId="22343" xr:uid="{00000000-0005-0000-0000-0000F47A0000}"/>
    <cellStyle name="Normal 4 5 4 3 2 2 5" xfId="22344" xr:uid="{00000000-0005-0000-0000-0000F57A0000}"/>
    <cellStyle name="Normal 4 5 4 3 2 2 6" xfId="22345" xr:uid="{00000000-0005-0000-0000-0000F67A0000}"/>
    <cellStyle name="Normal 4 5 4 3 2 3" xfId="22346" xr:uid="{00000000-0005-0000-0000-0000F77A0000}"/>
    <cellStyle name="Normal 4 5 4 3 2 3 2" xfId="55157" xr:uid="{00000000-0005-0000-0000-0000F87A0000}"/>
    <cellStyle name="Normal 4 5 4 3 2 3 3" xfId="55158" xr:uid="{00000000-0005-0000-0000-0000F97A0000}"/>
    <cellStyle name="Normal 4 5 4 3 2 4" xfId="22347" xr:uid="{00000000-0005-0000-0000-0000FA7A0000}"/>
    <cellStyle name="Normal 4 5 4 3 2 4 2" xfId="55159" xr:uid="{00000000-0005-0000-0000-0000FB7A0000}"/>
    <cellStyle name="Normal 4 5 4 3 2 5" xfId="22348" xr:uid="{00000000-0005-0000-0000-0000FC7A0000}"/>
    <cellStyle name="Normal 4 5 4 3 2 6" xfId="22349" xr:uid="{00000000-0005-0000-0000-0000FD7A0000}"/>
    <cellStyle name="Normal 4 5 4 3 2 7" xfId="22350" xr:uid="{00000000-0005-0000-0000-0000FE7A0000}"/>
    <cellStyle name="Normal 4 5 4 3 3" xfId="22351" xr:uid="{00000000-0005-0000-0000-0000FF7A0000}"/>
    <cellStyle name="Normal 4 5 4 3 3 2" xfId="22352" xr:uid="{00000000-0005-0000-0000-0000007B0000}"/>
    <cellStyle name="Normal 4 5 4 3 3 2 2" xfId="55160" xr:uid="{00000000-0005-0000-0000-0000017B0000}"/>
    <cellStyle name="Normal 4 5 4 3 3 2 3" xfId="55161" xr:uid="{00000000-0005-0000-0000-0000027B0000}"/>
    <cellStyle name="Normal 4 5 4 3 3 3" xfId="22353" xr:uid="{00000000-0005-0000-0000-0000037B0000}"/>
    <cellStyle name="Normal 4 5 4 3 3 3 2" xfId="55162" xr:uid="{00000000-0005-0000-0000-0000047B0000}"/>
    <cellStyle name="Normal 4 5 4 3 3 4" xfId="22354" xr:uid="{00000000-0005-0000-0000-0000057B0000}"/>
    <cellStyle name="Normal 4 5 4 3 3 5" xfId="22355" xr:uid="{00000000-0005-0000-0000-0000067B0000}"/>
    <cellStyle name="Normal 4 5 4 3 3 6" xfId="22356" xr:uid="{00000000-0005-0000-0000-0000077B0000}"/>
    <cellStyle name="Normal 4 5 4 3 4" xfId="22357" xr:uid="{00000000-0005-0000-0000-0000087B0000}"/>
    <cellStyle name="Normal 4 5 4 3 4 2" xfId="55163" xr:uid="{00000000-0005-0000-0000-0000097B0000}"/>
    <cellStyle name="Normal 4 5 4 3 4 3" xfId="55164" xr:uid="{00000000-0005-0000-0000-00000A7B0000}"/>
    <cellStyle name="Normal 4 5 4 3 5" xfId="22358" xr:uid="{00000000-0005-0000-0000-00000B7B0000}"/>
    <cellStyle name="Normal 4 5 4 3 5 2" xfId="55165" xr:uid="{00000000-0005-0000-0000-00000C7B0000}"/>
    <cellStyle name="Normal 4 5 4 3 6" xfId="22359" xr:uid="{00000000-0005-0000-0000-00000D7B0000}"/>
    <cellStyle name="Normal 4 5 4 3 7" xfId="22360" xr:uid="{00000000-0005-0000-0000-00000E7B0000}"/>
    <cellStyle name="Normal 4 5 4 3 8" xfId="22361" xr:uid="{00000000-0005-0000-0000-00000F7B0000}"/>
    <cellStyle name="Normal 4 5 4 4" xfId="22362" xr:uid="{00000000-0005-0000-0000-0000107B0000}"/>
    <cellStyle name="Normal 4 5 4 4 2" xfId="22363" xr:uid="{00000000-0005-0000-0000-0000117B0000}"/>
    <cellStyle name="Normal 4 5 4 4 2 2" xfId="22364" xr:uid="{00000000-0005-0000-0000-0000127B0000}"/>
    <cellStyle name="Normal 4 5 4 4 2 2 2" xfId="55166" xr:uid="{00000000-0005-0000-0000-0000137B0000}"/>
    <cellStyle name="Normal 4 5 4 4 2 2 3" xfId="55167" xr:uid="{00000000-0005-0000-0000-0000147B0000}"/>
    <cellStyle name="Normal 4 5 4 4 2 3" xfId="22365" xr:uid="{00000000-0005-0000-0000-0000157B0000}"/>
    <cellStyle name="Normal 4 5 4 4 2 3 2" xfId="55168" xr:uid="{00000000-0005-0000-0000-0000167B0000}"/>
    <cellStyle name="Normal 4 5 4 4 2 4" xfId="22366" xr:uid="{00000000-0005-0000-0000-0000177B0000}"/>
    <cellStyle name="Normal 4 5 4 4 2 5" xfId="22367" xr:uid="{00000000-0005-0000-0000-0000187B0000}"/>
    <cellStyle name="Normal 4 5 4 4 2 6" xfId="22368" xr:uid="{00000000-0005-0000-0000-0000197B0000}"/>
    <cellStyle name="Normal 4 5 4 4 3" xfId="22369" xr:uid="{00000000-0005-0000-0000-00001A7B0000}"/>
    <cellStyle name="Normal 4 5 4 4 3 2" xfId="55169" xr:uid="{00000000-0005-0000-0000-00001B7B0000}"/>
    <cellStyle name="Normal 4 5 4 4 3 3" xfId="55170" xr:uid="{00000000-0005-0000-0000-00001C7B0000}"/>
    <cellStyle name="Normal 4 5 4 4 4" xfId="22370" xr:uid="{00000000-0005-0000-0000-00001D7B0000}"/>
    <cellStyle name="Normal 4 5 4 4 4 2" xfId="55171" xr:uid="{00000000-0005-0000-0000-00001E7B0000}"/>
    <cellStyle name="Normal 4 5 4 4 5" xfId="22371" xr:uid="{00000000-0005-0000-0000-00001F7B0000}"/>
    <cellStyle name="Normal 4 5 4 4 6" xfId="22372" xr:uid="{00000000-0005-0000-0000-0000207B0000}"/>
    <cellStyle name="Normal 4 5 4 4 7" xfId="22373" xr:uid="{00000000-0005-0000-0000-0000217B0000}"/>
    <cellStyle name="Normal 4 5 4 5" xfId="22374" xr:uid="{00000000-0005-0000-0000-0000227B0000}"/>
    <cellStyle name="Normal 4 5 4 5 2" xfId="22375" xr:uid="{00000000-0005-0000-0000-0000237B0000}"/>
    <cellStyle name="Normal 4 5 4 5 2 2" xfId="55172" xr:uid="{00000000-0005-0000-0000-0000247B0000}"/>
    <cellStyle name="Normal 4 5 4 5 2 3" xfId="55173" xr:uid="{00000000-0005-0000-0000-0000257B0000}"/>
    <cellStyle name="Normal 4 5 4 5 3" xfId="22376" xr:uid="{00000000-0005-0000-0000-0000267B0000}"/>
    <cellStyle name="Normal 4 5 4 5 3 2" xfId="55174" xr:uid="{00000000-0005-0000-0000-0000277B0000}"/>
    <cellStyle name="Normal 4 5 4 5 4" xfId="22377" xr:uid="{00000000-0005-0000-0000-0000287B0000}"/>
    <cellStyle name="Normal 4 5 4 5 5" xfId="22378" xr:uid="{00000000-0005-0000-0000-0000297B0000}"/>
    <cellStyle name="Normal 4 5 4 5 6" xfId="22379" xr:uid="{00000000-0005-0000-0000-00002A7B0000}"/>
    <cellStyle name="Normal 4 5 4 6" xfId="22380" xr:uid="{00000000-0005-0000-0000-00002B7B0000}"/>
    <cellStyle name="Normal 4 5 4 6 2" xfId="55175" xr:uid="{00000000-0005-0000-0000-00002C7B0000}"/>
    <cellStyle name="Normal 4 5 4 6 3" xfId="55176" xr:uid="{00000000-0005-0000-0000-00002D7B0000}"/>
    <cellStyle name="Normal 4 5 4 7" xfId="22381" xr:uid="{00000000-0005-0000-0000-00002E7B0000}"/>
    <cellStyle name="Normal 4 5 4 7 2" xfId="55177" xr:uid="{00000000-0005-0000-0000-00002F7B0000}"/>
    <cellStyle name="Normal 4 5 4 8" xfId="22382" xr:uid="{00000000-0005-0000-0000-0000307B0000}"/>
    <cellStyle name="Normal 4 5 4 9" xfId="22383" xr:uid="{00000000-0005-0000-0000-0000317B0000}"/>
    <cellStyle name="Normal 4 5 5" xfId="22384" xr:uid="{00000000-0005-0000-0000-0000327B0000}"/>
    <cellStyle name="Normal 4 5 5 10" xfId="22385" xr:uid="{00000000-0005-0000-0000-0000337B0000}"/>
    <cellStyle name="Normal 4 5 5 11" xfId="22386" xr:uid="{00000000-0005-0000-0000-0000347B0000}"/>
    <cellStyle name="Normal 4 5 5 12" xfId="22387" xr:uid="{00000000-0005-0000-0000-0000357B0000}"/>
    <cellStyle name="Normal 4 5 5 13" xfId="22388" xr:uid="{00000000-0005-0000-0000-0000367B0000}"/>
    <cellStyle name="Normal 4 5 5 14" xfId="22389" xr:uid="{00000000-0005-0000-0000-0000377B0000}"/>
    <cellStyle name="Normal 4 5 5 2" xfId="22390" xr:uid="{00000000-0005-0000-0000-0000387B0000}"/>
    <cellStyle name="Normal 4 5 5 2 2" xfId="22391" xr:uid="{00000000-0005-0000-0000-0000397B0000}"/>
    <cellStyle name="Normal 4 5 5 2 2 2" xfId="22392" xr:uid="{00000000-0005-0000-0000-00003A7B0000}"/>
    <cellStyle name="Normal 4 5 5 2 2 2 2" xfId="22393" xr:uid="{00000000-0005-0000-0000-00003B7B0000}"/>
    <cellStyle name="Normal 4 5 5 2 2 2 2 2" xfId="55178" xr:uid="{00000000-0005-0000-0000-00003C7B0000}"/>
    <cellStyle name="Normal 4 5 5 2 2 2 2 3" xfId="55179" xr:uid="{00000000-0005-0000-0000-00003D7B0000}"/>
    <cellStyle name="Normal 4 5 5 2 2 2 3" xfId="22394" xr:uid="{00000000-0005-0000-0000-00003E7B0000}"/>
    <cellStyle name="Normal 4 5 5 2 2 2 3 2" xfId="55180" xr:uid="{00000000-0005-0000-0000-00003F7B0000}"/>
    <cellStyle name="Normal 4 5 5 2 2 2 4" xfId="22395" xr:uid="{00000000-0005-0000-0000-0000407B0000}"/>
    <cellStyle name="Normal 4 5 5 2 2 2 5" xfId="22396" xr:uid="{00000000-0005-0000-0000-0000417B0000}"/>
    <cellStyle name="Normal 4 5 5 2 2 2 6" xfId="22397" xr:uid="{00000000-0005-0000-0000-0000427B0000}"/>
    <cellStyle name="Normal 4 5 5 2 2 3" xfId="22398" xr:uid="{00000000-0005-0000-0000-0000437B0000}"/>
    <cellStyle name="Normal 4 5 5 2 2 3 2" xfId="55181" xr:uid="{00000000-0005-0000-0000-0000447B0000}"/>
    <cellStyle name="Normal 4 5 5 2 2 3 3" xfId="55182" xr:uid="{00000000-0005-0000-0000-0000457B0000}"/>
    <cellStyle name="Normal 4 5 5 2 2 4" xfId="22399" xr:uid="{00000000-0005-0000-0000-0000467B0000}"/>
    <cellStyle name="Normal 4 5 5 2 2 4 2" xfId="55183" xr:uid="{00000000-0005-0000-0000-0000477B0000}"/>
    <cellStyle name="Normal 4 5 5 2 2 5" xfId="22400" xr:uid="{00000000-0005-0000-0000-0000487B0000}"/>
    <cellStyle name="Normal 4 5 5 2 2 6" xfId="22401" xr:uid="{00000000-0005-0000-0000-0000497B0000}"/>
    <cellStyle name="Normal 4 5 5 2 2 7" xfId="22402" xr:uid="{00000000-0005-0000-0000-00004A7B0000}"/>
    <cellStyle name="Normal 4 5 5 2 3" xfId="22403" xr:uid="{00000000-0005-0000-0000-00004B7B0000}"/>
    <cellStyle name="Normal 4 5 5 2 3 2" xfId="22404" xr:uid="{00000000-0005-0000-0000-00004C7B0000}"/>
    <cellStyle name="Normal 4 5 5 2 3 2 2" xfId="55184" xr:uid="{00000000-0005-0000-0000-00004D7B0000}"/>
    <cellStyle name="Normal 4 5 5 2 3 2 3" xfId="55185" xr:uid="{00000000-0005-0000-0000-00004E7B0000}"/>
    <cellStyle name="Normal 4 5 5 2 3 3" xfId="22405" xr:uid="{00000000-0005-0000-0000-00004F7B0000}"/>
    <cellStyle name="Normal 4 5 5 2 3 3 2" xfId="55186" xr:uid="{00000000-0005-0000-0000-0000507B0000}"/>
    <cellStyle name="Normal 4 5 5 2 3 4" xfId="22406" xr:uid="{00000000-0005-0000-0000-0000517B0000}"/>
    <cellStyle name="Normal 4 5 5 2 3 5" xfId="22407" xr:uid="{00000000-0005-0000-0000-0000527B0000}"/>
    <cellStyle name="Normal 4 5 5 2 3 6" xfId="22408" xr:uid="{00000000-0005-0000-0000-0000537B0000}"/>
    <cellStyle name="Normal 4 5 5 2 4" xfId="22409" xr:uid="{00000000-0005-0000-0000-0000547B0000}"/>
    <cellStyle name="Normal 4 5 5 2 4 2" xfId="55187" xr:uid="{00000000-0005-0000-0000-0000557B0000}"/>
    <cellStyle name="Normal 4 5 5 2 4 3" xfId="55188" xr:uid="{00000000-0005-0000-0000-0000567B0000}"/>
    <cellStyle name="Normal 4 5 5 2 5" xfId="22410" xr:uid="{00000000-0005-0000-0000-0000577B0000}"/>
    <cellStyle name="Normal 4 5 5 2 5 2" xfId="55189" xr:uid="{00000000-0005-0000-0000-0000587B0000}"/>
    <cellStyle name="Normal 4 5 5 2 6" xfId="22411" xr:uid="{00000000-0005-0000-0000-0000597B0000}"/>
    <cellStyle name="Normal 4 5 5 2 7" xfId="22412" xr:uid="{00000000-0005-0000-0000-00005A7B0000}"/>
    <cellStyle name="Normal 4 5 5 2 8" xfId="22413" xr:uid="{00000000-0005-0000-0000-00005B7B0000}"/>
    <cellStyle name="Normal 4 5 5 2 9" xfId="22414" xr:uid="{00000000-0005-0000-0000-00005C7B0000}"/>
    <cellStyle name="Normal 4 5 5 3" xfId="22415" xr:uid="{00000000-0005-0000-0000-00005D7B0000}"/>
    <cellStyle name="Normal 4 5 5 3 2" xfId="22416" xr:uid="{00000000-0005-0000-0000-00005E7B0000}"/>
    <cellStyle name="Normal 4 5 5 3 2 2" xfId="22417" xr:uid="{00000000-0005-0000-0000-00005F7B0000}"/>
    <cellStyle name="Normal 4 5 5 3 2 2 2" xfId="22418" xr:uid="{00000000-0005-0000-0000-0000607B0000}"/>
    <cellStyle name="Normal 4 5 5 3 2 2 2 2" xfId="55190" xr:uid="{00000000-0005-0000-0000-0000617B0000}"/>
    <cellStyle name="Normal 4 5 5 3 2 2 2 3" xfId="55191" xr:uid="{00000000-0005-0000-0000-0000627B0000}"/>
    <cellStyle name="Normal 4 5 5 3 2 2 3" xfId="22419" xr:uid="{00000000-0005-0000-0000-0000637B0000}"/>
    <cellStyle name="Normal 4 5 5 3 2 2 3 2" xfId="55192" xr:uid="{00000000-0005-0000-0000-0000647B0000}"/>
    <cellStyle name="Normal 4 5 5 3 2 2 4" xfId="22420" xr:uid="{00000000-0005-0000-0000-0000657B0000}"/>
    <cellStyle name="Normal 4 5 5 3 2 2 5" xfId="22421" xr:uid="{00000000-0005-0000-0000-0000667B0000}"/>
    <cellStyle name="Normal 4 5 5 3 2 2 6" xfId="22422" xr:uid="{00000000-0005-0000-0000-0000677B0000}"/>
    <cellStyle name="Normal 4 5 5 3 2 3" xfId="22423" xr:uid="{00000000-0005-0000-0000-0000687B0000}"/>
    <cellStyle name="Normal 4 5 5 3 2 3 2" xfId="55193" xr:uid="{00000000-0005-0000-0000-0000697B0000}"/>
    <cellStyle name="Normal 4 5 5 3 2 3 3" xfId="55194" xr:uid="{00000000-0005-0000-0000-00006A7B0000}"/>
    <cellStyle name="Normal 4 5 5 3 2 4" xfId="22424" xr:uid="{00000000-0005-0000-0000-00006B7B0000}"/>
    <cellStyle name="Normal 4 5 5 3 2 4 2" xfId="55195" xr:uid="{00000000-0005-0000-0000-00006C7B0000}"/>
    <cellStyle name="Normal 4 5 5 3 2 5" xfId="22425" xr:uid="{00000000-0005-0000-0000-00006D7B0000}"/>
    <cellStyle name="Normal 4 5 5 3 2 6" xfId="22426" xr:uid="{00000000-0005-0000-0000-00006E7B0000}"/>
    <cellStyle name="Normal 4 5 5 3 2 7" xfId="22427" xr:uid="{00000000-0005-0000-0000-00006F7B0000}"/>
    <cellStyle name="Normal 4 5 5 3 3" xfId="22428" xr:uid="{00000000-0005-0000-0000-0000707B0000}"/>
    <cellStyle name="Normal 4 5 5 3 3 2" xfId="22429" xr:uid="{00000000-0005-0000-0000-0000717B0000}"/>
    <cellStyle name="Normal 4 5 5 3 3 2 2" xfId="55196" xr:uid="{00000000-0005-0000-0000-0000727B0000}"/>
    <cellStyle name="Normal 4 5 5 3 3 2 3" xfId="55197" xr:uid="{00000000-0005-0000-0000-0000737B0000}"/>
    <cellStyle name="Normal 4 5 5 3 3 3" xfId="22430" xr:uid="{00000000-0005-0000-0000-0000747B0000}"/>
    <cellStyle name="Normal 4 5 5 3 3 3 2" xfId="55198" xr:uid="{00000000-0005-0000-0000-0000757B0000}"/>
    <cellStyle name="Normal 4 5 5 3 3 4" xfId="22431" xr:uid="{00000000-0005-0000-0000-0000767B0000}"/>
    <cellStyle name="Normal 4 5 5 3 3 5" xfId="22432" xr:uid="{00000000-0005-0000-0000-0000777B0000}"/>
    <cellStyle name="Normal 4 5 5 3 3 6" xfId="22433" xr:uid="{00000000-0005-0000-0000-0000787B0000}"/>
    <cellStyle name="Normal 4 5 5 3 4" xfId="22434" xr:uid="{00000000-0005-0000-0000-0000797B0000}"/>
    <cellStyle name="Normal 4 5 5 3 4 2" xfId="55199" xr:uid="{00000000-0005-0000-0000-00007A7B0000}"/>
    <cellStyle name="Normal 4 5 5 3 4 3" xfId="55200" xr:uid="{00000000-0005-0000-0000-00007B7B0000}"/>
    <cellStyle name="Normal 4 5 5 3 5" xfId="22435" xr:uid="{00000000-0005-0000-0000-00007C7B0000}"/>
    <cellStyle name="Normal 4 5 5 3 5 2" xfId="55201" xr:uid="{00000000-0005-0000-0000-00007D7B0000}"/>
    <cellStyle name="Normal 4 5 5 3 6" xfId="22436" xr:uid="{00000000-0005-0000-0000-00007E7B0000}"/>
    <cellStyle name="Normal 4 5 5 3 7" xfId="22437" xr:uid="{00000000-0005-0000-0000-00007F7B0000}"/>
    <cellStyle name="Normal 4 5 5 3 8" xfId="22438" xr:uid="{00000000-0005-0000-0000-0000807B0000}"/>
    <cellStyle name="Normal 4 5 5 4" xfId="22439" xr:uid="{00000000-0005-0000-0000-0000817B0000}"/>
    <cellStyle name="Normal 4 5 5 4 2" xfId="22440" xr:uid="{00000000-0005-0000-0000-0000827B0000}"/>
    <cellStyle name="Normal 4 5 5 4 2 2" xfId="22441" xr:uid="{00000000-0005-0000-0000-0000837B0000}"/>
    <cellStyle name="Normal 4 5 5 4 2 2 2" xfId="55202" xr:uid="{00000000-0005-0000-0000-0000847B0000}"/>
    <cellStyle name="Normal 4 5 5 4 2 2 3" xfId="55203" xr:uid="{00000000-0005-0000-0000-0000857B0000}"/>
    <cellStyle name="Normal 4 5 5 4 2 3" xfId="22442" xr:uid="{00000000-0005-0000-0000-0000867B0000}"/>
    <cellStyle name="Normal 4 5 5 4 2 3 2" xfId="55204" xr:uid="{00000000-0005-0000-0000-0000877B0000}"/>
    <cellStyle name="Normal 4 5 5 4 2 4" xfId="22443" xr:uid="{00000000-0005-0000-0000-0000887B0000}"/>
    <cellStyle name="Normal 4 5 5 4 2 5" xfId="22444" xr:uid="{00000000-0005-0000-0000-0000897B0000}"/>
    <cellStyle name="Normal 4 5 5 4 2 6" xfId="22445" xr:uid="{00000000-0005-0000-0000-00008A7B0000}"/>
    <cellStyle name="Normal 4 5 5 4 3" xfId="22446" xr:uid="{00000000-0005-0000-0000-00008B7B0000}"/>
    <cellStyle name="Normal 4 5 5 4 3 2" xfId="55205" xr:uid="{00000000-0005-0000-0000-00008C7B0000}"/>
    <cellStyle name="Normal 4 5 5 4 3 3" xfId="55206" xr:uid="{00000000-0005-0000-0000-00008D7B0000}"/>
    <cellStyle name="Normal 4 5 5 4 4" xfId="22447" xr:uid="{00000000-0005-0000-0000-00008E7B0000}"/>
    <cellStyle name="Normal 4 5 5 4 4 2" xfId="55207" xr:uid="{00000000-0005-0000-0000-00008F7B0000}"/>
    <cellStyle name="Normal 4 5 5 4 5" xfId="22448" xr:uid="{00000000-0005-0000-0000-0000907B0000}"/>
    <cellStyle name="Normal 4 5 5 4 6" xfId="22449" xr:uid="{00000000-0005-0000-0000-0000917B0000}"/>
    <cellStyle name="Normal 4 5 5 4 7" xfId="22450" xr:uid="{00000000-0005-0000-0000-0000927B0000}"/>
    <cellStyle name="Normal 4 5 5 5" xfId="22451" xr:uid="{00000000-0005-0000-0000-0000937B0000}"/>
    <cellStyle name="Normal 4 5 5 5 2" xfId="22452" xr:uid="{00000000-0005-0000-0000-0000947B0000}"/>
    <cellStyle name="Normal 4 5 5 5 2 2" xfId="55208" xr:uid="{00000000-0005-0000-0000-0000957B0000}"/>
    <cellStyle name="Normal 4 5 5 5 2 3" xfId="55209" xr:uid="{00000000-0005-0000-0000-0000967B0000}"/>
    <cellStyle name="Normal 4 5 5 5 3" xfId="22453" xr:uid="{00000000-0005-0000-0000-0000977B0000}"/>
    <cellStyle name="Normal 4 5 5 5 3 2" xfId="55210" xr:uid="{00000000-0005-0000-0000-0000987B0000}"/>
    <cellStyle name="Normal 4 5 5 5 4" xfId="22454" xr:uid="{00000000-0005-0000-0000-0000997B0000}"/>
    <cellStyle name="Normal 4 5 5 5 5" xfId="22455" xr:uid="{00000000-0005-0000-0000-00009A7B0000}"/>
    <cellStyle name="Normal 4 5 5 5 6" xfId="22456" xr:uid="{00000000-0005-0000-0000-00009B7B0000}"/>
    <cellStyle name="Normal 4 5 5 6" xfId="22457" xr:uid="{00000000-0005-0000-0000-00009C7B0000}"/>
    <cellStyle name="Normal 4 5 5 6 2" xfId="55211" xr:uid="{00000000-0005-0000-0000-00009D7B0000}"/>
    <cellStyle name="Normal 4 5 5 6 3" xfId="55212" xr:uid="{00000000-0005-0000-0000-00009E7B0000}"/>
    <cellStyle name="Normal 4 5 5 7" xfId="22458" xr:uid="{00000000-0005-0000-0000-00009F7B0000}"/>
    <cellStyle name="Normal 4 5 5 7 2" xfId="55213" xr:uid="{00000000-0005-0000-0000-0000A07B0000}"/>
    <cellStyle name="Normal 4 5 5 8" xfId="22459" xr:uid="{00000000-0005-0000-0000-0000A17B0000}"/>
    <cellStyle name="Normal 4 5 5 9" xfId="22460" xr:uid="{00000000-0005-0000-0000-0000A27B0000}"/>
    <cellStyle name="Normal 4 5 6" xfId="22461" xr:uid="{00000000-0005-0000-0000-0000A37B0000}"/>
    <cellStyle name="Normal 4 5 6 10" xfId="22462" xr:uid="{00000000-0005-0000-0000-0000A47B0000}"/>
    <cellStyle name="Normal 4 5 6 11" xfId="22463" xr:uid="{00000000-0005-0000-0000-0000A57B0000}"/>
    <cellStyle name="Normal 4 5 6 12" xfId="22464" xr:uid="{00000000-0005-0000-0000-0000A67B0000}"/>
    <cellStyle name="Normal 4 5 6 13" xfId="22465" xr:uid="{00000000-0005-0000-0000-0000A77B0000}"/>
    <cellStyle name="Normal 4 5 6 2" xfId="22466" xr:uid="{00000000-0005-0000-0000-0000A87B0000}"/>
    <cellStyle name="Normal 4 5 6 2 2" xfId="22467" xr:uid="{00000000-0005-0000-0000-0000A97B0000}"/>
    <cellStyle name="Normal 4 5 6 2 2 2" xfId="22468" xr:uid="{00000000-0005-0000-0000-0000AA7B0000}"/>
    <cellStyle name="Normal 4 5 6 2 2 2 2" xfId="22469" xr:uid="{00000000-0005-0000-0000-0000AB7B0000}"/>
    <cellStyle name="Normal 4 5 6 2 2 2 2 2" xfId="55214" xr:uid="{00000000-0005-0000-0000-0000AC7B0000}"/>
    <cellStyle name="Normal 4 5 6 2 2 2 2 3" xfId="55215" xr:uid="{00000000-0005-0000-0000-0000AD7B0000}"/>
    <cellStyle name="Normal 4 5 6 2 2 2 3" xfId="22470" xr:uid="{00000000-0005-0000-0000-0000AE7B0000}"/>
    <cellStyle name="Normal 4 5 6 2 2 2 3 2" xfId="55216" xr:uid="{00000000-0005-0000-0000-0000AF7B0000}"/>
    <cellStyle name="Normal 4 5 6 2 2 2 4" xfId="22471" xr:uid="{00000000-0005-0000-0000-0000B07B0000}"/>
    <cellStyle name="Normal 4 5 6 2 2 2 5" xfId="22472" xr:uid="{00000000-0005-0000-0000-0000B17B0000}"/>
    <cellStyle name="Normal 4 5 6 2 2 2 6" xfId="22473" xr:uid="{00000000-0005-0000-0000-0000B27B0000}"/>
    <cellStyle name="Normal 4 5 6 2 2 3" xfId="22474" xr:uid="{00000000-0005-0000-0000-0000B37B0000}"/>
    <cellStyle name="Normal 4 5 6 2 2 3 2" xfId="55217" xr:uid="{00000000-0005-0000-0000-0000B47B0000}"/>
    <cellStyle name="Normal 4 5 6 2 2 3 3" xfId="55218" xr:uid="{00000000-0005-0000-0000-0000B57B0000}"/>
    <cellStyle name="Normal 4 5 6 2 2 4" xfId="22475" xr:uid="{00000000-0005-0000-0000-0000B67B0000}"/>
    <cellStyle name="Normal 4 5 6 2 2 4 2" xfId="55219" xr:uid="{00000000-0005-0000-0000-0000B77B0000}"/>
    <cellStyle name="Normal 4 5 6 2 2 5" xfId="22476" xr:uid="{00000000-0005-0000-0000-0000B87B0000}"/>
    <cellStyle name="Normal 4 5 6 2 2 6" xfId="22477" xr:uid="{00000000-0005-0000-0000-0000B97B0000}"/>
    <cellStyle name="Normal 4 5 6 2 2 7" xfId="22478" xr:uid="{00000000-0005-0000-0000-0000BA7B0000}"/>
    <cellStyle name="Normal 4 5 6 2 3" xfId="22479" xr:uid="{00000000-0005-0000-0000-0000BB7B0000}"/>
    <cellStyle name="Normal 4 5 6 2 3 2" xfId="22480" xr:uid="{00000000-0005-0000-0000-0000BC7B0000}"/>
    <cellStyle name="Normal 4 5 6 2 3 2 2" xfId="55220" xr:uid="{00000000-0005-0000-0000-0000BD7B0000}"/>
    <cellStyle name="Normal 4 5 6 2 3 2 3" xfId="55221" xr:uid="{00000000-0005-0000-0000-0000BE7B0000}"/>
    <cellStyle name="Normal 4 5 6 2 3 3" xfId="22481" xr:uid="{00000000-0005-0000-0000-0000BF7B0000}"/>
    <cellStyle name="Normal 4 5 6 2 3 3 2" xfId="55222" xr:uid="{00000000-0005-0000-0000-0000C07B0000}"/>
    <cellStyle name="Normal 4 5 6 2 3 4" xfId="22482" xr:uid="{00000000-0005-0000-0000-0000C17B0000}"/>
    <cellStyle name="Normal 4 5 6 2 3 5" xfId="22483" xr:uid="{00000000-0005-0000-0000-0000C27B0000}"/>
    <cellStyle name="Normal 4 5 6 2 3 6" xfId="22484" xr:uid="{00000000-0005-0000-0000-0000C37B0000}"/>
    <cellStyle name="Normal 4 5 6 2 4" xfId="22485" xr:uid="{00000000-0005-0000-0000-0000C47B0000}"/>
    <cellStyle name="Normal 4 5 6 2 4 2" xfId="55223" xr:uid="{00000000-0005-0000-0000-0000C57B0000}"/>
    <cellStyle name="Normal 4 5 6 2 4 3" xfId="55224" xr:uid="{00000000-0005-0000-0000-0000C67B0000}"/>
    <cellStyle name="Normal 4 5 6 2 5" xfId="22486" xr:uid="{00000000-0005-0000-0000-0000C77B0000}"/>
    <cellStyle name="Normal 4 5 6 2 5 2" xfId="55225" xr:uid="{00000000-0005-0000-0000-0000C87B0000}"/>
    <cellStyle name="Normal 4 5 6 2 6" xfId="22487" xr:uid="{00000000-0005-0000-0000-0000C97B0000}"/>
    <cellStyle name="Normal 4 5 6 2 7" xfId="22488" xr:uid="{00000000-0005-0000-0000-0000CA7B0000}"/>
    <cellStyle name="Normal 4 5 6 2 8" xfId="22489" xr:uid="{00000000-0005-0000-0000-0000CB7B0000}"/>
    <cellStyle name="Normal 4 5 6 2 9" xfId="22490" xr:uid="{00000000-0005-0000-0000-0000CC7B0000}"/>
    <cellStyle name="Normal 4 5 6 3" xfId="22491" xr:uid="{00000000-0005-0000-0000-0000CD7B0000}"/>
    <cellStyle name="Normal 4 5 6 3 2" xfId="22492" xr:uid="{00000000-0005-0000-0000-0000CE7B0000}"/>
    <cellStyle name="Normal 4 5 6 3 2 2" xfId="22493" xr:uid="{00000000-0005-0000-0000-0000CF7B0000}"/>
    <cellStyle name="Normal 4 5 6 3 2 2 2" xfId="55226" xr:uid="{00000000-0005-0000-0000-0000D07B0000}"/>
    <cellStyle name="Normal 4 5 6 3 2 2 3" xfId="55227" xr:uid="{00000000-0005-0000-0000-0000D17B0000}"/>
    <cellStyle name="Normal 4 5 6 3 2 3" xfId="22494" xr:uid="{00000000-0005-0000-0000-0000D27B0000}"/>
    <cellStyle name="Normal 4 5 6 3 2 3 2" xfId="55228" xr:uid="{00000000-0005-0000-0000-0000D37B0000}"/>
    <cellStyle name="Normal 4 5 6 3 2 4" xfId="22495" xr:uid="{00000000-0005-0000-0000-0000D47B0000}"/>
    <cellStyle name="Normal 4 5 6 3 2 5" xfId="22496" xr:uid="{00000000-0005-0000-0000-0000D57B0000}"/>
    <cellStyle name="Normal 4 5 6 3 2 6" xfId="22497" xr:uid="{00000000-0005-0000-0000-0000D67B0000}"/>
    <cellStyle name="Normal 4 5 6 3 3" xfId="22498" xr:uid="{00000000-0005-0000-0000-0000D77B0000}"/>
    <cellStyle name="Normal 4 5 6 3 3 2" xfId="55229" xr:uid="{00000000-0005-0000-0000-0000D87B0000}"/>
    <cellStyle name="Normal 4 5 6 3 3 3" xfId="55230" xr:uid="{00000000-0005-0000-0000-0000D97B0000}"/>
    <cellStyle name="Normal 4 5 6 3 4" xfId="22499" xr:uid="{00000000-0005-0000-0000-0000DA7B0000}"/>
    <cellStyle name="Normal 4 5 6 3 4 2" xfId="55231" xr:uid="{00000000-0005-0000-0000-0000DB7B0000}"/>
    <cellStyle name="Normal 4 5 6 3 5" xfId="22500" xr:uid="{00000000-0005-0000-0000-0000DC7B0000}"/>
    <cellStyle name="Normal 4 5 6 3 6" xfId="22501" xr:uid="{00000000-0005-0000-0000-0000DD7B0000}"/>
    <cellStyle name="Normal 4 5 6 3 7" xfId="22502" xr:uid="{00000000-0005-0000-0000-0000DE7B0000}"/>
    <cellStyle name="Normal 4 5 6 4" xfId="22503" xr:uid="{00000000-0005-0000-0000-0000DF7B0000}"/>
    <cellStyle name="Normal 4 5 6 4 2" xfId="22504" xr:uid="{00000000-0005-0000-0000-0000E07B0000}"/>
    <cellStyle name="Normal 4 5 6 4 2 2" xfId="55232" xr:uid="{00000000-0005-0000-0000-0000E17B0000}"/>
    <cellStyle name="Normal 4 5 6 4 2 3" xfId="55233" xr:uid="{00000000-0005-0000-0000-0000E27B0000}"/>
    <cellStyle name="Normal 4 5 6 4 3" xfId="22505" xr:uid="{00000000-0005-0000-0000-0000E37B0000}"/>
    <cellStyle name="Normal 4 5 6 4 3 2" xfId="55234" xr:uid="{00000000-0005-0000-0000-0000E47B0000}"/>
    <cellStyle name="Normal 4 5 6 4 4" xfId="22506" xr:uid="{00000000-0005-0000-0000-0000E57B0000}"/>
    <cellStyle name="Normal 4 5 6 4 5" xfId="22507" xr:uid="{00000000-0005-0000-0000-0000E67B0000}"/>
    <cellStyle name="Normal 4 5 6 4 6" xfId="22508" xr:uid="{00000000-0005-0000-0000-0000E77B0000}"/>
    <cellStyle name="Normal 4 5 6 5" xfId="22509" xr:uid="{00000000-0005-0000-0000-0000E87B0000}"/>
    <cellStyle name="Normal 4 5 6 5 2" xfId="55235" xr:uid="{00000000-0005-0000-0000-0000E97B0000}"/>
    <cellStyle name="Normal 4 5 6 5 3" xfId="55236" xr:uid="{00000000-0005-0000-0000-0000EA7B0000}"/>
    <cellStyle name="Normal 4 5 6 6" xfId="22510" xr:uid="{00000000-0005-0000-0000-0000EB7B0000}"/>
    <cellStyle name="Normal 4 5 6 6 2" xfId="55237" xr:uid="{00000000-0005-0000-0000-0000EC7B0000}"/>
    <cellStyle name="Normal 4 5 6 7" xfId="22511" xr:uid="{00000000-0005-0000-0000-0000ED7B0000}"/>
    <cellStyle name="Normal 4 5 6 8" xfId="22512" xr:uid="{00000000-0005-0000-0000-0000EE7B0000}"/>
    <cellStyle name="Normal 4 5 6 9" xfId="22513" xr:uid="{00000000-0005-0000-0000-0000EF7B0000}"/>
    <cellStyle name="Normal 4 5 7" xfId="22514" xr:uid="{00000000-0005-0000-0000-0000F07B0000}"/>
    <cellStyle name="Normal 4 5 7 2" xfId="22515" xr:uid="{00000000-0005-0000-0000-0000F17B0000}"/>
    <cellStyle name="Normal 4 5 7 2 2" xfId="22516" xr:uid="{00000000-0005-0000-0000-0000F27B0000}"/>
    <cellStyle name="Normal 4 5 7 2 2 2" xfId="22517" xr:uid="{00000000-0005-0000-0000-0000F37B0000}"/>
    <cellStyle name="Normal 4 5 7 2 2 2 2" xfId="55238" xr:uid="{00000000-0005-0000-0000-0000F47B0000}"/>
    <cellStyle name="Normal 4 5 7 2 2 2 3" xfId="55239" xr:uid="{00000000-0005-0000-0000-0000F57B0000}"/>
    <cellStyle name="Normal 4 5 7 2 2 3" xfId="22518" xr:uid="{00000000-0005-0000-0000-0000F67B0000}"/>
    <cellStyle name="Normal 4 5 7 2 2 3 2" xfId="55240" xr:uid="{00000000-0005-0000-0000-0000F77B0000}"/>
    <cellStyle name="Normal 4 5 7 2 2 4" xfId="22519" xr:uid="{00000000-0005-0000-0000-0000F87B0000}"/>
    <cellStyle name="Normal 4 5 7 2 2 5" xfId="22520" xr:uid="{00000000-0005-0000-0000-0000F97B0000}"/>
    <cellStyle name="Normal 4 5 7 2 2 6" xfId="22521" xr:uid="{00000000-0005-0000-0000-0000FA7B0000}"/>
    <cellStyle name="Normal 4 5 7 2 3" xfId="22522" xr:uid="{00000000-0005-0000-0000-0000FB7B0000}"/>
    <cellStyle name="Normal 4 5 7 2 3 2" xfId="55241" xr:uid="{00000000-0005-0000-0000-0000FC7B0000}"/>
    <cellStyle name="Normal 4 5 7 2 3 3" xfId="55242" xr:uid="{00000000-0005-0000-0000-0000FD7B0000}"/>
    <cellStyle name="Normal 4 5 7 2 4" xfId="22523" xr:uid="{00000000-0005-0000-0000-0000FE7B0000}"/>
    <cellStyle name="Normal 4 5 7 2 4 2" xfId="55243" xr:uid="{00000000-0005-0000-0000-0000FF7B0000}"/>
    <cellStyle name="Normal 4 5 7 2 5" xfId="22524" xr:uid="{00000000-0005-0000-0000-0000007C0000}"/>
    <cellStyle name="Normal 4 5 7 2 6" xfId="22525" xr:uid="{00000000-0005-0000-0000-0000017C0000}"/>
    <cellStyle name="Normal 4 5 7 2 7" xfId="22526" xr:uid="{00000000-0005-0000-0000-0000027C0000}"/>
    <cellStyle name="Normal 4 5 7 3" xfId="22527" xr:uid="{00000000-0005-0000-0000-0000037C0000}"/>
    <cellStyle name="Normal 4 5 7 3 2" xfId="22528" xr:uid="{00000000-0005-0000-0000-0000047C0000}"/>
    <cellStyle name="Normal 4 5 7 3 2 2" xfId="55244" xr:uid="{00000000-0005-0000-0000-0000057C0000}"/>
    <cellStyle name="Normal 4 5 7 3 2 3" xfId="55245" xr:uid="{00000000-0005-0000-0000-0000067C0000}"/>
    <cellStyle name="Normal 4 5 7 3 3" xfId="22529" xr:uid="{00000000-0005-0000-0000-0000077C0000}"/>
    <cellStyle name="Normal 4 5 7 3 3 2" xfId="55246" xr:uid="{00000000-0005-0000-0000-0000087C0000}"/>
    <cellStyle name="Normal 4 5 7 3 4" xfId="22530" xr:uid="{00000000-0005-0000-0000-0000097C0000}"/>
    <cellStyle name="Normal 4 5 7 3 5" xfId="22531" xr:uid="{00000000-0005-0000-0000-00000A7C0000}"/>
    <cellStyle name="Normal 4 5 7 3 6" xfId="22532" xr:uid="{00000000-0005-0000-0000-00000B7C0000}"/>
    <cellStyle name="Normal 4 5 7 4" xfId="22533" xr:uid="{00000000-0005-0000-0000-00000C7C0000}"/>
    <cellStyle name="Normal 4 5 7 4 2" xfId="55247" xr:uid="{00000000-0005-0000-0000-00000D7C0000}"/>
    <cellStyle name="Normal 4 5 7 4 3" xfId="55248" xr:uid="{00000000-0005-0000-0000-00000E7C0000}"/>
    <cellStyle name="Normal 4 5 7 5" xfId="22534" xr:uid="{00000000-0005-0000-0000-00000F7C0000}"/>
    <cellStyle name="Normal 4 5 7 5 2" xfId="55249" xr:uid="{00000000-0005-0000-0000-0000107C0000}"/>
    <cellStyle name="Normal 4 5 7 6" xfId="22535" xr:uid="{00000000-0005-0000-0000-0000117C0000}"/>
    <cellStyle name="Normal 4 5 7 7" xfId="22536" xr:uid="{00000000-0005-0000-0000-0000127C0000}"/>
    <cellStyle name="Normal 4 5 7 8" xfId="22537" xr:uid="{00000000-0005-0000-0000-0000137C0000}"/>
    <cellStyle name="Normal 4 5 7 9" xfId="22538" xr:uid="{00000000-0005-0000-0000-0000147C0000}"/>
    <cellStyle name="Normal 4 5 8" xfId="22539" xr:uid="{00000000-0005-0000-0000-0000157C0000}"/>
    <cellStyle name="Normal 4 5 8 2" xfId="22540" xr:uid="{00000000-0005-0000-0000-0000167C0000}"/>
    <cellStyle name="Normal 4 5 8 2 2" xfId="22541" xr:uid="{00000000-0005-0000-0000-0000177C0000}"/>
    <cellStyle name="Normal 4 5 8 2 2 2" xfId="22542" xr:uid="{00000000-0005-0000-0000-0000187C0000}"/>
    <cellStyle name="Normal 4 5 8 2 2 2 2" xfId="55250" xr:uid="{00000000-0005-0000-0000-0000197C0000}"/>
    <cellStyle name="Normal 4 5 8 2 2 2 3" xfId="55251" xr:uid="{00000000-0005-0000-0000-00001A7C0000}"/>
    <cellStyle name="Normal 4 5 8 2 2 3" xfId="22543" xr:uid="{00000000-0005-0000-0000-00001B7C0000}"/>
    <cellStyle name="Normal 4 5 8 2 2 3 2" xfId="55252" xr:uid="{00000000-0005-0000-0000-00001C7C0000}"/>
    <cellStyle name="Normal 4 5 8 2 2 4" xfId="22544" xr:uid="{00000000-0005-0000-0000-00001D7C0000}"/>
    <cellStyle name="Normal 4 5 8 2 2 5" xfId="22545" xr:uid="{00000000-0005-0000-0000-00001E7C0000}"/>
    <cellStyle name="Normal 4 5 8 2 2 6" xfId="22546" xr:uid="{00000000-0005-0000-0000-00001F7C0000}"/>
    <cellStyle name="Normal 4 5 8 2 3" xfId="22547" xr:uid="{00000000-0005-0000-0000-0000207C0000}"/>
    <cellStyle name="Normal 4 5 8 2 3 2" xfId="55253" xr:uid="{00000000-0005-0000-0000-0000217C0000}"/>
    <cellStyle name="Normal 4 5 8 2 3 3" xfId="55254" xr:uid="{00000000-0005-0000-0000-0000227C0000}"/>
    <cellStyle name="Normal 4 5 8 2 4" xfId="22548" xr:uid="{00000000-0005-0000-0000-0000237C0000}"/>
    <cellStyle name="Normal 4 5 8 2 4 2" xfId="55255" xr:uid="{00000000-0005-0000-0000-0000247C0000}"/>
    <cellStyle name="Normal 4 5 8 2 5" xfId="22549" xr:uid="{00000000-0005-0000-0000-0000257C0000}"/>
    <cellStyle name="Normal 4 5 8 2 6" xfId="22550" xr:uid="{00000000-0005-0000-0000-0000267C0000}"/>
    <cellStyle name="Normal 4 5 8 2 7" xfId="22551" xr:uid="{00000000-0005-0000-0000-0000277C0000}"/>
    <cellStyle name="Normal 4 5 8 3" xfId="22552" xr:uid="{00000000-0005-0000-0000-0000287C0000}"/>
    <cellStyle name="Normal 4 5 8 3 2" xfId="22553" xr:uid="{00000000-0005-0000-0000-0000297C0000}"/>
    <cellStyle name="Normal 4 5 8 3 2 2" xfId="55256" xr:uid="{00000000-0005-0000-0000-00002A7C0000}"/>
    <cellStyle name="Normal 4 5 8 3 2 3" xfId="55257" xr:uid="{00000000-0005-0000-0000-00002B7C0000}"/>
    <cellStyle name="Normal 4 5 8 3 3" xfId="22554" xr:uid="{00000000-0005-0000-0000-00002C7C0000}"/>
    <cellStyle name="Normal 4 5 8 3 3 2" xfId="55258" xr:uid="{00000000-0005-0000-0000-00002D7C0000}"/>
    <cellStyle name="Normal 4 5 8 3 4" xfId="22555" xr:uid="{00000000-0005-0000-0000-00002E7C0000}"/>
    <cellStyle name="Normal 4 5 8 3 5" xfId="22556" xr:uid="{00000000-0005-0000-0000-00002F7C0000}"/>
    <cellStyle name="Normal 4 5 8 3 6" xfId="22557" xr:uid="{00000000-0005-0000-0000-0000307C0000}"/>
    <cellStyle name="Normal 4 5 8 4" xfId="22558" xr:uid="{00000000-0005-0000-0000-0000317C0000}"/>
    <cellStyle name="Normal 4 5 8 4 2" xfId="55259" xr:uid="{00000000-0005-0000-0000-0000327C0000}"/>
    <cellStyle name="Normal 4 5 8 4 3" xfId="55260" xr:uid="{00000000-0005-0000-0000-0000337C0000}"/>
    <cellStyle name="Normal 4 5 8 5" xfId="22559" xr:uid="{00000000-0005-0000-0000-0000347C0000}"/>
    <cellStyle name="Normal 4 5 8 5 2" xfId="55261" xr:uid="{00000000-0005-0000-0000-0000357C0000}"/>
    <cellStyle name="Normal 4 5 8 6" xfId="22560" xr:uid="{00000000-0005-0000-0000-0000367C0000}"/>
    <cellStyle name="Normal 4 5 8 7" xfId="22561" xr:uid="{00000000-0005-0000-0000-0000377C0000}"/>
    <cellStyle name="Normal 4 5 8 8" xfId="22562" xr:uid="{00000000-0005-0000-0000-0000387C0000}"/>
    <cellStyle name="Normal 4 5 9" xfId="22563" xr:uid="{00000000-0005-0000-0000-0000397C0000}"/>
    <cellStyle name="Normal 4 5 9 2" xfId="22564" xr:uid="{00000000-0005-0000-0000-00003A7C0000}"/>
    <cellStyle name="Normal 4 5 9 2 2" xfId="22565" xr:uid="{00000000-0005-0000-0000-00003B7C0000}"/>
    <cellStyle name="Normal 4 5 9 2 2 2" xfId="22566" xr:uid="{00000000-0005-0000-0000-00003C7C0000}"/>
    <cellStyle name="Normal 4 5 9 2 2 2 2" xfId="55262" xr:uid="{00000000-0005-0000-0000-00003D7C0000}"/>
    <cellStyle name="Normal 4 5 9 2 2 2 3" xfId="55263" xr:uid="{00000000-0005-0000-0000-00003E7C0000}"/>
    <cellStyle name="Normal 4 5 9 2 2 3" xfId="22567" xr:uid="{00000000-0005-0000-0000-00003F7C0000}"/>
    <cellStyle name="Normal 4 5 9 2 2 3 2" xfId="55264" xr:uid="{00000000-0005-0000-0000-0000407C0000}"/>
    <cellStyle name="Normal 4 5 9 2 2 4" xfId="22568" xr:uid="{00000000-0005-0000-0000-0000417C0000}"/>
    <cellStyle name="Normal 4 5 9 2 2 5" xfId="22569" xr:uid="{00000000-0005-0000-0000-0000427C0000}"/>
    <cellStyle name="Normal 4 5 9 2 2 6" xfId="22570" xr:uid="{00000000-0005-0000-0000-0000437C0000}"/>
    <cellStyle name="Normal 4 5 9 2 3" xfId="22571" xr:uid="{00000000-0005-0000-0000-0000447C0000}"/>
    <cellStyle name="Normal 4 5 9 2 3 2" xfId="55265" xr:uid="{00000000-0005-0000-0000-0000457C0000}"/>
    <cellStyle name="Normal 4 5 9 2 3 3" xfId="55266" xr:uid="{00000000-0005-0000-0000-0000467C0000}"/>
    <cellStyle name="Normal 4 5 9 2 4" xfId="22572" xr:uid="{00000000-0005-0000-0000-0000477C0000}"/>
    <cellStyle name="Normal 4 5 9 2 4 2" xfId="55267" xr:uid="{00000000-0005-0000-0000-0000487C0000}"/>
    <cellStyle name="Normal 4 5 9 2 5" xfId="22573" xr:uid="{00000000-0005-0000-0000-0000497C0000}"/>
    <cellStyle name="Normal 4 5 9 2 6" xfId="22574" xr:uid="{00000000-0005-0000-0000-00004A7C0000}"/>
    <cellStyle name="Normal 4 5 9 2 7" xfId="22575" xr:uid="{00000000-0005-0000-0000-00004B7C0000}"/>
    <cellStyle name="Normal 4 5 9 3" xfId="22576" xr:uid="{00000000-0005-0000-0000-00004C7C0000}"/>
    <cellStyle name="Normal 4 5 9 3 2" xfId="22577" xr:uid="{00000000-0005-0000-0000-00004D7C0000}"/>
    <cellStyle name="Normal 4 5 9 3 2 2" xfId="55268" xr:uid="{00000000-0005-0000-0000-00004E7C0000}"/>
    <cellStyle name="Normal 4 5 9 3 2 3" xfId="55269" xr:uid="{00000000-0005-0000-0000-00004F7C0000}"/>
    <cellStyle name="Normal 4 5 9 3 3" xfId="22578" xr:uid="{00000000-0005-0000-0000-0000507C0000}"/>
    <cellStyle name="Normal 4 5 9 3 3 2" xfId="55270" xr:uid="{00000000-0005-0000-0000-0000517C0000}"/>
    <cellStyle name="Normal 4 5 9 3 4" xfId="22579" xr:uid="{00000000-0005-0000-0000-0000527C0000}"/>
    <cellStyle name="Normal 4 5 9 3 5" xfId="22580" xr:uid="{00000000-0005-0000-0000-0000537C0000}"/>
    <cellStyle name="Normal 4 5 9 3 6" xfId="22581" xr:uid="{00000000-0005-0000-0000-0000547C0000}"/>
    <cellStyle name="Normal 4 5 9 4" xfId="22582" xr:uid="{00000000-0005-0000-0000-0000557C0000}"/>
    <cellStyle name="Normal 4 5 9 4 2" xfId="55271" xr:uid="{00000000-0005-0000-0000-0000567C0000}"/>
    <cellStyle name="Normal 4 5 9 4 3" xfId="55272" xr:uid="{00000000-0005-0000-0000-0000577C0000}"/>
    <cellStyle name="Normal 4 5 9 5" xfId="22583" xr:uid="{00000000-0005-0000-0000-0000587C0000}"/>
    <cellStyle name="Normal 4 5 9 5 2" xfId="55273" xr:uid="{00000000-0005-0000-0000-0000597C0000}"/>
    <cellStyle name="Normal 4 5 9 6" xfId="22584" xr:uid="{00000000-0005-0000-0000-00005A7C0000}"/>
    <cellStyle name="Normal 4 5 9 7" xfId="22585" xr:uid="{00000000-0005-0000-0000-00005B7C0000}"/>
    <cellStyle name="Normal 4 5 9 8" xfId="22586" xr:uid="{00000000-0005-0000-0000-00005C7C0000}"/>
    <cellStyle name="Normal 4 6" xfId="22587" xr:uid="{00000000-0005-0000-0000-00005D7C0000}"/>
    <cellStyle name="Normal 4 6 10" xfId="22588" xr:uid="{00000000-0005-0000-0000-00005E7C0000}"/>
    <cellStyle name="Normal 4 6 10 2" xfId="22589" xr:uid="{00000000-0005-0000-0000-00005F7C0000}"/>
    <cellStyle name="Normal 4 6 10 2 2" xfId="22590" xr:uid="{00000000-0005-0000-0000-0000607C0000}"/>
    <cellStyle name="Normal 4 6 10 2 2 2" xfId="55274" xr:uid="{00000000-0005-0000-0000-0000617C0000}"/>
    <cellStyle name="Normal 4 6 10 2 2 3" xfId="55275" xr:uid="{00000000-0005-0000-0000-0000627C0000}"/>
    <cellStyle name="Normal 4 6 10 2 3" xfId="22591" xr:uid="{00000000-0005-0000-0000-0000637C0000}"/>
    <cellStyle name="Normal 4 6 10 2 3 2" xfId="55276" xr:uid="{00000000-0005-0000-0000-0000647C0000}"/>
    <cellStyle name="Normal 4 6 10 2 4" xfId="22592" xr:uid="{00000000-0005-0000-0000-0000657C0000}"/>
    <cellStyle name="Normal 4 6 10 2 5" xfId="22593" xr:uid="{00000000-0005-0000-0000-0000667C0000}"/>
    <cellStyle name="Normal 4 6 10 2 6" xfId="22594" xr:uid="{00000000-0005-0000-0000-0000677C0000}"/>
    <cellStyle name="Normal 4 6 10 3" xfId="22595" xr:uid="{00000000-0005-0000-0000-0000687C0000}"/>
    <cellStyle name="Normal 4 6 10 3 2" xfId="55277" xr:uid="{00000000-0005-0000-0000-0000697C0000}"/>
    <cellStyle name="Normal 4 6 10 3 3" xfId="55278" xr:uid="{00000000-0005-0000-0000-00006A7C0000}"/>
    <cellStyle name="Normal 4 6 10 4" xfId="22596" xr:uid="{00000000-0005-0000-0000-00006B7C0000}"/>
    <cellStyle name="Normal 4 6 10 4 2" xfId="55279" xr:uid="{00000000-0005-0000-0000-00006C7C0000}"/>
    <cellStyle name="Normal 4 6 10 5" xfId="22597" xr:uid="{00000000-0005-0000-0000-00006D7C0000}"/>
    <cellStyle name="Normal 4 6 10 6" xfId="22598" xr:uid="{00000000-0005-0000-0000-00006E7C0000}"/>
    <cellStyle name="Normal 4 6 10 7" xfId="22599" xr:uid="{00000000-0005-0000-0000-00006F7C0000}"/>
    <cellStyle name="Normal 4 6 11" xfId="22600" xr:uid="{00000000-0005-0000-0000-0000707C0000}"/>
    <cellStyle name="Normal 4 6 11 2" xfId="22601" xr:uid="{00000000-0005-0000-0000-0000717C0000}"/>
    <cellStyle name="Normal 4 6 11 2 2" xfId="55280" xr:uid="{00000000-0005-0000-0000-0000727C0000}"/>
    <cellStyle name="Normal 4 6 11 2 3" xfId="55281" xr:uid="{00000000-0005-0000-0000-0000737C0000}"/>
    <cellStyle name="Normal 4 6 11 3" xfId="22602" xr:uid="{00000000-0005-0000-0000-0000747C0000}"/>
    <cellStyle name="Normal 4 6 11 3 2" xfId="55282" xr:uid="{00000000-0005-0000-0000-0000757C0000}"/>
    <cellStyle name="Normal 4 6 11 4" xfId="22603" xr:uid="{00000000-0005-0000-0000-0000767C0000}"/>
    <cellStyle name="Normal 4 6 11 5" xfId="22604" xr:uid="{00000000-0005-0000-0000-0000777C0000}"/>
    <cellStyle name="Normal 4 6 11 6" xfId="22605" xr:uid="{00000000-0005-0000-0000-0000787C0000}"/>
    <cellStyle name="Normal 4 6 12" xfId="22606" xr:uid="{00000000-0005-0000-0000-0000797C0000}"/>
    <cellStyle name="Normal 4 6 12 2" xfId="55283" xr:uid="{00000000-0005-0000-0000-00007A7C0000}"/>
    <cellStyle name="Normal 4 6 12 3" xfId="55284" xr:uid="{00000000-0005-0000-0000-00007B7C0000}"/>
    <cellStyle name="Normal 4 6 13" xfId="22607" xr:uid="{00000000-0005-0000-0000-00007C7C0000}"/>
    <cellStyle name="Normal 4 6 13 2" xfId="55285" xr:uid="{00000000-0005-0000-0000-00007D7C0000}"/>
    <cellStyle name="Normal 4 6 14" xfId="22608" xr:uid="{00000000-0005-0000-0000-00007E7C0000}"/>
    <cellStyle name="Normal 4 6 14 2" xfId="55286" xr:uid="{00000000-0005-0000-0000-00007F7C0000}"/>
    <cellStyle name="Normal 4 6 15" xfId="22609" xr:uid="{00000000-0005-0000-0000-0000807C0000}"/>
    <cellStyle name="Normal 4 6 16" xfId="22610" xr:uid="{00000000-0005-0000-0000-0000817C0000}"/>
    <cellStyle name="Normal 4 6 17" xfId="22611" xr:uid="{00000000-0005-0000-0000-0000827C0000}"/>
    <cellStyle name="Normal 4 6 18" xfId="22612" xr:uid="{00000000-0005-0000-0000-0000837C0000}"/>
    <cellStyle name="Normal 4 6 19" xfId="22613" xr:uid="{00000000-0005-0000-0000-0000847C0000}"/>
    <cellStyle name="Normal 4 6 2" xfId="22614" xr:uid="{00000000-0005-0000-0000-0000857C0000}"/>
    <cellStyle name="Normal 4 6 2 10" xfId="22615" xr:uid="{00000000-0005-0000-0000-0000867C0000}"/>
    <cellStyle name="Normal 4 6 2 11" xfId="22616" xr:uid="{00000000-0005-0000-0000-0000877C0000}"/>
    <cellStyle name="Normal 4 6 2 12" xfId="22617" xr:uid="{00000000-0005-0000-0000-0000887C0000}"/>
    <cellStyle name="Normal 4 6 2 13" xfId="22618" xr:uid="{00000000-0005-0000-0000-0000897C0000}"/>
    <cellStyle name="Normal 4 6 2 14" xfId="22619" xr:uid="{00000000-0005-0000-0000-00008A7C0000}"/>
    <cellStyle name="Normal 4 6 2 15" xfId="22620" xr:uid="{00000000-0005-0000-0000-00008B7C0000}"/>
    <cellStyle name="Normal 4 6 2 2" xfId="22621" xr:uid="{00000000-0005-0000-0000-00008C7C0000}"/>
    <cellStyle name="Normal 4 6 2 2 10" xfId="22622" xr:uid="{00000000-0005-0000-0000-00008D7C0000}"/>
    <cellStyle name="Normal 4 6 2 2 11" xfId="22623" xr:uid="{00000000-0005-0000-0000-00008E7C0000}"/>
    <cellStyle name="Normal 4 6 2 2 12" xfId="22624" xr:uid="{00000000-0005-0000-0000-00008F7C0000}"/>
    <cellStyle name="Normal 4 6 2 2 13" xfId="22625" xr:uid="{00000000-0005-0000-0000-0000907C0000}"/>
    <cellStyle name="Normal 4 6 2 2 14" xfId="22626" xr:uid="{00000000-0005-0000-0000-0000917C0000}"/>
    <cellStyle name="Normal 4 6 2 2 2" xfId="22627" xr:uid="{00000000-0005-0000-0000-0000927C0000}"/>
    <cellStyle name="Normal 4 6 2 2 2 2" xfId="22628" xr:uid="{00000000-0005-0000-0000-0000937C0000}"/>
    <cellStyle name="Normal 4 6 2 2 2 2 2" xfId="22629" xr:uid="{00000000-0005-0000-0000-0000947C0000}"/>
    <cellStyle name="Normal 4 6 2 2 2 2 2 2" xfId="22630" xr:uid="{00000000-0005-0000-0000-0000957C0000}"/>
    <cellStyle name="Normal 4 6 2 2 2 2 2 2 2" xfId="55287" xr:uid="{00000000-0005-0000-0000-0000967C0000}"/>
    <cellStyle name="Normal 4 6 2 2 2 2 2 2 3" xfId="55288" xr:uid="{00000000-0005-0000-0000-0000977C0000}"/>
    <cellStyle name="Normal 4 6 2 2 2 2 2 3" xfId="22631" xr:uid="{00000000-0005-0000-0000-0000987C0000}"/>
    <cellStyle name="Normal 4 6 2 2 2 2 2 3 2" xfId="55289" xr:uid="{00000000-0005-0000-0000-0000997C0000}"/>
    <cellStyle name="Normal 4 6 2 2 2 2 2 4" xfId="22632" xr:uid="{00000000-0005-0000-0000-00009A7C0000}"/>
    <cellStyle name="Normal 4 6 2 2 2 2 2 5" xfId="22633" xr:uid="{00000000-0005-0000-0000-00009B7C0000}"/>
    <cellStyle name="Normal 4 6 2 2 2 2 2 6" xfId="22634" xr:uid="{00000000-0005-0000-0000-00009C7C0000}"/>
    <cellStyle name="Normal 4 6 2 2 2 2 3" xfId="22635" xr:uid="{00000000-0005-0000-0000-00009D7C0000}"/>
    <cellStyle name="Normal 4 6 2 2 2 2 3 2" xfId="55290" xr:uid="{00000000-0005-0000-0000-00009E7C0000}"/>
    <cellStyle name="Normal 4 6 2 2 2 2 3 3" xfId="55291" xr:uid="{00000000-0005-0000-0000-00009F7C0000}"/>
    <cellStyle name="Normal 4 6 2 2 2 2 4" xfId="22636" xr:uid="{00000000-0005-0000-0000-0000A07C0000}"/>
    <cellStyle name="Normal 4 6 2 2 2 2 4 2" xfId="55292" xr:uid="{00000000-0005-0000-0000-0000A17C0000}"/>
    <cellStyle name="Normal 4 6 2 2 2 2 5" xfId="22637" xr:uid="{00000000-0005-0000-0000-0000A27C0000}"/>
    <cellStyle name="Normal 4 6 2 2 2 2 6" xfId="22638" xr:uid="{00000000-0005-0000-0000-0000A37C0000}"/>
    <cellStyle name="Normal 4 6 2 2 2 2 7" xfId="22639" xr:uid="{00000000-0005-0000-0000-0000A47C0000}"/>
    <cellStyle name="Normal 4 6 2 2 2 3" xfId="22640" xr:uid="{00000000-0005-0000-0000-0000A57C0000}"/>
    <cellStyle name="Normal 4 6 2 2 2 3 2" xfId="22641" xr:uid="{00000000-0005-0000-0000-0000A67C0000}"/>
    <cellStyle name="Normal 4 6 2 2 2 3 2 2" xfId="55293" xr:uid="{00000000-0005-0000-0000-0000A77C0000}"/>
    <cellStyle name="Normal 4 6 2 2 2 3 2 3" xfId="55294" xr:uid="{00000000-0005-0000-0000-0000A87C0000}"/>
    <cellStyle name="Normal 4 6 2 2 2 3 3" xfId="22642" xr:uid="{00000000-0005-0000-0000-0000A97C0000}"/>
    <cellStyle name="Normal 4 6 2 2 2 3 3 2" xfId="55295" xr:uid="{00000000-0005-0000-0000-0000AA7C0000}"/>
    <cellStyle name="Normal 4 6 2 2 2 3 4" xfId="22643" xr:uid="{00000000-0005-0000-0000-0000AB7C0000}"/>
    <cellStyle name="Normal 4 6 2 2 2 3 5" xfId="22644" xr:uid="{00000000-0005-0000-0000-0000AC7C0000}"/>
    <cellStyle name="Normal 4 6 2 2 2 3 6" xfId="22645" xr:uid="{00000000-0005-0000-0000-0000AD7C0000}"/>
    <cellStyle name="Normal 4 6 2 2 2 4" xfId="22646" xr:uid="{00000000-0005-0000-0000-0000AE7C0000}"/>
    <cellStyle name="Normal 4 6 2 2 2 4 2" xfId="55296" xr:uid="{00000000-0005-0000-0000-0000AF7C0000}"/>
    <cellStyle name="Normal 4 6 2 2 2 4 3" xfId="55297" xr:uid="{00000000-0005-0000-0000-0000B07C0000}"/>
    <cellStyle name="Normal 4 6 2 2 2 5" xfId="22647" xr:uid="{00000000-0005-0000-0000-0000B17C0000}"/>
    <cellStyle name="Normal 4 6 2 2 2 5 2" xfId="55298" xr:uid="{00000000-0005-0000-0000-0000B27C0000}"/>
    <cellStyle name="Normal 4 6 2 2 2 6" xfId="22648" xr:uid="{00000000-0005-0000-0000-0000B37C0000}"/>
    <cellStyle name="Normal 4 6 2 2 2 7" xfId="22649" xr:uid="{00000000-0005-0000-0000-0000B47C0000}"/>
    <cellStyle name="Normal 4 6 2 2 2 8" xfId="22650" xr:uid="{00000000-0005-0000-0000-0000B57C0000}"/>
    <cellStyle name="Normal 4 6 2 2 2 9" xfId="22651" xr:uid="{00000000-0005-0000-0000-0000B67C0000}"/>
    <cellStyle name="Normal 4 6 2 2 3" xfId="22652" xr:uid="{00000000-0005-0000-0000-0000B77C0000}"/>
    <cellStyle name="Normal 4 6 2 2 3 2" xfId="22653" xr:uid="{00000000-0005-0000-0000-0000B87C0000}"/>
    <cellStyle name="Normal 4 6 2 2 3 2 2" xfId="22654" xr:uid="{00000000-0005-0000-0000-0000B97C0000}"/>
    <cellStyle name="Normal 4 6 2 2 3 2 2 2" xfId="22655" xr:uid="{00000000-0005-0000-0000-0000BA7C0000}"/>
    <cellStyle name="Normal 4 6 2 2 3 2 2 2 2" xfId="55299" xr:uid="{00000000-0005-0000-0000-0000BB7C0000}"/>
    <cellStyle name="Normal 4 6 2 2 3 2 2 2 3" xfId="55300" xr:uid="{00000000-0005-0000-0000-0000BC7C0000}"/>
    <cellStyle name="Normal 4 6 2 2 3 2 2 3" xfId="22656" xr:uid="{00000000-0005-0000-0000-0000BD7C0000}"/>
    <cellStyle name="Normal 4 6 2 2 3 2 2 3 2" xfId="55301" xr:uid="{00000000-0005-0000-0000-0000BE7C0000}"/>
    <cellStyle name="Normal 4 6 2 2 3 2 2 4" xfId="22657" xr:uid="{00000000-0005-0000-0000-0000BF7C0000}"/>
    <cellStyle name="Normal 4 6 2 2 3 2 2 5" xfId="22658" xr:uid="{00000000-0005-0000-0000-0000C07C0000}"/>
    <cellStyle name="Normal 4 6 2 2 3 2 2 6" xfId="22659" xr:uid="{00000000-0005-0000-0000-0000C17C0000}"/>
    <cellStyle name="Normal 4 6 2 2 3 2 3" xfId="22660" xr:uid="{00000000-0005-0000-0000-0000C27C0000}"/>
    <cellStyle name="Normal 4 6 2 2 3 2 3 2" xfId="55302" xr:uid="{00000000-0005-0000-0000-0000C37C0000}"/>
    <cellStyle name="Normal 4 6 2 2 3 2 3 3" xfId="55303" xr:uid="{00000000-0005-0000-0000-0000C47C0000}"/>
    <cellStyle name="Normal 4 6 2 2 3 2 4" xfId="22661" xr:uid="{00000000-0005-0000-0000-0000C57C0000}"/>
    <cellStyle name="Normal 4 6 2 2 3 2 4 2" xfId="55304" xr:uid="{00000000-0005-0000-0000-0000C67C0000}"/>
    <cellStyle name="Normal 4 6 2 2 3 2 5" xfId="22662" xr:uid="{00000000-0005-0000-0000-0000C77C0000}"/>
    <cellStyle name="Normal 4 6 2 2 3 2 6" xfId="22663" xr:uid="{00000000-0005-0000-0000-0000C87C0000}"/>
    <cellStyle name="Normal 4 6 2 2 3 2 7" xfId="22664" xr:uid="{00000000-0005-0000-0000-0000C97C0000}"/>
    <cellStyle name="Normal 4 6 2 2 3 3" xfId="22665" xr:uid="{00000000-0005-0000-0000-0000CA7C0000}"/>
    <cellStyle name="Normal 4 6 2 2 3 3 2" xfId="22666" xr:uid="{00000000-0005-0000-0000-0000CB7C0000}"/>
    <cellStyle name="Normal 4 6 2 2 3 3 2 2" xfId="55305" xr:uid="{00000000-0005-0000-0000-0000CC7C0000}"/>
    <cellStyle name="Normal 4 6 2 2 3 3 2 3" xfId="55306" xr:uid="{00000000-0005-0000-0000-0000CD7C0000}"/>
    <cellStyle name="Normal 4 6 2 2 3 3 3" xfId="22667" xr:uid="{00000000-0005-0000-0000-0000CE7C0000}"/>
    <cellStyle name="Normal 4 6 2 2 3 3 3 2" xfId="55307" xr:uid="{00000000-0005-0000-0000-0000CF7C0000}"/>
    <cellStyle name="Normal 4 6 2 2 3 3 4" xfId="22668" xr:uid="{00000000-0005-0000-0000-0000D07C0000}"/>
    <cellStyle name="Normal 4 6 2 2 3 3 5" xfId="22669" xr:uid="{00000000-0005-0000-0000-0000D17C0000}"/>
    <cellStyle name="Normal 4 6 2 2 3 3 6" xfId="22670" xr:uid="{00000000-0005-0000-0000-0000D27C0000}"/>
    <cellStyle name="Normal 4 6 2 2 3 4" xfId="22671" xr:uid="{00000000-0005-0000-0000-0000D37C0000}"/>
    <cellStyle name="Normal 4 6 2 2 3 4 2" xfId="55308" xr:uid="{00000000-0005-0000-0000-0000D47C0000}"/>
    <cellStyle name="Normal 4 6 2 2 3 4 3" xfId="55309" xr:uid="{00000000-0005-0000-0000-0000D57C0000}"/>
    <cellStyle name="Normal 4 6 2 2 3 5" xfId="22672" xr:uid="{00000000-0005-0000-0000-0000D67C0000}"/>
    <cellStyle name="Normal 4 6 2 2 3 5 2" xfId="55310" xr:uid="{00000000-0005-0000-0000-0000D77C0000}"/>
    <cellStyle name="Normal 4 6 2 2 3 6" xfId="22673" xr:uid="{00000000-0005-0000-0000-0000D87C0000}"/>
    <cellStyle name="Normal 4 6 2 2 3 7" xfId="22674" xr:uid="{00000000-0005-0000-0000-0000D97C0000}"/>
    <cellStyle name="Normal 4 6 2 2 3 8" xfId="22675" xr:uid="{00000000-0005-0000-0000-0000DA7C0000}"/>
    <cellStyle name="Normal 4 6 2 2 4" xfId="22676" xr:uid="{00000000-0005-0000-0000-0000DB7C0000}"/>
    <cellStyle name="Normal 4 6 2 2 4 2" xfId="22677" xr:uid="{00000000-0005-0000-0000-0000DC7C0000}"/>
    <cellStyle name="Normal 4 6 2 2 4 2 2" xfId="22678" xr:uid="{00000000-0005-0000-0000-0000DD7C0000}"/>
    <cellStyle name="Normal 4 6 2 2 4 2 2 2" xfId="55311" xr:uid="{00000000-0005-0000-0000-0000DE7C0000}"/>
    <cellStyle name="Normal 4 6 2 2 4 2 2 3" xfId="55312" xr:uid="{00000000-0005-0000-0000-0000DF7C0000}"/>
    <cellStyle name="Normal 4 6 2 2 4 2 3" xfId="22679" xr:uid="{00000000-0005-0000-0000-0000E07C0000}"/>
    <cellStyle name="Normal 4 6 2 2 4 2 3 2" xfId="55313" xr:uid="{00000000-0005-0000-0000-0000E17C0000}"/>
    <cellStyle name="Normal 4 6 2 2 4 2 4" xfId="22680" xr:uid="{00000000-0005-0000-0000-0000E27C0000}"/>
    <cellStyle name="Normal 4 6 2 2 4 2 5" xfId="22681" xr:uid="{00000000-0005-0000-0000-0000E37C0000}"/>
    <cellStyle name="Normal 4 6 2 2 4 2 6" xfId="22682" xr:uid="{00000000-0005-0000-0000-0000E47C0000}"/>
    <cellStyle name="Normal 4 6 2 2 4 3" xfId="22683" xr:uid="{00000000-0005-0000-0000-0000E57C0000}"/>
    <cellStyle name="Normal 4 6 2 2 4 3 2" xfId="55314" xr:uid="{00000000-0005-0000-0000-0000E67C0000}"/>
    <cellStyle name="Normal 4 6 2 2 4 3 3" xfId="55315" xr:uid="{00000000-0005-0000-0000-0000E77C0000}"/>
    <cellStyle name="Normal 4 6 2 2 4 4" xfId="22684" xr:uid="{00000000-0005-0000-0000-0000E87C0000}"/>
    <cellStyle name="Normal 4 6 2 2 4 4 2" xfId="55316" xr:uid="{00000000-0005-0000-0000-0000E97C0000}"/>
    <cellStyle name="Normal 4 6 2 2 4 5" xfId="22685" xr:uid="{00000000-0005-0000-0000-0000EA7C0000}"/>
    <cellStyle name="Normal 4 6 2 2 4 6" xfId="22686" xr:uid="{00000000-0005-0000-0000-0000EB7C0000}"/>
    <cellStyle name="Normal 4 6 2 2 4 7" xfId="22687" xr:uid="{00000000-0005-0000-0000-0000EC7C0000}"/>
    <cellStyle name="Normal 4 6 2 2 5" xfId="22688" xr:uid="{00000000-0005-0000-0000-0000ED7C0000}"/>
    <cellStyle name="Normal 4 6 2 2 5 2" xfId="22689" xr:uid="{00000000-0005-0000-0000-0000EE7C0000}"/>
    <cellStyle name="Normal 4 6 2 2 5 2 2" xfId="55317" xr:uid="{00000000-0005-0000-0000-0000EF7C0000}"/>
    <cellStyle name="Normal 4 6 2 2 5 2 3" xfId="55318" xr:uid="{00000000-0005-0000-0000-0000F07C0000}"/>
    <cellStyle name="Normal 4 6 2 2 5 3" xfId="22690" xr:uid="{00000000-0005-0000-0000-0000F17C0000}"/>
    <cellStyle name="Normal 4 6 2 2 5 3 2" xfId="55319" xr:uid="{00000000-0005-0000-0000-0000F27C0000}"/>
    <cellStyle name="Normal 4 6 2 2 5 4" xfId="22691" xr:uid="{00000000-0005-0000-0000-0000F37C0000}"/>
    <cellStyle name="Normal 4 6 2 2 5 5" xfId="22692" xr:uid="{00000000-0005-0000-0000-0000F47C0000}"/>
    <cellStyle name="Normal 4 6 2 2 5 6" xfId="22693" xr:uid="{00000000-0005-0000-0000-0000F57C0000}"/>
    <cellStyle name="Normal 4 6 2 2 6" xfId="22694" xr:uid="{00000000-0005-0000-0000-0000F67C0000}"/>
    <cellStyle name="Normal 4 6 2 2 6 2" xfId="55320" xr:uid="{00000000-0005-0000-0000-0000F77C0000}"/>
    <cellStyle name="Normal 4 6 2 2 6 3" xfId="55321" xr:uid="{00000000-0005-0000-0000-0000F87C0000}"/>
    <cellStyle name="Normal 4 6 2 2 7" xfId="22695" xr:uid="{00000000-0005-0000-0000-0000F97C0000}"/>
    <cellStyle name="Normal 4 6 2 2 7 2" xfId="55322" xr:uid="{00000000-0005-0000-0000-0000FA7C0000}"/>
    <cellStyle name="Normal 4 6 2 2 8" xfId="22696" xr:uid="{00000000-0005-0000-0000-0000FB7C0000}"/>
    <cellStyle name="Normal 4 6 2 2 9" xfId="22697" xr:uid="{00000000-0005-0000-0000-0000FC7C0000}"/>
    <cellStyle name="Normal 4 6 2 3" xfId="22698" xr:uid="{00000000-0005-0000-0000-0000FD7C0000}"/>
    <cellStyle name="Normal 4 6 2 3 2" xfId="22699" xr:uid="{00000000-0005-0000-0000-0000FE7C0000}"/>
    <cellStyle name="Normal 4 6 2 3 2 2" xfId="22700" xr:uid="{00000000-0005-0000-0000-0000FF7C0000}"/>
    <cellStyle name="Normal 4 6 2 3 2 2 2" xfId="22701" xr:uid="{00000000-0005-0000-0000-0000007D0000}"/>
    <cellStyle name="Normal 4 6 2 3 2 2 2 2" xfId="55323" xr:uid="{00000000-0005-0000-0000-0000017D0000}"/>
    <cellStyle name="Normal 4 6 2 3 2 2 2 3" xfId="55324" xr:uid="{00000000-0005-0000-0000-0000027D0000}"/>
    <cellStyle name="Normal 4 6 2 3 2 2 3" xfId="22702" xr:uid="{00000000-0005-0000-0000-0000037D0000}"/>
    <cellStyle name="Normal 4 6 2 3 2 2 3 2" xfId="55325" xr:uid="{00000000-0005-0000-0000-0000047D0000}"/>
    <cellStyle name="Normal 4 6 2 3 2 2 4" xfId="22703" xr:uid="{00000000-0005-0000-0000-0000057D0000}"/>
    <cellStyle name="Normal 4 6 2 3 2 2 5" xfId="22704" xr:uid="{00000000-0005-0000-0000-0000067D0000}"/>
    <cellStyle name="Normal 4 6 2 3 2 2 6" xfId="22705" xr:uid="{00000000-0005-0000-0000-0000077D0000}"/>
    <cellStyle name="Normal 4 6 2 3 2 3" xfId="22706" xr:uid="{00000000-0005-0000-0000-0000087D0000}"/>
    <cellStyle name="Normal 4 6 2 3 2 3 2" xfId="55326" xr:uid="{00000000-0005-0000-0000-0000097D0000}"/>
    <cellStyle name="Normal 4 6 2 3 2 3 3" xfId="55327" xr:uid="{00000000-0005-0000-0000-00000A7D0000}"/>
    <cellStyle name="Normal 4 6 2 3 2 4" xfId="22707" xr:uid="{00000000-0005-0000-0000-00000B7D0000}"/>
    <cellStyle name="Normal 4 6 2 3 2 4 2" xfId="55328" xr:uid="{00000000-0005-0000-0000-00000C7D0000}"/>
    <cellStyle name="Normal 4 6 2 3 2 5" xfId="22708" xr:uid="{00000000-0005-0000-0000-00000D7D0000}"/>
    <cellStyle name="Normal 4 6 2 3 2 6" xfId="22709" xr:uid="{00000000-0005-0000-0000-00000E7D0000}"/>
    <cellStyle name="Normal 4 6 2 3 2 7" xfId="22710" xr:uid="{00000000-0005-0000-0000-00000F7D0000}"/>
    <cellStyle name="Normal 4 6 2 3 3" xfId="22711" xr:uid="{00000000-0005-0000-0000-0000107D0000}"/>
    <cellStyle name="Normal 4 6 2 3 3 2" xfId="22712" xr:uid="{00000000-0005-0000-0000-0000117D0000}"/>
    <cellStyle name="Normal 4 6 2 3 3 2 2" xfId="55329" xr:uid="{00000000-0005-0000-0000-0000127D0000}"/>
    <cellStyle name="Normal 4 6 2 3 3 2 3" xfId="55330" xr:uid="{00000000-0005-0000-0000-0000137D0000}"/>
    <cellStyle name="Normal 4 6 2 3 3 3" xfId="22713" xr:uid="{00000000-0005-0000-0000-0000147D0000}"/>
    <cellStyle name="Normal 4 6 2 3 3 3 2" xfId="55331" xr:uid="{00000000-0005-0000-0000-0000157D0000}"/>
    <cellStyle name="Normal 4 6 2 3 3 4" xfId="22714" xr:uid="{00000000-0005-0000-0000-0000167D0000}"/>
    <cellStyle name="Normal 4 6 2 3 3 5" xfId="22715" xr:uid="{00000000-0005-0000-0000-0000177D0000}"/>
    <cellStyle name="Normal 4 6 2 3 3 6" xfId="22716" xr:uid="{00000000-0005-0000-0000-0000187D0000}"/>
    <cellStyle name="Normal 4 6 2 3 4" xfId="22717" xr:uid="{00000000-0005-0000-0000-0000197D0000}"/>
    <cellStyle name="Normal 4 6 2 3 4 2" xfId="55332" xr:uid="{00000000-0005-0000-0000-00001A7D0000}"/>
    <cellStyle name="Normal 4 6 2 3 4 3" xfId="55333" xr:uid="{00000000-0005-0000-0000-00001B7D0000}"/>
    <cellStyle name="Normal 4 6 2 3 5" xfId="22718" xr:uid="{00000000-0005-0000-0000-00001C7D0000}"/>
    <cellStyle name="Normal 4 6 2 3 5 2" xfId="55334" xr:uid="{00000000-0005-0000-0000-00001D7D0000}"/>
    <cellStyle name="Normal 4 6 2 3 6" xfId="22719" xr:uid="{00000000-0005-0000-0000-00001E7D0000}"/>
    <cellStyle name="Normal 4 6 2 3 7" xfId="22720" xr:uid="{00000000-0005-0000-0000-00001F7D0000}"/>
    <cellStyle name="Normal 4 6 2 3 8" xfId="22721" xr:uid="{00000000-0005-0000-0000-0000207D0000}"/>
    <cellStyle name="Normal 4 6 2 3 9" xfId="22722" xr:uid="{00000000-0005-0000-0000-0000217D0000}"/>
    <cellStyle name="Normal 4 6 2 4" xfId="22723" xr:uid="{00000000-0005-0000-0000-0000227D0000}"/>
    <cellStyle name="Normal 4 6 2 4 2" xfId="22724" xr:uid="{00000000-0005-0000-0000-0000237D0000}"/>
    <cellStyle name="Normal 4 6 2 4 2 2" xfId="22725" xr:uid="{00000000-0005-0000-0000-0000247D0000}"/>
    <cellStyle name="Normal 4 6 2 4 2 2 2" xfId="22726" xr:uid="{00000000-0005-0000-0000-0000257D0000}"/>
    <cellStyle name="Normal 4 6 2 4 2 2 2 2" xfId="55335" xr:uid="{00000000-0005-0000-0000-0000267D0000}"/>
    <cellStyle name="Normal 4 6 2 4 2 2 2 3" xfId="55336" xr:uid="{00000000-0005-0000-0000-0000277D0000}"/>
    <cellStyle name="Normal 4 6 2 4 2 2 3" xfId="22727" xr:uid="{00000000-0005-0000-0000-0000287D0000}"/>
    <cellStyle name="Normal 4 6 2 4 2 2 3 2" xfId="55337" xr:uid="{00000000-0005-0000-0000-0000297D0000}"/>
    <cellStyle name="Normal 4 6 2 4 2 2 4" xfId="22728" xr:uid="{00000000-0005-0000-0000-00002A7D0000}"/>
    <cellStyle name="Normal 4 6 2 4 2 2 5" xfId="22729" xr:uid="{00000000-0005-0000-0000-00002B7D0000}"/>
    <cellStyle name="Normal 4 6 2 4 2 2 6" xfId="22730" xr:uid="{00000000-0005-0000-0000-00002C7D0000}"/>
    <cellStyle name="Normal 4 6 2 4 2 3" xfId="22731" xr:uid="{00000000-0005-0000-0000-00002D7D0000}"/>
    <cellStyle name="Normal 4 6 2 4 2 3 2" xfId="55338" xr:uid="{00000000-0005-0000-0000-00002E7D0000}"/>
    <cellStyle name="Normal 4 6 2 4 2 3 3" xfId="55339" xr:uid="{00000000-0005-0000-0000-00002F7D0000}"/>
    <cellStyle name="Normal 4 6 2 4 2 4" xfId="22732" xr:uid="{00000000-0005-0000-0000-0000307D0000}"/>
    <cellStyle name="Normal 4 6 2 4 2 4 2" xfId="55340" xr:uid="{00000000-0005-0000-0000-0000317D0000}"/>
    <cellStyle name="Normal 4 6 2 4 2 5" xfId="22733" xr:uid="{00000000-0005-0000-0000-0000327D0000}"/>
    <cellStyle name="Normal 4 6 2 4 2 6" xfId="22734" xr:uid="{00000000-0005-0000-0000-0000337D0000}"/>
    <cellStyle name="Normal 4 6 2 4 2 7" xfId="22735" xr:uid="{00000000-0005-0000-0000-0000347D0000}"/>
    <cellStyle name="Normal 4 6 2 4 3" xfId="22736" xr:uid="{00000000-0005-0000-0000-0000357D0000}"/>
    <cellStyle name="Normal 4 6 2 4 3 2" xfId="22737" xr:uid="{00000000-0005-0000-0000-0000367D0000}"/>
    <cellStyle name="Normal 4 6 2 4 3 2 2" xfId="55341" xr:uid="{00000000-0005-0000-0000-0000377D0000}"/>
    <cellStyle name="Normal 4 6 2 4 3 2 3" xfId="55342" xr:uid="{00000000-0005-0000-0000-0000387D0000}"/>
    <cellStyle name="Normal 4 6 2 4 3 3" xfId="22738" xr:uid="{00000000-0005-0000-0000-0000397D0000}"/>
    <cellStyle name="Normal 4 6 2 4 3 3 2" xfId="55343" xr:uid="{00000000-0005-0000-0000-00003A7D0000}"/>
    <cellStyle name="Normal 4 6 2 4 3 4" xfId="22739" xr:uid="{00000000-0005-0000-0000-00003B7D0000}"/>
    <cellStyle name="Normal 4 6 2 4 3 5" xfId="22740" xr:uid="{00000000-0005-0000-0000-00003C7D0000}"/>
    <cellStyle name="Normal 4 6 2 4 3 6" xfId="22741" xr:uid="{00000000-0005-0000-0000-00003D7D0000}"/>
    <cellStyle name="Normal 4 6 2 4 4" xfId="22742" xr:uid="{00000000-0005-0000-0000-00003E7D0000}"/>
    <cellStyle name="Normal 4 6 2 4 4 2" xfId="55344" xr:uid="{00000000-0005-0000-0000-00003F7D0000}"/>
    <cellStyle name="Normal 4 6 2 4 4 3" xfId="55345" xr:uid="{00000000-0005-0000-0000-0000407D0000}"/>
    <cellStyle name="Normal 4 6 2 4 5" xfId="22743" xr:uid="{00000000-0005-0000-0000-0000417D0000}"/>
    <cellStyle name="Normal 4 6 2 4 5 2" xfId="55346" xr:uid="{00000000-0005-0000-0000-0000427D0000}"/>
    <cellStyle name="Normal 4 6 2 4 6" xfId="22744" xr:uid="{00000000-0005-0000-0000-0000437D0000}"/>
    <cellStyle name="Normal 4 6 2 4 7" xfId="22745" xr:uid="{00000000-0005-0000-0000-0000447D0000}"/>
    <cellStyle name="Normal 4 6 2 4 8" xfId="22746" xr:uid="{00000000-0005-0000-0000-0000457D0000}"/>
    <cellStyle name="Normal 4 6 2 5" xfId="22747" xr:uid="{00000000-0005-0000-0000-0000467D0000}"/>
    <cellStyle name="Normal 4 6 2 5 2" xfId="22748" xr:uid="{00000000-0005-0000-0000-0000477D0000}"/>
    <cellStyle name="Normal 4 6 2 5 2 2" xfId="22749" xr:uid="{00000000-0005-0000-0000-0000487D0000}"/>
    <cellStyle name="Normal 4 6 2 5 2 2 2" xfId="55347" xr:uid="{00000000-0005-0000-0000-0000497D0000}"/>
    <cellStyle name="Normal 4 6 2 5 2 2 3" xfId="55348" xr:uid="{00000000-0005-0000-0000-00004A7D0000}"/>
    <cellStyle name="Normal 4 6 2 5 2 3" xfId="22750" xr:uid="{00000000-0005-0000-0000-00004B7D0000}"/>
    <cellStyle name="Normal 4 6 2 5 2 3 2" xfId="55349" xr:uid="{00000000-0005-0000-0000-00004C7D0000}"/>
    <cellStyle name="Normal 4 6 2 5 2 4" xfId="22751" xr:uid="{00000000-0005-0000-0000-00004D7D0000}"/>
    <cellStyle name="Normal 4 6 2 5 2 5" xfId="22752" xr:uid="{00000000-0005-0000-0000-00004E7D0000}"/>
    <cellStyle name="Normal 4 6 2 5 2 6" xfId="22753" xr:uid="{00000000-0005-0000-0000-00004F7D0000}"/>
    <cellStyle name="Normal 4 6 2 5 3" xfId="22754" xr:uid="{00000000-0005-0000-0000-0000507D0000}"/>
    <cellStyle name="Normal 4 6 2 5 3 2" xfId="55350" xr:uid="{00000000-0005-0000-0000-0000517D0000}"/>
    <cellStyle name="Normal 4 6 2 5 3 3" xfId="55351" xr:uid="{00000000-0005-0000-0000-0000527D0000}"/>
    <cellStyle name="Normal 4 6 2 5 4" xfId="22755" xr:uid="{00000000-0005-0000-0000-0000537D0000}"/>
    <cellStyle name="Normal 4 6 2 5 4 2" xfId="55352" xr:uid="{00000000-0005-0000-0000-0000547D0000}"/>
    <cellStyle name="Normal 4 6 2 5 5" xfId="22756" xr:uid="{00000000-0005-0000-0000-0000557D0000}"/>
    <cellStyle name="Normal 4 6 2 5 6" xfId="22757" xr:uid="{00000000-0005-0000-0000-0000567D0000}"/>
    <cellStyle name="Normal 4 6 2 5 7" xfId="22758" xr:uid="{00000000-0005-0000-0000-0000577D0000}"/>
    <cellStyle name="Normal 4 6 2 6" xfId="22759" xr:uid="{00000000-0005-0000-0000-0000587D0000}"/>
    <cellStyle name="Normal 4 6 2 6 2" xfId="22760" xr:uid="{00000000-0005-0000-0000-0000597D0000}"/>
    <cellStyle name="Normal 4 6 2 6 2 2" xfId="55353" xr:uid="{00000000-0005-0000-0000-00005A7D0000}"/>
    <cellStyle name="Normal 4 6 2 6 2 3" xfId="55354" xr:uid="{00000000-0005-0000-0000-00005B7D0000}"/>
    <cellStyle name="Normal 4 6 2 6 3" xfId="22761" xr:uid="{00000000-0005-0000-0000-00005C7D0000}"/>
    <cellStyle name="Normal 4 6 2 6 3 2" xfId="55355" xr:uid="{00000000-0005-0000-0000-00005D7D0000}"/>
    <cellStyle name="Normal 4 6 2 6 4" xfId="22762" xr:uid="{00000000-0005-0000-0000-00005E7D0000}"/>
    <cellStyle name="Normal 4 6 2 6 5" xfId="22763" xr:uid="{00000000-0005-0000-0000-00005F7D0000}"/>
    <cellStyle name="Normal 4 6 2 6 6" xfId="22764" xr:uid="{00000000-0005-0000-0000-0000607D0000}"/>
    <cellStyle name="Normal 4 6 2 7" xfId="22765" xr:uid="{00000000-0005-0000-0000-0000617D0000}"/>
    <cellStyle name="Normal 4 6 2 7 2" xfId="55356" xr:uid="{00000000-0005-0000-0000-0000627D0000}"/>
    <cellStyle name="Normal 4 6 2 7 3" xfId="55357" xr:uid="{00000000-0005-0000-0000-0000637D0000}"/>
    <cellStyle name="Normal 4 6 2 8" xfId="22766" xr:uid="{00000000-0005-0000-0000-0000647D0000}"/>
    <cellStyle name="Normal 4 6 2 8 2" xfId="55358" xr:uid="{00000000-0005-0000-0000-0000657D0000}"/>
    <cellStyle name="Normal 4 6 2 9" xfId="22767" xr:uid="{00000000-0005-0000-0000-0000667D0000}"/>
    <cellStyle name="Normal 4 6 2 9 2" xfId="55359" xr:uid="{00000000-0005-0000-0000-0000677D0000}"/>
    <cellStyle name="Normal 4 6 20" xfId="22768" xr:uid="{00000000-0005-0000-0000-0000687D0000}"/>
    <cellStyle name="Normal 4 6 3" xfId="22769" xr:uid="{00000000-0005-0000-0000-0000697D0000}"/>
    <cellStyle name="Normal 4 6 3 10" xfId="22770" xr:uid="{00000000-0005-0000-0000-00006A7D0000}"/>
    <cellStyle name="Normal 4 6 3 11" xfId="22771" xr:uid="{00000000-0005-0000-0000-00006B7D0000}"/>
    <cellStyle name="Normal 4 6 3 12" xfId="22772" xr:uid="{00000000-0005-0000-0000-00006C7D0000}"/>
    <cellStyle name="Normal 4 6 3 13" xfId="22773" xr:uid="{00000000-0005-0000-0000-00006D7D0000}"/>
    <cellStyle name="Normal 4 6 3 14" xfId="22774" xr:uid="{00000000-0005-0000-0000-00006E7D0000}"/>
    <cellStyle name="Normal 4 6 3 15" xfId="22775" xr:uid="{00000000-0005-0000-0000-00006F7D0000}"/>
    <cellStyle name="Normal 4 6 3 2" xfId="22776" xr:uid="{00000000-0005-0000-0000-0000707D0000}"/>
    <cellStyle name="Normal 4 6 3 2 10" xfId="22777" xr:uid="{00000000-0005-0000-0000-0000717D0000}"/>
    <cellStyle name="Normal 4 6 3 2 11" xfId="22778" xr:uid="{00000000-0005-0000-0000-0000727D0000}"/>
    <cellStyle name="Normal 4 6 3 2 12" xfId="22779" xr:uid="{00000000-0005-0000-0000-0000737D0000}"/>
    <cellStyle name="Normal 4 6 3 2 13" xfId="22780" xr:uid="{00000000-0005-0000-0000-0000747D0000}"/>
    <cellStyle name="Normal 4 6 3 2 14" xfId="22781" xr:uid="{00000000-0005-0000-0000-0000757D0000}"/>
    <cellStyle name="Normal 4 6 3 2 2" xfId="22782" xr:uid="{00000000-0005-0000-0000-0000767D0000}"/>
    <cellStyle name="Normal 4 6 3 2 2 2" xfId="22783" xr:uid="{00000000-0005-0000-0000-0000777D0000}"/>
    <cellStyle name="Normal 4 6 3 2 2 2 2" xfId="22784" xr:uid="{00000000-0005-0000-0000-0000787D0000}"/>
    <cellStyle name="Normal 4 6 3 2 2 2 2 2" xfId="22785" xr:uid="{00000000-0005-0000-0000-0000797D0000}"/>
    <cellStyle name="Normal 4 6 3 2 2 2 2 2 2" xfId="55360" xr:uid="{00000000-0005-0000-0000-00007A7D0000}"/>
    <cellStyle name="Normal 4 6 3 2 2 2 2 2 3" xfId="55361" xr:uid="{00000000-0005-0000-0000-00007B7D0000}"/>
    <cellStyle name="Normal 4 6 3 2 2 2 2 3" xfId="22786" xr:uid="{00000000-0005-0000-0000-00007C7D0000}"/>
    <cellStyle name="Normal 4 6 3 2 2 2 2 3 2" xfId="55362" xr:uid="{00000000-0005-0000-0000-00007D7D0000}"/>
    <cellStyle name="Normal 4 6 3 2 2 2 2 4" xfId="22787" xr:uid="{00000000-0005-0000-0000-00007E7D0000}"/>
    <cellStyle name="Normal 4 6 3 2 2 2 2 5" xfId="22788" xr:uid="{00000000-0005-0000-0000-00007F7D0000}"/>
    <cellStyle name="Normal 4 6 3 2 2 2 2 6" xfId="22789" xr:uid="{00000000-0005-0000-0000-0000807D0000}"/>
    <cellStyle name="Normal 4 6 3 2 2 2 3" xfId="22790" xr:uid="{00000000-0005-0000-0000-0000817D0000}"/>
    <cellStyle name="Normal 4 6 3 2 2 2 3 2" xfId="55363" xr:uid="{00000000-0005-0000-0000-0000827D0000}"/>
    <cellStyle name="Normal 4 6 3 2 2 2 3 3" xfId="55364" xr:uid="{00000000-0005-0000-0000-0000837D0000}"/>
    <cellStyle name="Normal 4 6 3 2 2 2 4" xfId="22791" xr:uid="{00000000-0005-0000-0000-0000847D0000}"/>
    <cellStyle name="Normal 4 6 3 2 2 2 4 2" xfId="55365" xr:uid="{00000000-0005-0000-0000-0000857D0000}"/>
    <cellStyle name="Normal 4 6 3 2 2 2 5" xfId="22792" xr:uid="{00000000-0005-0000-0000-0000867D0000}"/>
    <cellStyle name="Normal 4 6 3 2 2 2 6" xfId="22793" xr:uid="{00000000-0005-0000-0000-0000877D0000}"/>
    <cellStyle name="Normal 4 6 3 2 2 2 7" xfId="22794" xr:uid="{00000000-0005-0000-0000-0000887D0000}"/>
    <cellStyle name="Normal 4 6 3 2 2 3" xfId="22795" xr:uid="{00000000-0005-0000-0000-0000897D0000}"/>
    <cellStyle name="Normal 4 6 3 2 2 3 2" xfId="22796" xr:uid="{00000000-0005-0000-0000-00008A7D0000}"/>
    <cellStyle name="Normal 4 6 3 2 2 3 2 2" xfId="55366" xr:uid="{00000000-0005-0000-0000-00008B7D0000}"/>
    <cellStyle name="Normal 4 6 3 2 2 3 2 3" xfId="55367" xr:uid="{00000000-0005-0000-0000-00008C7D0000}"/>
    <cellStyle name="Normal 4 6 3 2 2 3 3" xfId="22797" xr:uid="{00000000-0005-0000-0000-00008D7D0000}"/>
    <cellStyle name="Normal 4 6 3 2 2 3 3 2" xfId="55368" xr:uid="{00000000-0005-0000-0000-00008E7D0000}"/>
    <cellStyle name="Normal 4 6 3 2 2 3 4" xfId="22798" xr:uid="{00000000-0005-0000-0000-00008F7D0000}"/>
    <cellStyle name="Normal 4 6 3 2 2 3 5" xfId="22799" xr:uid="{00000000-0005-0000-0000-0000907D0000}"/>
    <cellStyle name="Normal 4 6 3 2 2 3 6" xfId="22800" xr:uid="{00000000-0005-0000-0000-0000917D0000}"/>
    <cellStyle name="Normal 4 6 3 2 2 4" xfId="22801" xr:uid="{00000000-0005-0000-0000-0000927D0000}"/>
    <cellStyle name="Normal 4 6 3 2 2 4 2" xfId="55369" xr:uid="{00000000-0005-0000-0000-0000937D0000}"/>
    <cellStyle name="Normal 4 6 3 2 2 4 3" xfId="55370" xr:uid="{00000000-0005-0000-0000-0000947D0000}"/>
    <cellStyle name="Normal 4 6 3 2 2 5" xfId="22802" xr:uid="{00000000-0005-0000-0000-0000957D0000}"/>
    <cellStyle name="Normal 4 6 3 2 2 5 2" xfId="55371" xr:uid="{00000000-0005-0000-0000-0000967D0000}"/>
    <cellStyle name="Normal 4 6 3 2 2 6" xfId="22803" xr:uid="{00000000-0005-0000-0000-0000977D0000}"/>
    <cellStyle name="Normal 4 6 3 2 2 7" xfId="22804" xr:uid="{00000000-0005-0000-0000-0000987D0000}"/>
    <cellStyle name="Normal 4 6 3 2 2 8" xfId="22805" xr:uid="{00000000-0005-0000-0000-0000997D0000}"/>
    <cellStyle name="Normal 4 6 3 2 2 9" xfId="22806" xr:uid="{00000000-0005-0000-0000-00009A7D0000}"/>
    <cellStyle name="Normal 4 6 3 2 3" xfId="22807" xr:uid="{00000000-0005-0000-0000-00009B7D0000}"/>
    <cellStyle name="Normal 4 6 3 2 3 2" xfId="22808" xr:uid="{00000000-0005-0000-0000-00009C7D0000}"/>
    <cellStyle name="Normal 4 6 3 2 3 2 2" xfId="22809" xr:uid="{00000000-0005-0000-0000-00009D7D0000}"/>
    <cellStyle name="Normal 4 6 3 2 3 2 2 2" xfId="22810" xr:uid="{00000000-0005-0000-0000-00009E7D0000}"/>
    <cellStyle name="Normal 4 6 3 2 3 2 2 2 2" xfId="55372" xr:uid="{00000000-0005-0000-0000-00009F7D0000}"/>
    <cellStyle name="Normal 4 6 3 2 3 2 2 2 3" xfId="55373" xr:uid="{00000000-0005-0000-0000-0000A07D0000}"/>
    <cellStyle name="Normal 4 6 3 2 3 2 2 3" xfId="22811" xr:uid="{00000000-0005-0000-0000-0000A17D0000}"/>
    <cellStyle name="Normal 4 6 3 2 3 2 2 3 2" xfId="55374" xr:uid="{00000000-0005-0000-0000-0000A27D0000}"/>
    <cellStyle name="Normal 4 6 3 2 3 2 2 4" xfId="22812" xr:uid="{00000000-0005-0000-0000-0000A37D0000}"/>
    <cellStyle name="Normal 4 6 3 2 3 2 2 5" xfId="22813" xr:uid="{00000000-0005-0000-0000-0000A47D0000}"/>
    <cellStyle name="Normal 4 6 3 2 3 2 2 6" xfId="22814" xr:uid="{00000000-0005-0000-0000-0000A57D0000}"/>
    <cellStyle name="Normal 4 6 3 2 3 2 3" xfId="22815" xr:uid="{00000000-0005-0000-0000-0000A67D0000}"/>
    <cellStyle name="Normal 4 6 3 2 3 2 3 2" xfId="55375" xr:uid="{00000000-0005-0000-0000-0000A77D0000}"/>
    <cellStyle name="Normal 4 6 3 2 3 2 3 3" xfId="55376" xr:uid="{00000000-0005-0000-0000-0000A87D0000}"/>
    <cellStyle name="Normal 4 6 3 2 3 2 4" xfId="22816" xr:uid="{00000000-0005-0000-0000-0000A97D0000}"/>
    <cellStyle name="Normal 4 6 3 2 3 2 4 2" xfId="55377" xr:uid="{00000000-0005-0000-0000-0000AA7D0000}"/>
    <cellStyle name="Normal 4 6 3 2 3 2 5" xfId="22817" xr:uid="{00000000-0005-0000-0000-0000AB7D0000}"/>
    <cellStyle name="Normal 4 6 3 2 3 2 6" xfId="22818" xr:uid="{00000000-0005-0000-0000-0000AC7D0000}"/>
    <cellStyle name="Normal 4 6 3 2 3 2 7" xfId="22819" xr:uid="{00000000-0005-0000-0000-0000AD7D0000}"/>
    <cellStyle name="Normal 4 6 3 2 3 3" xfId="22820" xr:uid="{00000000-0005-0000-0000-0000AE7D0000}"/>
    <cellStyle name="Normal 4 6 3 2 3 3 2" xfId="22821" xr:uid="{00000000-0005-0000-0000-0000AF7D0000}"/>
    <cellStyle name="Normal 4 6 3 2 3 3 2 2" xfId="55378" xr:uid="{00000000-0005-0000-0000-0000B07D0000}"/>
    <cellStyle name="Normal 4 6 3 2 3 3 2 3" xfId="55379" xr:uid="{00000000-0005-0000-0000-0000B17D0000}"/>
    <cellStyle name="Normal 4 6 3 2 3 3 3" xfId="22822" xr:uid="{00000000-0005-0000-0000-0000B27D0000}"/>
    <cellStyle name="Normal 4 6 3 2 3 3 3 2" xfId="55380" xr:uid="{00000000-0005-0000-0000-0000B37D0000}"/>
    <cellStyle name="Normal 4 6 3 2 3 3 4" xfId="22823" xr:uid="{00000000-0005-0000-0000-0000B47D0000}"/>
    <cellStyle name="Normal 4 6 3 2 3 3 5" xfId="22824" xr:uid="{00000000-0005-0000-0000-0000B57D0000}"/>
    <cellStyle name="Normal 4 6 3 2 3 3 6" xfId="22825" xr:uid="{00000000-0005-0000-0000-0000B67D0000}"/>
    <cellStyle name="Normal 4 6 3 2 3 4" xfId="22826" xr:uid="{00000000-0005-0000-0000-0000B77D0000}"/>
    <cellStyle name="Normal 4 6 3 2 3 4 2" xfId="55381" xr:uid="{00000000-0005-0000-0000-0000B87D0000}"/>
    <cellStyle name="Normal 4 6 3 2 3 4 3" xfId="55382" xr:uid="{00000000-0005-0000-0000-0000B97D0000}"/>
    <cellStyle name="Normal 4 6 3 2 3 5" xfId="22827" xr:uid="{00000000-0005-0000-0000-0000BA7D0000}"/>
    <cellStyle name="Normal 4 6 3 2 3 5 2" xfId="55383" xr:uid="{00000000-0005-0000-0000-0000BB7D0000}"/>
    <cellStyle name="Normal 4 6 3 2 3 6" xfId="22828" xr:uid="{00000000-0005-0000-0000-0000BC7D0000}"/>
    <cellStyle name="Normal 4 6 3 2 3 7" xfId="22829" xr:uid="{00000000-0005-0000-0000-0000BD7D0000}"/>
    <cellStyle name="Normal 4 6 3 2 3 8" xfId="22830" xr:uid="{00000000-0005-0000-0000-0000BE7D0000}"/>
    <cellStyle name="Normal 4 6 3 2 4" xfId="22831" xr:uid="{00000000-0005-0000-0000-0000BF7D0000}"/>
    <cellStyle name="Normal 4 6 3 2 4 2" xfId="22832" xr:uid="{00000000-0005-0000-0000-0000C07D0000}"/>
    <cellStyle name="Normal 4 6 3 2 4 2 2" xfId="22833" xr:uid="{00000000-0005-0000-0000-0000C17D0000}"/>
    <cellStyle name="Normal 4 6 3 2 4 2 2 2" xfId="55384" xr:uid="{00000000-0005-0000-0000-0000C27D0000}"/>
    <cellStyle name="Normal 4 6 3 2 4 2 2 3" xfId="55385" xr:uid="{00000000-0005-0000-0000-0000C37D0000}"/>
    <cellStyle name="Normal 4 6 3 2 4 2 3" xfId="22834" xr:uid="{00000000-0005-0000-0000-0000C47D0000}"/>
    <cellStyle name="Normal 4 6 3 2 4 2 3 2" xfId="55386" xr:uid="{00000000-0005-0000-0000-0000C57D0000}"/>
    <cellStyle name="Normal 4 6 3 2 4 2 4" xfId="22835" xr:uid="{00000000-0005-0000-0000-0000C67D0000}"/>
    <cellStyle name="Normal 4 6 3 2 4 2 5" xfId="22836" xr:uid="{00000000-0005-0000-0000-0000C77D0000}"/>
    <cellStyle name="Normal 4 6 3 2 4 2 6" xfId="22837" xr:uid="{00000000-0005-0000-0000-0000C87D0000}"/>
    <cellStyle name="Normal 4 6 3 2 4 3" xfId="22838" xr:uid="{00000000-0005-0000-0000-0000C97D0000}"/>
    <cellStyle name="Normal 4 6 3 2 4 3 2" xfId="55387" xr:uid="{00000000-0005-0000-0000-0000CA7D0000}"/>
    <cellStyle name="Normal 4 6 3 2 4 3 3" xfId="55388" xr:uid="{00000000-0005-0000-0000-0000CB7D0000}"/>
    <cellStyle name="Normal 4 6 3 2 4 4" xfId="22839" xr:uid="{00000000-0005-0000-0000-0000CC7D0000}"/>
    <cellStyle name="Normal 4 6 3 2 4 4 2" xfId="55389" xr:uid="{00000000-0005-0000-0000-0000CD7D0000}"/>
    <cellStyle name="Normal 4 6 3 2 4 5" xfId="22840" xr:uid="{00000000-0005-0000-0000-0000CE7D0000}"/>
    <cellStyle name="Normal 4 6 3 2 4 6" xfId="22841" xr:uid="{00000000-0005-0000-0000-0000CF7D0000}"/>
    <cellStyle name="Normal 4 6 3 2 4 7" xfId="22842" xr:uid="{00000000-0005-0000-0000-0000D07D0000}"/>
    <cellStyle name="Normal 4 6 3 2 5" xfId="22843" xr:uid="{00000000-0005-0000-0000-0000D17D0000}"/>
    <cellStyle name="Normal 4 6 3 2 5 2" xfId="22844" xr:uid="{00000000-0005-0000-0000-0000D27D0000}"/>
    <cellStyle name="Normal 4 6 3 2 5 2 2" xfId="55390" xr:uid="{00000000-0005-0000-0000-0000D37D0000}"/>
    <cellStyle name="Normal 4 6 3 2 5 2 3" xfId="55391" xr:uid="{00000000-0005-0000-0000-0000D47D0000}"/>
    <cellStyle name="Normal 4 6 3 2 5 3" xfId="22845" xr:uid="{00000000-0005-0000-0000-0000D57D0000}"/>
    <cellStyle name="Normal 4 6 3 2 5 3 2" xfId="55392" xr:uid="{00000000-0005-0000-0000-0000D67D0000}"/>
    <cellStyle name="Normal 4 6 3 2 5 4" xfId="22846" xr:uid="{00000000-0005-0000-0000-0000D77D0000}"/>
    <cellStyle name="Normal 4 6 3 2 5 5" xfId="22847" xr:uid="{00000000-0005-0000-0000-0000D87D0000}"/>
    <cellStyle name="Normal 4 6 3 2 5 6" xfId="22848" xr:uid="{00000000-0005-0000-0000-0000D97D0000}"/>
    <cellStyle name="Normal 4 6 3 2 6" xfId="22849" xr:uid="{00000000-0005-0000-0000-0000DA7D0000}"/>
    <cellStyle name="Normal 4 6 3 2 6 2" xfId="55393" xr:uid="{00000000-0005-0000-0000-0000DB7D0000}"/>
    <cellStyle name="Normal 4 6 3 2 6 3" xfId="55394" xr:uid="{00000000-0005-0000-0000-0000DC7D0000}"/>
    <cellStyle name="Normal 4 6 3 2 7" xfId="22850" xr:uid="{00000000-0005-0000-0000-0000DD7D0000}"/>
    <cellStyle name="Normal 4 6 3 2 7 2" xfId="55395" xr:uid="{00000000-0005-0000-0000-0000DE7D0000}"/>
    <cellStyle name="Normal 4 6 3 2 8" xfId="22851" xr:uid="{00000000-0005-0000-0000-0000DF7D0000}"/>
    <cellStyle name="Normal 4 6 3 2 9" xfId="22852" xr:uid="{00000000-0005-0000-0000-0000E07D0000}"/>
    <cellStyle name="Normal 4 6 3 3" xfId="22853" xr:uid="{00000000-0005-0000-0000-0000E17D0000}"/>
    <cellStyle name="Normal 4 6 3 3 2" xfId="22854" xr:uid="{00000000-0005-0000-0000-0000E27D0000}"/>
    <cellStyle name="Normal 4 6 3 3 2 2" xfId="22855" xr:uid="{00000000-0005-0000-0000-0000E37D0000}"/>
    <cellStyle name="Normal 4 6 3 3 2 2 2" xfId="22856" xr:uid="{00000000-0005-0000-0000-0000E47D0000}"/>
    <cellStyle name="Normal 4 6 3 3 2 2 2 2" xfId="55396" xr:uid="{00000000-0005-0000-0000-0000E57D0000}"/>
    <cellStyle name="Normal 4 6 3 3 2 2 2 3" xfId="55397" xr:uid="{00000000-0005-0000-0000-0000E67D0000}"/>
    <cellStyle name="Normal 4 6 3 3 2 2 3" xfId="22857" xr:uid="{00000000-0005-0000-0000-0000E77D0000}"/>
    <cellStyle name="Normal 4 6 3 3 2 2 3 2" xfId="55398" xr:uid="{00000000-0005-0000-0000-0000E87D0000}"/>
    <cellStyle name="Normal 4 6 3 3 2 2 4" xfId="22858" xr:uid="{00000000-0005-0000-0000-0000E97D0000}"/>
    <cellStyle name="Normal 4 6 3 3 2 2 5" xfId="22859" xr:uid="{00000000-0005-0000-0000-0000EA7D0000}"/>
    <cellStyle name="Normal 4 6 3 3 2 2 6" xfId="22860" xr:uid="{00000000-0005-0000-0000-0000EB7D0000}"/>
    <cellStyle name="Normal 4 6 3 3 2 3" xfId="22861" xr:uid="{00000000-0005-0000-0000-0000EC7D0000}"/>
    <cellStyle name="Normal 4 6 3 3 2 3 2" xfId="55399" xr:uid="{00000000-0005-0000-0000-0000ED7D0000}"/>
    <cellStyle name="Normal 4 6 3 3 2 3 3" xfId="55400" xr:uid="{00000000-0005-0000-0000-0000EE7D0000}"/>
    <cellStyle name="Normal 4 6 3 3 2 4" xfId="22862" xr:uid="{00000000-0005-0000-0000-0000EF7D0000}"/>
    <cellStyle name="Normal 4 6 3 3 2 4 2" xfId="55401" xr:uid="{00000000-0005-0000-0000-0000F07D0000}"/>
    <cellStyle name="Normal 4 6 3 3 2 5" xfId="22863" xr:uid="{00000000-0005-0000-0000-0000F17D0000}"/>
    <cellStyle name="Normal 4 6 3 3 2 6" xfId="22864" xr:uid="{00000000-0005-0000-0000-0000F27D0000}"/>
    <cellStyle name="Normal 4 6 3 3 2 7" xfId="22865" xr:uid="{00000000-0005-0000-0000-0000F37D0000}"/>
    <cellStyle name="Normal 4 6 3 3 3" xfId="22866" xr:uid="{00000000-0005-0000-0000-0000F47D0000}"/>
    <cellStyle name="Normal 4 6 3 3 3 2" xfId="22867" xr:uid="{00000000-0005-0000-0000-0000F57D0000}"/>
    <cellStyle name="Normal 4 6 3 3 3 2 2" xfId="55402" xr:uid="{00000000-0005-0000-0000-0000F67D0000}"/>
    <cellStyle name="Normal 4 6 3 3 3 2 3" xfId="55403" xr:uid="{00000000-0005-0000-0000-0000F77D0000}"/>
    <cellStyle name="Normal 4 6 3 3 3 3" xfId="22868" xr:uid="{00000000-0005-0000-0000-0000F87D0000}"/>
    <cellStyle name="Normal 4 6 3 3 3 3 2" xfId="55404" xr:uid="{00000000-0005-0000-0000-0000F97D0000}"/>
    <cellStyle name="Normal 4 6 3 3 3 4" xfId="22869" xr:uid="{00000000-0005-0000-0000-0000FA7D0000}"/>
    <cellStyle name="Normal 4 6 3 3 3 5" xfId="22870" xr:uid="{00000000-0005-0000-0000-0000FB7D0000}"/>
    <cellStyle name="Normal 4 6 3 3 3 6" xfId="22871" xr:uid="{00000000-0005-0000-0000-0000FC7D0000}"/>
    <cellStyle name="Normal 4 6 3 3 4" xfId="22872" xr:uid="{00000000-0005-0000-0000-0000FD7D0000}"/>
    <cellStyle name="Normal 4 6 3 3 4 2" xfId="55405" xr:uid="{00000000-0005-0000-0000-0000FE7D0000}"/>
    <cellStyle name="Normal 4 6 3 3 4 3" xfId="55406" xr:uid="{00000000-0005-0000-0000-0000FF7D0000}"/>
    <cellStyle name="Normal 4 6 3 3 5" xfId="22873" xr:uid="{00000000-0005-0000-0000-0000007E0000}"/>
    <cellStyle name="Normal 4 6 3 3 5 2" xfId="55407" xr:uid="{00000000-0005-0000-0000-0000017E0000}"/>
    <cellStyle name="Normal 4 6 3 3 6" xfId="22874" xr:uid="{00000000-0005-0000-0000-0000027E0000}"/>
    <cellStyle name="Normal 4 6 3 3 7" xfId="22875" xr:uid="{00000000-0005-0000-0000-0000037E0000}"/>
    <cellStyle name="Normal 4 6 3 3 8" xfId="22876" xr:uid="{00000000-0005-0000-0000-0000047E0000}"/>
    <cellStyle name="Normal 4 6 3 3 9" xfId="22877" xr:uid="{00000000-0005-0000-0000-0000057E0000}"/>
    <cellStyle name="Normal 4 6 3 4" xfId="22878" xr:uid="{00000000-0005-0000-0000-0000067E0000}"/>
    <cellStyle name="Normal 4 6 3 4 2" xfId="22879" xr:uid="{00000000-0005-0000-0000-0000077E0000}"/>
    <cellStyle name="Normal 4 6 3 4 2 2" xfId="22880" xr:uid="{00000000-0005-0000-0000-0000087E0000}"/>
    <cellStyle name="Normal 4 6 3 4 2 2 2" xfId="22881" xr:uid="{00000000-0005-0000-0000-0000097E0000}"/>
    <cellStyle name="Normal 4 6 3 4 2 2 2 2" xfId="55408" xr:uid="{00000000-0005-0000-0000-00000A7E0000}"/>
    <cellStyle name="Normal 4 6 3 4 2 2 2 3" xfId="55409" xr:uid="{00000000-0005-0000-0000-00000B7E0000}"/>
    <cellStyle name="Normal 4 6 3 4 2 2 3" xfId="22882" xr:uid="{00000000-0005-0000-0000-00000C7E0000}"/>
    <cellStyle name="Normal 4 6 3 4 2 2 3 2" xfId="55410" xr:uid="{00000000-0005-0000-0000-00000D7E0000}"/>
    <cellStyle name="Normal 4 6 3 4 2 2 4" xfId="22883" xr:uid="{00000000-0005-0000-0000-00000E7E0000}"/>
    <cellStyle name="Normal 4 6 3 4 2 2 5" xfId="22884" xr:uid="{00000000-0005-0000-0000-00000F7E0000}"/>
    <cellStyle name="Normal 4 6 3 4 2 2 6" xfId="22885" xr:uid="{00000000-0005-0000-0000-0000107E0000}"/>
    <cellStyle name="Normal 4 6 3 4 2 3" xfId="22886" xr:uid="{00000000-0005-0000-0000-0000117E0000}"/>
    <cellStyle name="Normal 4 6 3 4 2 3 2" xfId="55411" xr:uid="{00000000-0005-0000-0000-0000127E0000}"/>
    <cellStyle name="Normal 4 6 3 4 2 3 3" xfId="55412" xr:uid="{00000000-0005-0000-0000-0000137E0000}"/>
    <cellStyle name="Normal 4 6 3 4 2 4" xfId="22887" xr:uid="{00000000-0005-0000-0000-0000147E0000}"/>
    <cellStyle name="Normal 4 6 3 4 2 4 2" xfId="55413" xr:uid="{00000000-0005-0000-0000-0000157E0000}"/>
    <cellStyle name="Normal 4 6 3 4 2 5" xfId="22888" xr:uid="{00000000-0005-0000-0000-0000167E0000}"/>
    <cellStyle name="Normal 4 6 3 4 2 6" xfId="22889" xr:uid="{00000000-0005-0000-0000-0000177E0000}"/>
    <cellStyle name="Normal 4 6 3 4 2 7" xfId="22890" xr:uid="{00000000-0005-0000-0000-0000187E0000}"/>
    <cellStyle name="Normal 4 6 3 4 3" xfId="22891" xr:uid="{00000000-0005-0000-0000-0000197E0000}"/>
    <cellStyle name="Normal 4 6 3 4 3 2" xfId="22892" xr:uid="{00000000-0005-0000-0000-00001A7E0000}"/>
    <cellStyle name="Normal 4 6 3 4 3 2 2" xfId="55414" xr:uid="{00000000-0005-0000-0000-00001B7E0000}"/>
    <cellStyle name="Normal 4 6 3 4 3 2 3" xfId="55415" xr:uid="{00000000-0005-0000-0000-00001C7E0000}"/>
    <cellStyle name="Normal 4 6 3 4 3 3" xfId="22893" xr:uid="{00000000-0005-0000-0000-00001D7E0000}"/>
    <cellStyle name="Normal 4 6 3 4 3 3 2" xfId="55416" xr:uid="{00000000-0005-0000-0000-00001E7E0000}"/>
    <cellStyle name="Normal 4 6 3 4 3 4" xfId="22894" xr:uid="{00000000-0005-0000-0000-00001F7E0000}"/>
    <cellStyle name="Normal 4 6 3 4 3 5" xfId="22895" xr:uid="{00000000-0005-0000-0000-0000207E0000}"/>
    <cellStyle name="Normal 4 6 3 4 3 6" xfId="22896" xr:uid="{00000000-0005-0000-0000-0000217E0000}"/>
    <cellStyle name="Normal 4 6 3 4 4" xfId="22897" xr:uid="{00000000-0005-0000-0000-0000227E0000}"/>
    <cellStyle name="Normal 4 6 3 4 4 2" xfId="55417" xr:uid="{00000000-0005-0000-0000-0000237E0000}"/>
    <cellStyle name="Normal 4 6 3 4 4 3" xfId="55418" xr:uid="{00000000-0005-0000-0000-0000247E0000}"/>
    <cellStyle name="Normal 4 6 3 4 5" xfId="22898" xr:uid="{00000000-0005-0000-0000-0000257E0000}"/>
    <cellStyle name="Normal 4 6 3 4 5 2" xfId="55419" xr:uid="{00000000-0005-0000-0000-0000267E0000}"/>
    <cellStyle name="Normal 4 6 3 4 6" xfId="22899" xr:uid="{00000000-0005-0000-0000-0000277E0000}"/>
    <cellStyle name="Normal 4 6 3 4 7" xfId="22900" xr:uid="{00000000-0005-0000-0000-0000287E0000}"/>
    <cellStyle name="Normal 4 6 3 4 8" xfId="22901" xr:uid="{00000000-0005-0000-0000-0000297E0000}"/>
    <cellStyle name="Normal 4 6 3 5" xfId="22902" xr:uid="{00000000-0005-0000-0000-00002A7E0000}"/>
    <cellStyle name="Normal 4 6 3 5 2" xfId="22903" xr:uid="{00000000-0005-0000-0000-00002B7E0000}"/>
    <cellStyle name="Normal 4 6 3 5 2 2" xfId="22904" xr:uid="{00000000-0005-0000-0000-00002C7E0000}"/>
    <cellStyle name="Normal 4 6 3 5 2 2 2" xfId="55420" xr:uid="{00000000-0005-0000-0000-00002D7E0000}"/>
    <cellStyle name="Normal 4 6 3 5 2 2 3" xfId="55421" xr:uid="{00000000-0005-0000-0000-00002E7E0000}"/>
    <cellStyle name="Normal 4 6 3 5 2 3" xfId="22905" xr:uid="{00000000-0005-0000-0000-00002F7E0000}"/>
    <cellStyle name="Normal 4 6 3 5 2 3 2" xfId="55422" xr:uid="{00000000-0005-0000-0000-0000307E0000}"/>
    <cellStyle name="Normal 4 6 3 5 2 4" xfId="22906" xr:uid="{00000000-0005-0000-0000-0000317E0000}"/>
    <cellStyle name="Normal 4 6 3 5 2 5" xfId="22907" xr:uid="{00000000-0005-0000-0000-0000327E0000}"/>
    <cellStyle name="Normal 4 6 3 5 2 6" xfId="22908" xr:uid="{00000000-0005-0000-0000-0000337E0000}"/>
    <cellStyle name="Normal 4 6 3 5 3" xfId="22909" xr:uid="{00000000-0005-0000-0000-0000347E0000}"/>
    <cellStyle name="Normal 4 6 3 5 3 2" xfId="55423" xr:uid="{00000000-0005-0000-0000-0000357E0000}"/>
    <cellStyle name="Normal 4 6 3 5 3 3" xfId="55424" xr:uid="{00000000-0005-0000-0000-0000367E0000}"/>
    <cellStyle name="Normal 4 6 3 5 4" xfId="22910" xr:uid="{00000000-0005-0000-0000-0000377E0000}"/>
    <cellStyle name="Normal 4 6 3 5 4 2" xfId="55425" xr:uid="{00000000-0005-0000-0000-0000387E0000}"/>
    <cellStyle name="Normal 4 6 3 5 5" xfId="22911" xr:uid="{00000000-0005-0000-0000-0000397E0000}"/>
    <cellStyle name="Normal 4 6 3 5 6" xfId="22912" xr:uid="{00000000-0005-0000-0000-00003A7E0000}"/>
    <cellStyle name="Normal 4 6 3 5 7" xfId="22913" xr:uid="{00000000-0005-0000-0000-00003B7E0000}"/>
    <cellStyle name="Normal 4 6 3 6" xfId="22914" xr:uid="{00000000-0005-0000-0000-00003C7E0000}"/>
    <cellStyle name="Normal 4 6 3 6 2" xfId="22915" xr:uid="{00000000-0005-0000-0000-00003D7E0000}"/>
    <cellStyle name="Normal 4 6 3 6 2 2" xfId="55426" xr:uid="{00000000-0005-0000-0000-00003E7E0000}"/>
    <cellStyle name="Normal 4 6 3 6 2 3" xfId="55427" xr:uid="{00000000-0005-0000-0000-00003F7E0000}"/>
    <cellStyle name="Normal 4 6 3 6 3" xfId="22916" xr:uid="{00000000-0005-0000-0000-0000407E0000}"/>
    <cellStyle name="Normal 4 6 3 6 3 2" xfId="55428" xr:uid="{00000000-0005-0000-0000-0000417E0000}"/>
    <cellStyle name="Normal 4 6 3 6 4" xfId="22917" xr:uid="{00000000-0005-0000-0000-0000427E0000}"/>
    <cellStyle name="Normal 4 6 3 6 5" xfId="22918" xr:uid="{00000000-0005-0000-0000-0000437E0000}"/>
    <cellStyle name="Normal 4 6 3 6 6" xfId="22919" xr:uid="{00000000-0005-0000-0000-0000447E0000}"/>
    <cellStyle name="Normal 4 6 3 7" xfId="22920" xr:uid="{00000000-0005-0000-0000-0000457E0000}"/>
    <cellStyle name="Normal 4 6 3 7 2" xfId="55429" xr:uid="{00000000-0005-0000-0000-0000467E0000}"/>
    <cellStyle name="Normal 4 6 3 7 3" xfId="55430" xr:uid="{00000000-0005-0000-0000-0000477E0000}"/>
    <cellStyle name="Normal 4 6 3 8" xfId="22921" xr:uid="{00000000-0005-0000-0000-0000487E0000}"/>
    <cellStyle name="Normal 4 6 3 8 2" xfId="55431" xr:uid="{00000000-0005-0000-0000-0000497E0000}"/>
    <cellStyle name="Normal 4 6 3 9" xfId="22922" xr:uid="{00000000-0005-0000-0000-00004A7E0000}"/>
    <cellStyle name="Normal 4 6 4" xfId="22923" xr:uid="{00000000-0005-0000-0000-00004B7E0000}"/>
    <cellStyle name="Normal 4 6 4 10" xfId="22924" xr:uid="{00000000-0005-0000-0000-00004C7E0000}"/>
    <cellStyle name="Normal 4 6 4 11" xfId="22925" xr:uid="{00000000-0005-0000-0000-00004D7E0000}"/>
    <cellStyle name="Normal 4 6 4 12" xfId="22926" xr:uid="{00000000-0005-0000-0000-00004E7E0000}"/>
    <cellStyle name="Normal 4 6 4 13" xfId="22927" xr:uid="{00000000-0005-0000-0000-00004F7E0000}"/>
    <cellStyle name="Normal 4 6 4 14" xfId="22928" xr:uid="{00000000-0005-0000-0000-0000507E0000}"/>
    <cellStyle name="Normal 4 6 4 2" xfId="22929" xr:uid="{00000000-0005-0000-0000-0000517E0000}"/>
    <cellStyle name="Normal 4 6 4 2 2" xfId="22930" xr:uid="{00000000-0005-0000-0000-0000527E0000}"/>
    <cellStyle name="Normal 4 6 4 2 2 2" xfId="22931" xr:uid="{00000000-0005-0000-0000-0000537E0000}"/>
    <cellStyle name="Normal 4 6 4 2 2 2 2" xfId="22932" xr:uid="{00000000-0005-0000-0000-0000547E0000}"/>
    <cellStyle name="Normal 4 6 4 2 2 2 2 2" xfId="55432" xr:uid="{00000000-0005-0000-0000-0000557E0000}"/>
    <cellStyle name="Normal 4 6 4 2 2 2 2 3" xfId="55433" xr:uid="{00000000-0005-0000-0000-0000567E0000}"/>
    <cellStyle name="Normal 4 6 4 2 2 2 3" xfId="22933" xr:uid="{00000000-0005-0000-0000-0000577E0000}"/>
    <cellStyle name="Normal 4 6 4 2 2 2 3 2" xfId="55434" xr:uid="{00000000-0005-0000-0000-0000587E0000}"/>
    <cellStyle name="Normal 4 6 4 2 2 2 4" xfId="22934" xr:uid="{00000000-0005-0000-0000-0000597E0000}"/>
    <cellStyle name="Normal 4 6 4 2 2 2 5" xfId="22935" xr:uid="{00000000-0005-0000-0000-00005A7E0000}"/>
    <cellStyle name="Normal 4 6 4 2 2 2 6" xfId="22936" xr:uid="{00000000-0005-0000-0000-00005B7E0000}"/>
    <cellStyle name="Normal 4 6 4 2 2 3" xfId="22937" xr:uid="{00000000-0005-0000-0000-00005C7E0000}"/>
    <cellStyle name="Normal 4 6 4 2 2 3 2" xfId="55435" xr:uid="{00000000-0005-0000-0000-00005D7E0000}"/>
    <cellStyle name="Normal 4 6 4 2 2 3 3" xfId="55436" xr:uid="{00000000-0005-0000-0000-00005E7E0000}"/>
    <cellStyle name="Normal 4 6 4 2 2 4" xfId="22938" xr:uid="{00000000-0005-0000-0000-00005F7E0000}"/>
    <cellStyle name="Normal 4 6 4 2 2 4 2" xfId="55437" xr:uid="{00000000-0005-0000-0000-0000607E0000}"/>
    <cellStyle name="Normal 4 6 4 2 2 5" xfId="22939" xr:uid="{00000000-0005-0000-0000-0000617E0000}"/>
    <cellStyle name="Normal 4 6 4 2 2 6" xfId="22940" xr:uid="{00000000-0005-0000-0000-0000627E0000}"/>
    <cellStyle name="Normal 4 6 4 2 2 7" xfId="22941" xr:uid="{00000000-0005-0000-0000-0000637E0000}"/>
    <cellStyle name="Normal 4 6 4 2 3" xfId="22942" xr:uid="{00000000-0005-0000-0000-0000647E0000}"/>
    <cellStyle name="Normal 4 6 4 2 3 2" xfId="22943" xr:uid="{00000000-0005-0000-0000-0000657E0000}"/>
    <cellStyle name="Normal 4 6 4 2 3 2 2" xfId="55438" xr:uid="{00000000-0005-0000-0000-0000667E0000}"/>
    <cellStyle name="Normal 4 6 4 2 3 2 3" xfId="55439" xr:uid="{00000000-0005-0000-0000-0000677E0000}"/>
    <cellStyle name="Normal 4 6 4 2 3 3" xfId="22944" xr:uid="{00000000-0005-0000-0000-0000687E0000}"/>
    <cellStyle name="Normal 4 6 4 2 3 3 2" xfId="55440" xr:uid="{00000000-0005-0000-0000-0000697E0000}"/>
    <cellStyle name="Normal 4 6 4 2 3 4" xfId="22945" xr:uid="{00000000-0005-0000-0000-00006A7E0000}"/>
    <cellStyle name="Normal 4 6 4 2 3 5" xfId="22946" xr:uid="{00000000-0005-0000-0000-00006B7E0000}"/>
    <cellStyle name="Normal 4 6 4 2 3 6" xfId="22947" xr:uid="{00000000-0005-0000-0000-00006C7E0000}"/>
    <cellStyle name="Normal 4 6 4 2 4" xfId="22948" xr:uid="{00000000-0005-0000-0000-00006D7E0000}"/>
    <cellStyle name="Normal 4 6 4 2 4 2" xfId="55441" xr:uid="{00000000-0005-0000-0000-00006E7E0000}"/>
    <cellStyle name="Normal 4 6 4 2 4 3" xfId="55442" xr:uid="{00000000-0005-0000-0000-00006F7E0000}"/>
    <cellStyle name="Normal 4 6 4 2 5" xfId="22949" xr:uid="{00000000-0005-0000-0000-0000707E0000}"/>
    <cellStyle name="Normal 4 6 4 2 5 2" xfId="55443" xr:uid="{00000000-0005-0000-0000-0000717E0000}"/>
    <cellStyle name="Normal 4 6 4 2 6" xfId="22950" xr:uid="{00000000-0005-0000-0000-0000727E0000}"/>
    <cellStyle name="Normal 4 6 4 2 7" xfId="22951" xr:uid="{00000000-0005-0000-0000-0000737E0000}"/>
    <cellStyle name="Normal 4 6 4 2 8" xfId="22952" xr:uid="{00000000-0005-0000-0000-0000747E0000}"/>
    <cellStyle name="Normal 4 6 4 2 9" xfId="22953" xr:uid="{00000000-0005-0000-0000-0000757E0000}"/>
    <cellStyle name="Normal 4 6 4 3" xfId="22954" xr:uid="{00000000-0005-0000-0000-0000767E0000}"/>
    <cellStyle name="Normal 4 6 4 3 2" xfId="22955" xr:uid="{00000000-0005-0000-0000-0000777E0000}"/>
    <cellStyle name="Normal 4 6 4 3 2 2" xfId="22956" xr:uid="{00000000-0005-0000-0000-0000787E0000}"/>
    <cellStyle name="Normal 4 6 4 3 2 2 2" xfId="22957" xr:uid="{00000000-0005-0000-0000-0000797E0000}"/>
    <cellStyle name="Normal 4 6 4 3 2 2 2 2" xfId="55444" xr:uid="{00000000-0005-0000-0000-00007A7E0000}"/>
    <cellStyle name="Normal 4 6 4 3 2 2 2 3" xfId="55445" xr:uid="{00000000-0005-0000-0000-00007B7E0000}"/>
    <cellStyle name="Normal 4 6 4 3 2 2 3" xfId="22958" xr:uid="{00000000-0005-0000-0000-00007C7E0000}"/>
    <cellStyle name="Normal 4 6 4 3 2 2 3 2" xfId="55446" xr:uid="{00000000-0005-0000-0000-00007D7E0000}"/>
    <cellStyle name="Normal 4 6 4 3 2 2 4" xfId="22959" xr:uid="{00000000-0005-0000-0000-00007E7E0000}"/>
    <cellStyle name="Normal 4 6 4 3 2 2 5" xfId="22960" xr:uid="{00000000-0005-0000-0000-00007F7E0000}"/>
    <cellStyle name="Normal 4 6 4 3 2 2 6" xfId="22961" xr:uid="{00000000-0005-0000-0000-0000807E0000}"/>
    <cellStyle name="Normal 4 6 4 3 2 3" xfId="22962" xr:uid="{00000000-0005-0000-0000-0000817E0000}"/>
    <cellStyle name="Normal 4 6 4 3 2 3 2" xfId="55447" xr:uid="{00000000-0005-0000-0000-0000827E0000}"/>
    <cellStyle name="Normal 4 6 4 3 2 3 3" xfId="55448" xr:uid="{00000000-0005-0000-0000-0000837E0000}"/>
    <cellStyle name="Normal 4 6 4 3 2 4" xfId="22963" xr:uid="{00000000-0005-0000-0000-0000847E0000}"/>
    <cellStyle name="Normal 4 6 4 3 2 4 2" xfId="55449" xr:uid="{00000000-0005-0000-0000-0000857E0000}"/>
    <cellStyle name="Normal 4 6 4 3 2 5" xfId="22964" xr:uid="{00000000-0005-0000-0000-0000867E0000}"/>
    <cellStyle name="Normal 4 6 4 3 2 6" xfId="22965" xr:uid="{00000000-0005-0000-0000-0000877E0000}"/>
    <cellStyle name="Normal 4 6 4 3 2 7" xfId="22966" xr:uid="{00000000-0005-0000-0000-0000887E0000}"/>
    <cellStyle name="Normal 4 6 4 3 3" xfId="22967" xr:uid="{00000000-0005-0000-0000-0000897E0000}"/>
    <cellStyle name="Normal 4 6 4 3 3 2" xfId="22968" xr:uid="{00000000-0005-0000-0000-00008A7E0000}"/>
    <cellStyle name="Normal 4 6 4 3 3 2 2" xfId="55450" xr:uid="{00000000-0005-0000-0000-00008B7E0000}"/>
    <cellStyle name="Normal 4 6 4 3 3 2 3" xfId="55451" xr:uid="{00000000-0005-0000-0000-00008C7E0000}"/>
    <cellStyle name="Normal 4 6 4 3 3 3" xfId="22969" xr:uid="{00000000-0005-0000-0000-00008D7E0000}"/>
    <cellStyle name="Normal 4 6 4 3 3 3 2" xfId="55452" xr:uid="{00000000-0005-0000-0000-00008E7E0000}"/>
    <cellStyle name="Normal 4 6 4 3 3 4" xfId="22970" xr:uid="{00000000-0005-0000-0000-00008F7E0000}"/>
    <cellStyle name="Normal 4 6 4 3 3 5" xfId="22971" xr:uid="{00000000-0005-0000-0000-0000907E0000}"/>
    <cellStyle name="Normal 4 6 4 3 3 6" xfId="22972" xr:uid="{00000000-0005-0000-0000-0000917E0000}"/>
    <cellStyle name="Normal 4 6 4 3 4" xfId="22973" xr:uid="{00000000-0005-0000-0000-0000927E0000}"/>
    <cellStyle name="Normal 4 6 4 3 4 2" xfId="55453" xr:uid="{00000000-0005-0000-0000-0000937E0000}"/>
    <cellStyle name="Normal 4 6 4 3 4 3" xfId="55454" xr:uid="{00000000-0005-0000-0000-0000947E0000}"/>
    <cellStyle name="Normal 4 6 4 3 5" xfId="22974" xr:uid="{00000000-0005-0000-0000-0000957E0000}"/>
    <cellStyle name="Normal 4 6 4 3 5 2" xfId="55455" xr:uid="{00000000-0005-0000-0000-0000967E0000}"/>
    <cellStyle name="Normal 4 6 4 3 6" xfId="22975" xr:uid="{00000000-0005-0000-0000-0000977E0000}"/>
    <cellStyle name="Normal 4 6 4 3 7" xfId="22976" xr:uid="{00000000-0005-0000-0000-0000987E0000}"/>
    <cellStyle name="Normal 4 6 4 3 8" xfId="22977" xr:uid="{00000000-0005-0000-0000-0000997E0000}"/>
    <cellStyle name="Normal 4 6 4 4" xfId="22978" xr:uid="{00000000-0005-0000-0000-00009A7E0000}"/>
    <cellStyle name="Normal 4 6 4 4 2" xfId="22979" xr:uid="{00000000-0005-0000-0000-00009B7E0000}"/>
    <cellStyle name="Normal 4 6 4 4 2 2" xfId="22980" xr:uid="{00000000-0005-0000-0000-00009C7E0000}"/>
    <cellStyle name="Normal 4 6 4 4 2 2 2" xfId="55456" xr:uid="{00000000-0005-0000-0000-00009D7E0000}"/>
    <cellStyle name="Normal 4 6 4 4 2 2 3" xfId="55457" xr:uid="{00000000-0005-0000-0000-00009E7E0000}"/>
    <cellStyle name="Normal 4 6 4 4 2 3" xfId="22981" xr:uid="{00000000-0005-0000-0000-00009F7E0000}"/>
    <cellStyle name="Normal 4 6 4 4 2 3 2" xfId="55458" xr:uid="{00000000-0005-0000-0000-0000A07E0000}"/>
    <cellStyle name="Normal 4 6 4 4 2 4" xfId="22982" xr:uid="{00000000-0005-0000-0000-0000A17E0000}"/>
    <cellStyle name="Normal 4 6 4 4 2 5" xfId="22983" xr:uid="{00000000-0005-0000-0000-0000A27E0000}"/>
    <cellStyle name="Normal 4 6 4 4 2 6" xfId="22984" xr:uid="{00000000-0005-0000-0000-0000A37E0000}"/>
    <cellStyle name="Normal 4 6 4 4 3" xfId="22985" xr:uid="{00000000-0005-0000-0000-0000A47E0000}"/>
    <cellStyle name="Normal 4 6 4 4 3 2" xfId="55459" xr:uid="{00000000-0005-0000-0000-0000A57E0000}"/>
    <cellStyle name="Normal 4 6 4 4 3 3" xfId="55460" xr:uid="{00000000-0005-0000-0000-0000A67E0000}"/>
    <cellStyle name="Normal 4 6 4 4 4" xfId="22986" xr:uid="{00000000-0005-0000-0000-0000A77E0000}"/>
    <cellStyle name="Normal 4 6 4 4 4 2" xfId="55461" xr:uid="{00000000-0005-0000-0000-0000A87E0000}"/>
    <cellStyle name="Normal 4 6 4 4 5" xfId="22987" xr:uid="{00000000-0005-0000-0000-0000A97E0000}"/>
    <cellStyle name="Normal 4 6 4 4 6" xfId="22988" xr:uid="{00000000-0005-0000-0000-0000AA7E0000}"/>
    <cellStyle name="Normal 4 6 4 4 7" xfId="22989" xr:uid="{00000000-0005-0000-0000-0000AB7E0000}"/>
    <cellStyle name="Normal 4 6 4 5" xfId="22990" xr:uid="{00000000-0005-0000-0000-0000AC7E0000}"/>
    <cellStyle name="Normal 4 6 4 5 2" xfId="22991" xr:uid="{00000000-0005-0000-0000-0000AD7E0000}"/>
    <cellStyle name="Normal 4 6 4 5 2 2" xfId="55462" xr:uid="{00000000-0005-0000-0000-0000AE7E0000}"/>
    <cellStyle name="Normal 4 6 4 5 2 3" xfId="55463" xr:uid="{00000000-0005-0000-0000-0000AF7E0000}"/>
    <cellStyle name="Normal 4 6 4 5 3" xfId="22992" xr:uid="{00000000-0005-0000-0000-0000B07E0000}"/>
    <cellStyle name="Normal 4 6 4 5 3 2" xfId="55464" xr:uid="{00000000-0005-0000-0000-0000B17E0000}"/>
    <cellStyle name="Normal 4 6 4 5 4" xfId="22993" xr:uid="{00000000-0005-0000-0000-0000B27E0000}"/>
    <cellStyle name="Normal 4 6 4 5 5" xfId="22994" xr:uid="{00000000-0005-0000-0000-0000B37E0000}"/>
    <cellStyle name="Normal 4 6 4 5 6" xfId="22995" xr:uid="{00000000-0005-0000-0000-0000B47E0000}"/>
    <cellStyle name="Normal 4 6 4 6" xfId="22996" xr:uid="{00000000-0005-0000-0000-0000B57E0000}"/>
    <cellStyle name="Normal 4 6 4 6 2" xfId="55465" xr:uid="{00000000-0005-0000-0000-0000B67E0000}"/>
    <cellStyle name="Normal 4 6 4 6 3" xfId="55466" xr:uid="{00000000-0005-0000-0000-0000B77E0000}"/>
    <cellStyle name="Normal 4 6 4 7" xfId="22997" xr:uid="{00000000-0005-0000-0000-0000B87E0000}"/>
    <cellStyle name="Normal 4 6 4 7 2" xfId="55467" xr:uid="{00000000-0005-0000-0000-0000B97E0000}"/>
    <cellStyle name="Normal 4 6 4 8" xfId="22998" xr:uid="{00000000-0005-0000-0000-0000BA7E0000}"/>
    <cellStyle name="Normal 4 6 4 9" xfId="22999" xr:uid="{00000000-0005-0000-0000-0000BB7E0000}"/>
    <cellStyle name="Normal 4 6 5" xfId="23000" xr:uid="{00000000-0005-0000-0000-0000BC7E0000}"/>
    <cellStyle name="Normal 4 6 5 10" xfId="23001" xr:uid="{00000000-0005-0000-0000-0000BD7E0000}"/>
    <cellStyle name="Normal 4 6 5 11" xfId="23002" xr:uid="{00000000-0005-0000-0000-0000BE7E0000}"/>
    <cellStyle name="Normal 4 6 5 12" xfId="23003" xr:uid="{00000000-0005-0000-0000-0000BF7E0000}"/>
    <cellStyle name="Normal 4 6 5 13" xfId="23004" xr:uid="{00000000-0005-0000-0000-0000C07E0000}"/>
    <cellStyle name="Normal 4 6 5 14" xfId="23005" xr:uid="{00000000-0005-0000-0000-0000C17E0000}"/>
    <cellStyle name="Normal 4 6 5 2" xfId="23006" xr:uid="{00000000-0005-0000-0000-0000C27E0000}"/>
    <cellStyle name="Normal 4 6 5 2 2" xfId="23007" xr:uid="{00000000-0005-0000-0000-0000C37E0000}"/>
    <cellStyle name="Normal 4 6 5 2 2 2" xfId="23008" xr:uid="{00000000-0005-0000-0000-0000C47E0000}"/>
    <cellStyle name="Normal 4 6 5 2 2 2 2" xfId="23009" xr:uid="{00000000-0005-0000-0000-0000C57E0000}"/>
    <cellStyle name="Normal 4 6 5 2 2 2 2 2" xfId="55468" xr:uid="{00000000-0005-0000-0000-0000C67E0000}"/>
    <cellStyle name="Normal 4 6 5 2 2 2 2 3" xfId="55469" xr:uid="{00000000-0005-0000-0000-0000C77E0000}"/>
    <cellStyle name="Normal 4 6 5 2 2 2 3" xfId="23010" xr:uid="{00000000-0005-0000-0000-0000C87E0000}"/>
    <cellStyle name="Normal 4 6 5 2 2 2 3 2" xfId="55470" xr:uid="{00000000-0005-0000-0000-0000C97E0000}"/>
    <cellStyle name="Normal 4 6 5 2 2 2 4" xfId="23011" xr:uid="{00000000-0005-0000-0000-0000CA7E0000}"/>
    <cellStyle name="Normal 4 6 5 2 2 2 5" xfId="23012" xr:uid="{00000000-0005-0000-0000-0000CB7E0000}"/>
    <cellStyle name="Normal 4 6 5 2 2 2 6" xfId="23013" xr:uid="{00000000-0005-0000-0000-0000CC7E0000}"/>
    <cellStyle name="Normal 4 6 5 2 2 3" xfId="23014" xr:uid="{00000000-0005-0000-0000-0000CD7E0000}"/>
    <cellStyle name="Normal 4 6 5 2 2 3 2" xfId="55471" xr:uid="{00000000-0005-0000-0000-0000CE7E0000}"/>
    <cellStyle name="Normal 4 6 5 2 2 3 3" xfId="55472" xr:uid="{00000000-0005-0000-0000-0000CF7E0000}"/>
    <cellStyle name="Normal 4 6 5 2 2 4" xfId="23015" xr:uid="{00000000-0005-0000-0000-0000D07E0000}"/>
    <cellStyle name="Normal 4 6 5 2 2 4 2" xfId="55473" xr:uid="{00000000-0005-0000-0000-0000D17E0000}"/>
    <cellStyle name="Normal 4 6 5 2 2 5" xfId="23016" xr:uid="{00000000-0005-0000-0000-0000D27E0000}"/>
    <cellStyle name="Normal 4 6 5 2 2 6" xfId="23017" xr:uid="{00000000-0005-0000-0000-0000D37E0000}"/>
    <cellStyle name="Normal 4 6 5 2 2 7" xfId="23018" xr:uid="{00000000-0005-0000-0000-0000D47E0000}"/>
    <cellStyle name="Normal 4 6 5 2 3" xfId="23019" xr:uid="{00000000-0005-0000-0000-0000D57E0000}"/>
    <cellStyle name="Normal 4 6 5 2 3 2" xfId="23020" xr:uid="{00000000-0005-0000-0000-0000D67E0000}"/>
    <cellStyle name="Normal 4 6 5 2 3 2 2" xfId="55474" xr:uid="{00000000-0005-0000-0000-0000D77E0000}"/>
    <cellStyle name="Normal 4 6 5 2 3 2 3" xfId="55475" xr:uid="{00000000-0005-0000-0000-0000D87E0000}"/>
    <cellStyle name="Normal 4 6 5 2 3 3" xfId="23021" xr:uid="{00000000-0005-0000-0000-0000D97E0000}"/>
    <cellStyle name="Normal 4 6 5 2 3 3 2" xfId="55476" xr:uid="{00000000-0005-0000-0000-0000DA7E0000}"/>
    <cellStyle name="Normal 4 6 5 2 3 4" xfId="23022" xr:uid="{00000000-0005-0000-0000-0000DB7E0000}"/>
    <cellStyle name="Normal 4 6 5 2 3 5" xfId="23023" xr:uid="{00000000-0005-0000-0000-0000DC7E0000}"/>
    <cellStyle name="Normal 4 6 5 2 3 6" xfId="23024" xr:uid="{00000000-0005-0000-0000-0000DD7E0000}"/>
    <cellStyle name="Normal 4 6 5 2 4" xfId="23025" xr:uid="{00000000-0005-0000-0000-0000DE7E0000}"/>
    <cellStyle name="Normal 4 6 5 2 4 2" xfId="55477" xr:uid="{00000000-0005-0000-0000-0000DF7E0000}"/>
    <cellStyle name="Normal 4 6 5 2 4 3" xfId="55478" xr:uid="{00000000-0005-0000-0000-0000E07E0000}"/>
    <cellStyle name="Normal 4 6 5 2 5" xfId="23026" xr:uid="{00000000-0005-0000-0000-0000E17E0000}"/>
    <cellStyle name="Normal 4 6 5 2 5 2" xfId="55479" xr:uid="{00000000-0005-0000-0000-0000E27E0000}"/>
    <cellStyle name="Normal 4 6 5 2 6" xfId="23027" xr:uid="{00000000-0005-0000-0000-0000E37E0000}"/>
    <cellStyle name="Normal 4 6 5 2 7" xfId="23028" xr:uid="{00000000-0005-0000-0000-0000E47E0000}"/>
    <cellStyle name="Normal 4 6 5 2 8" xfId="23029" xr:uid="{00000000-0005-0000-0000-0000E57E0000}"/>
    <cellStyle name="Normal 4 6 5 2 9" xfId="23030" xr:uid="{00000000-0005-0000-0000-0000E67E0000}"/>
    <cellStyle name="Normal 4 6 5 3" xfId="23031" xr:uid="{00000000-0005-0000-0000-0000E77E0000}"/>
    <cellStyle name="Normal 4 6 5 3 2" xfId="23032" xr:uid="{00000000-0005-0000-0000-0000E87E0000}"/>
    <cellStyle name="Normal 4 6 5 3 2 2" xfId="23033" xr:uid="{00000000-0005-0000-0000-0000E97E0000}"/>
    <cellStyle name="Normal 4 6 5 3 2 2 2" xfId="23034" xr:uid="{00000000-0005-0000-0000-0000EA7E0000}"/>
    <cellStyle name="Normal 4 6 5 3 2 2 2 2" xfId="55480" xr:uid="{00000000-0005-0000-0000-0000EB7E0000}"/>
    <cellStyle name="Normal 4 6 5 3 2 2 2 3" xfId="55481" xr:uid="{00000000-0005-0000-0000-0000EC7E0000}"/>
    <cellStyle name="Normal 4 6 5 3 2 2 3" xfId="23035" xr:uid="{00000000-0005-0000-0000-0000ED7E0000}"/>
    <cellStyle name="Normal 4 6 5 3 2 2 3 2" xfId="55482" xr:uid="{00000000-0005-0000-0000-0000EE7E0000}"/>
    <cellStyle name="Normal 4 6 5 3 2 2 4" xfId="23036" xr:uid="{00000000-0005-0000-0000-0000EF7E0000}"/>
    <cellStyle name="Normal 4 6 5 3 2 2 5" xfId="23037" xr:uid="{00000000-0005-0000-0000-0000F07E0000}"/>
    <cellStyle name="Normal 4 6 5 3 2 2 6" xfId="23038" xr:uid="{00000000-0005-0000-0000-0000F17E0000}"/>
    <cellStyle name="Normal 4 6 5 3 2 3" xfId="23039" xr:uid="{00000000-0005-0000-0000-0000F27E0000}"/>
    <cellStyle name="Normal 4 6 5 3 2 3 2" xfId="55483" xr:uid="{00000000-0005-0000-0000-0000F37E0000}"/>
    <cellStyle name="Normal 4 6 5 3 2 3 3" xfId="55484" xr:uid="{00000000-0005-0000-0000-0000F47E0000}"/>
    <cellStyle name="Normal 4 6 5 3 2 4" xfId="23040" xr:uid="{00000000-0005-0000-0000-0000F57E0000}"/>
    <cellStyle name="Normal 4 6 5 3 2 4 2" xfId="55485" xr:uid="{00000000-0005-0000-0000-0000F67E0000}"/>
    <cellStyle name="Normal 4 6 5 3 2 5" xfId="23041" xr:uid="{00000000-0005-0000-0000-0000F77E0000}"/>
    <cellStyle name="Normal 4 6 5 3 2 6" xfId="23042" xr:uid="{00000000-0005-0000-0000-0000F87E0000}"/>
    <cellStyle name="Normal 4 6 5 3 2 7" xfId="23043" xr:uid="{00000000-0005-0000-0000-0000F97E0000}"/>
    <cellStyle name="Normal 4 6 5 3 3" xfId="23044" xr:uid="{00000000-0005-0000-0000-0000FA7E0000}"/>
    <cellStyle name="Normal 4 6 5 3 3 2" xfId="23045" xr:uid="{00000000-0005-0000-0000-0000FB7E0000}"/>
    <cellStyle name="Normal 4 6 5 3 3 2 2" xfId="55486" xr:uid="{00000000-0005-0000-0000-0000FC7E0000}"/>
    <cellStyle name="Normal 4 6 5 3 3 2 3" xfId="55487" xr:uid="{00000000-0005-0000-0000-0000FD7E0000}"/>
    <cellStyle name="Normal 4 6 5 3 3 3" xfId="23046" xr:uid="{00000000-0005-0000-0000-0000FE7E0000}"/>
    <cellStyle name="Normal 4 6 5 3 3 3 2" xfId="55488" xr:uid="{00000000-0005-0000-0000-0000FF7E0000}"/>
    <cellStyle name="Normal 4 6 5 3 3 4" xfId="23047" xr:uid="{00000000-0005-0000-0000-0000007F0000}"/>
    <cellStyle name="Normal 4 6 5 3 3 5" xfId="23048" xr:uid="{00000000-0005-0000-0000-0000017F0000}"/>
    <cellStyle name="Normal 4 6 5 3 3 6" xfId="23049" xr:uid="{00000000-0005-0000-0000-0000027F0000}"/>
    <cellStyle name="Normal 4 6 5 3 4" xfId="23050" xr:uid="{00000000-0005-0000-0000-0000037F0000}"/>
    <cellStyle name="Normal 4 6 5 3 4 2" xfId="55489" xr:uid="{00000000-0005-0000-0000-0000047F0000}"/>
    <cellStyle name="Normal 4 6 5 3 4 3" xfId="55490" xr:uid="{00000000-0005-0000-0000-0000057F0000}"/>
    <cellStyle name="Normal 4 6 5 3 5" xfId="23051" xr:uid="{00000000-0005-0000-0000-0000067F0000}"/>
    <cellStyle name="Normal 4 6 5 3 5 2" xfId="55491" xr:uid="{00000000-0005-0000-0000-0000077F0000}"/>
    <cellStyle name="Normal 4 6 5 3 6" xfId="23052" xr:uid="{00000000-0005-0000-0000-0000087F0000}"/>
    <cellStyle name="Normal 4 6 5 3 7" xfId="23053" xr:uid="{00000000-0005-0000-0000-0000097F0000}"/>
    <cellStyle name="Normal 4 6 5 3 8" xfId="23054" xr:uid="{00000000-0005-0000-0000-00000A7F0000}"/>
    <cellStyle name="Normal 4 6 5 4" xfId="23055" xr:uid="{00000000-0005-0000-0000-00000B7F0000}"/>
    <cellStyle name="Normal 4 6 5 4 2" xfId="23056" xr:uid="{00000000-0005-0000-0000-00000C7F0000}"/>
    <cellStyle name="Normal 4 6 5 4 2 2" xfId="23057" xr:uid="{00000000-0005-0000-0000-00000D7F0000}"/>
    <cellStyle name="Normal 4 6 5 4 2 2 2" xfId="55492" xr:uid="{00000000-0005-0000-0000-00000E7F0000}"/>
    <cellStyle name="Normal 4 6 5 4 2 2 3" xfId="55493" xr:uid="{00000000-0005-0000-0000-00000F7F0000}"/>
    <cellStyle name="Normal 4 6 5 4 2 3" xfId="23058" xr:uid="{00000000-0005-0000-0000-0000107F0000}"/>
    <cellStyle name="Normal 4 6 5 4 2 3 2" xfId="55494" xr:uid="{00000000-0005-0000-0000-0000117F0000}"/>
    <cellStyle name="Normal 4 6 5 4 2 4" xfId="23059" xr:uid="{00000000-0005-0000-0000-0000127F0000}"/>
    <cellStyle name="Normal 4 6 5 4 2 5" xfId="23060" xr:uid="{00000000-0005-0000-0000-0000137F0000}"/>
    <cellStyle name="Normal 4 6 5 4 2 6" xfId="23061" xr:uid="{00000000-0005-0000-0000-0000147F0000}"/>
    <cellStyle name="Normal 4 6 5 4 3" xfId="23062" xr:uid="{00000000-0005-0000-0000-0000157F0000}"/>
    <cellStyle name="Normal 4 6 5 4 3 2" xfId="55495" xr:uid="{00000000-0005-0000-0000-0000167F0000}"/>
    <cellStyle name="Normal 4 6 5 4 3 3" xfId="55496" xr:uid="{00000000-0005-0000-0000-0000177F0000}"/>
    <cellStyle name="Normal 4 6 5 4 4" xfId="23063" xr:uid="{00000000-0005-0000-0000-0000187F0000}"/>
    <cellStyle name="Normal 4 6 5 4 4 2" xfId="55497" xr:uid="{00000000-0005-0000-0000-0000197F0000}"/>
    <cellStyle name="Normal 4 6 5 4 5" xfId="23064" xr:uid="{00000000-0005-0000-0000-00001A7F0000}"/>
    <cellStyle name="Normal 4 6 5 4 6" xfId="23065" xr:uid="{00000000-0005-0000-0000-00001B7F0000}"/>
    <cellStyle name="Normal 4 6 5 4 7" xfId="23066" xr:uid="{00000000-0005-0000-0000-00001C7F0000}"/>
    <cellStyle name="Normal 4 6 5 5" xfId="23067" xr:uid="{00000000-0005-0000-0000-00001D7F0000}"/>
    <cellStyle name="Normal 4 6 5 5 2" xfId="23068" xr:uid="{00000000-0005-0000-0000-00001E7F0000}"/>
    <cellStyle name="Normal 4 6 5 5 2 2" xfId="55498" xr:uid="{00000000-0005-0000-0000-00001F7F0000}"/>
    <cellStyle name="Normal 4 6 5 5 2 3" xfId="55499" xr:uid="{00000000-0005-0000-0000-0000207F0000}"/>
    <cellStyle name="Normal 4 6 5 5 3" xfId="23069" xr:uid="{00000000-0005-0000-0000-0000217F0000}"/>
    <cellStyle name="Normal 4 6 5 5 3 2" xfId="55500" xr:uid="{00000000-0005-0000-0000-0000227F0000}"/>
    <cellStyle name="Normal 4 6 5 5 4" xfId="23070" xr:uid="{00000000-0005-0000-0000-0000237F0000}"/>
    <cellStyle name="Normal 4 6 5 5 5" xfId="23071" xr:uid="{00000000-0005-0000-0000-0000247F0000}"/>
    <cellStyle name="Normal 4 6 5 5 6" xfId="23072" xr:uid="{00000000-0005-0000-0000-0000257F0000}"/>
    <cellStyle name="Normal 4 6 5 6" xfId="23073" xr:uid="{00000000-0005-0000-0000-0000267F0000}"/>
    <cellStyle name="Normal 4 6 5 6 2" xfId="55501" xr:uid="{00000000-0005-0000-0000-0000277F0000}"/>
    <cellStyle name="Normal 4 6 5 6 3" xfId="55502" xr:uid="{00000000-0005-0000-0000-0000287F0000}"/>
    <cellStyle name="Normal 4 6 5 7" xfId="23074" xr:uid="{00000000-0005-0000-0000-0000297F0000}"/>
    <cellStyle name="Normal 4 6 5 7 2" xfId="55503" xr:uid="{00000000-0005-0000-0000-00002A7F0000}"/>
    <cellStyle name="Normal 4 6 5 8" xfId="23075" xr:uid="{00000000-0005-0000-0000-00002B7F0000}"/>
    <cellStyle name="Normal 4 6 5 9" xfId="23076" xr:uid="{00000000-0005-0000-0000-00002C7F0000}"/>
    <cellStyle name="Normal 4 6 6" xfId="23077" xr:uid="{00000000-0005-0000-0000-00002D7F0000}"/>
    <cellStyle name="Normal 4 6 6 10" xfId="23078" xr:uid="{00000000-0005-0000-0000-00002E7F0000}"/>
    <cellStyle name="Normal 4 6 6 11" xfId="23079" xr:uid="{00000000-0005-0000-0000-00002F7F0000}"/>
    <cellStyle name="Normal 4 6 6 12" xfId="23080" xr:uid="{00000000-0005-0000-0000-0000307F0000}"/>
    <cellStyle name="Normal 4 6 6 13" xfId="23081" xr:uid="{00000000-0005-0000-0000-0000317F0000}"/>
    <cellStyle name="Normal 4 6 6 2" xfId="23082" xr:uid="{00000000-0005-0000-0000-0000327F0000}"/>
    <cellStyle name="Normal 4 6 6 2 2" xfId="23083" xr:uid="{00000000-0005-0000-0000-0000337F0000}"/>
    <cellStyle name="Normal 4 6 6 2 2 2" xfId="23084" xr:uid="{00000000-0005-0000-0000-0000347F0000}"/>
    <cellStyle name="Normal 4 6 6 2 2 2 2" xfId="23085" xr:uid="{00000000-0005-0000-0000-0000357F0000}"/>
    <cellStyle name="Normal 4 6 6 2 2 2 2 2" xfId="55504" xr:uid="{00000000-0005-0000-0000-0000367F0000}"/>
    <cellStyle name="Normal 4 6 6 2 2 2 2 3" xfId="55505" xr:uid="{00000000-0005-0000-0000-0000377F0000}"/>
    <cellStyle name="Normal 4 6 6 2 2 2 3" xfId="23086" xr:uid="{00000000-0005-0000-0000-0000387F0000}"/>
    <cellStyle name="Normal 4 6 6 2 2 2 3 2" xfId="55506" xr:uid="{00000000-0005-0000-0000-0000397F0000}"/>
    <cellStyle name="Normal 4 6 6 2 2 2 4" xfId="23087" xr:uid="{00000000-0005-0000-0000-00003A7F0000}"/>
    <cellStyle name="Normal 4 6 6 2 2 2 5" xfId="23088" xr:uid="{00000000-0005-0000-0000-00003B7F0000}"/>
    <cellStyle name="Normal 4 6 6 2 2 2 6" xfId="23089" xr:uid="{00000000-0005-0000-0000-00003C7F0000}"/>
    <cellStyle name="Normal 4 6 6 2 2 3" xfId="23090" xr:uid="{00000000-0005-0000-0000-00003D7F0000}"/>
    <cellStyle name="Normal 4 6 6 2 2 3 2" xfId="55507" xr:uid="{00000000-0005-0000-0000-00003E7F0000}"/>
    <cellStyle name="Normal 4 6 6 2 2 3 3" xfId="55508" xr:uid="{00000000-0005-0000-0000-00003F7F0000}"/>
    <cellStyle name="Normal 4 6 6 2 2 4" xfId="23091" xr:uid="{00000000-0005-0000-0000-0000407F0000}"/>
    <cellStyle name="Normal 4 6 6 2 2 4 2" xfId="55509" xr:uid="{00000000-0005-0000-0000-0000417F0000}"/>
    <cellStyle name="Normal 4 6 6 2 2 5" xfId="23092" xr:uid="{00000000-0005-0000-0000-0000427F0000}"/>
    <cellStyle name="Normal 4 6 6 2 2 6" xfId="23093" xr:uid="{00000000-0005-0000-0000-0000437F0000}"/>
    <cellStyle name="Normal 4 6 6 2 2 7" xfId="23094" xr:uid="{00000000-0005-0000-0000-0000447F0000}"/>
    <cellStyle name="Normal 4 6 6 2 3" xfId="23095" xr:uid="{00000000-0005-0000-0000-0000457F0000}"/>
    <cellStyle name="Normal 4 6 6 2 3 2" xfId="23096" xr:uid="{00000000-0005-0000-0000-0000467F0000}"/>
    <cellStyle name="Normal 4 6 6 2 3 2 2" xfId="55510" xr:uid="{00000000-0005-0000-0000-0000477F0000}"/>
    <cellStyle name="Normal 4 6 6 2 3 2 3" xfId="55511" xr:uid="{00000000-0005-0000-0000-0000487F0000}"/>
    <cellStyle name="Normal 4 6 6 2 3 3" xfId="23097" xr:uid="{00000000-0005-0000-0000-0000497F0000}"/>
    <cellStyle name="Normal 4 6 6 2 3 3 2" xfId="55512" xr:uid="{00000000-0005-0000-0000-00004A7F0000}"/>
    <cellStyle name="Normal 4 6 6 2 3 4" xfId="23098" xr:uid="{00000000-0005-0000-0000-00004B7F0000}"/>
    <cellStyle name="Normal 4 6 6 2 3 5" xfId="23099" xr:uid="{00000000-0005-0000-0000-00004C7F0000}"/>
    <cellStyle name="Normal 4 6 6 2 3 6" xfId="23100" xr:uid="{00000000-0005-0000-0000-00004D7F0000}"/>
    <cellStyle name="Normal 4 6 6 2 4" xfId="23101" xr:uid="{00000000-0005-0000-0000-00004E7F0000}"/>
    <cellStyle name="Normal 4 6 6 2 4 2" xfId="55513" xr:uid="{00000000-0005-0000-0000-00004F7F0000}"/>
    <cellStyle name="Normal 4 6 6 2 4 3" xfId="55514" xr:uid="{00000000-0005-0000-0000-0000507F0000}"/>
    <cellStyle name="Normal 4 6 6 2 5" xfId="23102" xr:uid="{00000000-0005-0000-0000-0000517F0000}"/>
    <cellStyle name="Normal 4 6 6 2 5 2" xfId="55515" xr:uid="{00000000-0005-0000-0000-0000527F0000}"/>
    <cellStyle name="Normal 4 6 6 2 6" xfId="23103" xr:uid="{00000000-0005-0000-0000-0000537F0000}"/>
    <cellStyle name="Normal 4 6 6 2 7" xfId="23104" xr:uid="{00000000-0005-0000-0000-0000547F0000}"/>
    <cellStyle name="Normal 4 6 6 2 8" xfId="23105" xr:uid="{00000000-0005-0000-0000-0000557F0000}"/>
    <cellStyle name="Normal 4 6 6 2 9" xfId="23106" xr:uid="{00000000-0005-0000-0000-0000567F0000}"/>
    <cellStyle name="Normal 4 6 6 3" xfId="23107" xr:uid="{00000000-0005-0000-0000-0000577F0000}"/>
    <cellStyle name="Normal 4 6 6 3 2" xfId="23108" xr:uid="{00000000-0005-0000-0000-0000587F0000}"/>
    <cellStyle name="Normal 4 6 6 3 2 2" xfId="23109" xr:uid="{00000000-0005-0000-0000-0000597F0000}"/>
    <cellStyle name="Normal 4 6 6 3 2 2 2" xfId="55516" xr:uid="{00000000-0005-0000-0000-00005A7F0000}"/>
    <cellStyle name="Normal 4 6 6 3 2 2 3" xfId="55517" xr:uid="{00000000-0005-0000-0000-00005B7F0000}"/>
    <cellStyle name="Normal 4 6 6 3 2 3" xfId="23110" xr:uid="{00000000-0005-0000-0000-00005C7F0000}"/>
    <cellStyle name="Normal 4 6 6 3 2 3 2" xfId="55518" xr:uid="{00000000-0005-0000-0000-00005D7F0000}"/>
    <cellStyle name="Normal 4 6 6 3 2 4" xfId="23111" xr:uid="{00000000-0005-0000-0000-00005E7F0000}"/>
    <cellStyle name="Normal 4 6 6 3 2 5" xfId="23112" xr:uid="{00000000-0005-0000-0000-00005F7F0000}"/>
    <cellStyle name="Normal 4 6 6 3 2 6" xfId="23113" xr:uid="{00000000-0005-0000-0000-0000607F0000}"/>
    <cellStyle name="Normal 4 6 6 3 3" xfId="23114" xr:uid="{00000000-0005-0000-0000-0000617F0000}"/>
    <cellStyle name="Normal 4 6 6 3 3 2" xfId="55519" xr:uid="{00000000-0005-0000-0000-0000627F0000}"/>
    <cellStyle name="Normal 4 6 6 3 3 3" xfId="55520" xr:uid="{00000000-0005-0000-0000-0000637F0000}"/>
    <cellStyle name="Normal 4 6 6 3 4" xfId="23115" xr:uid="{00000000-0005-0000-0000-0000647F0000}"/>
    <cellStyle name="Normal 4 6 6 3 4 2" xfId="55521" xr:uid="{00000000-0005-0000-0000-0000657F0000}"/>
    <cellStyle name="Normal 4 6 6 3 5" xfId="23116" xr:uid="{00000000-0005-0000-0000-0000667F0000}"/>
    <cellStyle name="Normal 4 6 6 3 6" xfId="23117" xr:uid="{00000000-0005-0000-0000-0000677F0000}"/>
    <cellStyle name="Normal 4 6 6 3 7" xfId="23118" xr:uid="{00000000-0005-0000-0000-0000687F0000}"/>
    <cellStyle name="Normal 4 6 6 4" xfId="23119" xr:uid="{00000000-0005-0000-0000-0000697F0000}"/>
    <cellStyle name="Normal 4 6 6 4 2" xfId="23120" xr:uid="{00000000-0005-0000-0000-00006A7F0000}"/>
    <cellStyle name="Normal 4 6 6 4 2 2" xfId="55522" xr:uid="{00000000-0005-0000-0000-00006B7F0000}"/>
    <cellStyle name="Normal 4 6 6 4 2 3" xfId="55523" xr:uid="{00000000-0005-0000-0000-00006C7F0000}"/>
    <cellStyle name="Normal 4 6 6 4 3" xfId="23121" xr:uid="{00000000-0005-0000-0000-00006D7F0000}"/>
    <cellStyle name="Normal 4 6 6 4 3 2" xfId="55524" xr:uid="{00000000-0005-0000-0000-00006E7F0000}"/>
    <cellStyle name="Normal 4 6 6 4 4" xfId="23122" xr:uid="{00000000-0005-0000-0000-00006F7F0000}"/>
    <cellStyle name="Normal 4 6 6 4 5" xfId="23123" xr:uid="{00000000-0005-0000-0000-0000707F0000}"/>
    <cellStyle name="Normal 4 6 6 4 6" xfId="23124" xr:uid="{00000000-0005-0000-0000-0000717F0000}"/>
    <cellStyle name="Normal 4 6 6 5" xfId="23125" xr:uid="{00000000-0005-0000-0000-0000727F0000}"/>
    <cellStyle name="Normal 4 6 6 5 2" xfId="55525" xr:uid="{00000000-0005-0000-0000-0000737F0000}"/>
    <cellStyle name="Normal 4 6 6 5 3" xfId="55526" xr:uid="{00000000-0005-0000-0000-0000747F0000}"/>
    <cellStyle name="Normal 4 6 6 6" xfId="23126" xr:uid="{00000000-0005-0000-0000-0000757F0000}"/>
    <cellStyle name="Normal 4 6 6 6 2" xfId="55527" xr:uid="{00000000-0005-0000-0000-0000767F0000}"/>
    <cellStyle name="Normal 4 6 6 7" xfId="23127" xr:uid="{00000000-0005-0000-0000-0000777F0000}"/>
    <cellStyle name="Normal 4 6 6 8" xfId="23128" xr:uid="{00000000-0005-0000-0000-0000787F0000}"/>
    <cellStyle name="Normal 4 6 6 9" xfId="23129" xr:uid="{00000000-0005-0000-0000-0000797F0000}"/>
    <cellStyle name="Normal 4 6 7" xfId="23130" xr:uid="{00000000-0005-0000-0000-00007A7F0000}"/>
    <cellStyle name="Normal 4 6 7 2" xfId="23131" xr:uid="{00000000-0005-0000-0000-00007B7F0000}"/>
    <cellStyle name="Normal 4 6 7 2 2" xfId="23132" xr:uid="{00000000-0005-0000-0000-00007C7F0000}"/>
    <cellStyle name="Normal 4 6 7 2 2 2" xfId="23133" xr:uid="{00000000-0005-0000-0000-00007D7F0000}"/>
    <cellStyle name="Normal 4 6 7 2 2 2 2" xfId="55528" xr:uid="{00000000-0005-0000-0000-00007E7F0000}"/>
    <cellStyle name="Normal 4 6 7 2 2 2 3" xfId="55529" xr:uid="{00000000-0005-0000-0000-00007F7F0000}"/>
    <cellStyle name="Normal 4 6 7 2 2 3" xfId="23134" xr:uid="{00000000-0005-0000-0000-0000807F0000}"/>
    <cellStyle name="Normal 4 6 7 2 2 3 2" xfId="55530" xr:uid="{00000000-0005-0000-0000-0000817F0000}"/>
    <cellStyle name="Normal 4 6 7 2 2 4" xfId="23135" xr:uid="{00000000-0005-0000-0000-0000827F0000}"/>
    <cellStyle name="Normal 4 6 7 2 2 5" xfId="23136" xr:uid="{00000000-0005-0000-0000-0000837F0000}"/>
    <cellStyle name="Normal 4 6 7 2 2 6" xfId="23137" xr:uid="{00000000-0005-0000-0000-0000847F0000}"/>
    <cellStyle name="Normal 4 6 7 2 3" xfId="23138" xr:uid="{00000000-0005-0000-0000-0000857F0000}"/>
    <cellStyle name="Normal 4 6 7 2 3 2" xfId="55531" xr:uid="{00000000-0005-0000-0000-0000867F0000}"/>
    <cellStyle name="Normal 4 6 7 2 3 3" xfId="55532" xr:uid="{00000000-0005-0000-0000-0000877F0000}"/>
    <cellStyle name="Normal 4 6 7 2 4" xfId="23139" xr:uid="{00000000-0005-0000-0000-0000887F0000}"/>
    <cellStyle name="Normal 4 6 7 2 4 2" xfId="55533" xr:uid="{00000000-0005-0000-0000-0000897F0000}"/>
    <cellStyle name="Normal 4 6 7 2 5" xfId="23140" xr:uid="{00000000-0005-0000-0000-00008A7F0000}"/>
    <cellStyle name="Normal 4 6 7 2 6" xfId="23141" xr:uid="{00000000-0005-0000-0000-00008B7F0000}"/>
    <cellStyle name="Normal 4 6 7 2 7" xfId="23142" xr:uid="{00000000-0005-0000-0000-00008C7F0000}"/>
    <cellStyle name="Normal 4 6 7 3" xfId="23143" xr:uid="{00000000-0005-0000-0000-00008D7F0000}"/>
    <cellStyle name="Normal 4 6 7 3 2" xfId="23144" xr:uid="{00000000-0005-0000-0000-00008E7F0000}"/>
    <cellStyle name="Normal 4 6 7 3 2 2" xfId="55534" xr:uid="{00000000-0005-0000-0000-00008F7F0000}"/>
    <cellStyle name="Normal 4 6 7 3 2 3" xfId="55535" xr:uid="{00000000-0005-0000-0000-0000907F0000}"/>
    <cellStyle name="Normal 4 6 7 3 3" xfId="23145" xr:uid="{00000000-0005-0000-0000-0000917F0000}"/>
    <cellStyle name="Normal 4 6 7 3 3 2" xfId="55536" xr:uid="{00000000-0005-0000-0000-0000927F0000}"/>
    <cellStyle name="Normal 4 6 7 3 4" xfId="23146" xr:uid="{00000000-0005-0000-0000-0000937F0000}"/>
    <cellStyle name="Normal 4 6 7 3 5" xfId="23147" xr:uid="{00000000-0005-0000-0000-0000947F0000}"/>
    <cellStyle name="Normal 4 6 7 3 6" xfId="23148" xr:uid="{00000000-0005-0000-0000-0000957F0000}"/>
    <cellStyle name="Normal 4 6 7 4" xfId="23149" xr:uid="{00000000-0005-0000-0000-0000967F0000}"/>
    <cellStyle name="Normal 4 6 7 4 2" xfId="55537" xr:uid="{00000000-0005-0000-0000-0000977F0000}"/>
    <cellStyle name="Normal 4 6 7 4 3" xfId="55538" xr:uid="{00000000-0005-0000-0000-0000987F0000}"/>
    <cellStyle name="Normal 4 6 7 5" xfId="23150" xr:uid="{00000000-0005-0000-0000-0000997F0000}"/>
    <cellStyle name="Normal 4 6 7 5 2" xfId="55539" xr:uid="{00000000-0005-0000-0000-00009A7F0000}"/>
    <cellStyle name="Normal 4 6 7 6" xfId="23151" xr:uid="{00000000-0005-0000-0000-00009B7F0000}"/>
    <cellStyle name="Normal 4 6 7 7" xfId="23152" xr:uid="{00000000-0005-0000-0000-00009C7F0000}"/>
    <cellStyle name="Normal 4 6 7 8" xfId="23153" xr:uid="{00000000-0005-0000-0000-00009D7F0000}"/>
    <cellStyle name="Normal 4 6 7 9" xfId="23154" xr:uid="{00000000-0005-0000-0000-00009E7F0000}"/>
    <cellStyle name="Normal 4 6 8" xfId="23155" xr:uid="{00000000-0005-0000-0000-00009F7F0000}"/>
    <cellStyle name="Normal 4 6 8 2" xfId="23156" xr:uid="{00000000-0005-0000-0000-0000A07F0000}"/>
    <cellStyle name="Normal 4 6 8 2 2" xfId="23157" xr:uid="{00000000-0005-0000-0000-0000A17F0000}"/>
    <cellStyle name="Normal 4 6 8 2 2 2" xfId="23158" xr:uid="{00000000-0005-0000-0000-0000A27F0000}"/>
    <cellStyle name="Normal 4 6 8 2 2 2 2" xfId="55540" xr:uid="{00000000-0005-0000-0000-0000A37F0000}"/>
    <cellStyle name="Normal 4 6 8 2 2 2 3" xfId="55541" xr:uid="{00000000-0005-0000-0000-0000A47F0000}"/>
    <cellStyle name="Normal 4 6 8 2 2 3" xfId="23159" xr:uid="{00000000-0005-0000-0000-0000A57F0000}"/>
    <cellStyle name="Normal 4 6 8 2 2 3 2" xfId="55542" xr:uid="{00000000-0005-0000-0000-0000A67F0000}"/>
    <cellStyle name="Normal 4 6 8 2 2 4" xfId="23160" xr:uid="{00000000-0005-0000-0000-0000A77F0000}"/>
    <cellStyle name="Normal 4 6 8 2 2 5" xfId="23161" xr:uid="{00000000-0005-0000-0000-0000A87F0000}"/>
    <cellStyle name="Normal 4 6 8 2 2 6" xfId="23162" xr:uid="{00000000-0005-0000-0000-0000A97F0000}"/>
    <cellStyle name="Normal 4 6 8 2 3" xfId="23163" xr:uid="{00000000-0005-0000-0000-0000AA7F0000}"/>
    <cellStyle name="Normal 4 6 8 2 3 2" xfId="55543" xr:uid="{00000000-0005-0000-0000-0000AB7F0000}"/>
    <cellStyle name="Normal 4 6 8 2 3 3" xfId="55544" xr:uid="{00000000-0005-0000-0000-0000AC7F0000}"/>
    <cellStyle name="Normal 4 6 8 2 4" xfId="23164" xr:uid="{00000000-0005-0000-0000-0000AD7F0000}"/>
    <cellStyle name="Normal 4 6 8 2 4 2" xfId="55545" xr:uid="{00000000-0005-0000-0000-0000AE7F0000}"/>
    <cellStyle name="Normal 4 6 8 2 5" xfId="23165" xr:uid="{00000000-0005-0000-0000-0000AF7F0000}"/>
    <cellStyle name="Normal 4 6 8 2 6" xfId="23166" xr:uid="{00000000-0005-0000-0000-0000B07F0000}"/>
    <cellStyle name="Normal 4 6 8 2 7" xfId="23167" xr:uid="{00000000-0005-0000-0000-0000B17F0000}"/>
    <cellStyle name="Normal 4 6 8 3" xfId="23168" xr:uid="{00000000-0005-0000-0000-0000B27F0000}"/>
    <cellStyle name="Normal 4 6 8 3 2" xfId="23169" xr:uid="{00000000-0005-0000-0000-0000B37F0000}"/>
    <cellStyle name="Normal 4 6 8 3 2 2" xfId="55546" xr:uid="{00000000-0005-0000-0000-0000B47F0000}"/>
    <cellStyle name="Normal 4 6 8 3 2 3" xfId="55547" xr:uid="{00000000-0005-0000-0000-0000B57F0000}"/>
    <cellStyle name="Normal 4 6 8 3 3" xfId="23170" xr:uid="{00000000-0005-0000-0000-0000B67F0000}"/>
    <cellStyle name="Normal 4 6 8 3 3 2" xfId="55548" xr:uid="{00000000-0005-0000-0000-0000B77F0000}"/>
    <cellStyle name="Normal 4 6 8 3 4" xfId="23171" xr:uid="{00000000-0005-0000-0000-0000B87F0000}"/>
    <cellStyle name="Normal 4 6 8 3 5" xfId="23172" xr:uid="{00000000-0005-0000-0000-0000B97F0000}"/>
    <cellStyle name="Normal 4 6 8 3 6" xfId="23173" xr:uid="{00000000-0005-0000-0000-0000BA7F0000}"/>
    <cellStyle name="Normal 4 6 8 4" xfId="23174" xr:uid="{00000000-0005-0000-0000-0000BB7F0000}"/>
    <cellStyle name="Normal 4 6 8 4 2" xfId="55549" xr:uid="{00000000-0005-0000-0000-0000BC7F0000}"/>
    <cellStyle name="Normal 4 6 8 4 3" xfId="55550" xr:uid="{00000000-0005-0000-0000-0000BD7F0000}"/>
    <cellStyle name="Normal 4 6 8 5" xfId="23175" xr:uid="{00000000-0005-0000-0000-0000BE7F0000}"/>
    <cellStyle name="Normal 4 6 8 5 2" xfId="55551" xr:uid="{00000000-0005-0000-0000-0000BF7F0000}"/>
    <cellStyle name="Normal 4 6 8 6" xfId="23176" xr:uid="{00000000-0005-0000-0000-0000C07F0000}"/>
    <cellStyle name="Normal 4 6 8 7" xfId="23177" xr:uid="{00000000-0005-0000-0000-0000C17F0000}"/>
    <cellStyle name="Normal 4 6 8 8" xfId="23178" xr:uid="{00000000-0005-0000-0000-0000C27F0000}"/>
    <cellStyle name="Normal 4 6 9" xfId="23179" xr:uid="{00000000-0005-0000-0000-0000C37F0000}"/>
    <cellStyle name="Normal 4 6 9 2" xfId="23180" xr:uid="{00000000-0005-0000-0000-0000C47F0000}"/>
    <cellStyle name="Normal 4 6 9 2 2" xfId="23181" xr:uid="{00000000-0005-0000-0000-0000C57F0000}"/>
    <cellStyle name="Normal 4 6 9 2 2 2" xfId="23182" xr:uid="{00000000-0005-0000-0000-0000C67F0000}"/>
    <cellStyle name="Normal 4 6 9 2 2 2 2" xfId="55552" xr:uid="{00000000-0005-0000-0000-0000C77F0000}"/>
    <cellStyle name="Normal 4 6 9 2 2 2 3" xfId="55553" xr:uid="{00000000-0005-0000-0000-0000C87F0000}"/>
    <cellStyle name="Normal 4 6 9 2 2 3" xfId="23183" xr:uid="{00000000-0005-0000-0000-0000C97F0000}"/>
    <cellStyle name="Normal 4 6 9 2 2 3 2" xfId="55554" xr:uid="{00000000-0005-0000-0000-0000CA7F0000}"/>
    <cellStyle name="Normal 4 6 9 2 2 4" xfId="23184" xr:uid="{00000000-0005-0000-0000-0000CB7F0000}"/>
    <cellStyle name="Normal 4 6 9 2 2 5" xfId="23185" xr:uid="{00000000-0005-0000-0000-0000CC7F0000}"/>
    <cellStyle name="Normal 4 6 9 2 2 6" xfId="23186" xr:uid="{00000000-0005-0000-0000-0000CD7F0000}"/>
    <cellStyle name="Normal 4 6 9 2 3" xfId="23187" xr:uid="{00000000-0005-0000-0000-0000CE7F0000}"/>
    <cellStyle name="Normal 4 6 9 2 3 2" xfId="55555" xr:uid="{00000000-0005-0000-0000-0000CF7F0000}"/>
    <cellStyle name="Normal 4 6 9 2 3 3" xfId="55556" xr:uid="{00000000-0005-0000-0000-0000D07F0000}"/>
    <cellStyle name="Normal 4 6 9 2 4" xfId="23188" xr:uid="{00000000-0005-0000-0000-0000D17F0000}"/>
    <cellStyle name="Normal 4 6 9 2 4 2" xfId="55557" xr:uid="{00000000-0005-0000-0000-0000D27F0000}"/>
    <cellStyle name="Normal 4 6 9 2 5" xfId="23189" xr:uid="{00000000-0005-0000-0000-0000D37F0000}"/>
    <cellStyle name="Normal 4 6 9 2 6" xfId="23190" xr:uid="{00000000-0005-0000-0000-0000D47F0000}"/>
    <cellStyle name="Normal 4 6 9 2 7" xfId="23191" xr:uid="{00000000-0005-0000-0000-0000D57F0000}"/>
    <cellStyle name="Normal 4 6 9 3" xfId="23192" xr:uid="{00000000-0005-0000-0000-0000D67F0000}"/>
    <cellStyle name="Normal 4 6 9 3 2" xfId="23193" xr:uid="{00000000-0005-0000-0000-0000D77F0000}"/>
    <cellStyle name="Normal 4 6 9 3 2 2" xfId="55558" xr:uid="{00000000-0005-0000-0000-0000D87F0000}"/>
    <cellStyle name="Normal 4 6 9 3 2 3" xfId="55559" xr:uid="{00000000-0005-0000-0000-0000D97F0000}"/>
    <cellStyle name="Normal 4 6 9 3 3" xfId="23194" xr:uid="{00000000-0005-0000-0000-0000DA7F0000}"/>
    <cellStyle name="Normal 4 6 9 3 3 2" xfId="55560" xr:uid="{00000000-0005-0000-0000-0000DB7F0000}"/>
    <cellStyle name="Normal 4 6 9 3 4" xfId="23195" xr:uid="{00000000-0005-0000-0000-0000DC7F0000}"/>
    <cellStyle name="Normal 4 6 9 3 5" xfId="23196" xr:uid="{00000000-0005-0000-0000-0000DD7F0000}"/>
    <cellStyle name="Normal 4 6 9 3 6" xfId="23197" xr:uid="{00000000-0005-0000-0000-0000DE7F0000}"/>
    <cellStyle name="Normal 4 6 9 4" xfId="23198" xr:uid="{00000000-0005-0000-0000-0000DF7F0000}"/>
    <cellStyle name="Normal 4 6 9 4 2" xfId="55561" xr:uid="{00000000-0005-0000-0000-0000E07F0000}"/>
    <cellStyle name="Normal 4 6 9 4 3" xfId="55562" xr:uid="{00000000-0005-0000-0000-0000E17F0000}"/>
    <cellStyle name="Normal 4 6 9 5" xfId="23199" xr:uid="{00000000-0005-0000-0000-0000E27F0000}"/>
    <cellStyle name="Normal 4 6 9 5 2" xfId="55563" xr:uid="{00000000-0005-0000-0000-0000E37F0000}"/>
    <cellStyle name="Normal 4 6 9 6" xfId="23200" xr:uid="{00000000-0005-0000-0000-0000E47F0000}"/>
    <cellStyle name="Normal 4 6 9 7" xfId="23201" xr:uid="{00000000-0005-0000-0000-0000E57F0000}"/>
    <cellStyle name="Normal 4 6 9 8" xfId="23202" xr:uid="{00000000-0005-0000-0000-0000E67F0000}"/>
    <cellStyle name="Normal 4 7" xfId="23203" xr:uid="{00000000-0005-0000-0000-0000E77F0000}"/>
    <cellStyle name="Normal 4 7 10" xfId="23204" xr:uid="{00000000-0005-0000-0000-0000E87F0000}"/>
    <cellStyle name="Normal 4 7 10 2" xfId="23205" xr:uid="{00000000-0005-0000-0000-0000E97F0000}"/>
    <cellStyle name="Normal 4 7 10 2 2" xfId="23206" xr:uid="{00000000-0005-0000-0000-0000EA7F0000}"/>
    <cellStyle name="Normal 4 7 10 2 2 2" xfId="55564" xr:uid="{00000000-0005-0000-0000-0000EB7F0000}"/>
    <cellStyle name="Normal 4 7 10 2 2 3" xfId="55565" xr:uid="{00000000-0005-0000-0000-0000EC7F0000}"/>
    <cellStyle name="Normal 4 7 10 2 3" xfId="23207" xr:uid="{00000000-0005-0000-0000-0000ED7F0000}"/>
    <cellStyle name="Normal 4 7 10 2 3 2" xfId="55566" xr:uid="{00000000-0005-0000-0000-0000EE7F0000}"/>
    <cellStyle name="Normal 4 7 10 2 4" xfId="23208" xr:uid="{00000000-0005-0000-0000-0000EF7F0000}"/>
    <cellStyle name="Normal 4 7 10 2 5" xfId="23209" xr:uid="{00000000-0005-0000-0000-0000F07F0000}"/>
    <cellStyle name="Normal 4 7 10 2 6" xfId="23210" xr:uid="{00000000-0005-0000-0000-0000F17F0000}"/>
    <cellStyle name="Normal 4 7 10 3" xfId="23211" xr:uid="{00000000-0005-0000-0000-0000F27F0000}"/>
    <cellStyle name="Normal 4 7 10 3 2" xfId="55567" xr:uid="{00000000-0005-0000-0000-0000F37F0000}"/>
    <cellStyle name="Normal 4 7 10 3 3" xfId="55568" xr:uid="{00000000-0005-0000-0000-0000F47F0000}"/>
    <cellStyle name="Normal 4 7 10 4" xfId="23212" xr:uid="{00000000-0005-0000-0000-0000F57F0000}"/>
    <cellStyle name="Normal 4 7 10 4 2" xfId="55569" xr:uid="{00000000-0005-0000-0000-0000F67F0000}"/>
    <cellStyle name="Normal 4 7 10 5" xfId="23213" xr:uid="{00000000-0005-0000-0000-0000F77F0000}"/>
    <cellStyle name="Normal 4 7 10 6" xfId="23214" xr:uid="{00000000-0005-0000-0000-0000F87F0000}"/>
    <cellStyle name="Normal 4 7 10 7" xfId="23215" xr:uid="{00000000-0005-0000-0000-0000F97F0000}"/>
    <cellStyle name="Normal 4 7 11" xfId="23216" xr:uid="{00000000-0005-0000-0000-0000FA7F0000}"/>
    <cellStyle name="Normal 4 7 11 2" xfId="23217" xr:uid="{00000000-0005-0000-0000-0000FB7F0000}"/>
    <cellStyle name="Normal 4 7 11 2 2" xfId="55570" xr:uid="{00000000-0005-0000-0000-0000FC7F0000}"/>
    <cellStyle name="Normal 4 7 11 2 3" xfId="55571" xr:uid="{00000000-0005-0000-0000-0000FD7F0000}"/>
    <cellStyle name="Normal 4 7 11 3" xfId="23218" xr:uid="{00000000-0005-0000-0000-0000FE7F0000}"/>
    <cellStyle name="Normal 4 7 11 3 2" xfId="55572" xr:uid="{00000000-0005-0000-0000-0000FF7F0000}"/>
    <cellStyle name="Normal 4 7 11 4" xfId="23219" xr:uid="{00000000-0005-0000-0000-000000800000}"/>
    <cellStyle name="Normal 4 7 11 5" xfId="23220" xr:uid="{00000000-0005-0000-0000-000001800000}"/>
    <cellStyle name="Normal 4 7 11 6" xfId="23221" xr:uid="{00000000-0005-0000-0000-000002800000}"/>
    <cellStyle name="Normal 4 7 12" xfId="23222" xr:uid="{00000000-0005-0000-0000-000003800000}"/>
    <cellStyle name="Normal 4 7 12 2" xfId="55573" xr:uid="{00000000-0005-0000-0000-000004800000}"/>
    <cellStyle name="Normal 4 7 12 3" xfId="55574" xr:uid="{00000000-0005-0000-0000-000005800000}"/>
    <cellStyle name="Normal 4 7 13" xfId="23223" xr:uid="{00000000-0005-0000-0000-000006800000}"/>
    <cellStyle name="Normal 4 7 13 2" xfId="55575" xr:uid="{00000000-0005-0000-0000-000007800000}"/>
    <cellStyle name="Normal 4 7 14" xfId="23224" xr:uid="{00000000-0005-0000-0000-000008800000}"/>
    <cellStyle name="Normal 4 7 14 2" xfId="55576" xr:uid="{00000000-0005-0000-0000-000009800000}"/>
    <cellStyle name="Normal 4 7 15" xfId="23225" xr:uid="{00000000-0005-0000-0000-00000A800000}"/>
    <cellStyle name="Normal 4 7 16" xfId="23226" xr:uid="{00000000-0005-0000-0000-00000B800000}"/>
    <cellStyle name="Normal 4 7 17" xfId="23227" xr:uid="{00000000-0005-0000-0000-00000C800000}"/>
    <cellStyle name="Normal 4 7 18" xfId="23228" xr:uid="{00000000-0005-0000-0000-00000D800000}"/>
    <cellStyle name="Normal 4 7 19" xfId="23229" xr:uid="{00000000-0005-0000-0000-00000E800000}"/>
    <cellStyle name="Normal 4 7 2" xfId="23230" xr:uid="{00000000-0005-0000-0000-00000F800000}"/>
    <cellStyle name="Normal 4 7 2 10" xfId="23231" xr:uid="{00000000-0005-0000-0000-000010800000}"/>
    <cellStyle name="Normal 4 7 2 11" xfId="23232" xr:uid="{00000000-0005-0000-0000-000011800000}"/>
    <cellStyle name="Normal 4 7 2 12" xfId="23233" xr:uid="{00000000-0005-0000-0000-000012800000}"/>
    <cellStyle name="Normal 4 7 2 13" xfId="23234" xr:uid="{00000000-0005-0000-0000-000013800000}"/>
    <cellStyle name="Normal 4 7 2 14" xfId="23235" xr:uid="{00000000-0005-0000-0000-000014800000}"/>
    <cellStyle name="Normal 4 7 2 15" xfId="23236" xr:uid="{00000000-0005-0000-0000-000015800000}"/>
    <cellStyle name="Normal 4 7 2 2" xfId="23237" xr:uid="{00000000-0005-0000-0000-000016800000}"/>
    <cellStyle name="Normal 4 7 2 2 10" xfId="23238" xr:uid="{00000000-0005-0000-0000-000017800000}"/>
    <cellStyle name="Normal 4 7 2 2 11" xfId="23239" xr:uid="{00000000-0005-0000-0000-000018800000}"/>
    <cellStyle name="Normal 4 7 2 2 12" xfId="23240" xr:uid="{00000000-0005-0000-0000-000019800000}"/>
    <cellStyle name="Normal 4 7 2 2 13" xfId="23241" xr:uid="{00000000-0005-0000-0000-00001A800000}"/>
    <cellStyle name="Normal 4 7 2 2 14" xfId="23242" xr:uid="{00000000-0005-0000-0000-00001B800000}"/>
    <cellStyle name="Normal 4 7 2 2 2" xfId="23243" xr:uid="{00000000-0005-0000-0000-00001C800000}"/>
    <cellStyle name="Normal 4 7 2 2 2 2" xfId="23244" xr:uid="{00000000-0005-0000-0000-00001D800000}"/>
    <cellStyle name="Normal 4 7 2 2 2 2 2" xfId="23245" xr:uid="{00000000-0005-0000-0000-00001E800000}"/>
    <cellStyle name="Normal 4 7 2 2 2 2 2 2" xfId="23246" xr:uid="{00000000-0005-0000-0000-00001F800000}"/>
    <cellStyle name="Normal 4 7 2 2 2 2 2 2 2" xfId="55577" xr:uid="{00000000-0005-0000-0000-000020800000}"/>
    <cellStyle name="Normal 4 7 2 2 2 2 2 2 3" xfId="55578" xr:uid="{00000000-0005-0000-0000-000021800000}"/>
    <cellStyle name="Normal 4 7 2 2 2 2 2 3" xfId="23247" xr:uid="{00000000-0005-0000-0000-000022800000}"/>
    <cellStyle name="Normal 4 7 2 2 2 2 2 3 2" xfId="55579" xr:uid="{00000000-0005-0000-0000-000023800000}"/>
    <cellStyle name="Normal 4 7 2 2 2 2 2 4" xfId="23248" xr:uid="{00000000-0005-0000-0000-000024800000}"/>
    <cellStyle name="Normal 4 7 2 2 2 2 2 5" xfId="23249" xr:uid="{00000000-0005-0000-0000-000025800000}"/>
    <cellStyle name="Normal 4 7 2 2 2 2 2 6" xfId="23250" xr:uid="{00000000-0005-0000-0000-000026800000}"/>
    <cellStyle name="Normal 4 7 2 2 2 2 3" xfId="23251" xr:uid="{00000000-0005-0000-0000-000027800000}"/>
    <cellStyle name="Normal 4 7 2 2 2 2 3 2" xfId="55580" xr:uid="{00000000-0005-0000-0000-000028800000}"/>
    <cellStyle name="Normal 4 7 2 2 2 2 3 3" xfId="55581" xr:uid="{00000000-0005-0000-0000-000029800000}"/>
    <cellStyle name="Normal 4 7 2 2 2 2 4" xfId="23252" xr:uid="{00000000-0005-0000-0000-00002A800000}"/>
    <cellStyle name="Normal 4 7 2 2 2 2 4 2" xfId="55582" xr:uid="{00000000-0005-0000-0000-00002B800000}"/>
    <cellStyle name="Normal 4 7 2 2 2 2 5" xfId="23253" xr:uid="{00000000-0005-0000-0000-00002C800000}"/>
    <cellStyle name="Normal 4 7 2 2 2 2 6" xfId="23254" xr:uid="{00000000-0005-0000-0000-00002D800000}"/>
    <cellStyle name="Normal 4 7 2 2 2 2 7" xfId="23255" xr:uid="{00000000-0005-0000-0000-00002E800000}"/>
    <cellStyle name="Normal 4 7 2 2 2 3" xfId="23256" xr:uid="{00000000-0005-0000-0000-00002F800000}"/>
    <cellStyle name="Normal 4 7 2 2 2 3 2" xfId="23257" xr:uid="{00000000-0005-0000-0000-000030800000}"/>
    <cellStyle name="Normal 4 7 2 2 2 3 2 2" xfId="55583" xr:uid="{00000000-0005-0000-0000-000031800000}"/>
    <cellStyle name="Normal 4 7 2 2 2 3 2 3" xfId="55584" xr:uid="{00000000-0005-0000-0000-000032800000}"/>
    <cellStyle name="Normal 4 7 2 2 2 3 3" xfId="23258" xr:uid="{00000000-0005-0000-0000-000033800000}"/>
    <cellStyle name="Normal 4 7 2 2 2 3 3 2" xfId="55585" xr:uid="{00000000-0005-0000-0000-000034800000}"/>
    <cellStyle name="Normal 4 7 2 2 2 3 4" xfId="23259" xr:uid="{00000000-0005-0000-0000-000035800000}"/>
    <cellStyle name="Normal 4 7 2 2 2 3 5" xfId="23260" xr:uid="{00000000-0005-0000-0000-000036800000}"/>
    <cellStyle name="Normal 4 7 2 2 2 3 6" xfId="23261" xr:uid="{00000000-0005-0000-0000-000037800000}"/>
    <cellStyle name="Normal 4 7 2 2 2 4" xfId="23262" xr:uid="{00000000-0005-0000-0000-000038800000}"/>
    <cellStyle name="Normal 4 7 2 2 2 4 2" xfId="55586" xr:uid="{00000000-0005-0000-0000-000039800000}"/>
    <cellStyle name="Normal 4 7 2 2 2 4 3" xfId="55587" xr:uid="{00000000-0005-0000-0000-00003A800000}"/>
    <cellStyle name="Normal 4 7 2 2 2 5" xfId="23263" xr:uid="{00000000-0005-0000-0000-00003B800000}"/>
    <cellStyle name="Normal 4 7 2 2 2 5 2" xfId="55588" xr:uid="{00000000-0005-0000-0000-00003C800000}"/>
    <cellStyle name="Normal 4 7 2 2 2 6" xfId="23264" xr:uid="{00000000-0005-0000-0000-00003D800000}"/>
    <cellStyle name="Normal 4 7 2 2 2 7" xfId="23265" xr:uid="{00000000-0005-0000-0000-00003E800000}"/>
    <cellStyle name="Normal 4 7 2 2 2 8" xfId="23266" xr:uid="{00000000-0005-0000-0000-00003F800000}"/>
    <cellStyle name="Normal 4 7 2 2 2 9" xfId="23267" xr:uid="{00000000-0005-0000-0000-000040800000}"/>
    <cellStyle name="Normal 4 7 2 2 3" xfId="23268" xr:uid="{00000000-0005-0000-0000-000041800000}"/>
    <cellStyle name="Normal 4 7 2 2 3 2" xfId="23269" xr:uid="{00000000-0005-0000-0000-000042800000}"/>
    <cellStyle name="Normal 4 7 2 2 3 2 2" xfId="23270" xr:uid="{00000000-0005-0000-0000-000043800000}"/>
    <cellStyle name="Normal 4 7 2 2 3 2 2 2" xfId="23271" xr:uid="{00000000-0005-0000-0000-000044800000}"/>
    <cellStyle name="Normal 4 7 2 2 3 2 2 2 2" xfId="55589" xr:uid="{00000000-0005-0000-0000-000045800000}"/>
    <cellStyle name="Normal 4 7 2 2 3 2 2 2 3" xfId="55590" xr:uid="{00000000-0005-0000-0000-000046800000}"/>
    <cellStyle name="Normal 4 7 2 2 3 2 2 3" xfId="23272" xr:uid="{00000000-0005-0000-0000-000047800000}"/>
    <cellStyle name="Normal 4 7 2 2 3 2 2 3 2" xfId="55591" xr:uid="{00000000-0005-0000-0000-000048800000}"/>
    <cellStyle name="Normal 4 7 2 2 3 2 2 4" xfId="23273" xr:uid="{00000000-0005-0000-0000-000049800000}"/>
    <cellStyle name="Normal 4 7 2 2 3 2 2 5" xfId="23274" xr:uid="{00000000-0005-0000-0000-00004A800000}"/>
    <cellStyle name="Normal 4 7 2 2 3 2 2 6" xfId="23275" xr:uid="{00000000-0005-0000-0000-00004B800000}"/>
    <cellStyle name="Normal 4 7 2 2 3 2 3" xfId="23276" xr:uid="{00000000-0005-0000-0000-00004C800000}"/>
    <cellStyle name="Normal 4 7 2 2 3 2 3 2" xfId="55592" xr:uid="{00000000-0005-0000-0000-00004D800000}"/>
    <cellStyle name="Normal 4 7 2 2 3 2 3 3" xfId="55593" xr:uid="{00000000-0005-0000-0000-00004E800000}"/>
    <cellStyle name="Normal 4 7 2 2 3 2 4" xfId="23277" xr:uid="{00000000-0005-0000-0000-00004F800000}"/>
    <cellStyle name="Normal 4 7 2 2 3 2 4 2" xfId="55594" xr:uid="{00000000-0005-0000-0000-000050800000}"/>
    <cellStyle name="Normal 4 7 2 2 3 2 5" xfId="23278" xr:uid="{00000000-0005-0000-0000-000051800000}"/>
    <cellStyle name="Normal 4 7 2 2 3 2 6" xfId="23279" xr:uid="{00000000-0005-0000-0000-000052800000}"/>
    <cellStyle name="Normal 4 7 2 2 3 2 7" xfId="23280" xr:uid="{00000000-0005-0000-0000-000053800000}"/>
    <cellStyle name="Normal 4 7 2 2 3 3" xfId="23281" xr:uid="{00000000-0005-0000-0000-000054800000}"/>
    <cellStyle name="Normal 4 7 2 2 3 3 2" xfId="23282" xr:uid="{00000000-0005-0000-0000-000055800000}"/>
    <cellStyle name="Normal 4 7 2 2 3 3 2 2" xfId="55595" xr:uid="{00000000-0005-0000-0000-000056800000}"/>
    <cellStyle name="Normal 4 7 2 2 3 3 2 3" xfId="55596" xr:uid="{00000000-0005-0000-0000-000057800000}"/>
    <cellStyle name="Normal 4 7 2 2 3 3 3" xfId="23283" xr:uid="{00000000-0005-0000-0000-000058800000}"/>
    <cellStyle name="Normal 4 7 2 2 3 3 3 2" xfId="55597" xr:uid="{00000000-0005-0000-0000-000059800000}"/>
    <cellStyle name="Normal 4 7 2 2 3 3 4" xfId="23284" xr:uid="{00000000-0005-0000-0000-00005A800000}"/>
    <cellStyle name="Normal 4 7 2 2 3 3 5" xfId="23285" xr:uid="{00000000-0005-0000-0000-00005B800000}"/>
    <cellStyle name="Normal 4 7 2 2 3 3 6" xfId="23286" xr:uid="{00000000-0005-0000-0000-00005C800000}"/>
    <cellStyle name="Normal 4 7 2 2 3 4" xfId="23287" xr:uid="{00000000-0005-0000-0000-00005D800000}"/>
    <cellStyle name="Normal 4 7 2 2 3 4 2" xfId="55598" xr:uid="{00000000-0005-0000-0000-00005E800000}"/>
    <cellStyle name="Normal 4 7 2 2 3 4 3" xfId="55599" xr:uid="{00000000-0005-0000-0000-00005F800000}"/>
    <cellStyle name="Normal 4 7 2 2 3 5" xfId="23288" xr:uid="{00000000-0005-0000-0000-000060800000}"/>
    <cellStyle name="Normal 4 7 2 2 3 5 2" xfId="55600" xr:uid="{00000000-0005-0000-0000-000061800000}"/>
    <cellStyle name="Normal 4 7 2 2 3 6" xfId="23289" xr:uid="{00000000-0005-0000-0000-000062800000}"/>
    <cellStyle name="Normal 4 7 2 2 3 7" xfId="23290" xr:uid="{00000000-0005-0000-0000-000063800000}"/>
    <cellStyle name="Normal 4 7 2 2 3 8" xfId="23291" xr:uid="{00000000-0005-0000-0000-000064800000}"/>
    <cellStyle name="Normal 4 7 2 2 4" xfId="23292" xr:uid="{00000000-0005-0000-0000-000065800000}"/>
    <cellStyle name="Normal 4 7 2 2 4 2" xfId="23293" xr:uid="{00000000-0005-0000-0000-000066800000}"/>
    <cellStyle name="Normal 4 7 2 2 4 2 2" xfId="23294" xr:uid="{00000000-0005-0000-0000-000067800000}"/>
    <cellStyle name="Normal 4 7 2 2 4 2 2 2" xfId="55601" xr:uid="{00000000-0005-0000-0000-000068800000}"/>
    <cellStyle name="Normal 4 7 2 2 4 2 2 3" xfId="55602" xr:uid="{00000000-0005-0000-0000-000069800000}"/>
    <cellStyle name="Normal 4 7 2 2 4 2 3" xfId="23295" xr:uid="{00000000-0005-0000-0000-00006A800000}"/>
    <cellStyle name="Normal 4 7 2 2 4 2 3 2" xfId="55603" xr:uid="{00000000-0005-0000-0000-00006B800000}"/>
    <cellStyle name="Normal 4 7 2 2 4 2 4" xfId="23296" xr:uid="{00000000-0005-0000-0000-00006C800000}"/>
    <cellStyle name="Normal 4 7 2 2 4 2 5" xfId="23297" xr:uid="{00000000-0005-0000-0000-00006D800000}"/>
    <cellStyle name="Normal 4 7 2 2 4 2 6" xfId="23298" xr:uid="{00000000-0005-0000-0000-00006E800000}"/>
    <cellStyle name="Normal 4 7 2 2 4 3" xfId="23299" xr:uid="{00000000-0005-0000-0000-00006F800000}"/>
    <cellStyle name="Normal 4 7 2 2 4 3 2" xfId="55604" xr:uid="{00000000-0005-0000-0000-000070800000}"/>
    <cellStyle name="Normal 4 7 2 2 4 3 3" xfId="55605" xr:uid="{00000000-0005-0000-0000-000071800000}"/>
    <cellStyle name="Normal 4 7 2 2 4 4" xfId="23300" xr:uid="{00000000-0005-0000-0000-000072800000}"/>
    <cellStyle name="Normal 4 7 2 2 4 4 2" xfId="55606" xr:uid="{00000000-0005-0000-0000-000073800000}"/>
    <cellStyle name="Normal 4 7 2 2 4 5" xfId="23301" xr:uid="{00000000-0005-0000-0000-000074800000}"/>
    <cellStyle name="Normal 4 7 2 2 4 6" xfId="23302" xr:uid="{00000000-0005-0000-0000-000075800000}"/>
    <cellStyle name="Normal 4 7 2 2 4 7" xfId="23303" xr:uid="{00000000-0005-0000-0000-000076800000}"/>
    <cellStyle name="Normal 4 7 2 2 5" xfId="23304" xr:uid="{00000000-0005-0000-0000-000077800000}"/>
    <cellStyle name="Normal 4 7 2 2 5 2" xfId="23305" xr:uid="{00000000-0005-0000-0000-000078800000}"/>
    <cellStyle name="Normal 4 7 2 2 5 2 2" xfId="55607" xr:uid="{00000000-0005-0000-0000-000079800000}"/>
    <cellStyle name="Normal 4 7 2 2 5 2 3" xfId="55608" xr:uid="{00000000-0005-0000-0000-00007A800000}"/>
    <cellStyle name="Normal 4 7 2 2 5 3" xfId="23306" xr:uid="{00000000-0005-0000-0000-00007B800000}"/>
    <cellStyle name="Normal 4 7 2 2 5 3 2" xfId="55609" xr:uid="{00000000-0005-0000-0000-00007C800000}"/>
    <cellStyle name="Normal 4 7 2 2 5 4" xfId="23307" xr:uid="{00000000-0005-0000-0000-00007D800000}"/>
    <cellStyle name="Normal 4 7 2 2 5 5" xfId="23308" xr:uid="{00000000-0005-0000-0000-00007E800000}"/>
    <cellStyle name="Normal 4 7 2 2 5 6" xfId="23309" xr:uid="{00000000-0005-0000-0000-00007F800000}"/>
    <cellStyle name="Normal 4 7 2 2 6" xfId="23310" xr:uid="{00000000-0005-0000-0000-000080800000}"/>
    <cellStyle name="Normal 4 7 2 2 6 2" xfId="55610" xr:uid="{00000000-0005-0000-0000-000081800000}"/>
    <cellStyle name="Normal 4 7 2 2 6 3" xfId="55611" xr:uid="{00000000-0005-0000-0000-000082800000}"/>
    <cellStyle name="Normal 4 7 2 2 7" xfId="23311" xr:uid="{00000000-0005-0000-0000-000083800000}"/>
    <cellStyle name="Normal 4 7 2 2 7 2" xfId="55612" xr:uid="{00000000-0005-0000-0000-000084800000}"/>
    <cellStyle name="Normal 4 7 2 2 8" xfId="23312" xr:uid="{00000000-0005-0000-0000-000085800000}"/>
    <cellStyle name="Normal 4 7 2 2 9" xfId="23313" xr:uid="{00000000-0005-0000-0000-000086800000}"/>
    <cellStyle name="Normal 4 7 2 3" xfId="23314" xr:uid="{00000000-0005-0000-0000-000087800000}"/>
    <cellStyle name="Normal 4 7 2 3 2" xfId="23315" xr:uid="{00000000-0005-0000-0000-000088800000}"/>
    <cellStyle name="Normal 4 7 2 3 2 2" xfId="23316" xr:uid="{00000000-0005-0000-0000-000089800000}"/>
    <cellStyle name="Normal 4 7 2 3 2 2 2" xfId="23317" xr:uid="{00000000-0005-0000-0000-00008A800000}"/>
    <cellStyle name="Normal 4 7 2 3 2 2 2 2" xfId="55613" xr:uid="{00000000-0005-0000-0000-00008B800000}"/>
    <cellStyle name="Normal 4 7 2 3 2 2 2 3" xfId="55614" xr:uid="{00000000-0005-0000-0000-00008C800000}"/>
    <cellStyle name="Normal 4 7 2 3 2 2 3" xfId="23318" xr:uid="{00000000-0005-0000-0000-00008D800000}"/>
    <cellStyle name="Normal 4 7 2 3 2 2 3 2" xfId="55615" xr:uid="{00000000-0005-0000-0000-00008E800000}"/>
    <cellStyle name="Normal 4 7 2 3 2 2 4" xfId="23319" xr:uid="{00000000-0005-0000-0000-00008F800000}"/>
    <cellStyle name="Normal 4 7 2 3 2 2 5" xfId="23320" xr:uid="{00000000-0005-0000-0000-000090800000}"/>
    <cellStyle name="Normal 4 7 2 3 2 2 6" xfId="23321" xr:uid="{00000000-0005-0000-0000-000091800000}"/>
    <cellStyle name="Normal 4 7 2 3 2 3" xfId="23322" xr:uid="{00000000-0005-0000-0000-000092800000}"/>
    <cellStyle name="Normal 4 7 2 3 2 3 2" xfId="55616" xr:uid="{00000000-0005-0000-0000-000093800000}"/>
    <cellStyle name="Normal 4 7 2 3 2 3 3" xfId="55617" xr:uid="{00000000-0005-0000-0000-000094800000}"/>
    <cellStyle name="Normal 4 7 2 3 2 4" xfId="23323" xr:uid="{00000000-0005-0000-0000-000095800000}"/>
    <cellStyle name="Normal 4 7 2 3 2 4 2" xfId="55618" xr:uid="{00000000-0005-0000-0000-000096800000}"/>
    <cellStyle name="Normal 4 7 2 3 2 5" xfId="23324" xr:uid="{00000000-0005-0000-0000-000097800000}"/>
    <cellStyle name="Normal 4 7 2 3 2 6" xfId="23325" xr:uid="{00000000-0005-0000-0000-000098800000}"/>
    <cellStyle name="Normal 4 7 2 3 2 7" xfId="23326" xr:uid="{00000000-0005-0000-0000-000099800000}"/>
    <cellStyle name="Normal 4 7 2 3 3" xfId="23327" xr:uid="{00000000-0005-0000-0000-00009A800000}"/>
    <cellStyle name="Normal 4 7 2 3 3 2" xfId="23328" xr:uid="{00000000-0005-0000-0000-00009B800000}"/>
    <cellStyle name="Normal 4 7 2 3 3 2 2" xfId="55619" xr:uid="{00000000-0005-0000-0000-00009C800000}"/>
    <cellStyle name="Normal 4 7 2 3 3 2 3" xfId="55620" xr:uid="{00000000-0005-0000-0000-00009D800000}"/>
    <cellStyle name="Normal 4 7 2 3 3 3" xfId="23329" xr:uid="{00000000-0005-0000-0000-00009E800000}"/>
    <cellStyle name="Normal 4 7 2 3 3 3 2" xfId="55621" xr:uid="{00000000-0005-0000-0000-00009F800000}"/>
    <cellStyle name="Normal 4 7 2 3 3 4" xfId="23330" xr:uid="{00000000-0005-0000-0000-0000A0800000}"/>
    <cellStyle name="Normal 4 7 2 3 3 5" xfId="23331" xr:uid="{00000000-0005-0000-0000-0000A1800000}"/>
    <cellStyle name="Normal 4 7 2 3 3 6" xfId="23332" xr:uid="{00000000-0005-0000-0000-0000A2800000}"/>
    <cellStyle name="Normal 4 7 2 3 4" xfId="23333" xr:uid="{00000000-0005-0000-0000-0000A3800000}"/>
    <cellStyle name="Normal 4 7 2 3 4 2" xfId="55622" xr:uid="{00000000-0005-0000-0000-0000A4800000}"/>
    <cellStyle name="Normal 4 7 2 3 4 3" xfId="55623" xr:uid="{00000000-0005-0000-0000-0000A5800000}"/>
    <cellStyle name="Normal 4 7 2 3 5" xfId="23334" xr:uid="{00000000-0005-0000-0000-0000A6800000}"/>
    <cellStyle name="Normal 4 7 2 3 5 2" xfId="55624" xr:uid="{00000000-0005-0000-0000-0000A7800000}"/>
    <cellStyle name="Normal 4 7 2 3 6" xfId="23335" xr:uid="{00000000-0005-0000-0000-0000A8800000}"/>
    <cellStyle name="Normal 4 7 2 3 7" xfId="23336" xr:uid="{00000000-0005-0000-0000-0000A9800000}"/>
    <cellStyle name="Normal 4 7 2 3 8" xfId="23337" xr:uid="{00000000-0005-0000-0000-0000AA800000}"/>
    <cellStyle name="Normal 4 7 2 3 9" xfId="23338" xr:uid="{00000000-0005-0000-0000-0000AB800000}"/>
    <cellStyle name="Normal 4 7 2 4" xfId="23339" xr:uid="{00000000-0005-0000-0000-0000AC800000}"/>
    <cellStyle name="Normal 4 7 2 4 2" xfId="23340" xr:uid="{00000000-0005-0000-0000-0000AD800000}"/>
    <cellStyle name="Normal 4 7 2 4 2 2" xfId="23341" xr:uid="{00000000-0005-0000-0000-0000AE800000}"/>
    <cellStyle name="Normal 4 7 2 4 2 2 2" xfId="23342" xr:uid="{00000000-0005-0000-0000-0000AF800000}"/>
    <cellStyle name="Normal 4 7 2 4 2 2 2 2" xfId="55625" xr:uid="{00000000-0005-0000-0000-0000B0800000}"/>
    <cellStyle name="Normal 4 7 2 4 2 2 2 3" xfId="55626" xr:uid="{00000000-0005-0000-0000-0000B1800000}"/>
    <cellStyle name="Normal 4 7 2 4 2 2 3" xfId="23343" xr:uid="{00000000-0005-0000-0000-0000B2800000}"/>
    <cellStyle name="Normal 4 7 2 4 2 2 3 2" xfId="55627" xr:uid="{00000000-0005-0000-0000-0000B3800000}"/>
    <cellStyle name="Normal 4 7 2 4 2 2 4" xfId="23344" xr:uid="{00000000-0005-0000-0000-0000B4800000}"/>
    <cellStyle name="Normal 4 7 2 4 2 2 5" xfId="23345" xr:uid="{00000000-0005-0000-0000-0000B5800000}"/>
    <cellStyle name="Normal 4 7 2 4 2 2 6" xfId="23346" xr:uid="{00000000-0005-0000-0000-0000B6800000}"/>
    <cellStyle name="Normal 4 7 2 4 2 3" xfId="23347" xr:uid="{00000000-0005-0000-0000-0000B7800000}"/>
    <cellStyle name="Normal 4 7 2 4 2 3 2" xfId="55628" xr:uid="{00000000-0005-0000-0000-0000B8800000}"/>
    <cellStyle name="Normal 4 7 2 4 2 3 3" xfId="55629" xr:uid="{00000000-0005-0000-0000-0000B9800000}"/>
    <cellStyle name="Normal 4 7 2 4 2 4" xfId="23348" xr:uid="{00000000-0005-0000-0000-0000BA800000}"/>
    <cellStyle name="Normal 4 7 2 4 2 4 2" xfId="55630" xr:uid="{00000000-0005-0000-0000-0000BB800000}"/>
    <cellStyle name="Normal 4 7 2 4 2 5" xfId="23349" xr:uid="{00000000-0005-0000-0000-0000BC800000}"/>
    <cellStyle name="Normal 4 7 2 4 2 6" xfId="23350" xr:uid="{00000000-0005-0000-0000-0000BD800000}"/>
    <cellStyle name="Normal 4 7 2 4 2 7" xfId="23351" xr:uid="{00000000-0005-0000-0000-0000BE800000}"/>
    <cellStyle name="Normal 4 7 2 4 3" xfId="23352" xr:uid="{00000000-0005-0000-0000-0000BF800000}"/>
    <cellStyle name="Normal 4 7 2 4 3 2" xfId="23353" xr:uid="{00000000-0005-0000-0000-0000C0800000}"/>
    <cellStyle name="Normal 4 7 2 4 3 2 2" xfId="55631" xr:uid="{00000000-0005-0000-0000-0000C1800000}"/>
    <cellStyle name="Normal 4 7 2 4 3 2 3" xfId="55632" xr:uid="{00000000-0005-0000-0000-0000C2800000}"/>
    <cellStyle name="Normal 4 7 2 4 3 3" xfId="23354" xr:uid="{00000000-0005-0000-0000-0000C3800000}"/>
    <cellStyle name="Normal 4 7 2 4 3 3 2" xfId="55633" xr:uid="{00000000-0005-0000-0000-0000C4800000}"/>
    <cellStyle name="Normal 4 7 2 4 3 4" xfId="23355" xr:uid="{00000000-0005-0000-0000-0000C5800000}"/>
    <cellStyle name="Normal 4 7 2 4 3 5" xfId="23356" xr:uid="{00000000-0005-0000-0000-0000C6800000}"/>
    <cellStyle name="Normal 4 7 2 4 3 6" xfId="23357" xr:uid="{00000000-0005-0000-0000-0000C7800000}"/>
    <cellStyle name="Normal 4 7 2 4 4" xfId="23358" xr:uid="{00000000-0005-0000-0000-0000C8800000}"/>
    <cellStyle name="Normal 4 7 2 4 4 2" xfId="55634" xr:uid="{00000000-0005-0000-0000-0000C9800000}"/>
    <cellStyle name="Normal 4 7 2 4 4 3" xfId="55635" xr:uid="{00000000-0005-0000-0000-0000CA800000}"/>
    <cellStyle name="Normal 4 7 2 4 5" xfId="23359" xr:uid="{00000000-0005-0000-0000-0000CB800000}"/>
    <cellStyle name="Normal 4 7 2 4 5 2" xfId="55636" xr:uid="{00000000-0005-0000-0000-0000CC800000}"/>
    <cellStyle name="Normal 4 7 2 4 6" xfId="23360" xr:uid="{00000000-0005-0000-0000-0000CD800000}"/>
    <cellStyle name="Normal 4 7 2 4 7" xfId="23361" xr:uid="{00000000-0005-0000-0000-0000CE800000}"/>
    <cellStyle name="Normal 4 7 2 4 8" xfId="23362" xr:uid="{00000000-0005-0000-0000-0000CF800000}"/>
    <cellStyle name="Normal 4 7 2 5" xfId="23363" xr:uid="{00000000-0005-0000-0000-0000D0800000}"/>
    <cellStyle name="Normal 4 7 2 5 2" xfId="23364" xr:uid="{00000000-0005-0000-0000-0000D1800000}"/>
    <cellStyle name="Normal 4 7 2 5 2 2" xfId="23365" xr:uid="{00000000-0005-0000-0000-0000D2800000}"/>
    <cellStyle name="Normal 4 7 2 5 2 2 2" xfId="55637" xr:uid="{00000000-0005-0000-0000-0000D3800000}"/>
    <cellStyle name="Normal 4 7 2 5 2 2 3" xfId="55638" xr:uid="{00000000-0005-0000-0000-0000D4800000}"/>
    <cellStyle name="Normal 4 7 2 5 2 3" xfId="23366" xr:uid="{00000000-0005-0000-0000-0000D5800000}"/>
    <cellStyle name="Normal 4 7 2 5 2 3 2" xfId="55639" xr:uid="{00000000-0005-0000-0000-0000D6800000}"/>
    <cellStyle name="Normal 4 7 2 5 2 4" xfId="23367" xr:uid="{00000000-0005-0000-0000-0000D7800000}"/>
    <cellStyle name="Normal 4 7 2 5 2 5" xfId="23368" xr:uid="{00000000-0005-0000-0000-0000D8800000}"/>
    <cellStyle name="Normal 4 7 2 5 2 6" xfId="23369" xr:uid="{00000000-0005-0000-0000-0000D9800000}"/>
    <cellStyle name="Normal 4 7 2 5 3" xfId="23370" xr:uid="{00000000-0005-0000-0000-0000DA800000}"/>
    <cellStyle name="Normal 4 7 2 5 3 2" xfId="55640" xr:uid="{00000000-0005-0000-0000-0000DB800000}"/>
    <cellStyle name="Normal 4 7 2 5 3 3" xfId="55641" xr:uid="{00000000-0005-0000-0000-0000DC800000}"/>
    <cellStyle name="Normal 4 7 2 5 4" xfId="23371" xr:uid="{00000000-0005-0000-0000-0000DD800000}"/>
    <cellStyle name="Normal 4 7 2 5 4 2" xfId="55642" xr:uid="{00000000-0005-0000-0000-0000DE800000}"/>
    <cellStyle name="Normal 4 7 2 5 5" xfId="23372" xr:uid="{00000000-0005-0000-0000-0000DF800000}"/>
    <cellStyle name="Normal 4 7 2 5 6" xfId="23373" xr:uid="{00000000-0005-0000-0000-0000E0800000}"/>
    <cellStyle name="Normal 4 7 2 5 7" xfId="23374" xr:uid="{00000000-0005-0000-0000-0000E1800000}"/>
    <cellStyle name="Normal 4 7 2 6" xfId="23375" xr:uid="{00000000-0005-0000-0000-0000E2800000}"/>
    <cellStyle name="Normal 4 7 2 6 2" xfId="23376" xr:uid="{00000000-0005-0000-0000-0000E3800000}"/>
    <cellStyle name="Normal 4 7 2 6 2 2" xfId="55643" xr:uid="{00000000-0005-0000-0000-0000E4800000}"/>
    <cellStyle name="Normal 4 7 2 6 2 3" xfId="55644" xr:uid="{00000000-0005-0000-0000-0000E5800000}"/>
    <cellStyle name="Normal 4 7 2 6 3" xfId="23377" xr:uid="{00000000-0005-0000-0000-0000E6800000}"/>
    <cellStyle name="Normal 4 7 2 6 3 2" xfId="55645" xr:uid="{00000000-0005-0000-0000-0000E7800000}"/>
    <cellStyle name="Normal 4 7 2 6 4" xfId="23378" xr:uid="{00000000-0005-0000-0000-0000E8800000}"/>
    <cellStyle name="Normal 4 7 2 6 5" xfId="23379" xr:uid="{00000000-0005-0000-0000-0000E9800000}"/>
    <cellStyle name="Normal 4 7 2 6 6" xfId="23380" xr:uid="{00000000-0005-0000-0000-0000EA800000}"/>
    <cellStyle name="Normal 4 7 2 7" xfId="23381" xr:uid="{00000000-0005-0000-0000-0000EB800000}"/>
    <cellStyle name="Normal 4 7 2 7 2" xfId="55646" xr:uid="{00000000-0005-0000-0000-0000EC800000}"/>
    <cellStyle name="Normal 4 7 2 7 3" xfId="55647" xr:uid="{00000000-0005-0000-0000-0000ED800000}"/>
    <cellStyle name="Normal 4 7 2 8" xfId="23382" xr:uid="{00000000-0005-0000-0000-0000EE800000}"/>
    <cellStyle name="Normal 4 7 2 8 2" xfId="55648" xr:uid="{00000000-0005-0000-0000-0000EF800000}"/>
    <cellStyle name="Normal 4 7 2 9" xfId="23383" xr:uid="{00000000-0005-0000-0000-0000F0800000}"/>
    <cellStyle name="Normal 4 7 2 9 2" xfId="55649" xr:uid="{00000000-0005-0000-0000-0000F1800000}"/>
    <cellStyle name="Normal 4 7 20" xfId="23384" xr:uid="{00000000-0005-0000-0000-0000F2800000}"/>
    <cellStyle name="Normal 4 7 3" xfId="23385" xr:uid="{00000000-0005-0000-0000-0000F3800000}"/>
    <cellStyle name="Normal 4 7 3 10" xfId="23386" xr:uid="{00000000-0005-0000-0000-0000F4800000}"/>
    <cellStyle name="Normal 4 7 3 11" xfId="23387" xr:uid="{00000000-0005-0000-0000-0000F5800000}"/>
    <cellStyle name="Normal 4 7 3 12" xfId="23388" xr:uid="{00000000-0005-0000-0000-0000F6800000}"/>
    <cellStyle name="Normal 4 7 3 13" xfId="23389" xr:uid="{00000000-0005-0000-0000-0000F7800000}"/>
    <cellStyle name="Normal 4 7 3 14" xfId="23390" xr:uid="{00000000-0005-0000-0000-0000F8800000}"/>
    <cellStyle name="Normal 4 7 3 15" xfId="23391" xr:uid="{00000000-0005-0000-0000-0000F9800000}"/>
    <cellStyle name="Normal 4 7 3 2" xfId="23392" xr:uid="{00000000-0005-0000-0000-0000FA800000}"/>
    <cellStyle name="Normal 4 7 3 2 10" xfId="23393" xr:uid="{00000000-0005-0000-0000-0000FB800000}"/>
    <cellStyle name="Normal 4 7 3 2 11" xfId="23394" xr:uid="{00000000-0005-0000-0000-0000FC800000}"/>
    <cellStyle name="Normal 4 7 3 2 12" xfId="23395" xr:uid="{00000000-0005-0000-0000-0000FD800000}"/>
    <cellStyle name="Normal 4 7 3 2 13" xfId="23396" xr:uid="{00000000-0005-0000-0000-0000FE800000}"/>
    <cellStyle name="Normal 4 7 3 2 14" xfId="23397" xr:uid="{00000000-0005-0000-0000-0000FF800000}"/>
    <cellStyle name="Normal 4 7 3 2 2" xfId="23398" xr:uid="{00000000-0005-0000-0000-000000810000}"/>
    <cellStyle name="Normal 4 7 3 2 2 2" xfId="23399" xr:uid="{00000000-0005-0000-0000-000001810000}"/>
    <cellStyle name="Normal 4 7 3 2 2 2 2" xfId="23400" xr:uid="{00000000-0005-0000-0000-000002810000}"/>
    <cellStyle name="Normal 4 7 3 2 2 2 2 2" xfId="23401" xr:uid="{00000000-0005-0000-0000-000003810000}"/>
    <cellStyle name="Normal 4 7 3 2 2 2 2 2 2" xfId="55650" xr:uid="{00000000-0005-0000-0000-000004810000}"/>
    <cellStyle name="Normal 4 7 3 2 2 2 2 2 3" xfId="55651" xr:uid="{00000000-0005-0000-0000-000005810000}"/>
    <cellStyle name="Normal 4 7 3 2 2 2 2 3" xfId="23402" xr:uid="{00000000-0005-0000-0000-000006810000}"/>
    <cellStyle name="Normal 4 7 3 2 2 2 2 3 2" xfId="55652" xr:uid="{00000000-0005-0000-0000-000007810000}"/>
    <cellStyle name="Normal 4 7 3 2 2 2 2 4" xfId="23403" xr:uid="{00000000-0005-0000-0000-000008810000}"/>
    <cellStyle name="Normal 4 7 3 2 2 2 2 5" xfId="23404" xr:uid="{00000000-0005-0000-0000-000009810000}"/>
    <cellStyle name="Normal 4 7 3 2 2 2 2 6" xfId="23405" xr:uid="{00000000-0005-0000-0000-00000A810000}"/>
    <cellStyle name="Normal 4 7 3 2 2 2 3" xfId="23406" xr:uid="{00000000-0005-0000-0000-00000B810000}"/>
    <cellStyle name="Normal 4 7 3 2 2 2 3 2" xfId="55653" xr:uid="{00000000-0005-0000-0000-00000C810000}"/>
    <cellStyle name="Normal 4 7 3 2 2 2 3 3" xfId="55654" xr:uid="{00000000-0005-0000-0000-00000D810000}"/>
    <cellStyle name="Normal 4 7 3 2 2 2 4" xfId="23407" xr:uid="{00000000-0005-0000-0000-00000E810000}"/>
    <cellStyle name="Normal 4 7 3 2 2 2 4 2" xfId="55655" xr:uid="{00000000-0005-0000-0000-00000F810000}"/>
    <cellStyle name="Normal 4 7 3 2 2 2 5" xfId="23408" xr:uid="{00000000-0005-0000-0000-000010810000}"/>
    <cellStyle name="Normal 4 7 3 2 2 2 6" xfId="23409" xr:uid="{00000000-0005-0000-0000-000011810000}"/>
    <cellStyle name="Normal 4 7 3 2 2 2 7" xfId="23410" xr:uid="{00000000-0005-0000-0000-000012810000}"/>
    <cellStyle name="Normal 4 7 3 2 2 3" xfId="23411" xr:uid="{00000000-0005-0000-0000-000013810000}"/>
    <cellStyle name="Normal 4 7 3 2 2 3 2" xfId="23412" xr:uid="{00000000-0005-0000-0000-000014810000}"/>
    <cellStyle name="Normal 4 7 3 2 2 3 2 2" xfId="55656" xr:uid="{00000000-0005-0000-0000-000015810000}"/>
    <cellStyle name="Normal 4 7 3 2 2 3 2 3" xfId="55657" xr:uid="{00000000-0005-0000-0000-000016810000}"/>
    <cellStyle name="Normal 4 7 3 2 2 3 3" xfId="23413" xr:uid="{00000000-0005-0000-0000-000017810000}"/>
    <cellStyle name="Normal 4 7 3 2 2 3 3 2" xfId="55658" xr:uid="{00000000-0005-0000-0000-000018810000}"/>
    <cellStyle name="Normal 4 7 3 2 2 3 4" xfId="23414" xr:uid="{00000000-0005-0000-0000-000019810000}"/>
    <cellStyle name="Normal 4 7 3 2 2 3 5" xfId="23415" xr:uid="{00000000-0005-0000-0000-00001A810000}"/>
    <cellStyle name="Normal 4 7 3 2 2 3 6" xfId="23416" xr:uid="{00000000-0005-0000-0000-00001B810000}"/>
    <cellStyle name="Normal 4 7 3 2 2 4" xfId="23417" xr:uid="{00000000-0005-0000-0000-00001C810000}"/>
    <cellStyle name="Normal 4 7 3 2 2 4 2" xfId="55659" xr:uid="{00000000-0005-0000-0000-00001D810000}"/>
    <cellStyle name="Normal 4 7 3 2 2 4 3" xfId="55660" xr:uid="{00000000-0005-0000-0000-00001E810000}"/>
    <cellStyle name="Normal 4 7 3 2 2 5" xfId="23418" xr:uid="{00000000-0005-0000-0000-00001F810000}"/>
    <cellStyle name="Normal 4 7 3 2 2 5 2" xfId="55661" xr:uid="{00000000-0005-0000-0000-000020810000}"/>
    <cellStyle name="Normal 4 7 3 2 2 6" xfId="23419" xr:uid="{00000000-0005-0000-0000-000021810000}"/>
    <cellStyle name="Normal 4 7 3 2 2 7" xfId="23420" xr:uid="{00000000-0005-0000-0000-000022810000}"/>
    <cellStyle name="Normal 4 7 3 2 2 8" xfId="23421" xr:uid="{00000000-0005-0000-0000-000023810000}"/>
    <cellStyle name="Normal 4 7 3 2 2 9" xfId="23422" xr:uid="{00000000-0005-0000-0000-000024810000}"/>
    <cellStyle name="Normal 4 7 3 2 3" xfId="23423" xr:uid="{00000000-0005-0000-0000-000025810000}"/>
    <cellStyle name="Normal 4 7 3 2 3 2" xfId="23424" xr:uid="{00000000-0005-0000-0000-000026810000}"/>
    <cellStyle name="Normal 4 7 3 2 3 2 2" xfId="23425" xr:uid="{00000000-0005-0000-0000-000027810000}"/>
    <cellStyle name="Normal 4 7 3 2 3 2 2 2" xfId="23426" xr:uid="{00000000-0005-0000-0000-000028810000}"/>
    <cellStyle name="Normal 4 7 3 2 3 2 2 2 2" xfId="55662" xr:uid="{00000000-0005-0000-0000-000029810000}"/>
    <cellStyle name="Normal 4 7 3 2 3 2 2 2 3" xfId="55663" xr:uid="{00000000-0005-0000-0000-00002A810000}"/>
    <cellStyle name="Normal 4 7 3 2 3 2 2 3" xfId="23427" xr:uid="{00000000-0005-0000-0000-00002B810000}"/>
    <cellStyle name="Normal 4 7 3 2 3 2 2 3 2" xfId="55664" xr:uid="{00000000-0005-0000-0000-00002C810000}"/>
    <cellStyle name="Normal 4 7 3 2 3 2 2 4" xfId="23428" xr:uid="{00000000-0005-0000-0000-00002D810000}"/>
    <cellStyle name="Normal 4 7 3 2 3 2 2 5" xfId="23429" xr:uid="{00000000-0005-0000-0000-00002E810000}"/>
    <cellStyle name="Normal 4 7 3 2 3 2 2 6" xfId="23430" xr:uid="{00000000-0005-0000-0000-00002F810000}"/>
    <cellStyle name="Normal 4 7 3 2 3 2 3" xfId="23431" xr:uid="{00000000-0005-0000-0000-000030810000}"/>
    <cellStyle name="Normal 4 7 3 2 3 2 3 2" xfId="55665" xr:uid="{00000000-0005-0000-0000-000031810000}"/>
    <cellStyle name="Normal 4 7 3 2 3 2 3 3" xfId="55666" xr:uid="{00000000-0005-0000-0000-000032810000}"/>
    <cellStyle name="Normal 4 7 3 2 3 2 4" xfId="23432" xr:uid="{00000000-0005-0000-0000-000033810000}"/>
    <cellStyle name="Normal 4 7 3 2 3 2 4 2" xfId="55667" xr:uid="{00000000-0005-0000-0000-000034810000}"/>
    <cellStyle name="Normal 4 7 3 2 3 2 5" xfId="23433" xr:uid="{00000000-0005-0000-0000-000035810000}"/>
    <cellStyle name="Normal 4 7 3 2 3 2 6" xfId="23434" xr:uid="{00000000-0005-0000-0000-000036810000}"/>
    <cellStyle name="Normal 4 7 3 2 3 2 7" xfId="23435" xr:uid="{00000000-0005-0000-0000-000037810000}"/>
    <cellStyle name="Normal 4 7 3 2 3 3" xfId="23436" xr:uid="{00000000-0005-0000-0000-000038810000}"/>
    <cellStyle name="Normal 4 7 3 2 3 3 2" xfId="23437" xr:uid="{00000000-0005-0000-0000-000039810000}"/>
    <cellStyle name="Normal 4 7 3 2 3 3 2 2" xfId="55668" xr:uid="{00000000-0005-0000-0000-00003A810000}"/>
    <cellStyle name="Normal 4 7 3 2 3 3 2 3" xfId="55669" xr:uid="{00000000-0005-0000-0000-00003B810000}"/>
    <cellStyle name="Normal 4 7 3 2 3 3 3" xfId="23438" xr:uid="{00000000-0005-0000-0000-00003C810000}"/>
    <cellStyle name="Normal 4 7 3 2 3 3 3 2" xfId="55670" xr:uid="{00000000-0005-0000-0000-00003D810000}"/>
    <cellStyle name="Normal 4 7 3 2 3 3 4" xfId="23439" xr:uid="{00000000-0005-0000-0000-00003E810000}"/>
    <cellStyle name="Normal 4 7 3 2 3 3 5" xfId="23440" xr:uid="{00000000-0005-0000-0000-00003F810000}"/>
    <cellStyle name="Normal 4 7 3 2 3 3 6" xfId="23441" xr:uid="{00000000-0005-0000-0000-000040810000}"/>
    <cellStyle name="Normal 4 7 3 2 3 4" xfId="23442" xr:uid="{00000000-0005-0000-0000-000041810000}"/>
    <cellStyle name="Normal 4 7 3 2 3 4 2" xfId="55671" xr:uid="{00000000-0005-0000-0000-000042810000}"/>
    <cellStyle name="Normal 4 7 3 2 3 4 3" xfId="55672" xr:uid="{00000000-0005-0000-0000-000043810000}"/>
    <cellStyle name="Normal 4 7 3 2 3 5" xfId="23443" xr:uid="{00000000-0005-0000-0000-000044810000}"/>
    <cellStyle name="Normal 4 7 3 2 3 5 2" xfId="55673" xr:uid="{00000000-0005-0000-0000-000045810000}"/>
    <cellStyle name="Normal 4 7 3 2 3 6" xfId="23444" xr:uid="{00000000-0005-0000-0000-000046810000}"/>
    <cellStyle name="Normal 4 7 3 2 3 7" xfId="23445" xr:uid="{00000000-0005-0000-0000-000047810000}"/>
    <cellStyle name="Normal 4 7 3 2 3 8" xfId="23446" xr:uid="{00000000-0005-0000-0000-000048810000}"/>
    <cellStyle name="Normal 4 7 3 2 4" xfId="23447" xr:uid="{00000000-0005-0000-0000-000049810000}"/>
    <cellStyle name="Normal 4 7 3 2 4 2" xfId="23448" xr:uid="{00000000-0005-0000-0000-00004A810000}"/>
    <cellStyle name="Normal 4 7 3 2 4 2 2" xfId="23449" xr:uid="{00000000-0005-0000-0000-00004B810000}"/>
    <cellStyle name="Normal 4 7 3 2 4 2 2 2" xfId="55674" xr:uid="{00000000-0005-0000-0000-00004C810000}"/>
    <cellStyle name="Normal 4 7 3 2 4 2 2 3" xfId="55675" xr:uid="{00000000-0005-0000-0000-00004D810000}"/>
    <cellStyle name="Normal 4 7 3 2 4 2 3" xfId="23450" xr:uid="{00000000-0005-0000-0000-00004E810000}"/>
    <cellStyle name="Normal 4 7 3 2 4 2 3 2" xfId="55676" xr:uid="{00000000-0005-0000-0000-00004F810000}"/>
    <cellStyle name="Normal 4 7 3 2 4 2 4" xfId="23451" xr:uid="{00000000-0005-0000-0000-000050810000}"/>
    <cellStyle name="Normal 4 7 3 2 4 2 5" xfId="23452" xr:uid="{00000000-0005-0000-0000-000051810000}"/>
    <cellStyle name="Normal 4 7 3 2 4 2 6" xfId="23453" xr:uid="{00000000-0005-0000-0000-000052810000}"/>
    <cellStyle name="Normal 4 7 3 2 4 3" xfId="23454" xr:uid="{00000000-0005-0000-0000-000053810000}"/>
    <cellStyle name="Normal 4 7 3 2 4 3 2" xfId="55677" xr:uid="{00000000-0005-0000-0000-000054810000}"/>
    <cellStyle name="Normal 4 7 3 2 4 3 3" xfId="55678" xr:uid="{00000000-0005-0000-0000-000055810000}"/>
    <cellStyle name="Normal 4 7 3 2 4 4" xfId="23455" xr:uid="{00000000-0005-0000-0000-000056810000}"/>
    <cellStyle name="Normal 4 7 3 2 4 4 2" xfId="55679" xr:uid="{00000000-0005-0000-0000-000057810000}"/>
    <cellStyle name="Normal 4 7 3 2 4 5" xfId="23456" xr:uid="{00000000-0005-0000-0000-000058810000}"/>
    <cellStyle name="Normal 4 7 3 2 4 6" xfId="23457" xr:uid="{00000000-0005-0000-0000-000059810000}"/>
    <cellStyle name="Normal 4 7 3 2 4 7" xfId="23458" xr:uid="{00000000-0005-0000-0000-00005A810000}"/>
    <cellStyle name="Normal 4 7 3 2 5" xfId="23459" xr:uid="{00000000-0005-0000-0000-00005B810000}"/>
    <cellStyle name="Normal 4 7 3 2 5 2" xfId="23460" xr:uid="{00000000-0005-0000-0000-00005C810000}"/>
    <cellStyle name="Normal 4 7 3 2 5 2 2" xfId="55680" xr:uid="{00000000-0005-0000-0000-00005D810000}"/>
    <cellStyle name="Normal 4 7 3 2 5 2 3" xfId="55681" xr:uid="{00000000-0005-0000-0000-00005E810000}"/>
    <cellStyle name="Normal 4 7 3 2 5 3" xfId="23461" xr:uid="{00000000-0005-0000-0000-00005F810000}"/>
    <cellStyle name="Normal 4 7 3 2 5 3 2" xfId="55682" xr:uid="{00000000-0005-0000-0000-000060810000}"/>
    <cellStyle name="Normal 4 7 3 2 5 4" xfId="23462" xr:uid="{00000000-0005-0000-0000-000061810000}"/>
    <cellStyle name="Normal 4 7 3 2 5 5" xfId="23463" xr:uid="{00000000-0005-0000-0000-000062810000}"/>
    <cellStyle name="Normal 4 7 3 2 5 6" xfId="23464" xr:uid="{00000000-0005-0000-0000-000063810000}"/>
    <cellStyle name="Normal 4 7 3 2 6" xfId="23465" xr:uid="{00000000-0005-0000-0000-000064810000}"/>
    <cellStyle name="Normal 4 7 3 2 6 2" xfId="55683" xr:uid="{00000000-0005-0000-0000-000065810000}"/>
    <cellStyle name="Normal 4 7 3 2 6 3" xfId="55684" xr:uid="{00000000-0005-0000-0000-000066810000}"/>
    <cellStyle name="Normal 4 7 3 2 7" xfId="23466" xr:uid="{00000000-0005-0000-0000-000067810000}"/>
    <cellStyle name="Normal 4 7 3 2 7 2" xfId="55685" xr:uid="{00000000-0005-0000-0000-000068810000}"/>
    <cellStyle name="Normal 4 7 3 2 8" xfId="23467" xr:uid="{00000000-0005-0000-0000-000069810000}"/>
    <cellStyle name="Normal 4 7 3 2 9" xfId="23468" xr:uid="{00000000-0005-0000-0000-00006A810000}"/>
    <cellStyle name="Normal 4 7 3 3" xfId="23469" xr:uid="{00000000-0005-0000-0000-00006B810000}"/>
    <cellStyle name="Normal 4 7 3 3 2" xfId="23470" xr:uid="{00000000-0005-0000-0000-00006C810000}"/>
    <cellStyle name="Normal 4 7 3 3 2 2" xfId="23471" xr:uid="{00000000-0005-0000-0000-00006D810000}"/>
    <cellStyle name="Normal 4 7 3 3 2 2 2" xfId="23472" xr:uid="{00000000-0005-0000-0000-00006E810000}"/>
    <cellStyle name="Normal 4 7 3 3 2 2 2 2" xfId="55686" xr:uid="{00000000-0005-0000-0000-00006F810000}"/>
    <cellStyle name="Normal 4 7 3 3 2 2 2 3" xfId="55687" xr:uid="{00000000-0005-0000-0000-000070810000}"/>
    <cellStyle name="Normal 4 7 3 3 2 2 3" xfId="23473" xr:uid="{00000000-0005-0000-0000-000071810000}"/>
    <cellStyle name="Normal 4 7 3 3 2 2 3 2" xfId="55688" xr:uid="{00000000-0005-0000-0000-000072810000}"/>
    <cellStyle name="Normal 4 7 3 3 2 2 4" xfId="23474" xr:uid="{00000000-0005-0000-0000-000073810000}"/>
    <cellStyle name="Normal 4 7 3 3 2 2 5" xfId="23475" xr:uid="{00000000-0005-0000-0000-000074810000}"/>
    <cellStyle name="Normal 4 7 3 3 2 2 6" xfId="23476" xr:uid="{00000000-0005-0000-0000-000075810000}"/>
    <cellStyle name="Normal 4 7 3 3 2 3" xfId="23477" xr:uid="{00000000-0005-0000-0000-000076810000}"/>
    <cellStyle name="Normal 4 7 3 3 2 3 2" xfId="55689" xr:uid="{00000000-0005-0000-0000-000077810000}"/>
    <cellStyle name="Normal 4 7 3 3 2 3 3" xfId="55690" xr:uid="{00000000-0005-0000-0000-000078810000}"/>
    <cellStyle name="Normal 4 7 3 3 2 4" xfId="23478" xr:uid="{00000000-0005-0000-0000-000079810000}"/>
    <cellStyle name="Normal 4 7 3 3 2 4 2" xfId="55691" xr:uid="{00000000-0005-0000-0000-00007A810000}"/>
    <cellStyle name="Normal 4 7 3 3 2 5" xfId="23479" xr:uid="{00000000-0005-0000-0000-00007B810000}"/>
    <cellStyle name="Normal 4 7 3 3 2 6" xfId="23480" xr:uid="{00000000-0005-0000-0000-00007C810000}"/>
    <cellStyle name="Normal 4 7 3 3 2 7" xfId="23481" xr:uid="{00000000-0005-0000-0000-00007D810000}"/>
    <cellStyle name="Normal 4 7 3 3 3" xfId="23482" xr:uid="{00000000-0005-0000-0000-00007E810000}"/>
    <cellStyle name="Normal 4 7 3 3 3 2" xfId="23483" xr:uid="{00000000-0005-0000-0000-00007F810000}"/>
    <cellStyle name="Normal 4 7 3 3 3 2 2" xfId="55692" xr:uid="{00000000-0005-0000-0000-000080810000}"/>
    <cellStyle name="Normal 4 7 3 3 3 2 3" xfId="55693" xr:uid="{00000000-0005-0000-0000-000081810000}"/>
    <cellStyle name="Normal 4 7 3 3 3 3" xfId="23484" xr:uid="{00000000-0005-0000-0000-000082810000}"/>
    <cellStyle name="Normal 4 7 3 3 3 3 2" xfId="55694" xr:uid="{00000000-0005-0000-0000-000083810000}"/>
    <cellStyle name="Normal 4 7 3 3 3 4" xfId="23485" xr:uid="{00000000-0005-0000-0000-000084810000}"/>
    <cellStyle name="Normal 4 7 3 3 3 5" xfId="23486" xr:uid="{00000000-0005-0000-0000-000085810000}"/>
    <cellStyle name="Normal 4 7 3 3 3 6" xfId="23487" xr:uid="{00000000-0005-0000-0000-000086810000}"/>
    <cellStyle name="Normal 4 7 3 3 4" xfId="23488" xr:uid="{00000000-0005-0000-0000-000087810000}"/>
    <cellStyle name="Normal 4 7 3 3 4 2" xfId="55695" xr:uid="{00000000-0005-0000-0000-000088810000}"/>
    <cellStyle name="Normal 4 7 3 3 4 3" xfId="55696" xr:uid="{00000000-0005-0000-0000-000089810000}"/>
    <cellStyle name="Normal 4 7 3 3 5" xfId="23489" xr:uid="{00000000-0005-0000-0000-00008A810000}"/>
    <cellStyle name="Normal 4 7 3 3 5 2" xfId="55697" xr:uid="{00000000-0005-0000-0000-00008B810000}"/>
    <cellStyle name="Normal 4 7 3 3 6" xfId="23490" xr:uid="{00000000-0005-0000-0000-00008C810000}"/>
    <cellStyle name="Normal 4 7 3 3 7" xfId="23491" xr:uid="{00000000-0005-0000-0000-00008D810000}"/>
    <cellStyle name="Normal 4 7 3 3 8" xfId="23492" xr:uid="{00000000-0005-0000-0000-00008E810000}"/>
    <cellStyle name="Normal 4 7 3 3 9" xfId="23493" xr:uid="{00000000-0005-0000-0000-00008F810000}"/>
    <cellStyle name="Normal 4 7 3 4" xfId="23494" xr:uid="{00000000-0005-0000-0000-000090810000}"/>
    <cellStyle name="Normal 4 7 3 4 2" xfId="23495" xr:uid="{00000000-0005-0000-0000-000091810000}"/>
    <cellStyle name="Normal 4 7 3 4 2 2" xfId="23496" xr:uid="{00000000-0005-0000-0000-000092810000}"/>
    <cellStyle name="Normal 4 7 3 4 2 2 2" xfId="23497" xr:uid="{00000000-0005-0000-0000-000093810000}"/>
    <cellStyle name="Normal 4 7 3 4 2 2 2 2" xfId="55698" xr:uid="{00000000-0005-0000-0000-000094810000}"/>
    <cellStyle name="Normal 4 7 3 4 2 2 2 3" xfId="55699" xr:uid="{00000000-0005-0000-0000-000095810000}"/>
    <cellStyle name="Normal 4 7 3 4 2 2 3" xfId="23498" xr:uid="{00000000-0005-0000-0000-000096810000}"/>
    <cellStyle name="Normal 4 7 3 4 2 2 3 2" xfId="55700" xr:uid="{00000000-0005-0000-0000-000097810000}"/>
    <cellStyle name="Normal 4 7 3 4 2 2 4" xfId="23499" xr:uid="{00000000-0005-0000-0000-000098810000}"/>
    <cellStyle name="Normal 4 7 3 4 2 2 5" xfId="23500" xr:uid="{00000000-0005-0000-0000-000099810000}"/>
    <cellStyle name="Normal 4 7 3 4 2 2 6" xfId="23501" xr:uid="{00000000-0005-0000-0000-00009A810000}"/>
    <cellStyle name="Normal 4 7 3 4 2 3" xfId="23502" xr:uid="{00000000-0005-0000-0000-00009B810000}"/>
    <cellStyle name="Normal 4 7 3 4 2 3 2" xfId="55701" xr:uid="{00000000-0005-0000-0000-00009C810000}"/>
    <cellStyle name="Normal 4 7 3 4 2 3 3" xfId="55702" xr:uid="{00000000-0005-0000-0000-00009D810000}"/>
    <cellStyle name="Normal 4 7 3 4 2 4" xfId="23503" xr:uid="{00000000-0005-0000-0000-00009E810000}"/>
    <cellStyle name="Normal 4 7 3 4 2 4 2" xfId="55703" xr:uid="{00000000-0005-0000-0000-00009F810000}"/>
    <cellStyle name="Normal 4 7 3 4 2 5" xfId="23504" xr:uid="{00000000-0005-0000-0000-0000A0810000}"/>
    <cellStyle name="Normal 4 7 3 4 2 6" xfId="23505" xr:uid="{00000000-0005-0000-0000-0000A1810000}"/>
    <cellStyle name="Normal 4 7 3 4 2 7" xfId="23506" xr:uid="{00000000-0005-0000-0000-0000A2810000}"/>
    <cellStyle name="Normal 4 7 3 4 3" xfId="23507" xr:uid="{00000000-0005-0000-0000-0000A3810000}"/>
    <cellStyle name="Normal 4 7 3 4 3 2" xfId="23508" xr:uid="{00000000-0005-0000-0000-0000A4810000}"/>
    <cellStyle name="Normal 4 7 3 4 3 2 2" xfId="55704" xr:uid="{00000000-0005-0000-0000-0000A5810000}"/>
    <cellStyle name="Normal 4 7 3 4 3 2 3" xfId="55705" xr:uid="{00000000-0005-0000-0000-0000A6810000}"/>
    <cellStyle name="Normal 4 7 3 4 3 3" xfId="23509" xr:uid="{00000000-0005-0000-0000-0000A7810000}"/>
    <cellStyle name="Normal 4 7 3 4 3 3 2" xfId="55706" xr:uid="{00000000-0005-0000-0000-0000A8810000}"/>
    <cellStyle name="Normal 4 7 3 4 3 4" xfId="23510" xr:uid="{00000000-0005-0000-0000-0000A9810000}"/>
    <cellStyle name="Normal 4 7 3 4 3 5" xfId="23511" xr:uid="{00000000-0005-0000-0000-0000AA810000}"/>
    <cellStyle name="Normal 4 7 3 4 3 6" xfId="23512" xr:uid="{00000000-0005-0000-0000-0000AB810000}"/>
    <cellStyle name="Normal 4 7 3 4 4" xfId="23513" xr:uid="{00000000-0005-0000-0000-0000AC810000}"/>
    <cellStyle name="Normal 4 7 3 4 4 2" xfId="55707" xr:uid="{00000000-0005-0000-0000-0000AD810000}"/>
    <cellStyle name="Normal 4 7 3 4 4 3" xfId="55708" xr:uid="{00000000-0005-0000-0000-0000AE810000}"/>
    <cellStyle name="Normal 4 7 3 4 5" xfId="23514" xr:uid="{00000000-0005-0000-0000-0000AF810000}"/>
    <cellStyle name="Normal 4 7 3 4 5 2" xfId="55709" xr:uid="{00000000-0005-0000-0000-0000B0810000}"/>
    <cellStyle name="Normal 4 7 3 4 6" xfId="23515" xr:uid="{00000000-0005-0000-0000-0000B1810000}"/>
    <cellStyle name="Normal 4 7 3 4 7" xfId="23516" xr:uid="{00000000-0005-0000-0000-0000B2810000}"/>
    <cellStyle name="Normal 4 7 3 4 8" xfId="23517" xr:uid="{00000000-0005-0000-0000-0000B3810000}"/>
    <cellStyle name="Normal 4 7 3 5" xfId="23518" xr:uid="{00000000-0005-0000-0000-0000B4810000}"/>
    <cellStyle name="Normal 4 7 3 5 2" xfId="23519" xr:uid="{00000000-0005-0000-0000-0000B5810000}"/>
    <cellStyle name="Normal 4 7 3 5 2 2" xfId="23520" xr:uid="{00000000-0005-0000-0000-0000B6810000}"/>
    <cellStyle name="Normal 4 7 3 5 2 2 2" xfId="55710" xr:uid="{00000000-0005-0000-0000-0000B7810000}"/>
    <cellStyle name="Normal 4 7 3 5 2 2 3" xfId="55711" xr:uid="{00000000-0005-0000-0000-0000B8810000}"/>
    <cellStyle name="Normal 4 7 3 5 2 3" xfId="23521" xr:uid="{00000000-0005-0000-0000-0000B9810000}"/>
    <cellStyle name="Normal 4 7 3 5 2 3 2" xfId="55712" xr:uid="{00000000-0005-0000-0000-0000BA810000}"/>
    <cellStyle name="Normal 4 7 3 5 2 4" xfId="23522" xr:uid="{00000000-0005-0000-0000-0000BB810000}"/>
    <cellStyle name="Normal 4 7 3 5 2 5" xfId="23523" xr:uid="{00000000-0005-0000-0000-0000BC810000}"/>
    <cellStyle name="Normal 4 7 3 5 2 6" xfId="23524" xr:uid="{00000000-0005-0000-0000-0000BD810000}"/>
    <cellStyle name="Normal 4 7 3 5 3" xfId="23525" xr:uid="{00000000-0005-0000-0000-0000BE810000}"/>
    <cellStyle name="Normal 4 7 3 5 3 2" xfId="55713" xr:uid="{00000000-0005-0000-0000-0000BF810000}"/>
    <cellStyle name="Normal 4 7 3 5 3 3" xfId="55714" xr:uid="{00000000-0005-0000-0000-0000C0810000}"/>
    <cellStyle name="Normal 4 7 3 5 4" xfId="23526" xr:uid="{00000000-0005-0000-0000-0000C1810000}"/>
    <cellStyle name="Normal 4 7 3 5 4 2" xfId="55715" xr:uid="{00000000-0005-0000-0000-0000C2810000}"/>
    <cellStyle name="Normal 4 7 3 5 5" xfId="23527" xr:uid="{00000000-0005-0000-0000-0000C3810000}"/>
    <cellStyle name="Normal 4 7 3 5 6" xfId="23528" xr:uid="{00000000-0005-0000-0000-0000C4810000}"/>
    <cellStyle name="Normal 4 7 3 5 7" xfId="23529" xr:uid="{00000000-0005-0000-0000-0000C5810000}"/>
    <cellStyle name="Normal 4 7 3 6" xfId="23530" xr:uid="{00000000-0005-0000-0000-0000C6810000}"/>
    <cellStyle name="Normal 4 7 3 6 2" xfId="23531" xr:uid="{00000000-0005-0000-0000-0000C7810000}"/>
    <cellStyle name="Normal 4 7 3 6 2 2" xfId="55716" xr:uid="{00000000-0005-0000-0000-0000C8810000}"/>
    <cellStyle name="Normal 4 7 3 6 2 3" xfId="55717" xr:uid="{00000000-0005-0000-0000-0000C9810000}"/>
    <cellStyle name="Normal 4 7 3 6 3" xfId="23532" xr:uid="{00000000-0005-0000-0000-0000CA810000}"/>
    <cellStyle name="Normal 4 7 3 6 3 2" xfId="55718" xr:uid="{00000000-0005-0000-0000-0000CB810000}"/>
    <cellStyle name="Normal 4 7 3 6 4" xfId="23533" xr:uid="{00000000-0005-0000-0000-0000CC810000}"/>
    <cellStyle name="Normal 4 7 3 6 5" xfId="23534" xr:uid="{00000000-0005-0000-0000-0000CD810000}"/>
    <cellStyle name="Normal 4 7 3 6 6" xfId="23535" xr:uid="{00000000-0005-0000-0000-0000CE810000}"/>
    <cellStyle name="Normal 4 7 3 7" xfId="23536" xr:uid="{00000000-0005-0000-0000-0000CF810000}"/>
    <cellStyle name="Normal 4 7 3 7 2" xfId="55719" xr:uid="{00000000-0005-0000-0000-0000D0810000}"/>
    <cellStyle name="Normal 4 7 3 7 3" xfId="55720" xr:uid="{00000000-0005-0000-0000-0000D1810000}"/>
    <cellStyle name="Normal 4 7 3 8" xfId="23537" xr:uid="{00000000-0005-0000-0000-0000D2810000}"/>
    <cellStyle name="Normal 4 7 3 8 2" xfId="55721" xr:uid="{00000000-0005-0000-0000-0000D3810000}"/>
    <cellStyle name="Normal 4 7 3 9" xfId="23538" xr:uid="{00000000-0005-0000-0000-0000D4810000}"/>
    <cellStyle name="Normal 4 7 4" xfId="23539" xr:uid="{00000000-0005-0000-0000-0000D5810000}"/>
    <cellStyle name="Normal 4 7 4 10" xfId="23540" xr:uid="{00000000-0005-0000-0000-0000D6810000}"/>
    <cellStyle name="Normal 4 7 4 11" xfId="23541" xr:uid="{00000000-0005-0000-0000-0000D7810000}"/>
    <cellStyle name="Normal 4 7 4 12" xfId="23542" xr:uid="{00000000-0005-0000-0000-0000D8810000}"/>
    <cellStyle name="Normal 4 7 4 13" xfId="23543" xr:uid="{00000000-0005-0000-0000-0000D9810000}"/>
    <cellStyle name="Normal 4 7 4 14" xfId="23544" xr:uid="{00000000-0005-0000-0000-0000DA810000}"/>
    <cellStyle name="Normal 4 7 4 2" xfId="23545" xr:uid="{00000000-0005-0000-0000-0000DB810000}"/>
    <cellStyle name="Normal 4 7 4 2 2" xfId="23546" xr:uid="{00000000-0005-0000-0000-0000DC810000}"/>
    <cellStyle name="Normal 4 7 4 2 2 2" xfId="23547" xr:uid="{00000000-0005-0000-0000-0000DD810000}"/>
    <cellStyle name="Normal 4 7 4 2 2 2 2" xfId="23548" xr:uid="{00000000-0005-0000-0000-0000DE810000}"/>
    <cellStyle name="Normal 4 7 4 2 2 2 2 2" xfId="55722" xr:uid="{00000000-0005-0000-0000-0000DF810000}"/>
    <cellStyle name="Normal 4 7 4 2 2 2 2 3" xfId="55723" xr:uid="{00000000-0005-0000-0000-0000E0810000}"/>
    <cellStyle name="Normal 4 7 4 2 2 2 3" xfId="23549" xr:uid="{00000000-0005-0000-0000-0000E1810000}"/>
    <cellStyle name="Normal 4 7 4 2 2 2 3 2" xfId="55724" xr:uid="{00000000-0005-0000-0000-0000E2810000}"/>
    <cellStyle name="Normal 4 7 4 2 2 2 4" xfId="23550" xr:uid="{00000000-0005-0000-0000-0000E3810000}"/>
    <cellStyle name="Normal 4 7 4 2 2 2 5" xfId="23551" xr:uid="{00000000-0005-0000-0000-0000E4810000}"/>
    <cellStyle name="Normal 4 7 4 2 2 2 6" xfId="23552" xr:uid="{00000000-0005-0000-0000-0000E5810000}"/>
    <cellStyle name="Normal 4 7 4 2 2 3" xfId="23553" xr:uid="{00000000-0005-0000-0000-0000E6810000}"/>
    <cellStyle name="Normal 4 7 4 2 2 3 2" xfId="55725" xr:uid="{00000000-0005-0000-0000-0000E7810000}"/>
    <cellStyle name="Normal 4 7 4 2 2 3 3" xfId="55726" xr:uid="{00000000-0005-0000-0000-0000E8810000}"/>
    <cellStyle name="Normal 4 7 4 2 2 4" xfId="23554" xr:uid="{00000000-0005-0000-0000-0000E9810000}"/>
    <cellStyle name="Normal 4 7 4 2 2 4 2" xfId="55727" xr:uid="{00000000-0005-0000-0000-0000EA810000}"/>
    <cellStyle name="Normal 4 7 4 2 2 5" xfId="23555" xr:uid="{00000000-0005-0000-0000-0000EB810000}"/>
    <cellStyle name="Normal 4 7 4 2 2 6" xfId="23556" xr:uid="{00000000-0005-0000-0000-0000EC810000}"/>
    <cellStyle name="Normal 4 7 4 2 2 7" xfId="23557" xr:uid="{00000000-0005-0000-0000-0000ED810000}"/>
    <cellStyle name="Normal 4 7 4 2 3" xfId="23558" xr:uid="{00000000-0005-0000-0000-0000EE810000}"/>
    <cellStyle name="Normal 4 7 4 2 3 2" xfId="23559" xr:uid="{00000000-0005-0000-0000-0000EF810000}"/>
    <cellStyle name="Normal 4 7 4 2 3 2 2" xfId="55728" xr:uid="{00000000-0005-0000-0000-0000F0810000}"/>
    <cellStyle name="Normal 4 7 4 2 3 2 3" xfId="55729" xr:uid="{00000000-0005-0000-0000-0000F1810000}"/>
    <cellStyle name="Normal 4 7 4 2 3 3" xfId="23560" xr:uid="{00000000-0005-0000-0000-0000F2810000}"/>
    <cellStyle name="Normal 4 7 4 2 3 3 2" xfId="55730" xr:uid="{00000000-0005-0000-0000-0000F3810000}"/>
    <cellStyle name="Normal 4 7 4 2 3 4" xfId="23561" xr:uid="{00000000-0005-0000-0000-0000F4810000}"/>
    <cellStyle name="Normal 4 7 4 2 3 5" xfId="23562" xr:uid="{00000000-0005-0000-0000-0000F5810000}"/>
    <cellStyle name="Normal 4 7 4 2 3 6" xfId="23563" xr:uid="{00000000-0005-0000-0000-0000F6810000}"/>
    <cellStyle name="Normal 4 7 4 2 4" xfId="23564" xr:uid="{00000000-0005-0000-0000-0000F7810000}"/>
    <cellStyle name="Normal 4 7 4 2 4 2" xfId="55731" xr:uid="{00000000-0005-0000-0000-0000F8810000}"/>
    <cellStyle name="Normal 4 7 4 2 4 3" xfId="55732" xr:uid="{00000000-0005-0000-0000-0000F9810000}"/>
    <cellStyle name="Normal 4 7 4 2 5" xfId="23565" xr:uid="{00000000-0005-0000-0000-0000FA810000}"/>
    <cellStyle name="Normal 4 7 4 2 5 2" xfId="55733" xr:uid="{00000000-0005-0000-0000-0000FB810000}"/>
    <cellStyle name="Normal 4 7 4 2 6" xfId="23566" xr:uid="{00000000-0005-0000-0000-0000FC810000}"/>
    <cellStyle name="Normal 4 7 4 2 7" xfId="23567" xr:uid="{00000000-0005-0000-0000-0000FD810000}"/>
    <cellStyle name="Normal 4 7 4 2 8" xfId="23568" xr:uid="{00000000-0005-0000-0000-0000FE810000}"/>
    <cellStyle name="Normal 4 7 4 2 9" xfId="23569" xr:uid="{00000000-0005-0000-0000-0000FF810000}"/>
    <cellStyle name="Normal 4 7 4 3" xfId="23570" xr:uid="{00000000-0005-0000-0000-000000820000}"/>
    <cellStyle name="Normal 4 7 4 3 2" xfId="23571" xr:uid="{00000000-0005-0000-0000-000001820000}"/>
    <cellStyle name="Normal 4 7 4 3 2 2" xfId="23572" xr:uid="{00000000-0005-0000-0000-000002820000}"/>
    <cellStyle name="Normal 4 7 4 3 2 2 2" xfId="23573" xr:uid="{00000000-0005-0000-0000-000003820000}"/>
    <cellStyle name="Normal 4 7 4 3 2 2 2 2" xfId="55734" xr:uid="{00000000-0005-0000-0000-000004820000}"/>
    <cellStyle name="Normal 4 7 4 3 2 2 2 3" xfId="55735" xr:uid="{00000000-0005-0000-0000-000005820000}"/>
    <cellStyle name="Normal 4 7 4 3 2 2 3" xfId="23574" xr:uid="{00000000-0005-0000-0000-000006820000}"/>
    <cellStyle name="Normal 4 7 4 3 2 2 3 2" xfId="55736" xr:uid="{00000000-0005-0000-0000-000007820000}"/>
    <cellStyle name="Normal 4 7 4 3 2 2 4" xfId="23575" xr:uid="{00000000-0005-0000-0000-000008820000}"/>
    <cellStyle name="Normal 4 7 4 3 2 2 5" xfId="23576" xr:uid="{00000000-0005-0000-0000-000009820000}"/>
    <cellStyle name="Normal 4 7 4 3 2 2 6" xfId="23577" xr:uid="{00000000-0005-0000-0000-00000A820000}"/>
    <cellStyle name="Normal 4 7 4 3 2 3" xfId="23578" xr:uid="{00000000-0005-0000-0000-00000B820000}"/>
    <cellStyle name="Normal 4 7 4 3 2 3 2" xfId="55737" xr:uid="{00000000-0005-0000-0000-00000C820000}"/>
    <cellStyle name="Normal 4 7 4 3 2 3 3" xfId="55738" xr:uid="{00000000-0005-0000-0000-00000D820000}"/>
    <cellStyle name="Normal 4 7 4 3 2 4" xfId="23579" xr:uid="{00000000-0005-0000-0000-00000E820000}"/>
    <cellStyle name="Normal 4 7 4 3 2 4 2" xfId="55739" xr:uid="{00000000-0005-0000-0000-00000F820000}"/>
    <cellStyle name="Normal 4 7 4 3 2 5" xfId="23580" xr:uid="{00000000-0005-0000-0000-000010820000}"/>
    <cellStyle name="Normal 4 7 4 3 2 6" xfId="23581" xr:uid="{00000000-0005-0000-0000-000011820000}"/>
    <cellStyle name="Normal 4 7 4 3 2 7" xfId="23582" xr:uid="{00000000-0005-0000-0000-000012820000}"/>
    <cellStyle name="Normal 4 7 4 3 3" xfId="23583" xr:uid="{00000000-0005-0000-0000-000013820000}"/>
    <cellStyle name="Normal 4 7 4 3 3 2" xfId="23584" xr:uid="{00000000-0005-0000-0000-000014820000}"/>
    <cellStyle name="Normal 4 7 4 3 3 2 2" xfId="55740" xr:uid="{00000000-0005-0000-0000-000015820000}"/>
    <cellStyle name="Normal 4 7 4 3 3 2 3" xfId="55741" xr:uid="{00000000-0005-0000-0000-000016820000}"/>
    <cellStyle name="Normal 4 7 4 3 3 3" xfId="23585" xr:uid="{00000000-0005-0000-0000-000017820000}"/>
    <cellStyle name="Normal 4 7 4 3 3 3 2" xfId="55742" xr:uid="{00000000-0005-0000-0000-000018820000}"/>
    <cellStyle name="Normal 4 7 4 3 3 4" xfId="23586" xr:uid="{00000000-0005-0000-0000-000019820000}"/>
    <cellStyle name="Normal 4 7 4 3 3 5" xfId="23587" xr:uid="{00000000-0005-0000-0000-00001A820000}"/>
    <cellStyle name="Normal 4 7 4 3 3 6" xfId="23588" xr:uid="{00000000-0005-0000-0000-00001B820000}"/>
    <cellStyle name="Normal 4 7 4 3 4" xfId="23589" xr:uid="{00000000-0005-0000-0000-00001C820000}"/>
    <cellStyle name="Normal 4 7 4 3 4 2" xfId="55743" xr:uid="{00000000-0005-0000-0000-00001D820000}"/>
    <cellStyle name="Normal 4 7 4 3 4 3" xfId="55744" xr:uid="{00000000-0005-0000-0000-00001E820000}"/>
    <cellStyle name="Normal 4 7 4 3 5" xfId="23590" xr:uid="{00000000-0005-0000-0000-00001F820000}"/>
    <cellStyle name="Normal 4 7 4 3 5 2" xfId="55745" xr:uid="{00000000-0005-0000-0000-000020820000}"/>
    <cellStyle name="Normal 4 7 4 3 6" xfId="23591" xr:uid="{00000000-0005-0000-0000-000021820000}"/>
    <cellStyle name="Normal 4 7 4 3 7" xfId="23592" xr:uid="{00000000-0005-0000-0000-000022820000}"/>
    <cellStyle name="Normal 4 7 4 3 8" xfId="23593" xr:uid="{00000000-0005-0000-0000-000023820000}"/>
    <cellStyle name="Normal 4 7 4 4" xfId="23594" xr:uid="{00000000-0005-0000-0000-000024820000}"/>
    <cellStyle name="Normal 4 7 4 4 2" xfId="23595" xr:uid="{00000000-0005-0000-0000-000025820000}"/>
    <cellStyle name="Normal 4 7 4 4 2 2" xfId="23596" xr:uid="{00000000-0005-0000-0000-000026820000}"/>
    <cellStyle name="Normal 4 7 4 4 2 2 2" xfId="55746" xr:uid="{00000000-0005-0000-0000-000027820000}"/>
    <cellStyle name="Normal 4 7 4 4 2 2 3" xfId="55747" xr:uid="{00000000-0005-0000-0000-000028820000}"/>
    <cellStyle name="Normal 4 7 4 4 2 3" xfId="23597" xr:uid="{00000000-0005-0000-0000-000029820000}"/>
    <cellStyle name="Normal 4 7 4 4 2 3 2" xfId="55748" xr:uid="{00000000-0005-0000-0000-00002A820000}"/>
    <cellStyle name="Normal 4 7 4 4 2 4" xfId="23598" xr:uid="{00000000-0005-0000-0000-00002B820000}"/>
    <cellStyle name="Normal 4 7 4 4 2 5" xfId="23599" xr:uid="{00000000-0005-0000-0000-00002C820000}"/>
    <cellStyle name="Normal 4 7 4 4 2 6" xfId="23600" xr:uid="{00000000-0005-0000-0000-00002D820000}"/>
    <cellStyle name="Normal 4 7 4 4 3" xfId="23601" xr:uid="{00000000-0005-0000-0000-00002E820000}"/>
    <cellStyle name="Normal 4 7 4 4 3 2" xfId="55749" xr:uid="{00000000-0005-0000-0000-00002F820000}"/>
    <cellStyle name="Normal 4 7 4 4 3 3" xfId="55750" xr:uid="{00000000-0005-0000-0000-000030820000}"/>
    <cellStyle name="Normal 4 7 4 4 4" xfId="23602" xr:uid="{00000000-0005-0000-0000-000031820000}"/>
    <cellStyle name="Normal 4 7 4 4 4 2" xfId="55751" xr:uid="{00000000-0005-0000-0000-000032820000}"/>
    <cellStyle name="Normal 4 7 4 4 5" xfId="23603" xr:uid="{00000000-0005-0000-0000-000033820000}"/>
    <cellStyle name="Normal 4 7 4 4 6" xfId="23604" xr:uid="{00000000-0005-0000-0000-000034820000}"/>
    <cellStyle name="Normal 4 7 4 4 7" xfId="23605" xr:uid="{00000000-0005-0000-0000-000035820000}"/>
    <cellStyle name="Normal 4 7 4 5" xfId="23606" xr:uid="{00000000-0005-0000-0000-000036820000}"/>
    <cellStyle name="Normal 4 7 4 5 2" xfId="23607" xr:uid="{00000000-0005-0000-0000-000037820000}"/>
    <cellStyle name="Normal 4 7 4 5 2 2" xfId="55752" xr:uid="{00000000-0005-0000-0000-000038820000}"/>
    <cellStyle name="Normal 4 7 4 5 2 3" xfId="55753" xr:uid="{00000000-0005-0000-0000-000039820000}"/>
    <cellStyle name="Normal 4 7 4 5 3" xfId="23608" xr:uid="{00000000-0005-0000-0000-00003A820000}"/>
    <cellStyle name="Normal 4 7 4 5 3 2" xfId="55754" xr:uid="{00000000-0005-0000-0000-00003B820000}"/>
    <cellStyle name="Normal 4 7 4 5 4" xfId="23609" xr:uid="{00000000-0005-0000-0000-00003C820000}"/>
    <cellStyle name="Normal 4 7 4 5 5" xfId="23610" xr:uid="{00000000-0005-0000-0000-00003D820000}"/>
    <cellStyle name="Normal 4 7 4 5 6" xfId="23611" xr:uid="{00000000-0005-0000-0000-00003E820000}"/>
    <cellStyle name="Normal 4 7 4 6" xfId="23612" xr:uid="{00000000-0005-0000-0000-00003F820000}"/>
    <cellStyle name="Normal 4 7 4 6 2" xfId="55755" xr:uid="{00000000-0005-0000-0000-000040820000}"/>
    <cellStyle name="Normal 4 7 4 6 3" xfId="55756" xr:uid="{00000000-0005-0000-0000-000041820000}"/>
    <cellStyle name="Normal 4 7 4 7" xfId="23613" xr:uid="{00000000-0005-0000-0000-000042820000}"/>
    <cellStyle name="Normal 4 7 4 7 2" xfId="55757" xr:uid="{00000000-0005-0000-0000-000043820000}"/>
    <cellStyle name="Normal 4 7 4 8" xfId="23614" xr:uid="{00000000-0005-0000-0000-000044820000}"/>
    <cellStyle name="Normal 4 7 4 9" xfId="23615" xr:uid="{00000000-0005-0000-0000-000045820000}"/>
    <cellStyle name="Normal 4 7 5" xfId="23616" xr:uid="{00000000-0005-0000-0000-000046820000}"/>
    <cellStyle name="Normal 4 7 5 10" xfId="23617" xr:uid="{00000000-0005-0000-0000-000047820000}"/>
    <cellStyle name="Normal 4 7 5 11" xfId="23618" xr:uid="{00000000-0005-0000-0000-000048820000}"/>
    <cellStyle name="Normal 4 7 5 12" xfId="23619" xr:uid="{00000000-0005-0000-0000-000049820000}"/>
    <cellStyle name="Normal 4 7 5 13" xfId="23620" xr:uid="{00000000-0005-0000-0000-00004A820000}"/>
    <cellStyle name="Normal 4 7 5 14" xfId="23621" xr:uid="{00000000-0005-0000-0000-00004B820000}"/>
    <cellStyle name="Normal 4 7 5 2" xfId="23622" xr:uid="{00000000-0005-0000-0000-00004C820000}"/>
    <cellStyle name="Normal 4 7 5 2 2" xfId="23623" xr:uid="{00000000-0005-0000-0000-00004D820000}"/>
    <cellStyle name="Normal 4 7 5 2 2 2" xfId="23624" xr:uid="{00000000-0005-0000-0000-00004E820000}"/>
    <cellStyle name="Normal 4 7 5 2 2 2 2" xfId="23625" xr:uid="{00000000-0005-0000-0000-00004F820000}"/>
    <cellStyle name="Normal 4 7 5 2 2 2 2 2" xfId="55758" xr:uid="{00000000-0005-0000-0000-000050820000}"/>
    <cellStyle name="Normal 4 7 5 2 2 2 2 3" xfId="55759" xr:uid="{00000000-0005-0000-0000-000051820000}"/>
    <cellStyle name="Normal 4 7 5 2 2 2 3" xfId="23626" xr:uid="{00000000-0005-0000-0000-000052820000}"/>
    <cellStyle name="Normal 4 7 5 2 2 2 3 2" xfId="55760" xr:uid="{00000000-0005-0000-0000-000053820000}"/>
    <cellStyle name="Normal 4 7 5 2 2 2 4" xfId="23627" xr:uid="{00000000-0005-0000-0000-000054820000}"/>
    <cellStyle name="Normal 4 7 5 2 2 2 5" xfId="23628" xr:uid="{00000000-0005-0000-0000-000055820000}"/>
    <cellStyle name="Normal 4 7 5 2 2 2 6" xfId="23629" xr:uid="{00000000-0005-0000-0000-000056820000}"/>
    <cellStyle name="Normal 4 7 5 2 2 3" xfId="23630" xr:uid="{00000000-0005-0000-0000-000057820000}"/>
    <cellStyle name="Normal 4 7 5 2 2 3 2" xfId="55761" xr:uid="{00000000-0005-0000-0000-000058820000}"/>
    <cellStyle name="Normal 4 7 5 2 2 3 3" xfId="55762" xr:uid="{00000000-0005-0000-0000-000059820000}"/>
    <cellStyle name="Normal 4 7 5 2 2 4" xfId="23631" xr:uid="{00000000-0005-0000-0000-00005A820000}"/>
    <cellStyle name="Normal 4 7 5 2 2 4 2" xfId="55763" xr:uid="{00000000-0005-0000-0000-00005B820000}"/>
    <cellStyle name="Normal 4 7 5 2 2 5" xfId="23632" xr:uid="{00000000-0005-0000-0000-00005C820000}"/>
    <cellStyle name="Normal 4 7 5 2 2 6" xfId="23633" xr:uid="{00000000-0005-0000-0000-00005D820000}"/>
    <cellStyle name="Normal 4 7 5 2 2 7" xfId="23634" xr:uid="{00000000-0005-0000-0000-00005E820000}"/>
    <cellStyle name="Normal 4 7 5 2 3" xfId="23635" xr:uid="{00000000-0005-0000-0000-00005F820000}"/>
    <cellStyle name="Normal 4 7 5 2 3 2" xfId="23636" xr:uid="{00000000-0005-0000-0000-000060820000}"/>
    <cellStyle name="Normal 4 7 5 2 3 2 2" xfId="55764" xr:uid="{00000000-0005-0000-0000-000061820000}"/>
    <cellStyle name="Normal 4 7 5 2 3 2 3" xfId="55765" xr:uid="{00000000-0005-0000-0000-000062820000}"/>
    <cellStyle name="Normal 4 7 5 2 3 3" xfId="23637" xr:uid="{00000000-0005-0000-0000-000063820000}"/>
    <cellStyle name="Normal 4 7 5 2 3 3 2" xfId="55766" xr:uid="{00000000-0005-0000-0000-000064820000}"/>
    <cellStyle name="Normal 4 7 5 2 3 4" xfId="23638" xr:uid="{00000000-0005-0000-0000-000065820000}"/>
    <cellStyle name="Normal 4 7 5 2 3 5" xfId="23639" xr:uid="{00000000-0005-0000-0000-000066820000}"/>
    <cellStyle name="Normal 4 7 5 2 3 6" xfId="23640" xr:uid="{00000000-0005-0000-0000-000067820000}"/>
    <cellStyle name="Normal 4 7 5 2 4" xfId="23641" xr:uid="{00000000-0005-0000-0000-000068820000}"/>
    <cellStyle name="Normal 4 7 5 2 4 2" xfId="55767" xr:uid="{00000000-0005-0000-0000-000069820000}"/>
    <cellStyle name="Normal 4 7 5 2 4 3" xfId="55768" xr:uid="{00000000-0005-0000-0000-00006A820000}"/>
    <cellStyle name="Normal 4 7 5 2 5" xfId="23642" xr:uid="{00000000-0005-0000-0000-00006B820000}"/>
    <cellStyle name="Normal 4 7 5 2 5 2" xfId="55769" xr:uid="{00000000-0005-0000-0000-00006C820000}"/>
    <cellStyle name="Normal 4 7 5 2 6" xfId="23643" xr:uid="{00000000-0005-0000-0000-00006D820000}"/>
    <cellStyle name="Normal 4 7 5 2 7" xfId="23644" xr:uid="{00000000-0005-0000-0000-00006E820000}"/>
    <cellStyle name="Normal 4 7 5 2 8" xfId="23645" xr:uid="{00000000-0005-0000-0000-00006F820000}"/>
    <cellStyle name="Normal 4 7 5 2 9" xfId="23646" xr:uid="{00000000-0005-0000-0000-000070820000}"/>
    <cellStyle name="Normal 4 7 5 3" xfId="23647" xr:uid="{00000000-0005-0000-0000-000071820000}"/>
    <cellStyle name="Normal 4 7 5 3 2" xfId="23648" xr:uid="{00000000-0005-0000-0000-000072820000}"/>
    <cellStyle name="Normal 4 7 5 3 2 2" xfId="23649" xr:uid="{00000000-0005-0000-0000-000073820000}"/>
    <cellStyle name="Normal 4 7 5 3 2 2 2" xfId="23650" xr:uid="{00000000-0005-0000-0000-000074820000}"/>
    <cellStyle name="Normal 4 7 5 3 2 2 2 2" xfId="55770" xr:uid="{00000000-0005-0000-0000-000075820000}"/>
    <cellStyle name="Normal 4 7 5 3 2 2 2 3" xfId="55771" xr:uid="{00000000-0005-0000-0000-000076820000}"/>
    <cellStyle name="Normal 4 7 5 3 2 2 3" xfId="23651" xr:uid="{00000000-0005-0000-0000-000077820000}"/>
    <cellStyle name="Normal 4 7 5 3 2 2 3 2" xfId="55772" xr:uid="{00000000-0005-0000-0000-000078820000}"/>
    <cellStyle name="Normal 4 7 5 3 2 2 4" xfId="23652" xr:uid="{00000000-0005-0000-0000-000079820000}"/>
    <cellStyle name="Normal 4 7 5 3 2 2 5" xfId="23653" xr:uid="{00000000-0005-0000-0000-00007A820000}"/>
    <cellStyle name="Normal 4 7 5 3 2 2 6" xfId="23654" xr:uid="{00000000-0005-0000-0000-00007B820000}"/>
    <cellStyle name="Normal 4 7 5 3 2 3" xfId="23655" xr:uid="{00000000-0005-0000-0000-00007C820000}"/>
    <cellStyle name="Normal 4 7 5 3 2 3 2" xfId="55773" xr:uid="{00000000-0005-0000-0000-00007D820000}"/>
    <cellStyle name="Normal 4 7 5 3 2 3 3" xfId="55774" xr:uid="{00000000-0005-0000-0000-00007E820000}"/>
    <cellStyle name="Normal 4 7 5 3 2 4" xfId="23656" xr:uid="{00000000-0005-0000-0000-00007F820000}"/>
    <cellStyle name="Normal 4 7 5 3 2 4 2" xfId="55775" xr:uid="{00000000-0005-0000-0000-000080820000}"/>
    <cellStyle name="Normal 4 7 5 3 2 5" xfId="23657" xr:uid="{00000000-0005-0000-0000-000081820000}"/>
    <cellStyle name="Normal 4 7 5 3 2 6" xfId="23658" xr:uid="{00000000-0005-0000-0000-000082820000}"/>
    <cellStyle name="Normal 4 7 5 3 2 7" xfId="23659" xr:uid="{00000000-0005-0000-0000-000083820000}"/>
    <cellStyle name="Normal 4 7 5 3 3" xfId="23660" xr:uid="{00000000-0005-0000-0000-000084820000}"/>
    <cellStyle name="Normal 4 7 5 3 3 2" xfId="23661" xr:uid="{00000000-0005-0000-0000-000085820000}"/>
    <cellStyle name="Normal 4 7 5 3 3 2 2" xfId="55776" xr:uid="{00000000-0005-0000-0000-000086820000}"/>
    <cellStyle name="Normal 4 7 5 3 3 2 3" xfId="55777" xr:uid="{00000000-0005-0000-0000-000087820000}"/>
    <cellStyle name="Normal 4 7 5 3 3 3" xfId="23662" xr:uid="{00000000-0005-0000-0000-000088820000}"/>
    <cellStyle name="Normal 4 7 5 3 3 3 2" xfId="55778" xr:uid="{00000000-0005-0000-0000-000089820000}"/>
    <cellStyle name="Normal 4 7 5 3 3 4" xfId="23663" xr:uid="{00000000-0005-0000-0000-00008A820000}"/>
    <cellStyle name="Normal 4 7 5 3 3 5" xfId="23664" xr:uid="{00000000-0005-0000-0000-00008B820000}"/>
    <cellStyle name="Normal 4 7 5 3 3 6" xfId="23665" xr:uid="{00000000-0005-0000-0000-00008C820000}"/>
    <cellStyle name="Normal 4 7 5 3 4" xfId="23666" xr:uid="{00000000-0005-0000-0000-00008D820000}"/>
    <cellStyle name="Normal 4 7 5 3 4 2" xfId="55779" xr:uid="{00000000-0005-0000-0000-00008E820000}"/>
    <cellStyle name="Normal 4 7 5 3 4 3" xfId="55780" xr:uid="{00000000-0005-0000-0000-00008F820000}"/>
    <cellStyle name="Normal 4 7 5 3 5" xfId="23667" xr:uid="{00000000-0005-0000-0000-000090820000}"/>
    <cellStyle name="Normal 4 7 5 3 5 2" xfId="55781" xr:uid="{00000000-0005-0000-0000-000091820000}"/>
    <cellStyle name="Normal 4 7 5 3 6" xfId="23668" xr:uid="{00000000-0005-0000-0000-000092820000}"/>
    <cellStyle name="Normal 4 7 5 3 7" xfId="23669" xr:uid="{00000000-0005-0000-0000-000093820000}"/>
    <cellStyle name="Normal 4 7 5 3 8" xfId="23670" xr:uid="{00000000-0005-0000-0000-000094820000}"/>
    <cellStyle name="Normal 4 7 5 4" xfId="23671" xr:uid="{00000000-0005-0000-0000-000095820000}"/>
    <cellStyle name="Normal 4 7 5 4 2" xfId="23672" xr:uid="{00000000-0005-0000-0000-000096820000}"/>
    <cellStyle name="Normal 4 7 5 4 2 2" xfId="23673" xr:uid="{00000000-0005-0000-0000-000097820000}"/>
    <cellStyle name="Normal 4 7 5 4 2 2 2" xfId="55782" xr:uid="{00000000-0005-0000-0000-000098820000}"/>
    <cellStyle name="Normal 4 7 5 4 2 2 3" xfId="55783" xr:uid="{00000000-0005-0000-0000-000099820000}"/>
    <cellStyle name="Normal 4 7 5 4 2 3" xfId="23674" xr:uid="{00000000-0005-0000-0000-00009A820000}"/>
    <cellStyle name="Normal 4 7 5 4 2 3 2" xfId="55784" xr:uid="{00000000-0005-0000-0000-00009B820000}"/>
    <cellStyle name="Normal 4 7 5 4 2 4" xfId="23675" xr:uid="{00000000-0005-0000-0000-00009C820000}"/>
    <cellStyle name="Normal 4 7 5 4 2 5" xfId="23676" xr:uid="{00000000-0005-0000-0000-00009D820000}"/>
    <cellStyle name="Normal 4 7 5 4 2 6" xfId="23677" xr:uid="{00000000-0005-0000-0000-00009E820000}"/>
    <cellStyle name="Normal 4 7 5 4 3" xfId="23678" xr:uid="{00000000-0005-0000-0000-00009F820000}"/>
    <cellStyle name="Normal 4 7 5 4 3 2" xfId="55785" xr:uid="{00000000-0005-0000-0000-0000A0820000}"/>
    <cellStyle name="Normal 4 7 5 4 3 3" xfId="55786" xr:uid="{00000000-0005-0000-0000-0000A1820000}"/>
    <cellStyle name="Normal 4 7 5 4 4" xfId="23679" xr:uid="{00000000-0005-0000-0000-0000A2820000}"/>
    <cellStyle name="Normal 4 7 5 4 4 2" xfId="55787" xr:uid="{00000000-0005-0000-0000-0000A3820000}"/>
    <cellStyle name="Normal 4 7 5 4 5" xfId="23680" xr:uid="{00000000-0005-0000-0000-0000A4820000}"/>
    <cellStyle name="Normal 4 7 5 4 6" xfId="23681" xr:uid="{00000000-0005-0000-0000-0000A5820000}"/>
    <cellStyle name="Normal 4 7 5 4 7" xfId="23682" xr:uid="{00000000-0005-0000-0000-0000A6820000}"/>
    <cellStyle name="Normal 4 7 5 5" xfId="23683" xr:uid="{00000000-0005-0000-0000-0000A7820000}"/>
    <cellStyle name="Normal 4 7 5 5 2" xfId="23684" xr:uid="{00000000-0005-0000-0000-0000A8820000}"/>
    <cellStyle name="Normal 4 7 5 5 2 2" xfId="55788" xr:uid="{00000000-0005-0000-0000-0000A9820000}"/>
    <cellStyle name="Normal 4 7 5 5 2 3" xfId="55789" xr:uid="{00000000-0005-0000-0000-0000AA820000}"/>
    <cellStyle name="Normal 4 7 5 5 3" xfId="23685" xr:uid="{00000000-0005-0000-0000-0000AB820000}"/>
    <cellStyle name="Normal 4 7 5 5 3 2" xfId="55790" xr:uid="{00000000-0005-0000-0000-0000AC820000}"/>
    <cellStyle name="Normal 4 7 5 5 4" xfId="23686" xr:uid="{00000000-0005-0000-0000-0000AD820000}"/>
    <cellStyle name="Normal 4 7 5 5 5" xfId="23687" xr:uid="{00000000-0005-0000-0000-0000AE820000}"/>
    <cellStyle name="Normal 4 7 5 5 6" xfId="23688" xr:uid="{00000000-0005-0000-0000-0000AF820000}"/>
    <cellStyle name="Normal 4 7 5 6" xfId="23689" xr:uid="{00000000-0005-0000-0000-0000B0820000}"/>
    <cellStyle name="Normal 4 7 5 6 2" xfId="55791" xr:uid="{00000000-0005-0000-0000-0000B1820000}"/>
    <cellStyle name="Normal 4 7 5 6 3" xfId="55792" xr:uid="{00000000-0005-0000-0000-0000B2820000}"/>
    <cellStyle name="Normal 4 7 5 7" xfId="23690" xr:uid="{00000000-0005-0000-0000-0000B3820000}"/>
    <cellStyle name="Normal 4 7 5 7 2" xfId="55793" xr:uid="{00000000-0005-0000-0000-0000B4820000}"/>
    <cellStyle name="Normal 4 7 5 8" xfId="23691" xr:uid="{00000000-0005-0000-0000-0000B5820000}"/>
    <cellStyle name="Normal 4 7 5 9" xfId="23692" xr:uid="{00000000-0005-0000-0000-0000B6820000}"/>
    <cellStyle name="Normal 4 7 6" xfId="23693" xr:uid="{00000000-0005-0000-0000-0000B7820000}"/>
    <cellStyle name="Normal 4 7 6 10" xfId="23694" xr:uid="{00000000-0005-0000-0000-0000B8820000}"/>
    <cellStyle name="Normal 4 7 6 11" xfId="23695" xr:uid="{00000000-0005-0000-0000-0000B9820000}"/>
    <cellStyle name="Normal 4 7 6 12" xfId="23696" xr:uid="{00000000-0005-0000-0000-0000BA820000}"/>
    <cellStyle name="Normal 4 7 6 13" xfId="23697" xr:uid="{00000000-0005-0000-0000-0000BB820000}"/>
    <cellStyle name="Normal 4 7 6 2" xfId="23698" xr:uid="{00000000-0005-0000-0000-0000BC820000}"/>
    <cellStyle name="Normal 4 7 6 2 2" xfId="23699" xr:uid="{00000000-0005-0000-0000-0000BD820000}"/>
    <cellStyle name="Normal 4 7 6 2 2 2" xfId="23700" xr:uid="{00000000-0005-0000-0000-0000BE820000}"/>
    <cellStyle name="Normal 4 7 6 2 2 2 2" xfId="23701" xr:uid="{00000000-0005-0000-0000-0000BF820000}"/>
    <cellStyle name="Normal 4 7 6 2 2 2 2 2" xfId="55794" xr:uid="{00000000-0005-0000-0000-0000C0820000}"/>
    <cellStyle name="Normal 4 7 6 2 2 2 2 3" xfId="55795" xr:uid="{00000000-0005-0000-0000-0000C1820000}"/>
    <cellStyle name="Normal 4 7 6 2 2 2 3" xfId="23702" xr:uid="{00000000-0005-0000-0000-0000C2820000}"/>
    <cellStyle name="Normal 4 7 6 2 2 2 3 2" xfId="55796" xr:uid="{00000000-0005-0000-0000-0000C3820000}"/>
    <cellStyle name="Normal 4 7 6 2 2 2 4" xfId="23703" xr:uid="{00000000-0005-0000-0000-0000C4820000}"/>
    <cellStyle name="Normal 4 7 6 2 2 2 5" xfId="23704" xr:uid="{00000000-0005-0000-0000-0000C5820000}"/>
    <cellStyle name="Normal 4 7 6 2 2 2 6" xfId="23705" xr:uid="{00000000-0005-0000-0000-0000C6820000}"/>
    <cellStyle name="Normal 4 7 6 2 2 3" xfId="23706" xr:uid="{00000000-0005-0000-0000-0000C7820000}"/>
    <cellStyle name="Normal 4 7 6 2 2 3 2" xfId="55797" xr:uid="{00000000-0005-0000-0000-0000C8820000}"/>
    <cellStyle name="Normal 4 7 6 2 2 3 3" xfId="55798" xr:uid="{00000000-0005-0000-0000-0000C9820000}"/>
    <cellStyle name="Normal 4 7 6 2 2 4" xfId="23707" xr:uid="{00000000-0005-0000-0000-0000CA820000}"/>
    <cellStyle name="Normal 4 7 6 2 2 4 2" xfId="55799" xr:uid="{00000000-0005-0000-0000-0000CB820000}"/>
    <cellStyle name="Normal 4 7 6 2 2 5" xfId="23708" xr:uid="{00000000-0005-0000-0000-0000CC820000}"/>
    <cellStyle name="Normal 4 7 6 2 2 6" xfId="23709" xr:uid="{00000000-0005-0000-0000-0000CD820000}"/>
    <cellStyle name="Normal 4 7 6 2 2 7" xfId="23710" xr:uid="{00000000-0005-0000-0000-0000CE820000}"/>
    <cellStyle name="Normal 4 7 6 2 3" xfId="23711" xr:uid="{00000000-0005-0000-0000-0000CF820000}"/>
    <cellStyle name="Normal 4 7 6 2 3 2" xfId="23712" xr:uid="{00000000-0005-0000-0000-0000D0820000}"/>
    <cellStyle name="Normal 4 7 6 2 3 2 2" xfId="55800" xr:uid="{00000000-0005-0000-0000-0000D1820000}"/>
    <cellStyle name="Normal 4 7 6 2 3 2 3" xfId="55801" xr:uid="{00000000-0005-0000-0000-0000D2820000}"/>
    <cellStyle name="Normal 4 7 6 2 3 3" xfId="23713" xr:uid="{00000000-0005-0000-0000-0000D3820000}"/>
    <cellStyle name="Normal 4 7 6 2 3 3 2" xfId="55802" xr:uid="{00000000-0005-0000-0000-0000D4820000}"/>
    <cellStyle name="Normal 4 7 6 2 3 4" xfId="23714" xr:uid="{00000000-0005-0000-0000-0000D5820000}"/>
    <cellStyle name="Normal 4 7 6 2 3 5" xfId="23715" xr:uid="{00000000-0005-0000-0000-0000D6820000}"/>
    <cellStyle name="Normal 4 7 6 2 3 6" xfId="23716" xr:uid="{00000000-0005-0000-0000-0000D7820000}"/>
    <cellStyle name="Normal 4 7 6 2 4" xfId="23717" xr:uid="{00000000-0005-0000-0000-0000D8820000}"/>
    <cellStyle name="Normal 4 7 6 2 4 2" xfId="55803" xr:uid="{00000000-0005-0000-0000-0000D9820000}"/>
    <cellStyle name="Normal 4 7 6 2 4 3" xfId="55804" xr:uid="{00000000-0005-0000-0000-0000DA820000}"/>
    <cellStyle name="Normal 4 7 6 2 5" xfId="23718" xr:uid="{00000000-0005-0000-0000-0000DB820000}"/>
    <cellStyle name="Normal 4 7 6 2 5 2" xfId="55805" xr:uid="{00000000-0005-0000-0000-0000DC820000}"/>
    <cellStyle name="Normal 4 7 6 2 6" xfId="23719" xr:uid="{00000000-0005-0000-0000-0000DD820000}"/>
    <cellStyle name="Normal 4 7 6 2 7" xfId="23720" xr:uid="{00000000-0005-0000-0000-0000DE820000}"/>
    <cellStyle name="Normal 4 7 6 2 8" xfId="23721" xr:uid="{00000000-0005-0000-0000-0000DF820000}"/>
    <cellStyle name="Normal 4 7 6 2 9" xfId="23722" xr:uid="{00000000-0005-0000-0000-0000E0820000}"/>
    <cellStyle name="Normal 4 7 6 3" xfId="23723" xr:uid="{00000000-0005-0000-0000-0000E1820000}"/>
    <cellStyle name="Normal 4 7 6 3 2" xfId="23724" xr:uid="{00000000-0005-0000-0000-0000E2820000}"/>
    <cellStyle name="Normal 4 7 6 3 2 2" xfId="23725" xr:uid="{00000000-0005-0000-0000-0000E3820000}"/>
    <cellStyle name="Normal 4 7 6 3 2 2 2" xfId="55806" xr:uid="{00000000-0005-0000-0000-0000E4820000}"/>
    <cellStyle name="Normal 4 7 6 3 2 2 3" xfId="55807" xr:uid="{00000000-0005-0000-0000-0000E5820000}"/>
    <cellStyle name="Normal 4 7 6 3 2 3" xfId="23726" xr:uid="{00000000-0005-0000-0000-0000E6820000}"/>
    <cellStyle name="Normal 4 7 6 3 2 3 2" xfId="55808" xr:uid="{00000000-0005-0000-0000-0000E7820000}"/>
    <cellStyle name="Normal 4 7 6 3 2 4" xfId="23727" xr:uid="{00000000-0005-0000-0000-0000E8820000}"/>
    <cellStyle name="Normal 4 7 6 3 2 5" xfId="23728" xr:uid="{00000000-0005-0000-0000-0000E9820000}"/>
    <cellStyle name="Normal 4 7 6 3 2 6" xfId="23729" xr:uid="{00000000-0005-0000-0000-0000EA820000}"/>
    <cellStyle name="Normal 4 7 6 3 3" xfId="23730" xr:uid="{00000000-0005-0000-0000-0000EB820000}"/>
    <cellStyle name="Normal 4 7 6 3 3 2" xfId="55809" xr:uid="{00000000-0005-0000-0000-0000EC820000}"/>
    <cellStyle name="Normal 4 7 6 3 3 3" xfId="55810" xr:uid="{00000000-0005-0000-0000-0000ED820000}"/>
    <cellStyle name="Normal 4 7 6 3 4" xfId="23731" xr:uid="{00000000-0005-0000-0000-0000EE820000}"/>
    <cellStyle name="Normal 4 7 6 3 4 2" xfId="55811" xr:uid="{00000000-0005-0000-0000-0000EF820000}"/>
    <cellStyle name="Normal 4 7 6 3 5" xfId="23732" xr:uid="{00000000-0005-0000-0000-0000F0820000}"/>
    <cellStyle name="Normal 4 7 6 3 6" xfId="23733" xr:uid="{00000000-0005-0000-0000-0000F1820000}"/>
    <cellStyle name="Normal 4 7 6 3 7" xfId="23734" xr:uid="{00000000-0005-0000-0000-0000F2820000}"/>
    <cellStyle name="Normal 4 7 6 4" xfId="23735" xr:uid="{00000000-0005-0000-0000-0000F3820000}"/>
    <cellStyle name="Normal 4 7 6 4 2" xfId="23736" xr:uid="{00000000-0005-0000-0000-0000F4820000}"/>
    <cellStyle name="Normal 4 7 6 4 2 2" xfId="55812" xr:uid="{00000000-0005-0000-0000-0000F5820000}"/>
    <cellStyle name="Normal 4 7 6 4 2 3" xfId="55813" xr:uid="{00000000-0005-0000-0000-0000F6820000}"/>
    <cellStyle name="Normal 4 7 6 4 3" xfId="23737" xr:uid="{00000000-0005-0000-0000-0000F7820000}"/>
    <cellStyle name="Normal 4 7 6 4 3 2" xfId="55814" xr:uid="{00000000-0005-0000-0000-0000F8820000}"/>
    <cellStyle name="Normal 4 7 6 4 4" xfId="23738" xr:uid="{00000000-0005-0000-0000-0000F9820000}"/>
    <cellStyle name="Normal 4 7 6 4 5" xfId="23739" xr:uid="{00000000-0005-0000-0000-0000FA820000}"/>
    <cellStyle name="Normal 4 7 6 4 6" xfId="23740" xr:uid="{00000000-0005-0000-0000-0000FB820000}"/>
    <cellStyle name="Normal 4 7 6 5" xfId="23741" xr:uid="{00000000-0005-0000-0000-0000FC820000}"/>
    <cellStyle name="Normal 4 7 6 5 2" xfId="55815" xr:uid="{00000000-0005-0000-0000-0000FD820000}"/>
    <cellStyle name="Normal 4 7 6 5 3" xfId="55816" xr:uid="{00000000-0005-0000-0000-0000FE820000}"/>
    <cellStyle name="Normal 4 7 6 6" xfId="23742" xr:uid="{00000000-0005-0000-0000-0000FF820000}"/>
    <cellStyle name="Normal 4 7 6 6 2" xfId="55817" xr:uid="{00000000-0005-0000-0000-000000830000}"/>
    <cellStyle name="Normal 4 7 6 7" xfId="23743" xr:uid="{00000000-0005-0000-0000-000001830000}"/>
    <cellStyle name="Normal 4 7 6 8" xfId="23744" xr:uid="{00000000-0005-0000-0000-000002830000}"/>
    <cellStyle name="Normal 4 7 6 9" xfId="23745" xr:uid="{00000000-0005-0000-0000-000003830000}"/>
    <cellStyle name="Normal 4 7 7" xfId="23746" xr:uid="{00000000-0005-0000-0000-000004830000}"/>
    <cellStyle name="Normal 4 7 7 2" xfId="23747" xr:uid="{00000000-0005-0000-0000-000005830000}"/>
    <cellStyle name="Normal 4 7 7 2 2" xfId="23748" xr:uid="{00000000-0005-0000-0000-000006830000}"/>
    <cellStyle name="Normal 4 7 7 2 2 2" xfId="23749" xr:uid="{00000000-0005-0000-0000-000007830000}"/>
    <cellStyle name="Normal 4 7 7 2 2 2 2" xfId="55818" xr:uid="{00000000-0005-0000-0000-000008830000}"/>
    <cellStyle name="Normal 4 7 7 2 2 2 3" xfId="55819" xr:uid="{00000000-0005-0000-0000-000009830000}"/>
    <cellStyle name="Normal 4 7 7 2 2 3" xfId="23750" xr:uid="{00000000-0005-0000-0000-00000A830000}"/>
    <cellStyle name="Normal 4 7 7 2 2 3 2" xfId="55820" xr:uid="{00000000-0005-0000-0000-00000B830000}"/>
    <cellStyle name="Normal 4 7 7 2 2 4" xfId="23751" xr:uid="{00000000-0005-0000-0000-00000C830000}"/>
    <cellStyle name="Normal 4 7 7 2 2 5" xfId="23752" xr:uid="{00000000-0005-0000-0000-00000D830000}"/>
    <cellStyle name="Normal 4 7 7 2 2 6" xfId="23753" xr:uid="{00000000-0005-0000-0000-00000E830000}"/>
    <cellStyle name="Normal 4 7 7 2 3" xfId="23754" xr:uid="{00000000-0005-0000-0000-00000F830000}"/>
    <cellStyle name="Normal 4 7 7 2 3 2" xfId="55821" xr:uid="{00000000-0005-0000-0000-000010830000}"/>
    <cellStyle name="Normal 4 7 7 2 3 3" xfId="55822" xr:uid="{00000000-0005-0000-0000-000011830000}"/>
    <cellStyle name="Normal 4 7 7 2 4" xfId="23755" xr:uid="{00000000-0005-0000-0000-000012830000}"/>
    <cellStyle name="Normal 4 7 7 2 4 2" xfId="55823" xr:uid="{00000000-0005-0000-0000-000013830000}"/>
    <cellStyle name="Normal 4 7 7 2 5" xfId="23756" xr:uid="{00000000-0005-0000-0000-000014830000}"/>
    <cellStyle name="Normal 4 7 7 2 6" xfId="23757" xr:uid="{00000000-0005-0000-0000-000015830000}"/>
    <cellStyle name="Normal 4 7 7 2 7" xfId="23758" xr:uid="{00000000-0005-0000-0000-000016830000}"/>
    <cellStyle name="Normal 4 7 7 3" xfId="23759" xr:uid="{00000000-0005-0000-0000-000017830000}"/>
    <cellStyle name="Normal 4 7 7 3 2" xfId="23760" xr:uid="{00000000-0005-0000-0000-000018830000}"/>
    <cellStyle name="Normal 4 7 7 3 2 2" xfId="55824" xr:uid="{00000000-0005-0000-0000-000019830000}"/>
    <cellStyle name="Normal 4 7 7 3 2 3" xfId="55825" xr:uid="{00000000-0005-0000-0000-00001A830000}"/>
    <cellStyle name="Normal 4 7 7 3 3" xfId="23761" xr:uid="{00000000-0005-0000-0000-00001B830000}"/>
    <cellStyle name="Normal 4 7 7 3 3 2" xfId="55826" xr:uid="{00000000-0005-0000-0000-00001C830000}"/>
    <cellStyle name="Normal 4 7 7 3 4" xfId="23762" xr:uid="{00000000-0005-0000-0000-00001D830000}"/>
    <cellStyle name="Normal 4 7 7 3 5" xfId="23763" xr:uid="{00000000-0005-0000-0000-00001E830000}"/>
    <cellStyle name="Normal 4 7 7 3 6" xfId="23764" xr:uid="{00000000-0005-0000-0000-00001F830000}"/>
    <cellStyle name="Normal 4 7 7 4" xfId="23765" xr:uid="{00000000-0005-0000-0000-000020830000}"/>
    <cellStyle name="Normal 4 7 7 4 2" xfId="55827" xr:uid="{00000000-0005-0000-0000-000021830000}"/>
    <cellStyle name="Normal 4 7 7 4 3" xfId="55828" xr:uid="{00000000-0005-0000-0000-000022830000}"/>
    <cellStyle name="Normal 4 7 7 5" xfId="23766" xr:uid="{00000000-0005-0000-0000-000023830000}"/>
    <cellStyle name="Normal 4 7 7 5 2" xfId="55829" xr:uid="{00000000-0005-0000-0000-000024830000}"/>
    <cellStyle name="Normal 4 7 7 6" xfId="23767" xr:uid="{00000000-0005-0000-0000-000025830000}"/>
    <cellStyle name="Normal 4 7 7 7" xfId="23768" xr:uid="{00000000-0005-0000-0000-000026830000}"/>
    <cellStyle name="Normal 4 7 7 8" xfId="23769" xr:uid="{00000000-0005-0000-0000-000027830000}"/>
    <cellStyle name="Normal 4 7 7 9" xfId="23770" xr:uid="{00000000-0005-0000-0000-000028830000}"/>
    <cellStyle name="Normal 4 7 8" xfId="23771" xr:uid="{00000000-0005-0000-0000-000029830000}"/>
    <cellStyle name="Normal 4 7 8 2" xfId="23772" xr:uid="{00000000-0005-0000-0000-00002A830000}"/>
    <cellStyle name="Normal 4 7 8 2 2" xfId="23773" xr:uid="{00000000-0005-0000-0000-00002B830000}"/>
    <cellStyle name="Normal 4 7 8 2 2 2" xfId="23774" xr:uid="{00000000-0005-0000-0000-00002C830000}"/>
    <cellStyle name="Normal 4 7 8 2 2 2 2" xfId="55830" xr:uid="{00000000-0005-0000-0000-00002D830000}"/>
    <cellStyle name="Normal 4 7 8 2 2 2 3" xfId="55831" xr:uid="{00000000-0005-0000-0000-00002E830000}"/>
    <cellStyle name="Normal 4 7 8 2 2 3" xfId="23775" xr:uid="{00000000-0005-0000-0000-00002F830000}"/>
    <cellStyle name="Normal 4 7 8 2 2 3 2" xfId="55832" xr:uid="{00000000-0005-0000-0000-000030830000}"/>
    <cellStyle name="Normal 4 7 8 2 2 4" xfId="23776" xr:uid="{00000000-0005-0000-0000-000031830000}"/>
    <cellStyle name="Normal 4 7 8 2 2 5" xfId="23777" xr:uid="{00000000-0005-0000-0000-000032830000}"/>
    <cellStyle name="Normal 4 7 8 2 2 6" xfId="23778" xr:uid="{00000000-0005-0000-0000-000033830000}"/>
    <cellStyle name="Normal 4 7 8 2 3" xfId="23779" xr:uid="{00000000-0005-0000-0000-000034830000}"/>
    <cellStyle name="Normal 4 7 8 2 3 2" xfId="55833" xr:uid="{00000000-0005-0000-0000-000035830000}"/>
    <cellStyle name="Normal 4 7 8 2 3 3" xfId="55834" xr:uid="{00000000-0005-0000-0000-000036830000}"/>
    <cellStyle name="Normal 4 7 8 2 4" xfId="23780" xr:uid="{00000000-0005-0000-0000-000037830000}"/>
    <cellStyle name="Normal 4 7 8 2 4 2" xfId="55835" xr:uid="{00000000-0005-0000-0000-000038830000}"/>
    <cellStyle name="Normal 4 7 8 2 5" xfId="23781" xr:uid="{00000000-0005-0000-0000-000039830000}"/>
    <cellStyle name="Normal 4 7 8 2 6" xfId="23782" xr:uid="{00000000-0005-0000-0000-00003A830000}"/>
    <cellStyle name="Normal 4 7 8 2 7" xfId="23783" xr:uid="{00000000-0005-0000-0000-00003B830000}"/>
    <cellStyle name="Normal 4 7 8 3" xfId="23784" xr:uid="{00000000-0005-0000-0000-00003C830000}"/>
    <cellStyle name="Normal 4 7 8 3 2" xfId="23785" xr:uid="{00000000-0005-0000-0000-00003D830000}"/>
    <cellStyle name="Normal 4 7 8 3 2 2" xfId="55836" xr:uid="{00000000-0005-0000-0000-00003E830000}"/>
    <cellStyle name="Normal 4 7 8 3 2 3" xfId="55837" xr:uid="{00000000-0005-0000-0000-00003F830000}"/>
    <cellStyle name="Normal 4 7 8 3 3" xfId="23786" xr:uid="{00000000-0005-0000-0000-000040830000}"/>
    <cellStyle name="Normal 4 7 8 3 3 2" xfId="55838" xr:uid="{00000000-0005-0000-0000-000041830000}"/>
    <cellStyle name="Normal 4 7 8 3 4" xfId="23787" xr:uid="{00000000-0005-0000-0000-000042830000}"/>
    <cellStyle name="Normal 4 7 8 3 5" xfId="23788" xr:uid="{00000000-0005-0000-0000-000043830000}"/>
    <cellStyle name="Normal 4 7 8 3 6" xfId="23789" xr:uid="{00000000-0005-0000-0000-000044830000}"/>
    <cellStyle name="Normal 4 7 8 4" xfId="23790" xr:uid="{00000000-0005-0000-0000-000045830000}"/>
    <cellStyle name="Normal 4 7 8 4 2" xfId="55839" xr:uid="{00000000-0005-0000-0000-000046830000}"/>
    <cellStyle name="Normal 4 7 8 4 3" xfId="55840" xr:uid="{00000000-0005-0000-0000-000047830000}"/>
    <cellStyle name="Normal 4 7 8 5" xfId="23791" xr:uid="{00000000-0005-0000-0000-000048830000}"/>
    <cellStyle name="Normal 4 7 8 5 2" xfId="55841" xr:uid="{00000000-0005-0000-0000-000049830000}"/>
    <cellStyle name="Normal 4 7 8 6" xfId="23792" xr:uid="{00000000-0005-0000-0000-00004A830000}"/>
    <cellStyle name="Normal 4 7 8 7" xfId="23793" xr:uid="{00000000-0005-0000-0000-00004B830000}"/>
    <cellStyle name="Normal 4 7 8 8" xfId="23794" xr:uid="{00000000-0005-0000-0000-00004C830000}"/>
    <cellStyle name="Normal 4 7 9" xfId="23795" xr:uid="{00000000-0005-0000-0000-00004D830000}"/>
    <cellStyle name="Normal 4 7 9 2" xfId="23796" xr:uid="{00000000-0005-0000-0000-00004E830000}"/>
    <cellStyle name="Normal 4 7 9 2 2" xfId="23797" xr:uid="{00000000-0005-0000-0000-00004F830000}"/>
    <cellStyle name="Normal 4 7 9 2 2 2" xfId="23798" xr:uid="{00000000-0005-0000-0000-000050830000}"/>
    <cellStyle name="Normal 4 7 9 2 2 2 2" xfId="55842" xr:uid="{00000000-0005-0000-0000-000051830000}"/>
    <cellStyle name="Normal 4 7 9 2 2 2 3" xfId="55843" xr:uid="{00000000-0005-0000-0000-000052830000}"/>
    <cellStyle name="Normal 4 7 9 2 2 3" xfId="23799" xr:uid="{00000000-0005-0000-0000-000053830000}"/>
    <cellStyle name="Normal 4 7 9 2 2 3 2" xfId="55844" xr:uid="{00000000-0005-0000-0000-000054830000}"/>
    <cellStyle name="Normal 4 7 9 2 2 4" xfId="23800" xr:uid="{00000000-0005-0000-0000-000055830000}"/>
    <cellStyle name="Normal 4 7 9 2 2 5" xfId="23801" xr:uid="{00000000-0005-0000-0000-000056830000}"/>
    <cellStyle name="Normal 4 7 9 2 2 6" xfId="23802" xr:uid="{00000000-0005-0000-0000-000057830000}"/>
    <cellStyle name="Normal 4 7 9 2 3" xfId="23803" xr:uid="{00000000-0005-0000-0000-000058830000}"/>
    <cellStyle name="Normal 4 7 9 2 3 2" xfId="55845" xr:uid="{00000000-0005-0000-0000-000059830000}"/>
    <cellStyle name="Normal 4 7 9 2 3 3" xfId="55846" xr:uid="{00000000-0005-0000-0000-00005A830000}"/>
    <cellStyle name="Normal 4 7 9 2 4" xfId="23804" xr:uid="{00000000-0005-0000-0000-00005B830000}"/>
    <cellStyle name="Normal 4 7 9 2 4 2" xfId="55847" xr:uid="{00000000-0005-0000-0000-00005C830000}"/>
    <cellStyle name="Normal 4 7 9 2 5" xfId="23805" xr:uid="{00000000-0005-0000-0000-00005D830000}"/>
    <cellStyle name="Normal 4 7 9 2 6" xfId="23806" xr:uid="{00000000-0005-0000-0000-00005E830000}"/>
    <cellStyle name="Normal 4 7 9 2 7" xfId="23807" xr:uid="{00000000-0005-0000-0000-00005F830000}"/>
    <cellStyle name="Normal 4 7 9 3" xfId="23808" xr:uid="{00000000-0005-0000-0000-000060830000}"/>
    <cellStyle name="Normal 4 7 9 3 2" xfId="23809" xr:uid="{00000000-0005-0000-0000-000061830000}"/>
    <cellStyle name="Normal 4 7 9 3 2 2" xfId="55848" xr:uid="{00000000-0005-0000-0000-000062830000}"/>
    <cellStyle name="Normal 4 7 9 3 2 3" xfId="55849" xr:uid="{00000000-0005-0000-0000-000063830000}"/>
    <cellStyle name="Normal 4 7 9 3 3" xfId="23810" xr:uid="{00000000-0005-0000-0000-000064830000}"/>
    <cellStyle name="Normal 4 7 9 3 3 2" xfId="55850" xr:uid="{00000000-0005-0000-0000-000065830000}"/>
    <cellStyle name="Normal 4 7 9 3 4" xfId="23811" xr:uid="{00000000-0005-0000-0000-000066830000}"/>
    <cellStyle name="Normal 4 7 9 3 5" xfId="23812" xr:uid="{00000000-0005-0000-0000-000067830000}"/>
    <cellStyle name="Normal 4 7 9 3 6" xfId="23813" xr:uid="{00000000-0005-0000-0000-000068830000}"/>
    <cellStyle name="Normal 4 7 9 4" xfId="23814" xr:uid="{00000000-0005-0000-0000-000069830000}"/>
    <cellStyle name="Normal 4 7 9 4 2" xfId="55851" xr:uid="{00000000-0005-0000-0000-00006A830000}"/>
    <cellStyle name="Normal 4 7 9 4 3" xfId="55852" xr:uid="{00000000-0005-0000-0000-00006B830000}"/>
    <cellStyle name="Normal 4 7 9 5" xfId="23815" xr:uid="{00000000-0005-0000-0000-00006C830000}"/>
    <cellStyle name="Normal 4 7 9 5 2" xfId="55853" xr:uid="{00000000-0005-0000-0000-00006D830000}"/>
    <cellStyle name="Normal 4 7 9 6" xfId="23816" xr:uid="{00000000-0005-0000-0000-00006E830000}"/>
    <cellStyle name="Normal 4 7 9 7" xfId="23817" xr:uid="{00000000-0005-0000-0000-00006F830000}"/>
    <cellStyle name="Normal 4 7 9 8" xfId="23818" xr:uid="{00000000-0005-0000-0000-000070830000}"/>
    <cellStyle name="Normal 4 8" xfId="23819" xr:uid="{00000000-0005-0000-0000-000071830000}"/>
    <cellStyle name="Normal 4 8 10" xfId="23820" xr:uid="{00000000-0005-0000-0000-000072830000}"/>
    <cellStyle name="Normal 4 8 10 2" xfId="23821" xr:uid="{00000000-0005-0000-0000-000073830000}"/>
    <cellStyle name="Normal 4 8 10 2 2" xfId="23822" xr:uid="{00000000-0005-0000-0000-000074830000}"/>
    <cellStyle name="Normal 4 8 10 2 2 2" xfId="55854" xr:uid="{00000000-0005-0000-0000-000075830000}"/>
    <cellStyle name="Normal 4 8 10 2 2 3" xfId="55855" xr:uid="{00000000-0005-0000-0000-000076830000}"/>
    <cellStyle name="Normal 4 8 10 2 3" xfId="23823" xr:uid="{00000000-0005-0000-0000-000077830000}"/>
    <cellStyle name="Normal 4 8 10 2 3 2" xfId="55856" xr:uid="{00000000-0005-0000-0000-000078830000}"/>
    <cellStyle name="Normal 4 8 10 2 4" xfId="23824" xr:uid="{00000000-0005-0000-0000-000079830000}"/>
    <cellStyle name="Normal 4 8 10 2 5" xfId="23825" xr:uid="{00000000-0005-0000-0000-00007A830000}"/>
    <cellStyle name="Normal 4 8 10 2 6" xfId="23826" xr:uid="{00000000-0005-0000-0000-00007B830000}"/>
    <cellStyle name="Normal 4 8 10 3" xfId="23827" xr:uid="{00000000-0005-0000-0000-00007C830000}"/>
    <cellStyle name="Normal 4 8 10 3 2" xfId="55857" xr:uid="{00000000-0005-0000-0000-00007D830000}"/>
    <cellStyle name="Normal 4 8 10 3 3" xfId="55858" xr:uid="{00000000-0005-0000-0000-00007E830000}"/>
    <cellStyle name="Normal 4 8 10 4" xfId="23828" xr:uid="{00000000-0005-0000-0000-00007F830000}"/>
    <cellStyle name="Normal 4 8 10 4 2" xfId="55859" xr:uid="{00000000-0005-0000-0000-000080830000}"/>
    <cellStyle name="Normal 4 8 10 5" xfId="23829" xr:uid="{00000000-0005-0000-0000-000081830000}"/>
    <cellStyle name="Normal 4 8 10 6" xfId="23830" xr:uid="{00000000-0005-0000-0000-000082830000}"/>
    <cellStyle name="Normal 4 8 10 7" xfId="23831" xr:uid="{00000000-0005-0000-0000-000083830000}"/>
    <cellStyle name="Normal 4 8 11" xfId="23832" xr:uid="{00000000-0005-0000-0000-000084830000}"/>
    <cellStyle name="Normal 4 8 11 2" xfId="23833" xr:uid="{00000000-0005-0000-0000-000085830000}"/>
    <cellStyle name="Normal 4 8 11 2 2" xfId="55860" xr:uid="{00000000-0005-0000-0000-000086830000}"/>
    <cellStyle name="Normal 4 8 11 2 3" xfId="55861" xr:uid="{00000000-0005-0000-0000-000087830000}"/>
    <cellStyle name="Normal 4 8 11 3" xfId="23834" xr:uid="{00000000-0005-0000-0000-000088830000}"/>
    <cellStyle name="Normal 4 8 11 3 2" xfId="55862" xr:uid="{00000000-0005-0000-0000-000089830000}"/>
    <cellStyle name="Normal 4 8 11 4" xfId="23835" xr:uid="{00000000-0005-0000-0000-00008A830000}"/>
    <cellStyle name="Normal 4 8 11 5" xfId="23836" xr:uid="{00000000-0005-0000-0000-00008B830000}"/>
    <cellStyle name="Normal 4 8 11 6" xfId="23837" xr:uid="{00000000-0005-0000-0000-00008C830000}"/>
    <cellStyle name="Normal 4 8 12" xfId="23838" xr:uid="{00000000-0005-0000-0000-00008D830000}"/>
    <cellStyle name="Normal 4 8 12 2" xfId="55863" xr:uid="{00000000-0005-0000-0000-00008E830000}"/>
    <cellStyle name="Normal 4 8 12 3" xfId="55864" xr:uid="{00000000-0005-0000-0000-00008F830000}"/>
    <cellStyle name="Normal 4 8 13" xfId="23839" xr:uid="{00000000-0005-0000-0000-000090830000}"/>
    <cellStyle name="Normal 4 8 13 2" xfId="55865" xr:uid="{00000000-0005-0000-0000-000091830000}"/>
    <cellStyle name="Normal 4 8 14" xfId="23840" xr:uid="{00000000-0005-0000-0000-000092830000}"/>
    <cellStyle name="Normal 4 8 14 2" xfId="55866" xr:uid="{00000000-0005-0000-0000-000093830000}"/>
    <cellStyle name="Normal 4 8 15" xfId="23841" xr:uid="{00000000-0005-0000-0000-000094830000}"/>
    <cellStyle name="Normal 4 8 16" xfId="23842" xr:uid="{00000000-0005-0000-0000-000095830000}"/>
    <cellStyle name="Normal 4 8 17" xfId="23843" xr:uid="{00000000-0005-0000-0000-000096830000}"/>
    <cellStyle name="Normal 4 8 18" xfId="23844" xr:uid="{00000000-0005-0000-0000-000097830000}"/>
    <cellStyle name="Normal 4 8 19" xfId="23845" xr:uid="{00000000-0005-0000-0000-000098830000}"/>
    <cellStyle name="Normal 4 8 2" xfId="23846" xr:uid="{00000000-0005-0000-0000-000099830000}"/>
    <cellStyle name="Normal 4 8 2 10" xfId="23847" xr:uid="{00000000-0005-0000-0000-00009A830000}"/>
    <cellStyle name="Normal 4 8 2 11" xfId="23848" xr:uid="{00000000-0005-0000-0000-00009B830000}"/>
    <cellStyle name="Normal 4 8 2 12" xfId="23849" xr:uid="{00000000-0005-0000-0000-00009C830000}"/>
    <cellStyle name="Normal 4 8 2 13" xfId="23850" xr:uid="{00000000-0005-0000-0000-00009D830000}"/>
    <cellStyle name="Normal 4 8 2 14" xfId="23851" xr:uid="{00000000-0005-0000-0000-00009E830000}"/>
    <cellStyle name="Normal 4 8 2 15" xfId="23852" xr:uid="{00000000-0005-0000-0000-00009F830000}"/>
    <cellStyle name="Normal 4 8 2 2" xfId="23853" xr:uid="{00000000-0005-0000-0000-0000A0830000}"/>
    <cellStyle name="Normal 4 8 2 2 10" xfId="23854" xr:uid="{00000000-0005-0000-0000-0000A1830000}"/>
    <cellStyle name="Normal 4 8 2 2 11" xfId="23855" xr:uid="{00000000-0005-0000-0000-0000A2830000}"/>
    <cellStyle name="Normal 4 8 2 2 12" xfId="23856" xr:uid="{00000000-0005-0000-0000-0000A3830000}"/>
    <cellStyle name="Normal 4 8 2 2 13" xfId="23857" xr:uid="{00000000-0005-0000-0000-0000A4830000}"/>
    <cellStyle name="Normal 4 8 2 2 14" xfId="23858" xr:uid="{00000000-0005-0000-0000-0000A5830000}"/>
    <cellStyle name="Normal 4 8 2 2 2" xfId="23859" xr:uid="{00000000-0005-0000-0000-0000A6830000}"/>
    <cellStyle name="Normal 4 8 2 2 2 2" xfId="23860" xr:uid="{00000000-0005-0000-0000-0000A7830000}"/>
    <cellStyle name="Normal 4 8 2 2 2 2 2" xfId="23861" xr:uid="{00000000-0005-0000-0000-0000A8830000}"/>
    <cellStyle name="Normal 4 8 2 2 2 2 2 2" xfId="23862" xr:uid="{00000000-0005-0000-0000-0000A9830000}"/>
    <cellStyle name="Normal 4 8 2 2 2 2 2 2 2" xfId="55867" xr:uid="{00000000-0005-0000-0000-0000AA830000}"/>
    <cellStyle name="Normal 4 8 2 2 2 2 2 2 3" xfId="55868" xr:uid="{00000000-0005-0000-0000-0000AB830000}"/>
    <cellStyle name="Normal 4 8 2 2 2 2 2 3" xfId="23863" xr:uid="{00000000-0005-0000-0000-0000AC830000}"/>
    <cellStyle name="Normal 4 8 2 2 2 2 2 3 2" xfId="55869" xr:uid="{00000000-0005-0000-0000-0000AD830000}"/>
    <cellStyle name="Normal 4 8 2 2 2 2 2 4" xfId="23864" xr:uid="{00000000-0005-0000-0000-0000AE830000}"/>
    <cellStyle name="Normal 4 8 2 2 2 2 2 5" xfId="23865" xr:uid="{00000000-0005-0000-0000-0000AF830000}"/>
    <cellStyle name="Normal 4 8 2 2 2 2 2 6" xfId="23866" xr:uid="{00000000-0005-0000-0000-0000B0830000}"/>
    <cellStyle name="Normal 4 8 2 2 2 2 3" xfId="23867" xr:uid="{00000000-0005-0000-0000-0000B1830000}"/>
    <cellStyle name="Normal 4 8 2 2 2 2 3 2" xfId="55870" xr:uid="{00000000-0005-0000-0000-0000B2830000}"/>
    <cellStyle name="Normal 4 8 2 2 2 2 3 3" xfId="55871" xr:uid="{00000000-0005-0000-0000-0000B3830000}"/>
    <cellStyle name="Normal 4 8 2 2 2 2 4" xfId="23868" xr:uid="{00000000-0005-0000-0000-0000B4830000}"/>
    <cellStyle name="Normal 4 8 2 2 2 2 4 2" xfId="55872" xr:uid="{00000000-0005-0000-0000-0000B5830000}"/>
    <cellStyle name="Normal 4 8 2 2 2 2 5" xfId="23869" xr:uid="{00000000-0005-0000-0000-0000B6830000}"/>
    <cellStyle name="Normal 4 8 2 2 2 2 6" xfId="23870" xr:uid="{00000000-0005-0000-0000-0000B7830000}"/>
    <cellStyle name="Normal 4 8 2 2 2 2 7" xfId="23871" xr:uid="{00000000-0005-0000-0000-0000B8830000}"/>
    <cellStyle name="Normal 4 8 2 2 2 3" xfId="23872" xr:uid="{00000000-0005-0000-0000-0000B9830000}"/>
    <cellStyle name="Normal 4 8 2 2 2 3 2" xfId="23873" xr:uid="{00000000-0005-0000-0000-0000BA830000}"/>
    <cellStyle name="Normal 4 8 2 2 2 3 2 2" xfId="55873" xr:uid="{00000000-0005-0000-0000-0000BB830000}"/>
    <cellStyle name="Normal 4 8 2 2 2 3 2 3" xfId="55874" xr:uid="{00000000-0005-0000-0000-0000BC830000}"/>
    <cellStyle name="Normal 4 8 2 2 2 3 3" xfId="23874" xr:uid="{00000000-0005-0000-0000-0000BD830000}"/>
    <cellStyle name="Normal 4 8 2 2 2 3 3 2" xfId="55875" xr:uid="{00000000-0005-0000-0000-0000BE830000}"/>
    <cellStyle name="Normal 4 8 2 2 2 3 4" xfId="23875" xr:uid="{00000000-0005-0000-0000-0000BF830000}"/>
    <cellStyle name="Normal 4 8 2 2 2 3 5" xfId="23876" xr:uid="{00000000-0005-0000-0000-0000C0830000}"/>
    <cellStyle name="Normal 4 8 2 2 2 3 6" xfId="23877" xr:uid="{00000000-0005-0000-0000-0000C1830000}"/>
    <cellStyle name="Normal 4 8 2 2 2 4" xfId="23878" xr:uid="{00000000-0005-0000-0000-0000C2830000}"/>
    <cellStyle name="Normal 4 8 2 2 2 4 2" xfId="55876" xr:uid="{00000000-0005-0000-0000-0000C3830000}"/>
    <cellStyle name="Normal 4 8 2 2 2 4 3" xfId="55877" xr:uid="{00000000-0005-0000-0000-0000C4830000}"/>
    <cellStyle name="Normal 4 8 2 2 2 5" xfId="23879" xr:uid="{00000000-0005-0000-0000-0000C5830000}"/>
    <cellStyle name="Normal 4 8 2 2 2 5 2" xfId="55878" xr:uid="{00000000-0005-0000-0000-0000C6830000}"/>
    <cellStyle name="Normal 4 8 2 2 2 6" xfId="23880" xr:uid="{00000000-0005-0000-0000-0000C7830000}"/>
    <cellStyle name="Normal 4 8 2 2 2 7" xfId="23881" xr:uid="{00000000-0005-0000-0000-0000C8830000}"/>
    <cellStyle name="Normal 4 8 2 2 2 8" xfId="23882" xr:uid="{00000000-0005-0000-0000-0000C9830000}"/>
    <cellStyle name="Normal 4 8 2 2 2 9" xfId="23883" xr:uid="{00000000-0005-0000-0000-0000CA830000}"/>
    <cellStyle name="Normal 4 8 2 2 3" xfId="23884" xr:uid="{00000000-0005-0000-0000-0000CB830000}"/>
    <cellStyle name="Normal 4 8 2 2 3 2" xfId="23885" xr:uid="{00000000-0005-0000-0000-0000CC830000}"/>
    <cellStyle name="Normal 4 8 2 2 3 2 2" xfId="23886" xr:uid="{00000000-0005-0000-0000-0000CD830000}"/>
    <cellStyle name="Normal 4 8 2 2 3 2 2 2" xfId="23887" xr:uid="{00000000-0005-0000-0000-0000CE830000}"/>
    <cellStyle name="Normal 4 8 2 2 3 2 2 2 2" xfId="55879" xr:uid="{00000000-0005-0000-0000-0000CF830000}"/>
    <cellStyle name="Normal 4 8 2 2 3 2 2 2 3" xfId="55880" xr:uid="{00000000-0005-0000-0000-0000D0830000}"/>
    <cellStyle name="Normal 4 8 2 2 3 2 2 3" xfId="23888" xr:uid="{00000000-0005-0000-0000-0000D1830000}"/>
    <cellStyle name="Normal 4 8 2 2 3 2 2 3 2" xfId="55881" xr:uid="{00000000-0005-0000-0000-0000D2830000}"/>
    <cellStyle name="Normal 4 8 2 2 3 2 2 4" xfId="23889" xr:uid="{00000000-0005-0000-0000-0000D3830000}"/>
    <cellStyle name="Normal 4 8 2 2 3 2 2 5" xfId="23890" xr:uid="{00000000-0005-0000-0000-0000D4830000}"/>
    <cellStyle name="Normal 4 8 2 2 3 2 2 6" xfId="23891" xr:uid="{00000000-0005-0000-0000-0000D5830000}"/>
    <cellStyle name="Normal 4 8 2 2 3 2 3" xfId="23892" xr:uid="{00000000-0005-0000-0000-0000D6830000}"/>
    <cellStyle name="Normal 4 8 2 2 3 2 3 2" xfId="55882" xr:uid="{00000000-0005-0000-0000-0000D7830000}"/>
    <cellStyle name="Normal 4 8 2 2 3 2 3 3" xfId="55883" xr:uid="{00000000-0005-0000-0000-0000D8830000}"/>
    <cellStyle name="Normal 4 8 2 2 3 2 4" xfId="23893" xr:uid="{00000000-0005-0000-0000-0000D9830000}"/>
    <cellStyle name="Normal 4 8 2 2 3 2 4 2" xfId="55884" xr:uid="{00000000-0005-0000-0000-0000DA830000}"/>
    <cellStyle name="Normal 4 8 2 2 3 2 5" xfId="23894" xr:uid="{00000000-0005-0000-0000-0000DB830000}"/>
    <cellStyle name="Normal 4 8 2 2 3 2 6" xfId="23895" xr:uid="{00000000-0005-0000-0000-0000DC830000}"/>
    <cellStyle name="Normal 4 8 2 2 3 2 7" xfId="23896" xr:uid="{00000000-0005-0000-0000-0000DD830000}"/>
    <cellStyle name="Normal 4 8 2 2 3 3" xfId="23897" xr:uid="{00000000-0005-0000-0000-0000DE830000}"/>
    <cellStyle name="Normal 4 8 2 2 3 3 2" xfId="23898" xr:uid="{00000000-0005-0000-0000-0000DF830000}"/>
    <cellStyle name="Normal 4 8 2 2 3 3 2 2" xfId="55885" xr:uid="{00000000-0005-0000-0000-0000E0830000}"/>
    <cellStyle name="Normal 4 8 2 2 3 3 2 3" xfId="55886" xr:uid="{00000000-0005-0000-0000-0000E1830000}"/>
    <cellStyle name="Normal 4 8 2 2 3 3 3" xfId="23899" xr:uid="{00000000-0005-0000-0000-0000E2830000}"/>
    <cellStyle name="Normal 4 8 2 2 3 3 3 2" xfId="55887" xr:uid="{00000000-0005-0000-0000-0000E3830000}"/>
    <cellStyle name="Normal 4 8 2 2 3 3 4" xfId="23900" xr:uid="{00000000-0005-0000-0000-0000E4830000}"/>
    <cellStyle name="Normal 4 8 2 2 3 3 5" xfId="23901" xr:uid="{00000000-0005-0000-0000-0000E5830000}"/>
    <cellStyle name="Normal 4 8 2 2 3 3 6" xfId="23902" xr:uid="{00000000-0005-0000-0000-0000E6830000}"/>
    <cellStyle name="Normal 4 8 2 2 3 4" xfId="23903" xr:uid="{00000000-0005-0000-0000-0000E7830000}"/>
    <cellStyle name="Normal 4 8 2 2 3 4 2" xfId="55888" xr:uid="{00000000-0005-0000-0000-0000E8830000}"/>
    <cellStyle name="Normal 4 8 2 2 3 4 3" xfId="55889" xr:uid="{00000000-0005-0000-0000-0000E9830000}"/>
    <cellStyle name="Normal 4 8 2 2 3 5" xfId="23904" xr:uid="{00000000-0005-0000-0000-0000EA830000}"/>
    <cellStyle name="Normal 4 8 2 2 3 5 2" xfId="55890" xr:uid="{00000000-0005-0000-0000-0000EB830000}"/>
    <cellStyle name="Normal 4 8 2 2 3 6" xfId="23905" xr:uid="{00000000-0005-0000-0000-0000EC830000}"/>
    <cellStyle name="Normal 4 8 2 2 3 7" xfId="23906" xr:uid="{00000000-0005-0000-0000-0000ED830000}"/>
    <cellStyle name="Normal 4 8 2 2 3 8" xfId="23907" xr:uid="{00000000-0005-0000-0000-0000EE830000}"/>
    <cellStyle name="Normal 4 8 2 2 4" xfId="23908" xr:uid="{00000000-0005-0000-0000-0000EF830000}"/>
    <cellStyle name="Normal 4 8 2 2 4 2" xfId="23909" xr:uid="{00000000-0005-0000-0000-0000F0830000}"/>
    <cellStyle name="Normal 4 8 2 2 4 2 2" xfId="23910" xr:uid="{00000000-0005-0000-0000-0000F1830000}"/>
    <cellStyle name="Normal 4 8 2 2 4 2 2 2" xfId="55891" xr:uid="{00000000-0005-0000-0000-0000F2830000}"/>
    <cellStyle name="Normal 4 8 2 2 4 2 2 3" xfId="55892" xr:uid="{00000000-0005-0000-0000-0000F3830000}"/>
    <cellStyle name="Normal 4 8 2 2 4 2 3" xfId="23911" xr:uid="{00000000-0005-0000-0000-0000F4830000}"/>
    <cellStyle name="Normal 4 8 2 2 4 2 3 2" xfId="55893" xr:uid="{00000000-0005-0000-0000-0000F5830000}"/>
    <cellStyle name="Normal 4 8 2 2 4 2 4" xfId="23912" xr:uid="{00000000-0005-0000-0000-0000F6830000}"/>
    <cellStyle name="Normal 4 8 2 2 4 2 5" xfId="23913" xr:uid="{00000000-0005-0000-0000-0000F7830000}"/>
    <cellStyle name="Normal 4 8 2 2 4 2 6" xfId="23914" xr:uid="{00000000-0005-0000-0000-0000F8830000}"/>
    <cellStyle name="Normal 4 8 2 2 4 3" xfId="23915" xr:uid="{00000000-0005-0000-0000-0000F9830000}"/>
    <cellStyle name="Normal 4 8 2 2 4 3 2" xfId="55894" xr:uid="{00000000-0005-0000-0000-0000FA830000}"/>
    <cellStyle name="Normal 4 8 2 2 4 3 3" xfId="55895" xr:uid="{00000000-0005-0000-0000-0000FB830000}"/>
    <cellStyle name="Normal 4 8 2 2 4 4" xfId="23916" xr:uid="{00000000-0005-0000-0000-0000FC830000}"/>
    <cellStyle name="Normal 4 8 2 2 4 4 2" xfId="55896" xr:uid="{00000000-0005-0000-0000-0000FD830000}"/>
    <cellStyle name="Normal 4 8 2 2 4 5" xfId="23917" xr:uid="{00000000-0005-0000-0000-0000FE830000}"/>
    <cellStyle name="Normal 4 8 2 2 4 6" xfId="23918" xr:uid="{00000000-0005-0000-0000-0000FF830000}"/>
    <cellStyle name="Normal 4 8 2 2 4 7" xfId="23919" xr:uid="{00000000-0005-0000-0000-000000840000}"/>
    <cellStyle name="Normal 4 8 2 2 5" xfId="23920" xr:uid="{00000000-0005-0000-0000-000001840000}"/>
    <cellStyle name="Normal 4 8 2 2 5 2" xfId="23921" xr:uid="{00000000-0005-0000-0000-000002840000}"/>
    <cellStyle name="Normal 4 8 2 2 5 2 2" xfId="55897" xr:uid="{00000000-0005-0000-0000-000003840000}"/>
    <cellStyle name="Normal 4 8 2 2 5 2 3" xfId="55898" xr:uid="{00000000-0005-0000-0000-000004840000}"/>
    <cellStyle name="Normal 4 8 2 2 5 3" xfId="23922" xr:uid="{00000000-0005-0000-0000-000005840000}"/>
    <cellStyle name="Normal 4 8 2 2 5 3 2" xfId="55899" xr:uid="{00000000-0005-0000-0000-000006840000}"/>
    <cellStyle name="Normal 4 8 2 2 5 4" xfId="23923" xr:uid="{00000000-0005-0000-0000-000007840000}"/>
    <cellStyle name="Normal 4 8 2 2 5 5" xfId="23924" xr:uid="{00000000-0005-0000-0000-000008840000}"/>
    <cellStyle name="Normal 4 8 2 2 5 6" xfId="23925" xr:uid="{00000000-0005-0000-0000-000009840000}"/>
    <cellStyle name="Normal 4 8 2 2 6" xfId="23926" xr:uid="{00000000-0005-0000-0000-00000A840000}"/>
    <cellStyle name="Normal 4 8 2 2 6 2" xfId="55900" xr:uid="{00000000-0005-0000-0000-00000B840000}"/>
    <cellStyle name="Normal 4 8 2 2 6 3" xfId="55901" xr:uid="{00000000-0005-0000-0000-00000C840000}"/>
    <cellStyle name="Normal 4 8 2 2 7" xfId="23927" xr:uid="{00000000-0005-0000-0000-00000D840000}"/>
    <cellStyle name="Normal 4 8 2 2 7 2" xfId="55902" xr:uid="{00000000-0005-0000-0000-00000E840000}"/>
    <cellStyle name="Normal 4 8 2 2 8" xfId="23928" xr:uid="{00000000-0005-0000-0000-00000F840000}"/>
    <cellStyle name="Normal 4 8 2 2 9" xfId="23929" xr:uid="{00000000-0005-0000-0000-000010840000}"/>
    <cellStyle name="Normal 4 8 2 3" xfId="23930" xr:uid="{00000000-0005-0000-0000-000011840000}"/>
    <cellStyle name="Normal 4 8 2 3 2" xfId="23931" xr:uid="{00000000-0005-0000-0000-000012840000}"/>
    <cellStyle name="Normal 4 8 2 3 2 2" xfId="23932" xr:uid="{00000000-0005-0000-0000-000013840000}"/>
    <cellStyle name="Normal 4 8 2 3 2 2 2" xfId="23933" xr:uid="{00000000-0005-0000-0000-000014840000}"/>
    <cellStyle name="Normal 4 8 2 3 2 2 2 2" xfId="55903" xr:uid="{00000000-0005-0000-0000-000015840000}"/>
    <cellStyle name="Normal 4 8 2 3 2 2 2 3" xfId="55904" xr:uid="{00000000-0005-0000-0000-000016840000}"/>
    <cellStyle name="Normal 4 8 2 3 2 2 3" xfId="23934" xr:uid="{00000000-0005-0000-0000-000017840000}"/>
    <cellStyle name="Normal 4 8 2 3 2 2 3 2" xfId="55905" xr:uid="{00000000-0005-0000-0000-000018840000}"/>
    <cellStyle name="Normal 4 8 2 3 2 2 4" xfId="23935" xr:uid="{00000000-0005-0000-0000-000019840000}"/>
    <cellStyle name="Normal 4 8 2 3 2 2 5" xfId="23936" xr:uid="{00000000-0005-0000-0000-00001A840000}"/>
    <cellStyle name="Normal 4 8 2 3 2 2 6" xfId="23937" xr:uid="{00000000-0005-0000-0000-00001B840000}"/>
    <cellStyle name="Normal 4 8 2 3 2 3" xfId="23938" xr:uid="{00000000-0005-0000-0000-00001C840000}"/>
    <cellStyle name="Normal 4 8 2 3 2 3 2" xfId="55906" xr:uid="{00000000-0005-0000-0000-00001D840000}"/>
    <cellStyle name="Normal 4 8 2 3 2 3 3" xfId="55907" xr:uid="{00000000-0005-0000-0000-00001E840000}"/>
    <cellStyle name="Normal 4 8 2 3 2 4" xfId="23939" xr:uid="{00000000-0005-0000-0000-00001F840000}"/>
    <cellStyle name="Normal 4 8 2 3 2 4 2" xfId="55908" xr:uid="{00000000-0005-0000-0000-000020840000}"/>
    <cellStyle name="Normal 4 8 2 3 2 5" xfId="23940" xr:uid="{00000000-0005-0000-0000-000021840000}"/>
    <cellStyle name="Normal 4 8 2 3 2 6" xfId="23941" xr:uid="{00000000-0005-0000-0000-000022840000}"/>
    <cellStyle name="Normal 4 8 2 3 2 7" xfId="23942" xr:uid="{00000000-0005-0000-0000-000023840000}"/>
    <cellStyle name="Normal 4 8 2 3 3" xfId="23943" xr:uid="{00000000-0005-0000-0000-000024840000}"/>
    <cellStyle name="Normal 4 8 2 3 3 2" xfId="23944" xr:uid="{00000000-0005-0000-0000-000025840000}"/>
    <cellStyle name="Normal 4 8 2 3 3 2 2" xfId="55909" xr:uid="{00000000-0005-0000-0000-000026840000}"/>
    <cellStyle name="Normal 4 8 2 3 3 2 3" xfId="55910" xr:uid="{00000000-0005-0000-0000-000027840000}"/>
    <cellStyle name="Normal 4 8 2 3 3 3" xfId="23945" xr:uid="{00000000-0005-0000-0000-000028840000}"/>
    <cellStyle name="Normal 4 8 2 3 3 3 2" xfId="55911" xr:uid="{00000000-0005-0000-0000-000029840000}"/>
    <cellStyle name="Normal 4 8 2 3 3 4" xfId="23946" xr:uid="{00000000-0005-0000-0000-00002A840000}"/>
    <cellStyle name="Normal 4 8 2 3 3 5" xfId="23947" xr:uid="{00000000-0005-0000-0000-00002B840000}"/>
    <cellStyle name="Normal 4 8 2 3 3 6" xfId="23948" xr:uid="{00000000-0005-0000-0000-00002C840000}"/>
    <cellStyle name="Normal 4 8 2 3 4" xfId="23949" xr:uid="{00000000-0005-0000-0000-00002D840000}"/>
    <cellStyle name="Normal 4 8 2 3 4 2" xfId="55912" xr:uid="{00000000-0005-0000-0000-00002E840000}"/>
    <cellStyle name="Normal 4 8 2 3 4 3" xfId="55913" xr:uid="{00000000-0005-0000-0000-00002F840000}"/>
    <cellStyle name="Normal 4 8 2 3 5" xfId="23950" xr:uid="{00000000-0005-0000-0000-000030840000}"/>
    <cellStyle name="Normal 4 8 2 3 5 2" xfId="55914" xr:uid="{00000000-0005-0000-0000-000031840000}"/>
    <cellStyle name="Normal 4 8 2 3 6" xfId="23951" xr:uid="{00000000-0005-0000-0000-000032840000}"/>
    <cellStyle name="Normal 4 8 2 3 7" xfId="23952" xr:uid="{00000000-0005-0000-0000-000033840000}"/>
    <cellStyle name="Normal 4 8 2 3 8" xfId="23953" xr:uid="{00000000-0005-0000-0000-000034840000}"/>
    <cellStyle name="Normal 4 8 2 3 9" xfId="23954" xr:uid="{00000000-0005-0000-0000-000035840000}"/>
    <cellStyle name="Normal 4 8 2 4" xfId="23955" xr:uid="{00000000-0005-0000-0000-000036840000}"/>
    <cellStyle name="Normal 4 8 2 4 2" xfId="23956" xr:uid="{00000000-0005-0000-0000-000037840000}"/>
    <cellStyle name="Normal 4 8 2 4 2 2" xfId="23957" xr:uid="{00000000-0005-0000-0000-000038840000}"/>
    <cellStyle name="Normal 4 8 2 4 2 2 2" xfId="23958" xr:uid="{00000000-0005-0000-0000-000039840000}"/>
    <cellStyle name="Normal 4 8 2 4 2 2 2 2" xfId="55915" xr:uid="{00000000-0005-0000-0000-00003A840000}"/>
    <cellStyle name="Normal 4 8 2 4 2 2 2 3" xfId="55916" xr:uid="{00000000-0005-0000-0000-00003B840000}"/>
    <cellStyle name="Normal 4 8 2 4 2 2 3" xfId="23959" xr:uid="{00000000-0005-0000-0000-00003C840000}"/>
    <cellStyle name="Normal 4 8 2 4 2 2 3 2" xfId="55917" xr:uid="{00000000-0005-0000-0000-00003D840000}"/>
    <cellStyle name="Normal 4 8 2 4 2 2 4" xfId="23960" xr:uid="{00000000-0005-0000-0000-00003E840000}"/>
    <cellStyle name="Normal 4 8 2 4 2 2 5" xfId="23961" xr:uid="{00000000-0005-0000-0000-00003F840000}"/>
    <cellStyle name="Normal 4 8 2 4 2 2 6" xfId="23962" xr:uid="{00000000-0005-0000-0000-000040840000}"/>
    <cellStyle name="Normal 4 8 2 4 2 3" xfId="23963" xr:uid="{00000000-0005-0000-0000-000041840000}"/>
    <cellStyle name="Normal 4 8 2 4 2 3 2" xfId="55918" xr:uid="{00000000-0005-0000-0000-000042840000}"/>
    <cellStyle name="Normal 4 8 2 4 2 3 3" xfId="55919" xr:uid="{00000000-0005-0000-0000-000043840000}"/>
    <cellStyle name="Normal 4 8 2 4 2 4" xfId="23964" xr:uid="{00000000-0005-0000-0000-000044840000}"/>
    <cellStyle name="Normal 4 8 2 4 2 4 2" xfId="55920" xr:uid="{00000000-0005-0000-0000-000045840000}"/>
    <cellStyle name="Normal 4 8 2 4 2 5" xfId="23965" xr:uid="{00000000-0005-0000-0000-000046840000}"/>
    <cellStyle name="Normal 4 8 2 4 2 6" xfId="23966" xr:uid="{00000000-0005-0000-0000-000047840000}"/>
    <cellStyle name="Normal 4 8 2 4 2 7" xfId="23967" xr:uid="{00000000-0005-0000-0000-000048840000}"/>
    <cellStyle name="Normal 4 8 2 4 3" xfId="23968" xr:uid="{00000000-0005-0000-0000-000049840000}"/>
    <cellStyle name="Normal 4 8 2 4 3 2" xfId="23969" xr:uid="{00000000-0005-0000-0000-00004A840000}"/>
    <cellStyle name="Normal 4 8 2 4 3 2 2" xfId="55921" xr:uid="{00000000-0005-0000-0000-00004B840000}"/>
    <cellStyle name="Normal 4 8 2 4 3 2 3" xfId="55922" xr:uid="{00000000-0005-0000-0000-00004C840000}"/>
    <cellStyle name="Normal 4 8 2 4 3 3" xfId="23970" xr:uid="{00000000-0005-0000-0000-00004D840000}"/>
    <cellStyle name="Normal 4 8 2 4 3 3 2" xfId="55923" xr:uid="{00000000-0005-0000-0000-00004E840000}"/>
    <cellStyle name="Normal 4 8 2 4 3 4" xfId="23971" xr:uid="{00000000-0005-0000-0000-00004F840000}"/>
    <cellStyle name="Normal 4 8 2 4 3 5" xfId="23972" xr:uid="{00000000-0005-0000-0000-000050840000}"/>
    <cellStyle name="Normal 4 8 2 4 3 6" xfId="23973" xr:uid="{00000000-0005-0000-0000-000051840000}"/>
    <cellStyle name="Normal 4 8 2 4 4" xfId="23974" xr:uid="{00000000-0005-0000-0000-000052840000}"/>
    <cellStyle name="Normal 4 8 2 4 4 2" xfId="55924" xr:uid="{00000000-0005-0000-0000-000053840000}"/>
    <cellStyle name="Normal 4 8 2 4 4 3" xfId="55925" xr:uid="{00000000-0005-0000-0000-000054840000}"/>
    <cellStyle name="Normal 4 8 2 4 5" xfId="23975" xr:uid="{00000000-0005-0000-0000-000055840000}"/>
    <cellStyle name="Normal 4 8 2 4 5 2" xfId="55926" xr:uid="{00000000-0005-0000-0000-000056840000}"/>
    <cellStyle name="Normal 4 8 2 4 6" xfId="23976" xr:uid="{00000000-0005-0000-0000-000057840000}"/>
    <cellStyle name="Normal 4 8 2 4 7" xfId="23977" xr:uid="{00000000-0005-0000-0000-000058840000}"/>
    <cellStyle name="Normal 4 8 2 4 8" xfId="23978" xr:uid="{00000000-0005-0000-0000-000059840000}"/>
    <cellStyle name="Normal 4 8 2 5" xfId="23979" xr:uid="{00000000-0005-0000-0000-00005A840000}"/>
    <cellStyle name="Normal 4 8 2 5 2" xfId="23980" xr:uid="{00000000-0005-0000-0000-00005B840000}"/>
    <cellStyle name="Normal 4 8 2 5 2 2" xfId="23981" xr:uid="{00000000-0005-0000-0000-00005C840000}"/>
    <cellStyle name="Normal 4 8 2 5 2 2 2" xfId="55927" xr:uid="{00000000-0005-0000-0000-00005D840000}"/>
    <cellStyle name="Normal 4 8 2 5 2 2 3" xfId="55928" xr:uid="{00000000-0005-0000-0000-00005E840000}"/>
    <cellStyle name="Normal 4 8 2 5 2 3" xfId="23982" xr:uid="{00000000-0005-0000-0000-00005F840000}"/>
    <cellStyle name="Normal 4 8 2 5 2 3 2" xfId="55929" xr:uid="{00000000-0005-0000-0000-000060840000}"/>
    <cellStyle name="Normal 4 8 2 5 2 4" xfId="23983" xr:uid="{00000000-0005-0000-0000-000061840000}"/>
    <cellStyle name="Normal 4 8 2 5 2 5" xfId="23984" xr:uid="{00000000-0005-0000-0000-000062840000}"/>
    <cellStyle name="Normal 4 8 2 5 2 6" xfId="23985" xr:uid="{00000000-0005-0000-0000-000063840000}"/>
    <cellStyle name="Normal 4 8 2 5 3" xfId="23986" xr:uid="{00000000-0005-0000-0000-000064840000}"/>
    <cellStyle name="Normal 4 8 2 5 3 2" xfId="55930" xr:uid="{00000000-0005-0000-0000-000065840000}"/>
    <cellStyle name="Normal 4 8 2 5 3 3" xfId="55931" xr:uid="{00000000-0005-0000-0000-000066840000}"/>
    <cellStyle name="Normal 4 8 2 5 4" xfId="23987" xr:uid="{00000000-0005-0000-0000-000067840000}"/>
    <cellStyle name="Normal 4 8 2 5 4 2" xfId="55932" xr:uid="{00000000-0005-0000-0000-000068840000}"/>
    <cellStyle name="Normal 4 8 2 5 5" xfId="23988" xr:uid="{00000000-0005-0000-0000-000069840000}"/>
    <cellStyle name="Normal 4 8 2 5 6" xfId="23989" xr:uid="{00000000-0005-0000-0000-00006A840000}"/>
    <cellStyle name="Normal 4 8 2 5 7" xfId="23990" xr:uid="{00000000-0005-0000-0000-00006B840000}"/>
    <cellStyle name="Normal 4 8 2 6" xfId="23991" xr:uid="{00000000-0005-0000-0000-00006C840000}"/>
    <cellStyle name="Normal 4 8 2 6 2" xfId="23992" xr:uid="{00000000-0005-0000-0000-00006D840000}"/>
    <cellStyle name="Normal 4 8 2 6 2 2" xfId="55933" xr:uid="{00000000-0005-0000-0000-00006E840000}"/>
    <cellStyle name="Normal 4 8 2 6 2 3" xfId="55934" xr:uid="{00000000-0005-0000-0000-00006F840000}"/>
    <cellStyle name="Normal 4 8 2 6 3" xfId="23993" xr:uid="{00000000-0005-0000-0000-000070840000}"/>
    <cellStyle name="Normal 4 8 2 6 3 2" xfId="55935" xr:uid="{00000000-0005-0000-0000-000071840000}"/>
    <cellStyle name="Normal 4 8 2 6 4" xfId="23994" xr:uid="{00000000-0005-0000-0000-000072840000}"/>
    <cellStyle name="Normal 4 8 2 6 5" xfId="23995" xr:uid="{00000000-0005-0000-0000-000073840000}"/>
    <cellStyle name="Normal 4 8 2 6 6" xfId="23996" xr:uid="{00000000-0005-0000-0000-000074840000}"/>
    <cellStyle name="Normal 4 8 2 7" xfId="23997" xr:uid="{00000000-0005-0000-0000-000075840000}"/>
    <cellStyle name="Normal 4 8 2 7 2" xfId="55936" xr:uid="{00000000-0005-0000-0000-000076840000}"/>
    <cellStyle name="Normal 4 8 2 7 3" xfId="55937" xr:uid="{00000000-0005-0000-0000-000077840000}"/>
    <cellStyle name="Normal 4 8 2 8" xfId="23998" xr:uid="{00000000-0005-0000-0000-000078840000}"/>
    <cellStyle name="Normal 4 8 2 8 2" xfId="55938" xr:uid="{00000000-0005-0000-0000-000079840000}"/>
    <cellStyle name="Normal 4 8 2 9" xfId="23999" xr:uid="{00000000-0005-0000-0000-00007A840000}"/>
    <cellStyle name="Normal 4 8 2 9 2" xfId="55939" xr:uid="{00000000-0005-0000-0000-00007B840000}"/>
    <cellStyle name="Normal 4 8 20" xfId="24000" xr:uid="{00000000-0005-0000-0000-00007C840000}"/>
    <cellStyle name="Normal 4 8 3" xfId="24001" xr:uid="{00000000-0005-0000-0000-00007D840000}"/>
    <cellStyle name="Normal 4 8 3 10" xfId="24002" xr:uid="{00000000-0005-0000-0000-00007E840000}"/>
    <cellStyle name="Normal 4 8 3 11" xfId="24003" xr:uid="{00000000-0005-0000-0000-00007F840000}"/>
    <cellStyle name="Normal 4 8 3 12" xfId="24004" xr:uid="{00000000-0005-0000-0000-000080840000}"/>
    <cellStyle name="Normal 4 8 3 13" xfId="24005" xr:uid="{00000000-0005-0000-0000-000081840000}"/>
    <cellStyle name="Normal 4 8 3 14" xfId="24006" xr:uid="{00000000-0005-0000-0000-000082840000}"/>
    <cellStyle name="Normal 4 8 3 15" xfId="24007" xr:uid="{00000000-0005-0000-0000-000083840000}"/>
    <cellStyle name="Normal 4 8 3 2" xfId="24008" xr:uid="{00000000-0005-0000-0000-000084840000}"/>
    <cellStyle name="Normal 4 8 3 2 10" xfId="24009" xr:uid="{00000000-0005-0000-0000-000085840000}"/>
    <cellStyle name="Normal 4 8 3 2 11" xfId="24010" xr:uid="{00000000-0005-0000-0000-000086840000}"/>
    <cellStyle name="Normal 4 8 3 2 12" xfId="24011" xr:uid="{00000000-0005-0000-0000-000087840000}"/>
    <cellStyle name="Normal 4 8 3 2 13" xfId="24012" xr:uid="{00000000-0005-0000-0000-000088840000}"/>
    <cellStyle name="Normal 4 8 3 2 14" xfId="24013" xr:uid="{00000000-0005-0000-0000-000089840000}"/>
    <cellStyle name="Normal 4 8 3 2 2" xfId="24014" xr:uid="{00000000-0005-0000-0000-00008A840000}"/>
    <cellStyle name="Normal 4 8 3 2 2 2" xfId="24015" xr:uid="{00000000-0005-0000-0000-00008B840000}"/>
    <cellStyle name="Normal 4 8 3 2 2 2 2" xfId="24016" xr:uid="{00000000-0005-0000-0000-00008C840000}"/>
    <cellStyle name="Normal 4 8 3 2 2 2 2 2" xfId="24017" xr:uid="{00000000-0005-0000-0000-00008D840000}"/>
    <cellStyle name="Normal 4 8 3 2 2 2 2 2 2" xfId="55940" xr:uid="{00000000-0005-0000-0000-00008E840000}"/>
    <cellStyle name="Normal 4 8 3 2 2 2 2 2 3" xfId="55941" xr:uid="{00000000-0005-0000-0000-00008F840000}"/>
    <cellStyle name="Normal 4 8 3 2 2 2 2 3" xfId="24018" xr:uid="{00000000-0005-0000-0000-000090840000}"/>
    <cellStyle name="Normal 4 8 3 2 2 2 2 3 2" xfId="55942" xr:uid="{00000000-0005-0000-0000-000091840000}"/>
    <cellStyle name="Normal 4 8 3 2 2 2 2 4" xfId="24019" xr:uid="{00000000-0005-0000-0000-000092840000}"/>
    <cellStyle name="Normal 4 8 3 2 2 2 2 5" xfId="24020" xr:uid="{00000000-0005-0000-0000-000093840000}"/>
    <cellStyle name="Normal 4 8 3 2 2 2 2 6" xfId="24021" xr:uid="{00000000-0005-0000-0000-000094840000}"/>
    <cellStyle name="Normal 4 8 3 2 2 2 3" xfId="24022" xr:uid="{00000000-0005-0000-0000-000095840000}"/>
    <cellStyle name="Normal 4 8 3 2 2 2 3 2" xfId="55943" xr:uid="{00000000-0005-0000-0000-000096840000}"/>
    <cellStyle name="Normal 4 8 3 2 2 2 3 3" xfId="55944" xr:uid="{00000000-0005-0000-0000-000097840000}"/>
    <cellStyle name="Normal 4 8 3 2 2 2 4" xfId="24023" xr:uid="{00000000-0005-0000-0000-000098840000}"/>
    <cellStyle name="Normal 4 8 3 2 2 2 4 2" xfId="55945" xr:uid="{00000000-0005-0000-0000-000099840000}"/>
    <cellStyle name="Normal 4 8 3 2 2 2 5" xfId="24024" xr:uid="{00000000-0005-0000-0000-00009A840000}"/>
    <cellStyle name="Normal 4 8 3 2 2 2 6" xfId="24025" xr:uid="{00000000-0005-0000-0000-00009B840000}"/>
    <cellStyle name="Normal 4 8 3 2 2 2 7" xfId="24026" xr:uid="{00000000-0005-0000-0000-00009C840000}"/>
    <cellStyle name="Normal 4 8 3 2 2 3" xfId="24027" xr:uid="{00000000-0005-0000-0000-00009D840000}"/>
    <cellStyle name="Normal 4 8 3 2 2 3 2" xfId="24028" xr:uid="{00000000-0005-0000-0000-00009E840000}"/>
    <cellStyle name="Normal 4 8 3 2 2 3 2 2" xfId="55946" xr:uid="{00000000-0005-0000-0000-00009F840000}"/>
    <cellStyle name="Normal 4 8 3 2 2 3 2 3" xfId="55947" xr:uid="{00000000-0005-0000-0000-0000A0840000}"/>
    <cellStyle name="Normal 4 8 3 2 2 3 3" xfId="24029" xr:uid="{00000000-0005-0000-0000-0000A1840000}"/>
    <cellStyle name="Normal 4 8 3 2 2 3 3 2" xfId="55948" xr:uid="{00000000-0005-0000-0000-0000A2840000}"/>
    <cellStyle name="Normal 4 8 3 2 2 3 4" xfId="24030" xr:uid="{00000000-0005-0000-0000-0000A3840000}"/>
    <cellStyle name="Normal 4 8 3 2 2 3 5" xfId="24031" xr:uid="{00000000-0005-0000-0000-0000A4840000}"/>
    <cellStyle name="Normal 4 8 3 2 2 3 6" xfId="24032" xr:uid="{00000000-0005-0000-0000-0000A5840000}"/>
    <cellStyle name="Normal 4 8 3 2 2 4" xfId="24033" xr:uid="{00000000-0005-0000-0000-0000A6840000}"/>
    <cellStyle name="Normal 4 8 3 2 2 4 2" xfId="55949" xr:uid="{00000000-0005-0000-0000-0000A7840000}"/>
    <cellStyle name="Normal 4 8 3 2 2 4 3" xfId="55950" xr:uid="{00000000-0005-0000-0000-0000A8840000}"/>
    <cellStyle name="Normal 4 8 3 2 2 5" xfId="24034" xr:uid="{00000000-0005-0000-0000-0000A9840000}"/>
    <cellStyle name="Normal 4 8 3 2 2 5 2" xfId="55951" xr:uid="{00000000-0005-0000-0000-0000AA840000}"/>
    <cellStyle name="Normal 4 8 3 2 2 6" xfId="24035" xr:uid="{00000000-0005-0000-0000-0000AB840000}"/>
    <cellStyle name="Normal 4 8 3 2 2 7" xfId="24036" xr:uid="{00000000-0005-0000-0000-0000AC840000}"/>
    <cellStyle name="Normal 4 8 3 2 2 8" xfId="24037" xr:uid="{00000000-0005-0000-0000-0000AD840000}"/>
    <cellStyle name="Normal 4 8 3 2 2 9" xfId="24038" xr:uid="{00000000-0005-0000-0000-0000AE840000}"/>
    <cellStyle name="Normal 4 8 3 2 3" xfId="24039" xr:uid="{00000000-0005-0000-0000-0000AF840000}"/>
    <cellStyle name="Normal 4 8 3 2 3 2" xfId="24040" xr:uid="{00000000-0005-0000-0000-0000B0840000}"/>
    <cellStyle name="Normal 4 8 3 2 3 2 2" xfId="24041" xr:uid="{00000000-0005-0000-0000-0000B1840000}"/>
    <cellStyle name="Normal 4 8 3 2 3 2 2 2" xfId="24042" xr:uid="{00000000-0005-0000-0000-0000B2840000}"/>
    <cellStyle name="Normal 4 8 3 2 3 2 2 2 2" xfId="55952" xr:uid="{00000000-0005-0000-0000-0000B3840000}"/>
    <cellStyle name="Normal 4 8 3 2 3 2 2 2 3" xfId="55953" xr:uid="{00000000-0005-0000-0000-0000B4840000}"/>
    <cellStyle name="Normal 4 8 3 2 3 2 2 3" xfId="24043" xr:uid="{00000000-0005-0000-0000-0000B5840000}"/>
    <cellStyle name="Normal 4 8 3 2 3 2 2 3 2" xfId="55954" xr:uid="{00000000-0005-0000-0000-0000B6840000}"/>
    <cellStyle name="Normal 4 8 3 2 3 2 2 4" xfId="24044" xr:uid="{00000000-0005-0000-0000-0000B7840000}"/>
    <cellStyle name="Normal 4 8 3 2 3 2 2 5" xfId="24045" xr:uid="{00000000-0005-0000-0000-0000B8840000}"/>
    <cellStyle name="Normal 4 8 3 2 3 2 2 6" xfId="24046" xr:uid="{00000000-0005-0000-0000-0000B9840000}"/>
    <cellStyle name="Normal 4 8 3 2 3 2 3" xfId="24047" xr:uid="{00000000-0005-0000-0000-0000BA840000}"/>
    <cellStyle name="Normal 4 8 3 2 3 2 3 2" xfId="55955" xr:uid="{00000000-0005-0000-0000-0000BB840000}"/>
    <cellStyle name="Normal 4 8 3 2 3 2 3 3" xfId="55956" xr:uid="{00000000-0005-0000-0000-0000BC840000}"/>
    <cellStyle name="Normal 4 8 3 2 3 2 4" xfId="24048" xr:uid="{00000000-0005-0000-0000-0000BD840000}"/>
    <cellStyle name="Normal 4 8 3 2 3 2 4 2" xfId="55957" xr:uid="{00000000-0005-0000-0000-0000BE840000}"/>
    <cellStyle name="Normal 4 8 3 2 3 2 5" xfId="24049" xr:uid="{00000000-0005-0000-0000-0000BF840000}"/>
    <cellStyle name="Normal 4 8 3 2 3 2 6" xfId="24050" xr:uid="{00000000-0005-0000-0000-0000C0840000}"/>
    <cellStyle name="Normal 4 8 3 2 3 2 7" xfId="24051" xr:uid="{00000000-0005-0000-0000-0000C1840000}"/>
    <cellStyle name="Normal 4 8 3 2 3 3" xfId="24052" xr:uid="{00000000-0005-0000-0000-0000C2840000}"/>
    <cellStyle name="Normal 4 8 3 2 3 3 2" xfId="24053" xr:uid="{00000000-0005-0000-0000-0000C3840000}"/>
    <cellStyle name="Normal 4 8 3 2 3 3 2 2" xfId="55958" xr:uid="{00000000-0005-0000-0000-0000C4840000}"/>
    <cellStyle name="Normal 4 8 3 2 3 3 2 3" xfId="55959" xr:uid="{00000000-0005-0000-0000-0000C5840000}"/>
    <cellStyle name="Normal 4 8 3 2 3 3 3" xfId="24054" xr:uid="{00000000-0005-0000-0000-0000C6840000}"/>
    <cellStyle name="Normal 4 8 3 2 3 3 3 2" xfId="55960" xr:uid="{00000000-0005-0000-0000-0000C7840000}"/>
    <cellStyle name="Normal 4 8 3 2 3 3 4" xfId="24055" xr:uid="{00000000-0005-0000-0000-0000C8840000}"/>
    <cellStyle name="Normal 4 8 3 2 3 3 5" xfId="24056" xr:uid="{00000000-0005-0000-0000-0000C9840000}"/>
    <cellStyle name="Normal 4 8 3 2 3 3 6" xfId="24057" xr:uid="{00000000-0005-0000-0000-0000CA840000}"/>
    <cellStyle name="Normal 4 8 3 2 3 4" xfId="24058" xr:uid="{00000000-0005-0000-0000-0000CB840000}"/>
    <cellStyle name="Normal 4 8 3 2 3 4 2" xfId="55961" xr:uid="{00000000-0005-0000-0000-0000CC840000}"/>
    <cellStyle name="Normal 4 8 3 2 3 4 3" xfId="55962" xr:uid="{00000000-0005-0000-0000-0000CD840000}"/>
    <cellStyle name="Normal 4 8 3 2 3 5" xfId="24059" xr:uid="{00000000-0005-0000-0000-0000CE840000}"/>
    <cellStyle name="Normal 4 8 3 2 3 5 2" xfId="55963" xr:uid="{00000000-0005-0000-0000-0000CF840000}"/>
    <cellStyle name="Normal 4 8 3 2 3 6" xfId="24060" xr:uid="{00000000-0005-0000-0000-0000D0840000}"/>
    <cellStyle name="Normal 4 8 3 2 3 7" xfId="24061" xr:uid="{00000000-0005-0000-0000-0000D1840000}"/>
    <cellStyle name="Normal 4 8 3 2 3 8" xfId="24062" xr:uid="{00000000-0005-0000-0000-0000D2840000}"/>
    <cellStyle name="Normal 4 8 3 2 4" xfId="24063" xr:uid="{00000000-0005-0000-0000-0000D3840000}"/>
    <cellStyle name="Normal 4 8 3 2 4 2" xfId="24064" xr:uid="{00000000-0005-0000-0000-0000D4840000}"/>
    <cellStyle name="Normal 4 8 3 2 4 2 2" xfId="24065" xr:uid="{00000000-0005-0000-0000-0000D5840000}"/>
    <cellStyle name="Normal 4 8 3 2 4 2 2 2" xfId="55964" xr:uid="{00000000-0005-0000-0000-0000D6840000}"/>
    <cellStyle name="Normal 4 8 3 2 4 2 2 3" xfId="55965" xr:uid="{00000000-0005-0000-0000-0000D7840000}"/>
    <cellStyle name="Normal 4 8 3 2 4 2 3" xfId="24066" xr:uid="{00000000-0005-0000-0000-0000D8840000}"/>
    <cellStyle name="Normal 4 8 3 2 4 2 3 2" xfId="55966" xr:uid="{00000000-0005-0000-0000-0000D9840000}"/>
    <cellStyle name="Normal 4 8 3 2 4 2 4" xfId="24067" xr:uid="{00000000-0005-0000-0000-0000DA840000}"/>
    <cellStyle name="Normal 4 8 3 2 4 2 5" xfId="24068" xr:uid="{00000000-0005-0000-0000-0000DB840000}"/>
    <cellStyle name="Normal 4 8 3 2 4 2 6" xfId="24069" xr:uid="{00000000-0005-0000-0000-0000DC840000}"/>
    <cellStyle name="Normal 4 8 3 2 4 3" xfId="24070" xr:uid="{00000000-0005-0000-0000-0000DD840000}"/>
    <cellStyle name="Normal 4 8 3 2 4 3 2" xfId="55967" xr:uid="{00000000-0005-0000-0000-0000DE840000}"/>
    <cellStyle name="Normal 4 8 3 2 4 3 3" xfId="55968" xr:uid="{00000000-0005-0000-0000-0000DF840000}"/>
    <cellStyle name="Normal 4 8 3 2 4 4" xfId="24071" xr:uid="{00000000-0005-0000-0000-0000E0840000}"/>
    <cellStyle name="Normal 4 8 3 2 4 4 2" xfId="55969" xr:uid="{00000000-0005-0000-0000-0000E1840000}"/>
    <cellStyle name="Normal 4 8 3 2 4 5" xfId="24072" xr:uid="{00000000-0005-0000-0000-0000E2840000}"/>
    <cellStyle name="Normal 4 8 3 2 4 6" xfId="24073" xr:uid="{00000000-0005-0000-0000-0000E3840000}"/>
    <cellStyle name="Normal 4 8 3 2 4 7" xfId="24074" xr:uid="{00000000-0005-0000-0000-0000E4840000}"/>
    <cellStyle name="Normal 4 8 3 2 5" xfId="24075" xr:uid="{00000000-0005-0000-0000-0000E5840000}"/>
    <cellStyle name="Normal 4 8 3 2 5 2" xfId="24076" xr:uid="{00000000-0005-0000-0000-0000E6840000}"/>
    <cellStyle name="Normal 4 8 3 2 5 2 2" xfId="55970" xr:uid="{00000000-0005-0000-0000-0000E7840000}"/>
    <cellStyle name="Normal 4 8 3 2 5 2 3" xfId="55971" xr:uid="{00000000-0005-0000-0000-0000E8840000}"/>
    <cellStyle name="Normal 4 8 3 2 5 3" xfId="24077" xr:uid="{00000000-0005-0000-0000-0000E9840000}"/>
    <cellStyle name="Normal 4 8 3 2 5 3 2" xfId="55972" xr:uid="{00000000-0005-0000-0000-0000EA840000}"/>
    <cellStyle name="Normal 4 8 3 2 5 4" xfId="24078" xr:uid="{00000000-0005-0000-0000-0000EB840000}"/>
    <cellStyle name="Normal 4 8 3 2 5 5" xfId="24079" xr:uid="{00000000-0005-0000-0000-0000EC840000}"/>
    <cellStyle name="Normal 4 8 3 2 5 6" xfId="24080" xr:uid="{00000000-0005-0000-0000-0000ED840000}"/>
    <cellStyle name="Normal 4 8 3 2 6" xfId="24081" xr:uid="{00000000-0005-0000-0000-0000EE840000}"/>
    <cellStyle name="Normal 4 8 3 2 6 2" xfId="55973" xr:uid="{00000000-0005-0000-0000-0000EF840000}"/>
    <cellStyle name="Normal 4 8 3 2 6 3" xfId="55974" xr:uid="{00000000-0005-0000-0000-0000F0840000}"/>
    <cellStyle name="Normal 4 8 3 2 7" xfId="24082" xr:uid="{00000000-0005-0000-0000-0000F1840000}"/>
    <cellStyle name="Normal 4 8 3 2 7 2" xfId="55975" xr:uid="{00000000-0005-0000-0000-0000F2840000}"/>
    <cellStyle name="Normal 4 8 3 2 8" xfId="24083" xr:uid="{00000000-0005-0000-0000-0000F3840000}"/>
    <cellStyle name="Normal 4 8 3 2 9" xfId="24084" xr:uid="{00000000-0005-0000-0000-0000F4840000}"/>
    <cellStyle name="Normal 4 8 3 3" xfId="24085" xr:uid="{00000000-0005-0000-0000-0000F5840000}"/>
    <cellStyle name="Normal 4 8 3 3 2" xfId="24086" xr:uid="{00000000-0005-0000-0000-0000F6840000}"/>
    <cellStyle name="Normal 4 8 3 3 2 2" xfId="24087" xr:uid="{00000000-0005-0000-0000-0000F7840000}"/>
    <cellStyle name="Normal 4 8 3 3 2 2 2" xfId="24088" xr:uid="{00000000-0005-0000-0000-0000F8840000}"/>
    <cellStyle name="Normal 4 8 3 3 2 2 2 2" xfId="55976" xr:uid="{00000000-0005-0000-0000-0000F9840000}"/>
    <cellStyle name="Normal 4 8 3 3 2 2 2 3" xfId="55977" xr:uid="{00000000-0005-0000-0000-0000FA840000}"/>
    <cellStyle name="Normal 4 8 3 3 2 2 3" xfId="24089" xr:uid="{00000000-0005-0000-0000-0000FB840000}"/>
    <cellStyle name="Normal 4 8 3 3 2 2 3 2" xfId="55978" xr:uid="{00000000-0005-0000-0000-0000FC840000}"/>
    <cellStyle name="Normal 4 8 3 3 2 2 4" xfId="24090" xr:uid="{00000000-0005-0000-0000-0000FD840000}"/>
    <cellStyle name="Normal 4 8 3 3 2 2 5" xfId="24091" xr:uid="{00000000-0005-0000-0000-0000FE840000}"/>
    <cellStyle name="Normal 4 8 3 3 2 2 6" xfId="24092" xr:uid="{00000000-0005-0000-0000-0000FF840000}"/>
    <cellStyle name="Normal 4 8 3 3 2 3" xfId="24093" xr:uid="{00000000-0005-0000-0000-000000850000}"/>
    <cellStyle name="Normal 4 8 3 3 2 3 2" xfId="55979" xr:uid="{00000000-0005-0000-0000-000001850000}"/>
    <cellStyle name="Normal 4 8 3 3 2 3 3" xfId="55980" xr:uid="{00000000-0005-0000-0000-000002850000}"/>
    <cellStyle name="Normal 4 8 3 3 2 4" xfId="24094" xr:uid="{00000000-0005-0000-0000-000003850000}"/>
    <cellStyle name="Normal 4 8 3 3 2 4 2" xfId="55981" xr:uid="{00000000-0005-0000-0000-000004850000}"/>
    <cellStyle name="Normal 4 8 3 3 2 5" xfId="24095" xr:uid="{00000000-0005-0000-0000-000005850000}"/>
    <cellStyle name="Normal 4 8 3 3 2 6" xfId="24096" xr:uid="{00000000-0005-0000-0000-000006850000}"/>
    <cellStyle name="Normal 4 8 3 3 2 7" xfId="24097" xr:uid="{00000000-0005-0000-0000-000007850000}"/>
    <cellStyle name="Normal 4 8 3 3 3" xfId="24098" xr:uid="{00000000-0005-0000-0000-000008850000}"/>
    <cellStyle name="Normal 4 8 3 3 3 2" xfId="24099" xr:uid="{00000000-0005-0000-0000-000009850000}"/>
    <cellStyle name="Normal 4 8 3 3 3 2 2" xfId="55982" xr:uid="{00000000-0005-0000-0000-00000A850000}"/>
    <cellStyle name="Normal 4 8 3 3 3 2 3" xfId="55983" xr:uid="{00000000-0005-0000-0000-00000B850000}"/>
    <cellStyle name="Normal 4 8 3 3 3 3" xfId="24100" xr:uid="{00000000-0005-0000-0000-00000C850000}"/>
    <cellStyle name="Normal 4 8 3 3 3 3 2" xfId="55984" xr:uid="{00000000-0005-0000-0000-00000D850000}"/>
    <cellStyle name="Normal 4 8 3 3 3 4" xfId="24101" xr:uid="{00000000-0005-0000-0000-00000E850000}"/>
    <cellStyle name="Normal 4 8 3 3 3 5" xfId="24102" xr:uid="{00000000-0005-0000-0000-00000F850000}"/>
    <cellStyle name="Normal 4 8 3 3 3 6" xfId="24103" xr:uid="{00000000-0005-0000-0000-000010850000}"/>
    <cellStyle name="Normal 4 8 3 3 4" xfId="24104" xr:uid="{00000000-0005-0000-0000-000011850000}"/>
    <cellStyle name="Normal 4 8 3 3 4 2" xfId="55985" xr:uid="{00000000-0005-0000-0000-000012850000}"/>
    <cellStyle name="Normal 4 8 3 3 4 3" xfId="55986" xr:uid="{00000000-0005-0000-0000-000013850000}"/>
    <cellStyle name="Normal 4 8 3 3 5" xfId="24105" xr:uid="{00000000-0005-0000-0000-000014850000}"/>
    <cellStyle name="Normal 4 8 3 3 5 2" xfId="55987" xr:uid="{00000000-0005-0000-0000-000015850000}"/>
    <cellStyle name="Normal 4 8 3 3 6" xfId="24106" xr:uid="{00000000-0005-0000-0000-000016850000}"/>
    <cellStyle name="Normal 4 8 3 3 7" xfId="24107" xr:uid="{00000000-0005-0000-0000-000017850000}"/>
    <cellStyle name="Normal 4 8 3 3 8" xfId="24108" xr:uid="{00000000-0005-0000-0000-000018850000}"/>
    <cellStyle name="Normal 4 8 3 3 9" xfId="24109" xr:uid="{00000000-0005-0000-0000-000019850000}"/>
    <cellStyle name="Normal 4 8 3 4" xfId="24110" xr:uid="{00000000-0005-0000-0000-00001A850000}"/>
    <cellStyle name="Normal 4 8 3 4 2" xfId="24111" xr:uid="{00000000-0005-0000-0000-00001B850000}"/>
    <cellStyle name="Normal 4 8 3 4 2 2" xfId="24112" xr:uid="{00000000-0005-0000-0000-00001C850000}"/>
    <cellStyle name="Normal 4 8 3 4 2 2 2" xfId="24113" xr:uid="{00000000-0005-0000-0000-00001D850000}"/>
    <cellStyle name="Normal 4 8 3 4 2 2 2 2" xfId="55988" xr:uid="{00000000-0005-0000-0000-00001E850000}"/>
    <cellStyle name="Normal 4 8 3 4 2 2 2 3" xfId="55989" xr:uid="{00000000-0005-0000-0000-00001F850000}"/>
    <cellStyle name="Normal 4 8 3 4 2 2 3" xfId="24114" xr:uid="{00000000-0005-0000-0000-000020850000}"/>
    <cellStyle name="Normal 4 8 3 4 2 2 3 2" xfId="55990" xr:uid="{00000000-0005-0000-0000-000021850000}"/>
    <cellStyle name="Normal 4 8 3 4 2 2 4" xfId="24115" xr:uid="{00000000-0005-0000-0000-000022850000}"/>
    <cellStyle name="Normal 4 8 3 4 2 2 5" xfId="24116" xr:uid="{00000000-0005-0000-0000-000023850000}"/>
    <cellStyle name="Normal 4 8 3 4 2 2 6" xfId="24117" xr:uid="{00000000-0005-0000-0000-000024850000}"/>
    <cellStyle name="Normal 4 8 3 4 2 3" xfId="24118" xr:uid="{00000000-0005-0000-0000-000025850000}"/>
    <cellStyle name="Normal 4 8 3 4 2 3 2" xfId="55991" xr:uid="{00000000-0005-0000-0000-000026850000}"/>
    <cellStyle name="Normal 4 8 3 4 2 3 3" xfId="55992" xr:uid="{00000000-0005-0000-0000-000027850000}"/>
    <cellStyle name="Normal 4 8 3 4 2 4" xfId="24119" xr:uid="{00000000-0005-0000-0000-000028850000}"/>
    <cellStyle name="Normal 4 8 3 4 2 4 2" xfId="55993" xr:uid="{00000000-0005-0000-0000-000029850000}"/>
    <cellStyle name="Normal 4 8 3 4 2 5" xfId="24120" xr:uid="{00000000-0005-0000-0000-00002A850000}"/>
    <cellStyle name="Normal 4 8 3 4 2 6" xfId="24121" xr:uid="{00000000-0005-0000-0000-00002B850000}"/>
    <cellStyle name="Normal 4 8 3 4 2 7" xfId="24122" xr:uid="{00000000-0005-0000-0000-00002C850000}"/>
    <cellStyle name="Normal 4 8 3 4 3" xfId="24123" xr:uid="{00000000-0005-0000-0000-00002D850000}"/>
    <cellStyle name="Normal 4 8 3 4 3 2" xfId="24124" xr:uid="{00000000-0005-0000-0000-00002E850000}"/>
    <cellStyle name="Normal 4 8 3 4 3 2 2" xfId="55994" xr:uid="{00000000-0005-0000-0000-00002F850000}"/>
    <cellStyle name="Normal 4 8 3 4 3 2 3" xfId="55995" xr:uid="{00000000-0005-0000-0000-000030850000}"/>
    <cellStyle name="Normal 4 8 3 4 3 3" xfId="24125" xr:uid="{00000000-0005-0000-0000-000031850000}"/>
    <cellStyle name="Normal 4 8 3 4 3 3 2" xfId="55996" xr:uid="{00000000-0005-0000-0000-000032850000}"/>
    <cellStyle name="Normal 4 8 3 4 3 4" xfId="24126" xr:uid="{00000000-0005-0000-0000-000033850000}"/>
    <cellStyle name="Normal 4 8 3 4 3 5" xfId="24127" xr:uid="{00000000-0005-0000-0000-000034850000}"/>
    <cellStyle name="Normal 4 8 3 4 3 6" xfId="24128" xr:uid="{00000000-0005-0000-0000-000035850000}"/>
    <cellStyle name="Normal 4 8 3 4 4" xfId="24129" xr:uid="{00000000-0005-0000-0000-000036850000}"/>
    <cellStyle name="Normal 4 8 3 4 4 2" xfId="55997" xr:uid="{00000000-0005-0000-0000-000037850000}"/>
    <cellStyle name="Normal 4 8 3 4 4 3" xfId="55998" xr:uid="{00000000-0005-0000-0000-000038850000}"/>
    <cellStyle name="Normal 4 8 3 4 5" xfId="24130" xr:uid="{00000000-0005-0000-0000-000039850000}"/>
    <cellStyle name="Normal 4 8 3 4 5 2" xfId="55999" xr:uid="{00000000-0005-0000-0000-00003A850000}"/>
    <cellStyle name="Normal 4 8 3 4 6" xfId="24131" xr:uid="{00000000-0005-0000-0000-00003B850000}"/>
    <cellStyle name="Normal 4 8 3 4 7" xfId="24132" xr:uid="{00000000-0005-0000-0000-00003C850000}"/>
    <cellStyle name="Normal 4 8 3 4 8" xfId="24133" xr:uid="{00000000-0005-0000-0000-00003D850000}"/>
    <cellStyle name="Normal 4 8 3 5" xfId="24134" xr:uid="{00000000-0005-0000-0000-00003E850000}"/>
    <cellStyle name="Normal 4 8 3 5 2" xfId="24135" xr:uid="{00000000-0005-0000-0000-00003F850000}"/>
    <cellStyle name="Normal 4 8 3 5 2 2" xfId="24136" xr:uid="{00000000-0005-0000-0000-000040850000}"/>
    <cellStyle name="Normal 4 8 3 5 2 2 2" xfId="56000" xr:uid="{00000000-0005-0000-0000-000041850000}"/>
    <cellStyle name="Normal 4 8 3 5 2 2 3" xfId="56001" xr:uid="{00000000-0005-0000-0000-000042850000}"/>
    <cellStyle name="Normal 4 8 3 5 2 3" xfId="24137" xr:uid="{00000000-0005-0000-0000-000043850000}"/>
    <cellStyle name="Normal 4 8 3 5 2 3 2" xfId="56002" xr:uid="{00000000-0005-0000-0000-000044850000}"/>
    <cellStyle name="Normal 4 8 3 5 2 4" xfId="24138" xr:uid="{00000000-0005-0000-0000-000045850000}"/>
    <cellStyle name="Normal 4 8 3 5 2 5" xfId="24139" xr:uid="{00000000-0005-0000-0000-000046850000}"/>
    <cellStyle name="Normal 4 8 3 5 2 6" xfId="24140" xr:uid="{00000000-0005-0000-0000-000047850000}"/>
    <cellStyle name="Normal 4 8 3 5 3" xfId="24141" xr:uid="{00000000-0005-0000-0000-000048850000}"/>
    <cellStyle name="Normal 4 8 3 5 3 2" xfId="56003" xr:uid="{00000000-0005-0000-0000-000049850000}"/>
    <cellStyle name="Normal 4 8 3 5 3 3" xfId="56004" xr:uid="{00000000-0005-0000-0000-00004A850000}"/>
    <cellStyle name="Normal 4 8 3 5 4" xfId="24142" xr:uid="{00000000-0005-0000-0000-00004B850000}"/>
    <cellStyle name="Normal 4 8 3 5 4 2" xfId="56005" xr:uid="{00000000-0005-0000-0000-00004C850000}"/>
    <cellStyle name="Normal 4 8 3 5 5" xfId="24143" xr:uid="{00000000-0005-0000-0000-00004D850000}"/>
    <cellStyle name="Normal 4 8 3 5 6" xfId="24144" xr:uid="{00000000-0005-0000-0000-00004E850000}"/>
    <cellStyle name="Normal 4 8 3 5 7" xfId="24145" xr:uid="{00000000-0005-0000-0000-00004F850000}"/>
    <cellStyle name="Normal 4 8 3 6" xfId="24146" xr:uid="{00000000-0005-0000-0000-000050850000}"/>
    <cellStyle name="Normal 4 8 3 6 2" xfId="24147" xr:uid="{00000000-0005-0000-0000-000051850000}"/>
    <cellStyle name="Normal 4 8 3 6 2 2" xfId="56006" xr:uid="{00000000-0005-0000-0000-000052850000}"/>
    <cellStyle name="Normal 4 8 3 6 2 3" xfId="56007" xr:uid="{00000000-0005-0000-0000-000053850000}"/>
    <cellStyle name="Normal 4 8 3 6 3" xfId="24148" xr:uid="{00000000-0005-0000-0000-000054850000}"/>
    <cellStyle name="Normal 4 8 3 6 3 2" xfId="56008" xr:uid="{00000000-0005-0000-0000-000055850000}"/>
    <cellStyle name="Normal 4 8 3 6 4" xfId="24149" xr:uid="{00000000-0005-0000-0000-000056850000}"/>
    <cellStyle name="Normal 4 8 3 6 5" xfId="24150" xr:uid="{00000000-0005-0000-0000-000057850000}"/>
    <cellStyle name="Normal 4 8 3 6 6" xfId="24151" xr:uid="{00000000-0005-0000-0000-000058850000}"/>
    <cellStyle name="Normal 4 8 3 7" xfId="24152" xr:uid="{00000000-0005-0000-0000-000059850000}"/>
    <cellStyle name="Normal 4 8 3 7 2" xfId="56009" xr:uid="{00000000-0005-0000-0000-00005A850000}"/>
    <cellStyle name="Normal 4 8 3 7 3" xfId="56010" xr:uid="{00000000-0005-0000-0000-00005B850000}"/>
    <cellStyle name="Normal 4 8 3 8" xfId="24153" xr:uid="{00000000-0005-0000-0000-00005C850000}"/>
    <cellStyle name="Normal 4 8 3 8 2" xfId="56011" xr:uid="{00000000-0005-0000-0000-00005D850000}"/>
    <cellStyle name="Normal 4 8 3 9" xfId="24154" xr:uid="{00000000-0005-0000-0000-00005E850000}"/>
    <cellStyle name="Normal 4 8 4" xfId="24155" xr:uid="{00000000-0005-0000-0000-00005F850000}"/>
    <cellStyle name="Normal 4 8 4 10" xfId="24156" xr:uid="{00000000-0005-0000-0000-000060850000}"/>
    <cellStyle name="Normal 4 8 4 11" xfId="24157" xr:uid="{00000000-0005-0000-0000-000061850000}"/>
    <cellStyle name="Normal 4 8 4 12" xfId="24158" xr:uid="{00000000-0005-0000-0000-000062850000}"/>
    <cellStyle name="Normal 4 8 4 13" xfId="24159" xr:uid="{00000000-0005-0000-0000-000063850000}"/>
    <cellStyle name="Normal 4 8 4 14" xfId="24160" xr:uid="{00000000-0005-0000-0000-000064850000}"/>
    <cellStyle name="Normal 4 8 4 2" xfId="24161" xr:uid="{00000000-0005-0000-0000-000065850000}"/>
    <cellStyle name="Normal 4 8 4 2 2" xfId="24162" xr:uid="{00000000-0005-0000-0000-000066850000}"/>
    <cellStyle name="Normal 4 8 4 2 2 2" xfId="24163" xr:uid="{00000000-0005-0000-0000-000067850000}"/>
    <cellStyle name="Normal 4 8 4 2 2 2 2" xfId="24164" xr:uid="{00000000-0005-0000-0000-000068850000}"/>
    <cellStyle name="Normal 4 8 4 2 2 2 2 2" xfId="56012" xr:uid="{00000000-0005-0000-0000-000069850000}"/>
    <cellStyle name="Normal 4 8 4 2 2 2 2 3" xfId="56013" xr:uid="{00000000-0005-0000-0000-00006A850000}"/>
    <cellStyle name="Normal 4 8 4 2 2 2 3" xfId="24165" xr:uid="{00000000-0005-0000-0000-00006B850000}"/>
    <cellStyle name="Normal 4 8 4 2 2 2 3 2" xfId="56014" xr:uid="{00000000-0005-0000-0000-00006C850000}"/>
    <cellStyle name="Normal 4 8 4 2 2 2 4" xfId="24166" xr:uid="{00000000-0005-0000-0000-00006D850000}"/>
    <cellStyle name="Normal 4 8 4 2 2 2 5" xfId="24167" xr:uid="{00000000-0005-0000-0000-00006E850000}"/>
    <cellStyle name="Normal 4 8 4 2 2 2 6" xfId="24168" xr:uid="{00000000-0005-0000-0000-00006F850000}"/>
    <cellStyle name="Normal 4 8 4 2 2 3" xfId="24169" xr:uid="{00000000-0005-0000-0000-000070850000}"/>
    <cellStyle name="Normal 4 8 4 2 2 3 2" xfId="56015" xr:uid="{00000000-0005-0000-0000-000071850000}"/>
    <cellStyle name="Normal 4 8 4 2 2 3 3" xfId="56016" xr:uid="{00000000-0005-0000-0000-000072850000}"/>
    <cellStyle name="Normal 4 8 4 2 2 4" xfId="24170" xr:uid="{00000000-0005-0000-0000-000073850000}"/>
    <cellStyle name="Normal 4 8 4 2 2 4 2" xfId="56017" xr:uid="{00000000-0005-0000-0000-000074850000}"/>
    <cellStyle name="Normal 4 8 4 2 2 5" xfId="24171" xr:uid="{00000000-0005-0000-0000-000075850000}"/>
    <cellStyle name="Normal 4 8 4 2 2 6" xfId="24172" xr:uid="{00000000-0005-0000-0000-000076850000}"/>
    <cellStyle name="Normal 4 8 4 2 2 7" xfId="24173" xr:uid="{00000000-0005-0000-0000-000077850000}"/>
    <cellStyle name="Normal 4 8 4 2 3" xfId="24174" xr:uid="{00000000-0005-0000-0000-000078850000}"/>
    <cellStyle name="Normal 4 8 4 2 3 2" xfId="24175" xr:uid="{00000000-0005-0000-0000-000079850000}"/>
    <cellStyle name="Normal 4 8 4 2 3 2 2" xfId="56018" xr:uid="{00000000-0005-0000-0000-00007A850000}"/>
    <cellStyle name="Normal 4 8 4 2 3 2 3" xfId="56019" xr:uid="{00000000-0005-0000-0000-00007B850000}"/>
    <cellStyle name="Normal 4 8 4 2 3 3" xfId="24176" xr:uid="{00000000-0005-0000-0000-00007C850000}"/>
    <cellStyle name="Normal 4 8 4 2 3 3 2" xfId="56020" xr:uid="{00000000-0005-0000-0000-00007D850000}"/>
    <cellStyle name="Normal 4 8 4 2 3 4" xfId="24177" xr:uid="{00000000-0005-0000-0000-00007E850000}"/>
    <cellStyle name="Normal 4 8 4 2 3 5" xfId="24178" xr:uid="{00000000-0005-0000-0000-00007F850000}"/>
    <cellStyle name="Normal 4 8 4 2 3 6" xfId="24179" xr:uid="{00000000-0005-0000-0000-000080850000}"/>
    <cellStyle name="Normal 4 8 4 2 4" xfId="24180" xr:uid="{00000000-0005-0000-0000-000081850000}"/>
    <cellStyle name="Normal 4 8 4 2 4 2" xfId="56021" xr:uid="{00000000-0005-0000-0000-000082850000}"/>
    <cellStyle name="Normal 4 8 4 2 4 3" xfId="56022" xr:uid="{00000000-0005-0000-0000-000083850000}"/>
    <cellStyle name="Normal 4 8 4 2 5" xfId="24181" xr:uid="{00000000-0005-0000-0000-000084850000}"/>
    <cellStyle name="Normal 4 8 4 2 5 2" xfId="56023" xr:uid="{00000000-0005-0000-0000-000085850000}"/>
    <cellStyle name="Normal 4 8 4 2 6" xfId="24182" xr:uid="{00000000-0005-0000-0000-000086850000}"/>
    <cellStyle name="Normal 4 8 4 2 7" xfId="24183" xr:uid="{00000000-0005-0000-0000-000087850000}"/>
    <cellStyle name="Normal 4 8 4 2 8" xfId="24184" xr:uid="{00000000-0005-0000-0000-000088850000}"/>
    <cellStyle name="Normal 4 8 4 2 9" xfId="24185" xr:uid="{00000000-0005-0000-0000-000089850000}"/>
    <cellStyle name="Normal 4 8 4 3" xfId="24186" xr:uid="{00000000-0005-0000-0000-00008A850000}"/>
    <cellStyle name="Normal 4 8 4 3 2" xfId="24187" xr:uid="{00000000-0005-0000-0000-00008B850000}"/>
    <cellStyle name="Normal 4 8 4 3 2 2" xfId="24188" xr:uid="{00000000-0005-0000-0000-00008C850000}"/>
    <cellStyle name="Normal 4 8 4 3 2 2 2" xfId="24189" xr:uid="{00000000-0005-0000-0000-00008D850000}"/>
    <cellStyle name="Normal 4 8 4 3 2 2 2 2" xfId="56024" xr:uid="{00000000-0005-0000-0000-00008E850000}"/>
    <cellStyle name="Normal 4 8 4 3 2 2 2 3" xfId="56025" xr:uid="{00000000-0005-0000-0000-00008F850000}"/>
    <cellStyle name="Normal 4 8 4 3 2 2 3" xfId="24190" xr:uid="{00000000-0005-0000-0000-000090850000}"/>
    <cellStyle name="Normal 4 8 4 3 2 2 3 2" xfId="56026" xr:uid="{00000000-0005-0000-0000-000091850000}"/>
    <cellStyle name="Normal 4 8 4 3 2 2 4" xfId="24191" xr:uid="{00000000-0005-0000-0000-000092850000}"/>
    <cellStyle name="Normal 4 8 4 3 2 2 5" xfId="24192" xr:uid="{00000000-0005-0000-0000-000093850000}"/>
    <cellStyle name="Normal 4 8 4 3 2 2 6" xfId="24193" xr:uid="{00000000-0005-0000-0000-000094850000}"/>
    <cellStyle name="Normal 4 8 4 3 2 3" xfId="24194" xr:uid="{00000000-0005-0000-0000-000095850000}"/>
    <cellStyle name="Normal 4 8 4 3 2 3 2" xfId="56027" xr:uid="{00000000-0005-0000-0000-000096850000}"/>
    <cellStyle name="Normal 4 8 4 3 2 3 3" xfId="56028" xr:uid="{00000000-0005-0000-0000-000097850000}"/>
    <cellStyle name="Normal 4 8 4 3 2 4" xfId="24195" xr:uid="{00000000-0005-0000-0000-000098850000}"/>
    <cellStyle name="Normal 4 8 4 3 2 4 2" xfId="56029" xr:uid="{00000000-0005-0000-0000-000099850000}"/>
    <cellStyle name="Normal 4 8 4 3 2 5" xfId="24196" xr:uid="{00000000-0005-0000-0000-00009A850000}"/>
    <cellStyle name="Normal 4 8 4 3 2 6" xfId="24197" xr:uid="{00000000-0005-0000-0000-00009B850000}"/>
    <cellStyle name="Normal 4 8 4 3 2 7" xfId="24198" xr:uid="{00000000-0005-0000-0000-00009C850000}"/>
    <cellStyle name="Normal 4 8 4 3 3" xfId="24199" xr:uid="{00000000-0005-0000-0000-00009D850000}"/>
    <cellStyle name="Normal 4 8 4 3 3 2" xfId="24200" xr:uid="{00000000-0005-0000-0000-00009E850000}"/>
    <cellStyle name="Normal 4 8 4 3 3 2 2" xfId="56030" xr:uid="{00000000-0005-0000-0000-00009F850000}"/>
    <cellStyle name="Normal 4 8 4 3 3 2 3" xfId="56031" xr:uid="{00000000-0005-0000-0000-0000A0850000}"/>
    <cellStyle name="Normal 4 8 4 3 3 3" xfId="24201" xr:uid="{00000000-0005-0000-0000-0000A1850000}"/>
    <cellStyle name="Normal 4 8 4 3 3 3 2" xfId="56032" xr:uid="{00000000-0005-0000-0000-0000A2850000}"/>
    <cellStyle name="Normal 4 8 4 3 3 4" xfId="24202" xr:uid="{00000000-0005-0000-0000-0000A3850000}"/>
    <cellStyle name="Normal 4 8 4 3 3 5" xfId="24203" xr:uid="{00000000-0005-0000-0000-0000A4850000}"/>
    <cellStyle name="Normal 4 8 4 3 3 6" xfId="24204" xr:uid="{00000000-0005-0000-0000-0000A5850000}"/>
    <cellStyle name="Normal 4 8 4 3 4" xfId="24205" xr:uid="{00000000-0005-0000-0000-0000A6850000}"/>
    <cellStyle name="Normal 4 8 4 3 4 2" xfId="56033" xr:uid="{00000000-0005-0000-0000-0000A7850000}"/>
    <cellStyle name="Normal 4 8 4 3 4 3" xfId="56034" xr:uid="{00000000-0005-0000-0000-0000A8850000}"/>
    <cellStyle name="Normal 4 8 4 3 5" xfId="24206" xr:uid="{00000000-0005-0000-0000-0000A9850000}"/>
    <cellStyle name="Normal 4 8 4 3 5 2" xfId="56035" xr:uid="{00000000-0005-0000-0000-0000AA850000}"/>
    <cellStyle name="Normal 4 8 4 3 6" xfId="24207" xr:uid="{00000000-0005-0000-0000-0000AB850000}"/>
    <cellStyle name="Normal 4 8 4 3 7" xfId="24208" xr:uid="{00000000-0005-0000-0000-0000AC850000}"/>
    <cellStyle name="Normal 4 8 4 3 8" xfId="24209" xr:uid="{00000000-0005-0000-0000-0000AD850000}"/>
    <cellStyle name="Normal 4 8 4 4" xfId="24210" xr:uid="{00000000-0005-0000-0000-0000AE850000}"/>
    <cellStyle name="Normal 4 8 4 4 2" xfId="24211" xr:uid="{00000000-0005-0000-0000-0000AF850000}"/>
    <cellStyle name="Normal 4 8 4 4 2 2" xfId="24212" xr:uid="{00000000-0005-0000-0000-0000B0850000}"/>
    <cellStyle name="Normal 4 8 4 4 2 2 2" xfId="56036" xr:uid="{00000000-0005-0000-0000-0000B1850000}"/>
    <cellStyle name="Normal 4 8 4 4 2 2 3" xfId="56037" xr:uid="{00000000-0005-0000-0000-0000B2850000}"/>
    <cellStyle name="Normal 4 8 4 4 2 3" xfId="24213" xr:uid="{00000000-0005-0000-0000-0000B3850000}"/>
    <cellStyle name="Normal 4 8 4 4 2 3 2" xfId="56038" xr:uid="{00000000-0005-0000-0000-0000B4850000}"/>
    <cellStyle name="Normal 4 8 4 4 2 4" xfId="24214" xr:uid="{00000000-0005-0000-0000-0000B5850000}"/>
    <cellStyle name="Normal 4 8 4 4 2 5" xfId="24215" xr:uid="{00000000-0005-0000-0000-0000B6850000}"/>
    <cellStyle name="Normal 4 8 4 4 2 6" xfId="24216" xr:uid="{00000000-0005-0000-0000-0000B7850000}"/>
    <cellStyle name="Normal 4 8 4 4 3" xfId="24217" xr:uid="{00000000-0005-0000-0000-0000B8850000}"/>
    <cellStyle name="Normal 4 8 4 4 3 2" xfId="56039" xr:uid="{00000000-0005-0000-0000-0000B9850000}"/>
    <cellStyle name="Normal 4 8 4 4 3 3" xfId="56040" xr:uid="{00000000-0005-0000-0000-0000BA850000}"/>
    <cellStyle name="Normal 4 8 4 4 4" xfId="24218" xr:uid="{00000000-0005-0000-0000-0000BB850000}"/>
    <cellStyle name="Normal 4 8 4 4 4 2" xfId="56041" xr:uid="{00000000-0005-0000-0000-0000BC850000}"/>
    <cellStyle name="Normal 4 8 4 4 5" xfId="24219" xr:uid="{00000000-0005-0000-0000-0000BD850000}"/>
    <cellStyle name="Normal 4 8 4 4 6" xfId="24220" xr:uid="{00000000-0005-0000-0000-0000BE850000}"/>
    <cellStyle name="Normal 4 8 4 4 7" xfId="24221" xr:uid="{00000000-0005-0000-0000-0000BF850000}"/>
    <cellStyle name="Normal 4 8 4 5" xfId="24222" xr:uid="{00000000-0005-0000-0000-0000C0850000}"/>
    <cellStyle name="Normal 4 8 4 5 2" xfId="24223" xr:uid="{00000000-0005-0000-0000-0000C1850000}"/>
    <cellStyle name="Normal 4 8 4 5 2 2" xfId="56042" xr:uid="{00000000-0005-0000-0000-0000C2850000}"/>
    <cellStyle name="Normal 4 8 4 5 2 3" xfId="56043" xr:uid="{00000000-0005-0000-0000-0000C3850000}"/>
    <cellStyle name="Normal 4 8 4 5 3" xfId="24224" xr:uid="{00000000-0005-0000-0000-0000C4850000}"/>
    <cellStyle name="Normal 4 8 4 5 3 2" xfId="56044" xr:uid="{00000000-0005-0000-0000-0000C5850000}"/>
    <cellStyle name="Normal 4 8 4 5 4" xfId="24225" xr:uid="{00000000-0005-0000-0000-0000C6850000}"/>
    <cellStyle name="Normal 4 8 4 5 5" xfId="24226" xr:uid="{00000000-0005-0000-0000-0000C7850000}"/>
    <cellStyle name="Normal 4 8 4 5 6" xfId="24227" xr:uid="{00000000-0005-0000-0000-0000C8850000}"/>
    <cellStyle name="Normal 4 8 4 6" xfId="24228" xr:uid="{00000000-0005-0000-0000-0000C9850000}"/>
    <cellStyle name="Normal 4 8 4 6 2" xfId="56045" xr:uid="{00000000-0005-0000-0000-0000CA850000}"/>
    <cellStyle name="Normal 4 8 4 6 3" xfId="56046" xr:uid="{00000000-0005-0000-0000-0000CB850000}"/>
    <cellStyle name="Normal 4 8 4 7" xfId="24229" xr:uid="{00000000-0005-0000-0000-0000CC850000}"/>
    <cellStyle name="Normal 4 8 4 7 2" xfId="56047" xr:uid="{00000000-0005-0000-0000-0000CD850000}"/>
    <cellStyle name="Normal 4 8 4 8" xfId="24230" xr:uid="{00000000-0005-0000-0000-0000CE850000}"/>
    <cellStyle name="Normal 4 8 4 9" xfId="24231" xr:uid="{00000000-0005-0000-0000-0000CF850000}"/>
    <cellStyle name="Normal 4 8 5" xfId="24232" xr:uid="{00000000-0005-0000-0000-0000D0850000}"/>
    <cellStyle name="Normal 4 8 5 10" xfId="24233" xr:uid="{00000000-0005-0000-0000-0000D1850000}"/>
    <cellStyle name="Normal 4 8 5 11" xfId="24234" xr:uid="{00000000-0005-0000-0000-0000D2850000}"/>
    <cellStyle name="Normal 4 8 5 12" xfId="24235" xr:uid="{00000000-0005-0000-0000-0000D3850000}"/>
    <cellStyle name="Normal 4 8 5 13" xfId="24236" xr:uid="{00000000-0005-0000-0000-0000D4850000}"/>
    <cellStyle name="Normal 4 8 5 14" xfId="24237" xr:uid="{00000000-0005-0000-0000-0000D5850000}"/>
    <cellStyle name="Normal 4 8 5 2" xfId="24238" xr:uid="{00000000-0005-0000-0000-0000D6850000}"/>
    <cellStyle name="Normal 4 8 5 2 2" xfId="24239" xr:uid="{00000000-0005-0000-0000-0000D7850000}"/>
    <cellStyle name="Normal 4 8 5 2 2 2" xfId="24240" xr:uid="{00000000-0005-0000-0000-0000D8850000}"/>
    <cellStyle name="Normal 4 8 5 2 2 2 2" xfId="24241" xr:uid="{00000000-0005-0000-0000-0000D9850000}"/>
    <cellStyle name="Normal 4 8 5 2 2 2 2 2" xfId="56048" xr:uid="{00000000-0005-0000-0000-0000DA850000}"/>
    <cellStyle name="Normal 4 8 5 2 2 2 2 3" xfId="56049" xr:uid="{00000000-0005-0000-0000-0000DB850000}"/>
    <cellStyle name="Normal 4 8 5 2 2 2 3" xfId="24242" xr:uid="{00000000-0005-0000-0000-0000DC850000}"/>
    <cellStyle name="Normal 4 8 5 2 2 2 3 2" xfId="56050" xr:uid="{00000000-0005-0000-0000-0000DD850000}"/>
    <cellStyle name="Normal 4 8 5 2 2 2 4" xfId="24243" xr:uid="{00000000-0005-0000-0000-0000DE850000}"/>
    <cellStyle name="Normal 4 8 5 2 2 2 5" xfId="24244" xr:uid="{00000000-0005-0000-0000-0000DF850000}"/>
    <cellStyle name="Normal 4 8 5 2 2 2 6" xfId="24245" xr:uid="{00000000-0005-0000-0000-0000E0850000}"/>
    <cellStyle name="Normal 4 8 5 2 2 3" xfId="24246" xr:uid="{00000000-0005-0000-0000-0000E1850000}"/>
    <cellStyle name="Normal 4 8 5 2 2 3 2" xfId="56051" xr:uid="{00000000-0005-0000-0000-0000E2850000}"/>
    <cellStyle name="Normal 4 8 5 2 2 3 3" xfId="56052" xr:uid="{00000000-0005-0000-0000-0000E3850000}"/>
    <cellStyle name="Normal 4 8 5 2 2 4" xfId="24247" xr:uid="{00000000-0005-0000-0000-0000E4850000}"/>
    <cellStyle name="Normal 4 8 5 2 2 4 2" xfId="56053" xr:uid="{00000000-0005-0000-0000-0000E5850000}"/>
    <cellStyle name="Normal 4 8 5 2 2 5" xfId="24248" xr:uid="{00000000-0005-0000-0000-0000E6850000}"/>
    <cellStyle name="Normal 4 8 5 2 2 6" xfId="24249" xr:uid="{00000000-0005-0000-0000-0000E7850000}"/>
    <cellStyle name="Normal 4 8 5 2 2 7" xfId="24250" xr:uid="{00000000-0005-0000-0000-0000E8850000}"/>
    <cellStyle name="Normal 4 8 5 2 3" xfId="24251" xr:uid="{00000000-0005-0000-0000-0000E9850000}"/>
    <cellStyle name="Normal 4 8 5 2 3 2" xfId="24252" xr:uid="{00000000-0005-0000-0000-0000EA850000}"/>
    <cellStyle name="Normal 4 8 5 2 3 2 2" xfId="56054" xr:uid="{00000000-0005-0000-0000-0000EB850000}"/>
    <cellStyle name="Normal 4 8 5 2 3 2 3" xfId="56055" xr:uid="{00000000-0005-0000-0000-0000EC850000}"/>
    <cellStyle name="Normal 4 8 5 2 3 3" xfId="24253" xr:uid="{00000000-0005-0000-0000-0000ED850000}"/>
    <cellStyle name="Normal 4 8 5 2 3 3 2" xfId="56056" xr:uid="{00000000-0005-0000-0000-0000EE850000}"/>
    <cellStyle name="Normal 4 8 5 2 3 4" xfId="24254" xr:uid="{00000000-0005-0000-0000-0000EF850000}"/>
    <cellStyle name="Normal 4 8 5 2 3 5" xfId="24255" xr:uid="{00000000-0005-0000-0000-0000F0850000}"/>
    <cellStyle name="Normal 4 8 5 2 3 6" xfId="24256" xr:uid="{00000000-0005-0000-0000-0000F1850000}"/>
    <cellStyle name="Normal 4 8 5 2 4" xfId="24257" xr:uid="{00000000-0005-0000-0000-0000F2850000}"/>
    <cellStyle name="Normal 4 8 5 2 4 2" xfId="56057" xr:uid="{00000000-0005-0000-0000-0000F3850000}"/>
    <cellStyle name="Normal 4 8 5 2 4 3" xfId="56058" xr:uid="{00000000-0005-0000-0000-0000F4850000}"/>
    <cellStyle name="Normal 4 8 5 2 5" xfId="24258" xr:uid="{00000000-0005-0000-0000-0000F5850000}"/>
    <cellStyle name="Normal 4 8 5 2 5 2" xfId="56059" xr:uid="{00000000-0005-0000-0000-0000F6850000}"/>
    <cellStyle name="Normal 4 8 5 2 6" xfId="24259" xr:uid="{00000000-0005-0000-0000-0000F7850000}"/>
    <cellStyle name="Normal 4 8 5 2 7" xfId="24260" xr:uid="{00000000-0005-0000-0000-0000F8850000}"/>
    <cellStyle name="Normal 4 8 5 2 8" xfId="24261" xr:uid="{00000000-0005-0000-0000-0000F9850000}"/>
    <cellStyle name="Normal 4 8 5 2 9" xfId="24262" xr:uid="{00000000-0005-0000-0000-0000FA850000}"/>
    <cellStyle name="Normal 4 8 5 3" xfId="24263" xr:uid="{00000000-0005-0000-0000-0000FB850000}"/>
    <cellStyle name="Normal 4 8 5 3 2" xfId="24264" xr:uid="{00000000-0005-0000-0000-0000FC850000}"/>
    <cellStyle name="Normal 4 8 5 3 2 2" xfId="24265" xr:uid="{00000000-0005-0000-0000-0000FD850000}"/>
    <cellStyle name="Normal 4 8 5 3 2 2 2" xfId="24266" xr:uid="{00000000-0005-0000-0000-0000FE850000}"/>
    <cellStyle name="Normal 4 8 5 3 2 2 2 2" xfId="56060" xr:uid="{00000000-0005-0000-0000-0000FF850000}"/>
    <cellStyle name="Normal 4 8 5 3 2 2 2 3" xfId="56061" xr:uid="{00000000-0005-0000-0000-000000860000}"/>
    <cellStyle name="Normal 4 8 5 3 2 2 3" xfId="24267" xr:uid="{00000000-0005-0000-0000-000001860000}"/>
    <cellStyle name="Normal 4 8 5 3 2 2 3 2" xfId="56062" xr:uid="{00000000-0005-0000-0000-000002860000}"/>
    <cellStyle name="Normal 4 8 5 3 2 2 4" xfId="24268" xr:uid="{00000000-0005-0000-0000-000003860000}"/>
    <cellStyle name="Normal 4 8 5 3 2 2 5" xfId="24269" xr:uid="{00000000-0005-0000-0000-000004860000}"/>
    <cellStyle name="Normal 4 8 5 3 2 2 6" xfId="24270" xr:uid="{00000000-0005-0000-0000-000005860000}"/>
    <cellStyle name="Normal 4 8 5 3 2 3" xfId="24271" xr:uid="{00000000-0005-0000-0000-000006860000}"/>
    <cellStyle name="Normal 4 8 5 3 2 3 2" xfId="56063" xr:uid="{00000000-0005-0000-0000-000007860000}"/>
    <cellStyle name="Normal 4 8 5 3 2 3 3" xfId="56064" xr:uid="{00000000-0005-0000-0000-000008860000}"/>
    <cellStyle name="Normal 4 8 5 3 2 4" xfId="24272" xr:uid="{00000000-0005-0000-0000-000009860000}"/>
    <cellStyle name="Normal 4 8 5 3 2 4 2" xfId="56065" xr:uid="{00000000-0005-0000-0000-00000A860000}"/>
    <cellStyle name="Normal 4 8 5 3 2 5" xfId="24273" xr:uid="{00000000-0005-0000-0000-00000B860000}"/>
    <cellStyle name="Normal 4 8 5 3 2 6" xfId="24274" xr:uid="{00000000-0005-0000-0000-00000C860000}"/>
    <cellStyle name="Normal 4 8 5 3 2 7" xfId="24275" xr:uid="{00000000-0005-0000-0000-00000D860000}"/>
    <cellStyle name="Normal 4 8 5 3 3" xfId="24276" xr:uid="{00000000-0005-0000-0000-00000E860000}"/>
    <cellStyle name="Normal 4 8 5 3 3 2" xfId="24277" xr:uid="{00000000-0005-0000-0000-00000F860000}"/>
    <cellStyle name="Normal 4 8 5 3 3 2 2" xfId="56066" xr:uid="{00000000-0005-0000-0000-000010860000}"/>
    <cellStyle name="Normal 4 8 5 3 3 2 3" xfId="56067" xr:uid="{00000000-0005-0000-0000-000011860000}"/>
    <cellStyle name="Normal 4 8 5 3 3 3" xfId="24278" xr:uid="{00000000-0005-0000-0000-000012860000}"/>
    <cellStyle name="Normal 4 8 5 3 3 3 2" xfId="56068" xr:uid="{00000000-0005-0000-0000-000013860000}"/>
    <cellStyle name="Normal 4 8 5 3 3 4" xfId="24279" xr:uid="{00000000-0005-0000-0000-000014860000}"/>
    <cellStyle name="Normal 4 8 5 3 3 5" xfId="24280" xr:uid="{00000000-0005-0000-0000-000015860000}"/>
    <cellStyle name="Normal 4 8 5 3 3 6" xfId="24281" xr:uid="{00000000-0005-0000-0000-000016860000}"/>
    <cellStyle name="Normal 4 8 5 3 4" xfId="24282" xr:uid="{00000000-0005-0000-0000-000017860000}"/>
    <cellStyle name="Normal 4 8 5 3 4 2" xfId="56069" xr:uid="{00000000-0005-0000-0000-000018860000}"/>
    <cellStyle name="Normal 4 8 5 3 4 3" xfId="56070" xr:uid="{00000000-0005-0000-0000-000019860000}"/>
    <cellStyle name="Normal 4 8 5 3 5" xfId="24283" xr:uid="{00000000-0005-0000-0000-00001A860000}"/>
    <cellStyle name="Normal 4 8 5 3 5 2" xfId="56071" xr:uid="{00000000-0005-0000-0000-00001B860000}"/>
    <cellStyle name="Normal 4 8 5 3 6" xfId="24284" xr:uid="{00000000-0005-0000-0000-00001C860000}"/>
    <cellStyle name="Normal 4 8 5 3 7" xfId="24285" xr:uid="{00000000-0005-0000-0000-00001D860000}"/>
    <cellStyle name="Normal 4 8 5 3 8" xfId="24286" xr:uid="{00000000-0005-0000-0000-00001E860000}"/>
    <cellStyle name="Normal 4 8 5 4" xfId="24287" xr:uid="{00000000-0005-0000-0000-00001F860000}"/>
    <cellStyle name="Normal 4 8 5 4 2" xfId="24288" xr:uid="{00000000-0005-0000-0000-000020860000}"/>
    <cellStyle name="Normal 4 8 5 4 2 2" xfId="24289" xr:uid="{00000000-0005-0000-0000-000021860000}"/>
    <cellStyle name="Normal 4 8 5 4 2 2 2" xfId="56072" xr:uid="{00000000-0005-0000-0000-000022860000}"/>
    <cellStyle name="Normal 4 8 5 4 2 2 3" xfId="56073" xr:uid="{00000000-0005-0000-0000-000023860000}"/>
    <cellStyle name="Normal 4 8 5 4 2 3" xfId="24290" xr:uid="{00000000-0005-0000-0000-000024860000}"/>
    <cellStyle name="Normal 4 8 5 4 2 3 2" xfId="56074" xr:uid="{00000000-0005-0000-0000-000025860000}"/>
    <cellStyle name="Normal 4 8 5 4 2 4" xfId="24291" xr:uid="{00000000-0005-0000-0000-000026860000}"/>
    <cellStyle name="Normal 4 8 5 4 2 5" xfId="24292" xr:uid="{00000000-0005-0000-0000-000027860000}"/>
    <cellStyle name="Normal 4 8 5 4 2 6" xfId="24293" xr:uid="{00000000-0005-0000-0000-000028860000}"/>
    <cellStyle name="Normal 4 8 5 4 3" xfId="24294" xr:uid="{00000000-0005-0000-0000-000029860000}"/>
    <cellStyle name="Normal 4 8 5 4 3 2" xfId="56075" xr:uid="{00000000-0005-0000-0000-00002A860000}"/>
    <cellStyle name="Normal 4 8 5 4 3 3" xfId="56076" xr:uid="{00000000-0005-0000-0000-00002B860000}"/>
    <cellStyle name="Normal 4 8 5 4 4" xfId="24295" xr:uid="{00000000-0005-0000-0000-00002C860000}"/>
    <cellStyle name="Normal 4 8 5 4 4 2" xfId="56077" xr:uid="{00000000-0005-0000-0000-00002D860000}"/>
    <cellStyle name="Normal 4 8 5 4 5" xfId="24296" xr:uid="{00000000-0005-0000-0000-00002E860000}"/>
    <cellStyle name="Normal 4 8 5 4 6" xfId="24297" xr:uid="{00000000-0005-0000-0000-00002F860000}"/>
    <cellStyle name="Normal 4 8 5 4 7" xfId="24298" xr:uid="{00000000-0005-0000-0000-000030860000}"/>
    <cellStyle name="Normal 4 8 5 5" xfId="24299" xr:uid="{00000000-0005-0000-0000-000031860000}"/>
    <cellStyle name="Normal 4 8 5 5 2" xfId="24300" xr:uid="{00000000-0005-0000-0000-000032860000}"/>
    <cellStyle name="Normal 4 8 5 5 2 2" xfId="56078" xr:uid="{00000000-0005-0000-0000-000033860000}"/>
    <cellStyle name="Normal 4 8 5 5 2 3" xfId="56079" xr:uid="{00000000-0005-0000-0000-000034860000}"/>
    <cellStyle name="Normal 4 8 5 5 3" xfId="24301" xr:uid="{00000000-0005-0000-0000-000035860000}"/>
    <cellStyle name="Normal 4 8 5 5 3 2" xfId="56080" xr:uid="{00000000-0005-0000-0000-000036860000}"/>
    <cellStyle name="Normal 4 8 5 5 4" xfId="24302" xr:uid="{00000000-0005-0000-0000-000037860000}"/>
    <cellStyle name="Normal 4 8 5 5 5" xfId="24303" xr:uid="{00000000-0005-0000-0000-000038860000}"/>
    <cellStyle name="Normal 4 8 5 5 6" xfId="24304" xr:uid="{00000000-0005-0000-0000-000039860000}"/>
    <cellStyle name="Normal 4 8 5 6" xfId="24305" xr:uid="{00000000-0005-0000-0000-00003A860000}"/>
    <cellStyle name="Normal 4 8 5 6 2" xfId="56081" xr:uid="{00000000-0005-0000-0000-00003B860000}"/>
    <cellStyle name="Normal 4 8 5 6 3" xfId="56082" xr:uid="{00000000-0005-0000-0000-00003C860000}"/>
    <cellStyle name="Normal 4 8 5 7" xfId="24306" xr:uid="{00000000-0005-0000-0000-00003D860000}"/>
    <cellStyle name="Normal 4 8 5 7 2" xfId="56083" xr:uid="{00000000-0005-0000-0000-00003E860000}"/>
    <cellStyle name="Normal 4 8 5 8" xfId="24307" xr:uid="{00000000-0005-0000-0000-00003F860000}"/>
    <cellStyle name="Normal 4 8 5 9" xfId="24308" xr:uid="{00000000-0005-0000-0000-000040860000}"/>
    <cellStyle name="Normal 4 8 6" xfId="24309" xr:uid="{00000000-0005-0000-0000-000041860000}"/>
    <cellStyle name="Normal 4 8 6 10" xfId="24310" xr:uid="{00000000-0005-0000-0000-000042860000}"/>
    <cellStyle name="Normal 4 8 6 11" xfId="24311" xr:uid="{00000000-0005-0000-0000-000043860000}"/>
    <cellStyle name="Normal 4 8 6 12" xfId="24312" xr:uid="{00000000-0005-0000-0000-000044860000}"/>
    <cellStyle name="Normal 4 8 6 13" xfId="24313" xr:uid="{00000000-0005-0000-0000-000045860000}"/>
    <cellStyle name="Normal 4 8 6 2" xfId="24314" xr:uid="{00000000-0005-0000-0000-000046860000}"/>
    <cellStyle name="Normal 4 8 6 2 2" xfId="24315" xr:uid="{00000000-0005-0000-0000-000047860000}"/>
    <cellStyle name="Normal 4 8 6 2 2 2" xfId="24316" xr:uid="{00000000-0005-0000-0000-000048860000}"/>
    <cellStyle name="Normal 4 8 6 2 2 2 2" xfId="24317" xr:uid="{00000000-0005-0000-0000-000049860000}"/>
    <cellStyle name="Normal 4 8 6 2 2 2 2 2" xfId="56084" xr:uid="{00000000-0005-0000-0000-00004A860000}"/>
    <cellStyle name="Normal 4 8 6 2 2 2 2 3" xfId="56085" xr:uid="{00000000-0005-0000-0000-00004B860000}"/>
    <cellStyle name="Normal 4 8 6 2 2 2 3" xfId="24318" xr:uid="{00000000-0005-0000-0000-00004C860000}"/>
    <cellStyle name="Normal 4 8 6 2 2 2 3 2" xfId="56086" xr:uid="{00000000-0005-0000-0000-00004D860000}"/>
    <cellStyle name="Normal 4 8 6 2 2 2 4" xfId="24319" xr:uid="{00000000-0005-0000-0000-00004E860000}"/>
    <cellStyle name="Normal 4 8 6 2 2 2 5" xfId="24320" xr:uid="{00000000-0005-0000-0000-00004F860000}"/>
    <cellStyle name="Normal 4 8 6 2 2 2 6" xfId="24321" xr:uid="{00000000-0005-0000-0000-000050860000}"/>
    <cellStyle name="Normal 4 8 6 2 2 3" xfId="24322" xr:uid="{00000000-0005-0000-0000-000051860000}"/>
    <cellStyle name="Normal 4 8 6 2 2 3 2" xfId="56087" xr:uid="{00000000-0005-0000-0000-000052860000}"/>
    <cellStyle name="Normal 4 8 6 2 2 3 3" xfId="56088" xr:uid="{00000000-0005-0000-0000-000053860000}"/>
    <cellStyle name="Normal 4 8 6 2 2 4" xfId="24323" xr:uid="{00000000-0005-0000-0000-000054860000}"/>
    <cellStyle name="Normal 4 8 6 2 2 4 2" xfId="56089" xr:uid="{00000000-0005-0000-0000-000055860000}"/>
    <cellStyle name="Normal 4 8 6 2 2 5" xfId="24324" xr:uid="{00000000-0005-0000-0000-000056860000}"/>
    <cellStyle name="Normal 4 8 6 2 2 6" xfId="24325" xr:uid="{00000000-0005-0000-0000-000057860000}"/>
    <cellStyle name="Normal 4 8 6 2 2 7" xfId="24326" xr:uid="{00000000-0005-0000-0000-000058860000}"/>
    <cellStyle name="Normal 4 8 6 2 3" xfId="24327" xr:uid="{00000000-0005-0000-0000-000059860000}"/>
    <cellStyle name="Normal 4 8 6 2 3 2" xfId="24328" xr:uid="{00000000-0005-0000-0000-00005A860000}"/>
    <cellStyle name="Normal 4 8 6 2 3 2 2" xfId="56090" xr:uid="{00000000-0005-0000-0000-00005B860000}"/>
    <cellStyle name="Normal 4 8 6 2 3 2 3" xfId="56091" xr:uid="{00000000-0005-0000-0000-00005C860000}"/>
    <cellStyle name="Normal 4 8 6 2 3 3" xfId="24329" xr:uid="{00000000-0005-0000-0000-00005D860000}"/>
    <cellStyle name="Normal 4 8 6 2 3 3 2" xfId="56092" xr:uid="{00000000-0005-0000-0000-00005E860000}"/>
    <cellStyle name="Normal 4 8 6 2 3 4" xfId="24330" xr:uid="{00000000-0005-0000-0000-00005F860000}"/>
    <cellStyle name="Normal 4 8 6 2 3 5" xfId="24331" xr:uid="{00000000-0005-0000-0000-000060860000}"/>
    <cellStyle name="Normal 4 8 6 2 3 6" xfId="24332" xr:uid="{00000000-0005-0000-0000-000061860000}"/>
    <cellStyle name="Normal 4 8 6 2 4" xfId="24333" xr:uid="{00000000-0005-0000-0000-000062860000}"/>
    <cellStyle name="Normal 4 8 6 2 4 2" xfId="56093" xr:uid="{00000000-0005-0000-0000-000063860000}"/>
    <cellStyle name="Normal 4 8 6 2 4 3" xfId="56094" xr:uid="{00000000-0005-0000-0000-000064860000}"/>
    <cellStyle name="Normal 4 8 6 2 5" xfId="24334" xr:uid="{00000000-0005-0000-0000-000065860000}"/>
    <cellStyle name="Normal 4 8 6 2 5 2" xfId="56095" xr:uid="{00000000-0005-0000-0000-000066860000}"/>
    <cellStyle name="Normal 4 8 6 2 6" xfId="24335" xr:uid="{00000000-0005-0000-0000-000067860000}"/>
    <cellStyle name="Normal 4 8 6 2 7" xfId="24336" xr:uid="{00000000-0005-0000-0000-000068860000}"/>
    <cellStyle name="Normal 4 8 6 2 8" xfId="24337" xr:uid="{00000000-0005-0000-0000-000069860000}"/>
    <cellStyle name="Normal 4 8 6 2 9" xfId="24338" xr:uid="{00000000-0005-0000-0000-00006A860000}"/>
    <cellStyle name="Normal 4 8 6 3" xfId="24339" xr:uid="{00000000-0005-0000-0000-00006B860000}"/>
    <cellStyle name="Normal 4 8 6 3 2" xfId="24340" xr:uid="{00000000-0005-0000-0000-00006C860000}"/>
    <cellStyle name="Normal 4 8 6 3 2 2" xfId="24341" xr:uid="{00000000-0005-0000-0000-00006D860000}"/>
    <cellStyle name="Normal 4 8 6 3 2 2 2" xfId="56096" xr:uid="{00000000-0005-0000-0000-00006E860000}"/>
    <cellStyle name="Normal 4 8 6 3 2 2 3" xfId="56097" xr:uid="{00000000-0005-0000-0000-00006F860000}"/>
    <cellStyle name="Normal 4 8 6 3 2 3" xfId="24342" xr:uid="{00000000-0005-0000-0000-000070860000}"/>
    <cellStyle name="Normal 4 8 6 3 2 3 2" xfId="56098" xr:uid="{00000000-0005-0000-0000-000071860000}"/>
    <cellStyle name="Normal 4 8 6 3 2 4" xfId="24343" xr:uid="{00000000-0005-0000-0000-000072860000}"/>
    <cellStyle name="Normal 4 8 6 3 2 5" xfId="24344" xr:uid="{00000000-0005-0000-0000-000073860000}"/>
    <cellStyle name="Normal 4 8 6 3 2 6" xfId="24345" xr:uid="{00000000-0005-0000-0000-000074860000}"/>
    <cellStyle name="Normal 4 8 6 3 3" xfId="24346" xr:uid="{00000000-0005-0000-0000-000075860000}"/>
    <cellStyle name="Normal 4 8 6 3 3 2" xfId="56099" xr:uid="{00000000-0005-0000-0000-000076860000}"/>
    <cellStyle name="Normal 4 8 6 3 3 3" xfId="56100" xr:uid="{00000000-0005-0000-0000-000077860000}"/>
    <cellStyle name="Normal 4 8 6 3 4" xfId="24347" xr:uid="{00000000-0005-0000-0000-000078860000}"/>
    <cellStyle name="Normal 4 8 6 3 4 2" xfId="56101" xr:uid="{00000000-0005-0000-0000-000079860000}"/>
    <cellStyle name="Normal 4 8 6 3 5" xfId="24348" xr:uid="{00000000-0005-0000-0000-00007A860000}"/>
    <cellStyle name="Normal 4 8 6 3 6" xfId="24349" xr:uid="{00000000-0005-0000-0000-00007B860000}"/>
    <cellStyle name="Normal 4 8 6 3 7" xfId="24350" xr:uid="{00000000-0005-0000-0000-00007C860000}"/>
    <cellStyle name="Normal 4 8 6 4" xfId="24351" xr:uid="{00000000-0005-0000-0000-00007D860000}"/>
    <cellStyle name="Normal 4 8 6 4 2" xfId="24352" xr:uid="{00000000-0005-0000-0000-00007E860000}"/>
    <cellStyle name="Normal 4 8 6 4 2 2" xfId="56102" xr:uid="{00000000-0005-0000-0000-00007F860000}"/>
    <cellStyle name="Normal 4 8 6 4 2 3" xfId="56103" xr:uid="{00000000-0005-0000-0000-000080860000}"/>
    <cellStyle name="Normal 4 8 6 4 3" xfId="24353" xr:uid="{00000000-0005-0000-0000-000081860000}"/>
    <cellStyle name="Normal 4 8 6 4 3 2" xfId="56104" xr:uid="{00000000-0005-0000-0000-000082860000}"/>
    <cellStyle name="Normal 4 8 6 4 4" xfId="24354" xr:uid="{00000000-0005-0000-0000-000083860000}"/>
    <cellStyle name="Normal 4 8 6 4 5" xfId="24355" xr:uid="{00000000-0005-0000-0000-000084860000}"/>
    <cellStyle name="Normal 4 8 6 4 6" xfId="24356" xr:uid="{00000000-0005-0000-0000-000085860000}"/>
    <cellStyle name="Normal 4 8 6 5" xfId="24357" xr:uid="{00000000-0005-0000-0000-000086860000}"/>
    <cellStyle name="Normal 4 8 6 5 2" xfId="56105" xr:uid="{00000000-0005-0000-0000-000087860000}"/>
    <cellStyle name="Normal 4 8 6 5 3" xfId="56106" xr:uid="{00000000-0005-0000-0000-000088860000}"/>
    <cellStyle name="Normal 4 8 6 6" xfId="24358" xr:uid="{00000000-0005-0000-0000-000089860000}"/>
    <cellStyle name="Normal 4 8 6 6 2" xfId="56107" xr:uid="{00000000-0005-0000-0000-00008A860000}"/>
    <cellStyle name="Normal 4 8 6 7" xfId="24359" xr:uid="{00000000-0005-0000-0000-00008B860000}"/>
    <cellStyle name="Normal 4 8 6 8" xfId="24360" xr:uid="{00000000-0005-0000-0000-00008C860000}"/>
    <cellStyle name="Normal 4 8 6 9" xfId="24361" xr:uid="{00000000-0005-0000-0000-00008D860000}"/>
    <cellStyle name="Normal 4 8 7" xfId="24362" xr:uid="{00000000-0005-0000-0000-00008E860000}"/>
    <cellStyle name="Normal 4 8 7 2" xfId="24363" xr:uid="{00000000-0005-0000-0000-00008F860000}"/>
    <cellStyle name="Normal 4 8 7 2 2" xfId="24364" xr:uid="{00000000-0005-0000-0000-000090860000}"/>
    <cellStyle name="Normal 4 8 7 2 2 2" xfId="24365" xr:uid="{00000000-0005-0000-0000-000091860000}"/>
    <cellStyle name="Normal 4 8 7 2 2 2 2" xfId="56108" xr:uid="{00000000-0005-0000-0000-000092860000}"/>
    <cellStyle name="Normal 4 8 7 2 2 2 3" xfId="56109" xr:uid="{00000000-0005-0000-0000-000093860000}"/>
    <cellStyle name="Normal 4 8 7 2 2 3" xfId="24366" xr:uid="{00000000-0005-0000-0000-000094860000}"/>
    <cellStyle name="Normal 4 8 7 2 2 3 2" xfId="56110" xr:uid="{00000000-0005-0000-0000-000095860000}"/>
    <cellStyle name="Normal 4 8 7 2 2 4" xfId="24367" xr:uid="{00000000-0005-0000-0000-000096860000}"/>
    <cellStyle name="Normal 4 8 7 2 2 5" xfId="24368" xr:uid="{00000000-0005-0000-0000-000097860000}"/>
    <cellStyle name="Normal 4 8 7 2 2 6" xfId="24369" xr:uid="{00000000-0005-0000-0000-000098860000}"/>
    <cellStyle name="Normal 4 8 7 2 3" xfId="24370" xr:uid="{00000000-0005-0000-0000-000099860000}"/>
    <cellStyle name="Normal 4 8 7 2 3 2" xfId="56111" xr:uid="{00000000-0005-0000-0000-00009A860000}"/>
    <cellStyle name="Normal 4 8 7 2 3 3" xfId="56112" xr:uid="{00000000-0005-0000-0000-00009B860000}"/>
    <cellStyle name="Normal 4 8 7 2 4" xfId="24371" xr:uid="{00000000-0005-0000-0000-00009C860000}"/>
    <cellStyle name="Normal 4 8 7 2 4 2" xfId="56113" xr:uid="{00000000-0005-0000-0000-00009D860000}"/>
    <cellStyle name="Normal 4 8 7 2 5" xfId="24372" xr:uid="{00000000-0005-0000-0000-00009E860000}"/>
    <cellStyle name="Normal 4 8 7 2 6" xfId="24373" xr:uid="{00000000-0005-0000-0000-00009F860000}"/>
    <cellStyle name="Normal 4 8 7 2 7" xfId="24374" xr:uid="{00000000-0005-0000-0000-0000A0860000}"/>
    <cellStyle name="Normal 4 8 7 3" xfId="24375" xr:uid="{00000000-0005-0000-0000-0000A1860000}"/>
    <cellStyle name="Normal 4 8 7 3 2" xfId="24376" xr:uid="{00000000-0005-0000-0000-0000A2860000}"/>
    <cellStyle name="Normal 4 8 7 3 2 2" xfId="56114" xr:uid="{00000000-0005-0000-0000-0000A3860000}"/>
    <cellStyle name="Normal 4 8 7 3 2 3" xfId="56115" xr:uid="{00000000-0005-0000-0000-0000A4860000}"/>
    <cellStyle name="Normal 4 8 7 3 3" xfId="24377" xr:uid="{00000000-0005-0000-0000-0000A5860000}"/>
    <cellStyle name="Normal 4 8 7 3 3 2" xfId="56116" xr:uid="{00000000-0005-0000-0000-0000A6860000}"/>
    <cellStyle name="Normal 4 8 7 3 4" xfId="24378" xr:uid="{00000000-0005-0000-0000-0000A7860000}"/>
    <cellStyle name="Normal 4 8 7 3 5" xfId="24379" xr:uid="{00000000-0005-0000-0000-0000A8860000}"/>
    <cellStyle name="Normal 4 8 7 3 6" xfId="24380" xr:uid="{00000000-0005-0000-0000-0000A9860000}"/>
    <cellStyle name="Normal 4 8 7 4" xfId="24381" xr:uid="{00000000-0005-0000-0000-0000AA860000}"/>
    <cellStyle name="Normal 4 8 7 4 2" xfId="56117" xr:uid="{00000000-0005-0000-0000-0000AB860000}"/>
    <cellStyle name="Normal 4 8 7 4 3" xfId="56118" xr:uid="{00000000-0005-0000-0000-0000AC860000}"/>
    <cellStyle name="Normal 4 8 7 5" xfId="24382" xr:uid="{00000000-0005-0000-0000-0000AD860000}"/>
    <cellStyle name="Normal 4 8 7 5 2" xfId="56119" xr:uid="{00000000-0005-0000-0000-0000AE860000}"/>
    <cellStyle name="Normal 4 8 7 6" xfId="24383" xr:uid="{00000000-0005-0000-0000-0000AF860000}"/>
    <cellStyle name="Normal 4 8 7 7" xfId="24384" xr:uid="{00000000-0005-0000-0000-0000B0860000}"/>
    <cellStyle name="Normal 4 8 7 8" xfId="24385" xr:uid="{00000000-0005-0000-0000-0000B1860000}"/>
    <cellStyle name="Normal 4 8 7 9" xfId="24386" xr:uid="{00000000-0005-0000-0000-0000B2860000}"/>
    <cellStyle name="Normal 4 8 8" xfId="24387" xr:uid="{00000000-0005-0000-0000-0000B3860000}"/>
    <cellStyle name="Normal 4 8 8 2" xfId="24388" xr:uid="{00000000-0005-0000-0000-0000B4860000}"/>
    <cellStyle name="Normal 4 8 8 2 2" xfId="24389" xr:uid="{00000000-0005-0000-0000-0000B5860000}"/>
    <cellStyle name="Normal 4 8 8 2 2 2" xfId="24390" xr:uid="{00000000-0005-0000-0000-0000B6860000}"/>
    <cellStyle name="Normal 4 8 8 2 2 2 2" xfId="56120" xr:uid="{00000000-0005-0000-0000-0000B7860000}"/>
    <cellStyle name="Normal 4 8 8 2 2 2 3" xfId="56121" xr:uid="{00000000-0005-0000-0000-0000B8860000}"/>
    <cellStyle name="Normal 4 8 8 2 2 3" xfId="24391" xr:uid="{00000000-0005-0000-0000-0000B9860000}"/>
    <cellStyle name="Normal 4 8 8 2 2 3 2" xfId="56122" xr:uid="{00000000-0005-0000-0000-0000BA860000}"/>
    <cellStyle name="Normal 4 8 8 2 2 4" xfId="24392" xr:uid="{00000000-0005-0000-0000-0000BB860000}"/>
    <cellStyle name="Normal 4 8 8 2 2 5" xfId="24393" xr:uid="{00000000-0005-0000-0000-0000BC860000}"/>
    <cellStyle name="Normal 4 8 8 2 2 6" xfId="24394" xr:uid="{00000000-0005-0000-0000-0000BD860000}"/>
    <cellStyle name="Normal 4 8 8 2 3" xfId="24395" xr:uid="{00000000-0005-0000-0000-0000BE860000}"/>
    <cellStyle name="Normal 4 8 8 2 3 2" xfId="56123" xr:uid="{00000000-0005-0000-0000-0000BF860000}"/>
    <cellStyle name="Normal 4 8 8 2 3 3" xfId="56124" xr:uid="{00000000-0005-0000-0000-0000C0860000}"/>
    <cellStyle name="Normal 4 8 8 2 4" xfId="24396" xr:uid="{00000000-0005-0000-0000-0000C1860000}"/>
    <cellStyle name="Normal 4 8 8 2 4 2" xfId="56125" xr:uid="{00000000-0005-0000-0000-0000C2860000}"/>
    <cellStyle name="Normal 4 8 8 2 5" xfId="24397" xr:uid="{00000000-0005-0000-0000-0000C3860000}"/>
    <cellStyle name="Normal 4 8 8 2 6" xfId="24398" xr:uid="{00000000-0005-0000-0000-0000C4860000}"/>
    <cellStyle name="Normal 4 8 8 2 7" xfId="24399" xr:uid="{00000000-0005-0000-0000-0000C5860000}"/>
    <cellStyle name="Normal 4 8 8 3" xfId="24400" xr:uid="{00000000-0005-0000-0000-0000C6860000}"/>
    <cellStyle name="Normal 4 8 8 3 2" xfId="24401" xr:uid="{00000000-0005-0000-0000-0000C7860000}"/>
    <cellStyle name="Normal 4 8 8 3 2 2" xfId="56126" xr:uid="{00000000-0005-0000-0000-0000C8860000}"/>
    <cellStyle name="Normal 4 8 8 3 2 3" xfId="56127" xr:uid="{00000000-0005-0000-0000-0000C9860000}"/>
    <cellStyle name="Normal 4 8 8 3 3" xfId="24402" xr:uid="{00000000-0005-0000-0000-0000CA860000}"/>
    <cellStyle name="Normal 4 8 8 3 3 2" xfId="56128" xr:uid="{00000000-0005-0000-0000-0000CB860000}"/>
    <cellStyle name="Normal 4 8 8 3 4" xfId="24403" xr:uid="{00000000-0005-0000-0000-0000CC860000}"/>
    <cellStyle name="Normal 4 8 8 3 5" xfId="24404" xr:uid="{00000000-0005-0000-0000-0000CD860000}"/>
    <cellStyle name="Normal 4 8 8 3 6" xfId="24405" xr:uid="{00000000-0005-0000-0000-0000CE860000}"/>
    <cellStyle name="Normal 4 8 8 4" xfId="24406" xr:uid="{00000000-0005-0000-0000-0000CF860000}"/>
    <cellStyle name="Normal 4 8 8 4 2" xfId="56129" xr:uid="{00000000-0005-0000-0000-0000D0860000}"/>
    <cellStyle name="Normal 4 8 8 4 3" xfId="56130" xr:uid="{00000000-0005-0000-0000-0000D1860000}"/>
    <cellStyle name="Normal 4 8 8 5" xfId="24407" xr:uid="{00000000-0005-0000-0000-0000D2860000}"/>
    <cellStyle name="Normal 4 8 8 5 2" xfId="56131" xr:uid="{00000000-0005-0000-0000-0000D3860000}"/>
    <cellStyle name="Normal 4 8 8 6" xfId="24408" xr:uid="{00000000-0005-0000-0000-0000D4860000}"/>
    <cellStyle name="Normal 4 8 8 7" xfId="24409" xr:uid="{00000000-0005-0000-0000-0000D5860000}"/>
    <cellStyle name="Normal 4 8 8 8" xfId="24410" xr:uid="{00000000-0005-0000-0000-0000D6860000}"/>
    <cellStyle name="Normal 4 8 9" xfId="24411" xr:uid="{00000000-0005-0000-0000-0000D7860000}"/>
    <cellStyle name="Normal 4 8 9 2" xfId="24412" xr:uid="{00000000-0005-0000-0000-0000D8860000}"/>
    <cellStyle name="Normal 4 8 9 2 2" xfId="24413" xr:uid="{00000000-0005-0000-0000-0000D9860000}"/>
    <cellStyle name="Normal 4 8 9 2 2 2" xfId="24414" xr:uid="{00000000-0005-0000-0000-0000DA860000}"/>
    <cellStyle name="Normal 4 8 9 2 2 2 2" xfId="56132" xr:uid="{00000000-0005-0000-0000-0000DB860000}"/>
    <cellStyle name="Normal 4 8 9 2 2 2 3" xfId="56133" xr:uid="{00000000-0005-0000-0000-0000DC860000}"/>
    <cellStyle name="Normal 4 8 9 2 2 3" xfId="24415" xr:uid="{00000000-0005-0000-0000-0000DD860000}"/>
    <cellStyle name="Normal 4 8 9 2 2 3 2" xfId="56134" xr:uid="{00000000-0005-0000-0000-0000DE860000}"/>
    <cellStyle name="Normal 4 8 9 2 2 4" xfId="24416" xr:uid="{00000000-0005-0000-0000-0000DF860000}"/>
    <cellStyle name="Normal 4 8 9 2 2 5" xfId="24417" xr:uid="{00000000-0005-0000-0000-0000E0860000}"/>
    <cellStyle name="Normal 4 8 9 2 2 6" xfId="24418" xr:uid="{00000000-0005-0000-0000-0000E1860000}"/>
    <cellStyle name="Normal 4 8 9 2 3" xfId="24419" xr:uid="{00000000-0005-0000-0000-0000E2860000}"/>
    <cellStyle name="Normal 4 8 9 2 3 2" xfId="56135" xr:uid="{00000000-0005-0000-0000-0000E3860000}"/>
    <cellStyle name="Normal 4 8 9 2 3 3" xfId="56136" xr:uid="{00000000-0005-0000-0000-0000E4860000}"/>
    <cellStyle name="Normal 4 8 9 2 4" xfId="24420" xr:uid="{00000000-0005-0000-0000-0000E5860000}"/>
    <cellStyle name="Normal 4 8 9 2 4 2" xfId="56137" xr:uid="{00000000-0005-0000-0000-0000E6860000}"/>
    <cellStyle name="Normal 4 8 9 2 5" xfId="24421" xr:uid="{00000000-0005-0000-0000-0000E7860000}"/>
    <cellStyle name="Normal 4 8 9 2 6" xfId="24422" xr:uid="{00000000-0005-0000-0000-0000E8860000}"/>
    <cellStyle name="Normal 4 8 9 2 7" xfId="24423" xr:uid="{00000000-0005-0000-0000-0000E9860000}"/>
    <cellStyle name="Normal 4 8 9 3" xfId="24424" xr:uid="{00000000-0005-0000-0000-0000EA860000}"/>
    <cellStyle name="Normal 4 8 9 3 2" xfId="24425" xr:uid="{00000000-0005-0000-0000-0000EB860000}"/>
    <cellStyle name="Normal 4 8 9 3 2 2" xfId="56138" xr:uid="{00000000-0005-0000-0000-0000EC860000}"/>
    <cellStyle name="Normal 4 8 9 3 2 3" xfId="56139" xr:uid="{00000000-0005-0000-0000-0000ED860000}"/>
    <cellStyle name="Normal 4 8 9 3 3" xfId="24426" xr:uid="{00000000-0005-0000-0000-0000EE860000}"/>
    <cellStyle name="Normal 4 8 9 3 3 2" xfId="56140" xr:uid="{00000000-0005-0000-0000-0000EF860000}"/>
    <cellStyle name="Normal 4 8 9 3 4" xfId="24427" xr:uid="{00000000-0005-0000-0000-0000F0860000}"/>
    <cellStyle name="Normal 4 8 9 3 5" xfId="24428" xr:uid="{00000000-0005-0000-0000-0000F1860000}"/>
    <cellStyle name="Normal 4 8 9 3 6" xfId="24429" xr:uid="{00000000-0005-0000-0000-0000F2860000}"/>
    <cellStyle name="Normal 4 8 9 4" xfId="24430" xr:uid="{00000000-0005-0000-0000-0000F3860000}"/>
    <cellStyle name="Normal 4 8 9 4 2" xfId="56141" xr:uid="{00000000-0005-0000-0000-0000F4860000}"/>
    <cellStyle name="Normal 4 8 9 4 3" xfId="56142" xr:uid="{00000000-0005-0000-0000-0000F5860000}"/>
    <cellStyle name="Normal 4 8 9 5" xfId="24431" xr:uid="{00000000-0005-0000-0000-0000F6860000}"/>
    <cellStyle name="Normal 4 8 9 5 2" xfId="56143" xr:uid="{00000000-0005-0000-0000-0000F7860000}"/>
    <cellStyle name="Normal 4 8 9 6" xfId="24432" xr:uid="{00000000-0005-0000-0000-0000F8860000}"/>
    <cellStyle name="Normal 4 8 9 7" xfId="24433" xr:uid="{00000000-0005-0000-0000-0000F9860000}"/>
    <cellStyle name="Normal 4 8 9 8" xfId="24434" xr:uid="{00000000-0005-0000-0000-0000FA860000}"/>
    <cellStyle name="Normal 4 9" xfId="24435" xr:uid="{00000000-0005-0000-0000-0000FB860000}"/>
    <cellStyle name="Normal 4 9 10" xfId="24436" xr:uid="{00000000-0005-0000-0000-0000FC860000}"/>
    <cellStyle name="Normal 4 9 10 2" xfId="24437" xr:uid="{00000000-0005-0000-0000-0000FD860000}"/>
    <cellStyle name="Normal 4 9 10 2 2" xfId="24438" xr:uid="{00000000-0005-0000-0000-0000FE860000}"/>
    <cellStyle name="Normal 4 9 10 2 2 2" xfId="56144" xr:uid="{00000000-0005-0000-0000-0000FF860000}"/>
    <cellStyle name="Normal 4 9 10 2 2 3" xfId="56145" xr:uid="{00000000-0005-0000-0000-000000870000}"/>
    <cellStyle name="Normal 4 9 10 2 3" xfId="24439" xr:uid="{00000000-0005-0000-0000-000001870000}"/>
    <cellStyle name="Normal 4 9 10 2 3 2" xfId="56146" xr:uid="{00000000-0005-0000-0000-000002870000}"/>
    <cellStyle name="Normal 4 9 10 2 4" xfId="24440" xr:uid="{00000000-0005-0000-0000-000003870000}"/>
    <cellStyle name="Normal 4 9 10 2 5" xfId="24441" xr:uid="{00000000-0005-0000-0000-000004870000}"/>
    <cellStyle name="Normal 4 9 10 2 6" xfId="24442" xr:uid="{00000000-0005-0000-0000-000005870000}"/>
    <cellStyle name="Normal 4 9 10 3" xfId="24443" xr:uid="{00000000-0005-0000-0000-000006870000}"/>
    <cellStyle name="Normal 4 9 10 3 2" xfId="56147" xr:uid="{00000000-0005-0000-0000-000007870000}"/>
    <cellStyle name="Normal 4 9 10 3 3" xfId="56148" xr:uid="{00000000-0005-0000-0000-000008870000}"/>
    <cellStyle name="Normal 4 9 10 4" xfId="24444" xr:uid="{00000000-0005-0000-0000-000009870000}"/>
    <cellStyle name="Normal 4 9 10 4 2" xfId="56149" xr:uid="{00000000-0005-0000-0000-00000A870000}"/>
    <cellStyle name="Normal 4 9 10 5" xfId="24445" xr:uid="{00000000-0005-0000-0000-00000B870000}"/>
    <cellStyle name="Normal 4 9 10 6" xfId="24446" xr:uid="{00000000-0005-0000-0000-00000C870000}"/>
    <cellStyle name="Normal 4 9 10 7" xfId="24447" xr:uid="{00000000-0005-0000-0000-00000D870000}"/>
    <cellStyle name="Normal 4 9 11" xfId="24448" xr:uid="{00000000-0005-0000-0000-00000E870000}"/>
    <cellStyle name="Normal 4 9 11 2" xfId="24449" xr:uid="{00000000-0005-0000-0000-00000F870000}"/>
    <cellStyle name="Normal 4 9 11 2 2" xfId="56150" xr:uid="{00000000-0005-0000-0000-000010870000}"/>
    <cellStyle name="Normal 4 9 11 2 3" xfId="56151" xr:uid="{00000000-0005-0000-0000-000011870000}"/>
    <cellStyle name="Normal 4 9 11 3" xfId="24450" xr:uid="{00000000-0005-0000-0000-000012870000}"/>
    <cellStyle name="Normal 4 9 11 3 2" xfId="56152" xr:uid="{00000000-0005-0000-0000-000013870000}"/>
    <cellStyle name="Normal 4 9 11 4" xfId="24451" xr:uid="{00000000-0005-0000-0000-000014870000}"/>
    <cellStyle name="Normal 4 9 11 5" xfId="24452" xr:uid="{00000000-0005-0000-0000-000015870000}"/>
    <cellStyle name="Normal 4 9 11 6" xfId="24453" xr:uid="{00000000-0005-0000-0000-000016870000}"/>
    <cellStyle name="Normal 4 9 12" xfId="24454" xr:uid="{00000000-0005-0000-0000-000017870000}"/>
    <cellStyle name="Normal 4 9 12 2" xfId="56153" xr:uid="{00000000-0005-0000-0000-000018870000}"/>
    <cellStyle name="Normal 4 9 12 3" xfId="56154" xr:uid="{00000000-0005-0000-0000-000019870000}"/>
    <cellStyle name="Normal 4 9 13" xfId="24455" xr:uid="{00000000-0005-0000-0000-00001A870000}"/>
    <cellStyle name="Normal 4 9 13 2" xfId="56155" xr:uid="{00000000-0005-0000-0000-00001B870000}"/>
    <cellStyle name="Normal 4 9 14" xfId="24456" xr:uid="{00000000-0005-0000-0000-00001C870000}"/>
    <cellStyle name="Normal 4 9 14 2" xfId="56156" xr:uid="{00000000-0005-0000-0000-00001D870000}"/>
    <cellStyle name="Normal 4 9 15" xfId="24457" xr:uid="{00000000-0005-0000-0000-00001E870000}"/>
    <cellStyle name="Normal 4 9 16" xfId="24458" xr:uid="{00000000-0005-0000-0000-00001F870000}"/>
    <cellStyle name="Normal 4 9 17" xfId="24459" xr:uid="{00000000-0005-0000-0000-000020870000}"/>
    <cellStyle name="Normal 4 9 18" xfId="24460" xr:uid="{00000000-0005-0000-0000-000021870000}"/>
    <cellStyle name="Normal 4 9 19" xfId="24461" xr:uid="{00000000-0005-0000-0000-000022870000}"/>
    <cellStyle name="Normal 4 9 2" xfId="24462" xr:uid="{00000000-0005-0000-0000-000023870000}"/>
    <cellStyle name="Normal 4 9 2 10" xfId="24463" xr:uid="{00000000-0005-0000-0000-000024870000}"/>
    <cellStyle name="Normal 4 9 2 11" xfId="24464" xr:uid="{00000000-0005-0000-0000-000025870000}"/>
    <cellStyle name="Normal 4 9 2 12" xfId="24465" xr:uid="{00000000-0005-0000-0000-000026870000}"/>
    <cellStyle name="Normal 4 9 2 13" xfId="24466" xr:uid="{00000000-0005-0000-0000-000027870000}"/>
    <cellStyle name="Normal 4 9 2 14" xfId="24467" xr:uid="{00000000-0005-0000-0000-000028870000}"/>
    <cellStyle name="Normal 4 9 2 15" xfId="24468" xr:uid="{00000000-0005-0000-0000-000029870000}"/>
    <cellStyle name="Normal 4 9 2 2" xfId="24469" xr:uid="{00000000-0005-0000-0000-00002A870000}"/>
    <cellStyle name="Normal 4 9 2 2 10" xfId="24470" xr:uid="{00000000-0005-0000-0000-00002B870000}"/>
    <cellStyle name="Normal 4 9 2 2 11" xfId="24471" xr:uid="{00000000-0005-0000-0000-00002C870000}"/>
    <cellStyle name="Normal 4 9 2 2 12" xfId="24472" xr:uid="{00000000-0005-0000-0000-00002D870000}"/>
    <cellStyle name="Normal 4 9 2 2 13" xfId="24473" xr:uid="{00000000-0005-0000-0000-00002E870000}"/>
    <cellStyle name="Normal 4 9 2 2 14" xfId="24474" xr:uid="{00000000-0005-0000-0000-00002F870000}"/>
    <cellStyle name="Normal 4 9 2 2 2" xfId="24475" xr:uid="{00000000-0005-0000-0000-000030870000}"/>
    <cellStyle name="Normal 4 9 2 2 2 2" xfId="24476" xr:uid="{00000000-0005-0000-0000-000031870000}"/>
    <cellStyle name="Normal 4 9 2 2 2 2 2" xfId="24477" xr:uid="{00000000-0005-0000-0000-000032870000}"/>
    <cellStyle name="Normal 4 9 2 2 2 2 2 2" xfId="24478" xr:uid="{00000000-0005-0000-0000-000033870000}"/>
    <cellStyle name="Normal 4 9 2 2 2 2 2 2 2" xfId="56157" xr:uid="{00000000-0005-0000-0000-000034870000}"/>
    <cellStyle name="Normal 4 9 2 2 2 2 2 2 3" xfId="56158" xr:uid="{00000000-0005-0000-0000-000035870000}"/>
    <cellStyle name="Normal 4 9 2 2 2 2 2 3" xfId="24479" xr:uid="{00000000-0005-0000-0000-000036870000}"/>
    <cellStyle name="Normal 4 9 2 2 2 2 2 3 2" xfId="56159" xr:uid="{00000000-0005-0000-0000-000037870000}"/>
    <cellStyle name="Normal 4 9 2 2 2 2 2 4" xfId="24480" xr:uid="{00000000-0005-0000-0000-000038870000}"/>
    <cellStyle name="Normal 4 9 2 2 2 2 2 5" xfId="24481" xr:uid="{00000000-0005-0000-0000-000039870000}"/>
    <cellStyle name="Normal 4 9 2 2 2 2 2 6" xfId="24482" xr:uid="{00000000-0005-0000-0000-00003A870000}"/>
    <cellStyle name="Normal 4 9 2 2 2 2 3" xfId="24483" xr:uid="{00000000-0005-0000-0000-00003B870000}"/>
    <cellStyle name="Normal 4 9 2 2 2 2 3 2" xfId="56160" xr:uid="{00000000-0005-0000-0000-00003C870000}"/>
    <cellStyle name="Normal 4 9 2 2 2 2 3 3" xfId="56161" xr:uid="{00000000-0005-0000-0000-00003D870000}"/>
    <cellStyle name="Normal 4 9 2 2 2 2 4" xfId="24484" xr:uid="{00000000-0005-0000-0000-00003E870000}"/>
    <cellStyle name="Normal 4 9 2 2 2 2 4 2" xfId="56162" xr:uid="{00000000-0005-0000-0000-00003F870000}"/>
    <cellStyle name="Normal 4 9 2 2 2 2 5" xfId="24485" xr:uid="{00000000-0005-0000-0000-000040870000}"/>
    <cellStyle name="Normal 4 9 2 2 2 2 6" xfId="24486" xr:uid="{00000000-0005-0000-0000-000041870000}"/>
    <cellStyle name="Normal 4 9 2 2 2 2 7" xfId="24487" xr:uid="{00000000-0005-0000-0000-000042870000}"/>
    <cellStyle name="Normal 4 9 2 2 2 3" xfId="24488" xr:uid="{00000000-0005-0000-0000-000043870000}"/>
    <cellStyle name="Normal 4 9 2 2 2 3 2" xfId="24489" xr:uid="{00000000-0005-0000-0000-000044870000}"/>
    <cellStyle name="Normal 4 9 2 2 2 3 2 2" xfId="56163" xr:uid="{00000000-0005-0000-0000-000045870000}"/>
    <cellStyle name="Normal 4 9 2 2 2 3 2 3" xfId="56164" xr:uid="{00000000-0005-0000-0000-000046870000}"/>
    <cellStyle name="Normal 4 9 2 2 2 3 3" xfId="24490" xr:uid="{00000000-0005-0000-0000-000047870000}"/>
    <cellStyle name="Normal 4 9 2 2 2 3 3 2" xfId="56165" xr:uid="{00000000-0005-0000-0000-000048870000}"/>
    <cellStyle name="Normal 4 9 2 2 2 3 4" xfId="24491" xr:uid="{00000000-0005-0000-0000-000049870000}"/>
    <cellStyle name="Normal 4 9 2 2 2 3 5" xfId="24492" xr:uid="{00000000-0005-0000-0000-00004A870000}"/>
    <cellStyle name="Normal 4 9 2 2 2 3 6" xfId="24493" xr:uid="{00000000-0005-0000-0000-00004B870000}"/>
    <cellStyle name="Normal 4 9 2 2 2 4" xfId="24494" xr:uid="{00000000-0005-0000-0000-00004C870000}"/>
    <cellStyle name="Normal 4 9 2 2 2 4 2" xfId="56166" xr:uid="{00000000-0005-0000-0000-00004D870000}"/>
    <cellStyle name="Normal 4 9 2 2 2 4 3" xfId="56167" xr:uid="{00000000-0005-0000-0000-00004E870000}"/>
    <cellStyle name="Normal 4 9 2 2 2 5" xfId="24495" xr:uid="{00000000-0005-0000-0000-00004F870000}"/>
    <cellStyle name="Normal 4 9 2 2 2 5 2" xfId="56168" xr:uid="{00000000-0005-0000-0000-000050870000}"/>
    <cellStyle name="Normal 4 9 2 2 2 6" xfId="24496" xr:uid="{00000000-0005-0000-0000-000051870000}"/>
    <cellStyle name="Normal 4 9 2 2 2 7" xfId="24497" xr:uid="{00000000-0005-0000-0000-000052870000}"/>
    <cellStyle name="Normal 4 9 2 2 2 8" xfId="24498" xr:uid="{00000000-0005-0000-0000-000053870000}"/>
    <cellStyle name="Normal 4 9 2 2 2 9" xfId="24499" xr:uid="{00000000-0005-0000-0000-000054870000}"/>
    <cellStyle name="Normal 4 9 2 2 3" xfId="24500" xr:uid="{00000000-0005-0000-0000-000055870000}"/>
    <cellStyle name="Normal 4 9 2 2 3 2" xfId="24501" xr:uid="{00000000-0005-0000-0000-000056870000}"/>
    <cellStyle name="Normal 4 9 2 2 3 2 2" xfId="24502" xr:uid="{00000000-0005-0000-0000-000057870000}"/>
    <cellStyle name="Normal 4 9 2 2 3 2 2 2" xfId="24503" xr:uid="{00000000-0005-0000-0000-000058870000}"/>
    <cellStyle name="Normal 4 9 2 2 3 2 2 2 2" xfId="56169" xr:uid="{00000000-0005-0000-0000-000059870000}"/>
    <cellStyle name="Normal 4 9 2 2 3 2 2 2 3" xfId="56170" xr:uid="{00000000-0005-0000-0000-00005A870000}"/>
    <cellStyle name="Normal 4 9 2 2 3 2 2 3" xfId="24504" xr:uid="{00000000-0005-0000-0000-00005B870000}"/>
    <cellStyle name="Normal 4 9 2 2 3 2 2 3 2" xfId="56171" xr:uid="{00000000-0005-0000-0000-00005C870000}"/>
    <cellStyle name="Normal 4 9 2 2 3 2 2 4" xfId="24505" xr:uid="{00000000-0005-0000-0000-00005D870000}"/>
    <cellStyle name="Normal 4 9 2 2 3 2 2 5" xfId="24506" xr:uid="{00000000-0005-0000-0000-00005E870000}"/>
    <cellStyle name="Normal 4 9 2 2 3 2 2 6" xfId="24507" xr:uid="{00000000-0005-0000-0000-00005F870000}"/>
    <cellStyle name="Normal 4 9 2 2 3 2 3" xfId="24508" xr:uid="{00000000-0005-0000-0000-000060870000}"/>
    <cellStyle name="Normal 4 9 2 2 3 2 3 2" xfId="56172" xr:uid="{00000000-0005-0000-0000-000061870000}"/>
    <cellStyle name="Normal 4 9 2 2 3 2 3 3" xfId="56173" xr:uid="{00000000-0005-0000-0000-000062870000}"/>
    <cellStyle name="Normal 4 9 2 2 3 2 4" xfId="24509" xr:uid="{00000000-0005-0000-0000-000063870000}"/>
    <cellStyle name="Normal 4 9 2 2 3 2 4 2" xfId="56174" xr:uid="{00000000-0005-0000-0000-000064870000}"/>
    <cellStyle name="Normal 4 9 2 2 3 2 5" xfId="24510" xr:uid="{00000000-0005-0000-0000-000065870000}"/>
    <cellStyle name="Normal 4 9 2 2 3 2 6" xfId="24511" xr:uid="{00000000-0005-0000-0000-000066870000}"/>
    <cellStyle name="Normal 4 9 2 2 3 2 7" xfId="24512" xr:uid="{00000000-0005-0000-0000-000067870000}"/>
    <cellStyle name="Normal 4 9 2 2 3 3" xfId="24513" xr:uid="{00000000-0005-0000-0000-000068870000}"/>
    <cellStyle name="Normal 4 9 2 2 3 3 2" xfId="24514" xr:uid="{00000000-0005-0000-0000-000069870000}"/>
    <cellStyle name="Normal 4 9 2 2 3 3 2 2" xfId="56175" xr:uid="{00000000-0005-0000-0000-00006A870000}"/>
    <cellStyle name="Normal 4 9 2 2 3 3 2 3" xfId="56176" xr:uid="{00000000-0005-0000-0000-00006B870000}"/>
    <cellStyle name="Normal 4 9 2 2 3 3 3" xfId="24515" xr:uid="{00000000-0005-0000-0000-00006C870000}"/>
    <cellStyle name="Normal 4 9 2 2 3 3 3 2" xfId="56177" xr:uid="{00000000-0005-0000-0000-00006D870000}"/>
    <cellStyle name="Normal 4 9 2 2 3 3 4" xfId="24516" xr:uid="{00000000-0005-0000-0000-00006E870000}"/>
    <cellStyle name="Normal 4 9 2 2 3 3 5" xfId="24517" xr:uid="{00000000-0005-0000-0000-00006F870000}"/>
    <cellStyle name="Normal 4 9 2 2 3 3 6" xfId="24518" xr:uid="{00000000-0005-0000-0000-000070870000}"/>
    <cellStyle name="Normal 4 9 2 2 3 4" xfId="24519" xr:uid="{00000000-0005-0000-0000-000071870000}"/>
    <cellStyle name="Normal 4 9 2 2 3 4 2" xfId="56178" xr:uid="{00000000-0005-0000-0000-000072870000}"/>
    <cellStyle name="Normal 4 9 2 2 3 4 3" xfId="56179" xr:uid="{00000000-0005-0000-0000-000073870000}"/>
    <cellStyle name="Normal 4 9 2 2 3 5" xfId="24520" xr:uid="{00000000-0005-0000-0000-000074870000}"/>
    <cellStyle name="Normal 4 9 2 2 3 5 2" xfId="56180" xr:uid="{00000000-0005-0000-0000-000075870000}"/>
    <cellStyle name="Normal 4 9 2 2 3 6" xfId="24521" xr:uid="{00000000-0005-0000-0000-000076870000}"/>
    <cellStyle name="Normal 4 9 2 2 3 7" xfId="24522" xr:uid="{00000000-0005-0000-0000-000077870000}"/>
    <cellStyle name="Normal 4 9 2 2 3 8" xfId="24523" xr:uid="{00000000-0005-0000-0000-000078870000}"/>
    <cellStyle name="Normal 4 9 2 2 4" xfId="24524" xr:uid="{00000000-0005-0000-0000-000079870000}"/>
    <cellStyle name="Normal 4 9 2 2 4 2" xfId="24525" xr:uid="{00000000-0005-0000-0000-00007A870000}"/>
    <cellStyle name="Normal 4 9 2 2 4 2 2" xfId="24526" xr:uid="{00000000-0005-0000-0000-00007B870000}"/>
    <cellStyle name="Normal 4 9 2 2 4 2 2 2" xfId="56181" xr:uid="{00000000-0005-0000-0000-00007C870000}"/>
    <cellStyle name="Normal 4 9 2 2 4 2 2 3" xfId="56182" xr:uid="{00000000-0005-0000-0000-00007D870000}"/>
    <cellStyle name="Normal 4 9 2 2 4 2 3" xfId="24527" xr:uid="{00000000-0005-0000-0000-00007E870000}"/>
    <cellStyle name="Normal 4 9 2 2 4 2 3 2" xfId="56183" xr:uid="{00000000-0005-0000-0000-00007F870000}"/>
    <cellStyle name="Normal 4 9 2 2 4 2 4" xfId="24528" xr:uid="{00000000-0005-0000-0000-000080870000}"/>
    <cellStyle name="Normal 4 9 2 2 4 2 5" xfId="24529" xr:uid="{00000000-0005-0000-0000-000081870000}"/>
    <cellStyle name="Normal 4 9 2 2 4 2 6" xfId="24530" xr:uid="{00000000-0005-0000-0000-000082870000}"/>
    <cellStyle name="Normal 4 9 2 2 4 3" xfId="24531" xr:uid="{00000000-0005-0000-0000-000083870000}"/>
    <cellStyle name="Normal 4 9 2 2 4 3 2" xfId="56184" xr:uid="{00000000-0005-0000-0000-000084870000}"/>
    <cellStyle name="Normal 4 9 2 2 4 3 3" xfId="56185" xr:uid="{00000000-0005-0000-0000-000085870000}"/>
    <cellStyle name="Normal 4 9 2 2 4 4" xfId="24532" xr:uid="{00000000-0005-0000-0000-000086870000}"/>
    <cellStyle name="Normal 4 9 2 2 4 4 2" xfId="56186" xr:uid="{00000000-0005-0000-0000-000087870000}"/>
    <cellStyle name="Normal 4 9 2 2 4 5" xfId="24533" xr:uid="{00000000-0005-0000-0000-000088870000}"/>
    <cellStyle name="Normal 4 9 2 2 4 6" xfId="24534" xr:uid="{00000000-0005-0000-0000-000089870000}"/>
    <cellStyle name="Normal 4 9 2 2 4 7" xfId="24535" xr:uid="{00000000-0005-0000-0000-00008A870000}"/>
    <cellStyle name="Normal 4 9 2 2 5" xfId="24536" xr:uid="{00000000-0005-0000-0000-00008B870000}"/>
    <cellStyle name="Normal 4 9 2 2 5 2" xfId="24537" xr:uid="{00000000-0005-0000-0000-00008C870000}"/>
    <cellStyle name="Normal 4 9 2 2 5 2 2" xfId="56187" xr:uid="{00000000-0005-0000-0000-00008D870000}"/>
    <cellStyle name="Normal 4 9 2 2 5 2 3" xfId="56188" xr:uid="{00000000-0005-0000-0000-00008E870000}"/>
    <cellStyle name="Normal 4 9 2 2 5 3" xfId="24538" xr:uid="{00000000-0005-0000-0000-00008F870000}"/>
    <cellStyle name="Normal 4 9 2 2 5 3 2" xfId="56189" xr:uid="{00000000-0005-0000-0000-000090870000}"/>
    <cellStyle name="Normal 4 9 2 2 5 4" xfId="24539" xr:uid="{00000000-0005-0000-0000-000091870000}"/>
    <cellStyle name="Normal 4 9 2 2 5 5" xfId="24540" xr:uid="{00000000-0005-0000-0000-000092870000}"/>
    <cellStyle name="Normal 4 9 2 2 5 6" xfId="24541" xr:uid="{00000000-0005-0000-0000-000093870000}"/>
    <cellStyle name="Normal 4 9 2 2 6" xfId="24542" xr:uid="{00000000-0005-0000-0000-000094870000}"/>
    <cellStyle name="Normal 4 9 2 2 6 2" xfId="56190" xr:uid="{00000000-0005-0000-0000-000095870000}"/>
    <cellStyle name="Normal 4 9 2 2 6 3" xfId="56191" xr:uid="{00000000-0005-0000-0000-000096870000}"/>
    <cellStyle name="Normal 4 9 2 2 7" xfId="24543" xr:uid="{00000000-0005-0000-0000-000097870000}"/>
    <cellStyle name="Normal 4 9 2 2 7 2" xfId="56192" xr:uid="{00000000-0005-0000-0000-000098870000}"/>
    <cellStyle name="Normal 4 9 2 2 8" xfId="24544" xr:uid="{00000000-0005-0000-0000-000099870000}"/>
    <cellStyle name="Normal 4 9 2 2 9" xfId="24545" xr:uid="{00000000-0005-0000-0000-00009A870000}"/>
    <cellStyle name="Normal 4 9 2 3" xfId="24546" xr:uid="{00000000-0005-0000-0000-00009B870000}"/>
    <cellStyle name="Normal 4 9 2 3 2" xfId="24547" xr:uid="{00000000-0005-0000-0000-00009C870000}"/>
    <cellStyle name="Normal 4 9 2 3 2 2" xfId="24548" xr:uid="{00000000-0005-0000-0000-00009D870000}"/>
    <cellStyle name="Normal 4 9 2 3 2 2 2" xfId="24549" xr:uid="{00000000-0005-0000-0000-00009E870000}"/>
    <cellStyle name="Normal 4 9 2 3 2 2 2 2" xfId="56193" xr:uid="{00000000-0005-0000-0000-00009F870000}"/>
    <cellStyle name="Normal 4 9 2 3 2 2 2 3" xfId="56194" xr:uid="{00000000-0005-0000-0000-0000A0870000}"/>
    <cellStyle name="Normal 4 9 2 3 2 2 3" xfId="24550" xr:uid="{00000000-0005-0000-0000-0000A1870000}"/>
    <cellStyle name="Normal 4 9 2 3 2 2 3 2" xfId="56195" xr:uid="{00000000-0005-0000-0000-0000A2870000}"/>
    <cellStyle name="Normal 4 9 2 3 2 2 4" xfId="24551" xr:uid="{00000000-0005-0000-0000-0000A3870000}"/>
    <cellStyle name="Normal 4 9 2 3 2 2 5" xfId="24552" xr:uid="{00000000-0005-0000-0000-0000A4870000}"/>
    <cellStyle name="Normal 4 9 2 3 2 2 6" xfId="24553" xr:uid="{00000000-0005-0000-0000-0000A5870000}"/>
    <cellStyle name="Normal 4 9 2 3 2 3" xfId="24554" xr:uid="{00000000-0005-0000-0000-0000A6870000}"/>
    <cellStyle name="Normal 4 9 2 3 2 3 2" xfId="56196" xr:uid="{00000000-0005-0000-0000-0000A7870000}"/>
    <cellStyle name="Normal 4 9 2 3 2 3 3" xfId="56197" xr:uid="{00000000-0005-0000-0000-0000A8870000}"/>
    <cellStyle name="Normal 4 9 2 3 2 4" xfId="24555" xr:uid="{00000000-0005-0000-0000-0000A9870000}"/>
    <cellStyle name="Normal 4 9 2 3 2 4 2" xfId="56198" xr:uid="{00000000-0005-0000-0000-0000AA870000}"/>
    <cellStyle name="Normal 4 9 2 3 2 5" xfId="24556" xr:uid="{00000000-0005-0000-0000-0000AB870000}"/>
    <cellStyle name="Normal 4 9 2 3 2 6" xfId="24557" xr:uid="{00000000-0005-0000-0000-0000AC870000}"/>
    <cellStyle name="Normal 4 9 2 3 2 7" xfId="24558" xr:uid="{00000000-0005-0000-0000-0000AD870000}"/>
    <cellStyle name="Normal 4 9 2 3 3" xfId="24559" xr:uid="{00000000-0005-0000-0000-0000AE870000}"/>
    <cellStyle name="Normal 4 9 2 3 3 2" xfId="24560" xr:uid="{00000000-0005-0000-0000-0000AF870000}"/>
    <cellStyle name="Normal 4 9 2 3 3 2 2" xfId="56199" xr:uid="{00000000-0005-0000-0000-0000B0870000}"/>
    <cellStyle name="Normal 4 9 2 3 3 2 3" xfId="56200" xr:uid="{00000000-0005-0000-0000-0000B1870000}"/>
    <cellStyle name="Normal 4 9 2 3 3 3" xfId="24561" xr:uid="{00000000-0005-0000-0000-0000B2870000}"/>
    <cellStyle name="Normal 4 9 2 3 3 3 2" xfId="56201" xr:uid="{00000000-0005-0000-0000-0000B3870000}"/>
    <cellStyle name="Normal 4 9 2 3 3 4" xfId="24562" xr:uid="{00000000-0005-0000-0000-0000B4870000}"/>
    <cellStyle name="Normal 4 9 2 3 3 5" xfId="24563" xr:uid="{00000000-0005-0000-0000-0000B5870000}"/>
    <cellStyle name="Normal 4 9 2 3 3 6" xfId="24564" xr:uid="{00000000-0005-0000-0000-0000B6870000}"/>
    <cellStyle name="Normal 4 9 2 3 4" xfId="24565" xr:uid="{00000000-0005-0000-0000-0000B7870000}"/>
    <cellStyle name="Normal 4 9 2 3 4 2" xfId="56202" xr:uid="{00000000-0005-0000-0000-0000B8870000}"/>
    <cellStyle name="Normal 4 9 2 3 4 3" xfId="56203" xr:uid="{00000000-0005-0000-0000-0000B9870000}"/>
    <cellStyle name="Normal 4 9 2 3 5" xfId="24566" xr:uid="{00000000-0005-0000-0000-0000BA870000}"/>
    <cellStyle name="Normal 4 9 2 3 5 2" xfId="56204" xr:uid="{00000000-0005-0000-0000-0000BB870000}"/>
    <cellStyle name="Normal 4 9 2 3 6" xfId="24567" xr:uid="{00000000-0005-0000-0000-0000BC870000}"/>
    <cellStyle name="Normal 4 9 2 3 7" xfId="24568" xr:uid="{00000000-0005-0000-0000-0000BD870000}"/>
    <cellStyle name="Normal 4 9 2 3 8" xfId="24569" xr:uid="{00000000-0005-0000-0000-0000BE870000}"/>
    <cellStyle name="Normal 4 9 2 3 9" xfId="24570" xr:uid="{00000000-0005-0000-0000-0000BF870000}"/>
    <cellStyle name="Normal 4 9 2 4" xfId="24571" xr:uid="{00000000-0005-0000-0000-0000C0870000}"/>
    <cellStyle name="Normal 4 9 2 4 2" xfId="24572" xr:uid="{00000000-0005-0000-0000-0000C1870000}"/>
    <cellStyle name="Normal 4 9 2 4 2 2" xfId="24573" xr:uid="{00000000-0005-0000-0000-0000C2870000}"/>
    <cellStyle name="Normal 4 9 2 4 2 2 2" xfId="24574" xr:uid="{00000000-0005-0000-0000-0000C3870000}"/>
    <cellStyle name="Normal 4 9 2 4 2 2 2 2" xfId="56205" xr:uid="{00000000-0005-0000-0000-0000C4870000}"/>
    <cellStyle name="Normal 4 9 2 4 2 2 2 3" xfId="56206" xr:uid="{00000000-0005-0000-0000-0000C5870000}"/>
    <cellStyle name="Normal 4 9 2 4 2 2 3" xfId="24575" xr:uid="{00000000-0005-0000-0000-0000C6870000}"/>
    <cellStyle name="Normal 4 9 2 4 2 2 3 2" xfId="56207" xr:uid="{00000000-0005-0000-0000-0000C7870000}"/>
    <cellStyle name="Normal 4 9 2 4 2 2 4" xfId="24576" xr:uid="{00000000-0005-0000-0000-0000C8870000}"/>
    <cellStyle name="Normal 4 9 2 4 2 2 5" xfId="24577" xr:uid="{00000000-0005-0000-0000-0000C9870000}"/>
    <cellStyle name="Normal 4 9 2 4 2 2 6" xfId="24578" xr:uid="{00000000-0005-0000-0000-0000CA870000}"/>
    <cellStyle name="Normal 4 9 2 4 2 3" xfId="24579" xr:uid="{00000000-0005-0000-0000-0000CB870000}"/>
    <cellStyle name="Normal 4 9 2 4 2 3 2" xfId="56208" xr:uid="{00000000-0005-0000-0000-0000CC870000}"/>
    <cellStyle name="Normal 4 9 2 4 2 3 3" xfId="56209" xr:uid="{00000000-0005-0000-0000-0000CD870000}"/>
    <cellStyle name="Normal 4 9 2 4 2 4" xfId="24580" xr:uid="{00000000-0005-0000-0000-0000CE870000}"/>
    <cellStyle name="Normal 4 9 2 4 2 4 2" xfId="56210" xr:uid="{00000000-0005-0000-0000-0000CF870000}"/>
    <cellStyle name="Normal 4 9 2 4 2 5" xfId="24581" xr:uid="{00000000-0005-0000-0000-0000D0870000}"/>
    <cellStyle name="Normal 4 9 2 4 2 6" xfId="24582" xr:uid="{00000000-0005-0000-0000-0000D1870000}"/>
    <cellStyle name="Normal 4 9 2 4 2 7" xfId="24583" xr:uid="{00000000-0005-0000-0000-0000D2870000}"/>
    <cellStyle name="Normal 4 9 2 4 3" xfId="24584" xr:uid="{00000000-0005-0000-0000-0000D3870000}"/>
    <cellStyle name="Normal 4 9 2 4 3 2" xfId="24585" xr:uid="{00000000-0005-0000-0000-0000D4870000}"/>
    <cellStyle name="Normal 4 9 2 4 3 2 2" xfId="56211" xr:uid="{00000000-0005-0000-0000-0000D5870000}"/>
    <cellStyle name="Normal 4 9 2 4 3 2 3" xfId="56212" xr:uid="{00000000-0005-0000-0000-0000D6870000}"/>
    <cellStyle name="Normal 4 9 2 4 3 3" xfId="24586" xr:uid="{00000000-0005-0000-0000-0000D7870000}"/>
    <cellStyle name="Normal 4 9 2 4 3 3 2" xfId="56213" xr:uid="{00000000-0005-0000-0000-0000D8870000}"/>
    <cellStyle name="Normal 4 9 2 4 3 4" xfId="24587" xr:uid="{00000000-0005-0000-0000-0000D9870000}"/>
    <cellStyle name="Normal 4 9 2 4 3 5" xfId="24588" xr:uid="{00000000-0005-0000-0000-0000DA870000}"/>
    <cellStyle name="Normal 4 9 2 4 3 6" xfId="24589" xr:uid="{00000000-0005-0000-0000-0000DB870000}"/>
    <cellStyle name="Normal 4 9 2 4 4" xfId="24590" xr:uid="{00000000-0005-0000-0000-0000DC870000}"/>
    <cellStyle name="Normal 4 9 2 4 4 2" xfId="56214" xr:uid="{00000000-0005-0000-0000-0000DD870000}"/>
    <cellStyle name="Normal 4 9 2 4 4 3" xfId="56215" xr:uid="{00000000-0005-0000-0000-0000DE870000}"/>
    <cellStyle name="Normal 4 9 2 4 5" xfId="24591" xr:uid="{00000000-0005-0000-0000-0000DF870000}"/>
    <cellStyle name="Normal 4 9 2 4 5 2" xfId="56216" xr:uid="{00000000-0005-0000-0000-0000E0870000}"/>
    <cellStyle name="Normal 4 9 2 4 6" xfId="24592" xr:uid="{00000000-0005-0000-0000-0000E1870000}"/>
    <cellStyle name="Normal 4 9 2 4 7" xfId="24593" xr:uid="{00000000-0005-0000-0000-0000E2870000}"/>
    <cellStyle name="Normal 4 9 2 4 8" xfId="24594" xr:uid="{00000000-0005-0000-0000-0000E3870000}"/>
    <cellStyle name="Normal 4 9 2 5" xfId="24595" xr:uid="{00000000-0005-0000-0000-0000E4870000}"/>
    <cellStyle name="Normal 4 9 2 5 2" xfId="24596" xr:uid="{00000000-0005-0000-0000-0000E5870000}"/>
    <cellStyle name="Normal 4 9 2 5 2 2" xfId="24597" xr:uid="{00000000-0005-0000-0000-0000E6870000}"/>
    <cellStyle name="Normal 4 9 2 5 2 2 2" xfId="56217" xr:uid="{00000000-0005-0000-0000-0000E7870000}"/>
    <cellStyle name="Normal 4 9 2 5 2 2 3" xfId="56218" xr:uid="{00000000-0005-0000-0000-0000E8870000}"/>
    <cellStyle name="Normal 4 9 2 5 2 3" xfId="24598" xr:uid="{00000000-0005-0000-0000-0000E9870000}"/>
    <cellStyle name="Normal 4 9 2 5 2 3 2" xfId="56219" xr:uid="{00000000-0005-0000-0000-0000EA870000}"/>
    <cellStyle name="Normal 4 9 2 5 2 4" xfId="24599" xr:uid="{00000000-0005-0000-0000-0000EB870000}"/>
    <cellStyle name="Normal 4 9 2 5 2 5" xfId="24600" xr:uid="{00000000-0005-0000-0000-0000EC870000}"/>
    <cellStyle name="Normal 4 9 2 5 2 6" xfId="24601" xr:uid="{00000000-0005-0000-0000-0000ED870000}"/>
    <cellStyle name="Normal 4 9 2 5 3" xfId="24602" xr:uid="{00000000-0005-0000-0000-0000EE870000}"/>
    <cellStyle name="Normal 4 9 2 5 3 2" xfId="56220" xr:uid="{00000000-0005-0000-0000-0000EF870000}"/>
    <cellStyle name="Normal 4 9 2 5 3 3" xfId="56221" xr:uid="{00000000-0005-0000-0000-0000F0870000}"/>
    <cellStyle name="Normal 4 9 2 5 4" xfId="24603" xr:uid="{00000000-0005-0000-0000-0000F1870000}"/>
    <cellStyle name="Normal 4 9 2 5 4 2" xfId="56222" xr:uid="{00000000-0005-0000-0000-0000F2870000}"/>
    <cellStyle name="Normal 4 9 2 5 5" xfId="24604" xr:uid="{00000000-0005-0000-0000-0000F3870000}"/>
    <cellStyle name="Normal 4 9 2 5 6" xfId="24605" xr:uid="{00000000-0005-0000-0000-0000F4870000}"/>
    <cellStyle name="Normal 4 9 2 5 7" xfId="24606" xr:uid="{00000000-0005-0000-0000-0000F5870000}"/>
    <cellStyle name="Normal 4 9 2 6" xfId="24607" xr:uid="{00000000-0005-0000-0000-0000F6870000}"/>
    <cellStyle name="Normal 4 9 2 6 2" xfId="24608" xr:uid="{00000000-0005-0000-0000-0000F7870000}"/>
    <cellStyle name="Normal 4 9 2 6 2 2" xfId="56223" xr:uid="{00000000-0005-0000-0000-0000F8870000}"/>
    <cellStyle name="Normal 4 9 2 6 2 3" xfId="56224" xr:uid="{00000000-0005-0000-0000-0000F9870000}"/>
    <cellStyle name="Normal 4 9 2 6 3" xfId="24609" xr:uid="{00000000-0005-0000-0000-0000FA870000}"/>
    <cellStyle name="Normal 4 9 2 6 3 2" xfId="56225" xr:uid="{00000000-0005-0000-0000-0000FB870000}"/>
    <cellStyle name="Normal 4 9 2 6 4" xfId="24610" xr:uid="{00000000-0005-0000-0000-0000FC870000}"/>
    <cellStyle name="Normal 4 9 2 6 5" xfId="24611" xr:uid="{00000000-0005-0000-0000-0000FD870000}"/>
    <cellStyle name="Normal 4 9 2 6 6" xfId="24612" xr:uid="{00000000-0005-0000-0000-0000FE870000}"/>
    <cellStyle name="Normal 4 9 2 7" xfId="24613" xr:uid="{00000000-0005-0000-0000-0000FF870000}"/>
    <cellStyle name="Normal 4 9 2 7 2" xfId="56226" xr:uid="{00000000-0005-0000-0000-000000880000}"/>
    <cellStyle name="Normal 4 9 2 7 3" xfId="56227" xr:uid="{00000000-0005-0000-0000-000001880000}"/>
    <cellStyle name="Normal 4 9 2 8" xfId="24614" xr:uid="{00000000-0005-0000-0000-000002880000}"/>
    <cellStyle name="Normal 4 9 2 8 2" xfId="56228" xr:uid="{00000000-0005-0000-0000-000003880000}"/>
    <cellStyle name="Normal 4 9 2 9" xfId="24615" xr:uid="{00000000-0005-0000-0000-000004880000}"/>
    <cellStyle name="Normal 4 9 2 9 2" xfId="56229" xr:uid="{00000000-0005-0000-0000-000005880000}"/>
    <cellStyle name="Normal 4 9 20" xfId="24616" xr:uid="{00000000-0005-0000-0000-000006880000}"/>
    <cellStyle name="Normal 4 9 3" xfId="24617" xr:uid="{00000000-0005-0000-0000-000007880000}"/>
    <cellStyle name="Normal 4 9 3 10" xfId="24618" xr:uid="{00000000-0005-0000-0000-000008880000}"/>
    <cellStyle name="Normal 4 9 3 11" xfId="24619" xr:uid="{00000000-0005-0000-0000-000009880000}"/>
    <cellStyle name="Normal 4 9 3 12" xfId="24620" xr:uid="{00000000-0005-0000-0000-00000A880000}"/>
    <cellStyle name="Normal 4 9 3 13" xfId="24621" xr:uid="{00000000-0005-0000-0000-00000B880000}"/>
    <cellStyle name="Normal 4 9 3 14" xfId="24622" xr:uid="{00000000-0005-0000-0000-00000C880000}"/>
    <cellStyle name="Normal 4 9 3 15" xfId="24623" xr:uid="{00000000-0005-0000-0000-00000D880000}"/>
    <cellStyle name="Normal 4 9 3 2" xfId="24624" xr:uid="{00000000-0005-0000-0000-00000E880000}"/>
    <cellStyle name="Normal 4 9 3 2 10" xfId="24625" xr:uid="{00000000-0005-0000-0000-00000F880000}"/>
    <cellStyle name="Normal 4 9 3 2 11" xfId="24626" xr:uid="{00000000-0005-0000-0000-000010880000}"/>
    <cellStyle name="Normal 4 9 3 2 12" xfId="24627" xr:uid="{00000000-0005-0000-0000-000011880000}"/>
    <cellStyle name="Normal 4 9 3 2 13" xfId="24628" xr:uid="{00000000-0005-0000-0000-000012880000}"/>
    <cellStyle name="Normal 4 9 3 2 14" xfId="24629" xr:uid="{00000000-0005-0000-0000-000013880000}"/>
    <cellStyle name="Normal 4 9 3 2 2" xfId="24630" xr:uid="{00000000-0005-0000-0000-000014880000}"/>
    <cellStyle name="Normal 4 9 3 2 2 2" xfId="24631" xr:uid="{00000000-0005-0000-0000-000015880000}"/>
    <cellStyle name="Normal 4 9 3 2 2 2 2" xfId="24632" xr:uid="{00000000-0005-0000-0000-000016880000}"/>
    <cellStyle name="Normal 4 9 3 2 2 2 2 2" xfId="24633" xr:uid="{00000000-0005-0000-0000-000017880000}"/>
    <cellStyle name="Normal 4 9 3 2 2 2 2 2 2" xfId="56230" xr:uid="{00000000-0005-0000-0000-000018880000}"/>
    <cellStyle name="Normal 4 9 3 2 2 2 2 2 3" xfId="56231" xr:uid="{00000000-0005-0000-0000-000019880000}"/>
    <cellStyle name="Normal 4 9 3 2 2 2 2 3" xfId="24634" xr:uid="{00000000-0005-0000-0000-00001A880000}"/>
    <cellStyle name="Normal 4 9 3 2 2 2 2 3 2" xfId="56232" xr:uid="{00000000-0005-0000-0000-00001B880000}"/>
    <cellStyle name="Normal 4 9 3 2 2 2 2 4" xfId="24635" xr:uid="{00000000-0005-0000-0000-00001C880000}"/>
    <cellStyle name="Normal 4 9 3 2 2 2 2 5" xfId="24636" xr:uid="{00000000-0005-0000-0000-00001D880000}"/>
    <cellStyle name="Normal 4 9 3 2 2 2 2 6" xfId="24637" xr:uid="{00000000-0005-0000-0000-00001E880000}"/>
    <cellStyle name="Normal 4 9 3 2 2 2 3" xfId="24638" xr:uid="{00000000-0005-0000-0000-00001F880000}"/>
    <cellStyle name="Normal 4 9 3 2 2 2 3 2" xfId="56233" xr:uid="{00000000-0005-0000-0000-000020880000}"/>
    <cellStyle name="Normal 4 9 3 2 2 2 3 3" xfId="56234" xr:uid="{00000000-0005-0000-0000-000021880000}"/>
    <cellStyle name="Normal 4 9 3 2 2 2 4" xfId="24639" xr:uid="{00000000-0005-0000-0000-000022880000}"/>
    <cellStyle name="Normal 4 9 3 2 2 2 4 2" xfId="56235" xr:uid="{00000000-0005-0000-0000-000023880000}"/>
    <cellStyle name="Normal 4 9 3 2 2 2 5" xfId="24640" xr:uid="{00000000-0005-0000-0000-000024880000}"/>
    <cellStyle name="Normal 4 9 3 2 2 2 6" xfId="24641" xr:uid="{00000000-0005-0000-0000-000025880000}"/>
    <cellStyle name="Normal 4 9 3 2 2 2 7" xfId="24642" xr:uid="{00000000-0005-0000-0000-000026880000}"/>
    <cellStyle name="Normal 4 9 3 2 2 3" xfId="24643" xr:uid="{00000000-0005-0000-0000-000027880000}"/>
    <cellStyle name="Normal 4 9 3 2 2 3 2" xfId="24644" xr:uid="{00000000-0005-0000-0000-000028880000}"/>
    <cellStyle name="Normal 4 9 3 2 2 3 2 2" xfId="56236" xr:uid="{00000000-0005-0000-0000-000029880000}"/>
    <cellStyle name="Normal 4 9 3 2 2 3 2 3" xfId="56237" xr:uid="{00000000-0005-0000-0000-00002A880000}"/>
    <cellStyle name="Normal 4 9 3 2 2 3 3" xfId="24645" xr:uid="{00000000-0005-0000-0000-00002B880000}"/>
    <cellStyle name="Normal 4 9 3 2 2 3 3 2" xfId="56238" xr:uid="{00000000-0005-0000-0000-00002C880000}"/>
    <cellStyle name="Normal 4 9 3 2 2 3 4" xfId="24646" xr:uid="{00000000-0005-0000-0000-00002D880000}"/>
    <cellStyle name="Normal 4 9 3 2 2 3 5" xfId="24647" xr:uid="{00000000-0005-0000-0000-00002E880000}"/>
    <cellStyle name="Normal 4 9 3 2 2 3 6" xfId="24648" xr:uid="{00000000-0005-0000-0000-00002F880000}"/>
    <cellStyle name="Normal 4 9 3 2 2 4" xfId="24649" xr:uid="{00000000-0005-0000-0000-000030880000}"/>
    <cellStyle name="Normal 4 9 3 2 2 4 2" xfId="56239" xr:uid="{00000000-0005-0000-0000-000031880000}"/>
    <cellStyle name="Normal 4 9 3 2 2 4 3" xfId="56240" xr:uid="{00000000-0005-0000-0000-000032880000}"/>
    <cellStyle name="Normal 4 9 3 2 2 5" xfId="24650" xr:uid="{00000000-0005-0000-0000-000033880000}"/>
    <cellStyle name="Normal 4 9 3 2 2 5 2" xfId="56241" xr:uid="{00000000-0005-0000-0000-000034880000}"/>
    <cellStyle name="Normal 4 9 3 2 2 6" xfId="24651" xr:uid="{00000000-0005-0000-0000-000035880000}"/>
    <cellStyle name="Normal 4 9 3 2 2 7" xfId="24652" xr:uid="{00000000-0005-0000-0000-000036880000}"/>
    <cellStyle name="Normal 4 9 3 2 2 8" xfId="24653" xr:uid="{00000000-0005-0000-0000-000037880000}"/>
    <cellStyle name="Normal 4 9 3 2 2 9" xfId="24654" xr:uid="{00000000-0005-0000-0000-000038880000}"/>
    <cellStyle name="Normal 4 9 3 2 3" xfId="24655" xr:uid="{00000000-0005-0000-0000-000039880000}"/>
    <cellStyle name="Normal 4 9 3 2 3 2" xfId="24656" xr:uid="{00000000-0005-0000-0000-00003A880000}"/>
    <cellStyle name="Normal 4 9 3 2 3 2 2" xfId="24657" xr:uid="{00000000-0005-0000-0000-00003B880000}"/>
    <cellStyle name="Normal 4 9 3 2 3 2 2 2" xfId="24658" xr:uid="{00000000-0005-0000-0000-00003C880000}"/>
    <cellStyle name="Normal 4 9 3 2 3 2 2 2 2" xfId="56242" xr:uid="{00000000-0005-0000-0000-00003D880000}"/>
    <cellStyle name="Normal 4 9 3 2 3 2 2 2 3" xfId="56243" xr:uid="{00000000-0005-0000-0000-00003E880000}"/>
    <cellStyle name="Normal 4 9 3 2 3 2 2 3" xfId="24659" xr:uid="{00000000-0005-0000-0000-00003F880000}"/>
    <cellStyle name="Normal 4 9 3 2 3 2 2 3 2" xfId="56244" xr:uid="{00000000-0005-0000-0000-000040880000}"/>
    <cellStyle name="Normal 4 9 3 2 3 2 2 4" xfId="24660" xr:uid="{00000000-0005-0000-0000-000041880000}"/>
    <cellStyle name="Normal 4 9 3 2 3 2 2 5" xfId="24661" xr:uid="{00000000-0005-0000-0000-000042880000}"/>
    <cellStyle name="Normal 4 9 3 2 3 2 2 6" xfId="24662" xr:uid="{00000000-0005-0000-0000-000043880000}"/>
    <cellStyle name="Normal 4 9 3 2 3 2 3" xfId="24663" xr:uid="{00000000-0005-0000-0000-000044880000}"/>
    <cellStyle name="Normal 4 9 3 2 3 2 3 2" xfId="56245" xr:uid="{00000000-0005-0000-0000-000045880000}"/>
    <cellStyle name="Normal 4 9 3 2 3 2 3 3" xfId="56246" xr:uid="{00000000-0005-0000-0000-000046880000}"/>
    <cellStyle name="Normal 4 9 3 2 3 2 4" xfId="24664" xr:uid="{00000000-0005-0000-0000-000047880000}"/>
    <cellStyle name="Normal 4 9 3 2 3 2 4 2" xfId="56247" xr:uid="{00000000-0005-0000-0000-000048880000}"/>
    <cellStyle name="Normal 4 9 3 2 3 2 5" xfId="24665" xr:uid="{00000000-0005-0000-0000-000049880000}"/>
    <cellStyle name="Normal 4 9 3 2 3 2 6" xfId="24666" xr:uid="{00000000-0005-0000-0000-00004A880000}"/>
    <cellStyle name="Normal 4 9 3 2 3 2 7" xfId="24667" xr:uid="{00000000-0005-0000-0000-00004B880000}"/>
    <cellStyle name="Normal 4 9 3 2 3 3" xfId="24668" xr:uid="{00000000-0005-0000-0000-00004C880000}"/>
    <cellStyle name="Normal 4 9 3 2 3 3 2" xfId="24669" xr:uid="{00000000-0005-0000-0000-00004D880000}"/>
    <cellStyle name="Normal 4 9 3 2 3 3 2 2" xfId="56248" xr:uid="{00000000-0005-0000-0000-00004E880000}"/>
    <cellStyle name="Normal 4 9 3 2 3 3 2 3" xfId="56249" xr:uid="{00000000-0005-0000-0000-00004F880000}"/>
    <cellStyle name="Normal 4 9 3 2 3 3 3" xfId="24670" xr:uid="{00000000-0005-0000-0000-000050880000}"/>
    <cellStyle name="Normal 4 9 3 2 3 3 3 2" xfId="56250" xr:uid="{00000000-0005-0000-0000-000051880000}"/>
    <cellStyle name="Normal 4 9 3 2 3 3 4" xfId="24671" xr:uid="{00000000-0005-0000-0000-000052880000}"/>
    <cellStyle name="Normal 4 9 3 2 3 3 5" xfId="24672" xr:uid="{00000000-0005-0000-0000-000053880000}"/>
    <cellStyle name="Normal 4 9 3 2 3 3 6" xfId="24673" xr:uid="{00000000-0005-0000-0000-000054880000}"/>
    <cellStyle name="Normal 4 9 3 2 3 4" xfId="24674" xr:uid="{00000000-0005-0000-0000-000055880000}"/>
    <cellStyle name="Normal 4 9 3 2 3 4 2" xfId="56251" xr:uid="{00000000-0005-0000-0000-000056880000}"/>
    <cellStyle name="Normal 4 9 3 2 3 4 3" xfId="56252" xr:uid="{00000000-0005-0000-0000-000057880000}"/>
    <cellStyle name="Normal 4 9 3 2 3 5" xfId="24675" xr:uid="{00000000-0005-0000-0000-000058880000}"/>
    <cellStyle name="Normal 4 9 3 2 3 5 2" xfId="56253" xr:uid="{00000000-0005-0000-0000-000059880000}"/>
    <cellStyle name="Normal 4 9 3 2 3 6" xfId="24676" xr:uid="{00000000-0005-0000-0000-00005A880000}"/>
    <cellStyle name="Normal 4 9 3 2 3 7" xfId="24677" xr:uid="{00000000-0005-0000-0000-00005B880000}"/>
    <cellStyle name="Normal 4 9 3 2 3 8" xfId="24678" xr:uid="{00000000-0005-0000-0000-00005C880000}"/>
    <cellStyle name="Normal 4 9 3 2 4" xfId="24679" xr:uid="{00000000-0005-0000-0000-00005D880000}"/>
    <cellStyle name="Normal 4 9 3 2 4 2" xfId="24680" xr:uid="{00000000-0005-0000-0000-00005E880000}"/>
    <cellStyle name="Normal 4 9 3 2 4 2 2" xfId="24681" xr:uid="{00000000-0005-0000-0000-00005F880000}"/>
    <cellStyle name="Normal 4 9 3 2 4 2 2 2" xfId="56254" xr:uid="{00000000-0005-0000-0000-000060880000}"/>
    <cellStyle name="Normal 4 9 3 2 4 2 2 3" xfId="56255" xr:uid="{00000000-0005-0000-0000-000061880000}"/>
    <cellStyle name="Normal 4 9 3 2 4 2 3" xfId="24682" xr:uid="{00000000-0005-0000-0000-000062880000}"/>
    <cellStyle name="Normal 4 9 3 2 4 2 3 2" xfId="56256" xr:uid="{00000000-0005-0000-0000-000063880000}"/>
    <cellStyle name="Normal 4 9 3 2 4 2 4" xfId="24683" xr:uid="{00000000-0005-0000-0000-000064880000}"/>
    <cellStyle name="Normal 4 9 3 2 4 2 5" xfId="24684" xr:uid="{00000000-0005-0000-0000-000065880000}"/>
    <cellStyle name="Normal 4 9 3 2 4 2 6" xfId="24685" xr:uid="{00000000-0005-0000-0000-000066880000}"/>
    <cellStyle name="Normal 4 9 3 2 4 3" xfId="24686" xr:uid="{00000000-0005-0000-0000-000067880000}"/>
    <cellStyle name="Normal 4 9 3 2 4 3 2" xfId="56257" xr:uid="{00000000-0005-0000-0000-000068880000}"/>
    <cellStyle name="Normal 4 9 3 2 4 3 3" xfId="56258" xr:uid="{00000000-0005-0000-0000-000069880000}"/>
    <cellStyle name="Normal 4 9 3 2 4 4" xfId="24687" xr:uid="{00000000-0005-0000-0000-00006A880000}"/>
    <cellStyle name="Normal 4 9 3 2 4 4 2" xfId="56259" xr:uid="{00000000-0005-0000-0000-00006B880000}"/>
    <cellStyle name="Normal 4 9 3 2 4 5" xfId="24688" xr:uid="{00000000-0005-0000-0000-00006C880000}"/>
    <cellStyle name="Normal 4 9 3 2 4 6" xfId="24689" xr:uid="{00000000-0005-0000-0000-00006D880000}"/>
    <cellStyle name="Normal 4 9 3 2 4 7" xfId="24690" xr:uid="{00000000-0005-0000-0000-00006E880000}"/>
    <cellStyle name="Normal 4 9 3 2 5" xfId="24691" xr:uid="{00000000-0005-0000-0000-00006F880000}"/>
    <cellStyle name="Normal 4 9 3 2 5 2" xfId="24692" xr:uid="{00000000-0005-0000-0000-000070880000}"/>
    <cellStyle name="Normal 4 9 3 2 5 2 2" xfId="56260" xr:uid="{00000000-0005-0000-0000-000071880000}"/>
    <cellStyle name="Normal 4 9 3 2 5 2 3" xfId="56261" xr:uid="{00000000-0005-0000-0000-000072880000}"/>
    <cellStyle name="Normal 4 9 3 2 5 3" xfId="24693" xr:uid="{00000000-0005-0000-0000-000073880000}"/>
    <cellStyle name="Normal 4 9 3 2 5 3 2" xfId="56262" xr:uid="{00000000-0005-0000-0000-000074880000}"/>
    <cellStyle name="Normal 4 9 3 2 5 4" xfId="24694" xr:uid="{00000000-0005-0000-0000-000075880000}"/>
    <cellStyle name="Normal 4 9 3 2 5 5" xfId="24695" xr:uid="{00000000-0005-0000-0000-000076880000}"/>
    <cellStyle name="Normal 4 9 3 2 5 6" xfId="24696" xr:uid="{00000000-0005-0000-0000-000077880000}"/>
    <cellStyle name="Normal 4 9 3 2 6" xfId="24697" xr:uid="{00000000-0005-0000-0000-000078880000}"/>
    <cellStyle name="Normal 4 9 3 2 6 2" xfId="56263" xr:uid="{00000000-0005-0000-0000-000079880000}"/>
    <cellStyle name="Normal 4 9 3 2 6 3" xfId="56264" xr:uid="{00000000-0005-0000-0000-00007A880000}"/>
    <cellStyle name="Normal 4 9 3 2 7" xfId="24698" xr:uid="{00000000-0005-0000-0000-00007B880000}"/>
    <cellStyle name="Normal 4 9 3 2 7 2" xfId="56265" xr:uid="{00000000-0005-0000-0000-00007C880000}"/>
    <cellStyle name="Normal 4 9 3 2 8" xfId="24699" xr:uid="{00000000-0005-0000-0000-00007D880000}"/>
    <cellStyle name="Normal 4 9 3 2 9" xfId="24700" xr:uid="{00000000-0005-0000-0000-00007E880000}"/>
    <cellStyle name="Normal 4 9 3 3" xfId="24701" xr:uid="{00000000-0005-0000-0000-00007F880000}"/>
    <cellStyle name="Normal 4 9 3 3 2" xfId="24702" xr:uid="{00000000-0005-0000-0000-000080880000}"/>
    <cellStyle name="Normal 4 9 3 3 2 2" xfId="24703" xr:uid="{00000000-0005-0000-0000-000081880000}"/>
    <cellStyle name="Normal 4 9 3 3 2 2 2" xfId="24704" xr:uid="{00000000-0005-0000-0000-000082880000}"/>
    <cellStyle name="Normal 4 9 3 3 2 2 2 2" xfId="56266" xr:uid="{00000000-0005-0000-0000-000083880000}"/>
    <cellStyle name="Normal 4 9 3 3 2 2 2 3" xfId="56267" xr:uid="{00000000-0005-0000-0000-000084880000}"/>
    <cellStyle name="Normal 4 9 3 3 2 2 3" xfId="24705" xr:uid="{00000000-0005-0000-0000-000085880000}"/>
    <cellStyle name="Normal 4 9 3 3 2 2 3 2" xfId="56268" xr:uid="{00000000-0005-0000-0000-000086880000}"/>
    <cellStyle name="Normal 4 9 3 3 2 2 4" xfId="24706" xr:uid="{00000000-0005-0000-0000-000087880000}"/>
    <cellStyle name="Normal 4 9 3 3 2 2 5" xfId="24707" xr:uid="{00000000-0005-0000-0000-000088880000}"/>
    <cellStyle name="Normal 4 9 3 3 2 2 6" xfId="24708" xr:uid="{00000000-0005-0000-0000-000089880000}"/>
    <cellStyle name="Normal 4 9 3 3 2 3" xfId="24709" xr:uid="{00000000-0005-0000-0000-00008A880000}"/>
    <cellStyle name="Normal 4 9 3 3 2 3 2" xfId="56269" xr:uid="{00000000-0005-0000-0000-00008B880000}"/>
    <cellStyle name="Normal 4 9 3 3 2 3 3" xfId="56270" xr:uid="{00000000-0005-0000-0000-00008C880000}"/>
    <cellStyle name="Normal 4 9 3 3 2 4" xfId="24710" xr:uid="{00000000-0005-0000-0000-00008D880000}"/>
    <cellStyle name="Normal 4 9 3 3 2 4 2" xfId="56271" xr:uid="{00000000-0005-0000-0000-00008E880000}"/>
    <cellStyle name="Normal 4 9 3 3 2 5" xfId="24711" xr:uid="{00000000-0005-0000-0000-00008F880000}"/>
    <cellStyle name="Normal 4 9 3 3 2 6" xfId="24712" xr:uid="{00000000-0005-0000-0000-000090880000}"/>
    <cellStyle name="Normal 4 9 3 3 2 7" xfId="24713" xr:uid="{00000000-0005-0000-0000-000091880000}"/>
    <cellStyle name="Normal 4 9 3 3 3" xfId="24714" xr:uid="{00000000-0005-0000-0000-000092880000}"/>
    <cellStyle name="Normal 4 9 3 3 3 2" xfId="24715" xr:uid="{00000000-0005-0000-0000-000093880000}"/>
    <cellStyle name="Normal 4 9 3 3 3 2 2" xfId="56272" xr:uid="{00000000-0005-0000-0000-000094880000}"/>
    <cellStyle name="Normal 4 9 3 3 3 2 3" xfId="56273" xr:uid="{00000000-0005-0000-0000-000095880000}"/>
    <cellStyle name="Normal 4 9 3 3 3 3" xfId="24716" xr:uid="{00000000-0005-0000-0000-000096880000}"/>
    <cellStyle name="Normal 4 9 3 3 3 3 2" xfId="56274" xr:uid="{00000000-0005-0000-0000-000097880000}"/>
    <cellStyle name="Normal 4 9 3 3 3 4" xfId="24717" xr:uid="{00000000-0005-0000-0000-000098880000}"/>
    <cellStyle name="Normal 4 9 3 3 3 5" xfId="24718" xr:uid="{00000000-0005-0000-0000-000099880000}"/>
    <cellStyle name="Normal 4 9 3 3 3 6" xfId="24719" xr:uid="{00000000-0005-0000-0000-00009A880000}"/>
    <cellStyle name="Normal 4 9 3 3 4" xfId="24720" xr:uid="{00000000-0005-0000-0000-00009B880000}"/>
    <cellStyle name="Normal 4 9 3 3 4 2" xfId="56275" xr:uid="{00000000-0005-0000-0000-00009C880000}"/>
    <cellStyle name="Normal 4 9 3 3 4 3" xfId="56276" xr:uid="{00000000-0005-0000-0000-00009D880000}"/>
    <cellStyle name="Normal 4 9 3 3 5" xfId="24721" xr:uid="{00000000-0005-0000-0000-00009E880000}"/>
    <cellStyle name="Normal 4 9 3 3 5 2" xfId="56277" xr:uid="{00000000-0005-0000-0000-00009F880000}"/>
    <cellStyle name="Normal 4 9 3 3 6" xfId="24722" xr:uid="{00000000-0005-0000-0000-0000A0880000}"/>
    <cellStyle name="Normal 4 9 3 3 7" xfId="24723" xr:uid="{00000000-0005-0000-0000-0000A1880000}"/>
    <cellStyle name="Normal 4 9 3 3 8" xfId="24724" xr:uid="{00000000-0005-0000-0000-0000A2880000}"/>
    <cellStyle name="Normal 4 9 3 3 9" xfId="24725" xr:uid="{00000000-0005-0000-0000-0000A3880000}"/>
    <cellStyle name="Normal 4 9 3 4" xfId="24726" xr:uid="{00000000-0005-0000-0000-0000A4880000}"/>
    <cellStyle name="Normal 4 9 3 4 2" xfId="24727" xr:uid="{00000000-0005-0000-0000-0000A5880000}"/>
    <cellStyle name="Normal 4 9 3 4 2 2" xfId="24728" xr:uid="{00000000-0005-0000-0000-0000A6880000}"/>
    <cellStyle name="Normal 4 9 3 4 2 2 2" xfId="24729" xr:uid="{00000000-0005-0000-0000-0000A7880000}"/>
    <cellStyle name="Normal 4 9 3 4 2 2 2 2" xfId="56278" xr:uid="{00000000-0005-0000-0000-0000A8880000}"/>
    <cellStyle name="Normal 4 9 3 4 2 2 2 3" xfId="56279" xr:uid="{00000000-0005-0000-0000-0000A9880000}"/>
    <cellStyle name="Normal 4 9 3 4 2 2 3" xfId="24730" xr:uid="{00000000-0005-0000-0000-0000AA880000}"/>
    <cellStyle name="Normal 4 9 3 4 2 2 3 2" xfId="56280" xr:uid="{00000000-0005-0000-0000-0000AB880000}"/>
    <cellStyle name="Normal 4 9 3 4 2 2 4" xfId="24731" xr:uid="{00000000-0005-0000-0000-0000AC880000}"/>
    <cellStyle name="Normal 4 9 3 4 2 2 5" xfId="24732" xr:uid="{00000000-0005-0000-0000-0000AD880000}"/>
    <cellStyle name="Normal 4 9 3 4 2 2 6" xfId="24733" xr:uid="{00000000-0005-0000-0000-0000AE880000}"/>
    <cellStyle name="Normal 4 9 3 4 2 3" xfId="24734" xr:uid="{00000000-0005-0000-0000-0000AF880000}"/>
    <cellStyle name="Normal 4 9 3 4 2 3 2" xfId="56281" xr:uid="{00000000-0005-0000-0000-0000B0880000}"/>
    <cellStyle name="Normal 4 9 3 4 2 3 3" xfId="56282" xr:uid="{00000000-0005-0000-0000-0000B1880000}"/>
    <cellStyle name="Normal 4 9 3 4 2 4" xfId="24735" xr:uid="{00000000-0005-0000-0000-0000B2880000}"/>
    <cellStyle name="Normal 4 9 3 4 2 4 2" xfId="56283" xr:uid="{00000000-0005-0000-0000-0000B3880000}"/>
    <cellStyle name="Normal 4 9 3 4 2 5" xfId="24736" xr:uid="{00000000-0005-0000-0000-0000B4880000}"/>
    <cellStyle name="Normal 4 9 3 4 2 6" xfId="24737" xr:uid="{00000000-0005-0000-0000-0000B5880000}"/>
    <cellStyle name="Normal 4 9 3 4 2 7" xfId="24738" xr:uid="{00000000-0005-0000-0000-0000B6880000}"/>
    <cellStyle name="Normal 4 9 3 4 3" xfId="24739" xr:uid="{00000000-0005-0000-0000-0000B7880000}"/>
    <cellStyle name="Normal 4 9 3 4 3 2" xfId="24740" xr:uid="{00000000-0005-0000-0000-0000B8880000}"/>
    <cellStyle name="Normal 4 9 3 4 3 2 2" xfId="56284" xr:uid="{00000000-0005-0000-0000-0000B9880000}"/>
    <cellStyle name="Normal 4 9 3 4 3 2 3" xfId="56285" xr:uid="{00000000-0005-0000-0000-0000BA880000}"/>
    <cellStyle name="Normal 4 9 3 4 3 3" xfId="24741" xr:uid="{00000000-0005-0000-0000-0000BB880000}"/>
    <cellStyle name="Normal 4 9 3 4 3 3 2" xfId="56286" xr:uid="{00000000-0005-0000-0000-0000BC880000}"/>
    <cellStyle name="Normal 4 9 3 4 3 4" xfId="24742" xr:uid="{00000000-0005-0000-0000-0000BD880000}"/>
    <cellStyle name="Normal 4 9 3 4 3 5" xfId="24743" xr:uid="{00000000-0005-0000-0000-0000BE880000}"/>
    <cellStyle name="Normal 4 9 3 4 3 6" xfId="24744" xr:uid="{00000000-0005-0000-0000-0000BF880000}"/>
    <cellStyle name="Normal 4 9 3 4 4" xfId="24745" xr:uid="{00000000-0005-0000-0000-0000C0880000}"/>
    <cellStyle name="Normal 4 9 3 4 4 2" xfId="56287" xr:uid="{00000000-0005-0000-0000-0000C1880000}"/>
    <cellStyle name="Normal 4 9 3 4 4 3" xfId="56288" xr:uid="{00000000-0005-0000-0000-0000C2880000}"/>
    <cellStyle name="Normal 4 9 3 4 5" xfId="24746" xr:uid="{00000000-0005-0000-0000-0000C3880000}"/>
    <cellStyle name="Normal 4 9 3 4 5 2" xfId="56289" xr:uid="{00000000-0005-0000-0000-0000C4880000}"/>
    <cellStyle name="Normal 4 9 3 4 6" xfId="24747" xr:uid="{00000000-0005-0000-0000-0000C5880000}"/>
    <cellStyle name="Normal 4 9 3 4 7" xfId="24748" xr:uid="{00000000-0005-0000-0000-0000C6880000}"/>
    <cellStyle name="Normal 4 9 3 4 8" xfId="24749" xr:uid="{00000000-0005-0000-0000-0000C7880000}"/>
    <cellStyle name="Normal 4 9 3 5" xfId="24750" xr:uid="{00000000-0005-0000-0000-0000C8880000}"/>
    <cellStyle name="Normal 4 9 3 5 2" xfId="24751" xr:uid="{00000000-0005-0000-0000-0000C9880000}"/>
    <cellStyle name="Normal 4 9 3 5 2 2" xfId="24752" xr:uid="{00000000-0005-0000-0000-0000CA880000}"/>
    <cellStyle name="Normal 4 9 3 5 2 2 2" xfId="56290" xr:uid="{00000000-0005-0000-0000-0000CB880000}"/>
    <cellStyle name="Normal 4 9 3 5 2 2 3" xfId="56291" xr:uid="{00000000-0005-0000-0000-0000CC880000}"/>
    <cellStyle name="Normal 4 9 3 5 2 3" xfId="24753" xr:uid="{00000000-0005-0000-0000-0000CD880000}"/>
    <cellStyle name="Normal 4 9 3 5 2 3 2" xfId="56292" xr:uid="{00000000-0005-0000-0000-0000CE880000}"/>
    <cellStyle name="Normal 4 9 3 5 2 4" xfId="24754" xr:uid="{00000000-0005-0000-0000-0000CF880000}"/>
    <cellStyle name="Normal 4 9 3 5 2 5" xfId="24755" xr:uid="{00000000-0005-0000-0000-0000D0880000}"/>
    <cellStyle name="Normal 4 9 3 5 2 6" xfId="24756" xr:uid="{00000000-0005-0000-0000-0000D1880000}"/>
    <cellStyle name="Normal 4 9 3 5 3" xfId="24757" xr:uid="{00000000-0005-0000-0000-0000D2880000}"/>
    <cellStyle name="Normal 4 9 3 5 3 2" xfId="56293" xr:uid="{00000000-0005-0000-0000-0000D3880000}"/>
    <cellStyle name="Normal 4 9 3 5 3 3" xfId="56294" xr:uid="{00000000-0005-0000-0000-0000D4880000}"/>
    <cellStyle name="Normal 4 9 3 5 4" xfId="24758" xr:uid="{00000000-0005-0000-0000-0000D5880000}"/>
    <cellStyle name="Normal 4 9 3 5 4 2" xfId="56295" xr:uid="{00000000-0005-0000-0000-0000D6880000}"/>
    <cellStyle name="Normal 4 9 3 5 5" xfId="24759" xr:uid="{00000000-0005-0000-0000-0000D7880000}"/>
    <cellStyle name="Normal 4 9 3 5 6" xfId="24760" xr:uid="{00000000-0005-0000-0000-0000D8880000}"/>
    <cellStyle name="Normal 4 9 3 5 7" xfId="24761" xr:uid="{00000000-0005-0000-0000-0000D9880000}"/>
    <cellStyle name="Normal 4 9 3 6" xfId="24762" xr:uid="{00000000-0005-0000-0000-0000DA880000}"/>
    <cellStyle name="Normal 4 9 3 6 2" xfId="24763" xr:uid="{00000000-0005-0000-0000-0000DB880000}"/>
    <cellStyle name="Normal 4 9 3 6 2 2" xfId="56296" xr:uid="{00000000-0005-0000-0000-0000DC880000}"/>
    <cellStyle name="Normal 4 9 3 6 2 3" xfId="56297" xr:uid="{00000000-0005-0000-0000-0000DD880000}"/>
    <cellStyle name="Normal 4 9 3 6 3" xfId="24764" xr:uid="{00000000-0005-0000-0000-0000DE880000}"/>
    <cellStyle name="Normal 4 9 3 6 3 2" xfId="56298" xr:uid="{00000000-0005-0000-0000-0000DF880000}"/>
    <cellStyle name="Normal 4 9 3 6 4" xfId="24765" xr:uid="{00000000-0005-0000-0000-0000E0880000}"/>
    <cellStyle name="Normal 4 9 3 6 5" xfId="24766" xr:uid="{00000000-0005-0000-0000-0000E1880000}"/>
    <cellStyle name="Normal 4 9 3 6 6" xfId="24767" xr:uid="{00000000-0005-0000-0000-0000E2880000}"/>
    <cellStyle name="Normal 4 9 3 7" xfId="24768" xr:uid="{00000000-0005-0000-0000-0000E3880000}"/>
    <cellStyle name="Normal 4 9 3 7 2" xfId="56299" xr:uid="{00000000-0005-0000-0000-0000E4880000}"/>
    <cellStyle name="Normal 4 9 3 7 3" xfId="56300" xr:uid="{00000000-0005-0000-0000-0000E5880000}"/>
    <cellStyle name="Normal 4 9 3 8" xfId="24769" xr:uid="{00000000-0005-0000-0000-0000E6880000}"/>
    <cellStyle name="Normal 4 9 3 8 2" xfId="56301" xr:uid="{00000000-0005-0000-0000-0000E7880000}"/>
    <cellStyle name="Normal 4 9 3 9" xfId="24770" xr:uid="{00000000-0005-0000-0000-0000E8880000}"/>
    <cellStyle name="Normal 4 9 4" xfId="24771" xr:uid="{00000000-0005-0000-0000-0000E9880000}"/>
    <cellStyle name="Normal 4 9 4 10" xfId="24772" xr:uid="{00000000-0005-0000-0000-0000EA880000}"/>
    <cellStyle name="Normal 4 9 4 11" xfId="24773" xr:uid="{00000000-0005-0000-0000-0000EB880000}"/>
    <cellStyle name="Normal 4 9 4 12" xfId="24774" xr:uid="{00000000-0005-0000-0000-0000EC880000}"/>
    <cellStyle name="Normal 4 9 4 13" xfId="24775" xr:uid="{00000000-0005-0000-0000-0000ED880000}"/>
    <cellStyle name="Normal 4 9 4 14" xfId="24776" xr:uid="{00000000-0005-0000-0000-0000EE880000}"/>
    <cellStyle name="Normal 4 9 4 2" xfId="24777" xr:uid="{00000000-0005-0000-0000-0000EF880000}"/>
    <cellStyle name="Normal 4 9 4 2 2" xfId="24778" xr:uid="{00000000-0005-0000-0000-0000F0880000}"/>
    <cellStyle name="Normal 4 9 4 2 2 2" xfId="24779" xr:uid="{00000000-0005-0000-0000-0000F1880000}"/>
    <cellStyle name="Normal 4 9 4 2 2 2 2" xfId="24780" xr:uid="{00000000-0005-0000-0000-0000F2880000}"/>
    <cellStyle name="Normal 4 9 4 2 2 2 2 2" xfId="56302" xr:uid="{00000000-0005-0000-0000-0000F3880000}"/>
    <cellStyle name="Normal 4 9 4 2 2 2 2 3" xfId="56303" xr:uid="{00000000-0005-0000-0000-0000F4880000}"/>
    <cellStyle name="Normal 4 9 4 2 2 2 3" xfId="24781" xr:uid="{00000000-0005-0000-0000-0000F5880000}"/>
    <cellStyle name="Normal 4 9 4 2 2 2 3 2" xfId="56304" xr:uid="{00000000-0005-0000-0000-0000F6880000}"/>
    <cellStyle name="Normal 4 9 4 2 2 2 4" xfId="24782" xr:uid="{00000000-0005-0000-0000-0000F7880000}"/>
    <cellStyle name="Normal 4 9 4 2 2 2 5" xfId="24783" xr:uid="{00000000-0005-0000-0000-0000F8880000}"/>
    <cellStyle name="Normal 4 9 4 2 2 2 6" xfId="24784" xr:uid="{00000000-0005-0000-0000-0000F9880000}"/>
    <cellStyle name="Normal 4 9 4 2 2 3" xfId="24785" xr:uid="{00000000-0005-0000-0000-0000FA880000}"/>
    <cellStyle name="Normal 4 9 4 2 2 3 2" xfId="56305" xr:uid="{00000000-0005-0000-0000-0000FB880000}"/>
    <cellStyle name="Normal 4 9 4 2 2 3 3" xfId="56306" xr:uid="{00000000-0005-0000-0000-0000FC880000}"/>
    <cellStyle name="Normal 4 9 4 2 2 4" xfId="24786" xr:uid="{00000000-0005-0000-0000-0000FD880000}"/>
    <cellStyle name="Normal 4 9 4 2 2 4 2" xfId="56307" xr:uid="{00000000-0005-0000-0000-0000FE880000}"/>
    <cellStyle name="Normal 4 9 4 2 2 5" xfId="24787" xr:uid="{00000000-0005-0000-0000-0000FF880000}"/>
    <cellStyle name="Normal 4 9 4 2 2 6" xfId="24788" xr:uid="{00000000-0005-0000-0000-000000890000}"/>
    <cellStyle name="Normal 4 9 4 2 2 7" xfId="24789" xr:uid="{00000000-0005-0000-0000-000001890000}"/>
    <cellStyle name="Normal 4 9 4 2 3" xfId="24790" xr:uid="{00000000-0005-0000-0000-000002890000}"/>
    <cellStyle name="Normal 4 9 4 2 3 2" xfId="24791" xr:uid="{00000000-0005-0000-0000-000003890000}"/>
    <cellStyle name="Normal 4 9 4 2 3 2 2" xfId="56308" xr:uid="{00000000-0005-0000-0000-000004890000}"/>
    <cellStyle name="Normal 4 9 4 2 3 2 3" xfId="56309" xr:uid="{00000000-0005-0000-0000-000005890000}"/>
    <cellStyle name="Normal 4 9 4 2 3 3" xfId="24792" xr:uid="{00000000-0005-0000-0000-000006890000}"/>
    <cellStyle name="Normal 4 9 4 2 3 3 2" xfId="56310" xr:uid="{00000000-0005-0000-0000-000007890000}"/>
    <cellStyle name="Normal 4 9 4 2 3 4" xfId="24793" xr:uid="{00000000-0005-0000-0000-000008890000}"/>
    <cellStyle name="Normal 4 9 4 2 3 5" xfId="24794" xr:uid="{00000000-0005-0000-0000-000009890000}"/>
    <cellStyle name="Normal 4 9 4 2 3 6" xfId="24795" xr:uid="{00000000-0005-0000-0000-00000A890000}"/>
    <cellStyle name="Normal 4 9 4 2 4" xfId="24796" xr:uid="{00000000-0005-0000-0000-00000B890000}"/>
    <cellStyle name="Normal 4 9 4 2 4 2" xfId="56311" xr:uid="{00000000-0005-0000-0000-00000C890000}"/>
    <cellStyle name="Normal 4 9 4 2 4 3" xfId="56312" xr:uid="{00000000-0005-0000-0000-00000D890000}"/>
    <cellStyle name="Normal 4 9 4 2 5" xfId="24797" xr:uid="{00000000-0005-0000-0000-00000E890000}"/>
    <cellStyle name="Normal 4 9 4 2 5 2" xfId="56313" xr:uid="{00000000-0005-0000-0000-00000F890000}"/>
    <cellStyle name="Normal 4 9 4 2 6" xfId="24798" xr:uid="{00000000-0005-0000-0000-000010890000}"/>
    <cellStyle name="Normal 4 9 4 2 7" xfId="24799" xr:uid="{00000000-0005-0000-0000-000011890000}"/>
    <cellStyle name="Normal 4 9 4 2 8" xfId="24800" xr:uid="{00000000-0005-0000-0000-000012890000}"/>
    <cellStyle name="Normal 4 9 4 2 9" xfId="24801" xr:uid="{00000000-0005-0000-0000-000013890000}"/>
    <cellStyle name="Normal 4 9 4 3" xfId="24802" xr:uid="{00000000-0005-0000-0000-000014890000}"/>
    <cellStyle name="Normal 4 9 4 3 2" xfId="24803" xr:uid="{00000000-0005-0000-0000-000015890000}"/>
    <cellStyle name="Normal 4 9 4 3 2 2" xfId="24804" xr:uid="{00000000-0005-0000-0000-000016890000}"/>
    <cellStyle name="Normal 4 9 4 3 2 2 2" xfId="24805" xr:uid="{00000000-0005-0000-0000-000017890000}"/>
    <cellStyle name="Normal 4 9 4 3 2 2 2 2" xfId="56314" xr:uid="{00000000-0005-0000-0000-000018890000}"/>
    <cellStyle name="Normal 4 9 4 3 2 2 2 3" xfId="56315" xr:uid="{00000000-0005-0000-0000-000019890000}"/>
    <cellStyle name="Normal 4 9 4 3 2 2 3" xfId="24806" xr:uid="{00000000-0005-0000-0000-00001A890000}"/>
    <cellStyle name="Normal 4 9 4 3 2 2 3 2" xfId="56316" xr:uid="{00000000-0005-0000-0000-00001B890000}"/>
    <cellStyle name="Normal 4 9 4 3 2 2 4" xfId="24807" xr:uid="{00000000-0005-0000-0000-00001C890000}"/>
    <cellStyle name="Normal 4 9 4 3 2 2 5" xfId="24808" xr:uid="{00000000-0005-0000-0000-00001D890000}"/>
    <cellStyle name="Normal 4 9 4 3 2 2 6" xfId="24809" xr:uid="{00000000-0005-0000-0000-00001E890000}"/>
    <cellStyle name="Normal 4 9 4 3 2 3" xfId="24810" xr:uid="{00000000-0005-0000-0000-00001F890000}"/>
    <cellStyle name="Normal 4 9 4 3 2 3 2" xfId="56317" xr:uid="{00000000-0005-0000-0000-000020890000}"/>
    <cellStyle name="Normal 4 9 4 3 2 3 3" xfId="56318" xr:uid="{00000000-0005-0000-0000-000021890000}"/>
    <cellStyle name="Normal 4 9 4 3 2 4" xfId="24811" xr:uid="{00000000-0005-0000-0000-000022890000}"/>
    <cellStyle name="Normal 4 9 4 3 2 4 2" xfId="56319" xr:uid="{00000000-0005-0000-0000-000023890000}"/>
    <cellStyle name="Normal 4 9 4 3 2 5" xfId="24812" xr:uid="{00000000-0005-0000-0000-000024890000}"/>
    <cellStyle name="Normal 4 9 4 3 2 6" xfId="24813" xr:uid="{00000000-0005-0000-0000-000025890000}"/>
    <cellStyle name="Normal 4 9 4 3 2 7" xfId="24814" xr:uid="{00000000-0005-0000-0000-000026890000}"/>
    <cellStyle name="Normal 4 9 4 3 3" xfId="24815" xr:uid="{00000000-0005-0000-0000-000027890000}"/>
    <cellStyle name="Normal 4 9 4 3 3 2" xfId="24816" xr:uid="{00000000-0005-0000-0000-000028890000}"/>
    <cellStyle name="Normal 4 9 4 3 3 2 2" xfId="56320" xr:uid="{00000000-0005-0000-0000-000029890000}"/>
    <cellStyle name="Normal 4 9 4 3 3 2 3" xfId="56321" xr:uid="{00000000-0005-0000-0000-00002A890000}"/>
    <cellStyle name="Normal 4 9 4 3 3 3" xfId="24817" xr:uid="{00000000-0005-0000-0000-00002B890000}"/>
    <cellStyle name="Normal 4 9 4 3 3 3 2" xfId="56322" xr:uid="{00000000-0005-0000-0000-00002C890000}"/>
    <cellStyle name="Normal 4 9 4 3 3 4" xfId="24818" xr:uid="{00000000-0005-0000-0000-00002D890000}"/>
    <cellStyle name="Normal 4 9 4 3 3 5" xfId="24819" xr:uid="{00000000-0005-0000-0000-00002E890000}"/>
    <cellStyle name="Normal 4 9 4 3 3 6" xfId="24820" xr:uid="{00000000-0005-0000-0000-00002F890000}"/>
    <cellStyle name="Normal 4 9 4 3 4" xfId="24821" xr:uid="{00000000-0005-0000-0000-000030890000}"/>
    <cellStyle name="Normal 4 9 4 3 4 2" xfId="56323" xr:uid="{00000000-0005-0000-0000-000031890000}"/>
    <cellStyle name="Normal 4 9 4 3 4 3" xfId="56324" xr:uid="{00000000-0005-0000-0000-000032890000}"/>
    <cellStyle name="Normal 4 9 4 3 5" xfId="24822" xr:uid="{00000000-0005-0000-0000-000033890000}"/>
    <cellStyle name="Normal 4 9 4 3 5 2" xfId="56325" xr:uid="{00000000-0005-0000-0000-000034890000}"/>
    <cellStyle name="Normal 4 9 4 3 6" xfId="24823" xr:uid="{00000000-0005-0000-0000-000035890000}"/>
    <cellStyle name="Normal 4 9 4 3 7" xfId="24824" xr:uid="{00000000-0005-0000-0000-000036890000}"/>
    <cellStyle name="Normal 4 9 4 3 8" xfId="24825" xr:uid="{00000000-0005-0000-0000-000037890000}"/>
    <cellStyle name="Normal 4 9 4 4" xfId="24826" xr:uid="{00000000-0005-0000-0000-000038890000}"/>
    <cellStyle name="Normal 4 9 4 4 2" xfId="24827" xr:uid="{00000000-0005-0000-0000-000039890000}"/>
    <cellStyle name="Normal 4 9 4 4 2 2" xfId="24828" xr:uid="{00000000-0005-0000-0000-00003A890000}"/>
    <cellStyle name="Normal 4 9 4 4 2 2 2" xfId="56326" xr:uid="{00000000-0005-0000-0000-00003B890000}"/>
    <cellStyle name="Normal 4 9 4 4 2 2 3" xfId="56327" xr:uid="{00000000-0005-0000-0000-00003C890000}"/>
    <cellStyle name="Normal 4 9 4 4 2 3" xfId="24829" xr:uid="{00000000-0005-0000-0000-00003D890000}"/>
    <cellStyle name="Normal 4 9 4 4 2 3 2" xfId="56328" xr:uid="{00000000-0005-0000-0000-00003E890000}"/>
    <cellStyle name="Normal 4 9 4 4 2 4" xfId="24830" xr:uid="{00000000-0005-0000-0000-00003F890000}"/>
    <cellStyle name="Normal 4 9 4 4 2 5" xfId="24831" xr:uid="{00000000-0005-0000-0000-000040890000}"/>
    <cellStyle name="Normal 4 9 4 4 2 6" xfId="24832" xr:uid="{00000000-0005-0000-0000-000041890000}"/>
    <cellStyle name="Normal 4 9 4 4 3" xfId="24833" xr:uid="{00000000-0005-0000-0000-000042890000}"/>
    <cellStyle name="Normal 4 9 4 4 3 2" xfId="56329" xr:uid="{00000000-0005-0000-0000-000043890000}"/>
    <cellStyle name="Normal 4 9 4 4 3 3" xfId="56330" xr:uid="{00000000-0005-0000-0000-000044890000}"/>
    <cellStyle name="Normal 4 9 4 4 4" xfId="24834" xr:uid="{00000000-0005-0000-0000-000045890000}"/>
    <cellStyle name="Normal 4 9 4 4 4 2" xfId="56331" xr:uid="{00000000-0005-0000-0000-000046890000}"/>
    <cellStyle name="Normal 4 9 4 4 5" xfId="24835" xr:uid="{00000000-0005-0000-0000-000047890000}"/>
    <cellStyle name="Normal 4 9 4 4 6" xfId="24836" xr:uid="{00000000-0005-0000-0000-000048890000}"/>
    <cellStyle name="Normal 4 9 4 4 7" xfId="24837" xr:uid="{00000000-0005-0000-0000-000049890000}"/>
    <cellStyle name="Normal 4 9 4 5" xfId="24838" xr:uid="{00000000-0005-0000-0000-00004A890000}"/>
    <cellStyle name="Normal 4 9 4 5 2" xfId="24839" xr:uid="{00000000-0005-0000-0000-00004B890000}"/>
    <cellStyle name="Normal 4 9 4 5 2 2" xfId="56332" xr:uid="{00000000-0005-0000-0000-00004C890000}"/>
    <cellStyle name="Normal 4 9 4 5 2 3" xfId="56333" xr:uid="{00000000-0005-0000-0000-00004D890000}"/>
    <cellStyle name="Normal 4 9 4 5 3" xfId="24840" xr:uid="{00000000-0005-0000-0000-00004E890000}"/>
    <cellStyle name="Normal 4 9 4 5 3 2" xfId="56334" xr:uid="{00000000-0005-0000-0000-00004F890000}"/>
    <cellStyle name="Normal 4 9 4 5 4" xfId="24841" xr:uid="{00000000-0005-0000-0000-000050890000}"/>
    <cellStyle name="Normal 4 9 4 5 5" xfId="24842" xr:uid="{00000000-0005-0000-0000-000051890000}"/>
    <cellStyle name="Normal 4 9 4 5 6" xfId="24843" xr:uid="{00000000-0005-0000-0000-000052890000}"/>
    <cellStyle name="Normal 4 9 4 6" xfId="24844" xr:uid="{00000000-0005-0000-0000-000053890000}"/>
    <cellStyle name="Normal 4 9 4 6 2" xfId="56335" xr:uid="{00000000-0005-0000-0000-000054890000}"/>
    <cellStyle name="Normal 4 9 4 6 3" xfId="56336" xr:uid="{00000000-0005-0000-0000-000055890000}"/>
    <cellStyle name="Normal 4 9 4 7" xfId="24845" xr:uid="{00000000-0005-0000-0000-000056890000}"/>
    <cellStyle name="Normal 4 9 4 7 2" xfId="56337" xr:uid="{00000000-0005-0000-0000-000057890000}"/>
    <cellStyle name="Normal 4 9 4 8" xfId="24846" xr:uid="{00000000-0005-0000-0000-000058890000}"/>
    <cellStyle name="Normal 4 9 4 9" xfId="24847" xr:uid="{00000000-0005-0000-0000-000059890000}"/>
    <cellStyle name="Normal 4 9 5" xfId="24848" xr:uid="{00000000-0005-0000-0000-00005A890000}"/>
    <cellStyle name="Normal 4 9 5 10" xfId="24849" xr:uid="{00000000-0005-0000-0000-00005B890000}"/>
    <cellStyle name="Normal 4 9 5 11" xfId="24850" xr:uid="{00000000-0005-0000-0000-00005C890000}"/>
    <cellStyle name="Normal 4 9 5 12" xfId="24851" xr:uid="{00000000-0005-0000-0000-00005D890000}"/>
    <cellStyle name="Normal 4 9 5 13" xfId="24852" xr:uid="{00000000-0005-0000-0000-00005E890000}"/>
    <cellStyle name="Normal 4 9 5 14" xfId="24853" xr:uid="{00000000-0005-0000-0000-00005F890000}"/>
    <cellStyle name="Normal 4 9 5 2" xfId="24854" xr:uid="{00000000-0005-0000-0000-000060890000}"/>
    <cellStyle name="Normal 4 9 5 2 2" xfId="24855" xr:uid="{00000000-0005-0000-0000-000061890000}"/>
    <cellStyle name="Normal 4 9 5 2 2 2" xfId="24856" xr:uid="{00000000-0005-0000-0000-000062890000}"/>
    <cellStyle name="Normal 4 9 5 2 2 2 2" xfId="24857" xr:uid="{00000000-0005-0000-0000-000063890000}"/>
    <cellStyle name="Normal 4 9 5 2 2 2 2 2" xfId="56338" xr:uid="{00000000-0005-0000-0000-000064890000}"/>
    <cellStyle name="Normal 4 9 5 2 2 2 2 3" xfId="56339" xr:uid="{00000000-0005-0000-0000-000065890000}"/>
    <cellStyle name="Normal 4 9 5 2 2 2 3" xfId="24858" xr:uid="{00000000-0005-0000-0000-000066890000}"/>
    <cellStyle name="Normal 4 9 5 2 2 2 3 2" xfId="56340" xr:uid="{00000000-0005-0000-0000-000067890000}"/>
    <cellStyle name="Normal 4 9 5 2 2 2 4" xfId="24859" xr:uid="{00000000-0005-0000-0000-000068890000}"/>
    <cellStyle name="Normal 4 9 5 2 2 2 5" xfId="24860" xr:uid="{00000000-0005-0000-0000-000069890000}"/>
    <cellStyle name="Normal 4 9 5 2 2 2 6" xfId="24861" xr:uid="{00000000-0005-0000-0000-00006A890000}"/>
    <cellStyle name="Normal 4 9 5 2 2 3" xfId="24862" xr:uid="{00000000-0005-0000-0000-00006B890000}"/>
    <cellStyle name="Normal 4 9 5 2 2 3 2" xfId="56341" xr:uid="{00000000-0005-0000-0000-00006C890000}"/>
    <cellStyle name="Normal 4 9 5 2 2 3 3" xfId="56342" xr:uid="{00000000-0005-0000-0000-00006D890000}"/>
    <cellStyle name="Normal 4 9 5 2 2 4" xfId="24863" xr:uid="{00000000-0005-0000-0000-00006E890000}"/>
    <cellStyle name="Normal 4 9 5 2 2 4 2" xfId="56343" xr:uid="{00000000-0005-0000-0000-00006F890000}"/>
    <cellStyle name="Normal 4 9 5 2 2 5" xfId="24864" xr:uid="{00000000-0005-0000-0000-000070890000}"/>
    <cellStyle name="Normal 4 9 5 2 2 6" xfId="24865" xr:uid="{00000000-0005-0000-0000-000071890000}"/>
    <cellStyle name="Normal 4 9 5 2 2 7" xfId="24866" xr:uid="{00000000-0005-0000-0000-000072890000}"/>
    <cellStyle name="Normal 4 9 5 2 3" xfId="24867" xr:uid="{00000000-0005-0000-0000-000073890000}"/>
    <cellStyle name="Normal 4 9 5 2 3 2" xfId="24868" xr:uid="{00000000-0005-0000-0000-000074890000}"/>
    <cellStyle name="Normal 4 9 5 2 3 2 2" xfId="56344" xr:uid="{00000000-0005-0000-0000-000075890000}"/>
    <cellStyle name="Normal 4 9 5 2 3 2 3" xfId="56345" xr:uid="{00000000-0005-0000-0000-000076890000}"/>
    <cellStyle name="Normal 4 9 5 2 3 3" xfId="24869" xr:uid="{00000000-0005-0000-0000-000077890000}"/>
    <cellStyle name="Normal 4 9 5 2 3 3 2" xfId="56346" xr:uid="{00000000-0005-0000-0000-000078890000}"/>
    <cellStyle name="Normal 4 9 5 2 3 4" xfId="24870" xr:uid="{00000000-0005-0000-0000-000079890000}"/>
    <cellStyle name="Normal 4 9 5 2 3 5" xfId="24871" xr:uid="{00000000-0005-0000-0000-00007A890000}"/>
    <cellStyle name="Normal 4 9 5 2 3 6" xfId="24872" xr:uid="{00000000-0005-0000-0000-00007B890000}"/>
    <cellStyle name="Normal 4 9 5 2 4" xfId="24873" xr:uid="{00000000-0005-0000-0000-00007C890000}"/>
    <cellStyle name="Normal 4 9 5 2 4 2" xfId="56347" xr:uid="{00000000-0005-0000-0000-00007D890000}"/>
    <cellStyle name="Normal 4 9 5 2 4 3" xfId="56348" xr:uid="{00000000-0005-0000-0000-00007E890000}"/>
    <cellStyle name="Normal 4 9 5 2 5" xfId="24874" xr:uid="{00000000-0005-0000-0000-00007F890000}"/>
    <cellStyle name="Normal 4 9 5 2 5 2" xfId="56349" xr:uid="{00000000-0005-0000-0000-000080890000}"/>
    <cellStyle name="Normal 4 9 5 2 6" xfId="24875" xr:uid="{00000000-0005-0000-0000-000081890000}"/>
    <cellStyle name="Normal 4 9 5 2 7" xfId="24876" xr:uid="{00000000-0005-0000-0000-000082890000}"/>
    <cellStyle name="Normal 4 9 5 2 8" xfId="24877" xr:uid="{00000000-0005-0000-0000-000083890000}"/>
    <cellStyle name="Normal 4 9 5 2 9" xfId="24878" xr:uid="{00000000-0005-0000-0000-000084890000}"/>
    <cellStyle name="Normal 4 9 5 3" xfId="24879" xr:uid="{00000000-0005-0000-0000-000085890000}"/>
    <cellStyle name="Normal 4 9 5 3 2" xfId="24880" xr:uid="{00000000-0005-0000-0000-000086890000}"/>
    <cellStyle name="Normal 4 9 5 3 2 2" xfId="24881" xr:uid="{00000000-0005-0000-0000-000087890000}"/>
    <cellStyle name="Normal 4 9 5 3 2 2 2" xfId="24882" xr:uid="{00000000-0005-0000-0000-000088890000}"/>
    <cellStyle name="Normal 4 9 5 3 2 2 2 2" xfId="56350" xr:uid="{00000000-0005-0000-0000-000089890000}"/>
    <cellStyle name="Normal 4 9 5 3 2 2 2 3" xfId="56351" xr:uid="{00000000-0005-0000-0000-00008A890000}"/>
    <cellStyle name="Normal 4 9 5 3 2 2 3" xfId="24883" xr:uid="{00000000-0005-0000-0000-00008B890000}"/>
    <cellStyle name="Normal 4 9 5 3 2 2 3 2" xfId="56352" xr:uid="{00000000-0005-0000-0000-00008C890000}"/>
    <cellStyle name="Normal 4 9 5 3 2 2 4" xfId="24884" xr:uid="{00000000-0005-0000-0000-00008D890000}"/>
    <cellStyle name="Normal 4 9 5 3 2 2 5" xfId="24885" xr:uid="{00000000-0005-0000-0000-00008E890000}"/>
    <cellStyle name="Normal 4 9 5 3 2 2 6" xfId="24886" xr:uid="{00000000-0005-0000-0000-00008F890000}"/>
    <cellStyle name="Normal 4 9 5 3 2 3" xfId="24887" xr:uid="{00000000-0005-0000-0000-000090890000}"/>
    <cellStyle name="Normal 4 9 5 3 2 3 2" xfId="56353" xr:uid="{00000000-0005-0000-0000-000091890000}"/>
    <cellStyle name="Normal 4 9 5 3 2 3 3" xfId="56354" xr:uid="{00000000-0005-0000-0000-000092890000}"/>
    <cellStyle name="Normal 4 9 5 3 2 4" xfId="24888" xr:uid="{00000000-0005-0000-0000-000093890000}"/>
    <cellStyle name="Normal 4 9 5 3 2 4 2" xfId="56355" xr:uid="{00000000-0005-0000-0000-000094890000}"/>
    <cellStyle name="Normal 4 9 5 3 2 5" xfId="24889" xr:uid="{00000000-0005-0000-0000-000095890000}"/>
    <cellStyle name="Normal 4 9 5 3 2 6" xfId="24890" xr:uid="{00000000-0005-0000-0000-000096890000}"/>
    <cellStyle name="Normal 4 9 5 3 2 7" xfId="24891" xr:uid="{00000000-0005-0000-0000-000097890000}"/>
    <cellStyle name="Normal 4 9 5 3 3" xfId="24892" xr:uid="{00000000-0005-0000-0000-000098890000}"/>
    <cellStyle name="Normal 4 9 5 3 3 2" xfId="24893" xr:uid="{00000000-0005-0000-0000-000099890000}"/>
    <cellStyle name="Normal 4 9 5 3 3 2 2" xfId="56356" xr:uid="{00000000-0005-0000-0000-00009A890000}"/>
    <cellStyle name="Normal 4 9 5 3 3 2 3" xfId="56357" xr:uid="{00000000-0005-0000-0000-00009B890000}"/>
    <cellStyle name="Normal 4 9 5 3 3 3" xfId="24894" xr:uid="{00000000-0005-0000-0000-00009C890000}"/>
    <cellStyle name="Normal 4 9 5 3 3 3 2" xfId="56358" xr:uid="{00000000-0005-0000-0000-00009D890000}"/>
    <cellStyle name="Normal 4 9 5 3 3 4" xfId="24895" xr:uid="{00000000-0005-0000-0000-00009E890000}"/>
    <cellStyle name="Normal 4 9 5 3 3 5" xfId="24896" xr:uid="{00000000-0005-0000-0000-00009F890000}"/>
    <cellStyle name="Normal 4 9 5 3 3 6" xfId="24897" xr:uid="{00000000-0005-0000-0000-0000A0890000}"/>
    <cellStyle name="Normal 4 9 5 3 4" xfId="24898" xr:uid="{00000000-0005-0000-0000-0000A1890000}"/>
    <cellStyle name="Normal 4 9 5 3 4 2" xfId="56359" xr:uid="{00000000-0005-0000-0000-0000A2890000}"/>
    <cellStyle name="Normal 4 9 5 3 4 3" xfId="56360" xr:uid="{00000000-0005-0000-0000-0000A3890000}"/>
    <cellStyle name="Normal 4 9 5 3 5" xfId="24899" xr:uid="{00000000-0005-0000-0000-0000A4890000}"/>
    <cellStyle name="Normal 4 9 5 3 5 2" xfId="56361" xr:uid="{00000000-0005-0000-0000-0000A5890000}"/>
    <cellStyle name="Normal 4 9 5 3 6" xfId="24900" xr:uid="{00000000-0005-0000-0000-0000A6890000}"/>
    <cellStyle name="Normal 4 9 5 3 7" xfId="24901" xr:uid="{00000000-0005-0000-0000-0000A7890000}"/>
    <cellStyle name="Normal 4 9 5 3 8" xfId="24902" xr:uid="{00000000-0005-0000-0000-0000A8890000}"/>
    <cellStyle name="Normal 4 9 5 4" xfId="24903" xr:uid="{00000000-0005-0000-0000-0000A9890000}"/>
    <cellStyle name="Normal 4 9 5 4 2" xfId="24904" xr:uid="{00000000-0005-0000-0000-0000AA890000}"/>
    <cellStyle name="Normal 4 9 5 4 2 2" xfId="24905" xr:uid="{00000000-0005-0000-0000-0000AB890000}"/>
    <cellStyle name="Normal 4 9 5 4 2 2 2" xfId="56362" xr:uid="{00000000-0005-0000-0000-0000AC890000}"/>
    <cellStyle name="Normal 4 9 5 4 2 2 3" xfId="56363" xr:uid="{00000000-0005-0000-0000-0000AD890000}"/>
    <cellStyle name="Normal 4 9 5 4 2 3" xfId="24906" xr:uid="{00000000-0005-0000-0000-0000AE890000}"/>
    <cellStyle name="Normal 4 9 5 4 2 3 2" xfId="56364" xr:uid="{00000000-0005-0000-0000-0000AF890000}"/>
    <cellStyle name="Normal 4 9 5 4 2 4" xfId="24907" xr:uid="{00000000-0005-0000-0000-0000B0890000}"/>
    <cellStyle name="Normal 4 9 5 4 2 5" xfId="24908" xr:uid="{00000000-0005-0000-0000-0000B1890000}"/>
    <cellStyle name="Normal 4 9 5 4 2 6" xfId="24909" xr:uid="{00000000-0005-0000-0000-0000B2890000}"/>
    <cellStyle name="Normal 4 9 5 4 3" xfId="24910" xr:uid="{00000000-0005-0000-0000-0000B3890000}"/>
    <cellStyle name="Normal 4 9 5 4 3 2" xfId="56365" xr:uid="{00000000-0005-0000-0000-0000B4890000}"/>
    <cellStyle name="Normal 4 9 5 4 3 3" xfId="56366" xr:uid="{00000000-0005-0000-0000-0000B5890000}"/>
    <cellStyle name="Normal 4 9 5 4 4" xfId="24911" xr:uid="{00000000-0005-0000-0000-0000B6890000}"/>
    <cellStyle name="Normal 4 9 5 4 4 2" xfId="56367" xr:uid="{00000000-0005-0000-0000-0000B7890000}"/>
    <cellStyle name="Normal 4 9 5 4 5" xfId="24912" xr:uid="{00000000-0005-0000-0000-0000B8890000}"/>
    <cellStyle name="Normal 4 9 5 4 6" xfId="24913" xr:uid="{00000000-0005-0000-0000-0000B9890000}"/>
    <cellStyle name="Normal 4 9 5 4 7" xfId="24914" xr:uid="{00000000-0005-0000-0000-0000BA890000}"/>
    <cellStyle name="Normal 4 9 5 5" xfId="24915" xr:uid="{00000000-0005-0000-0000-0000BB890000}"/>
    <cellStyle name="Normal 4 9 5 5 2" xfId="24916" xr:uid="{00000000-0005-0000-0000-0000BC890000}"/>
    <cellStyle name="Normal 4 9 5 5 2 2" xfId="56368" xr:uid="{00000000-0005-0000-0000-0000BD890000}"/>
    <cellStyle name="Normal 4 9 5 5 2 3" xfId="56369" xr:uid="{00000000-0005-0000-0000-0000BE890000}"/>
    <cellStyle name="Normal 4 9 5 5 3" xfId="24917" xr:uid="{00000000-0005-0000-0000-0000BF890000}"/>
    <cellStyle name="Normal 4 9 5 5 3 2" xfId="56370" xr:uid="{00000000-0005-0000-0000-0000C0890000}"/>
    <cellStyle name="Normal 4 9 5 5 4" xfId="24918" xr:uid="{00000000-0005-0000-0000-0000C1890000}"/>
    <cellStyle name="Normal 4 9 5 5 5" xfId="24919" xr:uid="{00000000-0005-0000-0000-0000C2890000}"/>
    <cellStyle name="Normal 4 9 5 5 6" xfId="24920" xr:uid="{00000000-0005-0000-0000-0000C3890000}"/>
    <cellStyle name="Normal 4 9 5 6" xfId="24921" xr:uid="{00000000-0005-0000-0000-0000C4890000}"/>
    <cellStyle name="Normal 4 9 5 6 2" xfId="56371" xr:uid="{00000000-0005-0000-0000-0000C5890000}"/>
    <cellStyle name="Normal 4 9 5 6 3" xfId="56372" xr:uid="{00000000-0005-0000-0000-0000C6890000}"/>
    <cellStyle name="Normal 4 9 5 7" xfId="24922" xr:uid="{00000000-0005-0000-0000-0000C7890000}"/>
    <cellStyle name="Normal 4 9 5 7 2" xfId="56373" xr:uid="{00000000-0005-0000-0000-0000C8890000}"/>
    <cellStyle name="Normal 4 9 5 8" xfId="24923" xr:uid="{00000000-0005-0000-0000-0000C9890000}"/>
    <cellStyle name="Normal 4 9 5 9" xfId="24924" xr:uid="{00000000-0005-0000-0000-0000CA890000}"/>
    <cellStyle name="Normal 4 9 6" xfId="24925" xr:uid="{00000000-0005-0000-0000-0000CB890000}"/>
    <cellStyle name="Normal 4 9 6 10" xfId="24926" xr:uid="{00000000-0005-0000-0000-0000CC890000}"/>
    <cellStyle name="Normal 4 9 6 11" xfId="24927" xr:uid="{00000000-0005-0000-0000-0000CD890000}"/>
    <cellStyle name="Normal 4 9 6 12" xfId="24928" xr:uid="{00000000-0005-0000-0000-0000CE890000}"/>
    <cellStyle name="Normal 4 9 6 13" xfId="24929" xr:uid="{00000000-0005-0000-0000-0000CF890000}"/>
    <cellStyle name="Normal 4 9 6 2" xfId="24930" xr:uid="{00000000-0005-0000-0000-0000D0890000}"/>
    <cellStyle name="Normal 4 9 6 2 2" xfId="24931" xr:uid="{00000000-0005-0000-0000-0000D1890000}"/>
    <cellStyle name="Normal 4 9 6 2 2 2" xfId="24932" xr:uid="{00000000-0005-0000-0000-0000D2890000}"/>
    <cellStyle name="Normal 4 9 6 2 2 2 2" xfId="24933" xr:uid="{00000000-0005-0000-0000-0000D3890000}"/>
    <cellStyle name="Normal 4 9 6 2 2 2 2 2" xfId="56374" xr:uid="{00000000-0005-0000-0000-0000D4890000}"/>
    <cellStyle name="Normal 4 9 6 2 2 2 2 3" xfId="56375" xr:uid="{00000000-0005-0000-0000-0000D5890000}"/>
    <cellStyle name="Normal 4 9 6 2 2 2 3" xfId="24934" xr:uid="{00000000-0005-0000-0000-0000D6890000}"/>
    <cellStyle name="Normal 4 9 6 2 2 2 3 2" xfId="56376" xr:uid="{00000000-0005-0000-0000-0000D7890000}"/>
    <cellStyle name="Normal 4 9 6 2 2 2 4" xfId="24935" xr:uid="{00000000-0005-0000-0000-0000D8890000}"/>
    <cellStyle name="Normal 4 9 6 2 2 2 5" xfId="24936" xr:uid="{00000000-0005-0000-0000-0000D9890000}"/>
    <cellStyle name="Normal 4 9 6 2 2 2 6" xfId="24937" xr:uid="{00000000-0005-0000-0000-0000DA890000}"/>
    <cellStyle name="Normal 4 9 6 2 2 3" xfId="24938" xr:uid="{00000000-0005-0000-0000-0000DB890000}"/>
    <cellStyle name="Normal 4 9 6 2 2 3 2" xfId="56377" xr:uid="{00000000-0005-0000-0000-0000DC890000}"/>
    <cellStyle name="Normal 4 9 6 2 2 3 3" xfId="56378" xr:uid="{00000000-0005-0000-0000-0000DD890000}"/>
    <cellStyle name="Normal 4 9 6 2 2 4" xfId="24939" xr:uid="{00000000-0005-0000-0000-0000DE890000}"/>
    <cellStyle name="Normal 4 9 6 2 2 4 2" xfId="56379" xr:uid="{00000000-0005-0000-0000-0000DF890000}"/>
    <cellStyle name="Normal 4 9 6 2 2 5" xfId="24940" xr:uid="{00000000-0005-0000-0000-0000E0890000}"/>
    <cellStyle name="Normal 4 9 6 2 2 6" xfId="24941" xr:uid="{00000000-0005-0000-0000-0000E1890000}"/>
    <cellStyle name="Normal 4 9 6 2 2 7" xfId="24942" xr:uid="{00000000-0005-0000-0000-0000E2890000}"/>
    <cellStyle name="Normal 4 9 6 2 3" xfId="24943" xr:uid="{00000000-0005-0000-0000-0000E3890000}"/>
    <cellStyle name="Normal 4 9 6 2 3 2" xfId="24944" xr:uid="{00000000-0005-0000-0000-0000E4890000}"/>
    <cellStyle name="Normal 4 9 6 2 3 2 2" xfId="56380" xr:uid="{00000000-0005-0000-0000-0000E5890000}"/>
    <cellStyle name="Normal 4 9 6 2 3 2 3" xfId="56381" xr:uid="{00000000-0005-0000-0000-0000E6890000}"/>
    <cellStyle name="Normal 4 9 6 2 3 3" xfId="24945" xr:uid="{00000000-0005-0000-0000-0000E7890000}"/>
    <cellStyle name="Normal 4 9 6 2 3 3 2" xfId="56382" xr:uid="{00000000-0005-0000-0000-0000E8890000}"/>
    <cellStyle name="Normal 4 9 6 2 3 4" xfId="24946" xr:uid="{00000000-0005-0000-0000-0000E9890000}"/>
    <cellStyle name="Normal 4 9 6 2 3 5" xfId="24947" xr:uid="{00000000-0005-0000-0000-0000EA890000}"/>
    <cellStyle name="Normal 4 9 6 2 3 6" xfId="24948" xr:uid="{00000000-0005-0000-0000-0000EB890000}"/>
    <cellStyle name="Normal 4 9 6 2 4" xfId="24949" xr:uid="{00000000-0005-0000-0000-0000EC890000}"/>
    <cellStyle name="Normal 4 9 6 2 4 2" xfId="56383" xr:uid="{00000000-0005-0000-0000-0000ED890000}"/>
    <cellStyle name="Normal 4 9 6 2 4 3" xfId="56384" xr:uid="{00000000-0005-0000-0000-0000EE890000}"/>
    <cellStyle name="Normal 4 9 6 2 5" xfId="24950" xr:uid="{00000000-0005-0000-0000-0000EF890000}"/>
    <cellStyle name="Normal 4 9 6 2 5 2" xfId="56385" xr:uid="{00000000-0005-0000-0000-0000F0890000}"/>
    <cellStyle name="Normal 4 9 6 2 6" xfId="24951" xr:uid="{00000000-0005-0000-0000-0000F1890000}"/>
    <cellStyle name="Normal 4 9 6 2 7" xfId="24952" xr:uid="{00000000-0005-0000-0000-0000F2890000}"/>
    <cellStyle name="Normal 4 9 6 2 8" xfId="24953" xr:uid="{00000000-0005-0000-0000-0000F3890000}"/>
    <cellStyle name="Normal 4 9 6 2 9" xfId="24954" xr:uid="{00000000-0005-0000-0000-0000F4890000}"/>
    <cellStyle name="Normal 4 9 6 3" xfId="24955" xr:uid="{00000000-0005-0000-0000-0000F5890000}"/>
    <cellStyle name="Normal 4 9 6 3 2" xfId="24956" xr:uid="{00000000-0005-0000-0000-0000F6890000}"/>
    <cellStyle name="Normal 4 9 6 3 2 2" xfId="24957" xr:uid="{00000000-0005-0000-0000-0000F7890000}"/>
    <cellStyle name="Normal 4 9 6 3 2 2 2" xfId="56386" xr:uid="{00000000-0005-0000-0000-0000F8890000}"/>
    <cellStyle name="Normal 4 9 6 3 2 2 3" xfId="56387" xr:uid="{00000000-0005-0000-0000-0000F9890000}"/>
    <cellStyle name="Normal 4 9 6 3 2 3" xfId="24958" xr:uid="{00000000-0005-0000-0000-0000FA890000}"/>
    <cellStyle name="Normal 4 9 6 3 2 3 2" xfId="56388" xr:uid="{00000000-0005-0000-0000-0000FB890000}"/>
    <cellStyle name="Normal 4 9 6 3 2 4" xfId="24959" xr:uid="{00000000-0005-0000-0000-0000FC890000}"/>
    <cellStyle name="Normal 4 9 6 3 2 5" xfId="24960" xr:uid="{00000000-0005-0000-0000-0000FD890000}"/>
    <cellStyle name="Normal 4 9 6 3 2 6" xfId="24961" xr:uid="{00000000-0005-0000-0000-0000FE890000}"/>
    <cellStyle name="Normal 4 9 6 3 3" xfId="24962" xr:uid="{00000000-0005-0000-0000-0000FF890000}"/>
    <cellStyle name="Normal 4 9 6 3 3 2" xfId="56389" xr:uid="{00000000-0005-0000-0000-0000008A0000}"/>
    <cellStyle name="Normal 4 9 6 3 3 3" xfId="56390" xr:uid="{00000000-0005-0000-0000-0000018A0000}"/>
    <cellStyle name="Normal 4 9 6 3 4" xfId="24963" xr:uid="{00000000-0005-0000-0000-0000028A0000}"/>
    <cellStyle name="Normal 4 9 6 3 4 2" xfId="56391" xr:uid="{00000000-0005-0000-0000-0000038A0000}"/>
    <cellStyle name="Normal 4 9 6 3 5" xfId="24964" xr:uid="{00000000-0005-0000-0000-0000048A0000}"/>
    <cellStyle name="Normal 4 9 6 3 6" xfId="24965" xr:uid="{00000000-0005-0000-0000-0000058A0000}"/>
    <cellStyle name="Normal 4 9 6 3 7" xfId="24966" xr:uid="{00000000-0005-0000-0000-0000068A0000}"/>
    <cellStyle name="Normal 4 9 6 4" xfId="24967" xr:uid="{00000000-0005-0000-0000-0000078A0000}"/>
    <cellStyle name="Normal 4 9 6 4 2" xfId="24968" xr:uid="{00000000-0005-0000-0000-0000088A0000}"/>
    <cellStyle name="Normal 4 9 6 4 2 2" xfId="56392" xr:uid="{00000000-0005-0000-0000-0000098A0000}"/>
    <cellStyle name="Normal 4 9 6 4 2 3" xfId="56393" xr:uid="{00000000-0005-0000-0000-00000A8A0000}"/>
    <cellStyle name="Normal 4 9 6 4 3" xfId="24969" xr:uid="{00000000-0005-0000-0000-00000B8A0000}"/>
    <cellStyle name="Normal 4 9 6 4 3 2" xfId="56394" xr:uid="{00000000-0005-0000-0000-00000C8A0000}"/>
    <cellStyle name="Normal 4 9 6 4 4" xfId="24970" xr:uid="{00000000-0005-0000-0000-00000D8A0000}"/>
    <cellStyle name="Normal 4 9 6 4 5" xfId="24971" xr:uid="{00000000-0005-0000-0000-00000E8A0000}"/>
    <cellStyle name="Normal 4 9 6 4 6" xfId="24972" xr:uid="{00000000-0005-0000-0000-00000F8A0000}"/>
    <cellStyle name="Normal 4 9 6 5" xfId="24973" xr:uid="{00000000-0005-0000-0000-0000108A0000}"/>
    <cellStyle name="Normal 4 9 6 5 2" xfId="56395" xr:uid="{00000000-0005-0000-0000-0000118A0000}"/>
    <cellStyle name="Normal 4 9 6 5 3" xfId="56396" xr:uid="{00000000-0005-0000-0000-0000128A0000}"/>
    <cellStyle name="Normal 4 9 6 6" xfId="24974" xr:uid="{00000000-0005-0000-0000-0000138A0000}"/>
    <cellStyle name="Normal 4 9 6 6 2" xfId="56397" xr:uid="{00000000-0005-0000-0000-0000148A0000}"/>
    <cellStyle name="Normal 4 9 6 7" xfId="24975" xr:uid="{00000000-0005-0000-0000-0000158A0000}"/>
    <cellStyle name="Normal 4 9 6 8" xfId="24976" xr:uid="{00000000-0005-0000-0000-0000168A0000}"/>
    <cellStyle name="Normal 4 9 6 9" xfId="24977" xr:uid="{00000000-0005-0000-0000-0000178A0000}"/>
    <cellStyle name="Normal 4 9 7" xfId="24978" xr:uid="{00000000-0005-0000-0000-0000188A0000}"/>
    <cellStyle name="Normal 4 9 7 2" xfId="24979" xr:uid="{00000000-0005-0000-0000-0000198A0000}"/>
    <cellStyle name="Normal 4 9 7 2 2" xfId="24980" xr:uid="{00000000-0005-0000-0000-00001A8A0000}"/>
    <cellStyle name="Normal 4 9 7 2 2 2" xfId="24981" xr:uid="{00000000-0005-0000-0000-00001B8A0000}"/>
    <cellStyle name="Normal 4 9 7 2 2 2 2" xfId="56398" xr:uid="{00000000-0005-0000-0000-00001C8A0000}"/>
    <cellStyle name="Normal 4 9 7 2 2 2 3" xfId="56399" xr:uid="{00000000-0005-0000-0000-00001D8A0000}"/>
    <cellStyle name="Normal 4 9 7 2 2 3" xfId="24982" xr:uid="{00000000-0005-0000-0000-00001E8A0000}"/>
    <cellStyle name="Normal 4 9 7 2 2 3 2" xfId="56400" xr:uid="{00000000-0005-0000-0000-00001F8A0000}"/>
    <cellStyle name="Normal 4 9 7 2 2 4" xfId="24983" xr:uid="{00000000-0005-0000-0000-0000208A0000}"/>
    <cellStyle name="Normal 4 9 7 2 2 5" xfId="24984" xr:uid="{00000000-0005-0000-0000-0000218A0000}"/>
    <cellStyle name="Normal 4 9 7 2 2 6" xfId="24985" xr:uid="{00000000-0005-0000-0000-0000228A0000}"/>
    <cellStyle name="Normal 4 9 7 2 3" xfId="24986" xr:uid="{00000000-0005-0000-0000-0000238A0000}"/>
    <cellStyle name="Normal 4 9 7 2 3 2" xfId="56401" xr:uid="{00000000-0005-0000-0000-0000248A0000}"/>
    <cellStyle name="Normal 4 9 7 2 3 3" xfId="56402" xr:uid="{00000000-0005-0000-0000-0000258A0000}"/>
    <cellStyle name="Normal 4 9 7 2 4" xfId="24987" xr:uid="{00000000-0005-0000-0000-0000268A0000}"/>
    <cellStyle name="Normal 4 9 7 2 4 2" xfId="56403" xr:uid="{00000000-0005-0000-0000-0000278A0000}"/>
    <cellStyle name="Normal 4 9 7 2 5" xfId="24988" xr:uid="{00000000-0005-0000-0000-0000288A0000}"/>
    <cellStyle name="Normal 4 9 7 2 6" xfId="24989" xr:uid="{00000000-0005-0000-0000-0000298A0000}"/>
    <cellStyle name="Normal 4 9 7 2 7" xfId="24990" xr:uid="{00000000-0005-0000-0000-00002A8A0000}"/>
    <cellStyle name="Normal 4 9 7 3" xfId="24991" xr:uid="{00000000-0005-0000-0000-00002B8A0000}"/>
    <cellStyle name="Normal 4 9 7 3 2" xfId="24992" xr:uid="{00000000-0005-0000-0000-00002C8A0000}"/>
    <cellStyle name="Normal 4 9 7 3 2 2" xfId="56404" xr:uid="{00000000-0005-0000-0000-00002D8A0000}"/>
    <cellStyle name="Normal 4 9 7 3 2 3" xfId="56405" xr:uid="{00000000-0005-0000-0000-00002E8A0000}"/>
    <cellStyle name="Normal 4 9 7 3 3" xfId="24993" xr:uid="{00000000-0005-0000-0000-00002F8A0000}"/>
    <cellStyle name="Normal 4 9 7 3 3 2" xfId="56406" xr:uid="{00000000-0005-0000-0000-0000308A0000}"/>
    <cellStyle name="Normal 4 9 7 3 4" xfId="24994" xr:uid="{00000000-0005-0000-0000-0000318A0000}"/>
    <cellStyle name="Normal 4 9 7 3 5" xfId="24995" xr:uid="{00000000-0005-0000-0000-0000328A0000}"/>
    <cellStyle name="Normal 4 9 7 3 6" xfId="24996" xr:uid="{00000000-0005-0000-0000-0000338A0000}"/>
    <cellStyle name="Normal 4 9 7 4" xfId="24997" xr:uid="{00000000-0005-0000-0000-0000348A0000}"/>
    <cellStyle name="Normal 4 9 7 4 2" xfId="56407" xr:uid="{00000000-0005-0000-0000-0000358A0000}"/>
    <cellStyle name="Normal 4 9 7 4 3" xfId="56408" xr:uid="{00000000-0005-0000-0000-0000368A0000}"/>
    <cellStyle name="Normal 4 9 7 5" xfId="24998" xr:uid="{00000000-0005-0000-0000-0000378A0000}"/>
    <cellStyle name="Normal 4 9 7 5 2" xfId="56409" xr:uid="{00000000-0005-0000-0000-0000388A0000}"/>
    <cellStyle name="Normal 4 9 7 6" xfId="24999" xr:uid="{00000000-0005-0000-0000-0000398A0000}"/>
    <cellStyle name="Normal 4 9 7 7" xfId="25000" xr:uid="{00000000-0005-0000-0000-00003A8A0000}"/>
    <cellStyle name="Normal 4 9 7 8" xfId="25001" xr:uid="{00000000-0005-0000-0000-00003B8A0000}"/>
    <cellStyle name="Normal 4 9 7 9" xfId="25002" xr:uid="{00000000-0005-0000-0000-00003C8A0000}"/>
    <cellStyle name="Normal 4 9 8" xfId="25003" xr:uid="{00000000-0005-0000-0000-00003D8A0000}"/>
    <cellStyle name="Normal 4 9 8 2" xfId="25004" xr:uid="{00000000-0005-0000-0000-00003E8A0000}"/>
    <cellStyle name="Normal 4 9 8 2 2" xfId="25005" xr:uid="{00000000-0005-0000-0000-00003F8A0000}"/>
    <cellStyle name="Normal 4 9 8 2 2 2" xfId="25006" xr:uid="{00000000-0005-0000-0000-0000408A0000}"/>
    <cellStyle name="Normal 4 9 8 2 2 2 2" xfId="56410" xr:uid="{00000000-0005-0000-0000-0000418A0000}"/>
    <cellStyle name="Normal 4 9 8 2 2 2 3" xfId="56411" xr:uid="{00000000-0005-0000-0000-0000428A0000}"/>
    <cellStyle name="Normal 4 9 8 2 2 3" xfId="25007" xr:uid="{00000000-0005-0000-0000-0000438A0000}"/>
    <cellStyle name="Normal 4 9 8 2 2 3 2" xfId="56412" xr:uid="{00000000-0005-0000-0000-0000448A0000}"/>
    <cellStyle name="Normal 4 9 8 2 2 4" xfId="25008" xr:uid="{00000000-0005-0000-0000-0000458A0000}"/>
    <cellStyle name="Normal 4 9 8 2 2 5" xfId="25009" xr:uid="{00000000-0005-0000-0000-0000468A0000}"/>
    <cellStyle name="Normal 4 9 8 2 2 6" xfId="25010" xr:uid="{00000000-0005-0000-0000-0000478A0000}"/>
    <cellStyle name="Normal 4 9 8 2 3" xfId="25011" xr:uid="{00000000-0005-0000-0000-0000488A0000}"/>
    <cellStyle name="Normal 4 9 8 2 3 2" xfId="56413" xr:uid="{00000000-0005-0000-0000-0000498A0000}"/>
    <cellStyle name="Normal 4 9 8 2 3 3" xfId="56414" xr:uid="{00000000-0005-0000-0000-00004A8A0000}"/>
    <cellStyle name="Normal 4 9 8 2 4" xfId="25012" xr:uid="{00000000-0005-0000-0000-00004B8A0000}"/>
    <cellStyle name="Normal 4 9 8 2 4 2" xfId="56415" xr:uid="{00000000-0005-0000-0000-00004C8A0000}"/>
    <cellStyle name="Normal 4 9 8 2 5" xfId="25013" xr:uid="{00000000-0005-0000-0000-00004D8A0000}"/>
    <cellStyle name="Normal 4 9 8 2 6" xfId="25014" xr:uid="{00000000-0005-0000-0000-00004E8A0000}"/>
    <cellStyle name="Normal 4 9 8 2 7" xfId="25015" xr:uid="{00000000-0005-0000-0000-00004F8A0000}"/>
    <cellStyle name="Normal 4 9 8 3" xfId="25016" xr:uid="{00000000-0005-0000-0000-0000508A0000}"/>
    <cellStyle name="Normal 4 9 8 3 2" xfId="25017" xr:uid="{00000000-0005-0000-0000-0000518A0000}"/>
    <cellStyle name="Normal 4 9 8 3 2 2" xfId="56416" xr:uid="{00000000-0005-0000-0000-0000528A0000}"/>
    <cellStyle name="Normal 4 9 8 3 2 3" xfId="56417" xr:uid="{00000000-0005-0000-0000-0000538A0000}"/>
    <cellStyle name="Normal 4 9 8 3 3" xfId="25018" xr:uid="{00000000-0005-0000-0000-0000548A0000}"/>
    <cellStyle name="Normal 4 9 8 3 3 2" xfId="56418" xr:uid="{00000000-0005-0000-0000-0000558A0000}"/>
    <cellStyle name="Normal 4 9 8 3 4" xfId="25019" xr:uid="{00000000-0005-0000-0000-0000568A0000}"/>
    <cellStyle name="Normal 4 9 8 3 5" xfId="25020" xr:uid="{00000000-0005-0000-0000-0000578A0000}"/>
    <cellStyle name="Normal 4 9 8 3 6" xfId="25021" xr:uid="{00000000-0005-0000-0000-0000588A0000}"/>
    <cellStyle name="Normal 4 9 8 4" xfId="25022" xr:uid="{00000000-0005-0000-0000-0000598A0000}"/>
    <cellStyle name="Normal 4 9 8 4 2" xfId="56419" xr:uid="{00000000-0005-0000-0000-00005A8A0000}"/>
    <cellStyle name="Normal 4 9 8 4 3" xfId="56420" xr:uid="{00000000-0005-0000-0000-00005B8A0000}"/>
    <cellStyle name="Normal 4 9 8 5" xfId="25023" xr:uid="{00000000-0005-0000-0000-00005C8A0000}"/>
    <cellStyle name="Normal 4 9 8 5 2" xfId="56421" xr:uid="{00000000-0005-0000-0000-00005D8A0000}"/>
    <cellStyle name="Normal 4 9 8 6" xfId="25024" xr:uid="{00000000-0005-0000-0000-00005E8A0000}"/>
    <cellStyle name="Normal 4 9 8 7" xfId="25025" xr:uid="{00000000-0005-0000-0000-00005F8A0000}"/>
    <cellStyle name="Normal 4 9 8 8" xfId="25026" xr:uid="{00000000-0005-0000-0000-0000608A0000}"/>
    <cellStyle name="Normal 4 9 9" xfId="25027" xr:uid="{00000000-0005-0000-0000-0000618A0000}"/>
    <cellStyle name="Normal 4 9 9 2" xfId="25028" xr:uid="{00000000-0005-0000-0000-0000628A0000}"/>
    <cellStyle name="Normal 4 9 9 2 2" xfId="25029" xr:uid="{00000000-0005-0000-0000-0000638A0000}"/>
    <cellStyle name="Normal 4 9 9 2 2 2" xfId="25030" xr:uid="{00000000-0005-0000-0000-0000648A0000}"/>
    <cellStyle name="Normal 4 9 9 2 2 2 2" xfId="56422" xr:uid="{00000000-0005-0000-0000-0000658A0000}"/>
    <cellStyle name="Normal 4 9 9 2 2 2 3" xfId="56423" xr:uid="{00000000-0005-0000-0000-0000668A0000}"/>
    <cellStyle name="Normal 4 9 9 2 2 3" xfId="25031" xr:uid="{00000000-0005-0000-0000-0000678A0000}"/>
    <cellStyle name="Normal 4 9 9 2 2 3 2" xfId="56424" xr:uid="{00000000-0005-0000-0000-0000688A0000}"/>
    <cellStyle name="Normal 4 9 9 2 2 4" xfId="25032" xr:uid="{00000000-0005-0000-0000-0000698A0000}"/>
    <cellStyle name="Normal 4 9 9 2 2 5" xfId="25033" xr:uid="{00000000-0005-0000-0000-00006A8A0000}"/>
    <cellStyle name="Normal 4 9 9 2 2 6" xfId="25034" xr:uid="{00000000-0005-0000-0000-00006B8A0000}"/>
    <cellStyle name="Normal 4 9 9 2 3" xfId="25035" xr:uid="{00000000-0005-0000-0000-00006C8A0000}"/>
    <cellStyle name="Normal 4 9 9 2 3 2" xfId="56425" xr:uid="{00000000-0005-0000-0000-00006D8A0000}"/>
    <cellStyle name="Normal 4 9 9 2 3 3" xfId="56426" xr:uid="{00000000-0005-0000-0000-00006E8A0000}"/>
    <cellStyle name="Normal 4 9 9 2 4" xfId="25036" xr:uid="{00000000-0005-0000-0000-00006F8A0000}"/>
    <cellStyle name="Normal 4 9 9 2 4 2" xfId="56427" xr:uid="{00000000-0005-0000-0000-0000708A0000}"/>
    <cellStyle name="Normal 4 9 9 2 5" xfId="25037" xr:uid="{00000000-0005-0000-0000-0000718A0000}"/>
    <cellStyle name="Normal 4 9 9 2 6" xfId="25038" xr:uid="{00000000-0005-0000-0000-0000728A0000}"/>
    <cellStyle name="Normal 4 9 9 2 7" xfId="25039" xr:uid="{00000000-0005-0000-0000-0000738A0000}"/>
    <cellStyle name="Normal 4 9 9 3" xfId="25040" xr:uid="{00000000-0005-0000-0000-0000748A0000}"/>
    <cellStyle name="Normal 4 9 9 3 2" xfId="25041" xr:uid="{00000000-0005-0000-0000-0000758A0000}"/>
    <cellStyle name="Normal 4 9 9 3 2 2" xfId="56428" xr:uid="{00000000-0005-0000-0000-0000768A0000}"/>
    <cellStyle name="Normal 4 9 9 3 2 3" xfId="56429" xr:uid="{00000000-0005-0000-0000-0000778A0000}"/>
    <cellStyle name="Normal 4 9 9 3 3" xfId="25042" xr:uid="{00000000-0005-0000-0000-0000788A0000}"/>
    <cellStyle name="Normal 4 9 9 3 3 2" xfId="56430" xr:uid="{00000000-0005-0000-0000-0000798A0000}"/>
    <cellStyle name="Normal 4 9 9 3 4" xfId="25043" xr:uid="{00000000-0005-0000-0000-00007A8A0000}"/>
    <cellStyle name="Normal 4 9 9 3 5" xfId="25044" xr:uid="{00000000-0005-0000-0000-00007B8A0000}"/>
    <cellStyle name="Normal 4 9 9 3 6" xfId="25045" xr:uid="{00000000-0005-0000-0000-00007C8A0000}"/>
    <cellStyle name="Normal 4 9 9 4" xfId="25046" xr:uid="{00000000-0005-0000-0000-00007D8A0000}"/>
    <cellStyle name="Normal 4 9 9 4 2" xfId="56431" xr:uid="{00000000-0005-0000-0000-00007E8A0000}"/>
    <cellStyle name="Normal 4 9 9 4 3" xfId="56432" xr:uid="{00000000-0005-0000-0000-00007F8A0000}"/>
    <cellStyle name="Normal 4 9 9 5" xfId="25047" xr:uid="{00000000-0005-0000-0000-0000808A0000}"/>
    <cellStyle name="Normal 4 9 9 5 2" xfId="56433" xr:uid="{00000000-0005-0000-0000-0000818A0000}"/>
    <cellStyle name="Normal 4 9 9 6" xfId="25048" xr:uid="{00000000-0005-0000-0000-0000828A0000}"/>
    <cellStyle name="Normal 4 9 9 7" xfId="25049" xr:uid="{00000000-0005-0000-0000-0000838A0000}"/>
    <cellStyle name="Normal 4 9 9 8" xfId="25050" xr:uid="{00000000-0005-0000-0000-0000848A0000}"/>
    <cellStyle name="Normal 40" xfId="25051" xr:uid="{00000000-0005-0000-0000-0000858A0000}"/>
    <cellStyle name="Normal 40 2" xfId="25052" xr:uid="{00000000-0005-0000-0000-0000868A0000}"/>
    <cellStyle name="Normal 40 3" xfId="25053" xr:uid="{00000000-0005-0000-0000-0000878A0000}"/>
    <cellStyle name="Normal 41" xfId="25054" xr:uid="{00000000-0005-0000-0000-0000888A0000}"/>
    <cellStyle name="Normal 41 2" xfId="25055" xr:uid="{00000000-0005-0000-0000-0000898A0000}"/>
    <cellStyle name="Normal 41 3" xfId="25056" xr:uid="{00000000-0005-0000-0000-00008A8A0000}"/>
    <cellStyle name="Normal 42" xfId="25057" xr:uid="{00000000-0005-0000-0000-00008B8A0000}"/>
    <cellStyle name="Normal 42 2" xfId="25058" xr:uid="{00000000-0005-0000-0000-00008C8A0000}"/>
    <cellStyle name="Normal 42 3" xfId="25059" xr:uid="{00000000-0005-0000-0000-00008D8A0000}"/>
    <cellStyle name="Normal 43" xfId="25060" xr:uid="{00000000-0005-0000-0000-00008E8A0000}"/>
    <cellStyle name="Normal 43 2" xfId="25061" xr:uid="{00000000-0005-0000-0000-00008F8A0000}"/>
    <cellStyle name="Normal 43 3" xfId="25062" xr:uid="{00000000-0005-0000-0000-0000908A0000}"/>
    <cellStyle name="Normal 44" xfId="25063" xr:uid="{00000000-0005-0000-0000-0000918A0000}"/>
    <cellStyle name="Normal 44 2" xfId="25064" xr:uid="{00000000-0005-0000-0000-0000928A0000}"/>
    <cellStyle name="Normal 44 3" xfId="25065" xr:uid="{00000000-0005-0000-0000-0000938A0000}"/>
    <cellStyle name="Normal 45" xfId="25066" xr:uid="{00000000-0005-0000-0000-0000948A0000}"/>
    <cellStyle name="Normal 45 2" xfId="25067" xr:uid="{00000000-0005-0000-0000-0000958A0000}"/>
    <cellStyle name="Normal 45 3" xfId="25068" xr:uid="{00000000-0005-0000-0000-0000968A0000}"/>
    <cellStyle name="Normal 46" xfId="25069" xr:uid="{00000000-0005-0000-0000-0000978A0000}"/>
    <cellStyle name="Normal 46 2" xfId="25070" xr:uid="{00000000-0005-0000-0000-0000988A0000}"/>
    <cellStyle name="Normal 46 3" xfId="25071" xr:uid="{00000000-0005-0000-0000-0000998A0000}"/>
    <cellStyle name="Normal 47" xfId="25072" xr:uid="{00000000-0005-0000-0000-00009A8A0000}"/>
    <cellStyle name="Normal 47 2" xfId="25073" xr:uid="{00000000-0005-0000-0000-00009B8A0000}"/>
    <cellStyle name="Normal 48" xfId="25074" xr:uid="{00000000-0005-0000-0000-00009C8A0000}"/>
    <cellStyle name="Normal 48 10" xfId="25075" xr:uid="{00000000-0005-0000-0000-00009D8A0000}"/>
    <cellStyle name="Normal 48 10 2" xfId="25076" xr:uid="{00000000-0005-0000-0000-00009E8A0000}"/>
    <cellStyle name="Normal 48 10 2 2" xfId="25077" xr:uid="{00000000-0005-0000-0000-00009F8A0000}"/>
    <cellStyle name="Normal 48 10 3" xfId="25078" xr:uid="{00000000-0005-0000-0000-0000A08A0000}"/>
    <cellStyle name="Normal 48 10 3 2" xfId="25079" xr:uid="{00000000-0005-0000-0000-0000A18A0000}"/>
    <cellStyle name="Normal 48 10 4" xfId="25080" xr:uid="{00000000-0005-0000-0000-0000A28A0000}"/>
    <cellStyle name="Normal 48 10 5" xfId="25081" xr:uid="{00000000-0005-0000-0000-0000A38A0000}"/>
    <cellStyle name="Normal 48 11" xfId="25082" xr:uid="{00000000-0005-0000-0000-0000A48A0000}"/>
    <cellStyle name="Normal 48 11 2" xfId="25083" xr:uid="{00000000-0005-0000-0000-0000A58A0000}"/>
    <cellStyle name="Normal 48 11 2 2" xfId="25084" xr:uid="{00000000-0005-0000-0000-0000A68A0000}"/>
    <cellStyle name="Normal 48 11 3" xfId="25085" xr:uid="{00000000-0005-0000-0000-0000A78A0000}"/>
    <cellStyle name="Normal 48 11 3 2" xfId="25086" xr:uid="{00000000-0005-0000-0000-0000A88A0000}"/>
    <cellStyle name="Normal 48 11 4" xfId="25087" xr:uid="{00000000-0005-0000-0000-0000A98A0000}"/>
    <cellStyle name="Normal 48 11 5" xfId="25088" xr:uid="{00000000-0005-0000-0000-0000AA8A0000}"/>
    <cellStyle name="Normal 48 12" xfId="25089" xr:uid="{00000000-0005-0000-0000-0000AB8A0000}"/>
    <cellStyle name="Normal 48 12 2" xfId="25090" xr:uid="{00000000-0005-0000-0000-0000AC8A0000}"/>
    <cellStyle name="Normal 48 12 2 2" xfId="25091" xr:uid="{00000000-0005-0000-0000-0000AD8A0000}"/>
    <cellStyle name="Normal 48 12 3" xfId="25092" xr:uid="{00000000-0005-0000-0000-0000AE8A0000}"/>
    <cellStyle name="Normal 48 12 3 2" xfId="25093" xr:uid="{00000000-0005-0000-0000-0000AF8A0000}"/>
    <cellStyle name="Normal 48 12 4" xfId="25094" xr:uid="{00000000-0005-0000-0000-0000B08A0000}"/>
    <cellStyle name="Normal 48 12 5" xfId="25095" xr:uid="{00000000-0005-0000-0000-0000B18A0000}"/>
    <cellStyle name="Normal 48 13" xfId="25096" xr:uid="{00000000-0005-0000-0000-0000B28A0000}"/>
    <cellStyle name="Normal 48 13 2" xfId="25097" xr:uid="{00000000-0005-0000-0000-0000B38A0000}"/>
    <cellStyle name="Normal 48 13 2 2" xfId="25098" xr:uid="{00000000-0005-0000-0000-0000B48A0000}"/>
    <cellStyle name="Normal 48 13 3" xfId="25099" xr:uid="{00000000-0005-0000-0000-0000B58A0000}"/>
    <cellStyle name="Normal 48 13 4" xfId="25100" xr:uid="{00000000-0005-0000-0000-0000B68A0000}"/>
    <cellStyle name="Normal 48 14" xfId="25101" xr:uid="{00000000-0005-0000-0000-0000B78A0000}"/>
    <cellStyle name="Normal 48 14 2" xfId="25102" xr:uid="{00000000-0005-0000-0000-0000B88A0000}"/>
    <cellStyle name="Normal 48 14 3" xfId="25103" xr:uid="{00000000-0005-0000-0000-0000B98A0000}"/>
    <cellStyle name="Normal 48 15" xfId="25104" xr:uid="{00000000-0005-0000-0000-0000BA8A0000}"/>
    <cellStyle name="Normal 48 15 2" xfId="25105" xr:uid="{00000000-0005-0000-0000-0000BB8A0000}"/>
    <cellStyle name="Normal 48 15 3" xfId="25106" xr:uid="{00000000-0005-0000-0000-0000BC8A0000}"/>
    <cellStyle name="Normal 48 16" xfId="25107" xr:uid="{00000000-0005-0000-0000-0000BD8A0000}"/>
    <cellStyle name="Normal 48 17" xfId="25108" xr:uid="{00000000-0005-0000-0000-0000BE8A0000}"/>
    <cellStyle name="Normal 48 17 2" xfId="56434" xr:uid="{00000000-0005-0000-0000-0000BF8A0000}"/>
    <cellStyle name="Normal 48 18" xfId="25109" xr:uid="{00000000-0005-0000-0000-0000C08A0000}"/>
    <cellStyle name="Normal 48 2" xfId="25110" xr:uid="{00000000-0005-0000-0000-0000C18A0000}"/>
    <cellStyle name="Normal 48 2 10" xfId="25111" xr:uid="{00000000-0005-0000-0000-0000C28A0000}"/>
    <cellStyle name="Normal 48 2 10 2" xfId="25112" xr:uid="{00000000-0005-0000-0000-0000C38A0000}"/>
    <cellStyle name="Normal 48 2 10 2 2" xfId="25113" xr:uid="{00000000-0005-0000-0000-0000C48A0000}"/>
    <cellStyle name="Normal 48 2 10 3" xfId="25114" xr:uid="{00000000-0005-0000-0000-0000C58A0000}"/>
    <cellStyle name="Normal 48 2 10 3 2" xfId="25115" xr:uid="{00000000-0005-0000-0000-0000C68A0000}"/>
    <cellStyle name="Normal 48 2 10 4" xfId="25116" xr:uid="{00000000-0005-0000-0000-0000C78A0000}"/>
    <cellStyle name="Normal 48 2 10 5" xfId="25117" xr:uid="{00000000-0005-0000-0000-0000C88A0000}"/>
    <cellStyle name="Normal 48 2 11" xfId="25118" xr:uid="{00000000-0005-0000-0000-0000C98A0000}"/>
    <cellStyle name="Normal 48 2 11 2" xfId="25119" xr:uid="{00000000-0005-0000-0000-0000CA8A0000}"/>
    <cellStyle name="Normal 48 2 11 2 2" xfId="25120" xr:uid="{00000000-0005-0000-0000-0000CB8A0000}"/>
    <cellStyle name="Normal 48 2 11 3" xfId="25121" xr:uid="{00000000-0005-0000-0000-0000CC8A0000}"/>
    <cellStyle name="Normal 48 2 11 3 2" xfId="25122" xr:uid="{00000000-0005-0000-0000-0000CD8A0000}"/>
    <cellStyle name="Normal 48 2 11 4" xfId="25123" xr:uid="{00000000-0005-0000-0000-0000CE8A0000}"/>
    <cellStyle name="Normal 48 2 11 5" xfId="25124" xr:uid="{00000000-0005-0000-0000-0000CF8A0000}"/>
    <cellStyle name="Normal 48 2 12" xfId="25125" xr:uid="{00000000-0005-0000-0000-0000D08A0000}"/>
    <cellStyle name="Normal 48 2 12 2" xfId="25126" xr:uid="{00000000-0005-0000-0000-0000D18A0000}"/>
    <cellStyle name="Normal 48 2 12 2 2" xfId="25127" xr:uid="{00000000-0005-0000-0000-0000D28A0000}"/>
    <cellStyle name="Normal 48 2 12 3" xfId="25128" xr:uid="{00000000-0005-0000-0000-0000D38A0000}"/>
    <cellStyle name="Normal 48 2 12 4" xfId="25129" xr:uid="{00000000-0005-0000-0000-0000D48A0000}"/>
    <cellStyle name="Normal 48 2 13" xfId="25130" xr:uid="{00000000-0005-0000-0000-0000D58A0000}"/>
    <cellStyle name="Normal 48 2 13 2" xfId="25131" xr:uid="{00000000-0005-0000-0000-0000D68A0000}"/>
    <cellStyle name="Normal 48 2 13 3" xfId="25132" xr:uid="{00000000-0005-0000-0000-0000D78A0000}"/>
    <cellStyle name="Normal 48 2 14" xfId="25133" xr:uid="{00000000-0005-0000-0000-0000D88A0000}"/>
    <cellStyle name="Normal 48 2 14 2" xfId="25134" xr:uid="{00000000-0005-0000-0000-0000D98A0000}"/>
    <cellStyle name="Normal 48 2 14 3" xfId="25135" xr:uid="{00000000-0005-0000-0000-0000DA8A0000}"/>
    <cellStyle name="Normal 48 2 15" xfId="25136" xr:uid="{00000000-0005-0000-0000-0000DB8A0000}"/>
    <cellStyle name="Normal 48 2 16" xfId="25137" xr:uid="{00000000-0005-0000-0000-0000DC8A0000}"/>
    <cellStyle name="Normal 48 2 16 2" xfId="56435" xr:uid="{00000000-0005-0000-0000-0000DD8A0000}"/>
    <cellStyle name="Normal 48 2 17" xfId="25138" xr:uid="{00000000-0005-0000-0000-0000DE8A0000}"/>
    <cellStyle name="Normal 48 2 2" xfId="25139" xr:uid="{00000000-0005-0000-0000-0000DF8A0000}"/>
    <cellStyle name="Normal 48 2 2 2" xfId="25140" xr:uid="{00000000-0005-0000-0000-0000E08A0000}"/>
    <cellStyle name="Normal 48 2 2 2 2" xfId="25141" xr:uid="{00000000-0005-0000-0000-0000E18A0000}"/>
    <cellStyle name="Normal 48 2 2 2 2 2" xfId="25142" xr:uid="{00000000-0005-0000-0000-0000E28A0000}"/>
    <cellStyle name="Normal 48 2 2 2 2 2 2" xfId="56436" xr:uid="{00000000-0005-0000-0000-0000E38A0000}"/>
    <cellStyle name="Normal 48 2 2 2 2 2 3" xfId="56437" xr:uid="{00000000-0005-0000-0000-0000E48A0000}"/>
    <cellStyle name="Normal 48 2 2 2 2 3" xfId="25143" xr:uid="{00000000-0005-0000-0000-0000E58A0000}"/>
    <cellStyle name="Normal 48 2 2 2 2 3 2" xfId="56438" xr:uid="{00000000-0005-0000-0000-0000E68A0000}"/>
    <cellStyle name="Normal 48 2 2 2 2 4" xfId="25144" xr:uid="{00000000-0005-0000-0000-0000E78A0000}"/>
    <cellStyle name="Normal 48 2 2 2 2 5" xfId="25145" xr:uid="{00000000-0005-0000-0000-0000E88A0000}"/>
    <cellStyle name="Normal 48 2 2 2 2 6" xfId="25146" xr:uid="{00000000-0005-0000-0000-0000E98A0000}"/>
    <cellStyle name="Normal 48 2 2 2 3" xfId="25147" xr:uid="{00000000-0005-0000-0000-0000EA8A0000}"/>
    <cellStyle name="Normal 48 2 2 2 3 2" xfId="56439" xr:uid="{00000000-0005-0000-0000-0000EB8A0000}"/>
    <cellStyle name="Normal 48 2 2 2 3 3" xfId="56440" xr:uid="{00000000-0005-0000-0000-0000EC8A0000}"/>
    <cellStyle name="Normal 48 2 2 2 4" xfId="25148" xr:uid="{00000000-0005-0000-0000-0000ED8A0000}"/>
    <cellStyle name="Normal 48 2 2 2 4 2" xfId="56441" xr:uid="{00000000-0005-0000-0000-0000EE8A0000}"/>
    <cellStyle name="Normal 48 2 2 2 5" xfId="25149" xr:uid="{00000000-0005-0000-0000-0000EF8A0000}"/>
    <cellStyle name="Normal 48 2 2 2 6" xfId="25150" xr:uid="{00000000-0005-0000-0000-0000F08A0000}"/>
    <cellStyle name="Normal 48 2 2 2 7" xfId="25151" xr:uid="{00000000-0005-0000-0000-0000F18A0000}"/>
    <cellStyle name="Normal 48 2 2 3" xfId="25152" xr:uid="{00000000-0005-0000-0000-0000F28A0000}"/>
    <cellStyle name="Normal 48 2 2 3 2" xfId="25153" xr:uid="{00000000-0005-0000-0000-0000F38A0000}"/>
    <cellStyle name="Normal 48 2 2 3 2 2" xfId="56442" xr:uid="{00000000-0005-0000-0000-0000F48A0000}"/>
    <cellStyle name="Normal 48 2 2 3 2 3" xfId="56443" xr:uid="{00000000-0005-0000-0000-0000F58A0000}"/>
    <cellStyle name="Normal 48 2 2 3 3" xfId="25154" xr:uid="{00000000-0005-0000-0000-0000F68A0000}"/>
    <cellStyle name="Normal 48 2 2 3 3 2" xfId="56444" xr:uid="{00000000-0005-0000-0000-0000F78A0000}"/>
    <cellStyle name="Normal 48 2 2 3 4" xfId="25155" xr:uid="{00000000-0005-0000-0000-0000F88A0000}"/>
    <cellStyle name="Normal 48 2 2 3 5" xfId="25156" xr:uid="{00000000-0005-0000-0000-0000F98A0000}"/>
    <cellStyle name="Normal 48 2 2 3 6" xfId="25157" xr:uid="{00000000-0005-0000-0000-0000FA8A0000}"/>
    <cellStyle name="Normal 48 2 2 4" xfId="25158" xr:uid="{00000000-0005-0000-0000-0000FB8A0000}"/>
    <cellStyle name="Normal 48 2 2 4 2" xfId="56445" xr:uid="{00000000-0005-0000-0000-0000FC8A0000}"/>
    <cellStyle name="Normal 48 2 2 4 3" xfId="56446" xr:uid="{00000000-0005-0000-0000-0000FD8A0000}"/>
    <cellStyle name="Normal 48 2 2 5" xfId="25159" xr:uid="{00000000-0005-0000-0000-0000FE8A0000}"/>
    <cellStyle name="Normal 48 2 2 5 2" xfId="56447" xr:uid="{00000000-0005-0000-0000-0000FF8A0000}"/>
    <cellStyle name="Normal 48 2 2 6" xfId="25160" xr:uid="{00000000-0005-0000-0000-0000008B0000}"/>
    <cellStyle name="Normal 48 2 2 7" xfId="25161" xr:uid="{00000000-0005-0000-0000-0000018B0000}"/>
    <cellStyle name="Normal 48 2 2 8" xfId="25162" xr:uid="{00000000-0005-0000-0000-0000028B0000}"/>
    <cellStyle name="Normal 48 2 2 9" xfId="25163" xr:uid="{00000000-0005-0000-0000-0000038B0000}"/>
    <cellStyle name="Normal 48 2 3" xfId="25164" xr:uid="{00000000-0005-0000-0000-0000048B0000}"/>
    <cellStyle name="Normal 48 2 3 2" xfId="25165" xr:uid="{00000000-0005-0000-0000-0000058B0000}"/>
    <cellStyle name="Normal 48 2 3 2 2" xfId="25166" xr:uid="{00000000-0005-0000-0000-0000068B0000}"/>
    <cellStyle name="Normal 48 2 3 2 2 2" xfId="25167" xr:uid="{00000000-0005-0000-0000-0000078B0000}"/>
    <cellStyle name="Normal 48 2 3 2 2 2 2" xfId="56448" xr:uid="{00000000-0005-0000-0000-0000088B0000}"/>
    <cellStyle name="Normal 48 2 3 2 2 2 3" xfId="56449" xr:uid="{00000000-0005-0000-0000-0000098B0000}"/>
    <cellStyle name="Normal 48 2 3 2 2 3" xfId="25168" xr:uid="{00000000-0005-0000-0000-00000A8B0000}"/>
    <cellStyle name="Normal 48 2 3 2 2 3 2" xfId="56450" xr:uid="{00000000-0005-0000-0000-00000B8B0000}"/>
    <cellStyle name="Normal 48 2 3 2 2 4" xfId="25169" xr:uid="{00000000-0005-0000-0000-00000C8B0000}"/>
    <cellStyle name="Normal 48 2 3 2 2 5" xfId="25170" xr:uid="{00000000-0005-0000-0000-00000D8B0000}"/>
    <cellStyle name="Normal 48 2 3 2 2 6" xfId="25171" xr:uid="{00000000-0005-0000-0000-00000E8B0000}"/>
    <cellStyle name="Normal 48 2 3 2 3" xfId="25172" xr:uid="{00000000-0005-0000-0000-00000F8B0000}"/>
    <cellStyle name="Normal 48 2 3 2 3 2" xfId="56451" xr:uid="{00000000-0005-0000-0000-0000108B0000}"/>
    <cellStyle name="Normal 48 2 3 2 3 3" xfId="56452" xr:uid="{00000000-0005-0000-0000-0000118B0000}"/>
    <cellStyle name="Normal 48 2 3 2 4" xfId="25173" xr:uid="{00000000-0005-0000-0000-0000128B0000}"/>
    <cellStyle name="Normal 48 2 3 2 4 2" xfId="56453" xr:uid="{00000000-0005-0000-0000-0000138B0000}"/>
    <cellStyle name="Normal 48 2 3 2 5" xfId="25174" xr:uid="{00000000-0005-0000-0000-0000148B0000}"/>
    <cellStyle name="Normal 48 2 3 2 6" xfId="25175" xr:uid="{00000000-0005-0000-0000-0000158B0000}"/>
    <cellStyle name="Normal 48 2 3 2 7" xfId="25176" xr:uid="{00000000-0005-0000-0000-0000168B0000}"/>
    <cellStyle name="Normal 48 2 3 3" xfId="25177" xr:uid="{00000000-0005-0000-0000-0000178B0000}"/>
    <cellStyle name="Normal 48 2 3 3 2" xfId="25178" xr:uid="{00000000-0005-0000-0000-0000188B0000}"/>
    <cellStyle name="Normal 48 2 3 3 2 2" xfId="56454" xr:uid="{00000000-0005-0000-0000-0000198B0000}"/>
    <cellStyle name="Normal 48 2 3 3 2 3" xfId="56455" xr:uid="{00000000-0005-0000-0000-00001A8B0000}"/>
    <cellStyle name="Normal 48 2 3 3 3" xfId="25179" xr:uid="{00000000-0005-0000-0000-00001B8B0000}"/>
    <cellStyle name="Normal 48 2 3 3 3 2" xfId="56456" xr:uid="{00000000-0005-0000-0000-00001C8B0000}"/>
    <cellStyle name="Normal 48 2 3 3 4" xfId="25180" xr:uid="{00000000-0005-0000-0000-00001D8B0000}"/>
    <cellStyle name="Normal 48 2 3 3 5" xfId="25181" xr:uid="{00000000-0005-0000-0000-00001E8B0000}"/>
    <cellStyle name="Normal 48 2 3 3 6" xfId="25182" xr:uid="{00000000-0005-0000-0000-00001F8B0000}"/>
    <cellStyle name="Normal 48 2 3 4" xfId="25183" xr:uid="{00000000-0005-0000-0000-0000208B0000}"/>
    <cellStyle name="Normal 48 2 3 4 2" xfId="56457" xr:uid="{00000000-0005-0000-0000-0000218B0000}"/>
    <cellStyle name="Normal 48 2 3 4 3" xfId="56458" xr:uid="{00000000-0005-0000-0000-0000228B0000}"/>
    <cellStyle name="Normal 48 2 3 5" xfId="25184" xr:uid="{00000000-0005-0000-0000-0000238B0000}"/>
    <cellStyle name="Normal 48 2 3 5 2" xfId="56459" xr:uid="{00000000-0005-0000-0000-0000248B0000}"/>
    <cellStyle name="Normal 48 2 3 6" xfId="25185" xr:uid="{00000000-0005-0000-0000-0000258B0000}"/>
    <cellStyle name="Normal 48 2 3 7" xfId="25186" xr:uid="{00000000-0005-0000-0000-0000268B0000}"/>
    <cellStyle name="Normal 48 2 3 8" xfId="25187" xr:uid="{00000000-0005-0000-0000-0000278B0000}"/>
    <cellStyle name="Normal 48 2 4" xfId="25188" xr:uid="{00000000-0005-0000-0000-0000288B0000}"/>
    <cellStyle name="Normal 48 2 4 2" xfId="25189" xr:uid="{00000000-0005-0000-0000-0000298B0000}"/>
    <cellStyle name="Normal 48 2 4 2 2" xfId="25190" xr:uid="{00000000-0005-0000-0000-00002A8B0000}"/>
    <cellStyle name="Normal 48 2 4 2 2 2" xfId="56460" xr:uid="{00000000-0005-0000-0000-00002B8B0000}"/>
    <cellStyle name="Normal 48 2 4 2 2 3" xfId="56461" xr:uid="{00000000-0005-0000-0000-00002C8B0000}"/>
    <cellStyle name="Normal 48 2 4 2 3" xfId="25191" xr:uid="{00000000-0005-0000-0000-00002D8B0000}"/>
    <cellStyle name="Normal 48 2 4 2 3 2" xfId="56462" xr:uid="{00000000-0005-0000-0000-00002E8B0000}"/>
    <cellStyle name="Normal 48 2 4 2 4" xfId="25192" xr:uid="{00000000-0005-0000-0000-00002F8B0000}"/>
    <cellStyle name="Normal 48 2 4 2 5" xfId="25193" xr:uid="{00000000-0005-0000-0000-0000308B0000}"/>
    <cellStyle name="Normal 48 2 4 2 6" xfId="25194" xr:uid="{00000000-0005-0000-0000-0000318B0000}"/>
    <cellStyle name="Normal 48 2 4 3" xfId="25195" xr:uid="{00000000-0005-0000-0000-0000328B0000}"/>
    <cellStyle name="Normal 48 2 4 3 2" xfId="56463" xr:uid="{00000000-0005-0000-0000-0000338B0000}"/>
    <cellStyle name="Normal 48 2 4 3 3" xfId="56464" xr:uid="{00000000-0005-0000-0000-0000348B0000}"/>
    <cellStyle name="Normal 48 2 4 4" xfId="25196" xr:uid="{00000000-0005-0000-0000-0000358B0000}"/>
    <cellStyle name="Normal 48 2 4 4 2" xfId="56465" xr:uid="{00000000-0005-0000-0000-0000368B0000}"/>
    <cellStyle name="Normal 48 2 4 5" xfId="25197" xr:uid="{00000000-0005-0000-0000-0000378B0000}"/>
    <cellStyle name="Normal 48 2 4 6" xfId="25198" xr:uid="{00000000-0005-0000-0000-0000388B0000}"/>
    <cellStyle name="Normal 48 2 4 7" xfId="25199" xr:uid="{00000000-0005-0000-0000-0000398B0000}"/>
    <cellStyle name="Normal 48 2 5" xfId="25200" xr:uid="{00000000-0005-0000-0000-00003A8B0000}"/>
    <cellStyle name="Normal 48 2 5 2" xfId="25201" xr:uid="{00000000-0005-0000-0000-00003B8B0000}"/>
    <cellStyle name="Normal 48 2 5 2 2" xfId="56466" xr:uid="{00000000-0005-0000-0000-00003C8B0000}"/>
    <cellStyle name="Normal 48 2 5 2 3" xfId="56467" xr:uid="{00000000-0005-0000-0000-00003D8B0000}"/>
    <cellStyle name="Normal 48 2 5 3" xfId="25202" xr:uid="{00000000-0005-0000-0000-00003E8B0000}"/>
    <cellStyle name="Normal 48 2 5 3 2" xfId="56468" xr:uid="{00000000-0005-0000-0000-00003F8B0000}"/>
    <cellStyle name="Normal 48 2 5 4" xfId="25203" xr:uid="{00000000-0005-0000-0000-0000408B0000}"/>
    <cellStyle name="Normal 48 2 5 5" xfId="25204" xr:uid="{00000000-0005-0000-0000-0000418B0000}"/>
    <cellStyle name="Normal 48 2 5 6" xfId="25205" xr:uid="{00000000-0005-0000-0000-0000428B0000}"/>
    <cellStyle name="Normal 48 2 6" xfId="25206" xr:uid="{00000000-0005-0000-0000-0000438B0000}"/>
    <cellStyle name="Normal 48 2 6 2" xfId="25207" xr:uid="{00000000-0005-0000-0000-0000448B0000}"/>
    <cellStyle name="Normal 48 2 6 2 2" xfId="25208" xr:uid="{00000000-0005-0000-0000-0000458B0000}"/>
    <cellStyle name="Normal 48 2 6 2 2 2" xfId="25209" xr:uid="{00000000-0005-0000-0000-0000468B0000}"/>
    <cellStyle name="Normal 48 2 6 2 3" xfId="25210" xr:uid="{00000000-0005-0000-0000-0000478B0000}"/>
    <cellStyle name="Normal 48 2 6 2 3 2" xfId="25211" xr:uid="{00000000-0005-0000-0000-0000488B0000}"/>
    <cellStyle name="Normal 48 2 6 2 4" xfId="25212" xr:uid="{00000000-0005-0000-0000-0000498B0000}"/>
    <cellStyle name="Normal 48 2 6 3" xfId="25213" xr:uid="{00000000-0005-0000-0000-00004A8B0000}"/>
    <cellStyle name="Normal 48 2 6 3 2" xfId="25214" xr:uid="{00000000-0005-0000-0000-00004B8B0000}"/>
    <cellStyle name="Normal 48 2 6 3 2 2" xfId="25215" xr:uid="{00000000-0005-0000-0000-00004C8B0000}"/>
    <cellStyle name="Normal 48 2 6 3 3" xfId="25216" xr:uid="{00000000-0005-0000-0000-00004D8B0000}"/>
    <cellStyle name="Normal 48 2 6 3 3 2" xfId="25217" xr:uid="{00000000-0005-0000-0000-00004E8B0000}"/>
    <cellStyle name="Normal 48 2 6 3 4" xfId="25218" xr:uid="{00000000-0005-0000-0000-00004F8B0000}"/>
    <cellStyle name="Normal 48 2 6 4" xfId="25219" xr:uid="{00000000-0005-0000-0000-0000508B0000}"/>
    <cellStyle name="Normal 48 2 6 4 2" xfId="25220" xr:uid="{00000000-0005-0000-0000-0000518B0000}"/>
    <cellStyle name="Normal 48 2 6 5" xfId="25221" xr:uid="{00000000-0005-0000-0000-0000528B0000}"/>
    <cellStyle name="Normal 48 2 6 5 2" xfId="25222" xr:uid="{00000000-0005-0000-0000-0000538B0000}"/>
    <cellStyle name="Normal 48 2 6 6" xfId="25223" xr:uid="{00000000-0005-0000-0000-0000548B0000}"/>
    <cellStyle name="Normal 48 2 6 7" xfId="25224" xr:uid="{00000000-0005-0000-0000-0000558B0000}"/>
    <cellStyle name="Normal 48 2 7" xfId="25225" xr:uid="{00000000-0005-0000-0000-0000568B0000}"/>
    <cellStyle name="Normal 48 2 7 2" xfId="25226" xr:uid="{00000000-0005-0000-0000-0000578B0000}"/>
    <cellStyle name="Normal 48 2 7 2 2" xfId="25227" xr:uid="{00000000-0005-0000-0000-0000588B0000}"/>
    <cellStyle name="Normal 48 2 7 3" xfId="25228" xr:uid="{00000000-0005-0000-0000-0000598B0000}"/>
    <cellStyle name="Normal 48 2 7 3 2" xfId="25229" xr:uid="{00000000-0005-0000-0000-00005A8B0000}"/>
    <cellStyle name="Normal 48 2 7 4" xfId="25230" xr:uid="{00000000-0005-0000-0000-00005B8B0000}"/>
    <cellStyle name="Normal 48 2 7 5" xfId="25231" xr:uid="{00000000-0005-0000-0000-00005C8B0000}"/>
    <cellStyle name="Normal 48 2 8" xfId="25232" xr:uid="{00000000-0005-0000-0000-00005D8B0000}"/>
    <cellStyle name="Normal 48 2 8 2" xfId="25233" xr:uid="{00000000-0005-0000-0000-00005E8B0000}"/>
    <cellStyle name="Normal 48 2 8 2 2" xfId="25234" xr:uid="{00000000-0005-0000-0000-00005F8B0000}"/>
    <cellStyle name="Normal 48 2 8 3" xfId="25235" xr:uid="{00000000-0005-0000-0000-0000608B0000}"/>
    <cellStyle name="Normal 48 2 8 3 2" xfId="25236" xr:uid="{00000000-0005-0000-0000-0000618B0000}"/>
    <cellStyle name="Normal 48 2 8 4" xfId="25237" xr:uid="{00000000-0005-0000-0000-0000628B0000}"/>
    <cellStyle name="Normal 48 2 8 5" xfId="25238" xr:uid="{00000000-0005-0000-0000-0000638B0000}"/>
    <cellStyle name="Normal 48 2 9" xfId="25239" xr:uid="{00000000-0005-0000-0000-0000648B0000}"/>
    <cellStyle name="Normal 48 2 9 2" xfId="25240" xr:uid="{00000000-0005-0000-0000-0000658B0000}"/>
    <cellStyle name="Normal 48 2 9 2 2" xfId="25241" xr:uid="{00000000-0005-0000-0000-0000668B0000}"/>
    <cellStyle name="Normal 48 2 9 3" xfId="25242" xr:uid="{00000000-0005-0000-0000-0000678B0000}"/>
    <cellStyle name="Normal 48 2 9 3 2" xfId="25243" xr:uid="{00000000-0005-0000-0000-0000688B0000}"/>
    <cellStyle name="Normal 48 2 9 4" xfId="25244" xr:uid="{00000000-0005-0000-0000-0000698B0000}"/>
    <cellStyle name="Normal 48 2 9 5" xfId="25245" xr:uid="{00000000-0005-0000-0000-00006A8B0000}"/>
    <cellStyle name="Normal 48 3" xfId="25246" xr:uid="{00000000-0005-0000-0000-00006B8B0000}"/>
    <cellStyle name="Normal 48 3 2" xfId="25247" xr:uid="{00000000-0005-0000-0000-00006C8B0000}"/>
    <cellStyle name="Normal 48 3 2 2" xfId="25248" xr:uid="{00000000-0005-0000-0000-00006D8B0000}"/>
    <cellStyle name="Normal 48 3 2 2 2" xfId="25249" xr:uid="{00000000-0005-0000-0000-00006E8B0000}"/>
    <cellStyle name="Normal 48 3 2 2 2 2" xfId="56469" xr:uid="{00000000-0005-0000-0000-00006F8B0000}"/>
    <cellStyle name="Normal 48 3 2 2 2 3" xfId="56470" xr:uid="{00000000-0005-0000-0000-0000708B0000}"/>
    <cellStyle name="Normal 48 3 2 2 3" xfId="25250" xr:uid="{00000000-0005-0000-0000-0000718B0000}"/>
    <cellStyle name="Normal 48 3 2 2 3 2" xfId="56471" xr:uid="{00000000-0005-0000-0000-0000728B0000}"/>
    <cellStyle name="Normal 48 3 2 2 4" xfId="25251" xr:uid="{00000000-0005-0000-0000-0000738B0000}"/>
    <cellStyle name="Normal 48 3 2 2 5" xfId="25252" xr:uid="{00000000-0005-0000-0000-0000748B0000}"/>
    <cellStyle name="Normal 48 3 2 2 6" xfId="25253" xr:uid="{00000000-0005-0000-0000-0000758B0000}"/>
    <cellStyle name="Normal 48 3 2 3" xfId="25254" xr:uid="{00000000-0005-0000-0000-0000768B0000}"/>
    <cellStyle name="Normal 48 3 2 3 2" xfId="56472" xr:uid="{00000000-0005-0000-0000-0000778B0000}"/>
    <cellStyle name="Normal 48 3 2 3 3" xfId="56473" xr:uid="{00000000-0005-0000-0000-0000788B0000}"/>
    <cellStyle name="Normal 48 3 2 4" xfId="25255" xr:uid="{00000000-0005-0000-0000-0000798B0000}"/>
    <cellStyle name="Normal 48 3 2 4 2" xfId="56474" xr:uid="{00000000-0005-0000-0000-00007A8B0000}"/>
    <cellStyle name="Normal 48 3 2 5" xfId="25256" xr:uid="{00000000-0005-0000-0000-00007B8B0000}"/>
    <cellStyle name="Normal 48 3 2 6" xfId="25257" xr:uid="{00000000-0005-0000-0000-00007C8B0000}"/>
    <cellStyle name="Normal 48 3 2 7" xfId="25258" xr:uid="{00000000-0005-0000-0000-00007D8B0000}"/>
    <cellStyle name="Normal 48 3 3" xfId="25259" xr:uid="{00000000-0005-0000-0000-00007E8B0000}"/>
    <cellStyle name="Normal 48 3 3 2" xfId="25260" xr:uid="{00000000-0005-0000-0000-00007F8B0000}"/>
    <cellStyle name="Normal 48 3 3 2 2" xfId="56475" xr:uid="{00000000-0005-0000-0000-0000808B0000}"/>
    <cellStyle name="Normal 48 3 3 2 3" xfId="56476" xr:uid="{00000000-0005-0000-0000-0000818B0000}"/>
    <cellStyle name="Normal 48 3 3 3" xfId="25261" xr:uid="{00000000-0005-0000-0000-0000828B0000}"/>
    <cellStyle name="Normal 48 3 3 3 2" xfId="56477" xr:uid="{00000000-0005-0000-0000-0000838B0000}"/>
    <cellStyle name="Normal 48 3 3 4" xfId="25262" xr:uid="{00000000-0005-0000-0000-0000848B0000}"/>
    <cellStyle name="Normal 48 3 3 5" xfId="25263" xr:uid="{00000000-0005-0000-0000-0000858B0000}"/>
    <cellStyle name="Normal 48 3 3 6" xfId="25264" xr:uid="{00000000-0005-0000-0000-0000868B0000}"/>
    <cellStyle name="Normal 48 3 4" xfId="25265" xr:uid="{00000000-0005-0000-0000-0000878B0000}"/>
    <cellStyle name="Normal 48 3 4 2" xfId="56478" xr:uid="{00000000-0005-0000-0000-0000888B0000}"/>
    <cellStyle name="Normal 48 3 4 3" xfId="56479" xr:uid="{00000000-0005-0000-0000-0000898B0000}"/>
    <cellStyle name="Normal 48 3 5" xfId="25266" xr:uid="{00000000-0005-0000-0000-00008A8B0000}"/>
    <cellStyle name="Normal 48 3 5 2" xfId="56480" xr:uid="{00000000-0005-0000-0000-00008B8B0000}"/>
    <cellStyle name="Normal 48 3 6" xfId="25267" xr:uid="{00000000-0005-0000-0000-00008C8B0000}"/>
    <cellStyle name="Normal 48 3 7" xfId="25268" xr:uid="{00000000-0005-0000-0000-00008D8B0000}"/>
    <cellStyle name="Normal 48 3 8" xfId="25269" xr:uid="{00000000-0005-0000-0000-00008E8B0000}"/>
    <cellStyle name="Normal 48 3 9" xfId="25270" xr:uid="{00000000-0005-0000-0000-00008F8B0000}"/>
    <cellStyle name="Normal 48 4" xfId="25271" xr:uid="{00000000-0005-0000-0000-0000908B0000}"/>
    <cellStyle name="Normal 48 4 2" xfId="25272" xr:uid="{00000000-0005-0000-0000-0000918B0000}"/>
    <cellStyle name="Normal 48 4 2 2" xfId="25273" xr:uid="{00000000-0005-0000-0000-0000928B0000}"/>
    <cellStyle name="Normal 48 4 2 2 2" xfId="25274" xr:uid="{00000000-0005-0000-0000-0000938B0000}"/>
    <cellStyle name="Normal 48 4 2 2 2 2" xfId="56481" xr:uid="{00000000-0005-0000-0000-0000948B0000}"/>
    <cellStyle name="Normal 48 4 2 2 2 3" xfId="56482" xr:uid="{00000000-0005-0000-0000-0000958B0000}"/>
    <cellStyle name="Normal 48 4 2 2 3" xfId="25275" xr:uid="{00000000-0005-0000-0000-0000968B0000}"/>
    <cellStyle name="Normal 48 4 2 2 3 2" xfId="56483" xr:uid="{00000000-0005-0000-0000-0000978B0000}"/>
    <cellStyle name="Normal 48 4 2 2 4" xfId="25276" xr:uid="{00000000-0005-0000-0000-0000988B0000}"/>
    <cellStyle name="Normal 48 4 2 2 5" xfId="25277" xr:uid="{00000000-0005-0000-0000-0000998B0000}"/>
    <cellStyle name="Normal 48 4 2 2 6" xfId="25278" xr:uid="{00000000-0005-0000-0000-00009A8B0000}"/>
    <cellStyle name="Normal 48 4 2 3" xfId="25279" xr:uid="{00000000-0005-0000-0000-00009B8B0000}"/>
    <cellStyle name="Normal 48 4 2 3 2" xfId="56484" xr:uid="{00000000-0005-0000-0000-00009C8B0000}"/>
    <cellStyle name="Normal 48 4 2 3 3" xfId="56485" xr:uid="{00000000-0005-0000-0000-00009D8B0000}"/>
    <cellStyle name="Normal 48 4 2 4" xfId="25280" xr:uid="{00000000-0005-0000-0000-00009E8B0000}"/>
    <cellStyle name="Normal 48 4 2 4 2" xfId="56486" xr:uid="{00000000-0005-0000-0000-00009F8B0000}"/>
    <cellStyle name="Normal 48 4 2 5" xfId="25281" xr:uid="{00000000-0005-0000-0000-0000A08B0000}"/>
    <cellStyle name="Normal 48 4 2 6" xfId="25282" xr:uid="{00000000-0005-0000-0000-0000A18B0000}"/>
    <cellStyle name="Normal 48 4 2 7" xfId="25283" xr:uid="{00000000-0005-0000-0000-0000A28B0000}"/>
    <cellStyle name="Normal 48 4 3" xfId="25284" xr:uid="{00000000-0005-0000-0000-0000A38B0000}"/>
    <cellStyle name="Normal 48 4 3 2" xfId="25285" xr:uid="{00000000-0005-0000-0000-0000A48B0000}"/>
    <cellStyle name="Normal 48 4 3 2 2" xfId="56487" xr:uid="{00000000-0005-0000-0000-0000A58B0000}"/>
    <cellStyle name="Normal 48 4 3 2 3" xfId="56488" xr:uid="{00000000-0005-0000-0000-0000A68B0000}"/>
    <cellStyle name="Normal 48 4 3 3" xfId="25286" xr:uid="{00000000-0005-0000-0000-0000A78B0000}"/>
    <cellStyle name="Normal 48 4 3 3 2" xfId="56489" xr:uid="{00000000-0005-0000-0000-0000A88B0000}"/>
    <cellStyle name="Normal 48 4 3 4" xfId="25287" xr:uid="{00000000-0005-0000-0000-0000A98B0000}"/>
    <cellStyle name="Normal 48 4 3 5" xfId="25288" xr:uid="{00000000-0005-0000-0000-0000AA8B0000}"/>
    <cellStyle name="Normal 48 4 3 6" xfId="25289" xr:uid="{00000000-0005-0000-0000-0000AB8B0000}"/>
    <cellStyle name="Normal 48 4 4" xfId="25290" xr:uid="{00000000-0005-0000-0000-0000AC8B0000}"/>
    <cellStyle name="Normal 48 4 4 2" xfId="56490" xr:uid="{00000000-0005-0000-0000-0000AD8B0000}"/>
    <cellStyle name="Normal 48 4 4 3" xfId="56491" xr:uid="{00000000-0005-0000-0000-0000AE8B0000}"/>
    <cellStyle name="Normal 48 4 5" xfId="25291" xr:uid="{00000000-0005-0000-0000-0000AF8B0000}"/>
    <cellStyle name="Normal 48 4 5 2" xfId="56492" xr:uid="{00000000-0005-0000-0000-0000B08B0000}"/>
    <cellStyle name="Normal 48 4 6" xfId="25292" xr:uid="{00000000-0005-0000-0000-0000B18B0000}"/>
    <cellStyle name="Normal 48 4 7" xfId="25293" xr:uid="{00000000-0005-0000-0000-0000B28B0000}"/>
    <cellStyle name="Normal 48 4 8" xfId="25294" xr:uid="{00000000-0005-0000-0000-0000B38B0000}"/>
    <cellStyle name="Normal 48 5" xfId="25295" xr:uid="{00000000-0005-0000-0000-0000B48B0000}"/>
    <cellStyle name="Normal 48 5 2" xfId="25296" xr:uid="{00000000-0005-0000-0000-0000B58B0000}"/>
    <cellStyle name="Normal 48 5 2 2" xfId="25297" xr:uid="{00000000-0005-0000-0000-0000B68B0000}"/>
    <cellStyle name="Normal 48 5 2 2 2" xfId="56493" xr:uid="{00000000-0005-0000-0000-0000B78B0000}"/>
    <cellStyle name="Normal 48 5 2 2 3" xfId="56494" xr:uid="{00000000-0005-0000-0000-0000B88B0000}"/>
    <cellStyle name="Normal 48 5 2 3" xfId="25298" xr:uid="{00000000-0005-0000-0000-0000B98B0000}"/>
    <cellStyle name="Normal 48 5 2 3 2" xfId="56495" xr:uid="{00000000-0005-0000-0000-0000BA8B0000}"/>
    <cellStyle name="Normal 48 5 2 4" xfId="25299" xr:uid="{00000000-0005-0000-0000-0000BB8B0000}"/>
    <cellStyle name="Normal 48 5 2 5" xfId="25300" xr:uid="{00000000-0005-0000-0000-0000BC8B0000}"/>
    <cellStyle name="Normal 48 5 2 6" xfId="25301" xr:uid="{00000000-0005-0000-0000-0000BD8B0000}"/>
    <cellStyle name="Normal 48 5 3" xfId="25302" xr:uid="{00000000-0005-0000-0000-0000BE8B0000}"/>
    <cellStyle name="Normal 48 5 3 2" xfId="56496" xr:uid="{00000000-0005-0000-0000-0000BF8B0000}"/>
    <cellStyle name="Normal 48 5 3 3" xfId="56497" xr:uid="{00000000-0005-0000-0000-0000C08B0000}"/>
    <cellStyle name="Normal 48 5 4" xfId="25303" xr:uid="{00000000-0005-0000-0000-0000C18B0000}"/>
    <cellStyle name="Normal 48 5 4 2" xfId="56498" xr:uid="{00000000-0005-0000-0000-0000C28B0000}"/>
    <cellStyle name="Normal 48 5 5" xfId="25304" xr:uid="{00000000-0005-0000-0000-0000C38B0000}"/>
    <cellStyle name="Normal 48 5 6" xfId="25305" xr:uid="{00000000-0005-0000-0000-0000C48B0000}"/>
    <cellStyle name="Normal 48 5 7" xfId="25306" xr:uid="{00000000-0005-0000-0000-0000C58B0000}"/>
    <cellStyle name="Normal 48 6" xfId="25307" xr:uid="{00000000-0005-0000-0000-0000C68B0000}"/>
    <cellStyle name="Normal 48 6 2" xfId="25308" xr:uid="{00000000-0005-0000-0000-0000C78B0000}"/>
    <cellStyle name="Normal 48 6 2 2" xfId="56499" xr:uid="{00000000-0005-0000-0000-0000C88B0000}"/>
    <cellStyle name="Normal 48 6 2 3" xfId="56500" xr:uid="{00000000-0005-0000-0000-0000C98B0000}"/>
    <cellStyle name="Normal 48 6 3" xfId="25309" xr:uid="{00000000-0005-0000-0000-0000CA8B0000}"/>
    <cellStyle name="Normal 48 6 3 2" xfId="56501" xr:uid="{00000000-0005-0000-0000-0000CB8B0000}"/>
    <cellStyle name="Normal 48 6 4" xfId="25310" xr:uid="{00000000-0005-0000-0000-0000CC8B0000}"/>
    <cellStyle name="Normal 48 6 5" xfId="25311" xr:uid="{00000000-0005-0000-0000-0000CD8B0000}"/>
    <cellStyle name="Normal 48 6 6" xfId="25312" xr:uid="{00000000-0005-0000-0000-0000CE8B0000}"/>
    <cellStyle name="Normal 48 7" xfId="25313" xr:uid="{00000000-0005-0000-0000-0000CF8B0000}"/>
    <cellStyle name="Normal 48 7 2" xfId="25314" xr:uid="{00000000-0005-0000-0000-0000D08B0000}"/>
    <cellStyle name="Normal 48 7 2 2" xfId="25315" xr:uid="{00000000-0005-0000-0000-0000D18B0000}"/>
    <cellStyle name="Normal 48 7 2 2 2" xfId="25316" xr:uid="{00000000-0005-0000-0000-0000D28B0000}"/>
    <cellStyle name="Normal 48 7 2 3" xfId="25317" xr:uid="{00000000-0005-0000-0000-0000D38B0000}"/>
    <cellStyle name="Normal 48 7 2 3 2" xfId="25318" xr:uid="{00000000-0005-0000-0000-0000D48B0000}"/>
    <cellStyle name="Normal 48 7 2 4" xfId="25319" xr:uid="{00000000-0005-0000-0000-0000D58B0000}"/>
    <cellStyle name="Normal 48 7 3" xfId="25320" xr:uid="{00000000-0005-0000-0000-0000D68B0000}"/>
    <cellStyle name="Normal 48 7 3 2" xfId="25321" xr:uid="{00000000-0005-0000-0000-0000D78B0000}"/>
    <cellStyle name="Normal 48 7 3 2 2" xfId="25322" xr:uid="{00000000-0005-0000-0000-0000D88B0000}"/>
    <cellStyle name="Normal 48 7 3 3" xfId="25323" xr:uid="{00000000-0005-0000-0000-0000D98B0000}"/>
    <cellStyle name="Normal 48 7 3 3 2" xfId="25324" xr:uid="{00000000-0005-0000-0000-0000DA8B0000}"/>
    <cellStyle name="Normal 48 7 3 4" xfId="25325" xr:uid="{00000000-0005-0000-0000-0000DB8B0000}"/>
    <cellStyle name="Normal 48 7 4" xfId="25326" xr:uid="{00000000-0005-0000-0000-0000DC8B0000}"/>
    <cellStyle name="Normal 48 7 4 2" xfId="25327" xr:uid="{00000000-0005-0000-0000-0000DD8B0000}"/>
    <cellStyle name="Normal 48 7 5" xfId="25328" xr:uid="{00000000-0005-0000-0000-0000DE8B0000}"/>
    <cellStyle name="Normal 48 7 5 2" xfId="25329" xr:uid="{00000000-0005-0000-0000-0000DF8B0000}"/>
    <cellStyle name="Normal 48 7 6" xfId="25330" xr:uid="{00000000-0005-0000-0000-0000E08B0000}"/>
    <cellStyle name="Normal 48 7 7" xfId="25331" xr:uid="{00000000-0005-0000-0000-0000E18B0000}"/>
    <cellStyle name="Normal 48 8" xfId="25332" xr:uid="{00000000-0005-0000-0000-0000E28B0000}"/>
    <cellStyle name="Normal 48 8 2" xfId="25333" xr:uid="{00000000-0005-0000-0000-0000E38B0000}"/>
    <cellStyle name="Normal 48 8 2 2" xfId="25334" xr:uid="{00000000-0005-0000-0000-0000E48B0000}"/>
    <cellStyle name="Normal 48 8 3" xfId="25335" xr:uid="{00000000-0005-0000-0000-0000E58B0000}"/>
    <cellStyle name="Normal 48 8 3 2" xfId="25336" xr:uid="{00000000-0005-0000-0000-0000E68B0000}"/>
    <cellStyle name="Normal 48 8 4" xfId="25337" xr:uid="{00000000-0005-0000-0000-0000E78B0000}"/>
    <cellStyle name="Normal 48 8 5" xfId="25338" xr:uid="{00000000-0005-0000-0000-0000E88B0000}"/>
    <cellStyle name="Normal 48 9" xfId="25339" xr:uid="{00000000-0005-0000-0000-0000E98B0000}"/>
    <cellStyle name="Normal 48 9 2" xfId="25340" xr:uid="{00000000-0005-0000-0000-0000EA8B0000}"/>
    <cellStyle name="Normal 48 9 2 2" xfId="25341" xr:uid="{00000000-0005-0000-0000-0000EB8B0000}"/>
    <cellStyle name="Normal 48 9 3" xfId="25342" xr:uid="{00000000-0005-0000-0000-0000EC8B0000}"/>
    <cellStyle name="Normal 48 9 3 2" xfId="25343" xr:uid="{00000000-0005-0000-0000-0000ED8B0000}"/>
    <cellStyle name="Normal 48 9 4" xfId="25344" xr:uid="{00000000-0005-0000-0000-0000EE8B0000}"/>
    <cellStyle name="Normal 48 9 5" xfId="25345" xr:uid="{00000000-0005-0000-0000-0000EF8B0000}"/>
    <cellStyle name="Normal 49" xfId="25346" xr:uid="{00000000-0005-0000-0000-0000F08B0000}"/>
    <cellStyle name="Normal 49 10" xfId="25347" xr:uid="{00000000-0005-0000-0000-0000F18B0000}"/>
    <cellStyle name="Normal 49 10 2" xfId="25348" xr:uid="{00000000-0005-0000-0000-0000F28B0000}"/>
    <cellStyle name="Normal 49 10 2 2" xfId="25349" xr:uid="{00000000-0005-0000-0000-0000F38B0000}"/>
    <cellStyle name="Normal 49 10 3" xfId="25350" xr:uid="{00000000-0005-0000-0000-0000F48B0000}"/>
    <cellStyle name="Normal 49 10 3 2" xfId="25351" xr:uid="{00000000-0005-0000-0000-0000F58B0000}"/>
    <cellStyle name="Normal 49 10 4" xfId="25352" xr:uid="{00000000-0005-0000-0000-0000F68B0000}"/>
    <cellStyle name="Normal 49 10 5" xfId="25353" xr:uid="{00000000-0005-0000-0000-0000F78B0000}"/>
    <cellStyle name="Normal 49 11" xfId="25354" xr:uid="{00000000-0005-0000-0000-0000F88B0000}"/>
    <cellStyle name="Normal 49 11 2" xfId="25355" xr:uid="{00000000-0005-0000-0000-0000F98B0000}"/>
    <cellStyle name="Normal 49 11 2 2" xfId="25356" xr:uid="{00000000-0005-0000-0000-0000FA8B0000}"/>
    <cellStyle name="Normal 49 11 3" xfId="25357" xr:uid="{00000000-0005-0000-0000-0000FB8B0000}"/>
    <cellStyle name="Normal 49 11 3 2" xfId="25358" xr:uid="{00000000-0005-0000-0000-0000FC8B0000}"/>
    <cellStyle name="Normal 49 11 4" xfId="25359" xr:uid="{00000000-0005-0000-0000-0000FD8B0000}"/>
    <cellStyle name="Normal 49 11 5" xfId="25360" xr:uid="{00000000-0005-0000-0000-0000FE8B0000}"/>
    <cellStyle name="Normal 49 12" xfId="25361" xr:uid="{00000000-0005-0000-0000-0000FF8B0000}"/>
    <cellStyle name="Normal 49 12 2" xfId="25362" xr:uid="{00000000-0005-0000-0000-0000008C0000}"/>
    <cellStyle name="Normal 49 12 2 2" xfId="25363" xr:uid="{00000000-0005-0000-0000-0000018C0000}"/>
    <cellStyle name="Normal 49 12 3" xfId="25364" xr:uid="{00000000-0005-0000-0000-0000028C0000}"/>
    <cellStyle name="Normal 49 12 4" xfId="25365" xr:uid="{00000000-0005-0000-0000-0000038C0000}"/>
    <cellStyle name="Normal 49 13" xfId="25366" xr:uid="{00000000-0005-0000-0000-0000048C0000}"/>
    <cellStyle name="Normal 49 13 2" xfId="25367" xr:uid="{00000000-0005-0000-0000-0000058C0000}"/>
    <cellStyle name="Normal 49 13 3" xfId="25368" xr:uid="{00000000-0005-0000-0000-0000068C0000}"/>
    <cellStyle name="Normal 49 14" xfId="25369" xr:uid="{00000000-0005-0000-0000-0000078C0000}"/>
    <cellStyle name="Normal 49 14 2" xfId="25370" xr:uid="{00000000-0005-0000-0000-0000088C0000}"/>
    <cellStyle name="Normal 49 14 3" xfId="25371" xr:uid="{00000000-0005-0000-0000-0000098C0000}"/>
    <cellStyle name="Normal 49 15" xfId="25372" xr:uid="{00000000-0005-0000-0000-00000A8C0000}"/>
    <cellStyle name="Normal 49 16" xfId="25373" xr:uid="{00000000-0005-0000-0000-00000B8C0000}"/>
    <cellStyle name="Normal 49 16 2" xfId="56502" xr:uid="{00000000-0005-0000-0000-00000C8C0000}"/>
    <cellStyle name="Normal 49 17" xfId="25374" xr:uid="{00000000-0005-0000-0000-00000D8C0000}"/>
    <cellStyle name="Normal 49 2" xfId="25375" xr:uid="{00000000-0005-0000-0000-00000E8C0000}"/>
    <cellStyle name="Normal 49 2 10" xfId="25376" xr:uid="{00000000-0005-0000-0000-00000F8C0000}"/>
    <cellStyle name="Normal 49 2 10 2" xfId="25377" xr:uid="{00000000-0005-0000-0000-0000108C0000}"/>
    <cellStyle name="Normal 49 2 10 2 2" xfId="25378" xr:uid="{00000000-0005-0000-0000-0000118C0000}"/>
    <cellStyle name="Normal 49 2 10 3" xfId="25379" xr:uid="{00000000-0005-0000-0000-0000128C0000}"/>
    <cellStyle name="Normal 49 2 11" xfId="25380" xr:uid="{00000000-0005-0000-0000-0000138C0000}"/>
    <cellStyle name="Normal 49 2 11 2" xfId="25381" xr:uid="{00000000-0005-0000-0000-0000148C0000}"/>
    <cellStyle name="Normal 49 2 12" xfId="25382" xr:uid="{00000000-0005-0000-0000-0000158C0000}"/>
    <cellStyle name="Normal 49 2 12 2" xfId="25383" xr:uid="{00000000-0005-0000-0000-0000168C0000}"/>
    <cellStyle name="Normal 49 2 13" xfId="25384" xr:uid="{00000000-0005-0000-0000-0000178C0000}"/>
    <cellStyle name="Normal 49 2 14" xfId="25385" xr:uid="{00000000-0005-0000-0000-0000188C0000}"/>
    <cellStyle name="Normal 49 2 14 2" xfId="56503" xr:uid="{00000000-0005-0000-0000-0000198C0000}"/>
    <cellStyle name="Normal 49 2 15" xfId="25386" xr:uid="{00000000-0005-0000-0000-00001A8C0000}"/>
    <cellStyle name="Normal 49 2 2" xfId="25387" xr:uid="{00000000-0005-0000-0000-00001B8C0000}"/>
    <cellStyle name="Normal 49 2 2 2" xfId="25388" xr:uid="{00000000-0005-0000-0000-00001C8C0000}"/>
    <cellStyle name="Normal 49 2 2 2 2" xfId="25389" xr:uid="{00000000-0005-0000-0000-00001D8C0000}"/>
    <cellStyle name="Normal 49 2 2 2 2 2" xfId="56504" xr:uid="{00000000-0005-0000-0000-00001E8C0000}"/>
    <cellStyle name="Normal 49 2 2 2 2 3" xfId="56505" xr:uid="{00000000-0005-0000-0000-00001F8C0000}"/>
    <cellStyle name="Normal 49 2 2 2 3" xfId="25390" xr:uid="{00000000-0005-0000-0000-0000208C0000}"/>
    <cellStyle name="Normal 49 2 2 2 3 2" xfId="56506" xr:uid="{00000000-0005-0000-0000-0000218C0000}"/>
    <cellStyle name="Normal 49 2 2 2 4" xfId="25391" xr:uid="{00000000-0005-0000-0000-0000228C0000}"/>
    <cellStyle name="Normal 49 2 2 2 5" xfId="25392" xr:uid="{00000000-0005-0000-0000-0000238C0000}"/>
    <cellStyle name="Normal 49 2 2 2 6" xfId="25393" xr:uid="{00000000-0005-0000-0000-0000248C0000}"/>
    <cellStyle name="Normal 49 2 2 3" xfId="25394" xr:uid="{00000000-0005-0000-0000-0000258C0000}"/>
    <cellStyle name="Normal 49 2 2 3 2" xfId="56507" xr:uid="{00000000-0005-0000-0000-0000268C0000}"/>
    <cellStyle name="Normal 49 2 2 3 3" xfId="56508" xr:uid="{00000000-0005-0000-0000-0000278C0000}"/>
    <cellStyle name="Normal 49 2 2 4" xfId="25395" xr:uid="{00000000-0005-0000-0000-0000288C0000}"/>
    <cellStyle name="Normal 49 2 2 4 2" xfId="56509" xr:uid="{00000000-0005-0000-0000-0000298C0000}"/>
    <cellStyle name="Normal 49 2 2 5" xfId="25396" xr:uid="{00000000-0005-0000-0000-00002A8C0000}"/>
    <cellStyle name="Normal 49 2 2 6" xfId="25397" xr:uid="{00000000-0005-0000-0000-00002B8C0000}"/>
    <cellStyle name="Normal 49 2 2 7" xfId="25398" xr:uid="{00000000-0005-0000-0000-00002C8C0000}"/>
    <cellStyle name="Normal 49 2 3" xfId="25399" xr:uid="{00000000-0005-0000-0000-00002D8C0000}"/>
    <cellStyle name="Normal 49 2 3 2" xfId="25400" xr:uid="{00000000-0005-0000-0000-00002E8C0000}"/>
    <cellStyle name="Normal 49 2 3 2 2" xfId="56510" xr:uid="{00000000-0005-0000-0000-00002F8C0000}"/>
    <cellStyle name="Normal 49 2 3 2 3" xfId="56511" xr:uid="{00000000-0005-0000-0000-0000308C0000}"/>
    <cellStyle name="Normal 49 2 3 3" xfId="25401" xr:uid="{00000000-0005-0000-0000-0000318C0000}"/>
    <cellStyle name="Normal 49 2 3 3 2" xfId="56512" xr:uid="{00000000-0005-0000-0000-0000328C0000}"/>
    <cellStyle name="Normal 49 2 3 4" xfId="25402" xr:uid="{00000000-0005-0000-0000-0000338C0000}"/>
    <cellStyle name="Normal 49 2 3 5" xfId="25403" xr:uid="{00000000-0005-0000-0000-0000348C0000}"/>
    <cellStyle name="Normal 49 2 3 6" xfId="25404" xr:uid="{00000000-0005-0000-0000-0000358C0000}"/>
    <cellStyle name="Normal 49 2 4" xfId="25405" xr:uid="{00000000-0005-0000-0000-0000368C0000}"/>
    <cellStyle name="Normal 49 2 4 2" xfId="25406" xr:uid="{00000000-0005-0000-0000-0000378C0000}"/>
    <cellStyle name="Normal 49 2 4 2 2" xfId="25407" xr:uid="{00000000-0005-0000-0000-0000388C0000}"/>
    <cellStyle name="Normal 49 2 4 2 2 2" xfId="25408" xr:uid="{00000000-0005-0000-0000-0000398C0000}"/>
    <cellStyle name="Normal 49 2 4 2 3" xfId="25409" xr:uid="{00000000-0005-0000-0000-00003A8C0000}"/>
    <cellStyle name="Normal 49 2 4 2 3 2" xfId="25410" xr:uid="{00000000-0005-0000-0000-00003B8C0000}"/>
    <cellStyle name="Normal 49 2 4 2 4" xfId="25411" xr:uid="{00000000-0005-0000-0000-00003C8C0000}"/>
    <cellStyle name="Normal 49 2 4 3" xfId="25412" xr:uid="{00000000-0005-0000-0000-00003D8C0000}"/>
    <cellStyle name="Normal 49 2 4 3 2" xfId="25413" xr:uid="{00000000-0005-0000-0000-00003E8C0000}"/>
    <cellStyle name="Normal 49 2 4 3 2 2" xfId="25414" xr:uid="{00000000-0005-0000-0000-00003F8C0000}"/>
    <cellStyle name="Normal 49 2 4 3 3" xfId="25415" xr:uid="{00000000-0005-0000-0000-0000408C0000}"/>
    <cellStyle name="Normal 49 2 4 3 3 2" xfId="25416" xr:uid="{00000000-0005-0000-0000-0000418C0000}"/>
    <cellStyle name="Normal 49 2 4 3 4" xfId="25417" xr:uid="{00000000-0005-0000-0000-0000428C0000}"/>
    <cellStyle name="Normal 49 2 4 4" xfId="25418" xr:uid="{00000000-0005-0000-0000-0000438C0000}"/>
    <cellStyle name="Normal 49 2 4 4 2" xfId="25419" xr:uid="{00000000-0005-0000-0000-0000448C0000}"/>
    <cellStyle name="Normal 49 2 4 5" xfId="25420" xr:uid="{00000000-0005-0000-0000-0000458C0000}"/>
    <cellStyle name="Normal 49 2 4 5 2" xfId="25421" xr:uid="{00000000-0005-0000-0000-0000468C0000}"/>
    <cellStyle name="Normal 49 2 4 6" xfId="25422" xr:uid="{00000000-0005-0000-0000-0000478C0000}"/>
    <cellStyle name="Normal 49 2 4 7" xfId="25423" xr:uid="{00000000-0005-0000-0000-0000488C0000}"/>
    <cellStyle name="Normal 49 2 5" xfId="25424" xr:uid="{00000000-0005-0000-0000-0000498C0000}"/>
    <cellStyle name="Normal 49 2 5 2" xfId="25425" xr:uid="{00000000-0005-0000-0000-00004A8C0000}"/>
    <cellStyle name="Normal 49 2 5 2 2" xfId="25426" xr:uid="{00000000-0005-0000-0000-00004B8C0000}"/>
    <cellStyle name="Normal 49 2 5 3" xfId="25427" xr:uid="{00000000-0005-0000-0000-00004C8C0000}"/>
    <cellStyle name="Normal 49 2 5 3 2" xfId="25428" xr:uid="{00000000-0005-0000-0000-00004D8C0000}"/>
    <cellStyle name="Normal 49 2 5 4" xfId="25429" xr:uid="{00000000-0005-0000-0000-00004E8C0000}"/>
    <cellStyle name="Normal 49 2 5 5" xfId="25430" xr:uid="{00000000-0005-0000-0000-00004F8C0000}"/>
    <cellStyle name="Normal 49 2 6" xfId="25431" xr:uid="{00000000-0005-0000-0000-0000508C0000}"/>
    <cellStyle name="Normal 49 2 6 2" xfId="25432" xr:uid="{00000000-0005-0000-0000-0000518C0000}"/>
    <cellStyle name="Normal 49 2 6 2 2" xfId="25433" xr:uid="{00000000-0005-0000-0000-0000528C0000}"/>
    <cellStyle name="Normal 49 2 6 3" xfId="25434" xr:uid="{00000000-0005-0000-0000-0000538C0000}"/>
    <cellStyle name="Normal 49 2 6 3 2" xfId="25435" xr:uid="{00000000-0005-0000-0000-0000548C0000}"/>
    <cellStyle name="Normal 49 2 6 4" xfId="25436" xr:uid="{00000000-0005-0000-0000-0000558C0000}"/>
    <cellStyle name="Normal 49 2 6 5" xfId="25437" xr:uid="{00000000-0005-0000-0000-0000568C0000}"/>
    <cellStyle name="Normal 49 2 7" xfId="25438" xr:uid="{00000000-0005-0000-0000-0000578C0000}"/>
    <cellStyle name="Normal 49 2 7 2" xfId="25439" xr:uid="{00000000-0005-0000-0000-0000588C0000}"/>
    <cellStyle name="Normal 49 2 7 2 2" xfId="25440" xr:uid="{00000000-0005-0000-0000-0000598C0000}"/>
    <cellStyle name="Normal 49 2 7 3" xfId="25441" xr:uid="{00000000-0005-0000-0000-00005A8C0000}"/>
    <cellStyle name="Normal 49 2 7 3 2" xfId="25442" xr:uid="{00000000-0005-0000-0000-00005B8C0000}"/>
    <cellStyle name="Normal 49 2 7 4" xfId="25443" xr:uid="{00000000-0005-0000-0000-00005C8C0000}"/>
    <cellStyle name="Normal 49 2 7 5" xfId="25444" xr:uid="{00000000-0005-0000-0000-00005D8C0000}"/>
    <cellStyle name="Normal 49 2 8" xfId="25445" xr:uid="{00000000-0005-0000-0000-00005E8C0000}"/>
    <cellStyle name="Normal 49 2 8 2" xfId="25446" xr:uid="{00000000-0005-0000-0000-00005F8C0000}"/>
    <cellStyle name="Normal 49 2 8 2 2" xfId="25447" xr:uid="{00000000-0005-0000-0000-0000608C0000}"/>
    <cellStyle name="Normal 49 2 8 3" xfId="25448" xr:uid="{00000000-0005-0000-0000-0000618C0000}"/>
    <cellStyle name="Normal 49 2 8 3 2" xfId="25449" xr:uid="{00000000-0005-0000-0000-0000628C0000}"/>
    <cellStyle name="Normal 49 2 8 4" xfId="25450" xr:uid="{00000000-0005-0000-0000-0000638C0000}"/>
    <cellStyle name="Normal 49 2 8 5" xfId="25451" xr:uid="{00000000-0005-0000-0000-0000648C0000}"/>
    <cellStyle name="Normal 49 2 9" xfId="25452" xr:uid="{00000000-0005-0000-0000-0000658C0000}"/>
    <cellStyle name="Normal 49 2 9 2" xfId="25453" xr:uid="{00000000-0005-0000-0000-0000668C0000}"/>
    <cellStyle name="Normal 49 2 9 2 2" xfId="25454" xr:uid="{00000000-0005-0000-0000-0000678C0000}"/>
    <cellStyle name="Normal 49 2 9 3" xfId="25455" xr:uid="{00000000-0005-0000-0000-0000688C0000}"/>
    <cellStyle name="Normal 49 2 9 3 2" xfId="25456" xr:uid="{00000000-0005-0000-0000-0000698C0000}"/>
    <cellStyle name="Normal 49 2 9 4" xfId="25457" xr:uid="{00000000-0005-0000-0000-00006A8C0000}"/>
    <cellStyle name="Normal 49 2 9 5" xfId="25458" xr:uid="{00000000-0005-0000-0000-00006B8C0000}"/>
    <cellStyle name="Normal 49 3" xfId="25459" xr:uid="{00000000-0005-0000-0000-00006C8C0000}"/>
    <cellStyle name="Normal 49 3 2" xfId="25460" xr:uid="{00000000-0005-0000-0000-00006D8C0000}"/>
    <cellStyle name="Normal 49 3 2 2" xfId="25461" xr:uid="{00000000-0005-0000-0000-00006E8C0000}"/>
    <cellStyle name="Normal 49 3 2 2 2" xfId="25462" xr:uid="{00000000-0005-0000-0000-00006F8C0000}"/>
    <cellStyle name="Normal 49 3 2 2 2 2" xfId="56513" xr:uid="{00000000-0005-0000-0000-0000708C0000}"/>
    <cellStyle name="Normal 49 3 2 2 2 3" xfId="56514" xr:uid="{00000000-0005-0000-0000-0000718C0000}"/>
    <cellStyle name="Normal 49 3 2 2 3" xfId="25463" xr:uid="{00000000-0005-0000-0000-0000728C0000}"/>
    <cellStyle name="Normal 49 3 2 2 3 2" xfId="56515" xr:uid="{00000000-0005-0000-0000-0000738C0000}"/>
    <cellStyle name="Normal 49 3 2 2 4" xfId="25464" xr:uid="{00000000-0005-0000-0000-0000748C0000}"/>
    <cellStyle name="Normal 49 3 2 2 5" xfId="25465" xr:uid="{00000000-0005-0000-0000-0000758C0000}"/>
    <cellStyle name="Normal 49 3 2 2 6" xfId="25466" xr:uid="{00000000-0005-0000-0000-0000768C0000}"/>
    <cellStyle name="Normal 49 3 2 3" xfId="25467" xr:uid="{00000000-0005-0000-0000-0000778C0000}"/>
    <cellStyle name="Normal 49 3 2 3 2" xfId="56516" xr:uid="{00000000-0005-0000-0000-0000788C0000}"/>
    <cellStyle name="Normal 49 3 2 3 3" xfId="56517" xr:uid="{00000000-0005-0000-0000-0000798C0000}"/>
    <cellStyle name="Normal 49 3 2 4" xfId="25468" xr:uid="{00000000-0005-0000-0000-00007A8C0000}"/>
    <cellStyle name="Normal 49 3 2 4 2" xfId="56518" xr:uid="{00000000-0005-0000-0000-00007B8C0000}"/>
    <cellStyle name="Normal 49 3 2 5" xfId="25469" xr:uid="{00000000-0005-0000-0000-00007C8C0000}"/>
    <cellStyle name="Normal 49 3 2 6" xfId="25470" xr:uid="{00000000-0005-0000-0000-00007D8C0000}"/>
    <cellStyle name="Normal 49 3 2 7" xfId="25471" xr:uid="{00000000-0005-0000-0000-00007E8C0000}"/>
    <cellStyle name="Normal 49 3 3" xfId="25472" xr:uid="{00000000-0005-0000-0000-00007F8C0000}"/>
    <cellStyle name="Normal 49 3 3 2" xfId="25473" xr:uid="{00000000-0005-0000-0000-0000808C0000}"/>
    <cellStyle name="Normal 49 3 3 2 2" xfId="56519" xr:uid="{00000000-0005-0000-0000-0000818C0000}"/>
    <cellStyle name="Normal 49 3 3 2 3" xfId="56520" xr:uid="{00000000-0005-0000-0000-0000828C0000}"/>
    <cellStyle name="Normal 49 3 3 3" xfId="25474" xr:uid="{00000000-0005-0000-0000-0000838C0000}"/>
    <cellStyle name="Normal 49 3 3 3 2" xfId="56521" xr:uid="{00000000-0005-0000-0000-0000848C0000}"/>
    <cellStyle name="Normal 49 3 3 4" xfId="25475" xr:uid="{00000000-0005-0000-0000-0000858C0000}"/>
    <cellStyle name="Normal 49 3 3 5" xfId="25476" xr:uid="{00000000-0005-0000-0000-0000868C0000}"/>
    <cellStyle name="Normal 49 3 3 6" xfId="25477" xr:uid="{00000000-0005-0000-0000-0000878C0000}"/>
    <cellStyle name="Normal 49 3 4" xfId="25478" xr:uid="{00000000-0005-0000-0000-0000888C0000}"/>
    <cellStyle name="Normal 49 3 4 2" xfId="56522" xr:uid="{00000000-0005-0000-0000-0000898C0000}"/>
    <cellStyle name="Normal 49 3 4 3" xfId="56523" xr:uid="{00000000-0005-0000-0000-00008A8C0000}"/>
    <cellStyle name="Normal 49 3 5" xfId="25479" xr:uid="{00000000-0005-0000-0000-00008B8C0000}"/>
    <cellStyle name="Normal 49 3 5 2" xfId="56524" xr:uid="{00000000-0005-0000-0000-00008C8C0000}"/>
    <cellStyle name="Normal 49 3 6" xfId="25480" xr:uid="{00000000-0005-0000-0000-00008D8C0000}"/>
    <cellStyle name="Normal 49 3 7" xfId="25481" xr:uid="{00000000-0005-0000-0000-00008E8C0000}"/>
    <cellStyle name="Normal 49 3 8" xfId="25482" xr:uid="{00000000-0005-0000-0000-00008F8C0000}"/>
    <cellStyle name="Normal 49 4" xfId="25483" xr:uid="{00000000-0005-0000-0000-0000908C0000}"/>
    <cellStyle name="Normal 49 4 2" xfId="25484" xr:uid="{00000000-0005-0000-0000-0000918C0000}"/>
    <cellStyle name="Normal 49 4 2 2" xfId="25485" xr:uid="{00000000-0005-0000-0000-0000928C0000}"/>
    <cellStyle name="Normal 49 4 2 2 2" xfId="56525" xr:uid="{00000000-0005-0000-0000-0000938C0000}"/>
    <cellStyle name="Normal 49 4 2 2 3" xfId="56526" xr:uid="{00000000-0005-0000-0000-0000948C0000}"/>
    <cellStyle name="Normal 49 4 2 3" xfId="25486" xr:uid="{00000000-0005-0000-0000-0000958C0000}"/>
    <cellStyle name="Normal 49 4 2 3 2" xfId="56527" xr:uid="{00000000-0005-0000-0000-0000968C0000}"/>
    <cellStyle name="Normal 49 4 2 4" xfId="25487" xr:uid="{00000000-0005-0000-0000-0000978C0000}"/>
    <cellStyle name="Normal 49 4 2 5" xfId="25488" xr:uid="{00000000-0005-0000-0000-0000988C0000}"/>
    <cellStyle name="Normal 49 4 2 6" xfId="25489" xr:uid="{00000000-0005-0000-0000-0000998C0000}"/>
    <cellStyle name="Normal 49 4 3" xfId="25490" xr:uid="{00000000-0005-0000-0000-00009A8C0000}"/>
    <cellStyle name="Normal 49 4 3 2" xfId="56528" xr:uid="{00000000-0005-0000-0000-00009B8C0000}"/>
    <cellStyle name="Normal 49 4 3 3" xfId="56529" xr:uid="{00000000-0005-0000-0000-00009C8C0000}"/>
    <cellStyle name="Normal 49 4 4" xfId="25491" xr:uid="{00000000-0005-0000-0000-00009D8C0000}"/>
    <cellStyle name="Normal 49 4 4 2" xfId="56530" xr:uid="{00000000-0005-0000-0000-00009E8C0000}"/>
    <cellStyle name="Normal 49 4 5" xfId="25492" xr:uid="{00000000-0005-0000-0000-00009F8C0000}"/>
    <cellStyle name="Normal 49 4 6" xfId="25493" xr:uid="{00000000-0005-0000-0000-0000A08C0000}"/>
    <cellStyle name="Normal 49 4 7" xfId="25494" xr:uid="{00000000-0005-0000-0000-0000A18C0000}"/>
    <cellStyle name="Normal 49 5" xfId="25495" xr:uid="{00000000-0005-0000-0000-0000A28C0000}"/>
    <cellStyle name="Normal 49 5 2" xfId="25496" xr:uid="{00000000-0005-0000-0000-0000A38C0000}"/>
    <cellStyle name="Normal 49 5 2 2" xfId="56531" xr:uid="{00000000-0005-0000-0000-0000A48C0000}"/>
    <cellStyle name="Normal 49 5 2 3" xfId="56532" xr:uid="{00000000-0005-0000-0000-0000A58C0000}"/>
    <cellStyle name="Normal 49 5 3" xfId="25497" xr:uid="{00000000-0005-0000-0000-0000A68C0000}"/>
    <cellStyle name="Normal 49 5 3 2" xfId="56533" xr:uid="{00000000-0005-0000-0000-0000A78C0000}"/>
    <cellStyle name="Normal 49 5 4" xfId="25498" xr:uid="{00000000-0005-0000-0000-0000A88C0000}"/>
    <cellStyle name="Normal 49 5 5" xfId="25499" xr:uid="{00000000-0005-0000-0000-0000A98C0000}"/>
    <cellStyle name="Normal 49 5 6" xfId="25500" xr:uid="{00000000-0005-0000-0000-0000AA8C0000}"/>
    <cellStyle name="Normal 49 6" xfId="25501" xr:uid="{00000000-0005-0000-0000-0000AB8C0000}"/>
    <cellStyle name="Normal 49 6 2" xfId="25502" xr:uid="{00000000-0005-0000-0000-0000AC8C0000}"/>
    <cellStyle name="Normal 49 6 2 2" xfId="25503" xr:uid="{00000000-0005-0000-0000-0000AD8C0000}"/>
    <cellStyle name="Normal 49 6 2 2 2" xfId="25504" xr:uid="{00000000-0005-0000-0000-0000AE8C0000}"/>
    <cellStyle name="Normal 49 6 2 3" xfId="25505" xr:uid="{00000000-0005-0000-0000-0000AF8C0000}"/>
    <cellStyle name="Normal 49 6 2 3 2" xfId="25506" xr:uid="{00000000-0005-0000-0000-0000B08C0000}"/>
    <cellStyle name="Normal 49 6 2 4" xfId="25507" xr:uid="{00000000-0005-0000-0000-0000B18C0000}"/>
    <cellStyle name="Normal 49 6 3" xfId="25508" xr:uid="{00000000-0005-0000-0000-0000B28C0000}"/>
    <cellStyle name="Normal 49 6 3 2" xfId="25509" xr:uid="{00000000-0005-0000-0000-0000B38C0000}"/>
    <cellStyle name="Normal 49 6 3 2 2" xfId="25510" xr:uid="{00000000-0005-0000-0000-0000B48C0000}"/>
    <cellStyle name="Normal 49 6 3 3" xfId="25511" xr:uid="{00000000-0005-0000-0000-0000B58C0000}"/>
    <cellStyle name="Normal 49 6 3 3 2" xfId="25512" xr:uid="{00000000-0005-0000-0000-0000B68C0000}"/>
    <cellStyle name="Normal 49 6 3 4" xfId="25513" xr:uid="{00000000-0005-0000-0000-0000B78C0000}"/>
    <cellStyle name="Normal 49 6 4" xfId="25514" xr:uid="{00000000-0005-0000-0000-0000B88C0000}"/>
    <cellStyle name="Normal 49 6 4 2" xfId="25515" xr:uid="{00000000-0005-0000-0000-0000B98C0000}"/>
    <cellStyle name="Normal 49 6 5" xfId="25516" xr:uid="{00000000-0005-0000-0000-0000BA8C0000}"/>
    <cellStyle name="Normal 49 6 5 2" xfId="25517" xr:uid="{00000000-0005-0000-0000-0000BB8C0000}"/>
    <cellStyle name="Normal 49 6 6" xfId="25518" xr:uid="{00000000-0005-0000-0000-0000BC8C0000}"/>
    <cellStyle name="Normal 49 6 7" xfId="25519" xr:uid="{00000000-0005-0000-0000-0000BD8C0000}"/>
    <cellStyle name="Normal 49 7" xfId="25520" xr:uid="{00000000-0005-0000-0000-0000BE8C0000}"/>
    <cellStyle name="Normal 49 7 2" xfId="25521" xr:uid="{00000000-0005-0000-0000-0000BF8C0000}"/>
    <cellStyle name="Normal 49 7 2 2" xfId="25522" xr:uid="{00000000-0005-0000-0000-0000C08C0000}"/>
    <cellStyle name="Normal 49 7 3" xfId="25523" xr:uid="{00000000-0005-0000-0000-0000C18C0000}"/>
    <cellStyle name="Normal 49 7 3 2" xfId="25524" xr:uid="{00000000-0005-0000-0000-0000C28C0000}"/>
    <cellStyle name="Normal 49 7 4" xfId="25525" xr:uid="{00000000-0005-0000-0000-0000C38C0000}"/>
    <cellStyle name="Normal 49 7 5" xfId="25526" xr:uid="{00000000-0005-0000-0000-0000C48C0000}"/>
    <cellStyle name="Normal 49 8" xfId="25527" xr:uid="{00000000-0005-0000-0000-0000C58C0000}"/>
    <cellStyle name="Normal 49 8 2" xfId="25528" xr:uid="{00000000-0005-0000-0000-0000C68C0000}"/>
    <cellStyle name="Normal 49 8 2 2" xfId="25529" xr:uid="{00000000-0005-0000-0000-0000C78C0000}"/>
    <cellStyle name="Normal 49 8 3" xfId="25530" xr:uid="{00000000-0005-0000-0000-0000C88C0000}"/>
    <cellStyle name="Normal 49 8 3 2" xfId="25531" xr:uid="{00000000-0005-0000-0000-0000C98C0000}"/>
    <cellStyle name="Normal 49 8 4" xfId="25532" xr:uid="{00000000-0005-0000-0000-0000CA8C0000}"/>
    <cellStyle name="Normal 49 8 5" xfId="25533" xr:uid="{00000000-0005-0000-0000-0000CB8C0000}"/>
    <cellStyle name="Normal 49 9" xfId="25534" xr:uid="{00000000-0005-0000-0000-0000CC8C0000}"/>
    <cellStyle name="Normal 49 9 2" xfId="25535" xr:uid="{00000000-0005-0000-0000-0000CD8C0000}"/>
    <cellStyle name="Normal 49 9 2 2" xfId="25536" xr:uid="{00000000-0005-0000-0000-0000CE8C0000}"/>
    <cellStyle name="Normal 49 9 3" xfId="25537" xr:uid="{00000000-0005-0000-0000-0000CF8C0000}"/>
    <cellStyle name="Normal 49 9 3 2" xfId="25538" xr:uid="{00000000-0005-0000-0000-0000D08C0000}"/>
    <cellStyle name="Normal 49 9 4" xfId="25539" xr:uid="{00000000-0005-0000-0000-0000D18C0000}"/>
    <cellStyle name="Normal 49 9 5" xfId="25540" xr:uid="{00000000-0005-0000-0000-0000D28C0000}"/>
    <cellStyle name="Normal 5" xfId="25541" xr:uid="{00000000-0005-0000-0000-0000D38C0000}"/>
    <cellStyle name="Normal 5 10" xfId="25542" xr:uid="{00000000-0005-0000-0000-0000D48C0000}"/>
    <cellStyle name="Normal 5 11" xfId="25543" xr:uid="{00000000-0005-0000-0000-0000D58C0000}"/>
    <cellStyle name="Normal 5 12" xfId="25544" xr:uid="{00000000-0005-0000-0000-0000D68C0000}"/>
    <cellStyle name="Normal 5 2" xfId="25545" xr:uid="{00000000-0005-0000-0000-0000D78C0000}"/>
    <cellStyle name="Normal 5 2 10" xfId="25546" xr:uid="{00000000-0005-0000-0000-0000D88C0000}"/>
    <cellStyle name="Normal 5 2 10 2" xfId="25547" xr:uid="{00000000-0005-0000-0000-0000D98C0000}"/>
    <cellStyle name="Normal 5 2 10 2 2" xfId="25548" xr:uid="{00000000-0005-0000-0000-0000DA8C0000}"/>
    <cellStyle name="Normal 5 2 10 2 2 2" xfId="25549" xr:uid="{00000000-0005-0000-0000-0000DB8C0000}"/>
    <cellStyle name="Normal 5 2 10 2 2 2 2" xfId="56534" xr:uid="{00000000-0005-0000-0000-0000DC8C0000}"/>
    <cellStyle name="Normal 5 2 10 2 2 2 3" xfId="56535" xr:uid="{00000000-0005-0000-0000-0000DD8C0000}"/>
    <cellStyle name="Normal 5 2 10 2 2 3" xfId="25550" xr:uid="{00000000-0005-0000-0000-0000DE8C0000}"/>
    <cellStyle name="Normal 5 2 10 2 2 3 2" xfId="56536" xr:uid="{00000000-0005-0000-0000-0000DF8C0000}"/>
    <cellStyle name="Normal 5 2 10 2 2 4" xfId="25551" xr:uid="{00000000-0005-0000-0000-0000E08C0000}"/>
    <cellStyle name="Normal 5 2 10 2 2 5" xfId="25552" xr:uid="{00000000-0005-0000-0000-0000E18C0000}"/>
    <cellStyle name="Normal 5 2 10 2 2 6" xfId="25553" xr:uid="{00000000-0005-0000-0000-0000E28C0000}"/>
    <cellStyle name="Normal 5 2 10 2 3" xfId="25554" xr:uid="{00000000-0005-0000-0000-0000E38C0000}"/>
    <cellStyle name="Normal 5 2 10 2 3 2" xfId="56537" xr:uid="{00000000-0005-0000-0000-0000E48C0000}"/>
    <cellStyle name="Normal 5 2 10 2 3 3" xfId="56538" xr:uid="{00000000-0005-0000-0000-0000E58C0000}"/>
    <cellStyle name="Normal 5 2 10 2 4" xfId="25555" xr:uid="{00000000-0005-0000-0000-0000E68C0000}"/>
    <cellStyle name="Normal 5 2 10 2 4 2" xfId="56539" xr:uid="{00000000-0005-0000-0000-0000E78C0000}"/>
    <cellStyle name="Normal 5 2 10 2 5" xfId="25556" xr:uid="{00000000-0005-0000-0000-0000E88C0000}"/>
    <cellStyle name="Normal 5 2 10 2 6" xfId="25557" xr:uid="{00000000-0005-0000-0000-0000E98C0000}"/>
    <cellStyle name="Normal 5 2 10 2 7" xfId="25558" xr:uid="{00000000-0005-0000-0000-0000EA8C0000}"/>
    <cellStyle name="Normal 5 2 10 3" xfId="25559" xr:uid="{00000000-0005-0000-0000-0000EB8C0000}"/>
    <cellStyle name="Normal 5 2 10 3 2" xfId="25560" xr:uid="{00000000-0005-0000-0000-0000EC8C0000}"/>
    <cellStyle name="Normal 5 2 10 3 2 2" xfId="56540" xr:uid="{00000000-0005-0000-0000-0000ED8C0000}"/>
    <cellStyle name="Normal 5 2 10 3 2 3" xfId="56541" xr:uid="{00000000-0005-0000-0000-0000EE8C0000}"/>
    <cellStyle name="Normal 5 2 10 3 3" xfId="25561" xr:uid="{00000000-0005-0000-0000-0000EF8C0000}"/>
    <cellStyle name="Normal 5 2 10 3 3 2" xfId="56542" xr:uid="{00000000-0005-0000-0000-0000F08C0000}"/>
    <cellStyle name="Normal 5 2 10 3 4" xfId="25562" xr:uid="{00000000-0005-0000-0000-0000F18C0000}"/>
    <cellStyle name="Normal 5 2 10 3 5" xfId="25563" xr:uid="{00000000-0005-0000-0000-0000F28C0000}"/>
    <cellStyle name="Normal 5 2 10 3 6" xfId="25564" xr:uid="{00000000-0005-0000-0000-0000F38C0000}"/>
    <cellStyle name="Normal 5 2 10 4" xfId="25565" xr:uid="{00000000-0005-0000-0000-0000F48C0000}"/>
    <cellStyle name="Normal 5 2 10 4 2" xfId="56543" xr:uid="{00000000-0005-0000-0000-0000F58C0000}"/>
    <cellStyle name="Normal 5 2 10 4 3" xfId="56544" xr:uid="{00000000-0005-0000-0000-0000F68C0000}"/>
    <cellStyle name="Normal 5 2 10 5" xfId="25566" xr:uid="{00000000-0005-0000-0000-0000F78C0000}"/>
    <cellStyle name="Normal 5 2 10 5 2" xfId="56545" xr:uid="{00000000-0005-0000-0000-0000F88C0000}"/>
    <cellStyle name="Normal 5 2 10 6" xfId="25567" xr:uid="{00000000-0005-0000-0000-0000F98C0000}"/>
    <cellStyle name="Normal 5 2 10 7" xfId="25568" xr:uid="{00000000-0005-0000-0000-0000FA8C0000}"/>
    <cellStyle name="Normal 5 2 10 8" xfId="25569" xr:uid="{00000000-0005-0000-0000-0000FB8C0000}"/>
    <cellStyle name="Normal 5 2 11" xfId="25570" xr:uid="{00000000-0005-0000-0000-0000FC8C0000}"/>
    <cellStyle name="Normal 5 2 11 2" xfId="25571" xr:uid="{00000000-0005-0000-0000-0000FD8C0000}"/>
    <cellStyle name="Normal 5 2 11 2 2" xfId="25572" xr:uid="{00000000-0005-0000-0000-0000FE8C0000}"/>
    <cellStyle name="Normal 5 2 11 2 2 2" xfId="25573" xr:uid="{00000000-0005-0000-0000-0000FF8C0000}"/>
    <cellStyle name="Normal 5 2 11 2 2 2 2" xfId="56546" xr:uid="{00000000-0005-0000-0000-0000008D0000}"/>
    <cellStyle name="Normal 5 2 11 2 2 2 3" xfId="56547" xr:uid="{00000000-0005-0000-0000-0000018D0000}"/>
    <cellStyle name="Normal 5 2 11 2 2 3" xfId="25574" xr:uid="{00000000-0005-0000-0000-0000028D0000}"/>
    <cellStyle name="Normal 5 2 11 2 2 3 2" xfId="56548" xr:uid="{00000000-0005-0000-0000-0000038D0000}"/>
    <cellStyle name="Normal 5 2 11 2 2 4" xfId="25575" xr:uid="{00000000-0005-0000-0000-0000048D0000}"/>
    <cellStyle name="Normal 5 2 11 2 2 5" xfId="25576" xr:uid="{00000000-0005-0000-0000-0000058D0000}"/>
    <cellStyle name="Normal 5 2 11 2 2 6" xfId="25577" xr:uid="{00000000-0005-0000-0000-0000068D0000}"/>
    <cellStyle name="Normal 5 2 11 2 3" xfId="25578" xr:uid="{00000000-0005-0000-0000-0000078D0000}"/>
    <cellStyle name="Normal 5 2 11 2 3 2" xfId="56549" xr:uid="{00000000-0005-0000-0000-0000088D0000}"/>
    <cellStyle name="Normal 5 2 11 2 3 3" xfId="56550" xr:uid="{00000000-0005-0000-0000-0000098D0000}"/>
    <cellStyle name="Normal 5 2 11 2 4" xfId="25579" xr:uid="{00000000-0005-0000-0000-00000A8D0000}"/>
    <cellStyle name="Normal 5 2 11 2 4 2" xfId="56551" xr:uid="{00000000-0005-0000-0000-00000B8D0000}"/>
    <cellStyle name="Normal 5 2 11 2 5" xfId="25580" xr:uid="{00000000-0005-0000-0000-00000C8D0000}"/>
    <cellStyle name="Normal 5 2 11 2 6" xfId="25581" xr:uid="{00000000-0005-0000-0000-00000D8D0000}"/>
    <cellStyle name="Normal 5 2 11 2 7" xfId="25582" xr:uid="{00000000-0005-0000-0000-00000E8D0000}"/>
    <cellStyle name="Normal 5 2 11 3" xfId="25583" xr:uid="{00000000-0005-0000-0000-00000F8D0000}"/>
    <cellStyle name="Normal 5 2 11 3 2" xfId="25584" xr:uid="{00000000-0005-0000-0000-0000108D0000}"/>
    <cellStyle name="Normal 5 2 11 3 2 2" xfId="56552" xr:uid="{00000000-0005-0000-0000-0000118D0000}"/>
    <cellStyle name="Normal 5 2 11 3 2 3" xfId="56553" xr:uid="{00000000-0005-0000-0000-0000128D0000}"/>
    <cellStyle name="Normal 5 2 11 3 3" xfId="25585" xr:uid="{00000000-0005-0000-0000-0000138D0000}"/>
    <cellStyle name="Normal 5 2 11 3 3 2" xfId="56554" xr:uid="{00000000-0005-0000-0000-0000148D0000}"/>
    <cellStyle name="Normal 5 2 11 3 4" xfId="25586" xr:uid="{00000000-0005-0000-0000-0000158D0000}"/>
    <cellStyle name="Normal 5 2 11 3 5" xfId="25587" xr:uid="{00000000-0005-0000-0000-0000168D0000}"/>
    <cellStyle name="Normal 5 2 11 3 6" xfId="25588" xr:uid="{00000000-0005-0000-0000-0000178D0000}"/>
    <cellStyle name="Normal 5 2 11 4" xfId="25589" xr:uid="{00000000-0005-0000-0000-0000188D0000}"/>
    <cellStyle name="Normal 5 2 11 4 2" xfId="56555" xr:uid="{00000000-0005-0000-0000-0000198D0000}"/>
    <cellStyle name="Normal 5 2 11 4 3" xfId="56556" xr:uid="{00000000-0005-0000-0000-00001A8D0000}"/>
    <cellStyle name="Normal 5 2 11 5" xfId="25590" xr:uid="{00000000-0005-0000-0000-00001B8D0000}"/>
    <cellStyle name="Normal 5 2 11 5 2" xfId="56557" xr:uid="{00000000-0005-0000-0000-00001C8D0000}"/>
    <cellStyle name="Normal 5 2 11 6" xfId="25591" xr:uid="{00000000-0005-0000-0000-00001D8D0000}"/>
    <cellStyle name="Normal 5 2 11 7" xfId="25592" xr:uid="{00000000-0005-0000-0000-00001E8D0000}"/>
    <cellStyle name="Normal 5 2 11 8" xfId="25593" xr:uid="{00000000-0005-0000-0000-00001F8D0000}"/>
    <cellStyle name="Normal 5 2 12" xfId="25594" xr:uid="{00000000-0005-0000-0000-0000208D0000}"/>
    <cellStyle name="Normal 5 2 12 2" xfId="25595" xr:uid="{00000000-0005-0000-0000-0000218D0000}"/>
    <cellStyle name="Normal 5 2 12 2 2" xfId="25596" xr:uid="{00000000-0005-0000-0000-0000228D0000}"/>
    <cellStyle name="Normal 5 2 12 2 2 2" xfId="56558" xr:uid="{00000000-0005-0000-0000-0000238D0000}"/>
    <cellStyle name="Normal 5 2 12 2 2 3" xfId="56559" xr:uid="{00000000-0005-0000-0000-0000248D0000}"/>
    <cellStyle name="Normal 5 2 12 2 3" xfId="25597" xr:uid="{00000000-0005-0000-0000-0000258D0000}"/>
    <cellStyle name="Normal 5 2 12 2 3 2" xfId="56560" xr:uid="{00000000-0005-0000-0000-0000268D0000}"/>
    <cellStyle name="Normal 5 2 12 2 4" xfId="25598" xr:uid="{00000000-0005-0000-0000-0000278D0000}"/>
    <cellStyle name="Normal 5 2 12 2 5" xfId="25599" xr:uid="{00000000-0005-0000-0000-0000288D0000}"/>
    <cellStyle name="Normal 5 2 12 2 6" xfId="25600" xr:uid="{00000000-0005-0000-0000-0000298D0000}"/>
    <cellStyle name="Normal 5 2 12 3" xfId="25601" xr:uid="{00000000-0005-0000-0000-00002A8D0000}"/>
    <cellStyle name="Normal 5 2 12 3 2" xfId="56561" xr:uid="{00000000-0005-0000-0000-00002B8D0000}"/>
    <cellStyle name="Normal 5 2 12 3 3" xfId="56562" xr:uid="{00000000-0005-0000-0000-00002C8D0000}"/>
    <cellStyle name="Normal 5 2 12 4" xfId="25602" xr:uid="{00000000-0005-0000-0000-00002D8D0000}"/>
    <cellStyle name="Normal 5 2 12 4 2" xfId="56563" xr:uid="{00000000-0005-0000-0000-00002E8D0000}"/>
    <cellStyle name="Normal 5 2 12 5" xfId="25603" xr:uid="{00000000-0005-0000-0000-00002F8D0000}"/>
    <cellStyle name="Normal 5 2 12 6" xfId="25604" xr:uid="{00000000-0005-0000-0000-0000308D0000}"/>
    <cellStyle name="Normal 5 2 12 7" xfId="25605" xr:uid="{00000000-0005-0000-0000-0000318D0000}"/>
    <cellStyle name="Normal 5 2 13" xfId="25606" xr:uid="{00000000-0005-0000-0000-0000328D0000}"/>
    <cellStyle name="Normal 5 2 13 2" xfId="25607" xr:uid="{00000000-0005-0000-0000-0000338D0000}"/>
    <cellStyle name="Normal 5 2 13 2 2" xfId="56564" xr:uid="{00000000-0005-0000-0000-0000348D0000}"/>
    <cellStyle name="Normal 5 2 13 2 3" xfId="56565" xr:uid="{00000000-0005-0000-0000-0000358D0000}"/>
    <cellStyle name="Normal 5 2 13 3" xfId="25608" xr:uid="{00000000-0005-0000-0000-0000368D0000}"/>
    <cellStyle name="Normal 5 2 13 3 2" xfId="56566" xr:uid="{00000000-0005-0000-0000-0000378D0000}"/>
    <cellStyle name="Normal 5 2 13 4" xfId="25609" xr:uid="{00000000-0005-0000-0000-0000388D0000}"/>
    <cellStyle name="Normal 5 2 13 5" xfId="25610" xr:uid="{00000000-0005-0000-0000-0000398D0000}"/>
    <cellStyle name="Normal 5 2 13 6" xfId="25611" xr:uid="{00000000-0005-0000-0000-00003A8D0000}"/>
    <cellStyle name="Normal 5 2 14" xfId="25612" xr:uid="{00000000-0005-0000-0000-00003B8D0000}"/>
    <cellStyle name="Normal 5 2 14 2" xfId="56567" xr:uid="{00000000-0005-0000-0000-00003C8D0000}"/>
    <cellStyle name="Normal 5 2 15" xfId="25613" xr:uid="{00000000-0005-0000-0000-00003D8D0000}"/>
    <cellStyle name="Normal 5 2 16" xfId="25614" xr:uid="{00000000-0005-0000-0000-00003E8D0000}"/>
    <cellStyle name="Normal 5 2 17" xfId="25615" xr:uid="{00000000-0005-0000-0000-00003F8D0000}"/>
    <cellStyle name="Normal 5 2 18" xfId="25616" xr:uid="{00000000-0005-0000-0000-0000408D0000}"/>
    <cellStyle name="Normal 5 2 19" xfId="25617" xr:uid="{00000000-0005-0000-0000-0000418D0000}"/>
    <cellStyle name="Normal 5 2 2" xfId="25618" xr:uid="{00000000-0005-0000-0000-0000428D0000}"/>
    <cellStyle name="Normal 5 2 2 2" xfId="25619" xr:uid="{00000000-0005-0000-0000-0000438D0000}"/>
    <cellStyle name="Normal 5 2 2 2 2" xfId="25620" xr:uid="{00000000-0005-0000-0000-0000448D0000}"/>
    <cellStyle name="Normal 5 2 2 3" xfId="25621" xr:uid="{00000000-0005-0000-0000-0000458D0000}"/>
    <cellStyle name="Normal 5 2 2 3 2" xfId="25622" xr:uid="{00000000-0005-0000-0000-0000468D0000}"/>
    <cellStyle name="Normal 5 2 2 4" xfId="25623" xr:uid="{00000000-0005-0000-0000-0000478D0000}"/>
    <cellStyle name="Normal 5 2 2 4 2" xfId="25624" xr:uid="{00000000-0005-0000-0000-0000488D0000}"/>
    <cellStyle name="Normal 5 2 2 5" xfId="25625" xr:uid="{00000000-0005-0000-0000-0000498D0000}"/>
    <cellStyle name="Normal 5 2 2 6" xfId="25626" xr:uid="{00000000-0005-0000-0000-00004A8D0000}"/>
    <cellStyle name="Normal 5 2 2 7" xfId="25627" xr:uid="{00000000-0005-0000-0000-00004B8D0000}"/>
    <cellStyle name="Normal 5 2 20" xfId="25628" xr:uid="{00000000-0005-0000-0000-00004C8D0000}"/>
    <cellStyle name="Normal 5 2 21" xfId="25629" xr:uid="{00000000-0005-0000-0000-00004D8D0000}"/>
    <cellStyle name="Normal 5 2 22" xfId="25630" xr:uid="{00000000-0005-0000-0000-00004E8D0000}"/>
    <cellStyle name="Normal 5 2 3" xfId="25631" xr:uid="{00000000-0005-0000-0000-00004F8D0000}"/>
    <cellStyle name="Normal 5 2 3 10" xfId="25632" xr:uid="{00000000-0005-0000-0000-0000508D0000}"/>
    <cellStyle name="Normal 5 2 3 10 2" xfId="56568" xr:uid="{00000000-0005-0000-0000-0000518D0000}"/>
    <cellStyle name="Normal 5 2 3 10 3" xfId="56569" xr:uid="{00000000-0005-0000-0000-0000528D0000}"/>
    <cellStyle name="Normal 5 2 3 11" xfId="25633" xr:uid="{00000000-0005-0000-0000-0000538D0000}"/>
    <cellStyle name="Normal 5 2 3 11 2" xfId="56570" xr:uid="{00000000-0005-0000-0000-0000548D0000}"/>
    <cellStyle name="Normal 5 2 3 12" xfId="25634" xr:uid="{00000000-0005-0000-0000-0000558D0000}"/>
    <cellStyle name="Normal 5 2 3 12 2" xfId="56571" xr:uid="{00000000-0005-0000-0000-0000568D0000}"/>
    <cellStyle name="Normal 5 2 3 13" xfId="25635" xr:uid="{00000000-0005-0000-0000-0000578D0000}"/>
    <cellStyle name="Normal 5 2 3 14" xfId="25636" xr:uid="{00000000-0005-0000-0000-0000588D0000}"/>
    <cellStyle name="Normal 5 2 3 15" xfId="25637" xr:uid="{00000000-0005-0000-0000-0000598D0000}"/>
    <cellStyle name="Normal 5 2 3 16" xfId="25638" xr:uid="{00000000-0005-0000-0000-00005A8D0000}"/>
    <cellStyle name="Normal 5 2 3 17" xfId="25639" xr:uid="{00000000-0005-0000-0000-00005B8D0000}"/>
    <cellStyle name="Normal 5 2 3 18" xfId="25640" xr:uid="{00000000-0005-0000-0000-00005C8D0000}"/>
    <cellStyle name="Normal 5 2 3 19" xfId="25641" xr:uid="{00000000-0005-0000-0000-00005D8D0000}"/>
    <cellStyle name="Normal 5 2 3 2" xfId="25642" xr:uid="{00000000-0005-0000-0000-00005E8D0000}"/>
    <cellStyle name="Normal 5 2 3 2 10" xfId="25643" xr:uid="{00000000-0005-0000-0000-00005F8D0000}"/>
    <cellStyle name="Normal 5 2 3 2 11" xfId="25644" xr:uid="{00000000-0005-0000-0000-0000608D0000}"/>
    <cellStyle name="Normal 5 2 3 2 12" xfId="25645" xr:uid="{00000000-0005-0000-0000-0000618D0000}"/>
    <cellStyle name="Normal 5 2 3 2 13" xfId="25646" xr:uid="{00000000-0005-0000-0000-0000628D0000}"/>
    <cellStyle name="Normal 5 2 3 2 14" xfId="25647" xr:uid="{00000000-0005-0000-0000-0000638D0000}"/>
    <cellStyle name="Normal 5 2 3 2 2" xfId="25648" xr:uid="{00000000-0005-0000-0000-0000648D0000}"/>
    <cellStyle name="Normal 5 2 3 2 2 2" xfId="25649" xr:uid="{00000000-0005-0000-0000-0000658D0000}"/>
    <cellStyle name="Normal 5 2 3 2 2 2 2" xfId="25650" xr:uid="{00000000-0005-0000-0000-0000668D0000}"/>
    <cellStyle name="Normal 5 2 3 2 2 2 2 2" xfId="25651" xr:uid="{00000000-0005-0000-0000-0000678D0000}"/>
    <cellStyle name="Normal 5 2 3 2 2 2 2 2 2" xfId="56572" xr:uid="{00000000-0005-0000-0000-0000688D0000}"/>
    <cellStyle name="Normal 5 2 3 2 2 2 2 2 3" xfId="56573" xr:uid="{00000000-0005-0000-0000-0000698D0000}"/>
    <cellStyle name="Normal 5 2 3 2 2 2 2 3" xfId="25652" xr:uid="{00000000-0005-0000-0000-00006A8D0000}"/>
    <cellStyle name="Normal 5 2 3 2 2 2 2 3 2" xfId="56574" xr:uid="{00000000-0005-0000-0000-00006B8D0000}"/>
    <cellStyle name="Normal 5 2 3 2 2 2 2 4" xfId="25653" xr:uid="{00000000-0005-0000-0000-00006C8D0000}"/>
    <cellStyle name="Normal 5 2 3 2 2 2 2 5" xfId="25654" xr:uid="{00000000-0005-0000-0000-00006D8D0000}"/>
    <cellStyle name="Normal 5 2 3 2 2 2 2 6" xfId="25655" xr:uid="{00000000-0005-0000-0000-00006E8D0000}"/>
    <cellStyle name="Normal 5 2 3 2 2 2 3" xfId="25656" xr:uid="{00000000-0005-0000-0000-00006F8D0000}"/>
    <cellStyle name="Normal 5 2 3 2 2 2 3 2" xfId="56575" xr:uid="{00000000-0005-0000-0000-0000708D0000}"/>
    <cellStyle name="Normal 5 2 3 2 2 2 3 3" xfId="56576" xr:uid="{00000000-0005-0000-0000-0000718D0000}"/>
    <cellStyle name="Normal 5 2 3 2 2 2 4" xfId="25657" xr:uid="{00000000-0005-0000-0000-0000728D0000}"/>
    <cellStyle name="Normal 5 2 3 2 2 2 4 2" xfId="56577" xr:uid="{00000000-0005-0000-0000-0000738D0000}"/>
    <cellStyle name="Normal 5 2 3 2 2 2 5" xfId="25658" xr:uid="{00000000-0005-0000-0000-0000748D0000}"/>
    <cellStyle name="Normal 5 2 3 2 2 2 6" xfId="25659" xr:uid="{00000000-0005-0000-0000-0000758D0000}"/>
    <cellStyle name="Normal 5 2 3 2 2 2 7" xfId="25660" xr:uid="{00000000-0005-0000-0000-0000768D0000}"/>
    <cellStyle name="Normal 5 2 3 2 2 3" xfId="25661" xr:uid="{00000000-0005-0000-0000-0000778D0000}"/>
    <cellStyle name="Normal 5 2 3 2 2 3 2" xfId="25662" xr:uid="{00000000-0005-0000-0000-0000788D0000}"/>
    <cellStyle name="Normal 5 2 3 2 2 3 2 2" xfId="56578" xr:uid="{00000000-0005-0000-0000-0000798D0000}"/>
    <cellStyle name="Normal 5 2 3 2 2 3 2 3" xfId="56579" xr:uid="{00000000-0005-0000-0000-00007A8D0000}"/>
    <cellStyle name="Normal 5 2 3 2 2 3 3" xfId="25663" xr:uid="{00000000-0005-0000-0000-00007B8D0000}"/>
    <cellStyle name="Normal 5 2 3 2 2 3 3 2" xfId="56580" xr:uid="{00000000-0005-0000-0000-00007C8D0000}"/>
    <cellStyle name="Normal 5 2 3 2 2 3 4" xfId="25664" xr:uid="{00000000-0005-0000-0000-00007D8D0000}"/>
    <cellStyle name="Normal 5 2 3 2 2 3 5" xfId="25665" xr:uid="{00000000-0005-0000-0000-00007E8D0000}"/>
    <cellStyle name="Normal 5 2 3 2 2 3 6" xfId="25666" xr:uid="{00000000-0005-0000-0000-00007F8D0000}"/>
    <cellStyle name="Normal 5 2 3 2 2 4" xfId="25667" xr:uid="{00000000-0005-0000-0000-0000808D0000}"/>
    <cellStyle name="Normal 5 2 3 2 2 4 2" xfId="56581" xr:uid="{00000000-0005-0000-0000-0000818D0000}"/>
    <cellStyle name="Normal 5 2 3 2 2 4 3" xfId="56582" xr:uid="{00000000-0005-0000-0000-0000828D0000}"/>
    <cellStyle name="Normal 5 2 3 2 2 5" xfId="25668" xr:uid="{00000000-0005-0000-0000-0000838D0000}"/>
    <cellStyle name="Normal 5 2 3 2 2 5 2" xfId="56583" xr:uid="{00000000-0005-0000-0000-0000848D0000}"/>
    <cellStyle name="Normal 5 2 3 2 2 6" xfId="25669" xr:uid="{00000000-0005-0000-0000-0000858D0000}"/>
    <cellStyle name="Normal 5 2 3 2 2 7" xfId="25670" xr:uid="{00000000-0005-0000-0000-0000868D0000}"/>
    <cellStyle name="Normal 5 2 3 2 2 8" xfId="25671" xr:uid="{00000000-0005-0000-0000-0000878D0000}"/>
    <cellStyle name="Normal 5 2 3 2 2 9" xfId="25672" xr:uid="{00000000-0005-0000-0000-0000888D0000}"/>
    <cellStyle name="Normal 5 2 3 2 3" xfId="25673" xr:uid="{00000000-0005-0000-0000-0000898D0000}"/>
    <cellStyle name="Normal 5 2 3 2 3 2" xfId="25674" xr:uid="{00000000-0005-0000-0000-00008A8D0000}"/>
    <cellStyle name="Normal 5 2 3 2 3 2 2" xfId="25675" xr:uid="{00000000-0005-0000-0000-00008B8D0000}"/>
    <cellStyle name="Normal 5 2 3 2 3 2 2 2" xfId="25676" xr:uid="{00000000-0005-0000-0000-00008C8D0000}"/>
    <cellStyle name="Normal 5 2 3 2 3 2 2 2 2" xfId="56584" xr:uid="{00000000-0005-0000-0000-00008D8D0000}"/>
    <cellStyle name="Normal 5 2 3 2 3 2 2 2 3" xfId="56585" xr:uid="{00000000-0005-0000-0000-00008E8D0000}"/>
    <cellStyle name="Normal 5 2 3 2 3 2 2 3" xfId="25677" xr:uid="{00000000-0005-0000-0000-00008F8D0000}"/>
    <cellStyle name="Normal 5 2 3 2 3 2 2 3 2" xfId="56586" xr:uid="{00000000-0005-0000-0000-0000908D0000}"/>
    <cellStyle name="Normal 5 2 3 2 3 2 2 4" xfId="25678" xr:uid="{00000000-0005-0000-0000-0000918D0000}"/>
    <cellStyle name="Normal 5 2 3 2 3 2 2 5" xfId="25679" xr:uid="{00000000-0005-0000-0000-0000928D0000}"/>
    <cellStyle name="Normal 5 2 3 2 3 2 2 6" xfId="25680" xr:uid="{00000000-0005-0000-0000-0000938D0000}"/>
    <cellStyle name="Normal 5 2 3 2 3 2 3" xfId="25681" xr:uid="{00000000-0005-0000-0000-0000948D0000}"/>
    <cellStyle name="Normal 5 2 3 2 3 2 3 2" xfId="56587" xr:uid="{00000000-0005-0000-0000-0000958D0000}"/>
    <cellStyle name="Normal 5 2 3 2 3 2 3 3" xfId="56588" xr:uid="{00000000-0005-0000-0000-0000968D0000}"/>
    <cellStyle name="Normal 5 2 3 2 3 2 4" xfId="25682" xr:uid="{00000000-0005-0000-0000-0000978D0000}"/>
    <cellStyle name="Normal 5 2 3 2 3 2 4 2" xfId="56589" xr:uid="{00000000-0005-0000-0000-0000988D0000}"/>
    <cellStyle name="Normal 5 2 3 2 3 2 5" xfId="25683" xr:uid="{00000000-0005-0000-0000-0000998D0000}"/>
    <cellStyle name="Normal 5 2 3 2 3 2 6" xfId="25684" xr:uid="{00000000-0005-0000-0000-00009A8D0000}"/>
    <cellStyle name="Normal 5 2 3 2 3 2 7" xfId="25685" xr:uid="{00000000-0005-0000-0000-00009B8D0000}"/>
    <cellStyle name="Normal 5 2 3 2 3 3" xfId="25686" xr:uid="{00000000-0005-0000-0000-00009C8D0000}"/>
    <cellStyle name="Normal 5 2 3 2 3 3 2" xfId="25687" xr:uid="{00000000-0005-0000-0000-00009D8D0000}"/>
    <cellStyle name="Normal 5 2 3 2 3 3 2 2" xfId="56590" xr:uid="{00000000-0005-0000-0000-00009E8D0000}"/>
    <cellStyle name="Normal 5 2 3 2 3 3 2 3" xfId="56591" xr:uid="{00000000-0005-0000-0000-00009F8D0000}"/>
    <cellStyle name="Normal 5 2 3 2 3 3 3" xfId="25688" xr:uid="{00000000-0005-0000-0000-0000A08D0000}"/>
    <cellStyle name="Normal 5 2 3 2 3 3 3 2" xfId="56592" xr:uid="{00000000-0005-0000-0000-0000A18D0000}"/>
    <cellStyle name="Normal 5 2 3 2 3 3 4" xfId="25689" xr:uid="{00000000-0005-0000-0000-0000A28D0000}"/>
    <cellStyle name="Normal 5 2 3 2 3 3 5" xfId="25690" xr:uid="{00000000-0005-0000-0000-0000A38D0000}"/>
    <cellStyle name="Normal 5 2 3 2 3 3 6" xfId="25691" xr:uid="{00000000-0005-0000-0000-0000A48D0000}"/>
    <cellStyle name="Normal 5 2 3 2 3 4" xfId="25692" xr:uid="{00000000-0005-0000-0000-0000A58D0000}"/>
    <cellStyle name="Normal 5 2 3 2 3 4 2" xfId="56593" xr:uid="{00000000-0005-0000-0000-0000A68D0000}"/>
    <cellStyle name="Normal 5 2 3 2 3 4 3" xfId="56594" xr:uid="{00000000-0005-0000-0000-0000A78D0000}"/>
    <cellStyle name="Normal 5 2 3 2 3 5" xfId="25693" xr:uid="{00000000-0005-0000-0000-0000A88D0000}"/>
    <cellStyle name="Normal 5 2 3 2 3 5 2" xfId="56595" xr:uid="{00000000-0005-0000-0000-0000A98D0000}"/>
    <cellStyle name="Normal 5 2 3 2 3 6" xfId="25694" xr:uid="{00000000-0005-0000-0000-0000AA8D0000}"/>
    <cellStyle name="Normal 5 2 3 2 3 7" xfId="25695" xr:uid="{00000000-0005-0000-0000-0000AB8D0000}"/>
    <cellStyle name="Normal 5 2 3 2 3 8" xfId="25696" xr:uid="{00000000-0005-0000-0000-0000AC8D0000}"/>
    <cellStyle name="Normal 5 2 3 2 4" xfId="25697" xr:uid="{00000000-0005-0000-0000-0000AD8D0000}"/>
    <cellStyle name="Normal 5 2 3 2 4 2" xfId="25698" xr:uid="{00000000-0005-0000-0000-0000AE8D0000}"/>
    <cellStyle name="Normal 5 2 3 2 4 2 2" xfId="25699" xr:uid="{00000000-0005-0000-0000-0000AF8D0000}"/>
    <cellStyle name="Normal 5 2 3 2 4 2 2 2" xfId="56596" xr:uid="{00000000-0005-0000-0000-0000B08D0000}"/>
    <cellStyle name="Normal 5 2 3 2 4 2 2 3" xfId="56597" xr:uid="{00000000-0005-0000-0000-0000B18D0000}"/>
    <cellStyle name="Normal 5 2 3 2 4 2 3" xfId="25700" xr:uid="{00000000-0005-0000-0000-0000B28D0000}"/>
    <cellStyle name="Normal 5 2 3 2 4 2 3 2" xfId="56598" xr:uid="{00000000-0005-0000-0000-0000B38D0000}"/>
    <cellStyle name="Normal 5 2 3 2 4 2 4" xfId="25701" xr:uid="{00000000-0005-0000-0000-0000B48D0000}"/>
    <cellStyle name="Normal 5 2 3 2 4 2 5" xfId="25702" xr:uid="{00000000-0005-0000-0000-0000B58D0000}"/>
    <cellStyle name="Normal 5 2 3 2 4 2 6" xfId="25703" xr:uid="{00000000-0005-0000-0000-0000B68D0000}"/>
    <cellStyle name="Normal 5 2 3 2 4 3" xfId="25704" xr:uid="{00000000-0005-0000-0000-0000B78D0000}"/>
    <cellStyle name="Normal 5 2 3 2 4 3 2" xfId="56599" xr:uid="{00000000-0005-0000-0000-0000B88D0000}"/>
    <cellStyle name="Normal 5 2 3 2 4 3 3" xfId="56600" xr:uid="{00000000-0005-0000-0000-0000B98D0000}"/>
    <cellStyle name="Normal 5 2 3 2 4 4" xfId="25705" xr:uid="{00000000-0005-0000-0000-0000BA8D0000}"/>
    <cellStyle name="Normal 5 2 3 2 4 4 2" xfId="56601" xr:uid="{00000000-0005-0000-0000-0000BB8D0000}"/>
    <cellStyle name="Normal 5 2 3 2 4 5" xfId="25706" xr:uid="{00000000-0005-0000-0000-0000BC8D0000}"/>
    <cellStyle name="Normal 5 2 3 2 4 6" xfId="25707" xr:uid="{00000000-0005-0000-0000-0000BD8D0000}"/>
    <cellStyle name="Normal 5 2 3 2 4 7" xfId="25708" xr:uid="{00000000-0005-0000-0000-0000BE8D0000}"/>
    <cellStyle name="Normal 5 2 3 2 5" xfId="25709" xr:uid="{00000000-0005-0000-0000-0000BF8D0000}"/>
    <cellStyle name="Normal 5 2 3 2 5 2" xfId="25710" xr:uid="{00000000-0005-0000-0000-0000C08D0000}"/>
    <cellStyle name="Normal 5 2 3 2 5 2 2" xfId="56602" xr:uid="{00000000-0005-0000-0000-0000C18D0000}"/>
    <cellStyle name="Normal 5 2 3 2 5 2 3" xfId="56603" xr:uid="{00000000-0005-0000-0000-0000C28D0000}"/>
    <cellStyle name="Normal 5 2 3 2 5 3" xfId="25711" xr:uid="{00000000-0005-0000-0000-0000C38D0000}"/>
    <cellStyle name="Normal 5 2 3 2 5 3 2" xfId="56604" xr:uid="{00000000-0005-0000-0000-0000C48D0000}"/>
    <cellStyle name="Normal 5 2 3 2 5 4" xfId="25712" xr:uid="{00000000-0005-0000-0000-0000C58D0000}"/>
    <cellStyle name="Normal 5 2 3 2 5 5" xfId="25713" xr:uid="{00000000-0005-0000-0000-0000C68D0000}"/>
    <cellStyle name="Normal 5 2 3 2 5 6" xfId="25714" xr:uid="{00000000-0005-0000-0000-0000C78D0000}"/>
    <cellStyle name="Normal 5 2 3 2 6" xfId="25715" xr:uid="{00000000-0005-0000-0000-0000C88D0000}"/>
    <cellStyle name="Normal 5 2 3 2 6 2" xfId="56605" xr:uid="{00000000-0005-0000-0000-0000C98D0000}"/>
    <cellStyle name="Normal 5 2 3 2 6 3" xfId="56606" xr:uid="{00000000-0005-0000-0000-0000CA8D0000}"/>
    <cellStyle name="Normal 5 2 3 2 7" xfId="25716" xr:uid="{00000000-0005-0000-0000-0000CB8D0000}"/>
    <cellStyle name="Normal 5 2 3 2 7 2" xfId="56607" xr:uid="{00000000-0005-0000-0000-0000CC8D0000}"/>
    <cellStyle name="Normal 5 2 3 2 8" xfId="25717" xr:uid="{00000000-0005-0000-0000-0000CD8D0000}"/>
    <cellStyle name="Normal 5 2 3 2 8 2" xfId="56608" xr:uid="{00000000-0005-0000-0000-0000CE8D0000}"/>
    <cellStyle name="Normal 5 2 3 2 9" xfId="25718" xr:uid="{00000000-0005-0000-0000-0000CF8D0000}"/>
    <cellStyle name="Normal 5 2 3 3" xfId="25719" xr:uid="{00000000-0005-0000-0000-0000D08D0000}"/>
    <cellStyle name="Normal 5 2 3 3 10" xfId="25720" xr:uid="{00000000-0005-0000-0000-0000D18D0000}"/>
    <cellStyle name="Normal 5 2 3 3 11" xfId="25721" xr:uid="{00000000-0005-0000-0000-0000D28D0000}"/>
    <cellStyle name="Normal 5 2 3 3 12" xfId="25722" xr:uid="{00000000-0005-0000-0000-0000D38D0000}"/>
    <cellStyle name="Normal 5 2 3 3 13" xfId="25723" xr:uid="{00000000-0005-0000-0000-0000D48D0000}"/>
    <cellStyle name="Normal 5 2 3 3 14" xfId="25724" xr:uid="{00000000-0005-0000-0000-0000D58D0000}"/>
    <cellStyle name="Normal 5 2 3 3 2" xfId="25725" xr:uid="{00000000-0005-0000-0000-0000D68D0000}"/>
    <cellStyle name="Normal 5 2 3 3 2 2" xfId="25726" xr:uid="{00000000-0005-0000-0000-0000D78D0000}"/>
    <cellStyle name="Normal 5 2 3 3 2 2 2" xfId="25727" xr:uid="{00000000-0005-0000-0000-0000D88D0000}"/>
    <cellStyle name="Normal 5 2 3 3 2 2 2 2" xfId="25728" xr:uid="{00000000-0005-0000-0000-0000D98D0000}"/>
    <cellStyle name="Normal 5 2 3 3 2 2 2 2 2" xfId="56609" xr:uid="{00000000-0005-0000-0000-0000DA8D0000}"/>
    <cellStyle name="Normal 5 2 3 3 2 2 2 2 3" xfId="56610" xr:uid="{00000000-0005-0000-0000-0000DB8D0000}"/>
    <cellStyle name="Normal 5 2 3 3 2 2 2 3" xfId="25729" xr:uid="{00000000-0005-0000-0000-0000DC8D0000}"/>
    <cellStyle name="Normal 5 2 3 3 2 2 2 3 2" xfId="56611" xr:uid="{00000000-0005-0000-0000-0000DD8D0000}"/>
    <cellStyle name="Normal 5 2 3 3 2 2 2 4" xfId="25730" xr:uid="{00000000-0005-0000-0000-0000DE8D0000}"/>
    <cellStyle name="Normal 5 2 3 3 2 2 2 5" xfId="25731" xr:uid="{00000000-0005-0000-0000-0000DF8D0000}"/>
    <cellStyle name="Normal 5 2 3 3 2 2 2 6" xfId="25732" xr:uid="{00000000-0005-0000-0000-0000E08D0000}"/>
    <cellStyle name="Normal 5 2 3 3 2 2 3" xfId="25733" xr:uid="{00000000-0005-0000-0000-0000E18D0000}"/>
    <cellStyle name="Normal 5 2 3 3 2 2 3 2" xfId="56612" xr:uid="{00000000-0005-0000-0000-0000E28D0000}"/>
    <cellStyle name="Normal 5 2 3 3 2 2 3 3" xfId="56613" xr:uid="{00000000-0005-0000-0000-0000E38D0000}"/>
    <cellStyle name="Normal 5 2 3 3 2 2 4" xfId="25734" xr:uid="{00000000-0005-0000-0000-0000E48D0000}"/>
    <cellStyle name="Normal 5 2 3 3 2 2 4 2" xfId="56614" xr:uid="{00000000-0005-0000-0000-0000E58D0000}"/>
    <cellStyle name="Normal 5 2 3 3 2 2 5" xfId="25735" xr:uid="{00000000-0005-0000-0000-0000E68D0000}"/>
    <cellStyle name="Normal 5 2 3 3 2 2 6" xfId="25736" xr:uid="{00000000-0005-0000-0000-0000E78D0000}"/>
    <cellStyle name="Normal 5 2 3 3 2 2 7" xfId="25737" xr:uid="{00000000-0005-0000-0000-0000E88D0000}"/>
    <cellStyle name="Normal 5 2 3 3 2 3" xfId="25738" xr:uid="{00000000-0005-0000-0000-0000E98D0000}"/>
    <cellStyle name="Normal 5 2 3 3 2 3 2" xfId="25739" xr:uid="{00000000-0005-0000-0000-0000EA8D0000}"/>
    <cellStyle name="Normal 5 2 3 3 2 3 2 2" xfId="56615" xr:uid="{00000000-0005-0000-0000-0000EB8D0000}"/>
    <cellStyle name="Normal 5 2 3 3 2 3 2 3" xfId="56616" xr:uid="{00000000-0005-0000-0000-0000EC8D0000}"/>
    <cellStyle name="Normal 5 2 3 3 2 3 3" xfId="25740" xr:uid="{00000000-0005-0000-0000-0000ED8D0000}"/>
    <cellStyle name="Normal 5 2 3 3 2 3 3 2" xfId="56617" xr:uid="{00000000-0005-0000-0000-0000EE8D0000}"/>
    <cellStyle name="Normal 5 2 3 3 2 3 4" xfId="25741" xr:uid="{00000000-0005-0000-0000-0000EF8D0000}"/>
    <cellStyle name="Normal 5 2 3 3 2 3 5" xfId="25742" xr:uid="{00000000-0005-0000-0000-0000F08D0000}"/>
    <cellStyle name="Normal 5 2 3 3 2 3 6" xfId="25743" xr:uid="{00000000-0005-0000-0000-0000F18D0000}"/>
    <cellStyle name="Normal 5 2 3 3 2 4" xfId="25744" xr:uid="{00000000-0005-0000-0000-0000F28D0000}"/>
    <cellStyle name="Normal 5 2 3 3 2 4 2" xfId="56618" xr:uid="{00000000-0005-0000-0000-0000F38D0000}"/>
    <cellStyle name="Normal 5 2 3 3 2 4 3" xfId="56619" xr:uid="{00000000-0005-0000-0000-0000F48D0000}"/>
    <cellStyle name="Normal 5 2 3 3 2 5" xfId="25745" xr:uid="{00000000-0005-0000-0000-0000F58D0000}"/>
    <cellStyle name="Normal 5 2 3 3 2 5 2" xfId="56620" xr:uid="{00000000-0005-0000-0000-0000F68D0000}"/>
    <cellStyle name="Normal 5 2 3 3 2 6" xfId="25746" xr:uid="{00000000-0005-0000-0000-0000F78D0000}"/>
    <cellStyle name="Normal 5 2 3 3 2 7" xfId="25747" xr:uid="{00000000-0005-0000-0000-0000F88D0000}"/>
    <cellStyle name="Normal 5 2 3 3 2 8" xfId="25748" xr:uid="{00000000-0005-0000-0000-0000F98D0000}"/>
    <cellStyle name="Normal 5 2 3 3 2 9" xfId="25749" xr:uid="{00000000-0005-0000-0000-0000FA8D0000}"/>
    <cellStyle name="Normal 5 2 3 3 3" xfId="25750" xr:uid="{00000000-0005-0000-0000-0000FB8D0000}"/>
    <cellStyle name="Normal 5 2 3 3 3 2" xfId="25751" xr:uid="{00000000-0005-0000-0000-0000FC8D0000}"/>
    <cellStyle name="Normal 5 2 3 3 3 2 2" xfId="25752" xr:uid="{00000000-0005-0000-0000-0000FD8D0000}"/>
    <cellStyle name="Normal 5 2 3 3 3 2 2 2" xfId="25753" xr:uid="{00000000-0005-0000-0000-0000FE8D0000}"/>
    <cellStyle name="Normal 5 2 3 3 3 2 2 2 2" xfId="56621" xr:uid="{00000000-0005-0000-0000-0000FF8D0000}"/>
    <cellStyle name="Normal 5 2 3 3 3 2 2 2 3" xfId="56622" xr:uid="{00000000-0005-0000-0000-0000008E0000}"/>
    <cellStyle name="Normal 5 2 3 3 3 2 2 3" xfId="25754" xr:uid="{00000000-0005-0000-0000-0000018E0000}"/>
    <cellStyle name="Normal 5 2 3 3 3 2 2 3 2" xfId="56623" xr:uid="{00000000-0005-0000-0000-0000028E0000}"/>
    <cellStyle name="Normal 5 2 3 3 3 2 2 4" xfId="25755" xr:uid="{00000000-0005-0000-0000-0000038E0000}"/>
    <cellStyle name="Normal 5 2 3 3 3 2 2 5" xfId="25756" xr:uid="{00000000-0005-0000-0000-0000048E0000}"/>
    <cellStyle name="Normal 5 2 3 3 3 2 2 6" xfId="25757" xr:uid="{00000000-0005-0000-0000-0000058E0000}"/>
    <cellStyle name="Normal 5 2 3 3 3 2 3" xfId="25758" xr:uid="{00000000-0005-0000-0000-0000068E0000}"/>
    <cellStyle name="Normal 5 2 3 3 3 2 3 2" xfId="56624" xr:uid="{00000000-0005-0000-0000-0000078E0000}"/>
    <cellStyle name="Normal 5 2 3 3 3 2 3 3" xfId="56625" xr:uid="{00000000-0005-0000-0000-0000088E0000}"/>
    <cellStyle name="Normal 5 2 3 3 3 2 4" xfId="25759" xr:uid="{00000000-0005-0000-0000-0000098E0000}"/>
    <cellStyle name="Normal 5 2 3 3 3 2 4 2" xfId="56626" xr:uid="{00000000-0005-0000-0000-00000A8E0000}"/>
    <cellStyle name="Normal 5 2 3 3 3 2 5" xfId="25760" xr:uid="{00000000-0005-0000-0000-00000B8E0000}"/>
    <cellStyle name="Normal 5 2 3 3 3 2 6" xfId="25761" xr:uid="{00000000-0005-0000-0000-00000C8E0000}"/>
    <cellStyle name="Normal 5 2 3 3 3 2 7" xfId="25762" xr:uid="{00000000-0005-0000-0000-00000D8E0000}"/>
    <cellStyle name="Normal 5 2 3 3 3 3" xfId="25763" xr:uid="{00000000-0005-0000-0000-00000E8E0000}"/>
    <cellStyle name="Normal 5 2 3 3 3 3 2" xfId="25764" xr:uid="{00000000-0005-0000-0000-00000F8E0000}"/>
    <cellStyle name="Normal 5 2 3 3 3 3 2 2" xfId="56627" xr:uid="{00000000-0005-0000-0000-0000108E0000}"/>
    <cellStyle name="Normal 5 2 3 3 3 3 2 3" xfId="56628" xr:uid="{00000000-0005-0000-0000-0000118E0000}"/>
    <cellStyle name="Normal 5 2 3 3 3 3 3" xfId="25765" xr:uid="{00000000-0005-0000-0000-0000128E0000}"/>
    <cellStyle name="Normal 5 2 3 3 3 3 3 2" xfId="56629" xr:uid="{00000000-0005-0000-0000-0000138E0000}"/>
    <cellStyle name="Normal 5 2 3 3 3 3 4" xfId="25766" xr:uid="{00000000-0005-0000-0000-0000148E0000}"/>
    <cellStyle name="Normal 5 2 3 3 3 3 5" xfId="25767" xr:uid="{00000000-0005-0000-0000-0000158E0000}"/>
    <cellStyle name="Normal 5 2 3 3 3 3 6" xfId="25768" xr:uid="{00000000-0005-0000-0000-0000168E0000}"/>
    <cellStyle name="Normal 5 2 3 3 3 4" xfId="25769" xr:uid="{00000000-0005-0000-0000-0000178E0000}"/>
    <cellStyle name="Normal 5 2 3 3 3 4 2" xfId="56630" xr:uid="{00000000-0005-0000-0000-0000188E0000}"/>
    <cellStyle name="Normal 5 2 3 3 3 4 3" xfId="56631" xr:uid="{00000000-0005-0000-0000-0000198E0000}"/>
    <cellStyle name="Normal 5 2 3 3 3 5" xfId="25770" xr:uid="{00000000-0005-0000-0000-00001A8E0000}"/>
    <cellStyle name="Normal 5 2 3 3 3 5 2" xfId="56632" xr:uid="{00000000-0005-0000-0000-00001B8E0000}"/>
    <cellStyle name="Normal 5 2 3 3 3 6" xfId="25771" xr:uid="{00000000-0005-0000-0000-00001C8E0000}"/>
    <cellStyle name="Normal 5 2 3 3 3 7" xfId="25772" xr:uid="{00000000-0005-0000-0000-00001D8E0000}"/>
    <cellStyle name="Normal 5 2 3 3 3 8" xfId="25773" xr:uid="{00000000-0005-0000-0000-00001E8E0000}"/>
    <cellStyle name="Normal 5 2 3 3 4" xfId="25774" xr:uid="{00000000-0005-0000-0000-00001F8E0000}"/>
    <cellStyle name="Normal 5 2 3 3 4 2" xfId="25775" xr:uid="{00000000-0005-0000-0000-0000208E0000}"/>
    <cellStyle name="Normal 5 2 3 3 4 2 2" xfId="25776" xr:uid="{00000000-0005-0000-0000-0000218E0000}"/>
    <cellStyle name="Normal 5 2 3 3 4 2 2 2" xfId="56633" xr:uid="{00000000-0005-0000-0000-0000228E0000}"/>
    <cellStyle name="Normal 5 2 3 3 4 2 2 3" xfId="56634" xr:uid="{00000000-0005-0000-0000-0000238E0000}"/>
    <cellStyle name="Normal 5 2 3 3 4 2 3" xfId="25777" xr:uid="{00000000-0005-0000-0000-0000248E0000}"/>
    <cellStyle name="Normal 5 2 3 3 4 2 3 2" xfId="56635" xr:uid="{00000000-0005-0000-0000-0000258E0000}"/>
    <cellStyle name="Normal 5 2 3 3 4 2 4" xfId="25778" xr:uid="{00000000-0005-0000-0000-0000268E0000}"/>
    <cellStyle name="Normal 5 2 3 3 4 2 5" xfId="25779" xr:uid="{00000000-0005-0000-0000-0000278E0000}"/>
    <cellStyle name="Normal 5 2 3 3 4 2 6" xfId="25780" xr:uid="{00000000-0005-0000-0000-0000288E0000}"/>
    <cellStyle name="Normal 5 2 3 3 4 3" xfId="25781" xr:uid="{00000000-0005-0000-0000-0000298E0000}"/>
    <cellStyle name="Normal 5 2 3 3 4 3 2" xfId="56636" xr:uid="{00000000-0005-0000-0000-00002A8E0000}"/>
    <cellStyle name="Normal 5 2 3 3 4 3 3" xfId="56637" xr:uid="{00000000-0005-0000-0000-00002B8E0000}"/>
    <cellStyle name="Normal 5 2 3 3 4 4" xfId="25782" xr:uid="{00000000-0005-0000-0000-00002C8E0000}"/>
    <cellStyle name="Normal 5 2 3 3 4 4 2" xfId="56638" xr:uid="{00000000-0005-0000-0000-00002D8E0000}"/>
    <cellStyle name="Normal 5 2 3 3 4 5" xfId="25783" xr:uid="{00000000-0005-0000-0000-00002E8E0000}"/>
    <cellStyle name="Normal 5 2 3 3 4 6" xfId="25784" xr:uid="{00000000-0005-0000-0000-00002F8E0000}"/>
    <cellStyle name="Normal 5 2 3 3 4 7" xfId="25785" xr:uid="{00000000-0005-0000-0000-0000308E0000}"/>
    <cellStyle name="Normal 5 2 3 3 5" xfId="25786" xr:uid="{00000000-0005-0000-0000-0000318E0000}"/>
    <cellStyle name="Normal 5 2 3 3 5 2" xfId="25787" xr:uid="{00000000-0005-0000-0000-0000328E0000}"/>
    <cellStyle name="Normal 5 2 3 3 5 2 2" xfId="56639" xr:uid="{00000000-0005-0000-0000-0000338E0000}"/>
    <cellStyle name="Normal 5 2 3 3 5 2 3" xfId="56640" xr:uid="{00000000-0005-0000-0000-0000348E0000}"/>
    <cellStyle name="Normal 5 2 3 3 5 3" xfId="25788" xr:uid="{00000000-0005-0000-0000-0000358E0000}"/>
    <cellStyle name="Normal 5 2 3 3 5 3 2" xfId="56641" xr:uid="{00000000-0005-0000-0000-0000368E0000}"/>
    <cellStyle name="Normal 5 2 3 3 5 4" xfId="25789" xr:uid="{00000000-0005-0000-0000-0000378E0000}"/>
    <cellStyle name="Normal 5 2 3 3 5 5" xfId="25790" xr:uid="{00000000-0005-0000-0000-0000388E0000}"/>
    <cellStyle name="Normal 5 2 3 3 5 6" xfId="25791" xr:uid="{00000000-0005-0000-0000-0000398E0000}"/>
    <cellStyle name="Normal 5 2 3 3 6" xfId="25792" xr:uid="{00000000-0005-0000-0000-00003A8E0000}"/>
    <cellStyle name="Normal 5 2 3 3 6 2" xfId="56642" xr:uid="{00000000-0005-0000-0000-00003B8E0000}"/>
    <cellStyle name="Normal 5 2 3 3 6 3" xfId="56643" xr:uid="{00000000-0005-0000-0000-00003C8E0000}"/>
    <cellStyle name="Normal 5 2 3 3 7" xfId="25793" xr:uid="{00000000-0005-0000-0000-00003D8E0000}"/>
    <cellStyle name="Normal 5 2 3 3 7 2" xfId="56644" xr:uid="{00000000-0005-0000-0000-00003E8E0000}"/>
    <cellStyle name="Normal 5 2 3 3 8" xfId="25794" xr:uid="{00000000-0005-0000-0000-00003F8E0000}"/>
    <cellStyle name="Normal 5 2 3 3 9" xfId="25795" xr:uid="{00000000-0005-0000-0000-0000408E0000}"/>
    <cellStyle name="Normal 5 2 3 4" xfId="25796" xr:uid="{00000000-0005-0000-0000-0000418E0000}"/>
    <cellStyle name="Normal 5 2 3 4 10" xfId="25797" xr:uid="{00000000-0005-0000-0000-0000428E0000}"/>
    <cellStyle name="Normal 5 2 3 4 11" xfId="25798" xr:uid="{00000000-0005-0000-0000-0000438E0000}"/>
    <cellStyle name="Normal 5 2 3 4 12" xfId="25799" xr:uid="{00000000-0005-0000-0000-0000448E0000}"/>
    <cellStyle name="Normal 5 2 3 4 13" xfId="25800" xr:uid="{00000000-0005-0000-0000-0000458E0000}"/>
    <cellStyle name="Normal 5 2 3 4 2" xfId="25801" xr:uid="{00000000-0005-0000-0000-0000468E0000}"/>
    <cellStyle name="Normal 5 2 3 4 2 2" xfId="25802" xr:uid="{00000000-0005-0000-0000-0000478E0000}"/>
    <cellStyle name="Normal 5 2 3 4 2 2 2" xfId="25803" xr:uid="{00000000-0005-0000-0000-0000488E0000}"/>
    <cellStyle name="Normal 5 2 3 4 2 2 2 2" xfId="25804" xr:uid="{00000000-0005-0000-0000-0000498E0000}"/>
    <cellStyle name="Normal 5 2 3 4 2 2 2 2 2" xfId="56645" xr:uid="{00000000-0005-0000-0000-00004A8E0000}"/>
    <cellStyle name="Normal 5 2 3 4 2 2 2 2 3" xfId="56646" xr:uid="{00000000-0005-0000-0000-00004B8E0000}"/>
    <cellStyle name="Normal 5 2 3 4 2 2 2 3" xfId="25805" xr:uid="{00000000-0005-0000-0000-00004C8E0000}"/>
    <cellStyle name="Normal 5 2 3 4 2 2 2 3 2" xfId="56647" xr:uid="{00000000-0005-0000-0000-00004D8E0000}"/>
    <cellStyle name="Normal 5 2 3 4 2 2 2 4" xfId="25806" xr:uid="{00000000-0005-0000-0000-00004E8E0000}"/>
    <cellStyle name="Normal 5 2 3 4 2 2 2 5" xfId="25807" xr:uid="{00000000-0005-0000-0000-00004F8E0000}"/>
    <cellStyle name="Normal 5 2 3 4 2 2 2 6" xfId="25808" xr:uid="{00000000-0005-0000-0000-0000508E0000}"/>
    <cellStyle name="Normal 5 2 3 4 2 2 3" xfId="25809" xr:uid="{00000000-0005-0000-0000-0000518E0000}"/>
    <cellStyle name="Normal 5 2 3 4 2 2 3 2" xfId="56648" xr:uid="{00000000-0005-0000-0000-0000528E0000}"/>
    <cellStyle name="Normal 5 2 3 4 2 2 3 3" xfId="56649" xr:uid="{00000000-0005-0000-0000-0000538E0000}"/>
    <cellStyle name="Normal 5 2 3 4 2 2 4" xfId="25810" xr:uid="{00000000-0005-0000-0000-0000548E0000}"/>
    <cellStyle name="Normal 5 2 3 4 2 2 4 2" xfId="56650" xr:uid="{00000000-0005-0000-0000-0000558E0000}"/>
    <cellStyle name="Normal 5 2 3 4 2 2 5" xfId="25811" xr:uid="{00000000-0005-0000-0000-0000568E0000}"/>
    <cellStyle name="Normal 5 2 3 4 2 2 6" xfId="25812" xr:uid="{00000000-0005-0000-0000-0000578E0000}"/>
    <cellStyle name="Normal 5 2 3 4 2 2 7" xfId="25813" xr:uid="{00000000-0005-0000-0000-0000588E0000}"/>
    <cellStyle name="Normal 5 2 3 4 2 3" xfId="25814" xr:uid="{00000000-0005-0000-0000-0000598E0000}"/>
    <cellStyle name="Normal 5 2 3 4 2 3 2" xfId="25815" xr:uid="{00000000-0005-0000-0000-00005A8E0000}"/>
    <cellStyle name="Normal 5 2 3 4 2 3 2 2" xfId="56651" xr:uid="{00000000-0005-0000-0000-00005B8E0000}"/>
    <cellStyle name="Normal 5 2 3 4 2 3 2 3" xfId="56652" xr:uid="{00000000-0005-0000-0000-00005C8E0000}"/>
    <cellStyle name="Normal 5 2 3 4 2 3 3" xfId="25816" xr:uid="{00000000-0005-0000-0000-00005D8E0000}"/>
    <cellStyle name="Normal 5 2 3 4 2 3 3 2" xfId="56653" xr:uid="{00000000-0005-0000-0000-00005E8E0000}"/>
    <cellStyle name="Normal 5 2 3 4 2 3 4" xfId="25817" xr:uid="{00000000-0005-0000-0000-00005F8E0000}"/>
    <cellStyle name="Normal 5 2 3 4 2 3 5" xfId="25818" xr:uid="{00000000-0005-0000-0000-0000608E0000}"/>
    <cellStyle name="Normal 5 2 3 4 2 3 6" xfId="25819" xr:uid="{00000000-0005-0000-0000-0000618E0000}"/>
    <cellStyle name="Normal 5 2 3 4 2 4" xfId="25820" xr:uid="{00000000-0005-0000-0000-0000628E0000}"/>
    <cellStyle name="Normal 5 2 3 4 2 4 2" xfId="56654" xr:uid="{00000000-0005-0000-0000-0000638E0000}"/>
    <cellStyle name="Normal 5 2 3 4 2 4 3" xfId="56655" xr:uid="{00000000-0005-0000-0000-0000648E0000}"/>
    <cellStyle name="Normal 5 2 3 4 2 5" xfId="25821" xr:uid="{00000000-0005-0000-0000-0000658E0000}"/>
    <cellStyle name="Normal 5 2 3 4 2 5 2" xfId="56656" xr:uid="{00000000-0005-0000-0000-0000668E0000}"/>
    <cellStyle name="Normal 5 2 3 4 2 6" xfId="25822" xr:uid="{00000000-0005-0000-0000-0000678E0000}"/>
    <cellStyle name="Normal 5 2 3 4 2 7" xfId="25823" xr:uid="{00000000-0005-0000-0000-0000688E0000}"/>
    <cellStyle name="Normal 5 2 3 4 2 8" xfId="25824" xr:uid="{00000000-0005-0000-0000-0000698E0000}"/>
    <cellStyle name="Normal 5 2 3 4 2 9" xfId="25825" xr:uid="{00000000-0005-0000-0000-00006A8E0000}"/>
    <cellStyle name="Normal 5 2 3 4 3" xfId="25826" xr:uid="{00000000-0005-0000-0000-00006B8E0000}"/>
    <cellStyle name="Normal 5 2 3 4 3 2" xfId="25827" xr:uid="{00000000-0005-0000-0000-00006C8E0000}"/>
    <cellStyle name="Normal 5 2 3 4 3 2 2" xfId="25828" xr:uid="{00000000-0005-0000-0000-00006D8E0000}"/>
    <cellStyle name="Normal 5 2 3 4 3 2 2 2" xfId="56657" xr:uid="{00000000-0005-0000-0000-00006E8E0000}"/>
    <cellStyle name="Normal 5 2 3 4 3 2 2 3" xfId="56658" xr:uid="{00000000-0005-0000-0000-00006F8E0000}"/>
    <cellStyle name="Normal 5 2 3 4 3 2 3" xfId="25829" xr:uid="{00000000-0005-0000-0000-0000708E0000}"/>
    <cellStyle name="Normal 5 2 3 4 3 2 3 2" xfId="56659" xr:uid="{00000000-0005-0000-0000-0000718E0000}"/>
    <cellStyle name="Normal 5 2 3 4 3 2 4" xfId="25830" xr:uid="{00000000-0005-0000-0000-0000728E0000}"/>
    <cellStyle name="Normal 5 2 3 4 3 2 5" xfId="25831" xr:uid="{00000000-0005-0000-0000-0000738E0000}"/>
    <cellStyle name="Normal 5 2 3 4 3 2 6" xfId="25832" xr:uid="{00000000-0005-0000-0000-0000748E0000}"/>
    <cellStyle name="Normal 5 2 3 4 3 3" xfId="25833" xr:uid="{00000000-0005-0000-0000-0000758E0000}"/>
    <cellStyle name="Normal 5 2 3 4 3 3 2" xfId="56660" xr:uid="{00000000-0005-0000-0000-0000768E0000}"/>
    <cellStyle name="Normal 5 2 3 4 3 3 3" xfId="56661" xr:uid="{00000000-0005-0000-0000-0000778E0000}"/>
    <cellStyle name="Normal 5 2 3 4 3 4" xfId="25834" xr:uid="{00000000-0005-0000-0000-0000788E0000}"/>
    <cellStyle name="Normal 5 2 3 4 3 4 2" xfId="56662" xr:uid="{00000000-0005-0000-0000-0000798E0000}"/>
    <cellStyle name="Normal 5 2 3 4 3 5" xfId="25835" xr:uid="{00000000-0005-0000-0000-00007A8E0000}"/>
    <cellStyle name="Normal 5 2 3 4 3 6" xfId="25836" xr:uid="{00000000-0005-0000-0000-00007B8E0000}"/>
    <cellStyle name="Normal 5 2 3 4 3 7" xfId="25837" xr:uid="{00000000-0005-0000-0000-00007C8E0000}"/>
    <cellStyle name="Normal 5 2 3 4 4" xfId="25838" xr:uid="{00000000-0005-0000-0000-00007D8E0000}"/>
    <cellStyle name="Normal 5 2 3 4 4 2" xfId="25839" xr:uid="{00000000-0005-0000-0000-00007E8E0000}"/>
    <cellStyle name="Normal 5 2 3 4 4 2 2" xfId="56663" xr:uid="{00000000-0005-0000-0000-00007F8E0000}"/>
    <cellStyle name="Normal 5 2 3 4 4 2 3" xfId="56664" xr:uid="{00000000-0005-0000-0000-0000808E0000}"/>
    <cellStyle name="Normal 5 2 3 4 4 3" xfId="25840" xr:uid="{00000000-0005-0000-0000-0000818E0000}"/>
    <cellStyle name="Normal 5 2 3 4 4 3 2" xfId="56665" xr:uid="{00000000-0005-0000-0000-0000828E0000}"/>
    <cellStyle name="Normal 5 2 3 4 4 4" xfId="25841" xr:uid="{00000000-0005-0000-0000-0000838E0000}"/>
    <cellStyle name="Normal 5 2 3 4 4 5" xfId="25842" xr:uid="{00000000-0005-0000-0000-0000848E0000}"/>
    <cellStyle name="Normal 5 2 3 4 4 6" xfId="25843" xr:uid="{00000000-0005-0000-0000-0000858E0000}"/>
    <cellStyle name="Normal 5 2 3 4 5" xfId="25844" xr:uid="{00000000-0005-0000-0000-0000868E0000}"/>
    <cellStyle name="Normal 5 2 3 4 5 2" xfId="56666" xr:uid="{00000000-0005-0000-0000-0000878E0000}"/>
    <cellStyle name="Normal 5 2 3 4 5 3" xfId="56667" xr:uid="{00000000-0005-0000-0000-0000888E0000}"/>
    <cellStyle name="Normal 5 2 3 4 6" xfId="25845" xr:uid="{00000000-0005-0000-0000-0000898E0000}"/>
    <cellStyle name="Normal 5 2 3 4 6 2" xfId="56668" xr:uid="{00000000-0005-0000-0000-00008A8E0000}"/>
    <cellStyle name="Normal 5 2 3 4 7" xfId="25846" xr:uid="{00000000-0005-0000-0000-00008B8E0000}"/>
    <cellStyle name="Normal 5 2 3 4 8" xfId="25847" xr:uid="{00000000-0005-0000-0000-00008C8E0000}"/>
    <cellStyle name="Normal 5 2 3 4 9" xfId="25848" xr:uid="{00000000-0005-0000-0000-00008D8E0000}"/>
    <cellStyle name="Normal 5 2 3 5" xfId="25849" xr:uid="{00000000-0005-0000-0000-00008E8E0000}"/>
    <cellStyle name="Normal 5 2 3 5 2" xfId="25850" xr:uid="{00000000-0005-0000-0000-00008F8E0000}"/>
    <cellStyle name="Normal 5 2 3 5 2 2" xfId="25851" xr:uid="{00000000-0005-0000-0000-0000908E0000}"/>
    <cellStyle name="Normal 5 2 3 5 2 2 2" xfId="25852" xr:uid="{00000000-0005-0000-0000-0000918E0000}"/>
    <cellStyle name="Normal 5 2 3 5 2 2 2 2" xfId="56669" xr:uid="{00000000-0005-0000-0000-0000928E0000}"/>
    <cellStyle name="Normal 5 2 3 5 2 2 2 3" xfId="56670" xr:uid="{00000000-0005-0000-0000-0000938E0000}"/>
    <cellStyle name="Normal 5 2 3 5 2 2 3" xfId="25853" xr:uid="{00000000-0005-0000-0000-0000948E0000}"/>
    <cellStyle name="Normal 5 2 3 5 2 2 3 2" xfId="56671" xr:uid="{00000000-0005-0000-0000-0000958E0000}"/>
    <cellStyle name="Normal 5 2 3 5 2 2 4" xfId="25854" xr:uid="{00000000-0005-0000-0000-0000968E0000}"/>
    <cellStyle name="Normal 5 2 3 5 2 2 5" xfId="25855" xr:uid="{00000000-0005-0000-0000-0000978E0000}"/>
    <cellStyle name="Normal 5 2 3 5 2 2 6" xfId="25856" xr:uid="{00000000-0005-0000-0000-0000988E0000}"/>
    <cellStyle name="Normal 5 2 3 5 2 3" xfId="25857" xr:uid="{00000000-0005-0000-0000-0000998E0000}"/>
    <cellStyle name="Normal 5 2 3 5 2 3 2" xfId="56672" xr:uid="{00000000-0005-0000-0000-00009A8E0000}"/>
    <cellStyle name="Normal 5 2 3 5 2 3 3" xfId="56673" xr:uid="{00000000-0005-0000-0000-00009B8E0000}"/>
    <cellStyle name="Normal 5 2 3 5 2 4" xfId="25858" xr:uid="{00000000-0005-0000-0000-00009C8E0000}"/>
    <cellStyle name="Normal 5 2 3 5 2 4 2" xfId="56674" xr:uid="{00000000-0005-0000-0000-00009D8E0000}"/>
    <cellStyle name="Normal 5 2 3 5 2 5" xfId="25859" xr:uid="{00000000-0005-0000-0000-00009E8E0000}"/>
    <cellStyle name="Normal 5 2 3 5 2 6" xfId="25860" xr:uid="{00000000-0005-0000-0000-00009F8E0000}"/>
    <cellStyle name="Normal 5 2 3 5 2 7" xfId="25861" xr:uid="{00000000-0005-0000-0000-0000A08E0000}"/>
    <cellStyle name="Normal 5 2 3 5 3" xfId="25862" xr:uid="{00000000-0005-0000-0000-0000A18E0000}"/>
    <cellStyle name="Normal 5 2 3 5 3 2" xfId="25863" xr:uid="{00000000-0005-0000-0000-0000A28E0000}"/>
    <cellStyle name="Normal 5 2 3 5 3 2 2" xfId="56675" xr:uid="{00000000-0005-0000-0000-0000A38E0000}"/>
    <cellStyle name="Normal 5 2 3 5 3 2 3" xfId="56676" xr:uid="{00000000-0005-0000-0000-0000A48E0000}"/>
    <cellStyle name="Normal 5 2 3 5 3 3" xfId="25864" xr:uid="{00000000-0005-0000-0000-0000A58E0000}"/>
    <cellStyle name="Normal 5 2 3 5 3 3 2" xfId="56677" xr:uid="{00000000-0005-0000-0000-0000A68E0000}"/>
    <cellStyle name="Normal 5 2 3 5 3 4" xfId="25865" xr:uid="{00000000-0005-0000-0000-0000A78E0000}"/>
    <cellStyle name="Normal 5 2 3 5 3 5" xfId="25866" xr:uid="{00000000-0005-0000-0000-0000A88E0000}"/>
    <cellStyle name="Normal 5 2 3 5 3 6" xfId="25867" xr:uid="{00000000-0005-0000-0000-0000A98E0000}"/>
    <cellStyle name="Normal 5 2 3 5 4" xfId="25868" xr:uid="{00000000-0005-0000-0000-0000AA8E0000}"/>
    <cellStyle name="Normal 5 2 3 5 4 2" xfId="56678" xr:uid="{00000000-0005-0000-0000-0000AB8E0000}"/>
    <cellStyle name="Normal 5 2 3 5 4 3" xfId="56679" xr:uid="{00000000-0005-0000-0000-0000AC8E0000}"/>
    <cellStyle name="Normal 5 2 3 5 5" xfId="25869" xr:uid="{00000000-0005-0000-0000-0000AD8E0000}"/>
    <cellStyle name="Normal 5 2 3 5 5 2" xfId="56680" xr:uid="{00000000-0005-0000-0000-0000AE8E0000}"/>
    <cellStyle name="Normal 5 2 3 5 6" xfId="25870" xr:uid="{00000000-0005-0000-0000-0000AF8E0000}"/>
    <cellStyle name="Normal 5 2 3 5 7" xfId="25871" xr:uid="{00000000-0005-0000-0000-0000B08E0000}"/>
    <cellStyle name="Normal 5 2 3 5 8" xfId="25872" xr:uid="{00000000-0005-0000-0000-0000B18E0000}"/>
    <cellStyle name="Normal 5 2 3 5 9" xfId="25873" xr:uid="{00000000-0005-0000-0000-0000B28E0000}"/>
    <cellStyle name="Normal 5 2 3 6" xfId="25874" xr:uid="{00000000-0005-0000-0000-0000B38E0000}"/>
    <cellStyle name="Normal 5 2 3 6 2" xfId="25875" xr:uid="{00000000-0005-0000-0000-0000B48E0000}"/>
    <cellStyle name="Normal 5 2 3 6 2 2" xfId="25876" xr:uid="{00000000-0005-0000-0000-0000B58E0000}"/>
    <cellStyle name="Normal 5 2 3 6 2 2 2" xfId="25877" xr:uid="{00000000-0005-0000-0000-0000B68E0000}"/>
    <cellStyle name="Normal 5 2 3 6 2 2 2 2" xfId="56681" xr:uid="{00000000-0005-0000-0000-0000B78E0000}"/>
    <cellStyle name="Normal 5 2 3 6 2 2 2 3" xfId="56682" xr:uid="{00000000-0005-0000-0000-0000B88E0000}"/>
    <cellStyle name="Normal 5 2 3 6 2 2 3" xfId="25878" xr:uid="{00000000-0005-0000-0000-0000B98E0000}"/>
    <cellStyle name="Normal 5 2 3 6 2 2 3 2" xfId="56683" xr:uid="{00000000-0005-0000-0000-0000BA8E0000}"/>
    <cellStyle name="Normal 5 2 3 6 2 2 4" xfId="25879" xr:uid="{00000000-0005-0000-0000-0000BB8E0000}"/>
    <cellStyle name="Normal 5 2 3 6 2 2 5" xfId="25880" xr:uid="{00000000-0005-0000-0000-0000BC8E0000}"/>
    <cellStyle name="Normal 5 2 3 6 2 2 6" xfId="25881" xr:uid="{00000000-0005-0000-0000-0000BD8E0000}"/>
    <cellStyle name="Normal 5 2 3 6 2 3" xfId="25882" xr:uid="{00000000-0005-0000-0000-0000BE8E0000}"/>
    <cellStyle name="Normal 5 2 3 6 2 3 2" xfId="56684" xr:uid="{00000000-0005-0000-0000-0000BF8E0000}"/>
    <cellStyle name="Normal 5 2 3 6 2 3 3" xfId="56685" xr:uid="{00000000-0005-0000-0000-0000C08E0000}"/>
    <cellStyle name="Normal 5 2 3 6 2 4" xfId="25883" xr:uid="{00000000-0005-0000-0000-0000C18E0000}"/>
    <cellStyle name="Normal 5 2 3 6 2 4 2" xfId="56686" xr:uid="{00000000-0005-0000-0000-0000C28E0000}"/>
    <cellStyle name="Normal 5 2 3 6 2 5" xfId="25884" xr:uid="{00000000-0005-0000-0000-0000C38E0000}"/>
    <cellStyle name="Normal 5 2 3 6 2 6" xfId="25885" xr:uid="{00000000-0005-0000-0000-0000C48E0000}"/>
    <cellStyle name="Normal 5 2 3 6 2 7" xfId="25886" xr:uid="{00000000-0005-0000-0000-0000C58E0000}"/>
    <cellStyle name="Normal 5 2 3 6 3" xfId="25887" xr:uid="{00000000-0005-0000-0000-0000C68E0000}"/>
    <cellStyle name="Normal 5 2 3 6 3 2" xfId="25888" xr:uid="{00000000-0005-0000-0000-0000C78E0000}"/>
    <cellStyle name="Normal 5 2 3 6 3 2 2" xfId="56687" xr:uid="{00000000-0005-0000-0000-0000C88E0000}"/>
    <cellStyle name="Normal 5 2 3 6 3 2 3" xfId="56688" xr:uid="{00000000-0005-0000-0000-0000C98E0000}"/>
    <cellStyle name="Normal 5 2 3 6 3 3" xfId="25889" xr:uid="{00000000-0005-0000-0000-0000CA8E0000}"/>
    <cellStyle name="Normal 5 2 3 6 3 3 2" xfId="56689" xr:uid="{00000000-0005-0000-0000-0000CB8E0000}"/>
    <cellStyle name="Normal 5 2 3 6 3 4" xfId="25890" xr:uid="{00000000-0005-0000-0000-0000CC8E0000}"/>
    <cellStyle name="Normal 5 2 3 6 3 5" xfId="25891" xr:uid="{00000000-0005-0000-0000-0000CD8E0000}"/>
    <cellStyle name="Normal 5 2 3 6 3 6" xfId="25892" xr:uid="{00000000-0005-0000-0000-0000CE8E0000}"/>
    <cellStyle name="Normal 5 2 3 6 4" xfId="25893" xr:uid="{00000000-0005-0000-0000-0000CF8E0000}"/>
    <cellStyle name="Normal 5 2 3 6 4 2" xfId="56690" xr:uid="{00000000-0005-0000-0000-0000D08E0000}"/>
    <cellStyle name="Normal 5 2 3 6 4 3" xfId="56691" xr:uid="{00000000-0005-0000-0000-0000D18E0000}"/>
    <cellStyle name="Normal 5 2 3 6 5" xfId="25894" xr:uid="{00000000-0005-0000-0000-0000D28E0000}"/>
    <cellStyle name="Normal 5 2 3 6 5 2" xfId="56692" xr:uid="{00000000-0005-0000-0000-0000D38E0000}"/>
    <cellStyle name="Normal 5 2 3 6 6" xfId="25895" xr:uid="{00000000-0005-0000-0000-0000D48E0000}"/>
    <cellStyle name="Normal 5 2 3 6 7" xfId="25896" xr:uid="{00000000-0005-0000-0000-0000D58E0000}"/>
    <cellStyle name="Normal 5 2 3 6 8" xfId="25897" xr:uid="{00000000-0005-0000-0000-0000D68E0000}"/>
    <cellStyle name="Normal 5 2 3 7" xfId="25898" xr:uid="{00000000-0005-0000-0000-0000D78E0000}"/>
    <cellStyle name="Normal 5 2 3 7 2" xfId="25899" xr:uid="{00000000-0005-0000-0000-0000D88E0000}"/>
    <cellStyle name="Normal 5 2 3 7 2 2" xfId="25900" xr:uid="{00000000-0005-0000-0000-0000D98E0000}"/>
    <cellStyle name="Normal 5 2 3 7 2 2 2" xfId="25901" xr:uid="{00000000-0005-0000-0000-0000DA8E0000}"/>
    <cellStyle name="Normal 5 2 3 7 2 2 2 2" xfId="56693" xr:uid="{00000000-0005-0000-0000-0000DB8E0000}"/>
    <cellStyle name="Normal 5 2 3 7 2 2 2 3" xfId="56694" xr:uid="{00000000-0005-0000-0000-0000DC8E0000}"/>
    <cellStyle name="Normal 5 2 3 7 2 2 3" xfId="25902" xr:uid="{00000000-0005-0000-0000-0000DD8E0000}"/>
    <cellStyle name="Normal 5 2 3 7 2 2 3 2" xfId="56695" xr:uid="{00000000-0005-0000-0000-0000DE8E0000}"/>
    <cellStyle name="Normal 5 2 3 7 2 2 4" xfId="25903" xr:uid="{00000000-0005-0000-0000-0000DF8E0000}"/>
    <cellStyle name="Normal 5 2 3 7 2 2 5" xfId="25904" xr:uid="{00000000-0005-0000-0000-0000E08E0000}"/>
    <cellStyle name="Normal 5 2 3 7 2 2 6" xfId="25905" xr:uid="{00000000-0005-0000-0000-0000E18E0000}"/>
    <cellStyle name="Normal 5 2 3 7 2 3" xfId="25906" xr:uid="{00000000-0005-0000-0000-0000E28E0000}"/>
    <cellStyle name="Normal 5 2 3 7 2 3 2" xfId="56696" xr:uid="{00000000-0005-0000-0000-0000E38E0000}"/>
    <cellStyle name="Normal 5 2 3 7 2 3 3" xfId="56697" xr:uid="{00000000-0005-0000-0000-0000E48E0000}"/>
    <cellStyle name="Normal 5 2 3 7 2 4" xfId="25907" xr:uid="{00000000-0005-0000-0000-0000E58E0000}"/>
    <cellStyle name="Normal 5 2 3 7 2 4 2" xfId="56698" xr:uid="{00000000-0005-0000-0000-0000E68E0000}"/>
    <cellStyle name="Normal 5 2 3 7 2 5" xfId="25908" xr:uid="{00000000-0005-0000-0000-0000E78E0000}"/>
    <cellStyle name="Normal 5 2 3 7 2 6" xfId="25909" xr:uid="{00000000-0005-0000-0000-0000E88E0000}"/>
    <cellStyle name="Normal 5 2 3 7 2 7" xfId="25910" xr:uid="{00000000-0005-0000-0000-0000E98E0000}"/>
    <cellStyle name="Normal 5 2 3 7 3" xfId="25911" xr:uid="{00000000-0005-0000-0000-0000EA8E0000}"/>
    <cellStyle name="Normal 5 2 3 7 3 2" xfId="25912" xr:uid="{00000000-0005-0000-0000-0000EB8E0000}"/>
    <cellStyle name="Normal 5 2 3 7 3 2 2" xfId="56699" xr:uid="{00000000-0005-0000-0000-0000EC8E0000}"/>
    <cellStyle name="Normal 5 2 3 7 3 2 3" xfId="56700" xr:uid="{00000000-0005-0000-0000-0000ED8E0000}"/>
    <cellStyle name="Normal 5 2 3 7 3 3" xfId="25913" xr:uid="{00000000-0005-0000-0000-0000EE8E0000}"/>
    <cellStyle name="Normal 5 2 3 7 3 3 2" xfId="56701" xr:uid="{00000000-0005-0000-0000-0000EF8E0000}"/>
    <cellStyle name="Normal 5 2 3 7 3 4" xfId="25914" xr:uid="{00000000-0005-0000-0000-0000F08E0000}"/>
    <cellStyle name="Normal 5 2 3 7 3 5" xfId="25915" xr:uid="{00000000-0005-0000-0000-0000F18E0000}"/>
    <cellStyle name="Normal 5 2 3 7 3 6" xfId="25916" xr:uid="{00000000-0005-0000-0000-0000F28E0000}"/>
    <cellStyle name="Normal 5 2 3 7 4" xfId="25917" xr:uid="{00000000-0005-0000-0000-0000F38E0000}"/>
    <cellStyle name="Normal 5 2 3 7 4 2" xfId="56702" xr:uid="{00000000-0005-0000-0000-0000F48E0000}"/>
    <cellStyle name="Normal 5 2 3 7 4 3" xfId="56703" xr:uid="{00000000-0005-0000-0000-0000F58E0000}"/>
    <cellStyle name="Normal 5 2 3 7 5" xfId="25918" xr:uid="{00000000-0005-0000-0000-0000F68E0000}"/>
    <cellStyle name="Normal 5 2 3 7 5 2" xfId="56704" xr:uid="{00000000-0005-0000-0000-0000F78E0000}"/>
    <cellStyle name="Normal 5 2 3 7 6" xfId="25919" xr:uid="{00000000-0005-0000-0000-0000F88E0000}"/>
    <cellStyle name="Normal 5 2 3 7 7" xfId="25920" xr:uid="{00000000-0005-0000-0000-0000F98E0000}"/>
    <cellStyle name="Normal 5 2 3 7 8" xfId="25921" xr:uid="{00000000-0005-0000-0000-0000FA8E0000}"/>
    <cellStyle name="Normal 5 2 3 8" xfId="25922" xr:uid="{00000000-0005-0000-0000-0000FB8E0000}"/>
    <cellStyle name="Normal 5 2 3 8 2" xfId="25923" xr:uid="{00000000-0005-0000-0000-0000FC8E0000}"/>
    <cellStyle name="Normal 5 2 3 8 2 2" xfId="25924" xr:uid="{00000000-0005-0000-0000-0000FD8E0000}"/>
    <cellStyle name="Normal 5 2 3 8 2 2 2" xfId="56705" xr:uid="{00000000-0005-0000-0000-0000FE8E0000}"/>
    <cellStyle name="Normal 5 2 3 8 2 2 3" xfId="56706" xr:uid="{00000000-0005-0000-0000-0000FF8E0000}"/>
    <cellStyle name="Normal 5 2 3 8 2 3" xfId="25925" xr:uid="{00000000-0005-0000-0000-0000008F0000}"/>
    <cellStyle name="Normal 5 2 3 8 2 3 2" xfId="56707" xr:uid="{00000000-0005-0000-0000-0000018F0000}"/>
    <cellStyle name="Normal 5 2 3 8 2 4" xfId="25926" xr:uid="{00000000-0005-0000-0000-0000028F0000}"/>
    <cellStyle name="Normal 5 2 3 8 2 5" xfId="25927" xr:uid="{00000000-0005-0000-0000-0000038F0000}"/>
    <cellStyle name="Normal 5 2 3 8 2 6" xfId="25928" xr:uid="{00000000-0005-0000-0000-0000048F0000}"/>
    <cellStyle name="Normal 5 2 3 8 3" xfId="25929" xr:uid="{00000000-0005-0000-0000-0000058F0000}"/>
    <cellStyle name="Normal 5 2 3 8 3 2" xfId="56708" xr:uid="{00000000-0005-0000-0000-0000068F0000}"/>
    <cellStyle name="Normal 5 2 3 8 3 3" xfId="56709" xr:uid="{00000000-0005-0000-0000-0000078F0000}"/>
    <cellStyle name="Normal 5 2 3 8 4" xfId="25930" xr:uid="{00000000-0005-0000-0000-0000088F0000}"/>
    <cellStyle name="Normal 5 2 3 8 4 2" xfId="56710" xr:uid="{00000000-0005-0000-0000-0000098F0000}"/>
    <cellStyle name="Normal 5 2 3 8 5" xfId="25931" xr:uid="{00000000-0005-0000-0000-00000A8F0000}"/>
    <cellStyle name="Normal 5 2 3 8 6" xfId="25932" xr:uid="{00000000-0005-0000-0000-00000B8F0000}"/>
    <cellStyle name="Normal 5 2 3 8 7" xfId="25933" xr:uid="{00000000-0005-0000-0000-00000C8F0000}"/>
    <cellStyle name="Normal 5 2 3 9" xfId="25934" xr:uid="{00000000-0005-0000-0000-00000D8F0000}"/>
    <cellStyle name="Normal 5 2 3 9 2" xfId="25935" xr:uid="{00000000-0005-0000-0000-00000E8F0000}"/>
    <cellStyle name="Normal 5 2 3 9 2 2" xfId="56711" xr:uid="{00000000-0005-0000-0000-00000F8F0000}"/>
    <cellStyle name="Normal 5 2 3 9 2 3" xfId="56712" xr:uid="{00000000-0005-0000-0000-0000108F0000}"/>
    <cellStyle name="Normal 5 2 3 9 3" xfId="25936" xr:uid="{00000000-0005-0000-0000-0000118F0000}"/>
    <cellStyle name="Normal 5 2 3 9 3 2" xfId="56713" xr:uid="{00000000-0005-0000-0000-0000128F0000}"/>
    <cellStyle name="Normal 5 2 3 9 4" xfId="25937" xr:uid="{00000000-0005-0000-0000-0000138F0000}"/>
    <cellStyle name="Normal 5 2 3 9 5" xfId="25938" xr:uid="{00000000-0005-0000-0000-0000148F0000}"/>
    <cellStyle name="Normal 5 2 3 9 6" xfId="25939" xr:uid="{00000000-0005-0000-0000-0000158F0000}"/>
    <cellStyle name="Normal 5 2 4" xfId="25940" xr:uid="{00000000-0005-0000-0000-0000168F0000}"/>
    <cellStyle name="Normal 5 2 4 2" xfId="25941" xr:uid="{00000000-0005-0000-0000-0000178F0000}"/>
    <cellStyle name="Normal 5 2 4 3" xfId="25942" xr:uid="{00000000-0005-0000-0000-0000188F0000}"/>
    <cellStyle name="Normal 5 2 5" xfId="25943" xr:uid="{00000000-0005-0000-0000-0000198F0000}"/>
    <cellStyle name="Normal 5 2 5 10" xfId="25944" xr:uid="{00000000-0005-0000-0000-00001A8F0000}"/>
    <cellStyle name="Normal 5 2 5 11" xfId="25945" xr:uid="{00000000-0005-0000-0000-00001B8F0000}"/>
    <cellStyle name="Normal 5 2 5 12" xfId="25946" xr:uid="{00000000-0005-0000-0000-00001C8F0000}"/>
    <cellStyle name="Normal 5 2 5 13" xfId="25947" xr:uid="{00000000-0005-0000-0000-00001D8F0000}"/>
    <cellStyle name="Normal 5 2 5 14" xfId="25948" xr:uid="{00000000-0005-0000-0000-00001E8F0000}"/>
    <cellStyle name="Normal 5 2 5 15" xfId="25949" xr:uid="{00000000-0005-0000-0000-00001F8F0000}"/>
    <cellStyle name="Normal 5 2 5 16" xfId="25950" xr:uid="{00000000-0005-0000-0000-0000208F0000}"/>
    <cellStyle name="Normal 5 2 5 2" xfId="25951" xr:uid="{00000000-0005-0000-0000-0000218F0000}"/>
    <cellStyle name="Normal 5 2 5 2 10" xfId="25952" xr:uid="{00000000-0005-0000-0000-0000228F0000}"/>
    <cellStyle name="Normal 5 2 5 2 11" xfId="25953" xr:uid="{00000000-0005-0000-0000-0000238F0000}"/>
    <cellStyle name="Normal 5 2 5 2 12" xfId="25954" xr:uid="{00000000-0005-0000-0000-0000248F0000}"/>
    <cellStyle name="Normal 5 2 5 2 13" xfId="25955" xr:uid="{00000000-0005-0000-0000-0000258F0000}"/>
    <cellStyle name="Normal 5 2 5 2 14" xfId="25956" xr:uid="{00000000-0005-0000-0000-0000268F0000}"/>
    <cellStyle name="Normal 5 2 5 2 15" xfId="25957" xr:uid="{00000000-0005-0000-0000-0000278F0000}"/>
    <cellStyle name="Normal 5 2 5 2 2" xfId="25958" xr:uid="{00000000-0005-0000-0000-0000288F0000}"/>
    <cellStyle name="Normal 5 2 5 2 2 2" xfId="25959" xr:uid="{00000000-0005-0000-0000-0000298F0000}"/>
    <cellStyle name="Normal 5 2 5 2 2 2 2" xfId="25960" xr:uid="{00000000-0005-0000-0000-00002A8F0000}"/>
    <cellStyle name="Normal 5 2 5 2 2 2 2 2" xfId="25961" xr:uid="{00000000-0005-0000-0000-00002B8F0000}"/>
    <cellStyle name="Normal 5 2 5 2 2 2 2 2 2" xfId="56714" xr:uid="{00000000-0005-0000-0000-00002C8F0000}"/>
    <cellStyle name="Normal 5 2 5 2 2 2 2 2 3" xfId="56715" xr:uid="{00000000-0005-0000-0000-00002D8F0000}"/>
    <cellStyle name="Normal 5 2 5 2 2 2 2 3" xfId="25962" xr:uid="{00000000-0005-0000-0000-00002E8F0000}"/>
    <cellStyle name="Normal 5 2 5 2 2 2 2 3 2" xfId="56716" xr:uid="{00000000-0005-0000-0000-00002F8F0000}"/>
    <cellStyle name="Normal 5 2 5 2 2 2 2 4" xfId="25963" xr:uid="{00000000-0005-0000-0000-0000308F0000}"/>
    <cellStyle name="Normal 5 2 5 2 2 2 2 5" xfId="25964" xr:uid="{00000000-0005-0000-0000-0000318F0000}"/>
    <cellStyle name="Normal 5 2 5 2 2 2 2 6" xfId="25965" xr:uid="{00000000-0005-0000-0000-0000328F0000}"/>
    <cellStyle name="Normal 5 2 5 2 2 2 3" xfId="25966" xr:uid="{00000000-0005-0000-0000-0000338F0000}"/>
    <cellStyle name="Normal 5 2 5 2 2 2 3 2" xfId="56717" xr:uid="{00000000-0005-0000-0000-0000348F0000}"/>
    <cellStyle name="Normal 5 2 5 2 2 2 3 3" xfId="56718" xr:uid="{00000000-0005-0000-0000-0000358F0000}"/>
    <cellStyle name="Normal 5 2 5 2 2 2 4" xfId="25967" xr:uid="{00000000-0005-0000-0000-0000368F0000}"/>
    <cellStyle name="Normal 5 2 5 2 2 2 4 2" xfId="56719" xr:uid="{00000000-0005-0000-0000-0000378F0000}"/>
    <cellStyle name="Normal 5 2 5 2 2 2 5" xfId="25968" xr:uid="{00000000-0005-0000-0000-0000388F0000}"/>
    <cellStyle name="Normal 5 2 5 2 2 2 6" xfId="25969" xr:uid="{00000000-0005-0000-0000-0000398F0000}"/>
    <cellStyle name="Normal 5 2 5 2 2 2 7" xfId="25970" xr:uid="{00000000-0005-0000-0000-00003A8F0000}"/>
    <cellStyle name="Normal 5 2 5 2 2 3" xfId="25971" xr:uid="{00000000-0005-0000-0000-00003B8F0000}"/>
    <cellStyle name="Normal 5 2 5 2 2 3 2" xfId="25972" xr:uid="{00000000-0005-0000-0000-00003C8F0000}"/>
    <cellStyle name="Normal 5 2 5 2 2 3 2 2" xfId="56720" xr:uid="{00000000-0005-0000-0000-00003D8F0000}"/>
    <cellStyle name="Normal 5 2 5 2 2 3 2 3" xfId="56721" xr:uid="{00000000-0005-0000-0000-00003E8F0000}"/>
    <cellStyle name="Normal 5 2 5 2 2 3 3" xfId="25973" xr:uid="{00000000-0005-0000-0000-00003F8F0000}"/>
    <cellStyle name="Normal 5 2 5 2 2 3 3 2" xfId="56722" xr:uid="{00000000-0005-0000-0000-0000408F0000}"/>
    <cellStyle name="Normal 5 2 5 2 2 3 4" xfId="25974" xr:uid="{00000000-0005-0000-0000-0000418F0000}"/>
    <cellStyle name="Normal 5 2 5 2 2 3 5" xfId="25975" xr:uid="{00000000-0005-0000-0000-0000428F0000}"/>
    <cellStyle name="Normal 5 2 5 2 2 3 6" xfId="25976" xr:uid="{00000000-0005-0000-0000-0000438F0000}"/>
    <cellStyle name="Normal 5 2 5 2 2 4" xfId="25977" xr:uid="{00000000-0005-0000-0000-0000448F0000}"/>
    <cellStyle name="Normal 5 2 5 2 2 4 2" xfId="56723" xr:uid="{00000000-0005-0000-0000-0000458F0000}"/>
    <cellStyle name="Normal 5 2 5 2 2 4 3" xfId="56724" xr:uid="{00000000-0005-0000-0000-0000468F0000}"/>
    <cellStyle name="Normal 5 2 5 2 2 5" xfId="25978" xr:uid="{00000000-0005-0000-0000-0000478F0000}"/>
    <cellStyle name="Normal 5 2 5 2 2 5 2" xfId="56725" xr:uid="{00000000-0005-0000-0000-0000488F0000}"/>
    <cellStyle name="Normal 5 2 5 2 2 6" xfId="25979" xr:uid="{00000000-0005-0000-0000-0000498F0000}"/>
    <cellStyle name="Normal 5 2 5 2 2 7" xfId="25980" xr:uid="{00000000-0005-0000-0000-00004A8F0000}"/>
    <cellStyle name="Normal 5 2 5 2 2 8" xfId="25981" xr:uid="{00000000-0005-0000-0000-00004B8F0000}"/>
    <cellStyle name="Normal 5 2 5 2 2 9" xfId="25982" xr:uid="{00000000-0005-0000-0000-00004C8F0000}"/>
    <cellStyle name="Normal 5 2 5 2 3" xfId="25983" xr:uid="{00000000-0005-0000-0000-00004D8F0000}"/>
    <cellStyle name="Normal 5 2 5 2 3 2" xfId="25984" xr:uid="{00000000-0005-0000-0000-00004E8F0000}"/>
    <cellStyle name="Normal 5 2 5 2 3 2 2" xfId="25985" xr:uid="{00000000-0005-0000-0000-00004F8F0000}"/>
    <cellStyle name="Normal 5 2 5 2 3 2 2 2" xfId="25986" xr:uid="{00000000-0005-0000-0000-0000508F0000}"/>
    <cellStyle name="Normal 5 2 5 2 3 2 2 2 2" xfId="56726" xr:uid="{00000000-0005-0000-0000-0000518F0000}"/>
    <cellStyle name="Normal 5 2 5 2 3 2 2 2 3" xfId="56727" xr:uid="{00000000-0005-0000-0000-0000528F0000}"/>
    <cellStyle name="Normal 5 2 5 2 3 2 2 3" xfId="25987" xr:uid="{00000000-0005-0000-0000-0000538F0000}"/>
    <cellStyle name="Normal 5 2 5 2 3 2 2 3 2" xfId="56728" xr:uid="{00000000-0005-0000-0000-0000548F0000}"/>
    <cellStyle name="Normal 5 2 5 2 3 2 2 4" xfId="25988" xr:uid="{00000000-0005-0000-0000-0000558F0000}"/>
    <cellStyle name="Normal 5 2 5 2 3 2 2 5" xfId="25989" xr:uid="{00000000-0005-0000-0000-0000568F0000}"/>
    <cellStyle name="Normal 5 2 5 2 3 2 2 6" xfId="25990" xr:uid="{00000000-0005-0000-0000-0000578F0000}"/>
    <cellStyle name="Normal 5 2 5 2 3 2 3" xfId="25991" xr:uid="{00000000-0005-0000-0000-0000588F0000}"/>
    <cellStyle name="Normal 5 2 5 2 3 2 3 2" xfId="56729" xr:uid="{00000000-0005-0000-0000-0000598F0000}"/>
    <cellStyle name="Normal 5 2 5 2 3 2 3 3" xfId="56730" xr:uid="{00000000-0005-0000-0000-00005A8F0000}"/>
    <cellStyle name="Normal 5 2 5 2 3 2 4" xfId="25992" xr:uid="{00000000-0005-0000-0000-00005B8F0000}"/>
    <cellStyle name="Normal 5 2 5 2 3 2 4 2" xfId="56731" xr:uid="{00000000-0005-0000-0000-00005C8F0000}"/>
    <cellStyle name="Normal 5 2 5 2 3 2 5" xfId="25993" xr:uid="{00000000-0005-0000-0000-00005D8F0000}"/>
    <cellStyle name="Normal 5 2 5 2 3 2 6" xfId="25994" xr:uid="{00000000-0005-0000-0000-00005E8F0000}"/>
    <cellStyle name="Normal 5 2 5 2 3 2 7" xfId="25995" xr:uid="{00000000-0005-0000-0000-00005F8F0000}"/>
    <cellStyle name="Normal 5 2 5 2 3 3" xfId="25996" xr:uid="{00000000-0005-0000-0000-0000608F0000}"/>
    <cellStyle name="Normal 5 2 5 2 3 3 2" xfId="25997" xr:uid="{00000000-0005-0000-0000-0000618F0000}"/>
    <cellStyle name="Normal 5 2 5 2 3 3 2 2" xfId="56732" xr:uid="{00000000-0005-0000-0000-0000628F0000}"/>
    <cellStyle name="Normal 5 2 5 2 3 3 2 3" xfId="56733" xr:uid="{00000000-0005-0000-0000-0000638F0000}"/>
    <cellStyle name="Normal 5 2 5 2 3 3 3" xfId="25998" xr:uid="{00000000-0005-0000-0000-0000648F0000}"/>
    <cellStyle name="Normal 5 2 5 2 3 3 3 2" xfId="56734" xr:uid="{00000000-0005-0000-0000-0000658F0000}"/>
    <cellStyle name="Normal 5 2 5 2 3 3 4" xfId="25999" xr:uid="{00000000-0005-0000-0000-0000668F0000}"/>
    <cellStyle name="Normal 5 2 5 2 3 3 5" xfId="26000" xr:uid="{00000000-0005-0000-0000-0000678F0000}"/>
    <cellStyle name="Normal 5 2 5 2 3 3 6" xfId="26001" xr:uid="{00000000-0005-0000-0000-0000688F0000}"/>
    <cellStyle name="Normal 5 2 5 2 3 4" xfId="26002" xr:uid="{00000000-0005-0000-0000-0000698F0000}"/>
    <cellStyle name="Normal 5 2 5 2 3 4 2" xfId="56735" xr:uid="{00000000-0005-0000-0000-00006A8F0000}"/>
    <cellStyle name="Normal 5 2 5 2 3 4 3" xfId="56736" xr:uid="{00000000-0005-0000-0000-00006B8F0000}"/>
    <cellStyle name="Normal 5 2 5 2 3 5" xfId="26003" xr:uid="{00000000-0005-0000-0000-00006C8F0000}"/>
    <cellStyle name="Normal 5 2 5 2 3 5 2" xfId="56737" xr:uid="{00000000-0005-0000-0000-00006D8F0000}"/>
    <cellStyle name="Normal 5 2 5 2 3 6" xfId="26004" xr:uid="{00000000-0005-0000-0000-00006E8F0000}"/>
    <cellStyle name="Normal 5 2 5 2 3 7" xfId="26005" xr:uid="{00000000-0005-0000-0000-00006F8F0000}"/>
    <cellStyle name="Normal 5 2 5 2 3 8" xfId="26006" xr:uid="{00000000-0005-0000-0000-0000708F0000}"/>
    <cellStyle name="Normal 5 2 5 2 4" xfId="26007" xr:uid="{00000000-0005-0000-0000-0000718F0000}"/>
    <cellStyle name="Normal 5 2 5 2 4 2" xfId="26008" xr:uid="{00000000-0005-0000-0000-0000728F0000}"/>
    <cellStyle name="Normal 5 2 5 2 4 2 2" xfId="26009" xr:uid="{00000000-0005-0000-0000-0000738F0000}"/>
    <cellStyle name="Normal 5 2 5 2 4 2 2 2" xfId="56738" xr:uid="{00000000-0005-0000-0000-0000748F0000}"/>
    <cellStyle name="Normal 5 2 5 2 4 2 2 3" xfId="56739" xr:uid="{00000000-0005-0000-0000-0000758F0000}"/>
    <cellStyle name="Normal 5 2 5 2 4 2 3" xfId="26010" xr:uid="{00000000-0005-0000-0000-0000768F0000}"/>
    <cellStyle name="Normal 5 2 5 2 4 2 3 2" xfId="56740" xr:uid="{00000000-0005-0000-0000-0000778F0000}"/>
    <cellStyle name="Normal 5 2 5 2 4 2 4" xfId="26011" xr:uid="{00000000-0005-0000-0000-0000788F0000}"/>
    <cellStyle name="Normal 5 2 5 2 4 2 5" xfId="26012" xr:uid="{00000000-0005-0000-0000-0000798F0000}"/>
    <cellStyle name="Normal 5 2 5 2 4 2 6" xfId="26013" xr:uid="{00000000-0005-0000-0000-00007A8F0000}"/>
    <cellStyle name="Normal 5 2 5 2 4 3" xfId="26014" xr:uid="{00000000-0005-0000-0000-00007B8F0000}"/>
    <cellStyle name="Normal 5 2 5 2 4 3 2" xfId="56741" xr:uid="{00000000-0005-0000-0000-00007C8F0000}"/>
    <cellStyle name="Normal 5 2 5 2 4 3 3" xfId="56742" xr:uid="{00000000-0005-0000-0000-00007D8F0000}"/>
    <cellStyle name="Normal 5 2 5 2 4 4" xfId="26015" xr:uid="{00000000-0005-0000-0000-00007E8F0000}"/>
    <cellStyle name="Normal 5 2 5 2 4 4 2" xfId="56743" xr:uid="{00000000-0005-0000-0000-00007F8F0000}"/>
    <cellStyle name="Normal 5 2 5 2 4 5" xfId="26016" xr:uid="{00000000-0005-0000-0000-0000808F0000}"/>
    <cellStyle name="Normal 5 2 5 2 4 6" xfId="26017" xr:uid="{00000000-0005-0000-0000-0000818F0000}"/>
    <cellStyle name="Normal 5 2 5 2 4 7" xfId="26018" xr:uid="{00000000-0005-0000-0000-0000828F0000}"/>
    <cellStyle name="Normal 5 2 5 2 5" xfId="26019" xr:uid="{00000000-0005-0000-0000-0000838F0000}"/>
    <cellStyle name="Normal 5 2 5 2 5 2" xfId="26020" xr:uid="{00000000-0005-0000-0000-0000848F0000}"/>
    <cellStyle name="Normal 5 2 5 2 5 2 2" xfId="56744" xr:uid="{00000000-0005-0000-0000-0000858F0000}"/>
    <cellStyle name="Normal 5 2 5 2 5 2 3" xfId="56745" xr:uid="{00000000-0005-0000-0000-0000868F0000}"/>
    <cellStyle name="Normal 5 2 5 2 5 3" xfId="26021" xr:uid="{00000000-0005-0000-0000-0000878F0000}"/>
    <cellStyle name="Normal 5 2 5 2 5 3 2" xfId="56746" xr:uid="{00000000-0005-0000-0000-0000888F0000}"/>
    <cellStyle name="Normal 5 2 5 2 5 4" xfId="26022" xr:uid="{00000000-0005-0000-0000-0000898F0000}"/>
    <cellStyle name="Normal 5 2 5 2 5 5" xfId="26023" xr:uid="{00000000-0005-0000-0000-00008A8F0000}"/>
    <cellStyle name="Normal 5 2 5 2 5 6" xfId="26024" xr:uid="{00000000-0005-0000-0000-00008B8F0000}"/>
    <cellStyle name="Normal 5 2 5 2 6" xfId="26025" xr:uid="{00000000-0005-0000-0000-00008C8F0000}"/>
    <cellStyle name="Normal 5 2 5 2 6 2" xfId="56747" xr:uid="{00000000-0005-0000-0000-00008D8F0000}"/>
    <cellStyle name="Normal 5 2 5 2 7" xfId="26026" xr:uid="{00000000-0005-0000-0000-00008E8F0000}"/>
    <cellStyle name="Normal 5 2 5 2 8" xfId="26027" xr:uid="{00000000-0005-0000-0000-00008F8F0000}"/>
    <cellStyle name="Normal 5 2 5 2 9" xfId="26028" xr:uid="{00000000-0005-0000-0000-0000908F0000}"/>
    <cellStyle name="Normal 5 2 5 3" xfId="26029" xr:uid="{00000000-0005-0000-0000-0000918F0000}"/>
    <cellStyle name="Normal 5 2 5 3 2" xfId="26030" xr:uid="{00000000-0005-0000-0000-0000928F0000}"/>
    <cellStyle name="Normal 5 2 5 3 2 2" xfId="26031" xr:uid="{00000000-0005-0000-0000-0000938F0000}"/>
    <cellStyle name="Normal 5 2 5 3 2 2 2" xfId="26032" xr:uid="{00000000-0005-0000-0000-0000948F0000}"/>
    <cellStyle name="Normal 5 2 5 3 2 2 2 2" xfId="56748" xr:uid="{00000000-0005-0000-0000-0000958F0000}"/>
    <cellStyle name="Normal 5 2 5 3 2 2 2 3" xfId="56749" xr:uid="{00000000-0005-0000-0000-0000968F0000}"/>
    <cellStyle name="Normal 5 2 5 3 2 2 3" xfId="26033" xr:uid="{00000000-0005-0000-0000-0000978F0000}"/>
    <cellStyle name="Normal 5 2 5 3 2 2 3 2" xfId="56750" xr:uid="{00000000-0005-0000-0000-0000988F0000}"/>
    <cellStyle name="Normal 5 2 5 3 2 2 4" xfId="26034" xr:uid="{00000000-0005-0000-0000-0000998F0000}"/>
    <cellStyle name="Normal 5 2 5 3 2 2 5" xfId="26035" xr:uid="{00000000-0005-0000-0000-00009A8F0000}"/>
    <cellStyle name="Normal 5 2 5 3 2 2 6" xfId="26036" xr:uid="{00000000-0005-0000-0000-00009B8F0000}"/>
    <cellStyle name="Normal 5 2 5 3 2 3" xfId="26037" xr:uid="{00000000-0005-0000-0000-00009C8F0000}"/>
    <cellStyle name="Normal 5 2 5 3 2 3 2" xfId="56751" xr:uid="{00000000-0005-0000-0000-00009D8F0000}"/>
    <cellStyle name="Normal 5 2 5 3 2 3 3" xfId="56752" xr:uid="{00000000-0005-0000-0000-00009E8F0000}"/>
    <cellStyle name="Normal 5 2 5 3 2 4" xfId="26038" xr:uid="{00000000-0005-0000-0000-00009F8F0000}"/>
    <cellStyle name="Normal 5 2 5 3 2 4 2" xfId="56753" xr:uid="{00000000-0005-0000-0000-0000A08F0000}"/>
    <cellStyle name="Normal 5 2 5 3 2 5" xfId="26039" xr:uid="{00000000-0005-0000-0000-0000A18F0000}"/>
    <cellStyle name="Normal 5 2 5 3 2 6" xfId="26040" xr:uid="{00000000-0005-0000-0000-0000A28F0000}"/>
    <cellStyle name="Normal 5 2 5 3 2 7" xfId="26041" xr:uid="{00000000-0005-0000-0000-0000A38F0000}"/>
    <cellStyle name="Normal 5 2 5 3 3" xfId="26042" xr:uid="{00000000-0005-0000-0000-0000A48F0000}"/>
    <cellStyle name="Normal 5 2 5 3 3 2" xfId="26043" xr:uid="{00000000-0005-0000-0000-0000A58F0000}"/>
    <cellStyle name="Normal 5 2 5 3 3 2 2" xfId="56754" xr:uid="{00000000-0005-0000-0000-0000A68F0000}"/>
    <cellStyle name="Normal 5 2 5 3 3 2 3" xfId="56755" xr:uid="{00000000-0005-0000-0000-0000A78F0000}"/>
    <cellStyle name="Normal 5 2 5 3 3 3" xfId="26044" xr:uid="{00000000-0005-0000-0000-0000A88F0000}"/>
    <cellStyle name="Normal 5 2 5 3 3 3 2" xfId="56756" xr:uid="{00000000-0005-0000-0000-0000A98F0000}"/>
    <cellStyle name="Normal 5 2 5 3 3 4" xfId="26045" xr:uid="{00000000-0005-0000-0000-0000AA8F0000}"/>
    <cellStyle name="Normal 5 2 5 3 3 5" xfId="26046" xr:uid="{00000000-0005-0000-0000-0000AB8F0000}"/>
    <cellStyle name="Normal 5 2 5 3 3 6" xfId="26047" xr:uid="{00000000-0005-0000-0000-0000AC8F0000}"/>
    <cellStyle name="Normal 5 2 5 3 4" xfId="26048" xr:uid="{00000000-0005-0000-0000-0000AD8F0000}"/>
    <cellStyle name="Normal 5 2 5 3 4 2" xfId="56757" xr:uid="{00000000-0005-0000-0000-0000AE8F0000}"/>
    <cellStyle name="Normal 5 2 5 3 4 3" xfId="56758" xr:uid="{00000000-0005-0000-0000-0000AF8F0000}"/>
    <cellStyle name="Normal 5 2 5 3 5" xfId="26049" xr:uid="{00000000-0005-0000-0000-0000B08F0000}"/>
    <cellStyle name="Normal 5 2 5 3 5 2" xfId="56759" xr:uid="{00000000-0005-0000-0000-0000B18F0000}"/>
    <cellStyle name="Normal 5 2 5 3 6" xfId="26050" xr:uid="{00000000-0005-0000-0000-0000B28F0000}"/>
    <cellStyle name="Normal 5 2 5 3 7" xfId="26051" xr:uid="{00000000-0005-0000-0000-0000B38F0000}"/>
    <cellStyle name="Normal 5 2 5 3 8" xfId="26052" xr:uid="{00000000-0005-0000-0000-0000B48F0000}"/>
    <cellStyle name="Normal 5 2 5 3 9" xfId="26053" xr:uid="{00000000-0005-0000-0000-0000B58F0000}"/>
    <cellStyle name="Normal 5 2 5 4" xfId="26054" xr:uid="{00000000-0005-0000-0000-0000B68F0000}"/>
    <cellStyle name="Normal 5 2 5 4 2" xfId="26055" xr:uid="{00000000-0005-0000-0000-0000B78F0000}"/>
    <cellStyle name="Normal 5 2 5 4 2 2" xfId="26056" xr:uid="{00000000-0005-0000-0000-0000B88F0000}"/>
    <cellStyle name="Normal 5 2 5 4 2 2 2" xfId="26057" xr:uid="{00000000-0005-0000-0000-0000B98F0000}"/>
    <cellStyle name="Normal 5 2 5 4 2 2 2 2" xfId="56760" xr:uid="{00000000-0005-0000-0000-0000BA8F0000}"/>
    <cellStyle name="Normal 5 2 5 4 2 2 2 3" xfId="56761" xr:uid="{00000000-0005-0000-0000-0000BB8F0000}"/>
    <cellStyle name="Normal 5 2 5 4 2 2 3" xfId="26058" xr:uid="{00000000-0005-0000-0000-0000BC8F0000}"/>
    <cellStyle name="Normal 5 2 5 4 2 2 3 2" xfId="56762" xr:uid="{00000000-0005-0000-0000-0000BD8F0000}"/>
    <cellStyle name="Normal 5 2 5 4 2 2 4" xfId="26059" xr:uid="{00000000-0005-0000-0000-0000BE8F0000}"/>
    <cellStyle name="Normal 5 2 5 4 2 2 5" xfId="26060" xr:uid="{00000000-0005-0000-0000-0000BF8F0000}"/>
    <cellStyle name="Normal 5 2 5 4 2 2 6" xfId="26061" xr:uid="{00000000-0005-0000-0000-0000C08F0000}"/>
    <cellStyle name="Normal 5 2 5 4 2 3" xfId="26062" xr:uid="{00000000-0005-0000-0000-0000C18F0000}"/>
    <cellStyle name="Normal 5 2 5 4 2 3 2" xfId="56763" xr:uid="{00000000-0005-0000-0000-0000C28F0000}"/>
    <cellStyle name="Normal 5 2 5 4 2 3 3" xfId="56764" xr:uid="{00000000-0005-0000-0000-0000C38F0000}"/>
    <cellStyle name="Normal 5 2 5 4 2 4" xfId="26063" xr:uid="{00000000-0005-0000-0000-0000C48F0000}"/>
    <cellStyle name="Normal 5 2 5 4 2 4 2" xfId="56765" xr:uid="{00000000-0005-0000-0000-0000C58F0000}"/>
    <cellStyle name="Normal 5 2 5 4 2 5" xfId="26064" xr:uid="{00000000-0005-0000-0000-0000C68F0000}"/>
    <cellStyle name="Normal 5 2 5 4 2 6" xfId="26065" xr:uid="{00000000-0005-0000-0000-0000C78F0000}"/>
    <cellStyle name="Normal 5 2 5 4 2 7" xfId="26066" xr:uid="{00000000-0005-0000-0000-0000C88F0000}"/>
    <cellStyle name="Normal 5 2 5 4 3" xfId="26067" xr:uid="{00000000-0005-0000-0000-0000C98F0000}"/>
    <cellStyle name="Normal 5 2 5 4 3 2" xfId="26068" xr:uid="{00000000-0005-0000-0000-0000CA8F0000}"/>
    <cellStyle name="Normal 5 2 5 4 3 2 2" xfId="56766" xr:uid="{00000000-0005-0000-0000-0000CB8F0000}"/>
    <cellStyle name="Normal 5 2 5 4 3 2 3" xfId="56767" xr:uid="{00000000-0005-0000-0000-0000CC8F0000}"/>
    <cellStyle name="Normal 5 2 5 4 3 3" xfId="26069" xr:uid="{00000000-0005-0000-0000-0000CD8F0000}"/>
    <cellStyle name="Normal 5 2 5 4 3 3 2" xfId="56768" xr:uid="{00000000-0005-0000-0000-0000CE8F0000}"/>
    <cellStyle name="Normal 5 2 5 4 3 4" xfId="26070" xr:uid="{00000000-0005-0000-0000-0000CF8F0000}"/>
    <cellStyle name="Normal 5 2 5 4 3 5" xfId="26071" xr:uid="{00000000-0005-0000-0000-0000D08F0000}"/>
    <cellStyle name="Normal 5 2 5 4 3 6" xfId="26072" xr:uid="{00000000-0005-0000-0000-0000D18F0000}"/>
    <cellStyle name="Normal 5 2 5 4 4" xfId="26073" xr:uid="{00000000-0005-0000-0000-0000D28F0000}"/>
    <cellStyle name="Normal 5 2 5 4 4 2" xfId="56769" xr:uid="{00000000-0005-0000-0000-0000D38F0000}"/>
    <cellStyle name="Normal 5 2 5 4 4 3" xfId="56770" xr:uid="{00000000-0005-0000-0000-0000D48F0000}"/>
    <cellStyle name="Normal 5 2 5 4 5" xfId="26074" xr:uid="{00000000-0005-0000-0000-0000D58F0000}"/>
    <cellStyle name="Normal 5 2 5 4 5 2" xfId="56771" xr:uid="{00000000-0005-0000-0000-0000D68F0000}"/>
    <cellStyle name="Normal 5 2 5 4 6" xfId="26075" xr:uid="{00000000-0005-0000-0000-0000D78F0000}"/>
    <cellStyle name="Normal 5 2 5 4 7" xfId="26076" xr:uid="{00000000-0005-0000-0000-0000D88F0000}"/>
    <cellStyle name="Normal 5 2 5 4 8" xfId="26077" xr:uid="{00000000-0005-0000-0000-0000D98F0000}"/>
    <cellStyle name="Normal 5 2 5 5" xfId="26078" xr:uid="{00000000-0005-0000-0000-0000DA8F0000}"/>
    <cellStyle name="Normal 5 2 5 5 2" xfId="26079" xr:uid="{00000000-0005-0000-0000-0000DB8F0000}"/>
    <cellStyle name="Normal 5 2 5 5 2 2" xfId="26080" xr:uid="{00000000-0005-0000-0000-0000DC8F0000}"/>
    <cellStyle name="Normal 5 2 5 5 2 2 2" xfId="56772" xr:uid="{00000000-0005-0000-0000-0000DD8F0000}"/>
    <cellStyle name="Normal 5 2 5 5 2 2 3" xfId="56773" xr:uid="{00000000-0005-0000-0000-0000DE8F0000}"/>
    <cellStyle name="Normal 5 2 5 5 2 3" xfId="26081" xr:uid="{00000000-0005-0000-0000-0000DF8F0000}"/>
    <cellStyle name="Normal 5 2 5 5 2 3 2" xfId="56774" xr:uid="{00000000-0005-0000-0000-0000E08F0000}"/>
    <cellStyle name="Normal 5 2 5 5 2 4" xfId="26082" xr:uid="{00000000-0005-0000-0000-0000E18F0000}"/>
    <cellStyle name="Normal 5 2 5 5 2 5" xfId="26083" xr:uid="{00000000-0005-0000-0000-0000E28F0000}"/>
    <cellStyle name="Normal 5 2 5 5 2 6" xfId="26084" xr:uid="{00000000-0005-0000-0000-0000E38F0000}"/>
    <cellStyle name="Normal 5 2 5 5 3" xfId="26085" xr:uid="{00000000-0005-0000-0000-0000E48F0000}"/>
    <cellStyle name="Normal 5 2 5 5 3 2" xfId="56775" xr:uid="{00000000-0005-0000-0000-0000E58F0000}"/>
    <cellStyle name="Normal 5 2 5 5 3 3" xfId="56776" xr:uid="{00000000-0005-0000-0000-0000E68F0000}"/>
    <cellStyle name="Normal 5 2 5 5 4" xfId="26086" xr:uid="{00000000-0005-0000-0000-0000E78F0000}"/>
    <cellStyle name="Normal 5 2 5 5 4 2" xfId="56777" xr:uid="{00000000-0005-0000-0000-0000E88F0000}"/>
    <cellStyle name="Normal 5 2 5 5 5" xfId="26087" xr:uid="{00000000-0005-0000-0000-0000E98F0000}"/>
    <cellStyle name="Normal 5 2 5 5 6" xfId="26088" xr:uid="{00000000-0005-0000-0000-0000EA8F0000}"/>
    <cellStyle name="Normal 5 2 5 5 7" xfId="26089" xr:uid="{00000000-0005-0000-0000-0000EB8F0000}"/>
    <cellStyle name="Normal 5 2 5 6" xfId="26090" xr:uid="{00000000-0005-0000-0000-0000EC8F0000}"/>
    <cellStyle name="Normal 5 2 5 6 2" xfId="26091" xr:uid="{00000000-0005-0000-0000-0000ED8F0000}"/>
    <cellStyle name="Normal 5 2 5 6 2 2" xfId="56778" xr:uid="{00000000-0005-0000-0000-0000EE8F0000}"/>
    <cellStyle name="Normal 5 2 5 6 2 3" xfId="56779" xr:uid="{00000000-0005-0000-0000-0000EF8F0000}"/>
    <cellStyle name="Normal 5 2 5 6 3" xfId="26092" xr:uid="{00000000-0005-0000-0000-0000F08F0000}"/>
    <cellStyle name="Normal 5 2 5 6 3 2" xfId="56780" xr:uid="{00000000-0005-0000-0000-0000F18F0000}"/>
    <cellStyle name="Normal 5 2 5 6 4" xfId="26093" xr:uid="{00000000-0005-0000-0000-0000F28F0000}"/>
    <cellStyle name="Normal 5 2 5 6 5" xfId="26094" xr:uid="{00000000-0005-0000-0000-0000F38F0000}"/>
    <cellStyle name="Normal 5 2 5 6 6" xfId="26095" xr:uid="{00000000-0005-0000-0000-0000F48F0000}"/>
    <cellStyle name="Normal 5 2 5 7" xfId="26096" xr:uid="{00000000-0005-0000-0000-0000F58F0000}"/>
    <cellStyle name="Normal 5 2 5 7 2" xfId="56781" xr:uid="{00000000-0005-0000-0000-0000F68F0000}"/>
    <cellStyle name="Normal 5 2 5 8" xfId="26097" xr:uid="{00000000-0005-0000-0000-0000F78F0000}"/>
    <cellStyle name="Normal 5 2 5 9" xfId="26098" xr:uid="{00000000-0005-0000-0000-0000F88F0000}"/>
    <cellStyle name="Normal 5 2 6" xfId="26099" xr:uid="{00000000-0005-0000-0000-0000F98F0000}"/>
    <cellStyle name="Normal 5 2 6 10" xfId="26100" xr:uid="{00000000-0005-0000-0000-0000FA8F0000}"/>
    <cellStyle name="Normal 5 2 6 11" xfId="26101" xr:uid="{00000000-0005-0000-0000-0000FB8F0000}"/>
    <cellStyle name="Normal 5 2 6 12" xfId="26102" xr:uid="{00000000-0005-0000-0000-0000FC8F0000}"/>
    <cellStyle name="Normal 5 2 6 13" xfId="26103" xr:uid="{00000000-0005-0000-0000-0000FD8F0000}"/>
    <cellStyle name="Normal 5 2 6 14" xfId="26104" xr:uid="{00000000-0005-0000-0000-0000FE8F0000}"/>
    <cellStyle name="Normal 5 2 6 15" xfId="26105" xr:uid="{00000000-0005-0000-0000-0000FF8F0000}"/>
    <cellStyle name="Normal 5 2 6 2" xfId="26106" xr:uid="{00000000-0005-0000-0000-000000900000}"/>
    <cellStyle name="Normal 5 2 6 2 2" xfId="26107" xr:uid="{00000000-0005-0000-0000-000001900000}"/>
    <cellStyle name="Normal 5 2 6 2 2 2" xfId="26108" xr:uid="{00000000-0005-0000-0000-000002900000}"/>
    <cellStyle name="Normal 5 2 6 2 2 2 2" xfId="26109" xr:uid="{00000000-0005-0000-0000-000003900000}"/>
    <cellStyle name="Normal 5 2 6 2 2 2 2 2" xfId="56782" xr:uid="{00000000-0005-0000-0000-000004900000}"/>
    <cellStyle name="Normal 5 2 6 2 2 2 2 3" xfId="56783" xr:uid="{00000000-0005-0000-0000-000005900000}"/>
    <cellStyle name="Normal 5 2 6 2 2 2 3" xfId="26110" xr:uid="{00000000-0005-0000-0000-000006900000}"/>
    <cellStyle name="Normal 5 2 6 2 2 2 3 2" xfId="56784" xr:uid="{00000000-0005-0000-0000-000007900000}"/>
    <cellStyle name="Normal 5 2 6 2 2 2 4" xfId="26111" xr:uid="{00000000-0005-0000-0000-000008900000}"/>
    <cellStyle name="Normal 5 2 6 2 2 2 5" xfId="26112" xr:uid="{00000000-0005-0000-0000-000009900000}"/>
    <cellStyle name="Normal 5 2 6 2 2 2 6" xfId="26113" xr:uid="{00000000-0005-0000-0000-00000A900000}"/>
    <cellStyle name="Normal 5 2 6 2 2 3" xfId="26114" xr:uid="{00000000-0005-0000-0000-00000B900000}"/>
    <cellStyle name="Normal 5 2 6 2 2 3 2" xfId="56785" xr:uid="{00000000-0005-0000-0000-00000C900000}"/>
    <cellStyle name="Normal 5 2 6 2 2 3 3" xfId="56786" xr:uid="{00000000-0005-0000-0000-00000D900000}"/>
    <cellStyle name="Normal 5 2 6 2 2 4" xfId="26115" xr:uid="{00000000-0005-0000-0000-00000E900000}"/>
    <cellStyle name="Normal 5 2 6 2 2 4 2" xfId="56787" xr:uid="{00000000-0005-0000-0000-00000F900000}"/>
    <cellStyle name="Normal 5 2 6 2 2 5" xfId="26116" xr:uid="{00000000-0005-0000-0000-000010900000}"/>
    <cellStyle name="Normal 5 2 6 2 2 6" xfId="26117" xr:uid="{00000000-0005-0000-0000-000011900000}"/>
    <cellStyle name="Normal 5 2 6 2 2 7" xfId="26118" xr:uid="{00000000-0005-0000-0000-000012900000}"/>
    <cellStyle name="Normal 5 2 6 2 3" xfId="26119" xr:uid="{00000000-0005-0000-0000-000013900000}"/>
    <cellStyle name="Normal 5 2 6 2 3 2" xfId="26120" xr:uid="{00000000-0005-0000-0000-000014900000}"/>
    <cellStyle name="Normal 5 2 6 2 3 2 2" xfId="56788" xr:uid="{00000000-0005-0000-0000-000015900000}"/>
    <cellStyle name="Normal 5 2 6 2 3 2 3" xfId="56789" xr:uid="{00000000-0005-0000-0000-000016900000}"/>
    <cellStyle name="Normal 5 2 6 2 3 3" xfId="26121" xr:uid="{00000000-0005-0000-0000-000017900000}"/>
    <cellStyle name="Normal 5 2 6 2 3 3 2" xfId="56790" xr:uid="{00000000-0005-0000-0000-000018900000}"/>
    <cellStyle name="Normal 5 2 6 2 3 4" xfId="26122" xr:uid="{00000000-0005-0000-0000-000019900000}"/>
    <cellStyle name="Normal 5 2 6 2 3 5" xfId="26123" xr:uid="{00000000-0005-0000-0000-00001A900000}"/>
    <cellStyle name="Normal 5 2 6 2 3 6" xfId="26124" xr:uid="{00000000-0005-0000-0000-00001B900000}"/>
    <cellStyle name="Normal 5 2 6 2 4" xfId="26125" xr:uid="{00000000-0005-0000-0000-00001C900000}"/>
    <cellStyle name="Normal 5 2 6 2 4 2" xfId="56791" xr:uid="{00000000-0005-0000-0000-00001D900000}"/>
    <cellStyle name="Normal 5 2 6 2 4 3" xfId="56792" xr:uid="{00000000-0005-0000-0000-00001E900000}"/>
    <cellStyle name="Normal 5 2 6 2 5" xfId="26126" xr:uid="{00000000-0005-0000-0000-00001F900000}"/>
    <cellStyle name="Normal 5 2 6 2 5 2" xfId="56793" xr:uid="{00000000-0005-0000-0000-000020900000}"/>
    <cellStyle name="Normal 5 2 6 2 6" xfId="26127" xr:uid="{00000000-0005-0000-0000-000021900000}"/>
    <cellStyle name="Normal 5 2 6 2 7" xfId="26128" xr:uid="{00000000-0005-0000-0000-000022900000}"/>
    <cellStyle name="Normal 5 2 6 2 8" xfId="26129" xr:uid="{00000000-0005-0000-0000-000023900000}"/>
    <cellStyle name="Normal 5 2 6 2 9" xfId="26130" xr:uid="{00000000-0005-0000-0000-000024900000}"/>
    <cellStyle name="Normal 5 2 6 3" xfId="26131" xr:uid="{00000000-0005-0000-0000-000025900000}"/>
    <cellStyle name="Normal 5 2 6 3 2" xfId="26132" xr:uid="{00000000-0005-0000-0000-000026900000}"/>
    <cellStyle name="Normal 5 2 6 3 2 2" xfId="26133" xr:uid="{00000000-0005-0000-0000-000027900000}"/>
    <cellStyle name="Normal 5 2 6 3 2 2 2" xfId="26134" xr:uid="{00000000-0005-0000-0000-000028900000}"/>
    <cellStyle name="Normal 5 2 6 3 2 2 2 2" xfId="56794" xr:uid="{00000000-0005-0000-0000-000029900000}"/>
    <cellStyle name="Normal 5 2 6 3 2 2 2 3" xfId="56795" xr:uid="{00000000-0005-0000-0000-00002A900000}"/>
    <cellStyle name="Normal 5 2 6 3 2 2 3" xfId="26135" xr:uid="{00000000-0005-0000-0000-00002B900000}"/>
    <cellStyle name="Normal 5 2 6 3 2 2 3 2" xfId="56796" xr:uid="{00000000-0005-0000-0000-00002C900000}"/>
    <cellStyle name="Normal 5 2 6 3 2 2 4" xfId="26136" xr:uid="{00000000-0005-0000-0000-00002D900000}"/>
    <cellStyle name="Normal 5 2 6 3 2 2 5" xfId="26137" xr:uid="{00000000-0005-0000-0000-00002E900000}"/>
    <cellStyle name="Normal 5 2 6 3 2 2 6" xfId="26138" xr:uid="{00000000-0005-0000-0000-00002F900000}"/>
    <cellStyle name="Normal 5 2 6 3 2 3" xfId="26139" xr:uid="{00000000-0005-0000-0000-000030900000}"/>
    <cellStyle name="Normal 5 2 6 3 2 3 2" xfId="56797" xr:uid="{00000000-0005-0000-0000-000031900000}"/>
    <cellStyle name="Normal 5 2 6 3 2 3 3" xfId="56798" xr:uid="{00000000-0005-0000-0000-000032900000}"/>
    <cellStyle name="Normal 5 2 6 3 2 4" xfId="26140" xr:uid="{00000000-0005-0000-0000-000033900000}"/>
    <cellStyle name="Normal 5 2 6 3 2 4 2" xfId="56799" xr:uid="{00000000-0005-0000-0000-000034900000}"/>
    <cellStyle name="Normal 5 2 6 3 2 5" xfId="26141" xr:uid="{00000000-0005-0000-0000-000035900000}"/>
    <cellStyle name="Normal 5 2 6 3 2 6" xfId="26142" xr:uid="{00000000-0005-0000-0000-000036900000}"/>
    <cellStyle name="Normal 5 2 6 3 2 7" xfId="26143" xr:uid="{00000000-0005-0000-0000-000037900000}"/>
    <cellStyle name="Normal 5 2 6 3 3" xfId="26144" xr:uid="{00000000-0005-0000-0000-000038900000}"/>
    <cellStyle name="Normal 5 2 6 3 3 2" xfId="26145" xr:uid="{00000000-0005-0000-0000-000039900000}"/>
    <cellStyle name="Normal 5 2 6 3 3 2 2" xfId="56800" xr:uid="{00000000-0005-0000-0000-00003A900000}"/>
    <cellStyle name="Normal 5 2 6 3 3 2 3" xfId="56801" xr:uid="{00000000-0005-0000-0000-00003B900000}"/>
    <cellStyle name="Normal 5 2 6 3 3 3" xfId="26146" xr:uid="{00000000-0005-0000-0000-00003C900000}"/>
    <cellStyle name="Normal 5 2 6 3 3 3 2" xfId="56802" xr:uid="{00000000-0005-0000-0000-00003D900000}"/>
    <cellStyle name="Normal 5 2 6 3 3 4" xfId="26147" xr:uid="{00000000-0005-0000-0000-00003E900000}"/>
    <cellStyle name="Normal 5 2 6 3 3 5" xfId="26148" xr:uid="{00000000-0005-0000-0000-00003F900000}"/>
    <cellStyle name="Normal 5 2 6 3 3 6" xfId="26149" xr:uid="{00000000-0005-0000-0000-000040900000}"/>
    <cellStyle name="Normal 5 2 6 3 4" xfId="26150" xr:uid="{00000000-0005-0000-0000-000041900000}"/>
    <cellStyle name="Normal 5 2 6 3 4 2" xfId="56803" xr:uid="{00000000-0005-0000-0000-000042900000}"/>
    <cellStyle name="Normal 5 2 6 3 4 3" xfId="56804" xr:uid="{00000000-0005-0000-0000-000043900000}"/>
    <cellStyle name="Normal 5 2 6 3 5" xfId="26151" xr:uid="{00000000-0005-0000-0000-000044900000}"/>
    <cellStyle name="Normal 5 2 6 3 5 2" xfId="56805" xr:uid="{00000000-0005-0000-0000-000045900000}"/>
    <cellStyle name="Normal 5 2 6 3 6" xfId="26152" xr:uid="{00000000-0005-0000-0000-000046900000}"/>
    <cellStyle name="Normal 5 2 6 3 7" xfId="26153" xr:uid="{00000000-0005-0000-0000-000047900000}"/>
    <cellStyle name="Normal 5 2 6 3 8" xfId="26154" xr:uid="{00000000-0005-0000-0000-000048900000}"/>
    <cellStyle name="Normal 5 2 6 4" xfId="26155" xr:uid="{00000000-0005-0000-0000-000049900000}"/>
    <cellStyle name="Normal 5 2 6 4 2" xfId="26156" xr:uid="{00000000-0005-0000-0000-00004A900000}"/>
    <cellStyle name="Normal 5 2 6 4 2 2" xfId="26157" xr:uid="{00000000-0005-0000-0000-00004B900000}"/>
    <cellStyle name="Normal 5 2 6 4 2 2 2" xfId="56806" xr:uid="{00000000-0005-0000-0000-00004C900000}"/>
    <cellStyle name="Normal 5 2 6 4 2 2 3" xfId="56807" xr:uid="{00000000-0005-0000-0000-00004D900000}"/>
    <cellStyle name="Normal 5 2 6 4 2 3" xfId="26158" xr:uid="{00000000-0005-0000-0000-00004E900000}"/>
    <cellStyle name="Normal 5 2 6 4 2 3 2" xfId="56808" xr:uid="{00000000-0005-0000-0000-00004F900000}"/>
    <cellStyle name="Normal 5 2 6 4 2 4" xfId="26159" xr:uid="{00000000-0005-0000-0000-000050900000}"/>
    <cellStyle name="Normal 5 2 6 4 2 5" xfId="26160" xr:uid="{00000000-0005-0000-0000-000051900000}"/>
    <cellStyle name="Normal 5 2 6 4 2 6" xfId="26161" xr:uid="{00000000-0005-0000-0000-000052900000}"/>
    <cellStyle name="Normal 5 2 6 4 3" xfId="26162" xr:uid="{00000000-0005-0000-0000-000053900000}"/>
    <cellStyle name="Normal 5 2 6 4 3 2" xfId="56809" xr:uid="{00000000-0005-0000-0000-000054900000}"/>
    <cellStyle name="Normal 5 2 6 4 3 3" xfId="56810" xr:uid="{00000000-0005-0000-0000-000055900000}"/>
    <cellStyle name="Normal 5 2 6 4 4" xfId="26163" xr:uid="{00000000-0005-0000-0000-000056900000}"/>
    <cellStyle name="Normal 5 2 6 4 4 2" xfId="56811" xr:uid="{00000000-0005-0000-0000-000057900000}"/>
    <cellStyle name="Normal 5 2 6 4 5" xfId="26164" xr:uid="{00000000-0005-0000-0000-000058900000}"/>
    <cellStyle name="Normal 5 2 6 4 6" xfId="26165" xr:uid="{00000000-0005-0000-0000-000059900000}"/>
    <cellStyle name="Normal 5 2 6 4 7" xfId="26166" xr:uid="{00000000-0005-0000-0000-00005A900000}"/>
    <cellStyle name="Normal 5 2 6 5" xfId="26167" xr:uid="{00000000-0005-0000-0000-00005B900000}"/>
    <cellStyle name="Normal 5 2 6 5 2" xfId="26168" xr:uid="{00000000-0005-0000-0000-00005C900000}"/>
    <cellStyle name="Normal 5 2 6 5 2 2" xfId="56812" xr:uid="{00000000-0005-0000-0000-00005D900000}"/>
    <cellStyle name="Normal 5 2 6 5 2 3" xfId="56813" xr:uid="{00000000-0005-0000-0000-00005E900000}"/>
    <cellStyle name="Normal 5 2 6 5 3" xfId="26169" xr:uid="{00000000-0005-0000-0000-00005F900000}"/>
    <cellStyle name="Normal 5 2 6 5 3 2" xfId="56814" xr:uid="{00000000-0005-0000-0000-000060900000}"/>
    <cellStyle name="Normal 5 2 6 5 4" xfId="26170" xr:uid="{00000000-0005-0000-0000-000061900000}"/>
    <cellStyle name="Normal 5 2 6 5 5" xfId="26171" xr:uid="{00000000-0005-0000-0000-000062900000}"/>
    <cellStyle name="Normal 5 2 6 5 6" xfId="26172" xr:uid="{00000000-0005-0000-0000-000063900000}"/>
    <cellStyle name="Normal 5 2 6 6" xfId="26173" xr:uid="{00000000-0005-0000-0000-000064900000}"/>
    <cellStyle name="Normal 5 2 6 6 2" xfId="56815" xr:uid="{00000000-0005-0000-0000-000065900000}"/>
    <cellStyle name="Normal 5 2 6 7" xfId="26174" xr:uid="{00000000-0005-0000-0000-000066900000}"/>
    <cellStyle name="Normal 5 2 6 8" xfId="26175" xr:uid="{00000000-0005-0000-0000-000067900000}"/>
    <cellStyle name="Normal 5 2 6 9" xfId="26176" xr:uid="{00000000-0005-0000-0000-000068900000}"/>
    <cellStyle name="Normal 5 2 7" xfId="26177" xr:uid="{00000000-0005-0000-0000-000069900000}"/>
    <cellStyle name="Normal 5 2 7 10" xfId="26178" xr:uid="{00000000-0005-0000-0000-00006A900000}"/>
    <cellStyle name="Normal 5 2 7 11" xfId="26179" xr:uid="{00000000-0005-0000-0000-00006B900000}"/>
    <cellStyle name="Normal 5 2 7 12" xfId="26180" xr:uid="{00000000-0005-0000-0000-00006C900000}"/>
    <cellStyle name="Normal 5 2 7 13" xfId="26181" xr:uid="{00000000-0005-0000-0000-00006D900000}"/>
    <cellStyle name="Normal 5 2 7 14" xfId="26182" xr:uid="{00000000-0005-0000-0000-00006E900000}"/>
    <cellStyle name="Normal 5 2 7 2" xfId="26183" xr:uid="{00000000-0005-0000-0000-00006F900000}"/>
    <cellStyle name="Normal 5 2 7 2 2" xfId="26184" xr:uid="{00000000-0005-0000-0000-000070900000}"/>
    <cellStyle name="Normal 5 2 7 2 2 2" xfId="26185" xr:uid="{00000000-0005-0000-0000-000071900000}"/>
    <cellStyle name="Normal 5 2 7 2 2 2 2" xfId="26186" xr:uid="{00000000-0005-0000-0000-000072900000}"/>
    <cellStyle name="Normal 5 2 7 2 2 2 2 2" xfId="56816" xr:uid="{00000000-0005-0000-0000-000073900000}"/>
    <cellStyle name="Normal 5 2 7 2 2 2 2 3" xfId="56817" xr:uid="{00000000-0005-0000-0000-000074900000}"/>
    <cellStyle name="Normal 5 2 7 2 2 2 3" xfId="26187" xr:uid="{00000000-0005-0000-0000-000075900000}"/>
    <cellStyle name="Normal 5 2 7 2 2 2 3 2" xfId="56818" xr:uid="{00000000-0005-0000-0000-000076900000}"/>
    <cellStyle name="Normal 5 2 7 2 2 2 4" xfId="26188" xr:uid="{00000000-0005-0000-0000-000077900000}"/>
    <cellStyle name="Normal 5 2 7 2 2 2 5" xfId="26189" xr:uid="{00000000-0005-0000-0000-000078900000}"/>
    <cellStyle name="Normal 5 2 7 2 2 2 6" xfId="26190" xr:uid="{00000000-0005-0000-0000-000079900000}"/>
    <cellStyle name="Normal 5 2 7 2 2 3" xfId="26191" xr:uid="{00000000-0005-0000-0000-00007A900000}"/>
    <cellStyle name="Normal 5 2 7 2 2 3 2" xfId="56819" xr:uid="{00000000-0005-0000-0000-00007B900000}"/>
    <cellStyle name="Normal 5 2 7 2 2 3 3" xfId="56820" xr:uid="{00000000-0005-0000-0000-00007C900000}"/>
    <cellStyle name="Normal 5 2 7 2 2 4" xfId="26192" xr:uid="{00000000-0005-0000-0000-00007D900000}"/>
    <cellStyle name="Normal 5 2 7 2 2 4 2" xfId="56821" xr:uid="{00000000-0005-0000-0000-00007E900000}"/>
    <cellStyle name="Normal 5 2 7 2 2 5" xfId="26193" xr:uid="{00000000-0005-0000-0000-00007F900000}"/>
    <cellStyle name="Normal 5 2 7 2 2 6" xfId="26194" xr:uid="{00000000-0005-0000-0000-000080900000}"/>
    <cellStyle name="Normal 5 2 7 2 2 7" xfId="26195" xr:uid="{00000000-0005-0000-0000-000081900000}"/>
    <cellStyle name="Normal 5 2 7 2 3" xfId="26196" xr:uid="{00000000-0005-0000-0000-000082900000}"/>
    <cellStyle name="Normal 5 2 7 2 3 2" xfId="26197" xr:uid="{00000000-0005-0000-0000-000083900000}"/>
    <cellStyle name="Normal 5 2 7 2 3 2 2" xfId="56822" xr:uid="{00000000-0005-0000-0000-000084900000}"/>
    <cellStyle name="Normal 5 2 7 2 3 2 3" xfId="56823" xr:uid="{00000000-0005-0000-0000-000085900000}"/>
    <cellStyle name="Normal 5 2 7 2 3 3" xfId="26198" xr:uid="{00000000-0005-0000-0000-000086900000}"/>
    <cellStyle name="Normal 5 2 7 2 3 3 2" xfId="56824" xr:uid="{00000000-0005-0000-0000-000087900000}"/>
    <cellStyle name="Normal 5 2 7 2 3 4" xfId="26199" xr:uid="{00000000-0005-0000-0000-000088900000}"/>
    <cellStyle name="Normal 5 2 7 2 3 5" xfId="26200" xr:uid="{00000000-0005-0000-0000-000089900000}"/>
    <cellStyle name="Normal 5 2 7 2 3 6" xfId="26201" xr:uid="{00000000-0005-0000-0000-00008A900000}"/>
    <cellStyle name="Normal 5 2 7 2 4" xfId="26202" xr:uid="{00000000-0005-0000-0000-00008B900000}"/>
    <cellStyle name="Normal 5 2 7 2 4 2" xfId="56825" xr:uid="{00000000-0005-0000-0000-00008C900000}"/>
    <cellStyle name="Normal 5 2 7 2 4 3" xfId="56826" xr:uid="{00000000-0005-0000-0000-00008D900000}"/>
    <cellStyle name="Normal 5 2 7 2 5" xfId="26203" xr:uid="{00000000-0005-0000-0000-00008E900000}"/>
    <cellStyle name="Normal 5 2 7 2 5 2" xfId="56827" xr:uid="{00000000-0005-0000-0000-00008F900000}"/>
    <cellStyle name="Normal 5 2 7 2 6" xfId="26204" xr:uid="{00000000-0005-0000-0000-000090900000}"/>
    <cellStyle name="Normal 5 2 7 2 7" xfId="26205" xr:uid="{00000000-0005-0000-0000-000091900000}"/>
    <cellStyle name="Normal 5 2 7 2 8" xfId="26206" xr:uid="{00000000-0005-0000-0000-000092900000}"/>
    <cellStyle name="Normal 5 2 7 2 9" xfId="26207" xr:uid="{00000000-0005-0000-0000-000093900000}"/>
    <cellStyle name="Normal 5 2 7 3" xfId="26208" xr:uid="{00000000-0005-0000-0000-000094900000}"/>
    <cellStyle name="Normal 5 2 7 3 2" xfId="26209" xr:uid="{00000000-0005-0000-0000-000095900000}"/>
    <cellStyle name="Normal 5 2 7 3 2 2" xfId="26210" xr:uid="{00000000-0005-0000-0000-000096900000}"/>
    <cellStyle name="Normal 5 2 7 3 2 2 2" xfId="26211" xr:uid="{00000000-0005-0000-0000-000097900000}"/>
    <cellStyle name="Normal 5 2 7 3 2 2 2 2" xfId="56828" xr:uid="{00000000-0005-0000-0000-000098900000}"/>
    <cellStyle name="Normal 5 2 7 3 2 2 2 3" xfId="56829" xr:uid="{00000000-0005-0000-0000-000099900000}"/>
    <cellStyle name="Normal 5 2 7 3 2 2 3" xfId="26212" xr:uid="{00000000-0005-0000-0000-00009A900000}"/>
    <cellStyle name="Normal 5 2 7 3 2 2 3 2" xfId="56830" xr:uid="{00000000-0005-0000-0000-00009B900000}"/>
    <cellStyle name="Normal 5 2 7 3 2 2 4" xfId="26213" xr:uid="{00000000-0005-0000-0000-00009C900000}"/>
    <cellStyle name="Normal 5 2 7 3 2 2 5" xfId="26214" xr:uid="{00000000-0005-0000-0000-00009D900000}"/>
    <cellStyle name="Normal 5 2 7 3 2 2 6" xfId="26215" xr:uid="{00000000-0005-0000-0000-00009E900000}"/>
    <cellStyle name="Normal 5 2 7 3 2 3" xfId="26216" xr:uid="{00000000-0005-0000-0000-00009F900000}"/>
    <cellStyle name="Normal 5 2 7 3 2 3 2" xfId="56831" xr:uid="{00000000-0005-0000-0000-0000A0900000}"/>
    <cellStyle name="Normal 5 2 7 3 2 3 3" xfId="56832" xr:uid="{00000000-0005-0000-0000-0000A1900000}"/>
    <cellStyle name="Normal 5 2 7 3 2 4" xfId="26217" xr:uid="{00000000-0005-0000-0000-0000A2900000}"/>
    <cellStyle name="Normal 5 2 7 3 2 4 2" xfId="56833" xr:uid="{00000000-0005-0000-0000-0000A3900000}"/>
    <cellStyle name="Normal 5 2 7 3 2 5" xfId="26218" xr:uid="{00000000-0005-0000-0000-0000A4900000}"/>
    <cellStyle name="Normal 5 2 7 3 2 6" xfId="26219" xr:uid="{00000000-0005-0000-0000-0000A5900000}"/>
    <cellStyle name="Normal 5 2 7 3 2 7" xfId="26220" xr:uid="{00000000-0005-0000-0000-0000A6900000}"/>
    <cellStyle name="Normal 5 2 7 3 3" xfId="26221" xr:uid="{00000000-0005-0000-0000-0000A7900000}"/>
    <cellStyle name="Normal 5 2 7 3 3 2" xfId="26222" xr:uid="{00000000-0005-0000-0000-0000A8900000}"/>
    <cellStyle name="Normal 5 2 7 3 3 2 2" xfId="56834" xr:uid="{00000000-0005-0000-0000-0000A9900000}"/>
    <cellStyle name="Normal 5 2 7 3 3 2 3" xfId="56835" xr:uid="{00000000-0005-0000-0000-0000AA900000}"/>
    <cellStyle name="Normal 5 2 7 3 3 3" xfId="26223" xr:uid="{00000000-0005-0000-0000-0000AB900000}"/>
    <cellStyle name="Normal 5 2 7 3 3 3 2" xfId="56836" xr:uid="{00000000-0005-0000-0000-0000AC900000}"/>
    <cellStyle name="Normal 5 2 7 3 3 4" xfId="26224" xr:uid="{00000000-0005-0000-0000-0000AD900000}"/>
    <cellStyle name="Normal 5 2 7 3 3 5" xfId="26225" xr:uid="{00000000-0005-0000-0000-0000AE900000}"/>
    <cellStyle name="Normal 5 2 7 3 3 6" xfId="26226" xr:uid="{00000000-0005-0000-0000-0000AF900000}"/>
    <cellStyle name="Normal 5 2 7 3 4" xfId="26227" xr:uid="{00000000-0005-0000-0000-0000B0900000}"/>
    <cellStyle name="Normal 5 2 7 3 4 2" xfId="56837" xr:uid="{00000000-0005-0000-0000-0000B1900000}"/>
    <cellStyle name="Normal 5 2 7 3 4 3" xfId="56838" xr:uid="{00000000-0005-0000-0000-0000B2900000}"/>
    <cellStyle name="Normal 5 2 7 3 5" xfId="26228" xr:uid="{00000000-0005-0000-0000-0000B3900000}"/>
    <cellStyle name="Normal 5 2 7 3 5 2" xfId="56839" xr:uid="{00000000-0005-0000-0000-0000B4900000}"/>
    <cellStyle name="Normal 5 2 7 3 6" xfId="26229" xr:uid="{00000000-0005-0000-0000-0000B5900000}"/>
    <cellStyle name="Normal 5 2 7 3 7" xfId="26230" xr:uid="{00000000-0005-0000-0000-0000B6900000}"/>
    <cellStyle name="Normal 5 2 7 3 8" xfId="26231" xr:uid="{00000000-0005-0000-0000-0000B7900000}"/>
    <cellStyle name="Normal 5 2 7 4" xfId="26232" xr:uid="{00000000-0005-0000-0000-0000B8900000}"/>
    <cellStyle name="Normal 5 2 7 4 2" xfId="26233" xr:uid="{00000000-0005-0000-0000-0000B9900000}"/>
    <cellStyle name="Normal 5 2 7 4 2 2" xfId="26234" xr:uid="{00000000-0005-0000-0000-0000BA900000}"/>
    <cellStyle name="Normal 5 2 7 4 2 2 2" xfId="56840" xr:uid="{00000000-0005-0000-0000-0000BB900000}"/>
    <cellStyle name="Normal 5 2 7 4 2 2 3" xfId="56841" xr:uid="{00000000-0005-0000-0000-0000BC900000}"/>
    <cellStyle name="Normal 5 2 7 4 2 3" xfId="26235" xr:uid="{00000000-0005-0000-0000-0000BD900000}"/>
    <cellStyle name="Normal 5 2 7 4 2 3 2" xfId="56842" xr:uid="{00000000-0005-0000-0000-0000BE900000}"/>
    <cellStyle name="Normal 5 2 7 4 2 4" xfId="26236" xr:uid="{00000000-0005-0000-0000-0000BF900000}"/>
    <cellStyle name="Normal 5 2 7 4 2 5" xfId="26237" xr:uid="{00000000-0005-0000-0000-0000C0900000}"/>
    <cellStyle name="Normal 5 2 7 4 2 6" xfId="26238" xr:uid="{00000000-0005-0000-0000-0000C1900000}"/>
    <cellStyle name="Normal 5 2 7 4 3" xfId="26239" xr:uid="{00000000-0005-0000-0000-0000C2900000}"/>
    <cellStyle name="Normal 5 2 7 4 3 2" xfId="56843" xr:uid="{00000000-0005-0000-0000-0000C3900000}"/>
    <cellStyle name="Normal 5 2 7 4 3 3" xfId="56844" xr:uid="{00000000-0005-0000-0000-0000C4900000}"/>
    <cellStyle name="Normal 5 2 7 4 4" xfId="26240" xr:uid="{00000000-0005-0000-0000-0000C5900000}"/>
    <cellStyle name="Normal 5 2 7 4 4 2" xfId="56845" xr:uid="{00000000-0005-0000-0000-0000C6900000}"/>
    <cellStyle name="Normal 5 2 7 4 5" xfId="26241" xr:uid="{00000000-0005-0000-0000-0000C7900000}"/>
    <cellStyle name="Normal 5 2 7 4 6" xfId="26242" xr:uid="{00000000-0005-0000-0000-0000C8900000}"/>
    <cellStyle name="Normal 5 2 7 4 7" xfId="26243" xr:uid="{00000000-0005-0000-0000-0000C9900000}"/>
    <cellStyle name="Normal 5 2 7 5" xfId="26244" xr:uid="{00000000-0005-0000-0000-0000CA900000}"/>
    <cellStyle name="Normal 5 2 7 5 2" xfId="26245" xr:uid="{00000000-0005-0000-0000-0000CB900000}"/>
    <cellStyle name="Normal 5 2 7 5 2 2" xfId="56846" xr:uid="{00000000-0005-0000-0000-0000CC900000}"/>
    <cellStyle name="Normal 5 2 7 5 2 3" xfId="56847" xr:uid="{00000000-0005-0000-0000-0000CD900000}"/>
    <cellStyle name="Normal 5 2 7 5 3" xfId="26246" xr:uid="{00000000-0005-0000-0000-0000CE900000}"/>
    <cellStyle name="Normal 5 2 7 5 3 2" xfId="56848" xr:uid="{00000000-0005-0000-0000-0000CF900000}"/>
    <cellStyle name="Normal 5 2 7 5 4" xfId="26247" xr:uid="{00000000-0005-0000-0000-0000D0900000}"/>
    <cellStyle name="Normal 5 2 7 5 5" xfId="26248" xr:uid="{00000000-0005-0000-0000-0000D1900000}"/>
    <cellStyle name="Normal 5 2 7 5 6" xfId="26249" xr:uid="{00000000-0005-0000-0000-0000D2900000}"/>
    <cellStyle name="Normal 5 2 7 6" xfId="26250" xr:uid="{00000000-0005-0000-0000-0000D3900000}"/>
    <cellStyle name="Normal 5 2 7 6 2" xfId="56849" xr:uid="{00000000-0005-0000-0000-0000D4900000}"/>
    <cellStyle name="Normal 5 2 7 6 3" xfId="56850" xr:uid="{00000000-0005-0000-0000-0000D5900000}"/>
    <cellStyle name="Normal 5 2 7 7" xfId="26251" xr:uid="{00000000-0005-0000-0000-0000D6900000}"/>
    <cellStyle name="Normal 5 2 7 7 2" xfId="56851" xr:uid="{00000000-0005-0000-0000-0000D7900000}"/>
    <cellStyle name="Normal 5 2 7 8" xfId="26252" xr:uid="{00000000-0005-0000-0000-0000D8900000}"/>
    <cellStyle name="Normal 5 2 7 9" xfId="26253" xr:uid="{00000000-0005-0000-0000-0000D9900000}"/>
    <cellStyle name="Normal 5 2 8" xfId="26254" xr:uid="{00000000-0005-0000-0000-0000DA900000}"/>
    <cellStyle name="Normal 5 2 8 10" xfId="26255" xr:uid="{00000000-0005-0000-0000-0000DB900000}"/>
    <cellStyle name="Normal 5 2 8 11" xfId="26256" xr:uid="{00000000-0005-0000-0000-0000DC900000}"/>
    <cellStyle name="Normal 5 2 8 12" xfId="26257" xr:uid="{00000000-0005-0000-0000-0000DD900000}"/>
    <cellStyle name="Normal 5 2 8 13" xfId="26258" xr:uid="{00000000-0005-0000-0000-0000DE900000}"/>
    <cellStyle name="Normal 5 2 8 14" xfId="26259" xr:uid="{00000000-0005-0000-0000-0000DF900000}"/>
    <cellStyle name="Normal 5 2 8 2" xfId="26260" xr:uid="{00000000-0005-0000-0000-0000E0900000}"/>
    <cellStyle name="Normal 5 2 8 2 2" xfId="26261" xr:uid="{00000000-0005-0000-0000-0000E1900000}"/>
    <cellStyle name="Normal 5 2 8 2 2 2" xfId="26262" xr:uid="{00000000-0005-0000-0000-0000E2900000}"/>
    <cellStyle name="Normal 5 2 8 2 2 2 2" xfId="26263" xr:uid="{00000000-0005-0000-0000-0000E3900000}"/>
    <cellStyle name="Normal 5 2 8 2 2 2 2 2" xfId="56852" xr:uid="{00000000-0005-0000-0000-0000E4900000}"/>
    <cellStyle name="Normal 5 2 8 2 2 2 2 3" xfId="56853" xr:uid="{00000000-0005-0000-0000-0000E5900000}"/>
    <cellStyle name="Normal 5 2 8 2 2 2 3" xfId="26264" xr:uid="{00000000-0005-0000-0000-0000E6900000}"/>
    <cellStyle name="Normal 5 2 8 2 2 2 3 2" xfId="56854" xr:uid="{00000000-0005-0000-0000-0000E7900000}"/>
    <cellStyle name="Normal 5 2 8 2 2 2 4" xfId="26265" xr:uid="{00000000-0005-0000-0000-0000E8900000}"/>
    <cellStyle name="Normal 5 2 8 2 2 2 5" xfId="26266" xr:uid="{00000000-0005-0000-0000-0000E9900000}"/>
    <cellStyle name="Normal 5 2 8 2 2 2 6" xfId="26267" xr:uid="{00000000-0005-0000-0000-0000EA900000}"/>
    <cellStyle name="Normal 5 2 8 2 2 3" xfId="26268" xr:uid="{00000000-0005-0000-0000-0000EB900000}"/>
    <cellStyle name="Normal 5 2 8 2 2 3 2" xfId="56855" xr:uid="{00000000-0005-0000-0000-0000EC900000}"/>
    <cellStyle name="Normal 5 2 8 2 2 3 3" xfId="56856" xr:uid="{00000000-0005-0000-0000-0000ED900000}"/>
    <cellStyle name="Normal 5 2 8 2 2 4" xfId="26269" xr:uid="{00000000-0005-0000-0000-0000EE900000}"/>
    <cellStyle name="Normal 5 2 8 2 2 4 2" xfId="56857" xr:uid="{00000000-0005-0000-0000-0000EF900000}"/>
    <cellStyle name="Normal 5 2 8 2 2 5" xfId="26270" xr:uid="{00000000-0005-0000-0000-0000F0900000}"/>
    <cellStyle name="Normal 5 2 8 2 2 6" xfId="26271" xr:uid="{00000000-0005-0000-0000-0000F1900000}"/>
    <cellStyle name="Normal 5 2 8 2 2 7" xfId="26272" xr:uid="{00000000-0005-0000-0000-0000F2900000}"/>
    <cellStyle name="Normal 5 2 8 2 3" xfId="26273" xr:uid="{00000000-0005-0000-0000-0000F3900000}"/>
    <cellStyle name="Normal 5 2 8 2 3 2" xfId="26274" xr:uid="{00000000-0005-0000-0000-0000F4900000}"/>
    <cellStyle name="Normal 5 2 8 2 3 2 2" xfId="56858" xr:uid="{00000000-0005-0000-0000-0000F5900000}"/>
    <cellStyle name="Normal 5 2 8 2 3 2 3" xfId="56859" xr:uid="{00000000-0005-0000-0000-0000F6900000}"/>
    <cellStyle name="Normal 5 2 8 2 3 3" xfId="26275" xr:uid="{00000000-0005-0000-0000-0000F7900000}"/>
    <cellStyle name="Normal 5 2 8 2 3 3 2" xfId="56860" xr:uid="{00000000-0005-0000-0000-0000F8900000}"/>
    <cellStyle name="Normal 5 2 8 2 3 4" xfId="26276" xr:uid="{00000000-0005-0000-0000-0000F9900000}"/>
    <cellStyle name="Normal 5 2 8 2 3 5" xfId="26277" xr:uid="{00000000-0005-0000-0000-0000FA900000}"/>
    <cellStyle name="Normal 5 2 8 2 3 6" xfId="26278" xr:uid="{00000000-0005-0000-0000-0000FB900000}"/>
    <cellStyle name="Normal 5 2 8 2 4" xfId="26279" xr:uid="{00000000-0005-0000-0000-0000FC900000}"/>
    <cellStyle name="Normal 5 2 8 2 4 2" xfId="56861" xr:uid="{00000000-0005-0000-0000-0000FD900000}"/>
    <cellStyle name="Normal 5 2 8 2 4 3" xfId="56862" xr:uid="{00000000-0005-0000-0000-0000FE900000}"/>
    <cellStyle name="Normal 5 2 8 2 5" xfId="26280" xr:uid="{00000000-0005-0000-0000-0000FF900000}"/>
    <cellStyle name="Normal 5 2 8 2 5 2" xfId="56863" xr:uid="{00000000-0005-0000-0000-000000910000}"/>
    <cellStyle name="Normal 5 2 8 2 6" xfId="26281" xr:uid="{00000000-0005-0000-0000-000001910000}"/>
    <cellStyle name="Normal 5 2 8 2 7" xfId="26282" xr:uid="{00000000-0005-0000-0000-000002910000}"/>
    <cellStyle name="Normal 5 2 8 2 8" xfId="26283" xr:uid="{00000000-0005-0000-0000-000003910000}"/>
    <cellStyle name="Normal 5 2 8 2 9" xfId="26284" xr:uid="{00000000-0005-0000-0000-000004910000}"/>
    <cellStyle name="Normal 5 2 8 3" xfId="26285" xr:uid="{00000000-0005-0000-0000-000005910000}"/>
    <cellStyle name="Normal 5 2 8 3 2" xfId="26286" xr:uid="{00000000-0005-0000-0000-000006910000}"/>
    <cellStyle name="Normal 5 2 8 3 2 2" xfId="26287" xr:uid="{00000000-0005-0000-0000-000007910000}"/>
    <cellStyle name="Normal 5 2 8 3 2 2 2" xfId="56864" xr:uid="{00000000-0005-0000-0000-000008910000}"/>
    <cellStyle name="Normal 5 2 8 3 2 2 3" xfId="56865" xr:uid="{00000000-0005-0000-0000-000009910000}"/>
    <cellStyle name="Normal 5 2 8 3 2 3" xfId="26288" xr:uid="{00000000-0005-0000-0000-00000A910000}"/>
    <cellStyle name="Normal 5 2 8 3 2 3 2" xfId="56866" xr:uid="{00000000-0005-0000-0000-00000B910000}"/>
    <cellStyle name="Normal 5 2 8 3 2 4" xfId="26289" xr:uid="{00000000-0005-0000-0000-00000C910000}"/>
    <cellStyle name="Normal 5 2 8 3 2 5" xfId="26290" xr:uid="{00000000-0005-0000-0000-00000D910000}"/>
    <cellStyle name="Normal 5 2 8 3 2 6" xfId="26291" xr:uid="{00000000-0005-0000-0000-00000E910000}"/>
    <cellStyle name="Normal 5 2 8 3 3" xfId="26292" xr:uid="{00000000-0005-0000-0000-00000F910000}"/>
    <cellStyle name="Normal 5 2 8 3 3 2" xfId="56867" xr:uid="{00000000-0005-0000-0000-000010910000}"/>
    <cellStyle name="Normal 5 2 8 3 3 3" xfId="56868" xr:uid="{00000000-0005-0000-0000-000011910000}"/>
    <cellStyle name="Normal 5 2 8 3 4" xfId="26293" xr:uid="{00000000-0005-0000-0000-000012910000}"/>
    <cellStyle name="Normal 5 2 8 3 4 2" xfId="56869" xr:uid="{00000000-0005-0000-0000-000013910000}"/>
    <cellStyle name="Normal 5 2 8 3 5" xfId="26294" xr:uid="{00000000-0005-0000-0000-000014910000}"/>
    <cellStyle name="Normal 5 2 8 3 6" xfId="26295" xr:uid="{00000000-0005-0000-0000-000015910000}"/>
    <cellStyle name="Normal 5 2 8 3 7" xfId="26296" xr:uid="{00000000-0005-0000-0000-000016910000}"/>
    <cellStyle name="Normal 5 2 8 4" xfId="26297" xr:uid="{00000000-0005-0000-0000-000017910000}"/>
    <cellStyle name="Normal 5 2 8 4 2" xfId="26298" xr:uid="{00000000-0005-0000-0000-000018910000}"/>
    <cellStyle name="Normal 5 2 8 4 2 2" xfId="56870" xr:uid="{00000000-0005-0000-0000-000019910000}"/>
    <cellStyle name="Normal 5 2 8 4 2 3" xfId="56871" xr:uid="{00000000-0005-0000-0000-00001A910000}"/>
    <cellStyle name="Normal 5 2 8 4 3" xfId="26299" xr:uid="{00000000-0005-0000-0000-00001B910000}"/>
    <cellStyle name="Normal 5 2 8 4 3 2" xfId="56872" xr:uid="{00000000-0005-0000-0000-00001C910000}"/>
    <cellStyle name="Normal 5 2 8 4 4" xfId="26300" xr:uid="{00000000-0005-0000-0000-00001D910000}"/>
    <cellStyle name="Normal 5 2 8 4 5" xfId="26301" xr:uid="{00000000-0005-0000-0000-00001E910000}"/>
    <cellStyle name="Normal 5 2 8 4 6" xfId="26302" xr:uid="{00000000-0005-0000-0000-00001F910000}"/>
    <cellStyle name="Normal 5 2 8 5" xfId="26303" xr:uid="{00000000-0005-0000-0000-000020910000}"/>
    <cellStyle name="Normal 5 2 8 5 2" xfId="56873" xr:uid="{00000000-0005-0000-0000-000021910000}"/>
    <cellStyle name="Normal 5 2 8 5 3" xfId="56874" xr:uid="{00000000-0005-0000-0000-000022910000}"/>
    <cellStyle name="Normal 5 2 8 6" xfId="26304" xr:uid="{00000000-0005-0000-0000-000023910000}"/>
    <cellStyle name="Normal 5 2 8 6 2" xfId="56875" xr:uid="{00000000-0005-0000-0000-000024910000}"/>
    <cellStyle name="Normal 5 2 8 7" xfId="26305" xr:uid="{00000000-0005-0000-0000-000025910000}"/>
    <cellStyle name="Normal 5 2 8 8" xfId="26306" xr:uid="{00000000-0005-0000-0000-000026910000}"/>
    <cellStyle name="Normal 5 2 8 9" xfId="26307" xr:uid="{00000000-0005-0000-0000-000027910000}"/>
    <cellStyle name="Normal 5 2 9" xfId="26308" xr:uid="{00000000-0005-0000-0000-000028910000}"/>
    <cellStyle name="Normal 5 2 9 2" xfId="26309" xr:uid="{00000000-0005-0000-0000-000029910000}"/>
    <cellStyle name="Normal 5 2 9 2 2" xfId="26310" xr:uid="{00000000-0005-0000-0000-00002A910000}"/>
    <cellStyle name="Normal 5 2 9 2 2 2" xfId="26311" xr:uid="{00000000-0005-0000-0000-00002B910000}"/>
    <cellStyle name="Normal 5 2 9 2 2 2 2" xfId="56876" xr:uid="{00000000-0005-0000-0000-00002C910000}"/>
    <cellStyle name="Normal 5 2 9 2 2 2 3" xfId="56877" xr:uid="{00000000-0005-0000-0000-00002D910000}"/>
    <cellStyle name="Normal 5 2 9 2 2 3" xfId="26312" xr:uid="{00000000-0005-0000-0000-00002E910000}"/>
    <cellStyle name="Normal 5 2 9 2 2 3 2" xfId="56878" xr:uid="{00000000-0005-0000-0000-00002F910000}"/>
    <cellStyle name="Normal 5 2 9 2 2 4" xfId="26313" xr:uid="{00000000-0005-0000-0000-000030910000}"/>
    <cellStyle name="Normal 5 2 9 2 2 5" xfId="26314" xr:uid="{00000000-0005-0000-0000-000031910000}"/>
    <cellStyle name="Normal 5 2 9 2 2 6" xfId="26315" xr:uid="{00000000-0005-0000-0000-000032910000}"/>
    <cellStyle name="Normal 5 2 9 2 3" xfId="26316" xr:uid="{00000000-0005-0000-0000-000033910000}"/>
    <cellStyle name="Normal 5 2 9 2 3 2" xfId="56879" xr:uid="{00000000-0005-0000-0000-000034910000}"/>
    <cellStyle name="Normal 5 2 9 2 3 3" xfId="56880" xr:uid="{00000000-0005-0000-0000-000035910000}"/>
    <cellStyle name="Normal 5 2 9 2 4" xfId="26317" xr:uid="{00000000-0005-0000-0000-000036910000}"/>
    <cellStyle name="Normal 5 2 9 2 4 2" xfId="56881" xr:uid="{00000000-0005-0000-0000-000037910000}"/>
    <cellStyle name="Normal 5 2 9 2 5" xfId="26318" xr:uid="{00000000-0005-0000-0000-000038910000}"/>
    <cellStyle name="Normal 5 2 9 2 6" xfId="26319" xr:uid="{00000000-0005-0000-0000-000039910000}"/>
    <cellStyle name="Normal 5 2 9 2 7" xfId="26320" xr:uid="{00000000-0005-0000-0000-00003A910000}"/>
    <cellStyle name="Normal 5 2 9 3" xfId="26321" xr:uid="{00000000-0005-0000-0000-00003B910000}"/>
    <cellStyle name="Normal 5 2 9 3 2" xfId="26322" xr:uid="{00000000-0005-0000-0000-00003C910000}"/>
    <cellStyle name="Normal 5 2 9 3 2 2" xfId="56882" xr:uid="{00000000-0005-0000-0000-00003D910000}"/>
    <cellStyle name="Normal 5 2 9 3 2 3" xfId="56883" xr:uid="{00000000-0005-0000-0000-00003E910000}"/>
    <cellStyle name="Normal 5 2 9 3 3" xfId="26323" xr:uid="{00000000-0005-0000-0000-00003F910000}"/>
    <cellStyle name="Normal 5 2 9 3 3 2" xfId="56884" xr:uid="{00000000-0005-0000-0000-000040910000}"/>
    <cellStyle name="Normal 5 2 9 3 4" xfId="26324" xr:uid="{00000000-0005-0000-0000-000041910000}"/>
    <cellStyle name="Normal 5 2 9 3 5" xfId="26325" xr:uid="{00000000-0005-0000-0000-000042910000}"/>
    <cellStyle name="Normal 5 2 9 3 6" xfId="26326" xr:uid="{00000000-0005-0000-0000-000043910000}"/>
    <cellStyle name="Normal 5 2 9 4" xfId="26327" xr:uid="{00000000-0005-0000-0000-000044910000}"/>
    <cellStyle name="Normal 5 2 9 4 2" xfId="56885" xr:uid="{00000000-0005-0000-0000-000045910000}"/>
    <cellStyle name="Normal 5 2 9 4 3" xfId="56886" xr:uid="{00000000-0005-0000-0000-000046910000}"/>
    <cellStyle name="Normal 5 2 9 5" xfId="26328" xr:uid="{00000000-0005-0000-0000-000047910000}"/>
    <cellStyle name="Normal 5 2 9 5 2" xfId="56887" xr:uid="{00000000-0005-0000-0000-000048910000}"/>
    <cellStyle name="Normal 5 2 9 6" xfId="26329" xr:uid="{00000000-0005-0000-0000-000049910000}"/>
    <cellStyle name="Normal 5 2 9 7" xfId="26330" xr:uid="{00000000-0005-0000-0000-00004A910000}"/>
    <cellStyle name="Normal 5 2 9 8" xfId="26331" xr:uid="{00000000-0005-0000-0000-00004B910000}"/>
    <cellStyle name="Normal 5 2 9 9" xfId="26332" xr:uid="{00000000-0005-0000-0000-00004C910000}"/>
    <cellStyle name="Normal 5 2_Sheet2" xfId="26333" xr:uid="{00000000-0005-0000-0000-00004D910000}"/>
    <cellStyle name="Normal 5 3" xfId="26334" xr:uid="{00000000-0005-0000-0000-00004E910000}"/>
    <cellStyle name="Normal 5 3 10" xfId="26335" xr:uid="{00000000-0005-0000-0000-00004F910000}"/>
    <cellStyle name="Normal 5 3 10 2" xfId="56888" xr:uid="{00000000-0005-0000-0000-000050910000}"/>
    <cellStyle name="Normal 5 3 11" xfId="26336" xr:uid="{00000000-0005-0000-0000-000051910000}"/>
    <cellStyle name="Normal 5 3 12" xfId="26337" xr:uid="{00000000-0005-0000-0000-000052910000}"/>
    <cellStyle name="Normal 5 3 13" xfId="26338" xr:uid="{00000000-0005-0000-0000-000053910000}"/>
    <cellStyle name="Normal 5 3 14" xfId="26339" xr:uid="{00000000-0005-0000-0000-000054910000}"/>
    <cellStyle name="Normal 5 3 15" xfId="26340" xr:uid="{00000000-0005-0000-0000-000055910000}"/>
    <cellStyle name="Normal 5 3 16" xfId="26341" xr:uid="{00000000-0005-0000-0000-000056910000}"/>
    <cellStyle name="Normal 5 3 17" xfId="26342" xr:uid="{00000000-0005-0000-0000-000057910000}"/>
    <cellStyle name="Normal 5 3 18" xfId="26343" xr:uid="{00000000-0005-0000-0000-000058910000}"/>
    <cellStyle name="Normal 5 3 19" xfId="26344" xr:uid="{00000000-0005-0000-0000-000059910000}"/>
    <cellStyle name="Normal 5 3 2" xfId="26345" xr:uid="{00000000-0005-0000-0000-00005A910000}"/>
    <cellStyle name="Normal 5 3 2 10" xfId="26346" xr:uid="{00000000-0005-0000-0000-00005B910000}"/>
    <cellStyle name="Normal 5 3 2 11" xfId="26347" xr:uid="{00000000-0005-0000-0000-00005C910000}"/>
    <cellStyle name="Normal 5 3 2 12" xfId="26348" xr:uid="{00000000-0005-0000-0000-00005D910000}"/>
    <cellStyle name="Normal 5 3 2 13" xfId="26349" xr:uid="{00000000-0005-0000-0000-00005E910000}"/>
    <cellStyle name="Normal 5 3 2 14" xfId="26350" xr:uid="{00000000-0005-0000-0000-00005F910000}"/>
    <cellStyle name="Normal 5 3 2 2" xfId="26351" xr:uid="{00000000-0005-0000-0000-000060910000}"/>
    <cellStyle name="Normal 5 3 2 2 2" xfId="26352" xr:uid="{00000000-0005-0000-0000-000061910000}"/>
    <cellStyle name="Normal 5 3 2 2 2 2" xfId="26353" xr:uid="{00000000-0005-0000-0000-000062910000}"/>
    <cellStyle name="Normal 5 3 2 2 2 2 2" xfId="26354" xr:uid="{00000000-0005-0000-0000-000063910000}"/>
    <cellStyle name="Normal 5 3 2 2 2 2 2 2" xfId="56889" xr:uid="{00000000-0005-0000-0000-000064910000}"/>
    <cellStyle name="Normal 5 3 2 2 2 2 2 3" xfId="56890" xr:uid="{00000000-0005-0000-0000-000065910000}"/>
    <cellStyle name="Normal 5 3 2 2 2 2 3" xfId="26355" xr:uid="{00000000-0005-0000-0000-000066910000}"/>
    <cellStyle name="Normal 5 3 2 2 2 2 3 2" xfId="56891" xr:uid="{00000000-0005-0000-0000-000067910000}"/>
    <cellStyle name="Normal 5 3 2 2 2 2 4" xfId="26356" xr:uid="{00000000-0005-0000-0000-000068910000}"/>
    <cellStyle name="Normal 5 3 2 2 2 2 5" xfId="26357" xr:uid="{00000000-0005-0000-0000-000069910000}"/>
    <cellStyle name="Normal 5 3 2 2 2 2 6" xfId="26358" xr:uid="{00000000-0005-0000-0000-00006A910000}"/>
    <cellStyle name="Normal 5 3 2 2 2 3" xfId="26359" xr:uid="{00000000-0005-0000-0000-00006B910000}"/>
    <cellStyle name="Normal 5 3 2 2 2 3 2" xfId="56892" xr:uid="{00000000-0005-0000-0000-00006C910000}"/>
    <cellStyle name="Normal 5 3 2 2 2 3 3" xfId="56893" xr:uid="{00000000-0005-0000-0000-00006D910000}"/>
    <cellStyle name="Normal 5 3 2 2 2 4" xfId="26360" xr:uid="{00000000-0005-0000-0000-00006E910000}"/>
    <cellStyle name="Normal 5 3 2 2 2 4 2" xfId="56894" xr:uid="{00000000-0005-0000-0000-00006F910000}"/>
    <cellStyle name="Normal 5 3 2 2 2 5" xfId="26361" xr:uid="{00000000-0005-0000-0000-000070910000}"/>
    <cellStyle name="Normal 5 3 2 2 2 6" xfId="26362" xr:uid="{00000000-0005-0000-0000-000071910000}"/>
    <cellStyle name="Normal 5 3 2 2 2 7" xfId="26363" xr:uid="{00000000-0005-0000-0000-000072910000}"/>
    <cellStyle name="Normal 5 3 2 2 3" xfId="26364" xr:uid="{00000000-0005-0000-0000-000073910000}"/>
    <cellStyle name="Normal 5 3 2 2 3 2" xfId="26365" xr:uid="{00000000-0005-0000-0000-000074910000}"/>
    <cellStyle name="Normal 5 3 2 2 3 2 2" xfId="56895" xr:uid="{00000000-0005-0000-0000-000075910000}"/>
    <cellStyle name="Normal 5 3 2 2 3 2 3" xfId="56896" xr:uid="{00000000-0005-0000-0000-000076910000}"/>
    <cellStyle name="Normal 5 3 2 2 3 3" xfId="26366" xr:uid="{00000000-0005-0000-0000-000077910000}"/>
    <cellStyle name="Normal 5 3 2 2 3 3 2" xfId="56897" xr:uid="{00000000-0005-0000-0000-000078910000}"/>
    <cellStyle name="Normal 5 3 2 2 3 4" xfId="26367" xr:uid="{00000000-0005-0000-0000-000079910000}"/>
    <cellStyle name="Normal 5 3 2 2 3 5" xfId="26368" xr:uid="{00000000-0005-0000-0000-00007A910000}"/>
    <cellStyle name="Normal 5 3 2 2 3 6" xfId="26369" xr:uid="{00000000-0005-0000-0000-00007B910000}"/>
    <cellStyle name="Normal 5 3 2 2 4" xfId="26370" xr:uid="{00000000-0005-0000-0000-00007C910000}"/>
    <cellStyle name="Normal 5 3 2 2 4 2" xfId="56898" xr:uid="{00000000-0005-0000-0000-00007D910000}"/>
    <cellStyle name="Normal 5 3 2 2 4 3" xfId="56899" xr:uid="{00000000-0005-0000-0000-00007E910000}"/>
    <cellStyle name="Normal 5 3 2 2 5" xfId="26371" xr:uid="{00000000-0005-0000-0000-00007F910000}"/>
    <cellStyle name="Normal 5 3 2 2 5 2" xfId="56900" xr:uid="{00000000-0005-0000-0000-000080910000}"/>
    <cellStyle name="Normal 5 3 2 2 6" xfId="26372" xr:uid="{00000000-0005-0000-0000-000081910000}"/>
    <cellStyle name="Normal 5 3 2 2 6 2" xfId="56901" xr:uid="{00000000-0005-0000-0000-000082910000}"/>
    <cellStyle name="Normal 5 3 2 2 7" xfId="26373" xr:uid="{00000000-0005-0000-0000-000083910000}"/>
    <cellStyle name="Normal 5 3 2 2 8" xfId="26374" xr:uid="{00000000-0005-0000-0000-000084910000}"/>
    <cellStyle name="Normal 5 3 2 2 9" xfId="26375" xr:uid="{00000000-0005-0000-0000-000085910000}"/>
    <cellStyle name="Normal 5 3 2 3" xfId="26376" xr:uid="{00000000-0005-0000-0000-000086910000}"/>
    <cellStyle name="Normal 5 3 2 3 2" xfId="26377" xr:uid="{00000000-0005-0000-0000-000087910000}"/>
    <cellStyle name="Normal 5 3 2 3 2 2" xfId="26378" xr:uid="{00000000-0005-0000-0000-000088910000}"/>
    <cellStyle name="Normal 5 3 2 3 2 2 2" xfId="26379" xr:uid="{00000000-0005-0000-0000-000089910000}"/>
    <cellStyle name="Normal 5 3 2 3 2 2 2 2" xfId="56902" xr:uid="{00000000-0005-0000-0000-00008A910000}"/>
    <cellStyle name="Normal 5 3 2 3 2 2 2 3" xfId="56903" xr:uid="{00000000-0005-0000-0000-00008B910000}"/>
    <cellStyle name="Normal 5 3 2 3 2 2 3" xfId="26380" xr:uid="{00000000-0005-0000-0000-00008C910000}"/>
    <cellStyle name="Normal 5 3 2 3 2 2 3 2" xfId="56904" xr:uid="{00000000-0005-0000-0000-00008D910000}"/>
    <cellStyle name="Normal 5 3 2 3 2 2 4" xfId="26381" xr:uid="{00000000-0005-0000-0000-00008E910000}"/>
    <cellStyle name="Normal 5 3 2 3 2 2 5" xfId="26382" xr:uid="{00000000-0005-0000-0000-00008F910000}"/>
    <cellStyle name="Normal 5 3 2 3 2 2 6" xfId="26383" xr:uid="{00000000-0005-0000-0000-000090910000}"/>
    <cellStyle name="Normal 5 3 2 3 2 3" xfId="26384" xr:uid="{00000000-0005-0000-0000-000091910000}"/>
    <cellStyle name="Normal 5 3 2 3 2 3 2" xfId="56905" xr:uid="{00000000-0005-0000-0000-000092910000}"/>
    <cellStyle name="Normal 5 3 2 3 2 3 3" xfId="56906" xr:uid="{00000000-0005-0000-0000-000093910000}"/>
    <cellStyle name="Normal 5 3 2 3 2 4" xfId="26385" xr:uid="{00000000-0005-0000-0000-000094910000}"/>
    <cellStyle name="Normal 5 3 2 3 2 4 2" xfId="56907" xr:uid="{00000000-0005-0000-0000-000095910000}"/>
    <cellStyle name="Normal 5 3 2 3 2 5" xfId="26386" xr:uid="{00000000-0005-0000-0000-000096910000}"/>
    <cellStyle name="Normal 5 3 2 3 2 6" xfId="26387" xr:uid="{00000000-0005-0000-0000-000097910000}"/>
    <cellStyle name="Normal 5 3 2 3 2 7" xfId="26388" xr:uid="{00000000-0005-0000-0000-000098910000}"/>
    <cellStyle name="Normal 5 3 2 3 3" xfId="26389" xr:uid="{00000000-0005-0000-0000-000099910000}"/>
    <cellStyle name="Normal 5 3 2 3 3 2" xfId="26390" xr:uid="{00000000-0005-0000-0000-00009A910000}"/>
    <cellStyle name="Normal 5 3 2 3 3 2 2" xfId="56908" xr:uid="{00000000-0005-0000-0000-00009B910000}"/>
    <cellStyle name="Normal 5 3 2 3 3 2 3" xfId="56909" xr:uid="{00000000-0005-0000-0000-00009C910000}"/>
    <cellStyle name="Normal 5 3 2 3 3 3" xfId="26391" xr:uid="{00000000-0005-0000-0000-00009D910000}"/>
    <cellStyle name="Normal 5 3 2 3 3 3 2" xfId="56910" xr:uid="{00000000-0005-0000-0000-00009E910000}"/>
    <cellStyle name="Normal 5 3 2 3 3 4" xfId="26392" xr:uid="{00000000-0005-0000-0000-00009F910000}"/>
    <cellStyle name="Normal 5 3 2 3 3 5" xfId="26393" xr:uid="{00000000-0005-0000-0000-0000A0910000}"/>
    <cellStyle name="Normal 5 3 2 3 3 6" xfId="26394" xr:uid="{00000000-0005-0000-0000-0000A1910000}"/>
    <cellStyle name="Normal 5 3 2 3 4" xfId="26395" xr:uid="{00000000-0005-0000-0000-0000A2910000}"/>
    <cellStyle name="Normal 5 3 2 3 4 2" xfId="56911" xr:uid="{00000000-0005-0000-0000-0000A3910000}"/>
    <cellStyle name="Normal 5 3 2 3 4 3" xfId="56912" xr:uid="{00000000-0005-0000-0000-0000A4910000}"/>
    <cellStyle name="Normal 5 3 2 3 5" xfId="26396" xr:uid="{00000000-0005-0000-0000-0000A5910000}"/>
    <cellStyle name="Normal 5 3 2 3 5 2" xfId="56913" xr:uid="{00000000-0005-0000-0000-0000A6910000}"/>
    <cellStyle name="Normal 5 3 2 3 6" xfId="26397" xr:uid="{00000000-0005-0000-0000-0000A7910000}"/>
    <cellStyle name="Normal 5 3 2 3 7" xfId="26398" xr:uid="{00000000-0005-0000-0000-0000A8910000}"/>
    <cellStyle name="Normal 5 3 2 3 8" xfId="26399" xr:uid="{00000000-0005-0000-0000-0000A9910000}"/>
    <cellStyle name="Normal 5 3 2 4" xfId="26400" xr:uid="{00000000-0005-0000-0000-0000AA910000}"/>
    <cellStyle name="Normal 5 3 2 4 2" xfId="26401" xr:uid="{00000000-0005-0000-0000-0000AB910000}"/>
    <cellStyle name="Normal 5 3 2 4 2 2" xfId="26402" xr:uid="{00000000-0005-0000-0000-0000AC910000}"/>
    <cellStyle name="Normal 5 3 2 4 2 2 2" xfId="56914" xr:uid="{00000000-0005-0000-0000-0000AD910000}"/>
    <cellStyle name="Normal 5 3 2 4 2 2 3" xfId="56915" xr:uid="{00000000-0005-0000-0000-0000AE910000}"/>
    <cellStyle name="Normal 5 3 2 4 2 3" xfId="26403" xr:uid="{00000000-0005-0000-0000-0000AF910000}"/>
    <cellStyle name="Normal 5 3 2 4 2 3 2" xfId="56916" xr:uid="{00000000-0005-0000-0000-0000B0910000}"/>
    <cellStyle name="Normal 5 3 2 4 2 4" xfId="26404" xr:uid="{00000000-0005-0000-0000-0000B1910000}"/>
    <cellStyle name="Normal 5 3 2 4 2 5" xfId="26405" xr:uid="{00000000-0005-0000-0000-0000B2910000}"/>
    <cellStyle name="Normal 5 3 2 4 2 6" xfId="26406" xr:uid="{00000000-0005-0000-0000-0000B3910000}"/>
    <cellStyle name="Normal 5 3 2 4 3" xfId="26407" xr:uid="{00000000-0005-0000-0000-0000B4910000}"/>
    <cellStyle name="Normal 5 3 2 4 3 2" xfId="56917" xr:uid="{00000000-0005-0000-0000-0000B5910000}"/>
    <cellStyle name="Normal 5 3 2 4 3 3" xfId="56918" xr:uid="{00000000-0005-0000-0000-0000B6910000}"/>
    <cellStyle name="Normal 5 3 2 4 4" xfId="26408" xr:uid="{00000000-0005-0000-0000-0000B7910000}"/>
    <cellStyle name="Normal 5 3 2 4 4 2" xfId="56919" xr:uid="{00000000-0005-0000-0000-0000B8910000}"/>
    <cellStyle name="Normal 5 3 2 4 5" xfId="26409" xr:uid="{00000000-0005-0000-0000-0000B9910000}"/>
    <cellStyle name="Normal 5 3 2 4 6" xfId="26410" xr:uid="{00000000-0005-0000-0000-0000BA910000}"/>
    <cellStyle name="Normal 5 3 2 4 7" xfId="26411" xr:uid="{00000000-0005-0000-0000-0000BB910000}"/>
    <cellStyle name="Normal 5 3 2 5" xfId="26412" xr:uid="{00000000-0005-0000-0000-0000BC910000}"/>
    <cellStyle name="Normal 5 3 2 5 2" xfId="26413" xr:uid="{00000000-0005-0000-0000-0000BD910000}"/>
    <cellStyle name="Normal 5 3 2 5 2 2" xfId="56920" xr:uid="{00000000-0005-0000-0000-0000BE910000}"/>
    <cellStyle name="Normal 5 3 2 5 2 3" xfId="56921" xr:uid="{00000000-0005-0000-0000-0000BF910000}"/>
    <cellStyle name="Normal 5 3 2 5 3" xfId="26414" xr:uid="{00000000-0005-0000-0000-0000C0910000}"/>
    <cellStyle name="Normal 5 3 2 5 3 2" xfId="56922" xr:uid="{00000000-0005-0000-0000-0000C1910000}"/>
    <cellStyle name="Normal 5 3 2 5 4" xfId="26415" xr:uid="{00000000-0005-0000-0000-0000C2910000}"/>
    <cellStyle name="Normal 5 3 2 5 5" xfId="26416" xr:uid="{00000000-0005-0000-0000-0000C3910000}"/>
    <cellStyle name="Normal 5 3 2 5 6" xfId="26417" xr:uid="{00000000-0005-0000-0000-0000C4910000}"/>
    <cellStyle name="Normal 5 3 2 6" xfId="26418" xr:uid="{00000000-0005-0000-0000-0000C5910000}"/>
    <cellStyle name="Normal 5 3 2 6 2" xfId="56923" xr:uid="{00000000-0005-0000-0000-0000C6910000}"/>
    <cellStyle name="Normal 5 3 2 6 3" xfId="56924" xr:uid="{00000000-0005-0000-0000-0000C7910000}"/>
    <cellStyle name="Normal 5 3 2 7" xfId="26419" xr:uid="{00000000-0005-0000-0000-0000C8910000}"/>
    <cellStyle name="Normal 5 3 2 7 2" xfId="56925" xr:uid="{00000000-0005-0000-0000-0000C9910000}"/>
    <cellStyle name="Normal 5 3 2 8" xfId="26420" xr:uid="{00000000-0005-0000-0000-0000CA910000}"/>
    <cellStyle name="Normal 5 3 2 8 2" xfId="56926" xr:uid="{00000000-0005-0000-0000-0000CB910000}"/>
    <cellStyle name="Normal 5 3 2 9" xfId="26421" xr:uid="{00000000-0005-0000-0000-0000CC910000}"/>
    <cellStyle name="Normal 5 3 3" xfId="26422" xr:uid="{00000000-0005-0000-0000-0000CD910000}"/>
    <cellStyle name="Normal 5 3 3 10" xfId="26423" xr:uid="{00000000-0005-0000-0000-0000CE910000}"/>
    <cellStyle name="Normal 5 3 3 11" xfId="26424" xr:uid="{00000000-0005-0000-0000-0000CF910000}"/>
    <cellStyle name="Normal 5 3 3 12" xfId="26425" xr:uid="{00000000-0005-0000-0000-0000D0910000}"/>
    <cellStyle name="Normal 5 3 3 13" xfId="26426" xr:uid="{00000000-0005-0000-0000-0000D1910000}"/>
    <cellStyle name="Normal 5 3 3 14" xfId="26427" xr:uid="{00000000-0005-0000-0000-0000D2910000}"/>
    <cellStyle name="Normal 5 3 3 15" xfId="26428" xr:uid="{00000000-0005-0000-0000-0000D3910000}"/>
    <cellStyle name="Normal 5 3 3 2" xfId="26429" xr:uid="{00000000-0005-0000-0000-0000D4910000}"/>
    <cellStyle name="Normal 5 3 3 2 2" xfId="26430" xr:uid="{00000000-0005-0000-0000-0000D5910000}"/>
    <cellStyle name="Normal 5 3 3 2 2 2" xfId="26431" xr:uid="{00000000-0005-0000-0000-0000D6910000}"/>
    <cellStyle name="Normal 5 3 3 2 2 2 2" xfId="26432" xr:uid="{00000000-0005-0000-0000-0000D7910000}"/>
    <cellStyle name="Normal 5 3 3 2 2 2 2 2" xfId="56927" xr:uid="{00000000-0005-0000-0000-0000D8910000}"/>
    <cellStyle name="Normal 5 3 3 2 2 2 2 3" xfId="56928" xr:uid="{00000000-0005-0000-0000-0000D9910000}"/>
    <cellStyle name="Normal 5 3 3 2 2 2 3" xfId="26433" xr:uid="{00000000-0005-0000-0000-0000DA910000}"/>
    <cellStyle name="Normal 5 3 3 2 2 2 3 2" xfId="56929" xr:uid="{00000000-0005-0000-0000-0000DB910000}"/>
    <cellStyle name="Normal 5 3 3 2 2 2 4" xfId="26434" xr:uid="{00000000-0005-0000-0000-0000DC910000}"/>
    <cellStyle name="Normal 5 3 3 2 2 2 5" xfId="26435" xr:uid="{00000000-0005-0000-0000-0000DD910000}"/>
    <cellStyle name="Normal 5 3 3 2 2 2 6" xfId="26436" xr:uid="{00000000-0005-0000-0000-0000DE910000}"/>
    <cellStyle name="Normal 5 3 3 2 2 3" xfId="26437" xr:uid="{00000000-0005-0000-0000-0000DF910000}"/>
    <cellStyle name="Normal 5 3 3 2 2 3 2" xfId="56930" xr:uid="{00000000-0005-0000-0000-0000E0910000}"/>
    <cellStyle name="Normal 5 3 3 2 2 3 3" xfId="56931" xr:uid="{00000000-0005-0000-0000-0000E1910000}"/>
    <cellStyle name="Normal 5 3 3 2 2 4" xfId="26438" xr:uid="{00000000-0005-0000-0000-0000E2910000}"/>
    <cellStyle name="Normal 5 3 3 2 2 4 2" xfId="56932" xr:uid="{00000000-0005-0000-0000-0000E3910000}"/>
    <cellStyle name="Normal 5 3 3 2 2 5" xfId="26439" xr:uid="{00000000-0005-0000-0000-0000E4910000}"/>
    <cellStyle name="Normal 5 3 3 2 2 6" xfId="26440" xr:uid="{00000000-0005-0000-0000-0000E5910000}"/>
    <cellStyle name="Normal 5 3 3 2 2 7" xfId="26441" xr:uid="{00000000-0005-0000-0000-0000E6910000}"/>
    <cellStyle name="Normal 5 3 3 2 3" xfId="26442" xr:uid="{00000000-0005-0000-0000-0000E7910000}"/>
    <cellStyle name="Normal 5 3 3 2 3 2" xfId="26443" xr:uid="{00000000-0005-0000-0000-0000E8910000}"/>
    <cellStyle name="Normal 5 3 3 2 3 2 2" xfId="56933" xr:uid="{00000000-0005-0000-0000-0000E9910000}"/>
    <cellStyle name="Normal 5 3 3 2 3 2 3" xfId="56934" xr:uid="{00000000-0005-0000-0000-0000EA910000}"/>
    <cellStyle name="Normal 5 3 3 2 3 3" xfId="26444" xr:uid="{00000000-0005-0000-0000-0000EB910000}"/>
    <cellStyle name="Normal 5 3 3 2 3 3 2" xfId="56935" xr:uid="{00000000-0005-0000-0000-0000EC910000}"/>
    <cellStyle name="Normal 5 3 3 2 3 4" xfId="26445" xr:uid="{00000000-0005-0000-0000-0000ED910000}"/>
    <cellStyle name="Normal 5 3 3 2 3 5" xfId="26446" xr:uid="{00000000-0005-0000-0000-0000EE910000}"/>
    <cellStyle name="Normal 5 3 3 2 3 6" xfId="26447" xr:uid="{00000000-0005-0000-0000-0000EF910000}"/>
    <cellStyle name="Normal 5 3 3 2 4" xfId="26448" xr:uid="{00000000-0005-0000-0000-0000F0910000}"/>
    <cellStyle name="Normal 5 3 3 2 4 2" xfId="56936" xr:uid="{00000000-0005-0000-0000-0000F1910000}"/>
    <cellStyle name="Normal 5 3 3 2 4 3" xfId="56937" xr:uid="{00000000-0005-0000-0000-0000F2910000}"/>
    <cellStyle name="Normal 5 3 3 2 5" xfId="26449" xr:uid="{00000000-0005-0000-0000-0000F3910000}"/>
    <cellStyle name="Normal 5 3 3 2 5 2" xfId="56938" xr:uid="{00000000-0005-0000-0000-0000F4910000}"/>
    <cellStyle name="Normal 5 3 3 2 6" xfId="26450" xr:uid="{00000000-0005-0000-0000-0000F5910000}"/>
    <cellStyle name="Normal 5 3 3 2 7" xfId="26451" xr:uid="{00000000-0005-0000-0000-0000F6910000}"/>
    <cellStyle name="Normal 5 3 3 2 8" xfId="26452" xr:uid="{00000000-0005-0000-0000-0000F7910000}"/>
    <cellStyle name="Normal 5 3 3 2 9" xfId="26453" xr:uid="{00000000-0005-0000-0000-0000F8910000}"/>
    <cellStyle name="Normal 5 3 3 3" xfId="26454" xr:uid="{00000000-0005-0000-0000-0000F9910000}"/>
    <cellStyle name="Normal 5 3 3 3 2" xfId="26455" xr:uid="{00000000-0005-0000-0000-0000FA910000}"/>
    <cellStyle name="Normal 5 3 3 3 2 2" xfId="26456" xr:uid="{00000000-0005-0000-0000-0000FB910000}"/>
    <cellStyle name="Normal 5 3 3 3 2 2 2" xfId="26457" xr:uid="{00000000-0005-0000-0000-0000FC910000}"/>
    <cellStyle name="Normal 5 3 3 3 2 2 2 2" xfId="56939" xr:uid="{00000000-0005-0000-0000-0000FD910000}"/>
    <cellStyle name="Normal 5 3 3 3 2 2 2 3" xfId="56940" xr:uid="{00000000-0005-0000-0000-0000FE910000}"/>
    <cellStyle name="Normal 5 3 3 3 2 2 3" xfId="26458" xr:uid="{00000000-0005-0000-0000-0000FF910000}"/>
    <cellStyle name="Normal 5 3 3 3 2 2 3 2" xfId="56941" xr:uid="{00000000-0005-0000-0000-000000920000}"/>
    <cellStyle name="Normal 5 3 3 3 2 2 4" xfId="26459" xr:uid="{00000000-0005-0000-0000-000001920000}"/>
    <cellStyle name="Normal 5 3 3 3 2 2 5" xfId="26460" xr:uid="{00000000-0005-0000-0000-000002920000}"/>
    <cellStyle name="Normal 5 3 3 3 2 2 6" xfId="26461" xr:uid="{00000000-0005-0000-0000-000003920000}"/>
    <cellStyle name="Normal 5 3 3 3 2 3" xfId="26462" xr:uid="{00000000-0005-0000-0000-000004920000}"/>
    <cellStyle name="Normal 5 3 3 3 2 3 2" xfId="56942" xr:uid="{00000000-0005-0000-0000-000005920000}"/>
    <cellStyle name="Normal 5 3 3 3 2 3 3" xfId="56943" xr:uid="{00000000-0005-0000-0000-000006920000}"/>
    <cellStyle name="Normal 5 3 3 3 2 4" xfId="26463" xr:uid="{00000000-0005-0000-0000-000007920000}"/>
    <cellStyle name="Normal 5 3 3 3 2 4 2" xfId="56944" xr:uid="{00000000-0005-0000-0000-000008920000}"/>
    <cellStyle name="Normal 5 3 3 3 2 5" xfId="26464" xr:uid="{00000000-0005-0000-0000-000009920000}"/>
    <cellStyle name="Normal 5 3 3 3 2 6" xfId="26465" xr:uid="{00000000-0005-0000-0000-00000A920000}"/>
    <cellStyle name="Normal 5 3 3 3 2 7" xfId="26466" xr:uid="{00000000-0005-0000-0000-00000B920000}"/>
    <cellStyle name="Normal 5 3 3 3 3" xfId="26467" xr:uid="{00000000-0005-0000-0000-00000C920000}"/>
    <cellStyle name="Normal 5 3 3 3 3 2" xfId="26468" xr:uid="{00000000-0005-0000-0000-00000D920000}"/>
    <cellStyle name="Normal 5 3 3 3 3 2 2" xfId="56945" xr:uid="{00000000-0005-0000-0000-00000E920000}"/>
    <cellStyle name="Normal 5 3 3 3 3 2 3" xfId="56946" xr:uid="{00000000-0005-0000-0000-00000F920000}"/>
    <cellStyle name="Normal 5 3 3 3 3 3" xfId="26469" xr:uid="{00000000-0005-0000-0000-000010920000}"/>
    <cellStyle name="Normal 5 3 3 3 3 3 2" xfId="56947" xr:uid="{00000000-0005-0000-0000-000011920000}"/>
    <cellStyle name="Normal 5 3 3 3 3 4" xfId="26470" xr:uid="{00000000-0005-0000-0000-000012920000}"/>
    <cellStyle name="Normal 5 3 3 3 3 5" xfId="26471" xr:uid="{00000000-0005-0000-0000-000013920000}"/>
    <cellStyle name="Normal 5 3 3 3 3 6" xfId="26472" xr:uid="{00000000-0005-0000-0000-000014920000}"/>
    <cellStyle name="Normal 5 3 3 3 4" xfId="26473" xr:uid="{00000000-0005-0000-0000-000015920000}"/>
    <cellStyle name="Normal 5 3 3 3 4 2" xfId="56948" xr:uid="{00000000-0005-0000-0000-000016920000}"/>
    <cellStyle name="Normal 5 3 3 3 4 3" xfId="56949" xr:uid="{00000000-0005-0000-0000-000017920000}"/>
    <cellStyle name="Normal 5 3 3 3 5" xfId="26474" xr:uid="{00000000-0005-0000-0000-000018920000}"/>
    <cellStyle name="Normal 5 3 3 3 5 2" xfId="56950" xr:uid="{00000000-0005-0000-0000-000019920000}"/>
    <cellStyle name="Normal 5 3 3 3 6" xfId="26475" xr:uid="{00000000-0005-0000-0000-00001A920000}"/>
    <cellStyle name="Normal 5 3 3 3 7" xfId="26476" xr:uid="{00000000-0005-0000-0000-00001B920000}"/>
    <cellStyle name="Normal 5 3 3 3 8" xfId="26477" xr:uid="{00000000-0005-0000-0000-00001C920000}"/>
    <cellStyle name="Normal 5 3 3 4" xfId="26478" xr:uid="{00000000-0005-0000-0000-00001D920000}"/>
    <cellStyle name="Normal 5 3 3 4 2" xfId="26479" xr:uid="{00000000-0005-0000-0000-00001E920000}"/>
    <cellStyle name="Normal 5 3 3 4 2 2" xfId="26480" xr:uid="{00000000-0005-0000-0000-00001F920000}"/>
    <cellStyle name="Normal 5 3 3 4 2 2 2" xfId="56951" xr:uid="{00000000-0005-0000-0000-000020920000}"/>
    <cellStyle name="Normal 5 3 3 4 2 2 3" xfId="56952" xr:uid="{00000000-0005-0000-0000-000021920000}"/>
    <cellStyle name="Normal 5 3 3 4 2 3" xfId="26481" xr:uid="{00000000-0005-0000-0000-000022920000}"/>
    <cellStyle name="Normal 5 3 3 4 2 3 2" xfId="56953" xr:uid="{00000000-0005-0000-0000-000023920000}"/>
    <cellStyle name="Normal 5 3 3 4 2 4" xfId="26482" xr:uid="{00000000-0005-0000-0000-000024920000}"/>
    <cellStyle name="Normal 5 3 3 4 2 5" xfId="26483" xr:uid="{00000000-0005-0000-0000-000025920000}"/>
    <cellStyle name="Normal 5 3 3 4 2 6" xfId="26484" xr:uid="{00000000-0005-0000-0000-000026920000}"/>
    <cellStyle name="Normal 5 3 3 4 3" xfId="26485" xr:uid="{00000000-0005-0000-0000-000027920000}"/>
    <cellStyle name="Normal 5 3 3 4 3 2" xfId="56954" xr:uid="{00000000-0005-0000-0000-000028920000}"/>
    <cellStyle name="Normal 5 3 3 4 3 3" xfId="56955" xr:uid="{00000000-0005-0000-0000-000029920000}"/>
    <cellStyle name="Normal 5 3 3 4 4" xfId="26486" xr:uid="{00000000-0005-0000-0000-00002A920000}"/>
    <cellStyle name="Normal 5 3 3 4 4 2" xfId="56956" xr:uid="{00000000-0005-0000-0000-00002B920000}"/>
    <cellStyle name="Normal 5 3 3 4 5" xfId="26487" xr:uid="{00000000-0005-0000-0000-00002C920000}"/>
    <cellStyle name="Normal 5 3 3 4 6" xfId="26488" xr:uid="{00000000-0005-0000-0000-00002D920000}"/>
    <cellStyle name="Normal 5 3 3 4 7" xfId="26489" xr:uid="{00000000-0005-0000-0000-00002E920000}"/>
    <cellStyle name="Normal 5 3 3 5" xfId="26490" xr:uid="{00000000-0005-0000-0000-00002F920000}"/>
    <cellStyle name="Normal 5 3 3 5 2" xfId="26491" xr:uid="{00000000-0005-0000-0000-000030920000}"/>
    <cellStyle name="Normal 5 3 3 5 2 2" xfId="56957" xr:uid="{00000000-0005-0000-0000-000031920000}"/>
    <cellStyle name="Normal 5 3 3 5 2 3" xfId="56958" xr:uid="{00000000-0005-0000-0000-000032920000}"/>
    <cellStyle name="Normal 5 3 3 5 3" xfId="26492" xr:uid="{00000000-0005-0000-0000-000033920000}"/>
    <cellStyle name="Normal 5 3 3 5 3 2" xfId="56959" xr:uid="{00000000-0005-0000-0000-000034920000}"/>
    <cellStyle name="Normal 5 3 3 5 4" xfId="26493" xr:uid="{00000000-0005-0000-0000-000035920000}"/>
    <cellStyle name="Normal 5 3 3 5 5" xfId="26494" xr:uid="{00000000-0005-0000-0000-000036920000}"/>
    <cellStyle name="Normal 5 3 3 5 6" xfId="26495" xr:uid="{00000000-0005-0000-0000-000037920000}"/>
    <cellStyle name="Normal 5 3 3 6" xfId="26496" xr:uid="{00000000-0005-0000-0000-000038920000}"/>
    <cellStyle name="Normal 5 3 3 6 2" xfId="56960" xr:uid="{00000000-0005-0000-0000-000039920000}"/>
    <cellStyle name="Normal 5 3 3 7" xfId="26497" xr:uid="{00000000-0005-0000-0000-00003A920000}"/>
    <cellStyle name="Normal 5 3 3 8" xfId="26498" xr:uid="{00000000-0005-0000-0000-00003B920000}"/>
    <cellStyle name="Normal 5 3 3 9" xfId="26499" xr:uid="{00000000-0005-0000-0000-00003C920000}"/>
    <cellStyle name="Normal 5 3 4" xfId="26500" xr:uid="{00000000-0005-0000-0000-00003D920000}"/>
    <cellStyle name="Normal 5 3 4 10" xfId="26501" xr:uid="{00000000-0005-0000-0000-00003E920000}"/>
    <cellStyle name="Normal 5 3 4 11" xfId="26502" xr:uid="{00000000-0005-0000-0000-00003F920000}"/>
    <cellStyle name="Normal 5 3 4 12" xfId="26503" xr:uid="{00000000-0005-0000-0000-000040920000}"/>
    <cellStyle name="Normal 5 3 4 13" xfId="26504" xr:uid="{00000000-0005-0000-0000-000041920000}"/>
    <cellStyle name="Normal 5 3 4 2" xfId="26505" xr:uid="{00000000-0005-0000-0000-000042920000}"/>
    <cellStyle name="Normal 5 3 4 2 2" xfId="26506" xr:uid="{00000000-0005-0000-0000-000043920000}"/>
    <cellStyle name="Normal 5 3 4 2 2 2" xfId="26507" xr:uid="{00000000-0005-0000-0000-000044920000}"/>
    <cellStyle name="Normal 5 3 4 2 2 2 2" xfId="26508" xr:uid="{00000000-0005-0000-0000-000045920000}"/>
    <cellStyle name="Normal 5 3 4 2 2 2 2 2" xfId="56961" xr:uid="{00000000-0005-0000-0000-000046920000}"/>
    <cellStyle name="Normal 5 3 4 2 2 2 2 3" xfId="56962" xr:uid="{00000000-0005-0000-0000-000047920000}"/>
    <cellStyle name="Normal 5 3 4 2 2 2 3" xfId="26509" xr:uid="{00000000-0005-0000-0000-000048920000}"/>
    <cellStyle name="Normal 5 3 4 2 2 2 3 2" xfId="56963" xr:uid="{00000000-0005-0000-0000-000049920000}"/>
    <cellStyle name="Normal 5 3 4 2 2 2 4" xfId="26510" xr:uid="{00000000-0005-0000-0000-00004A920000}"/>
    <cellStyle name="Normal 5 3 4 2 2 2 5" xfId="26511" xr:uid="{00000000-0005-0000-0000-00004B920000}"/>
    <cellStyle name="Normal 5 3 4 2 2 2 6" xfId="26512" xr:uid="{00000000-0005-0000-0000-00004C920000}"/>
    <cellStyle name="Normal 5 3 4 2 2 3" xfId="26513" xr:uid="{00000000-0005-0000-0000-00004D920000}"/>
    <cellStyle name="Normal 5 3 4 2 2 3 2" xfId="56964" xr:uid="{00000000-0005-0000-0000-00004E920000}"/>
    <cellStyle name="Normal 5 3 4 2 2 3 3" xfId="56965" xr:uid="{00000000-0005-0000-0000-00004F920000}"/>
    <cellStyle name="Normal 5 3 4 2 2 4" xfId="26514" xr:uid="{00000000-0005-0000-0000-000050920000}"/>
    <cellStyle name="Normal 5 3 4 2 2 4 2" xfId="56966" xr:uid="{00000000-0005-0000-0000-000051920000}"/>
    <cellStyle name="Normal 5 3 4 2 2 5" xfId="26515" xr:uid="{00000000-0005-0000-0000-000052920000}"/>
    <cellStyle name="Normal 5 3 4 2 2 6" xfId="26516" xr:uid="{00000000-0005-0000-0000-000053920000}"/>
    <cellStyle name="Normal 5 3 4 2 2 7" xfId="26517" xr:uid="{00000000-0005-0000-0000-000054920000}"/>
    <cellStyle name="Normal 5 3 4 2 3" xfId="26518" xr:uid="{00000000-0005-0000-0000-000055920000}"/>
    <cellStyle name="Normal 5 3 4 2 3 2" xfId="26519" xr:uid="{00000000-0005-0000-0000-000056920000}"/>
    <cellStyle name="Normal 5 3 4 2 3 2 2" xfId="56967" xr:uid="{00000000-0005-0000-0000-000057920000}"/>
    <cellStyle name="Normal 5 3 4 2 3 2 3" xfId="56968" xr:uid="{00000000-0005-0000-0000-000058920000}"/>
    <cellStyle name="Normal 5 3 4 2 3 3" xfId="26520" xr:uid="{00000000-0005-0000-0000-000059920000}"/>
    <cellStyle name="Normal 5 3 4 2 3 3 2" xfId="56969" xr:uid="{00000000-0005-0000-0000-00005A920000}"/>
    <cellStyle name="Normal 5 3 4 2 3 4" xfId="26521" xr:uid="{00000000-0005-0000-0000-00005B920000}"/>
    <cellStyle name="Normal 5 3 4 2 3 5" xfId="26522" xr:uid="{00000000-0005-0000-0000-00005C920000}"/>
    <cellStyle name="Normal 5 3 4 2 3 6" xfId="26523" xr:uid="{00000000-0005-0000-0000-00005D920000}"/>
    <cellStyle name="Normal 5 3 4 2 4" xfId="26524" xr:uid="{00000000-0005-0000-0000-00005E920000}"/>
    <cellStyle name="Normal 5 3 4 2 4 2" xfId="56970" xr:uid="{00000000-0005-0000-0000-00005F920000}"/>
    <cellStyle name="Normal 5 3 4 2 4 3" xfId="56971" xr:uid="{00000000-0005-0000-0000-000060920000}"/>
    <cellStyle name="Normal 5 3 4 2 5" xfId="26525" xr:uid="{00000000-0005-0000-0000-000061920000}"/>
    <cellStyle name="Normal 5 3 4 2 5 2" xfId="56972" xr:uid="{00000000-0005-0000-0000-000062920000}"/>
    <cellStyle name="Normal 5 3 4 2 6" xfId="26526" xr:uid="{00000000-0005-0000-0000-000063920000}"/>
    <cellStyle name="Normal 5 3 4 2 7" xfId="26527" xr:uid="{00000000-0005-0000-0000-000064920000}"/>
    <cellStyle name="Normal 5 3 4 2 8" xfId="26528" xr:uid="{00000000-0005-0000-0000-000065920000}"/>
    <cellStyle name="Normal 5 3 4 2 9" xfId="26529" xr:uid="{00000000-0005-0000-0000-000066920000}"/>
    <cellStyle name="Normal 5 3 4 3" xfId="26530" xr:uid="{00000000-0005-0000-0000-000067920000}"/>
    <cellStyle name="Normal 5 3 4 3 2" xfId="26531" xr:uid="{00000000-0005-0000-0000-000068920000}"/>
    <cellStyle name="Normal 5 3 4 3 2 2" xfId="26532" xr:uid="{00000000-0005-0000-0000-000069920000}"/>
    <cellStyle name="Normal 5 3 4 3 2 2 2" xfId="56973" xr:uid="{00000000-0005-0000-0000-00006A920000}"/>
    <cellStyle name="Normal 5 3 4 3 2 2 3" xfId="56974" xr:uid="{00000000-0005-0000-0000-00006B920000}"/>
    <cellStyle name="Normal 5 3 4 3 2 3" xfId="26533" xr:uid="{00000000-0005-0000-0000-00006C920000}"/>
    <cellStyle name="Normal 5 3 4 3 2 3 2" xfId="56975" xr:uid="{00000000-0005-0000-0000-00006D920000}"/>
    <cellStyle name="Normal 5 3 4 3 2 4" xfId="26534" xr:uid="{00000000-0005-0000-0000-00006E920000}"/>
    <cellStyle name="Normal 5 3 4 3 2 5" xfId="26535" xr:uid="{00000000-0005-0000-0000-00006F920000}"/>
    <cellStyle name="Normal 5 3 4 3 2 6" xfId="26536" xr:uid="{00000000-0005-0000-0000-000070920000}"/>
    <cellStyle name="Normal 5 3 4 3 3" xfId="26537" xr:uid="{00000000-0005-0000-0000-000071920000}"/>
    <cellStyle name="Normal 5 3 4 3 3 2" xfId="56976" xr:uid="{00000000-0005-0000-0000-000072920000}"/>
    <cellStyle name="Normal 5 3 4 3 3 3" xfId="56977" xr:uid="{00000000-0005-0000-0000-000073920000}"/>
    <cellStyle name="Normal 5 3 4 3 4" xfId="26538" xr:uid="{00000000-0005-0000-0000-000074920000}"/>
    <cellStyle name="Normal 5 3 4 3 4 2" xfId="56978" xr:uid="{00000000-0005-0000-0000-000075920000}"/>
    <cellStyle name="Normal 5 3 4 3 5" xfId="26539" xr:uid="{00000000-0005-0000-0000-000076920000}"/>
    <cellStyle name="Normal 5 3 4 3 6" xfId="26540" xr:uid="{00000000-0005-0000-0000-000077920000}"/>
    <cellStyle name="Normal 5 3 4 3 7" xfId="26541" xr:uid="{00000000-0005-0000-0000-000078920000}"/>
    <cellStyle name="Normal 5 3 4 4" xfId="26542" xr:uid="{00000000-0005-0000-0000-000079920000}"/>
    <cellStyle name="Normal 5 3 4 4 2" xfId="26543" xr:uid="{00000000-0005-0000-0000-00007A920000}"/>
    <cellStyle name="Normal 5 3 4 4 2 2" xfId="56979" xr:uid="{00000000-0005-0000-0000-00007B920000}"/>
    <cellStyle name="Normal 5 3 4 4 2 3" xfId="56980" xr:uid="{00000000-0005-0000-0000-00007C920000}"/>
    <cellStyle name="Normal 5 3 4 4 3" xfId="26544" xr:uid="{00000000-0005-0000-0000-00007D920000}"/>
    <cellStyle name="Normal 5 3 4 4 3 2" xfId="56981" xr:uid="{00000000-0005-0000-0000-00007E920000}"/>
    <cellStyle name="Normal 5 3 4 4 4" xfId="26545" xr:uid="{00000000-0005-0000-0000-00007F920000}"/>
    <cellStyle name="Normal 5 3 4 4 5" xfId="26546" xr:uid="{00000000-0005-0000-0000-000080920000}"/>
    <cellStyle name="Normal 5 3 4 4 6" xfId="26547" xr:uid="{00000000-0005-0000-0000-000081920000}"/>
    <cellStyle name="Normal 5 3 4 5" xfId="26548" xr:uid="{00000000-0005-0000-0000-000082920000}"/>
    <cellStyle name="Normal 5 3 4 5 2" xfId="56982" xr:uid="{00000000-0005-0000-0000-000083920000}"/>
    <cellStyle name="Normal 5 3 4 5 3" xfId="56983" xr:uid="{00000000-0005-0000-0000-000084920000}"/>
    <cellStyle name="Normal 5 3 4 6" xfId="26549" xr:uid="{00000000-0005-0000-0000-000085920000}"/>
    <cellStyle name="Normal 5 3 4 6 2" xfId="56984" xr:uid="{00000000-0005-0000-0000-000086920000}"/>
    <cellStyle name="Normal 5 3 4 7" xfId="26550" xr:uid="{00000000-0005-0000-0000-000087920000}"/>
    <cellStyle name="Normal 5 3 4 8" xfId="26551" xr:uid="{00000000-0005-0000-0000-000088920000}"/>
    <cellStyle name="Normal 5 3 4 9" xfId="26552" xr:uid="{00000000-0005-0000-0000-000089920000}"/>
    <cellStyle name="Normal 5 3 5" xfId="26553" xr:uid="{00000000-0005-0000-0000-00008A920000}"/>
    <cellStyle name="Normal 5 3 5 2" xfId="26554" xr:uid="{00000000-0005-0000-0000-00008B920000}"/>
    <cellStyle name="Normal 5 3 5 2 2" xfId="26555" xr:uid="{00000000-0005-0000-0000-00008C920000}"/>
    <cellStyle name="Normal 5 3 5 2 2 2" xfId="26556" xr:uid="{00000000-0005-0000-0000-00008D920000}"/>
    <cellStyle name="Normal 5 3 5 2 2 2 2" xfId="56985" xr:uid="{00000000-0005-0000-0000-00008E920000}"/>
    <cellStyle name="Normal 5 3 5 2 2 2 3" xfId="56986" xr:uid="{00000000-0005-0000-0000-00008F920000}"/>
    <cellStyle name="Normal 5 3 5 2 2 3" xfId="26557" xr:uid="{00000000-0005-0000-0000-000090920000}"/>
    <cellStyle name="Normal 5 3 5 2 2 3 2" xfId="56987" xr:uid="{00000000-0005-0000-0000-000091920000}"/>
    <cellStyle name="Normal 5 3 5 2 2 4" xfId="26558" xr:uid="{00000000-0005-0000-0000-000092920000}"/>
    <cellStyle name="Normal 5 3 5 2 2 5" xfId="26559" xr:uid="{00000000-0005-0000-0000-000093920000}"/>
    <cellStyle name="Normal 5 3 5 2 2 6" xfId="26560" xr:uid="{00000000-0005-0000-0000-000094920000}"/>
    <cellStyle name="Normal 5 3 5 2 3" xfId="26561" xr:uid="{00000000-0005-0000-0000-000095920000}"/>
    <cellStyle name="Normal 5 3 5 2 3 2" xfId="56988" xr:uid="{00000000-0005-0000-0000-000096920000}"/>
    <cellStyle name="Normal 5 3 5 2 3 3" xfId="56989" xr:uid="{00000000-0005-0000-0000-000097920000}"/>
    <cellStyle name="Normal 5 3 5 2 4" xfId="26562" xr:uid="{00000000-0005-0000-0000-000098920000}"/>
    <cellStyle name="Normal 5 3 5 2 4 2" xfId="56990" xr:uid="{00000000-0005-0000-0000-000099920000}"/>
    <cellStyle name="Normal 5 3 5 2 5" xfId="26563" xr:uid="{00000000-0005-0000-0000-00009A920000}"/>
    <cellStyle name="Normal 5 3 5 2 6" xfId="26564" xr:uid="{00000000-0005-0000-0000-00009B920000}"/>
    <cellStyle name="Normal 5 3 5 2 7" xfId="26565" xr:uid="{00000000-0005-0000-0000-00009C920000}"/>
    <cellStyle name="Normal 5 3 5 3" xfId="26566" xr:uid="{00000000-0005-0000-0000-00009D920000}"/>
    <cellStyle name="Normal 5 3 5 3 2" xfId="26567" xr:uid="{00000000-0005-0000-0000-00009E920000}"/>
    <cellStyle name="Normal 5 3 5 3 2 2" xfId="56991" xr:uid="{00000000-0005-0000-0000-00009F920000}"/>
    <cellStyle name="Normal 5 3 5 3 2 3" xfId="56992" xr:uid="{00000000-0005-0000-0000-0000A0920000}"/>
    <cellStyle name="Normal 5 3 5 3 3" xfId="26568" xr:uid="{00000000-0005-0000-0000-0000A1920000}"/>
    <cellStyle name="Normal 5 3 5 3 3 2" xfId="56993" xr:uid="{00000000-0005-0000-0000-0000A2920000}"/>
    <cellStyle name="Normal 5 3 5 3 4" xfId="26569" xr:uid="{00000000-0005-0000-0000-0000A3920000}"/>
    <cellStyle name="Normal 5 3 5 3 5" xfId="26570" xr:uid="{00000000-0005-0000-0000-0000A4920000}"/>
    <cellStyle name="Normal 5 3 5 3 6" xfId="26571" xr:uid="{00000000-0005-0000-0000-0000A5920000}"/>
    <cellStyle name="Normal 5 3 5 4" xfId="26572" xr:uid="{00000000-0005-0000-0000-0000A6920000}"/>
    <cellStyle name="Normal 5 3 5 4 2" xfId="56994" xr:uid="{00000000-0005-0000-0000-0000A7920000}"/>
    <cellStyle name="Normal 5 3 5 4 3" xfId="56995" xr:uid="{00000000-0005-0000-0000-0000A8920000}"/>
    <cellStyle name="Normal 5 3 5 5" xfId="26573" xr:uid="{00000000-0005-0000-0000-0000A9920000}"/>
    <cellStyle name="Normal 5 3 5 5 2" xfId="56996" xr:uid="{00000000-0005-0000-0000-0000AA920000}"/>
    <cellStyle name="Normal 5 3 5 6" xfId="26574" xr:uid="{00000000-0005-0000-0000-0000AB920000}"/>
    <cellStyle name="Normal 5 3 5 7" xfId="26575" xr:uid="{00000000-0005-0000-0000-0000AC920000}"/>
    <cellStyle name="Normal 5 3 5 8" xfId="26576" xr:uid="{00000000-0005-0000-0000-0000AD920000}"/>
    <cellStyle name="Normal 5 3 5 9" xfId="26577" xr:uid="{00000000-0005-0000-0000-0000AE920000}"/>
    <cellStyle name="Normal 5 3 6" xfId="26578" xr:uid="{00000000-0005-0000-0000-0000AF920000}"/>
    <cellStyle name="Normal 5 3 6 2" xfId="26579" xr:uid="{00000000-0005-0000-0000-0000B0920000}"/>
    <cellStyle name="Normal 5 3 6 2 2" xfId="26580" xr:uid="{00000000-0005-0000-0000-0000B1920000}"/>
    <cellStyle name="Normal 5 3 6 2 2 2" xfId="26581" xr:uid="{00000000-0005-0000-0000-0000B2920000}"/>
    <cellStyle name="Normal 5 3 6 2 2 2 2" xfId="56997" xr:uid="{00000000-0005-0000-0000-0000B3920000}"/>
    <cellStyle name="Normal 5 3 6 2 2 2 3" xfId="56998" xr:uid="{00000000-0005-0000-0000-0000B4920000}"/>
    <cellStyle name="Normal 5 3 6 2 2 3" xfId="26582" xr:uid="{00000000-0005-0000-0000-0000B5920000}"/>
    <cellStyle name="Normal 5 3 6 2 2 3 2" xfId="56999" xr:uid="{00000000-0005-0000-0000-0000B6920000}"/>
    <cellStyle name="Normal 5 3 6 2 2 4" xfId="26583" xr:uid="{00000000-0005-0000-0000-0000B7920000}"/>
    <cellStyle name="Normal 5 3 6 2 2 5" xfId="26584" xr:uid="{00000000-0005-0000-0000-0000B8920000}"/>
    <cellStyle name="Normal 5 3 6 2 2 6" xfId="26585" xr:uid="{00000000-0005-0000-0000-0000B9920000}"/>
    <cellStyle name="Normal 5 3 6 2 3" xfId="26586" xr:uid="{00000000-0005-0000-0000-0000BA920000}"/>
    <cellStyle name="Normal 5 3 6 2 3 2" xfId="57000" xr:uid="{00000000-0005-0000-0000-0000BB920000}"/>
    <cellStyle name="Normal 5 3 6 2 3 3" xfId="57001" xr:uid="{00000000-0005-0000-0000-0000BC920000}"/>
    <cellStyle name="Normal 5 3 6 2 4" xfId="26587" xr:uid="{00000000-0005-0000-0000-0000BD920000}"/>
    <cellStyle name="Normal 5 3 6 2 4 2" xfId="57002" xr:uid="{00000000-0005-0000-0000-0000BE920000}"/>
    <cellStyle name="Normal 5 3 6 2 5" xfId="26588" xr:uid="{00000000-0005-0000-0000-0000BF920000}"/>
    <cellStyle name="Normal 5 3 6 2 6" xfId="26589" xr:uid="{00000000-0005-0000-0000-0000C0920000}"/>
    <cellStyle name="Normal 5 3 6 2 7" xfId="26590" xr:uid="{00000000-0005-0000-0000-0000C1920000}"/>
    <cellStyle name="Normal 5 3 6 3" xfId="26591" xr:uid="{00000000-0005-0000-0000-0000C2920000}"/>
    <cellStyle name="Normal 5 3 6 3 2" xfId="26592" xr:uid="{00000000-0005-0000-0000-0000C3920000}"/>
    <cellStyle name="Normal 5 3 6 3 2 2" xfId="57003" xr:uid="{00000000-0005-0000-0000-0000C4920000}"/>
    <cellStyle name="Normal 5 3 6 3 2 3" xfId="57004" xr:uid="{00000000-0005-0000-0000-0000C5920000}"/>
    <cellStyle name="Normal 5 3 6 3 3" xfId="26593" xr:uid="{00000000-0005-0000-0000-0000C6920000}"/>
    <cellStyle name="Normal 5 3 6 3 3 2" xfId="57005" xr:uid="{00000000-0005-0000-0000-0000C7920000}"/>
    <cellStyle name="Normal 5 3 6 3 4" xfId="26594" xr:uid="{00000000-0005-0000-0000-0000C8920000}"/>
    <cellStyle name="Normal 5 3 6 3 5" xfId="26595" xr:uid="{00000000-0005-0000-0000-0000C9920000}"/>
    <cellStyle name="Normal 5 3 6 3 6" xfId="26596" xr:uid="{00000000-0005-0000-0000-0000CA920000}"/>
    <cellStyle name="Normal 5 3 6 4" xfId="26597" xr:uid="{00000000-0005-0000-0000-0000CB920000}"/>
    <cellStyle name="Normal 5 3 6 4 2" xfId="57006" xr:uid="{00000000-0005-0000-0000-0000CC920000}"/>
    <cellStyle name="Normal 5 3 6 4 3" xfId="57007" xr:uid="{00000000-0005-0000-0000-0000CD920000}"/>
    <cellStyle name="Normal 5 3 6 5" xfId="26598" xr:uid="{00000000-0005-0000-0000-0000CE920000}"/>
    <cellStyle name="Normal 5 3 6 5 2" xfId="57008" xr:uid="{00000000-0005-0000-0000-0000CF920000}"/>
    <cellStyle name="Normal 5 3 6 6" xfId="26599" xr:uid="{00000000-0005-0000-0000-0000D0920000}"/>
    <cellStyle name="Normal 5 3 6 7" xfId="26600" xr:uid="{00000000-0005-0000-0000-0000D1920000}"/>
    <cellStyle name="Normal 5 3 6 8" xfId="26601" xr:uid="{00000000-0005-0000-0000-0000D2920000}"/>
    <cellStyle name="Normal 5 3 7" xfId="26602" xr:uid="{00000000-0005-0000-0000-0000D3920000}"/>
    <cellStyle name="Normal 5 3 7 2" xfId="26603" xr:uid="{00000000-0005-0000-0000-0000D4920000}"/>
    <cellStyle name="Normal 5 3 7 2 2" xfId="26604" xr:uid="{00000000-0005-0000-0000-0000D5920000}"/>
    <cellStyle name="Normal 5 3 7 2 2 2" xfId="26605" xr:uid="{00000000-0005-0000-0000-0000D6920000}"/>
    <cellStyle name="Normal 5 3 7 2 2 2 2" xfId="57009" xr:uid="{00000000-0005-0000-0000-0000D7920000}"/>
    <cellStyle name="Normal 5 3 7 2 2 2 3" xfId="57010" xr:uid="{00000000-0005-0000-0000-0000D8920000}"/>
    <cellStyle name="Normal 5 3 7 2 2 3" xfId="26606" xr:uid="{00000000-0005-0000-0000-0000D9920000}"/>
    <cellStyle name="Normal 5 3 7 2 2 3 2" xfId="57011" xr:uid="{00000000-0005-0000-0000-0000DA920000}"/>
    <cellStyle name="Normal 5 3 7 2 2 4" xfId="26607" xr:uid="{00000000-0005-0000-0000-0000DB920000}"/>
    <cellStyle name="Normal 5 3 7 2 2 5" xfId="26608" xr:uid="{00000000-0005-0000-0000-0000DC920000}"/>
    <cellStyle name="Normal 5 3 7 2 2 6" xfId="26609" xr:uid="{00000000-0005-0000-0000-0000DD920000}"/>
    <cellStyle name="Normal 5 3 7 2 3" xfId="26610" xr:uid="{00000000-0005-0000-0000-0000DE920000}"/>
    <cellStyle name="Normal 5 3 7 2 3 2" xfId="57012" xr:uid="{00000000-0005-0000-0000-0000DF920000}"/>
    <cellStyle name="Normal 5 3 7 2 3 3" xfId="57013" xr:uid="{00000000-0005-0000-0000-0000E0920000}"/>
    <cellStyle name="Normal 5 3 7 2 4" xfId="26611" xr:uid="{00000000-0005-0000-0000-0000E1920000}"/>
    <cellStyle name="Normal 5 3 7 2 4 2" xfId="57014" xr:uid="{00000000-0005-0000-0000-0000E2920000}"/>
    <cellStyle name="Normal 5 3 7 2 5" xfId="26612" xr:uid="{00000000-0005-0000-0000-0000E3920000}"/>
    <cellStyle name="Normal 5 3 7 2 6" xfId="26613" xr:uid="{00000000-0005-0000-0000-0000E4920000}"/>
    <cellStyle name="Normal 5 3 7 2 7" xfId="26614" xr:uid="{00000000-0005-0000-0000-0000E5920000}"/>
    <cellStyle name="Normal 5 3 7 3" xfId="26615" xr:uid="{00000000-0005-0000-0000-0000E6920000}"/>
    <cellStyle name="Normal 5 3 7 3 2" xfId="26616" xr:uid="{00000000-0005-0000-0000-0000E7920000}"/>
    <cellStyle name="Normal 5 3 7 3 2 2" xfId="57015" xr:uid="{00000000-0005-0000-0000-0000E8920000}"/>
    <cellStyle name="Normal 5 3 7 3 2 3" xfId="57016" xr:uid="{00000000-0005-0000-0000-0000E9920000}"/>
    <cellStyle name="Normal 5 3 7 3 3" xfId="26617" xr:uid="{00000000-0005-0000-0000-0000EA920000}"/>
    <cellStyle name="Normal 5 3 7 3 3 2" xfId="57017" xr:uid="{00000000-0005-0000-0000-0000EB920000}"/>
    <cellStyle name="Normal 5 3 7 3 4" xfId="26618" xr:uid="{00000000-0005-0000-0000-0000EC920000}"/>
    <cellStyle name="Normal 5 3 7 3 5" xfId="26619" xr:uid="{00000000-0005-0000-0000-0000ED920000}"/>
    <cellStyle name="Normal 5 3 7 3 6" xfId="26620" xr:uid="{00000000-0005-0000-0000-0000EE920000}"/>
    <cellStyle name="Normal 5 3 7 4" xfId="26621" xr:uid="{00000000-0005-0000-0000-0000EF920000}"/>
    <cellStyle name="Normal 5 3 7 4 2" xfId="57018" xr:uid="{00000000-0005-0000-0000-0000F0920000}"/>
    <cellStyle name="Normal 5 3 7 4 3" xfId="57019" xr:uid="{00000000-0005-0000-0000-0000F1920000}"/>
    <cellStyle name="Normal 5 3 7 5" xfId="26622" xr:uid="{00000000-0005-0000-0000-0000F2920000}"/>
    <cellStyle name="Normal 5 3 7 5 2" xfId="57020" xr:uid="{00000000-0005-0000-0000-0000F3920000}"/>
    <cellStyle name="Normal 5 3 7 6" xfId="26623" xr:uid="{00000000-0005-0000-0000-0000F4920000}"/>
    <cellStyle name="Normal 5 3 7 7" xfId="26624" xr:uid="{00000000-0005-0000-0000-0000F5920000}"/>
    <cellStyle name="Normal 5 3 7 8" xfId="26625" xr:uid="{00000000-0005-0000-0000-0000F6920000}"/>
    <cellStyle name="Normal 5 3 8" xfId="26626" xr:uid="{00000000-0005-0000-0000-0000F7920000}"/>
    <cellStyle name="Normal 5 3 8 2" xfId="26627" xr:uid="{00000000-0005-0000-0000-0000F8920000}"/>
    <cellStyle name="Normal 5 3 8 2 2" xfId="26628" xr:uid="{00000000-0005-0000-0000-0000F9920000}"/>
    <cellStyle name="Normal 5 3 8 2 2 2" xfId="57021" xr:uid="{00000000-0005-0000-0000-0000FA920000}"/>
    <cellStyle name="Normal 5 3 8 2 2 3" xfId="57022" xr:uid="{00000000-0005-0000-0000-0000FB920000}"/>
    <cellStyle name="Normal 5 3 8 2 3" xfId="26629" xr:uid="{00000000-0005-0000-0000-0000FC920000}"/>
    <cellStyle name="Normal 5 3 8 2 3 2" xfId="57023" xr:uid="{00000000-0005-0000-0000-0000FD920000}"/>
    <cellStyle name="Normal 5 3 8 2 4" xfId="26630" xr:uid="{00000000-0005-0000-0000-0000FE920000}"/>
    <cellStyle name="Normal 5 3 8 2 5" xfId="26631" xr:uid="{00000000-0005-0000-0000-0000FF920000}"/>
    <cellStyle name="Normal 5 3 8 2 6" xfId="26632" xr:uid="{00000000-0005-0000-0000-000000930000}"/>
    <cellStyle name="Normal 5 3 8 3" xfId="26633" xr:uid="{00000000-0005-0000-0000-000001930000}"/>
    <cellStyle name="Normal 5 3 8 3 2" xfId="57024" xr:uid="{00000000-0005-0000-0000-000002930000}"/>
    <cellStyle name="Normal 5 3 8 3 3" xfId="57025" xr:uid="{00000000-0005-0000-0000-000003930000}"/>
    <cellStyle name="Normal 5 3 8 4" xfId="26634" xr:uid="{00000000-0005-0000-0000-000004930000}"/>
    <cellStyle name="Normal 5 3 8 4 2" xfId="57026" xr:uid="{00000000-0005-0000-0000-000005930000}"/>
    <cellStyle name="Normal 5 3 8 5" xfId="26635" xr:uid="{00000000-0005-0000-0000-000006930000}"/>
    <cellStyle name="Normal 5 3 8 6" xfId="26636" xr:uid="{00000000-0005-0000-0000-000007930000}"/>
    <cellStyle name="Normal 5 3 8 7" xfId="26637" xr:uid="{00000000-0005-0000-0000-000008930000}"/>
    <cellStyle name="Normal 5 3 9" xfId="26638" xr:uid="{00000000-0005-0000-0000-000009930000}"/>
    <cellStyle name="Normal 5 3 9 2" xfId="26639" xr:uid="{00000000-0005-0000-0000-00000A930000}"/>
    <cellStyle name="Normal 5 3 9 2 2" xfId="57027" xr:uid="{00000000-0005-0000-0000-00000B930000}"/>
    <cellStyle name="Normal 5 3 9 2 3" xfId="57028" xr:uid="{00000000-0005-0000-0000-00000C930000}"/>
    <cellStyle name="Normal 5 3 9 3" xfId="26640" xr:uid="{00000000-0005-0000-0000-00000D930000}"/>
    <cellStyle name="Normal 5 3 9 3 2" xfId="57029" xr:uid="{00000000-0005-0000-0000-00000E930000}"/>
    <cellStyle name="Normal 5 3 9 4" xfId="26641" xr:uid="{00000000-0005-0000-0000-00000F930000}"/>
    <cellStyle name="Normal 5 3 9 5" xfId="26642" xr:uid="{00000000-0005-0000-0000-000010930000}"/>
    <cellStyle name="Normal 5 3 9 6" xfId="26643" xr:uid="{00000000-0005-0000-0000-000011930000}"/>
    <cellStyle name="Normal 5 4" xfId="26644" xr:uid="{00000000-0005-0000-0000-000012930000}"/>
    <cellStyle name="Normal 5 4 10" xfId="26645" xr:uid="{00000000-0005-0000-0000-000013930000}"/>
    <cellStyle name="Normal 5 4 11" xfId="26646" xr:uid="{00000000-0005-0000-0000-000014930000}"/>
    <cellStyle name="Normal 5 4 12" xfId="26647" xr:uid="{00000000-0005-0000-0000-000015930000}"/>
    <cellStyle name="Normal 5 4 13" xfId="26648" xr:uid="{00000000-0005-0000-0000-000016930000}"/>
    <cellStyle name="Normal 5 4 14" xfId="26649" xr:uid="{00000000-0005-0000-0000-000017930000}"/>
    <cellStyle name="Normal 5 4 15" xfId="26650" xr:uid="{00000000-0005-0000-0000-000018930000}"/>
    <cellStyle name="Normal 5 4 16" xfId="26651" xr:uid="{00000000-0005-0000-0000-000019930000}"/>
    <cellStyle name="Normal 5 4 17" xfId="26652" xr:uid="{00000000-0005-0000-0000-00001A930000}"/>
    <cellStyle name="Normal 5 4 2" xfId="26653" xr:uid="{00000000-0005-0000-0000-00001B930000}"/>
    <cellStyle name="Normal 5 4 2 10" xfId="26654" xr:uid="{00000000-0005-0000-0000-00001C930000}"/>
    <cellStyle name="Normal 5 4 2 11" xfId="26655" xr:uid="{00000000-0005-0000-0000-00001D930000}"/>
    <cellStyle name="Normal 5 4 2 12" xfId="26656" xr:uid="{00000000-0005-0000-0000-00001E930000}"/>
    <cellStyle name="Normal 5 4 2 13" xfId="26657" xr:uid="{00000000-0005-0000-0000-00001F930000}"/>
    <cellStyle name="Normal 5 4 2 14" xfId="26658" xr:uid="{00000000-0005-0000-0000-000020930000}"/>
    <cellStyle name="Normal 5 4 2 2" xfId="26659" xr:uid="{00000000-0005-0000-0000-000021930000}"/>
    <cellStyle name="Normal 5 4 2 2 2" xfId="26660" xr:uid="{00000000-0005-0000-0000-000022930000}"/>
    <cellStyle name="Normal 5 4 2 2 2 2" xfId="26661" xr:uid="{00000000-0005-0000-0000-000023930000}"/>
    <cellStyle name="Normal 5 4 2 2 2 2 2" xfId="26662" xr:uid="{00000000-0005-0000-0000-000024930000}"/>
    <cellStyle name="Normal 5 4 2 2 2 2 2 2" xfId="57030" xr:uid="{00000000-0005-0000-0000-000025930000}"/>
    <cellStyle name="Normal 5 4 2 2 2 2 2 3" xfId="57031" xr:uid="{00000000-0005-0000-0000-000026930000}"/>
    <cellStyle name="Normal 5 4 2 2 2 2 3" xfId="26663" xr:uid="{00000000-0005-0000-0000-000027930000}"/>
    <cellStyle name="Normal 5 4 2 2 2 2 3 2" xfId="57032" xr:uid="{00000000-0005-0000-0000-000028930000}"/>
    <cellStyle name="Normal 5 4 2 2 2 2 4" xfId="26664" xr:uid="{00000000-0005-0000-0000-000029930000}"/>
    <cellStyle name="Normal 5 4 2 2 2 2 5" xfId="26665" xr:uid="{00000000-0005-0000-0000-00002A930000}"/>
    <cellStyle name="Normal 5 4 2 2 2 2 6" xfId="26666" xr:uid="{00000000-0005-0000-0000-00002B930000}"/>
    <cellStyle name="Normal 5 4 2 2 2 3" xfId="26667" xr:uid="{00000000-0005-0000-0000-00002C930000}"/>
    <cellStyle name="Normal 5 4 2 2 2 3 2" xfId="57033" xr:uid="{00000000-0005-0000-0000-00002D930000}"/>
    <cellStyle name="Normal 5 4 2 2 2 3 3" xfId="57034" xr:uid="{00000000-0005-0000-0000-00002E930000}"/>
    <cellStyle name="Normal 5 4 2 2 2 4" xfId="26668" xr:uid="{00000000-0005-0000-0000-00002F930000}"/>
    <cellStyle name="Normal 5 4 2 2 2 4 2" xfId="57035" xr:uid="{00000000-0005-0000-0000-000030930000}"/>
    <cellStyle name="Normal 5 4 2 2 2 5" xfId="26669" xr:uid="{00000000-0005-0000-0000-000031930000}"/>
    <cellStyle name="Normal 5 4 2 2 2 6" xfId="26670" xr:uid="{00000000-0005-0000-0000-000032930000}"/>
    <cellStyle name="Normal 5 4 2 2 2 7" xfId="26671" xr:uid="{00000000-0005-0000-0000-000033930000}"/>
    <cellStyle name="Normal 5 4 2 2 3" xfId="26672" xr:uid="{00000000-0005-0000-0000-000034930000}"/>
    <cellStyle name="Normal 5 4 2 2 3 2" xfId="26673" xr:uid="{00000000-0005-0000-0000-000035930000}"/>
    <cellStyle name="Normal 5 4 2 2 3 2 2" xfId="57036" xr:uid="{00000000-0005-0000-0000-000036930000}"/>
    <cellStyle name="Normal 5 4 2 2 3 2 3" xfId="57037" xr:uid="{00000000-0005-0000-0000-000037930000}"/>
    <cellStyle name="Normal 5 4 2 2 3 3" xfId="26674" xr:uid="{00000000-0005-0000-0000-000038930000}"/>
    <cellStyle name="Normal 5 4 2 2 3 3 2" xfId="57038" xr:uid="{00000000-0005-0000-0000-000039930000}"/>
    <cellStyle name="Normal 5 4 2 2 3 4" xfId="26675" xr:uid="{00000000-0005-0000-0000-00003A930000}"/>
    <cellStyle name="Normal 5 4 2 2 3 5" xfId="26676" xr:uid="{00000000-0005-0000-0000-00003B930000}"/>
    <cellStyle name="Normal 5 4 2 2 3 6" xfId="26677" xr:uid="{00000000-0005-0000-0000-00003C930000}"/>
    <cellStyle name="Normal 5 4 2 2 4" xfId="26678" xr:uid="{00000000-0005-0000-0000-00003D930000}"/>
    <cellStyle name="Normal 5 4 2 2 4 2" xfId="57039" xr:uid="{00000000-0005-0000-0000-00003E930000}"/>
    <cellStyle name="Normal 5 4 2 2 4 3" xfId="57040" xr:uid="{00000000-0005-0000-0000-00003F930000}"/>
    <cellStyle name="Normal 5 4 2 2 5" xfId="26679" xr:uid="{00000000-0005-0000-0000-000040930000}"/>
    <cellStyle name="Normal 5 4 2 2 5 2" xfId="57041" xr:uid="{00000000-0005-0000-0000-000041930000}"/>
    <cellStyle name="Normal 5 4 2 2 6" xfId="26680" xr:uid="{00000000-0005-0000-0000-000042930000}"/>
    <cellStyle name="Normal 5 4 2 2 7" xfId="26681" xr:uid="{00000000-0005-0000-0000-000043930000}"/>
    <cellStyle name="Normal 5 4 2 2 8" xfId="26682" xr:uid="{00000000-0005-0000-0000-000044930000}"/>
    <cellStyle name="Normal 5 4 2 2 9" xfId="26683" xr:uid="{00000000-0005-0000-0000-000045930000}"/>
    <cellStyle name="Normal 5 4 2 3" xfId="26684" xr:uid="{00000000-0005-0000-0000-000046930000}"/>
    <cellStyle name="Normal 5 4 2 3 2" xfId="26685" xr:uid="{00000000-0005-0000-0000-000047930000}"/>
    <cellStyle name="Normal 5 4 2 3 2 2" xfId="26686" xr:uid="{00000000-0005-0000-0000-000048930000}"/>
    <cellStyle name="Normal 5 4 2 3 2 2 2" xfId="26687" xr:uid="{00000000-0005-0000-0000-000049930000}"/>
    <cellStyle name="Normal 5 4 2 3 2 2 2 2" xfId="57042" xr:uid="{00000000-0005-0000-0000-00004A930000}"/>
    <cellStyle name="Normal 5 4 2 3 2 2 2 3" xfId="57043" xr:uid="{00000000-0005-0000-0000-00004B930000}"/>
    <cellStyle name="Normal 5 4 2 3 2 2 3" xfId="26688" xr:uid="{00000000-0005-0000-0000-00004C930000}"/>
    <cellStyle name="Normal 5 4 2 3 2 2 3 2" xfId="57044" xr:uid="{00000000-0005-0000-0000-00004D930000}"/>
    <cellStyle name="Normal 5 4 2 3 2 2 4" xfId="26689" xr:uid="{00000000-0005-0000-0000-00004E930000}"/>
    <cellStyle name="Normal 5 4 2 3 2 2 5" xfId="26690" xr:uid="{00000000-0005-0000-0000-00004F930000}"/>
    <cellStyle name="Normal 5 4 2 3 2 2 6" xfId="26691" xr:uid="{00000000-0005-0000-0000-000050930000}"/>
    <cellStyle name="Normal 5 4 2 3 2 3" xfId="26692" xr:uid="{00000000-0005-0000-0000-000051930000}"/>
    <cellStyle name="Normal 5 4 2 3 2 3 2" xfId="57045" xr:uid="{00000000-0005-0000-0000-000052930000}"/>
    <cellStyle name="Normal 5 4 2 3 2 3 3" xfId="57046" xr:uid="{00000000-0005-0000-0000-000053930000}"/>
    <cellStyle name="Normal 5 4 2 3 2 4" xfId="26693" xr:uid="{00000000-0005-0000-0000-000054930000}"/>
    <cellStyle name="Normal 5 4 2 3 2 4 2" xfId="57047" xr:uid="{00000000-0005-0000-0000-000055930000}"/>
    <cellStyle name="Normal 5 4 2 3 2 5" xfId="26694" xr:uid="{00000000-0005-0000-0000-000056930000}"/>
    <cellStyle name="Normal 5 4 2 3 2 6" xfId="26695" xr:uid="{00000000-0005-0000-0000-000057930000}"/>
    <cellStyle name="Normal 5 4 2 3 2 7" xfId="26696" xr:uid="{00000000-0005-0000-0000-000058930000}"/>
    <cellStyle name="Normal 5 4 2 3 3" xfId="26697" xr:uid="{00000000-0005-0000-0000-000059930000}"/>
    <cellStyle name="Normal 5 4 2 3 3 2" xfId="26698" xr:uid="{00000000-0005-0000-0000-00005A930000}"/>
    <cellStyle name="Normal 5 4 2 3 3 2 2" xfId="57048" xr:uid="{00000000-0005-0000-0000-00005B930000}"/>
    <cellStyle name="Normal 5 4 2 3 3 2 3" xfId="57049" xr:uid="{00000000-0005-0000-0000-00005C930000}"/>
    <cellStyle name="Normal 5 4 2 3 3 3" xfId="26699" xr:uid="{00000000-0005-0000-0000-00005D930000}"/>
    <cellStyle name="Normal 5 4 2 3 3 3 2" xfId="57050" xr:uid="{00000000-0005-0000-0000-00005E930000}"/>
    <cellStyle name="Normal 5 4 2 3 3 4" xfId="26700" xr:uid="{00000000-0005-0000-0000-00005F930000}"/>
    <cellStyle name="Normal 5 4 2 3 3 5" xfId="26701" xr:uid="{00000000-0005-0000-0000-000060930000}"/>
    <cellStyle name="Normal 5 4 2 3 3 6" xfId="26702" xr:uid="{00000000-0005-0000-0000-000061930000}"/>
    <cellStyle name="Normal 5 4 2 3 4" xfId="26703" xr:uid="{00000000-0005-0000-0000-000062930000}"/>
    <cellStyle name="Normal 5 4 2 3 4 2" xfId="57051" xr:uid="{00000000-0005-0000-0000-000063930000}"/>
    <cellStyle name="Normal 5 4 2 3 4 3" xfId="57052" xr:uid="{00000000-0005-0000-0000-000064930000}"/>
    <cellStyle name="Normal 5 4 2 3 5" xfId="26704" xr:uid="{00000000-0005-0000-0000-000065930000}"/>
    <cellStyle name="Normal 5 4 2 3 5 2" xfId="57053" xr:uid="{00000000-0005-0000-0000-000066930000}"/>
    <cellStyle name="Normal 5 4 2 3 6" xfId="26705" xr:uid="{00000000-0005-0000-0000-000067930000}"/>
    <cellStyle name="Normal 5 4 2 3 7" xfId="26706" xr:uid="{00000000-0005-0000-0000-000068930000}"/>
    <cellStyle name="Normal 5 4 2 3 8" xfId="26707" xr:uid="{00000000-0005-0000-0000-000069930000}"/>
    <cellStyle name="Normal 5 4 2 4" xfId="26708" xr:uid="{00000000-0005-0000-0000-00006A930000}"/>
    <cellStyle name="Normal 5 4 2 4 2" xfId="26709" xr:uid="{00000000-0005-0000-0000-00006B930000}"/>
    <cellStyle name="Normal 5 4 2 4 2 2" xfId="26710" xr:uid="{00000000-0005-0000-0000-00006C930000}"/>
    <cellStyle name="Normal 5 4 2 4 2 2 2" xfId="57054" xr:uid="{00000000-0005-0000-0000-00006D930000}"/>
    <cellStyle name="Normal 5 4 2 4 2 2 3" xfId="57055" xr:uid="{00000000-0005-0000-0000-00006E930000}"/>
    <cellStyle name="Normal 5 4 2 4 2 3" xfId="26711" xr:uid="{00000000-0005-0000-0000-00006F930000}"/>
    <cellStyle name="Normal 5 4 2 4 2 3 2" xfId="57056" xr:uid="{00000000-0005-0000-0000-000070930000}"/>
    <cellStyle name="Normal 5 4 2 4 2 4" xfId="26712" xr:uid="{00000000-0005-0000-0000-000071930000}"/>
    <cellStyle name="Normal 5 4 2 4 2 5" xfId="26713" xr:uid="{00000000-0005-0000-0000-000072930000}"/>
    <cellStyle name="Normal 5 4 2 4 2 6" xfId="26714" xr:uid="{00000000-0005-0000-0000-000073930000}"/>
    <cellStyle name="Normal 5 4 2 4 3" xfId="26715" xr:uid="{00000000-0005-0000-0000-000074930000}"/>
    <cellStyle name="Normal 5 4 2 4 3 2" xfId="57057" xr:uid="{00000000-0005-0000-0000-000075930000}"/>
    <cellStyle name="Normal 5 4 2 4 3 3" xfId="57058" xr:uid="{00000000-0005-0000-0000-000076930000}"/>
    <cellStyle name="Normal 5 4 2 4 4" xfId="26716" xr:uid="{00000000-0005-0000-0000-000077930000}"/>
    <cellStyle name="Normal 5 4 2 4 4 2" xfId="57059" xr:uid="{00000000-0005-0000-0000-000078930000}"/>
    <cellStyle name="Normal 5 4 2 4 5" xfId="26717" xr:uid="{00000000-0005-0000-0000-000079930000}"/>
    <cellStyle name="Normal 5 4 2 4 6" xfId="26718" xr:uid="{00000000-0005-0000-0000-00007A930000}"/>
    <cellStyle name="Normal 5 4 2 4 7" xfId="26719" xr:uid="{00000000-0005-0000-0000-00007B930000}"/>
    <cellStyle name="Normal 5 4 2 5" xfId="26720" xr:uid="{00000000-0005-0000-0000-00007C930000}"/>
    <cellStyle name="Normal 5 4 2 5 2" xfId="26721" xr:uid="{00000000-0005-0000-0000-00007D930000}"/>
    <cellStyle name="Normal 5 4 2 5 2 2" xfId="57060" xr:uid="{00000000-0005-0000-0000-00007E930000}"/>
    <cellStyle name="Normal 5 4 2 5 2 3" xfId="57061" xr:uid="{00000000-0005-0000-0000-00007F930000}"/>
    <cellStyle name="Normal 5 4 2 5 3" xfId="26722" xr:uid="{00000000-0005-0000-0000-000080930000}"/>
    <cellStyle name="Normal 5 4 2 5 3 2" xfId="57062" xr:uid="{00000000-0005-0000-0000-000081930000}"/>
    <cellStyle name="Normal 5 4 2 5 4" xfId="26723" xr:uid="{00000000-0005-0000-0000-000082930000}"/>
    <cellStyle name="Normal 5 4 2 5 5" xfId="26724" xr:uid="{00000000-0005-0000-0000-000083930000}"/>
    <cellStyle name="Normal 5 4 2 5 6" xfId="26725" xr:uid="{00000000-0005-0000-0000-000084930000}"/>
    <cellStyle name="Normal 5 4 2 6" xfId="26726" xr:uid="{00000000-0005-0000-0000-000085930000}"/>
    <cellStyle name="Normal 5 4 2 6 2" xfId="57063" xr:uid="{00000000-0005-0000-0000-000086930000}"/>
    <cellStyle name="Normal 5 4 2 6 3" xfId="57064" xr:uid="{00000000-0005-0000-0000-000087930000}"/>
    <cellStyle name="Normal 5 4 2 7" xfId="26727" xr:uid="{00000000-0005-0000-0000-000088930000}"/>
    <cellStyle name="Normal 5 4 2 7 2" xfId="57065" xr:uid="{00000000-0005-0000-0000-000089930000}"/>
    <cellStyle name="Normal 5 4 2 8" xfId="26728" xr:uid="{00000000-0005-0000-0000-00008A930000}"/>
    <cellStyle name="Normal 5 4 2 9" xfId="26729" xr:uid="{00000000-0005-0000-0000-00008B930000}"/>
    <cellStyle name="Normal 5 4 3" xfId="26730" xr:uid="{00000000-0005-0000-0000-00008C930000}"/>
    <cellStyle name="Normal 5 4 3 2" xfId="26731" xr:uid="{00000000-0005-0000-0000-00008D930000}"/>
    <cellStyle name="Normal 5 4 3 2 2" xfId="26732" xr:uid="{00000000-0005-0000-0000-00008E930000}"/>
    <cellStyle name="Normal 5 4 3 2 2 2" xfId="26733" xr:uid="{00000000-0005-0000-0000-00008F930000}"/>
    <cellStyle name="Normal 5 4 3 2 2 2 2" xfId="57066" xr:uid="{00000000-0005-0000-0000-000090930000}"/>
    <cellStyle name="Normal 5 4 3 2 2 2 3" xfId="57067" xr:uid="{00000000-0005-0000-0000-000091930000}"/>
    <cellStyle name="Normal 5 4 3 2 2 3" xfId="26734" xr:uid="{00000000-0005-0000-0000-000092930000}"/>
    <cellStyle name="Normal 5 4 3 2 2 3 2" xfId="57068" xr:uid="{00000000-0005-0000-0000-000093930000}"/>
    <cellStyle name="Normal 5 4 3 2 2 4" xfId="26735" xr:uid="{00000000-0005-0000-0000-000094930000}"/>
    <cellStyle name="Normal 5 4 3 2 2 5" xfId="26736" xr:uid="{00000000-0005-0000-0000-000095930000}"/>
    <cellStyle name="Normal 5 4 3 2 2 6" xfId="26737" xr:uid="{00000000-0005-0000-0000-000096930000}"/>
    <cellStyle name="Normal 5 4 3 2 3" xfId="26738" xr:uid="{00000000-0005-0000-0000-000097930000}"/>
    <cellStyle name="Normal 5 4 3 2 3 2" xfId="57069" xr:uid="{00000000-0005-0000-0000-000098930000}"/>
    <cellStyle name="Normal 5 4 3 2 3 3" xfId="57070" xr:uid="{00000000-0005-0000-0000-000099930000}"/>
    <cellStyle name="Normal 5 4 3 2 4" xfId="26739" xr:uid="{00000000-0005-0000-0000-00009A930000}"/>
    <cellStyle name="Normal 5 4 3 2 4 2" xfId="57071" xr:uid="{00000000-0005-0000-0000-00009B930000}"/>
    <cellStyle name="Normal 5 4 3 2 5" xfId="26740" xr:uid="{00000000-0005-0000-0000-00009C930000}"/>
    <cellStyle name="Normal 5 4 3 2 6" xfId="26741" xr:uid="{00000000-0005-0000-0000-00009D930000}"/>
    <cellStyle name="Normal 5 4 3 2 7" xfId="26742" xr:uid="{00000000-0005-0000-0000-00009E930000}"/>
    <cellStyle name="Normal 5 4 3 3" xfId="26743" xr:uid="{00000000-0005-0000-0000-00009F930000}"/>
    <cellStyle name="Normal 5 4 3 3 2" xfId="26744" xr:uid="{00000000-0005-0000-0000-0000A0930000}"/>
    <cellStyle name="Normal 5 4 3 3 2 2" xfId="57072" xr:uid="{00000000-0005-0000-0000-0000A1930000}"/>
    <cellStyle name="Normal 5 4 3 3 2 3" xfId="57073" xr:uid="{00000000-0005-0000-0000-0000A2930000}"/>
    <cellStyle name="Normal 5 4 3 3 3" xfId="26745" xr:uid="{00000000-0005-0000-0000-0000A3930000}"/>
    <cellStyle name="Normal 5 4 3 3 3 2" xfId="57074" xr:uid="{00000000-0005-0000-0000-0000A4930000}"/>
    <cellStyle name="Normal 5 4 3 3 4" xfId="26746" xr:uid="{00000000-0005-0000-0000-0000A5930000}"/>
    <cellStyle name="Normal 5 4 3 3 5" xfId="26747" xr:uid="{00000000-0005-0000-0000-0000A6930000}"/>
    <cellStyle name="Normal 5 4 3 3 6" xfId="26748" xr:uid="{00000000-0005-0000-0000-0000A7930000}"/>
    <cellStyle name="Normal 5 4 3 4" xfId="26749" xr:uid="{00000000-0005-0000-0000-0000A8930000}"/>
    <cellStyle name="Normal 5 4 3 4 2" xfId="57075" xr:uid="{00000000-0005-0000-0000-0000A9930000}"/>
    <cellStyle name="Normal 5 4 3 4 3" xfId="57076" xr:uid="{00000000-0005-0000-0000-0000AA930000}"/>
    <cellStyle name="Normal 5 4 3 5" xfId="26750" xr:uid="{00000000-0005-0000-0000-0000AB930000}"/>
    <cellStyle name="Normal 5 4 3 5 2" xfId="57077" xr:uid="{00000000-0005-0000-0000-0000AC930000}"/>
    <cellStyle name="Normal 5 4 3 6" xfId="26751" xr:uid="{00000000-0005-0000-0000-0000AD930000}"/>
    <cellStyle name="Normal 5 4 3 7" xfId="26752" xr:uid="{00000000-0005-0000-0000-0000AE930000}"/>
    <cellStyle name="Normal 5 4 3 8" xfId="26753" xr:uid="{00000000-0005-0000-0000-0000AF930000}"/>
    <cellStyle name="Normal 5 4 3 9" xfId="26754" xr:uid="{00000000-0005-0000-0000-0000B0930000}"/>
    <cellStyle name="Normal 5 4 4" xfId="26755" xr:uid="{00000000-0005-0000-0000-0000B1930000}"/>
    <cellStyle name="Normal 5 4 4 2" xfId="26756" xr:uid="{00000000-0005-0000-0000-0000B2930000}"/>
    <cellStyle name="Normal 5 4 4 2 2" xfId="26757" xr:uid="{00000000-0005-0000-0000-0000B3930000}"/>
    <cellStyle name="Normal 5 4 4 2 2 2" xfId="26758" xr:uid="{00000000-0005-0000-0000-0000B4930000}"/>
    <cellStyle name="Normal 5 4 4 2 2 2 2" xfId="57078" xr:uid="{00000000-0005-0000-0000-0000B5930000}"/>
    <cellStyle name="Normal 5 4 4 2 2 2 3" xfId="57079" xr:uid="{00000000-0005-0000-0000-0000B6930000}"/>
    <cellStyle name="Normal 5 4 4 2 2 3" xfId="26759" xr:uid="{00000000-0005-0000-0000-0000B7930000}"/>
    <cellStyle name="Normal 5 4 4 2 2 3 2" xfId="57080" xr:uid="{00000000-0005-0000-0000-0000B8930000}"/>
    <cellStyle name="Normal 5 4 4 2 2 4" xfId="26760" xr:uid="{00000000-0005-0000-0000-0000B9930000}"/>
    <cellStyle name="Normal 5 4 4 2 2 5" xfId="26761" xr:uid="{00000000-0005-0000-0000-0000BA930000}"/>
    <cellStyle name="Normal 5 4 4 2 2 6" xfId="26762" xr:uid="{00000000-0005-0000-0000-0000BB930000}"/>
    <cellStyle name="Normal 5 4 4 2 3" xfId="26763" xr:uid="{00000000-0005-0000-0000-0000BC930000}"/>
    <cellStyle name="Normal 5 4 4 2 3 2" xfId="57081" xr:uid="{00000000-0005-0000-0000-0000BD930000}"/>
    <cellStyle name="Normal 5 4 4 2 3 3" xfId="57082" xr:uid="{00000000-0005-0000-0000-0000BE930000}"/>
    <cellStyle name="Normal 5 4 4 2 4" xfId="26764" xr:uid="{00000000-0005-0000-0000-0000BF930000}"/>
    <cellStyle name="Normal 5 4 4 2 4 2" xfId="57083" xr:uid="{00000000-0005-0000-0000-0000C0930000}"/>
    <cellStyle name="Normal 5 4 4 2 5" xfId="26765" xr:uid="{00000000-0005-0000-0000-0000C1930000}"/>
    <cellStyle name="Normal 5 4 4 2 6" xfId="26766" xr:uid="{00000000-0005-0000-0000-0000C2930000}"/>
    <cellStyle name="Normal 5 4 4 2 7" xfId="26767" xr:uid="{00000000-0005-0000-0000-0000C3930000}"/>
    <cellStyle name="Normal 5 4 4 3" xfId="26768" xr:uid="{00000000-0005-0000-0000-0000C4930000}"/>
    <cellStyle name="Normal 5 4 4 3 2" xfId="26769" xr:uid="{00000000-0005-0000-0000-0000C5930000}"/>
    <cellStyle name="Normal 5 4 4 3 2 2" xfId="57084" xr:uid="{00000000-0005-0000-0000-0000C6930000}"/>
    <cellStyle name="Normal 5 4 4 3 2 3" xfId="57085" xr:uid="{00000000-0005-0000-0000-0000C7930000}"/>
    <cellStyle name="Normal 5 4 4 3 3" xfId="26770" xr:uid="{00000000-0005-0000-0000-0000C8930000}"/>
    <cellStyle name="Normal 5 4 4 3 3 2" xfId="57086" xr:uid="{00000000-0005-0000-0000-0000C9930000}"/>
    <cellStyle name="Normal 5 4 4 3 4" xfId="26771" xr:uid="{00000000-0005-0000-0000-0000CA930000}"/>
    <cellStyle name="Normal 5 4 4 3 5" xfId="26772" xr:uid="{00000000-0005-0000-0000-0000CB930000}"/>
    <cellStyle name="Normal 5 4 4 3 6" xfId="26773" xr:uid="{00000000-0005-0000-0000-0000CC930000}"/>
    <cellStyle name="Normal 5 4 4 4" xfId="26774" xr:uid="{00000000-0005-0000-0000-0000CD930000}"/>
    <cellStyle name="Normal 5 4 4 4 2" xfId="57087" xr:uid="{00000000-0005-0000-0000-0000CE930000}"/>
    <cellStyle name="Normal 5 4 4 4 3" xfId="57088" xr:uid="{00000000-0005-0000-0000-0000CF930000}"/>
    <cellStyle name="Normal 5 4 4 5" xfId="26775" xr:uid="{00000000-0005-0000-0000-0000D0930000}"/>
    <cellStyle name="Normal 5 4 4 5 2" xfId="57089" xr:uid="{00000000-0005-0000-0000-0000D1930000}"/>
    <cellStyle name="Normal 5 4 4 6" xfId="26776" xr:uid="{00000000-0005-0000-0000-0000D2930000}"/>
    <cellStyle name="Normal 5 4 4 7" xfId="26777" xr:uid="{00000000-0005-0000-0000-0000D3930000}"/>
    <cellStyle name="Normal 5 4 4 8" xfId="26778" xr:uid="{00000000-0005-0000-0000-0000D4930000}"/>
    <cellStyle name="Normal 5 4 5" xfId="26779" xr:uid="{00000000-0005-0000-0000-0000D5930000}"/>
    <cellStyle name="Normal 5 4 5 2" xfId="26780" xr:uid="{00000000-0005-0000-0000-0000D6930000}"/>
    <cellStyle name="Normal 5 4 5 2 2" xfId="26781" xr:uid="{00000000-0005-0000-0000-0000D7930000}"/>
    <cellStyle name="Normal 5 4 5 2 2 2" xfId="57090" xr:uid="{00000000-0005-0000-0000-0000D8930000}"/>
    <cellStyle name="Normal 5 4 5 2 2 3" xfId="57091" xr:uid="{00000000-0005-0000-0000-0000D9930000}"/>
    <cellStyle name="Normal 5 4 5 2 3" xfId="26782" xr:uid="{00000000-0005-0000-0000-0000DA930000}"/>
    <cellStyle name="Normal 5 4 5 2 3 2" xfId="57092" xr:uid="{00000000-0005-0000-0000-0000DB930000}"/>
    <cellStyle name="Normal 5 4 5 2 4" xfId="26783" xr:uid="{00000000-0005-0000-0000-0000DC930000}"/>
    <cellStyle name="Normal 5 4 5 2 5" xfId="26784" xr:uid="{00000000-0005-0000-0000-0000DD930000}"/>
    <cellStyle name="Normal 5 4 5 2 6" xfId="26785" xr:uid="{00000000-0005-0000-0000-0000DE930000}"/>
    <cellStyle name="Normal 5 4 5 3" xfId="26786" xr:uid="{00000000-0005-0000-0000-0000DF930000}"/>
    <cellStyle name="Normal 5 4 5 3 2" xfId="57093" xr:uid="{00000000-0005-0000-0000-0000E0930000}"/>
    <cellStyle name="Normal 5 4 5 3 3" xfId="57094" xr:uid="{00000000-0005-0000-0000-0000E1930000}"/>
    <cellStyle name="Normal 5 4 5 4" xfId="26787" xr:uid="{00000000-0005-0000-0000-0000E2930000}"/>
    <cellStyle name="Normal 5 4 5 4 2" xfId="57095" xr:uid="{00000000-0005-0000-0000-0000E3930000}"/>
    <cellStyle name="Normal 5 4 5 5" xfId="26788" xr:uid="{00000000-0005-0000-0000-0000E4930000}"/>
    <cellStyle name="Normal 5 4 5 6" xfId="26789" xr:uid="{00000000-0005-0000-0000-0000E5930000}"/>
    <cellStyle name="Normal 5 4 5 7" xfId="26790" xr:uid="{00000000-0005-0000-0000-0000E6930000}"/>
    <cellStyle name="Normal 5 4 6" xfId="26791" xr:uid="{00000000-0005-0000-0000-0000E7930000}"/>
    <cellStyle name="Normal 5 4 6 2" xfId="26792" xr:uid="{00000000-0005-0000-0000-0000E8930000}"/>
    <cellStyle name="Normal 5 4 6 2 2" xfId="57096" xr:uid="{00000000-0005-0000-0000-0000E9930000}"/>
    <cellStyle name="Normal 5 4 6 2 3" xfId="57097" xr:uid="{00000000-0005-0000-0000-0000EA930000}"/>
    <cellStyle name="Normal 5 4 6 3" xfId="26793" xr:uid="{00000000-0005-0000-0000-0000EB930000}"/>
    <cellStyle name="Normal 5 4 6 3 2" xfId="57098" xr:uid="{00000000-0005-0000-0000-0000EC930000}"/>
    <cellStyle name="Normal 5 4 6 4" xfId="26794" xr:uid="{00000000-0005-0000-0000-0000ED930000}"/>
    <cellStyle name="Normal 5 4 6 5" xfId="26795" xr:uid="{00000000-0005-0000-0000-0000EE930000}"/>
    <cellStyle name="Normal 5 4 6 6" xfId="26796" xr:uid="{00000000-0005-0000-0000-0000EF930000}"/>
    <cellStyle name="Normal 5 4 6 7" xfId="26797" xr:uid="{00000000-0005-0000-0000-0000F0930000}"/>
    <cellStyle name="Normal 5 4 7" xfId="26798" xr:uid="{00000000-0005-0000-0000-0000F1930000}"/>
    <cellStyle name="Normal 5 4 7 2" xfId="57099" xr:uid="{00000000-0005-0000-0000-0000F2930000}"/>
    <cellStyle name="Normal 5 4 8" xfId="26799" xr:uid="{00000000-0005-0000-0000-0000F3930000}"/>
    <cellStyle name="Normal 5 4 9" xfId="26800" xr:uid="{00000000-0005-0000-0000-0000F4930000}"/>
    <cellStyle name="Normal 5 5" xfId="26801" xr:uid="{00000000-0005-0000-0000-0000F5930000}"/>
    <cellStyle name="Normal 5 5 10" xfId="26802" xr:uid="{00000000-0005-0000-0000-0000F6930000}"/>
    <cellStyle name="Normal 5 5 11" xfId="26803" xr:uid="{00000000-0005-0000-0000-0000F7930000}"/>
    <cellStyle name="Normal 5 5 12" xfId="26804" xr:uid="{00000000-0005-0000-0000-0000F8930000}"/>
    <cellStyle name="Normal 5 5 13" xfId="26805" xr:uid="{00000000-0005-0000-0000-0000F9930000}"/>
    <cellStyle name="Normal 5 5 14" xfId="26806" xr:uid="{00000000-0005-0000-0000-0000FA930000}"/>
    <cellStyle name="Normal 5 5 2" xfId="26807" xr:uid="{00000000-0005-0000-0000-0000FB930000}"/>
    <cellStyle name="Normal 5 5 2 2" xfId="26808" xr:uid="{00000000-0005-0000-0000-0000FC930000}"/>
    <cellStyle name="Normal 5 5 2 2 2" xfId="26809" xr:uid="{00000000-0005-0000-0000-0000FD930000}"/>
    <cellStyle name="Normal 5 5 2 2 2 2" xfId="26810" xr:uid="{00000000-0005-0000-0000-0000FE930000}"/>
    <cellStyle name="Normal 5 5 2 2 2 2 2" xfId="57100" xr:uid="{00000000-0005-0000-0000-0000FF930000}"/>
    <cellStyle name="Normal 5 5 2 2 2 2 3" xfId="57101" xr:uid="{00000000-0005-0000-0000-000000940000}"/>
    <cellStyle name="Normal 5 5 2 2 2 3" xfId="26811" xr:uid="{00000000-0005-0000-0000-000001940000}"/>
    <cellStyle name="Normal 5 5 2 2 2 3 2" xfId="57102" xr:uid="{00000000-0005-0000-0000-000002940000}"/>
    <cellStyle name="Normal 5 5 2 2 2 4" xfId="26812" xr:uid="{00000000-0005-0000-0000-000003940000}"/>
    <cellStyle name="Normal 5 5 2 2 2 5" xfId="26813" xr:uid="{00000000-0005-0000-0000-000004940000}"/>
    <cellStyle name="Normal 5 5 2 2 2 6" xfId="26814" xr:uid="{00000000-0005-0000-0000-000005940000}"/>
    <cellStyle name="Normal 5 5 2 2 3" xfId="26815" xr:uid="{00000000-0005-0000-0000-000006940000}"/>
    <cellStyle name="Normal 5 5 2 2 3 2" xfId="57103" xr:uid="{00000000-0005-0000-0000-000007940000}"/>
    <cellStyle name="Normal 5 5 2 2 3 3" xfId="57104" xr:uid="{00000000-0005-0000-0000-000008940000}"/>
    <cellStyle name="Normal 5 5 2 2 4" xfId="26816" xr:uid="{00000000-0005-0000-0000-000009940000}"/>
    <cellStyle name="Normal 5 5 2 2 4 2" xfId="57105" xr:uid="{00000000-0005-0000-0000-00000A940000}"/>
    <cellStyle name="Normal 5 5 2 2 5" xfId="26817" xr:uid="{00000000-0005-0000-0000-00000B940000}"/>
    <cellStyle name="Normal 5 5 2 2 6" xfId="26818" xr:uid="{00000000-0005-0000-0000-00000C940000}"/>
    <cellStyle name="Normal 5 5 2 2 7" xfId="26819" xr:uid="{00000000-0005-0000-0000-00000D940000}"/>
    <cellStyle name="Normal 5 5 2 3" xfId="26820" xr:uid="{00000000-0005-0000-0000-00000E940000}"/>
    <cellStyle name="Normal 5 5 2 3 2" xfId="26821" xr:uid="{00000000-0005-0000-0000-00000F940000}"/>
    <cellStyle name="Normal 5 5 2 3 2 2" xfId="57106" xr:uid="{00000000-0005-0000-0000-000010940000}"/>
    <cellStyle name="Normal 5 5 2 3 2 3" xfId="57107" xr:uid="{00000000-0005-0000-0000-000011940000}"/>
    <cellStyle name="Normal 5 5 2 3 3" xfId="26822" xr:uid="{00000000-0005-0000-0000-000012940000}"/>
    <cellStyle name="Normal 5 5 2 3 3 2" xfId="57108" xr:uid="{00000000-0005-0000-0000-000013940000}"/>
    <cellStyle name="Normal 5 5 2 3 4" xfId="26823" xr:uid="{00000000-0005-0000-0000-000014940000}"/>
    <cellStyle name="Normal 5 5 2 3 5" xfId="26824" xr:uid="{00000000-0005-0000-0000-000015940000}"/>
    <cellStyle name="Normal 5 5 2 3 6" xfId="26825" xr:uid="{00000000-0005-0000-0000-000016940000}"/>
    <cellStyle name="Normal 5 5 2 4" xfId="26826" xr:uid="{00000000-0005-0000-0000-000017940000}"/>
    <cellStyle name="Normal 5 5 2 4 2" xfId="57109" xr:uid="{00000000-0005-0000-0000-000018940000}"/>
    <cellStyle name="Normal 5 5 2 4 3" xfId="57110" xr:uid="{00000000-0005-0000-0000-000019940000}"/>
    <cellStyle name="Normal 5 5 2 5" xfId="26827" xr:uid="{00000000-0005-0000-0000-00001A940000}"/>
    <cellStyle name="Normal 5 5 2 5 2" xfId="57111" xr:uid="{00000000-0005-0000-0000-00001B940000}"/>
    <cellStyle name="Normal 5 5 2 6" xfId="26828" xr:uid="{00000000-0005-0000-0000-00001C940000}"/>
    <cellStyle name="Normal 5 5 2 6 2" xfId="57112" xr:uid="{00000000-0005-0000-0000-00001D940000}"/>
    <cellStyle name="Normal 5 5 2 7" xfId="26829" xr:uid="{00000000-0005-0000-0000-00001E940000}"/>
    <cellStyle name="Normal 5 5 2 8" xfId="26830" xr:uid="{00000000-0005-0000-0000-00001F940000}"/>
    <cellStyle name="Normal 5 5 2 9" xfId="26831" xr:uid="{00000000-0005-0000-0000-000020940000}"/>
    <cellStyle name="Normal 5 5 3" xfId="26832" xr:uid="{00000000-0005-0000-0000-000021940000}"/>
    <cellStyle name="Normal 5 5 3 2" xfId="26833" xr:uid="{00000000-0005-0000-0000-000022940000}"/>
    <cellStyle name="Normal 5 5 3 2 2" xfId="26834" xr:uid="{00000000-0005-0000-0000-000023940000}"/>
    <cellStyle name="Normal 5 5 3 2 2 2" xfId="26835" xr:uid="{00000000-0005-0000-0000-000024940000}"/>
    <cellStyle name="Normal 5 5 3 2 2 2 2" xfId="57113" xr:uid="{00000000-0005-0000-0000-000025940000}"/>
    <cellStyle name="Normal 5 5 3 2 2 2 3" xfId="57114" xr:uid="{00000000-0005-0000-0000-000026940000}"/>
    <cellStyle name="Normal 5 5 3 2 2 3" xfId="26836" xr:uid="{00000000-0005-0000-0000-000027940000}"/>
    <cellStyle name="Normal 5 5 3 2 2 3 2" xfId="57115" xr:uid="{00000000-0005-0000-0000-000028940000}"/>
    <cellStyle name="Normal 5 5 3 2 2 4" xfId="26837" xr:uid="{00000000-0005-0000-0000-000029940000}"/>
    <cellStyle name="Normal 5 5 3 2 2 5" xfId="26838" xr:uid="{00000000-0005-0000-0000-00002A940000}"/>
    <cellStyle name="Normal 5 5 3 2 2 6" xfId="26839" xr:uid="{00000000-0005-0000-0000-00002B940000}"/>
    <cellStyle name="Normal 5 5 3 2 3" xfId="26840" xr:uid="{00000000-0005-0000-0000-00002C940000}"/>
    <cellStyle name="Normal 5 5 3 2 3 2" xfId="57116" xr:uid="{00000000-0005-0000-0000-00002D940000}"/>
    <cellStyle name="Normal 5 5 3 2 3 3" xfId="57117" xr:uid="{00000000-0005-0000-0000-00002E940000}"/>
    <cellStyle name="Normal 5 5 3 2 4" xfId="26841" xr:uid="{00000000-0005-0000-0000-00002F940000}"/>
    <cellStyle name="Normal 5 5 3 2 4 2" xfId="57118" xr:uid="{00000000-0005-0000-0000-000030940000}"/>
    <cellStyle name="Normal 5 5 3 2 5" xfId="26842" xr:uid="{00000000-0005-0000-0000-000031940000}"/>
    <cellStyle name="Normal 5 5 3 2 6" xfId="26843" xr:uid="{00000000-0005-0000-0000-000032940000}"/>
    <cellStyle name="Normal 5 5 3 2 7" xfId="26844" xr:uid="{00000000-0005-0000-0000-000033940000}"/>
    <cellStyle name="Normal 5 5 3 3" xfId="26845" xr:uid="{00000000-0005-0000-0000-000034940000}"/>
    <cellStyle name="Normal 5 5 3 3 2" xfId="26846" xr:uid="{00000000-0005-0000-0000-000035940000}"/>
    <cellStyle name="Normal 5 5 3 3 2 2" xfId="57119" xr:uid="{00000000-0005-0000-0000-000036940000}"/>
    <cellStyle name="Normal 5 5 3 3 2 3" xfId="57120" xr:uid="{00000000-0005-0000-0000-000037940000}"/>
    <cellStyle name="Normal 5 5 3 3 3" xfId="26847" xr:uid="{00000000-0005-0000-0000-000038940000}"/>
    <cellStyle name="Normal 5 5 3 3 3 2" xfId="57121" xr:uid="{00000000-0005-0000-0000-000039940000}"/>
    <cellStyle name="Normal 5 5 3 3 4" xfId="26848" xr:uid="{00000000-0005-0000-0000-00003A940000}"/>
    <cellStyle name="Normal 5 5 3 3 5" xfId="26849" xr:uid="{00000000-0005-0000-0000-00003B940000}"/>
    <cellStyle name="Normal 5 5 3 3 6" xfId="26850" xr:uid="{00000000-0005-0000-0000-00003C940000}"/>
    <cellStyle name="Normal 5 5 3 4" xfId="26851" xr:uid="{00000000-0005-0000-0000-00003D940000}"/>
    <cellStyle name="Normal 5 5 3 4 2" xfId="57122" xr:uid="{00000000-0005-0000-0000-00003E940000}"/>
    <cellStyle name="Normal 5 5 3 4 3" xfId="57123" xr:uid="{00000000-0005-0000-0000-00003F940000}"/>
    <cellStyle name="Normal 5 5 3 5" xfId="26852" xr:uid="{00000000-0005-0000-0000-000040940000}"/>
    <cellStyle name="Normal 5 5 3 5 2" xfId="57124" xr:uid="{00000000-0005-0000-0000-000041940000}"/>
    <cellStyle name="Normal 5 5 3 6" xfId="26853" xr:uid="{00000000-0005-0000-0000-000042940000}"/>
    <cellStyle name="Normal 5 5 3 7" xfId="26854" xr:uid="{00000000-0005-0000-0000-000043940000}"/>
    <cellStyle name="Normal 5 5 3 8" xfId="26855" xr:uid="{00000000-0005-0000-0000-000044940000}"/>
    <cellStyle name="Normal 5 5 4" xfId="26856" xr:uid="{00000000-0005-0000-0000-000045940000}"/>
    <cellStyle name="Normal 5 5 4 2" xfId="26857" xr:uid="{00000000-0005-0000-0000-000046940000}"/>
    <cellStyle name="Normal 5 5 4 2 2" xfId="26858" xr:uid="{00000000-0005-0000-0000-000047940000}"/>
    <cellStyle name="Normal 5 5 4 2 2 2" xfId="57125" xr:uid="{00000000-0005-0000-0000-000048940000}"/>
    <cellStyle name="Normal 5 5 4 2 2 3" xfId="57126" xr:uid="{00000000-0005-0000-0000-000049940000}"/>
    <cellStyle name="Normal 5 5 4 2 3" xfId="26859" xr:uid="{00000000-0005-0000-0000-00004A940000}"/>
    <cellStyle name="Normal 5 5 4 2 3 2" xfId="57127" xr:uid="{00000000-0005-0000-0000-00004B940000}"/>
    <cellStyle name="Normal 5 5 4 2 4" xfId="26860" xr:uid="{00000000-0005-0000-0000-00004C940000}"/>
    <cellStyle name="Normal 5 5 4 2 5" xfId="26861" xr:uid="{00000000-0005-0000-0000-00004D940000}"/>
    <cellStyle name="Normal 5 5 4 2 6" xfId="26862" xr:uid="{00000000-0005-0000-0000-00004E940000}"/>
    <cellStyle name="Normal 5 5 4 3" xfId="26863" xr:uid="{00000000-0005-0000-0000-00004F940000}"/>
    <cellStyle name="Normal 5 5 4 3 2" xfId="57128" xr:uid="{00000000-0005-0000-0000-000050940000}"/>
    <cellStyle name="Normal 5 5 4 3 3" xfId="57129" xr:uid="{00000000-0005-0000-0000-000051940000}"/>
    <cellStyle name="Normal 5 5 4 4" xfId="26864" xr:uid="{00000000-0005-0000-0000-000052940000}"/>
    <cellStyle name="Normal 5 5 4 4 2" xfId="57130" xr:uid="{00000000-0005-0000-0000-000053940000}"/>
    <cellStyle name="Normal 5 5 4 5" xfId="26865" xr:uid="{00000000-0005-0000-0000-000054940000}"/>
    <cellStyle name="Normal 5 5 4 6" xfId="26866" xr:uid="{00000000-0005-0000-0000-000055940000}"/>
    <cellStyle name="Normal 5 5 4 7" xfId="26867" xr:uid="{00000000-0005-0000-0000-000056940000}"/>
    <cellStyle name="Normal 5 5 5" xfId="26868" xr:uid="{00000000-0005-0000-0000-000057940000}"/>
    <cellStyle name="Normal 5 5 5 2" xfId="26869" xr:uid="{00000000-0005-0000-0000-000058940000}"/>
    <cellStyle name="Normal 5 5 5 2 2" xfId="57131" xr:uid="{00000000-0005-0000-0000-000059940000}"/>
    <cellStyle name="Normal 5 5 5 2 3" xfId="57132" xr:uid="{00000000-0005-0000-0000-00005A940000}"/>
    <cellStyle name="Normal 5 5 5 3" xfId="26870" xr:uid="{00000000-0005-0000-0000-00005B940000}"/>
    <cellStyle name="Normal 5 5 5 3 2" xfId="57133" xr:uid="{00000000-0005-0000-0000-00005C940000}"/>
    <cellStyle name="Normal 5 5 5 4" xfId="26871" xr:uid="{00000000-0005-0000-0000-00005D940000}"/>
    <cellStyle name="Normal 5 5 5 5" xfId="26872" xr:uid="{00000000-0005-0000-0000-00005E940000}"/>
    <cellStyle name="Normal 5 5 5 6" xfId="26873" xr:uid="{00000000-0005-0000-0000-00005F940000}"/>
    <cellStyle name="Normal 5 5 6" xfId="26874" xr:uid="{00000000-0005-0000-0000-000060940000}"/>
    <cellStyle name="Normal 5 5 6 2" xfId="57134" xr:uid="{00000000-0005-0000-0000-000061940000}"/>
    <cellStyle name="Normal 5 5 6 3" xfId="57135" xr:uid="{00000000-0005-0000-0000-000062940000}"/>
    <cellStyle name="Normal 5 5 7" xfId="26875" xr:uid="{00000000-0005-0000-0000-000063940000}"/>
    <cellStyle name="Normal 5 5 7 2" xfId="57136" xr:uid="{00000000-0005-0000-0000-000064940000}"/>
    <cellStyle name="Normal 5 5 8" xfId="26876" xr:uid="{00000000-0005-0000-0000-000065940000}"/>
    <cellStyle name="Normal 5 5 8 2" xfId="57137" xr:uid="{00000000-0005-0000-0000-000066940000}"/>
    <cellStyle name="Normal 5 5 9" xfId="26877" xr:uid="{00000000-0005-0000-0000-000067940000}"/>
    <cellStyle name="Normal 5 6" xfId="26878" xr:uid="{00000000-0005-0000-0000-000068940000}"/>
    <cellStyle name="Normal 5 6 10" xfId="26879" xr:uid="{00000000-0005-0000-0000-000069940000}"/>
    <cellStyle name="Normal 5 6 2" xfId="26880" xr:uid="{00000000-0005-0000-0000-00006A940000}"/>
    <cellStyle name="Normal 5 6 2 2" xfId="26881" xr:uid="{00000000-0005-0000-0000-00006B940000}"/>
    <cellStyle name="Normal 5 6 2 2 2" xfId="26882" xr:uid="{00000000-0005-0000-0000-00006C940000}"/>
    <cellStyle name="Normal 5 6 2 2 2 2" xfId="57138" xr:uid="{00000000-0005-0000-0000-00006D940000}"/>
    <cellStyle name="Normal 5 6 2 2 2 3" xfId="57139" xr:uid="{00000000-0005-0000-0000-00006E940000}"/>
    <cellStyle name="Normal 5 6 2 2 3" xfId="26883" xr:uid="{00000000-0005-0000-0000-00006F940000}"/>
    <cellStyle name="Normal 5 6 2 2 3 2" xfId="57140" xr:uid="{00000000-0005-0000-0000-000070940000}"/>
    <cellStyle name="Normal 5 6 2 2 4" xfId="26884" xr:uid="{00000000-0005-0000-0000-000071940000}"/>
    <cellStyle name="Normal 5 6 2 2 5" xfId="26885" xr:uid="{00000000-0005-0000-0000-000072940000}"/>
    <cellStyle name="Normal 5 6 2 2 6" xfId="26886" xr:uid="{00000000-0005-0000-0000-000073940000}"/>
    <cellStyle name="Normal 5 6 2 3" xfId="26887" xr:uid="{00000000-0005-0000-0000-000074940000}"/>
    <cellStyle name="Normal 5 6 2 3 2" xfId="57141" xr:uid="{00000000-0005-0000-0000-000075940000}"/>
    <cellStyle name="Normal 5 6 2 3 3" xfId="57142" xr:uid="{00000000-0005-0000-0000-000076940000}"/>
    <cellStyle name="Normal 5 6 2 4" xfId="26888" xr:uid="{00000000-0005-0000-0000-000077940000}"/>
    <cellStyle name="Normal 5 6 2 4 2" xfId="57143" xr:uid="{00000000-0005-0000-0000-000078940000}"/>
    <cellStyle name="Normal 5 6 2 5" xfId="26889" xr:uid="{00000000-0005-0000-0000-000079940000}"/>
    <cellStyle name="Normal 5 6 2 6" xfId="26890" xr:uid="{00000000-0005-0000-0000-00007A940000}"/>
    <cellStyle name="Normal 5 6 2 7" xfId="26891" xr:uid="{00000000-0005-0000-0000-00007B940000}"/>
    <cellStyle name="Normal 5 6 3" xfId="26892" xr:uid="{00000000-0005-0000-0000-00007C940000}"/>
    <cellStyle name="Normal 5 6 3 2" xfId="26893" xr:uid="{00000000-0005-0000-0000-00007D940000}"/>
    <cellStyle name="Normal 5 6 3 2 2" xfId="57144" xr:uid="{00000000-0005-0000-0000-00007E940000}"/>
    <cellStyle name="Normal 5 6 3 2 3" xfId="57145" xr:uid="{00000000-0005-0000-0000-00007F940000}"/>
    <cellStyle name="Normal 5 6 3 3" xfId="26894" xr:uid="{00000000-0005-0000-0000-000080940000}"/>
    <cellStyle name="Normal 5 6 3 3 2" xfId="57146" xr:uid="{00000000-0005-0000-0000-000081940000}"/>
    <cellStyle name="Normal 5 6 3 4" xfId="26895" xr:uid="{00000000-0005-0000-0000-000082940000}"/>
    <cellStyle name="Normal 5 6 3 5" xfId="26896" xr:uid="{00000000-0005-0000-0000-000083940000}"/>
    <cellStyle name="Normal 5 6 3 6" xfId="26897" xr:uid="{00000000-0005-0000-0000-000084940000}"/>
    <cellStyle name="Normal 5 6 4" xfId="26898" xr:uid="{00000000-0005-0000-0000-000085940000}"/>
    <cellStyle name="Normal 5 6 4 2" xfId="57147" xr:uid="{00000000-0005-0000-0000-000086940000}"/>
    <cellStyle name="Normal 5 6 5" xfId="26899" xr:uid="{00000000-0005-0000-0000-000087940000}"/>
    <cellStyle name="Normal 5 6 6" xfId="26900" xr:uid="{00000000-0005-0000-0000-000088940000}"/>
    <cellStyle name="Normal 5 6 7" xfId="26901" xr:uid="{00000000-0005-0000-0000-000089940000}"/>
    <cellStyle name="Normal 5 6 8" xfId="26902" xr:uid="{00000000-0005-0000-0000-00008A940000}"/>
    <cellStyle name="Normal 5 6 9" xfId="26903" xr:uid="{00000000-0005-0000-0000-00008B940000}"/>
    <cellStyle name="Normal 5 7" xfId="26904" xr:uid="{00000000-0005-0000-0000-00008C940000}"/>
    <cellStyle name="Normal 5 7 2" xfId="26905" xr:uid="{00000000-0005-0000-0000-00008D940000}"/>
    <cellStyle name="Normal 5 7 2 2" xfId="26906" xr:uid="{00000000-0005-0000-0000-00008E940000}"/>
    <cellStyle name="Normal 5 7 2 2 2" xfId="26907" xr:uid="{00000000-0005-0000-0000-00008F940000}"/>
    <cellStyle name="Normal 5 7 2 2 2 2" xfId="57148" xr:uid="{00000000-0005-0000-0000-000090940000}"/>
    <cellStyle name="Normal 5 7 2 2 2 3" xfId="57149" xr:uid="{00000000-0005-0000-0000-000091940000}"/>
    <cellStyle name="Normal 5 7 2 2 3" xfId="26908" xr:uid="{00000000-0005-0000-0000-000092940000}"/>
    <cellStyle name="Normal 5 7 2 2 3 2" xfId="57150" xr:uid="{00000000-0005-0000-0000-000093940000}"/>
    <cellStyle name="Normal 5 7 2 2 4" xfId="26909" xr:uid="{00000000-0005-0000-0000-000094940000}"/>
    <cellStyle name="Normal 5 7 2 2 5" xfId="26910" xr:uid="{00000000-0005-0000-0000-000095940000}"/>
    <cellStyle name="Normal 5 7 2 2 6" xfId="26911" xr:uid="{00000000-0005-0000-0000-000096940000}"/>
    <cellStyle name="Normal 5 7 2 3" xfId="26912" xr:uid="{00000000-0005-0000-0000-000097940000}"/>
    <cellStyle name="Normal 5 7 2 3 2" xfId="57151" xr:uid="{00000000-0005-0000-0000-000098940000}"/>
    <cellStyle name="Normal 5 7 2 3 3" xfId="57152" xr:uid="{00000000-0005-0000-0000-000099940000}"/>
    <cellStyle name="Normal 5 7 2 4" xfId="26913" xr:uid="{00000000-0005-0000-0000-00009A940000}"/>
    <cellStyle name="Normal 5 7 2 4 2" xfId="57153" xr:uid="{00000000-0005-0000-0000-00009B940000}"/>
    <cellStyle name="Normal 5 7 2 5" xfId="26914" xr:uid="{00000000-0005-0000-0000-00009C940000}"/>
    <cellStyle name="Normal 5 7 2 6" xfId="26915" xr:uid="{00000000-0005-0000-0000-00009D940000}"/>
    <cellStyle name="Normal 5 7 2 7" xfId="26916" xr:uid="{00000000-0005-0000-0000-00009E940000}"/>
    <cellStyle name="Normal 5 7 3" xfId="26917" xr:uid="{00000000-0005-0000-0000-00009F940000}"/>
    <cellStyle name="Normal 5 7 3 2" xfId="26918" xr:uid="{00000000-0005-0000-0000-0000A0940000}"/>
    <cellStyle name="Normal 5 7 3 2 2" xfId="57154" xr:uid="{00000000-0005-0000-0000-0000A1940000}"/>
    <cellStyle name="Normal 5 7 3 2 3" xfId="57155" xr:uid="{00000000-0005-0000-0000-0000A2940000}"/>
    <cellStyle name="Normal 5 7 3 3" xfId="26919" xr:uid="{00000000-0005-0000-0000-0000A3940000}"/>
    <cellStyle name="Normal 5 7 3 3 2" xfId="57156" xr:uid="{00000000-0005-0000-0000-0000A4940000}"/>
    <cellStyle name="Normal 5 7 3 4" xfId="26920" xr:uid="{00000000-0005-0000-0000-0000A5940000}"/>
    <cellStyle name="Normal 5 7 3 5" xfId="26921" xr:uid="{00000000-0005-0000-0000-0000A6940000}"/>
    <cellStyle name="Normal 5 7 3 6" xfId="26922" xr:uid="{00000000-0005-0000-0000-0000A7940000}"/>
    <cellStyle name="Normal 5 7 4" xfId="26923" xr:uid="{00000000-0005-0000-0000-0000A8940000}"/>
    <cellStyle name="Normal 5 7 4 2" xfId="57157" xr:uid="{00000000-0005-0000-0000-0000A9940000}"/>
    <cellStyle name="Normal 5 7 5" xfId="26924" xr:uid="{00000000-0005-0000-0000-0000AA940000}"/>
    <cellStyle name="Normal 5 7 6" xfId="26925" xr:uid="{00000000-0005-0000-0000-0000AB940000}"/>
    <cellStyle name="Normal 5 7 7" xfId="26926" xr:uid="{00000000-0005-0000-0000-0000AC940000}"/>
    <cellStyle name="Normal 5 7 8" xfId="26927" xr:uid="{00000000-0005-0000-0000-0000AD940000}"/>
    <cellStyle name="Normal 5 7 9" xfId="26928" xr:uid="{00000000-0005-0000-0000-0000AE940000}"/>
    <cellStyle name="Normal 5 8" xfId="26929" xr:uid="{00000000-0005-0000-0000-0000AF940000}"/>
    <cellStyle name="Normal 5 8 2" xfId="26930" xr:uid="{00000000-0005-0000-0000-0000B0940000}"/>
    <cellStyle name="Normal 5 8 2 2" xfId="26931" xr:uid="{00000000-0005-0000-0000-0000B1940000}"/>
    <cellStyle name="Normal 5 8 2 2 2" xfId="57158" xr:uid="{00000000-0005-0000-0000-0000B2940000}"/>
    <cellStyle name="Normal 5 8 2 2 3" xfId="57159" xr:uid="{00000000-0005-0000-0000-0000B3940000}"/>
    <cellStyle name="Normal 5 8 2 3" xfId="26932" xr:uid="{00000000-0005-0000-0000-0000B4940000}"/>
    <cellStyle name="Normal 5 8 2 3 2" xfId="57160" xr:uid="{00000000-0005-0000-0000-0000B5940000}"/>
    <cellStyle name="Normal 5 8 2 4" xfId="26933" xr:uid="{00000000-0005-0000-0000-0000B6940000}"/>
    <cellStyle name="Normal 5 8 2 5" xfId="26934" xr:uid="{00000000-0005-0000-0000-0000B7940000}"/>
    <cellStyle name="Normal 5 8 2 6" xfId="26935" xr:uid="{00000000-0005-0000-0000-0000B8940000}"/>
    <cellStyle name="Normal 5 8 3" xfId="26936" xr:uid="{00000000-0005-0000-0000-0000B9940000}"/>
    <cellStyle name="Normal 5 8 3 2" xfId="57161" xr:uid="{00000000-0005-0000-0000-0000BA940000}"/>
    <cellStyle name="Normal 5 8 3 3" xfId="57162" xr:uid="{00000000-0005-0000-0000-0000BB940000}"/>
    <cellStyle name="Normal 5 8 4" xfId="26937" xr:uid="{00000000-0005-0000-0000-0000BC940000}"/>
    <cellStyle name="Normal 5 8 4 2" xfId="57163" xr:uid="{00000000-0005-0000-0000-0000BD940000}"/>
    <cellStyle name="Normal 5 8 5" xfId="26938" xr:uid="{00000000-0005-0000-0000-0000BE940000}"/>
    <cellStyle name="Normal 5 8 6" xfId="26939" xr:uid="{00000000-0005-0000-0000-0000BF940000}"/>
    <cellStyle name="Normal 5 8 7" xfId="26940" xr:uid="{00000000-0005-0000-0000-0000C0940000}"/>
    <cellStyle name="Normal 5 9" xfId="26941" xr:uid="{00000000-0005-0000-0000-0000C1940000}"/>
    <cellStyle name="Normal 5 9 2" xfId="26942" xr:uid="{00000000-0005-0000-0000-0000C2940000}"/>
    <cellStyle name="Normal 5_Sheet2" xfId="26943" xr:uid="{00000000-0005-0000-0000-0000C3940000}"/>
    <cellStyle name="Normal 50" xfId="26944" xr:uid="{00000000-0005-0000-0000-0000C4940000}"/>
    <cellStyle name="Normal 50 10" xfId="26945" xr:uid="{00000000-0005-0000-0000-0000C5940000}"/>
    <cellStyle name="Normal 50 10 2" xfId="26946" xr:uid="{00000000-0005-0000-0000-0000C6940000}"/>
    <cellStyle name="Normal 50 10 2 2" xfId="26947" xr:uid="{00000000-0005-0000-0000-0000C7940000}"/>
    <cellStyle name="Normal 50 10 3" xfId="26948" xr:uid="{00000000-0005-0000-0000-0000C8940000}"/>
    <cellStyle name="Normal 50 10 3 2" xfId="26949" xr:uid="{00000000-0005-0000-0000-0000C9940000}"/>
    <cellStyle name="Normal 50 10 4" xfId="26950" xr:uid="{00000000-0005-0000-0000-0000CA940000}"/>
    <cellStyle name="Normal 50 10 5" xfId="26951" xr:uid="{00000000-0005-0000-0000-0000CB940000}"/>
    <cellStyle name="Normal 50 11" xfId="26952" xr:uid="{00000000-0005-0000-0000-0000CC940000}"/>
    <cellStyle name="Normal 50 11 2" xfId="26953" xr:uid="{00000000-0005-0000-0000-0000CD940000}"/>
    <cellStyle name="Normal 50 11 2 2" xfId="26954" xr:uid="{00000000-0005-0000-0000-0000CE940000}"/>
    <cellStyle name="Normal 50 11 3" xfId="26955" xr:uid="{00000000-0005-0000-0000-0000CF940000}"/>
    <cellStyle name="Normal 50 11 4" xfId="26956" xr:uid="{00000000-0005-0000-0000-0000D0940000}"/>
    <cellStyle name="Normal 50 12" xfId="26957" xr:uid="{00000000-0005-0000-0000-0000D1940000}"/>
    <cellStyle name="Normal 50 12 2" xfId="26958" xr:uid="{00000000-0005-0000-0000-0000D2940000}"/>
    <cellStyle name="Normal 50 12 3" xfId="26959" xr:uid="{00000000-0005-0000-0000-0000D3940000}"/>
    <cellStyle name="Normal 50 13" xfId="26960" xr:uid="{00000000-0005-0000-0000-0000D4940000}"/>
    <cellStyle name="Normal 50 13 2" xfId="26961" xr:uid="{00000000-0005-0000-0000-0000D5940000}"/>
    <cellStyle name="Normal 50 13 3" xfId="26962" xr:uid="{00000000-0005-0000-0000-0000D6940000}"/>
    <cellStyle name="Normal 50 14" xfId="26963" xr:uid="{00000000-0005-0000-0000-0000D7940000}"/>
    <cellStyle name="Normal 50 15" xfId="26964" xr:uid="{00000000-0005-0000-0000-0000D8940000}"/>
    <cellStyle name="Normal 50 15 2" xfId="57164" xr:uid="{00000000-0005-0000-0000-0000D9940000}"/>
    <cellStyle name="Normal 50 16" xfId="57165" xr:uid="{00000000-0005-0000-0000-0000DA940000}"/>
    <cellStyle name="Normal 50 2" xfId="26965" xr:uid="{00000000-0005-0000-0000-0000DB940000}"/>
    <cellStyle name="Normal 50 2 10" xfId="26966" xr:uid="{00000000-0005-0000-0000-0000DC940000}"/>
    <cellStyle name="Normal 50 2 10 2" xfId="26967" xr:uid="{00000000-0005-0000-0000-0000DD940000}"/>
    <cellStyle name="Normal 50 2 10 2 2" xfId="26968" xr:uid="{00000000-0005-0000-0000-0000DE940000}"/>
    <cellStyle name="Normal 50 2 10 3" xfId="26969" xr:uid="{00000000-0005-0000-0000-0000DF940000}"/>
    <cellStyle name="Normal 50 2 11" xfId="26970" xr:uid="{00000000-0005-0000-0000-0000E0940000}"/>
    <cellStyle name="Normal 50 2 11 2" xfId="26971" xr:uid="{00000000-0005-0000-0000-0000E1940000}"/>
    <cellStyle name="Normal 50 2 12" xfId="26972" xr:uid="{00000000-0005-0000-0000-0000E2940000}"/>
    <cellStyle name="Normal 50 2 12 2" xfId="26973" xr:uid="{00000000-0005-0000-0000-0000E3940000}"/>
    <cellStyle name="Normal 50 2 13" xfId="26974" xr:uid="{00000000-0005-0000-0000-0000E4940000}"/>
    <cellStyle name="Normal 50 2 14" xfId="26975" xr:uid="{00000000-0005-0000-0000-0000E5940000}"/>
    <cellStyle name="Normal 50 2 14 2" xfId="57166" xr:uid="{00000000-0005-0000-0000-0000E6940000}"/>
    <cellStyle name="Normal 50 2 15" xfId="57167" xr:uid="{00000000-0005-0000-0000-0000E7940000}"/>
    <cellStyle name="Normal 50 2 2" xfId="26976" xr:uid="{00000000-0005-0000-0000-0000E8940000}"/>
    <cellStyle name="Normal 50 2 2 2" xfId="26977" xr:uid="{00000000-0005-0000-0000-0000E9940000}"/>
    <cellStyle name="Normal 50 2 2 2 2" xfId="26978" xr:uid="{00000000-0005-0000-0000-0000EA940000}"/>
    <cellStyle name="Normal 50 2 2 2 2 2" xfId="57168" xr:uid="{00000000-0005-0000-0000-0000EB940000}"/>
    <cellStyle name="Normal 50 2 2 2 2 3" xfId="57169" xr:uid="{00000000-0005-0000-0000-0000EC940000}"/>
    <cellStyle name="Normal 50 2 2 2 3" xfId="26979" xr:uid="{00000000-0005-0000-0000-0000ED940000}"/>
    <cellStyle name="Normal 50 2 2 2 3 2" xfId="57170" xr:uid="{00000000-0005-0000-0000-0000EE940000}"/>
    <cellStyle name="Normal 50 2 2 2 4" xfId="26980" xr:uid="{00000000-0005-0000-0000-0000EF940000}"/>
    <cellStyle name="Normal 50 2 2 2 5" xfId="26981" xr:uid="{00000000-0005-0000-0000-0000F0940000}"/>
    <cellStyle name="Normal 50 2 2 2 6" xfId="26982" xr:uid="{00000000-0005-0000-0000-0000F1940000}"/>
    <cellStyle name="Normal 50 2 2 3" xfId="26983" xr:uid="{00000000-0005-0000-0000-0000F2940000}"/>
    <cellStyle name="Normal 50 2 2 3 2" xfId="57171" xr:uid="{00000000-0005-0000-0000-0000F3940000}"/>
    <cellStyle name="Normal 50 2 2 3 3" xfId="57172" xr:uid="{00000000-0005-0000-0000-0000F4940000}"/>
    <cellStyle name="Normal 50 2 2 4" xfId="26984" xr:uid="{00000000-0005-0000-0000-0000F5940000}"/>
    <cellStyle name="Normal 50 2 2 4 2" xfId="57173" xr:uid="{00000000-0005-0000-0000-0000F6940000}"/>
    <cellStyle name="Normal 50 2 2 5" xfId="26985" xr:uid="{00000000-0005-0000-0000-0000F7940000}"/>
    <cellStyle name="Normal 50 2 2 6" xfId="26986" xr:uid="{00000000-0005-0000-0000-0000F8940000}"/>
    <cellStyle name="Normal 50 2 2 7" xfId="26987" xr:uid="{00000000-0005-0000-0000-0000F9940000}"/>
    <cellStyle name="Normal 50 2 3" xfId="26988" xr:uid="{00000000-0005-0000-0000-0000FA940000}"/>
    <cellStyle name="Normal 50 2 3 2" xfId="26989" xr:uid="{00000000-0005-0000-0000-0000FB940000}"/>
    <cellStyle name="Normal 50 2 3 2 2" xfId="57174" xr:uid="{00000000-0005-0000-0000-0000FC940000}"/>
    <cellStyle name="Normal 50 2 3 2 3" xfId="57175" xr:uid="{00000000-0005-0000-0000-0000FD940000}"/>
    <cellStyle name="Normal 50 2 3 3" xfId="26990" xr:uid="{00000000-0005-0000-0000-0000FE940000}"/>
    <cellStyle name="Normal 50 2 3 3 2" xfId="57176" xr:uid="{00000000-0005-0000-0000-0000FF940000}"/>
    <cellStyle name="Normal 50 2 3 4" xfId="26991" xr:uid="{00000000-0005-0000-0000-000000950000}"/>
    <cellStyle name="Normal 50 2 3 5" xfId="26992" xr:uid="{00000000-0005-0000-0000-000001950000}"/>
    <cellStyle name="Normal 50 2 3 6" xfId="26993" xr:uid="{00000000-0005-0000-0000-000002950000}"/>
    <cellStyle name="Normal 50 2 4" xfId="26994" xr:uid="{00000000-0005-0000-0000-000003950000}"/>
    <cellStyle name="Normal 50 2 4 2" xfId="26995" xr:uid="{00000000-0005-0000-0000-000004950000}"/>
    <cellStyle name="Normal 50 2 4 2 2" xfId="26996" xr:uid="{00000000-0005-0000-0000-000005950000}"/>
    <cellStyle name="Normal 50 2 4 2 2 2" xfId="26997" xr:uid="{00000000-0005-0000-0000-000006950000}"/>
    <cellStyle name="Normal 50 2 4 2 3" xfId="26998" xr:uid="{00000000-0005-0000-0000-000007950000}"/>
    <cellStyle name="Normal 50 2 4 2 3 2" xfId="26999" xr:uid="{00000000-0005-0000-0000-000008950000}"/>
    <cellStyle name="Normal 50 2 4 2 4" xfId="27000" xr:uid="{00000000-0005-0000-0000-000009950000}"/>
    <cellStyle name="Normal 50 2 4 3" xfId="27001" xr:uid="{00000000-0005-0000-0000-00000A950000}"/>
    <cellStyle name="Normal 50 2 4 3 2" xfId="27002" xr:uid="{00000000-0005-0000-0000-00000B950000}"/>
    <cellStyle name="Normal 50 2 4 3 2 2" xfId="27003" xr:uid="{00000000-0005-0000-0000-00000C950000}"/>
    <cellStyle name="Normal 50 2 4 3 3" xfId="27004" xr:uid="{00000000-0005-0000-0000-00000D950000}"/>
    <cellStyle name="Normal 50 2 4 3 3 2" xfId="27005" xr:uid="{00000000-0005-0000-0000-00000E950000}"/>
    <cellStyle name="Normal 50 2 4 3 4" xfId="27006" xr:uid="{00000000-0005-0000-0000-00000F950000}"/>
    <cellStyle name="Normal 50 2 4 4" xfId="27007" xr:uid="{00000000-0005-0000-0000-000010950000}"/>
    <cellStyle name="Normal 50 2 4 4 2" xfId="27008" xr:uid="{00000000-0005-0000-0000-000011950000}"/>
    <cellStyle name="Normal 50 2 4 5" xfId="27009" xr:uid="{00000000-0005-0000-0000-000012950000}"/>
    <cellStyle name="Normal 50 2 4 5 2" xfId="27010" xr:uid="{00000000-0005-0000-0000-000013950000}"/>
    <cellStyle name="Normal 50 2 4 6" xfId="27011" xr:uid="{00000000-0005-0000-0000-000014950000}"/>
    <cellStyle name="Normal 50 2 4 7" xfId="27012" xr:uid="{00000000-0005-0000-0000-000015950000}"/>
    <cellStyle name="Normal 50 2 5" xfId="27013" xr:uid="{00000000-0005-0000-0000-000016950000}"/>
    <cellStyle name="Normal 50 2 5 2" xfId="27014" xr:uid="{00000000-0005-0000-0000-000017950000}"/>
    <cellStyle name="Normal 50 2 5 2 2" xfId="27015" xr:uid="{00000000-0005-0000-0000-000018950000}"/>
    <cellStyle name="Normal 50 2 5 3" xfId="27016" xr:uid="{00000000-0005-0000-0000-000019950000}"/>
    <cellStyle name="Normal 50 2 5 3 2" xfId="27017" xr:uid="{00000000-0005-0000-0000-00001A950000}"/>
    <cellStyle name="Normal 50 2 5 4" xfId="27018" xr:uid="{00000000-0005-0000-0000-00001B950000}"/>
    <cellStyle name="Normal 50 2 5 5" xfId="27019" xr:uid="{00000000-0005-0000-0000-00001C950000}"/>
    <cellStyle name="Normal 50 2 6" xfId="27020" xr:uid="{00000000-0005-0000-0000-00001D950000}"/>
    <cellStyle name="Normal 50 2 6 2" xfId="27021" xr:uid="{00000000-0005-0000-0000-00001E950000}"/>
    <cellStyle name="Normal 50 2 6 2 2" xfId="27022" xr:uid="{00000000-0005-0000-0000-00001F950000}"/>
    <cellStyle name="Normal 50 2 6 3" xfId="27023" xr:uid="{00000000-0005-0000-0000-000020950000}"/>
    <cellStyle name="Normal 50 2 6 3 2" xfId="27024" xr:uid="{00000000-0005-0000-0000-000021950000}"/>
    <cellStyle name="Normal 50 2 6 4" xfId="27025" xr:uid="{00000000-0005-0000-0000-000022950000}"/>
    <cellStyle name="Normal 50 2 6 5" xfId="27026" xr:uid="{00000000-0005-0000-0000-000023950000}"/>
    <cellStyle name="Normal 50 2 7" xfId="27027" xr:uid="{00000000-0005-0000-0000-000024950000}"/>
    <cellStyle name="Normal 50 2 7 2" xfId="27028" xr:uid="{00000000-0005-0000-0000-000025950000}"/>
    <cellStyle name="Normal 50 2 7 2 2" xfId="27029" xr:uid="{00000000-0005-0000-0000-000026950000}"/>
    <cellStyle name="Normal 50 2 7 3" xfId="27030" xr:uid="{00000000-0005-0000-0000-000027950000}"/>
    <cellStyle name="Normal 50 2 7 3 2" xfId="27031" xr:uid="{00000000-0005-0000-0000-000028950000}"/>
    <cellStyle name="Normal 50 2 7 4" xfId="27032" xr:uid="{00000000-0005-0000-0000-000029950000}"/>
    <cellStyle name="Normal 50 2 7 5" xfId="27033" xr:uid="{00000000-0005-0000-0000-00002A950000}"/>
    <cellStyle name="Normal 50 2 8" xfId="27034" xr:uid="{00000000-0005-0000-0000-00002B950000}"/>
    <cellStyle name="Normal 50 2 8 2" xfId="27035" xr:uid="{00000000-0005-0000-0000-00002C950000}"/>
    <cellStyle name="Normal 50 2 8 2 2" xfId="27036" xr:uid="{00000000-0005-0000-0000-00002D950000}"/>
    <cellStyle name="Normal 50 2 8 3" xfId="27037" xr:uid="{00000000-0005-0000-0000-00002E950000}"/>
    <cellStyle name="Normal 50 2 8 3 2" xfId="27038" xr:uid="{00000000-0005-0000-0000-00002F950000}"/>
    <cellStyle name="Normal 50 2 8 4" xfId="27039" xr:uid="{00000000-0005-0000-0000-000030950000}"/>
    <cellStyle name="Normal 50 2 8 5" xfId="27040" xr:uid="{00000000-0005-0000-0000-000031950000}"/>
    <cellStyle name="Normal 50 2 9" xfId="27041" xr:uid="{00000000-0005-0000-0000-000032950000}"/>
    <cellStyle name="Normal 50 2 9 2" xfId="27042" xr:uid="{00000000-0005-0000-0000-000033950000}"/>
    <cellStyle name="Normal 50 2 9 2 2" xfId="27043" xr:uid="{00000000-0005-0000-0000-000034950000}"/>
    <cellStyle name="Normal 50 2 9 3" xfId="27044" xr:uid="{00000000-0005-0000-0000-000035950000}"/>
    <cellStyle name="Normal 50 2 9 3 2" xfId="27045" xr:uid="{00000000-0005-0000-0000-000036950000}"/>
    <cellStyle name="Normal 50 2 9 4" xfId="27046" xr:uid="{00000000-0005-0000-0000-000037950000}"/>
    <cellStyle name="Normal 50 2 9 5" xfId="27047" xr:uid="{00000000-0005-0000-0000-000038950000}"/>
    <cellStyle name="Normal 50 3" xfId="27048" xr:uid="{00000000-0005-0000-0000-000039950000}"/>
    <cellStyle name="Normal 50 3 2" xfId="27049" xr:uid="{00000000-0005-0000-0000-00003A950000}"/>
    <cellStyle name="Normal 50 3 2 2" xfId="27050" xr:uid="{00000000-0005-0000-0000-00003B950000}"/>
    <cellStyle name="Normal 50 3 2 2 2" xfId="57177" xr:uid="{00000000-0005-0000-0000-00003C950000}"/>
    <cellStyle name="Normal 50 3 2 2 3" xfId="57178" xr:uid="{00000000-0005-0000-0000-00003D950000}"/>
    <cellStyle name="Normal 50 3 2 3" xfId="27051" xr:uid="{00000000-0005-0000-0000-00003E950000}"/>
    <cellStyle name="Normal 50 3 2 3 2" xfId="57179" xr:uid="{00000000-0005-0000-0000-00003F950000}"/>
    <cellStyle name="Normal 50 3 2 4" xfId="27052" xr:uid="{00000000-0005-0000-0000-000040950000}"/>
    <cellStyle name="Normal 50 3 2 5" xfId="27053" xr:uid="{00000000-0005-0000-0000-000041950000}"/>
    <cellStyle name="Normal 50 3 2 6" xfId="27054" xr:uid="{00000000-0005-0000-0000-000042950000}"/>
    <cellStyle name="Normal 50 3 3" xfId="27055" xr:uid="{00000000-0005-0000-0000-000043950000}"/>
    <cellStyle name="Normal 50 3 3 2" xfId="57180" xr:uid="{00000000-0005-0000-0000-000044950000}"/>
    <cellStyle name="Normal 50 3 3 3" xfId="57181" xr:uid="{00000000-0005-0000-0000-000045950000}"/>
    <cellStyle name="Normal 50 3 4" xfId="27056" xr:uid="{00000000-0005-0000-0000-000046950000}"/>
    <cellStyle name="Normal 50 3 4 2" xfId="57182" xr:uid="{00000000-0005-0000-0000-000047950000}"/>
    <cellStyle name="Normal 50 3 5" xfId="27057" xr:uid="{00000000-0005-0000-0000-000048950000}"/>
    <cellStyle name="Normal 50 3 6" xfId="27058" xr:uid="{00000000-0005-0000-0000-000049950000}"/>
    <cellStyle name="Normal 50 3 7" xfId="27059" xr:uid="{00000000-0005-0000-0000-00004A950000}"/>
    <cellStyle name="Normal 50 4" xfId="27060" xr:uid="{00000000-0005-0000-0000-00004B950000}"/>
    <cellStyle name="Normal 50 4 2" xfId="27061" xr:uid="{00000000-0005-0000-0000-00004C950000}"/>
    <cellStyle name="Normal 50 4 2 2" xfId="57183" xr:uid="{00000000-0005-0000-0000-00004D950000}"/>
    <cellStyle name="Normal 50 4 2 3" xfId="57184" xr:uid="{00000000-0005-0000-0000-00004E950000}"/>
    <cellStyle name="Normal 50 4 3" xfId="27062" xr:uid="{00000000-0005-0000-0000-00004F950000}"/>
    <cellStyle name="Normal 50 4 3 2" xfId="57185" xr:uid="{00000000-0005-0000-0000-000050950000}"/>
    <cellStyle name="Normal 50 4 4" xfId="27063" xr:uid="{00000000-0005-0000-0000-000051950000}"/>
    <cellStyle name="Normal 50 4 5" xfId="27064" xr:uid="{00000000-0005-0000-0000-000052950000}"/>
    <cellStyle name="Normal 50 4 6" xfId="27065" xr:uid="{00000000-0005-0000-0000-000053950000}"/>
    <cellStyle name="Normal 50 5" xfId="27066" xr:uid="{00000000-0005-0000-0000-000054950000}"/>
    <cellStyle name="Normal 50 5 2" xfId="27067" xr:uid="{00000000-0005-0000-0000-000055950000}"/>
    <cellStyle name="Normal 50 5 2 2" xfId="27068" xr:uid="{00000000-0005-0000-0000-000056950000}"/>
    <cellStyle name="Normal 50 5 2 2 2" xfId="27069" xr:uid="{00000000-0005-0000-0000-000057950000}"/>
    <cellStyle name="Normal 50 5 2 3" xfId="27070" xr:uid="{00000000-0005-0000-0000-000058950000}"/>
    <cellStyle name="Normal 50 5 2 3 2" xfId="27071" xr:uid="{00000000-0005-0000-0000-000059950000}"/>
    <cellStyle name="Normal 50 5 2 4" xfId="27072" xr:uid="{00000000-0005-0000-0000-00005A950000}"/>
    <cellStyle name="Normal 50 5 3" xfId="27073" xr:uid="{00000000-0005-0000-0000-00005B950000}"/>
    <cellStyle name="Normal 50 5 3 2" xfId="27074" xr:uid="{00000000-0005-0000-0000-00005C950000}"/>
    <cellStyle name="Normal 50 5 3 2 2" xfId="27075" xr:uid="{00000000-0005-0000-0000-00005D950000}"/>
    <cellStyle name="Normal 50 5 3 3" xfId="27076" xr:uid="{00000000-0005-0000-0000-00005E950000}"/>
    <cellStyle name="Normal 50 5 3 3 2" xfId="27077" xr:uid="{00000000-0005-0000-0000-00005F950000}"/>
    <cellStyle name="Normal 50 5 3 4" xfId="27078" xr:uid="{00000000-0005-0000-0000-000060950000}"/>
    <cellStyle name="Normal 50 5 4" xfId="27079" xr:uid="{00000000-0005-0000-0000-000061950000}"/>
    <cellStyle name="Normal 50 5 4 2" xfId="27080" xr:uid="{00000000-0005-0000-0000-000062950000}"/>
    <cellStyle name="Normal 50 5 5" xfId="27081" xr:uid="{00000000-0005-0000-0000-000063950000}"/>
    <cellStyle name="Normal 50 5 5 2" xfId="27082" xr:uid="{00000000-0005-0000-0000-000064950000}"/>
    <cellStyle name="Normal 50 5 6" xfId="27083" xr:uid="{00000000-0005-0000-0000-000065950000}"/>
    <cellStyle name="Normal 50 5 7" xfId="27084" xr:uid="{00000000-0005-0000-0000-000066950000}"/>
    <cellStyle name="Normal 50 6" xfId="27085" xr:uid="{00000000-0005-0000-0000-000067950000}"/>
    <cellStyle name="Normal 50 6 2" xfId="27086" xr:uid="{00000000-0005-0000-0000-000068950000}"/>
    <cellStyle name="Normal 50 6 2 2" xfId="27087" xr:uid="{00000000-0005-0000-0000-000069950000}"/>
    <cellStyle name="Normal 50 6 3" xfId="27088" xr:uid="{00000000-0005-0000-0000-00006A950000}"/>
    <cellStyle name="Normal 50 6 3 2" xfId="27089" xr:uid="{00000000-0005-0000-0000-00006B950000}"/>
    <cellStyle name="Normal 50 6 4" xfId="27090" xr:uid="{00000000-0005-0000-0000-00006C950000}"/>
    <cellStyle name="Normal 50 6 5" xfId="27091" xr:uid="{00000000-0005-0000-0000-00006D950000}"/>
    <cellStyle name="Normal 50 7" xfId="27092" xr:uid="{00000000-0005-0000-0000-00006E950000}"/>
    <cellStyle name="Normal 50 7 2" xfId="27093" xr:uid="{00000000-0005-0000-0000-00006F950000}"/>
    <cellStyle name="Normal 50 7 2 2" xfId="27094" xr:uid="{00000000-0005-0000-0000-000070950000}"/>
    <cellStyle name="Normal 50 7 3" xfId="27095" xr:uid="{00000000-0005-0000-0000-000071950000}"/>
    <cellStyle name="Normal 50 7 3 2" xfId="27096" xr:uid="{00000000-0005-0000-0000-000072950000}"/>
    <cellStyle name="Normal 50 7 4" xfId="27097" xr:uid="{00000000-0005-0000-0000-000073950000}"/>
    <cellStyle name="Normal 50 7 5" xfId="27098" xr:uid="{00000000-0005-0000-0000-000074950000}"/>
    <cellStyle name="Normal 50 8" xfId="27099" xr:uid="{00000000-0005-0000-0000-000075950000}"/>
    <cellStyle name="Normal 50 8 2" xfId="27100" xr:uid="{00000000-0005-0000-0000-000076950000}"/>
    <cellStyle name="Normal 50 8 2 2" xfId="27101" xr:uid="{00000000-0005-0000-0000-000077950000}"/>
    <cellStyle name="Normal 50 8 3" xfId="27102" xr:uid="{00000000-0005-0000-0000-000078950000}"/>
    <cellStyle name="Normal 50 8 3 2" xfId="27103" xr:uid="{00000000-0005-0000-0000-000079950000}"/>
    <cellStyle name="Normal 50 8 4" xfId="27104" xr:uid="{00000000-0005-0000-0000-00007A950000}"/>
    <cellStyle name="Normal 50 8 5" xfId="27105" xr:uid="{00000000-0005-0000-0000-00007B950000}"/>
    <cellStyle name="Normal 50 9" xfId="27106" xr:uid="{00000000-0005-0000-0000-00007C950000}"/>
    <cellStyle name="Normal 50 9 2" xfId="27107" xr:uid="{00000000-0005-0000-0000-00007D950000}"/>
    <cellStyle name="Normal 50 9 2 2" xfId="27108" xr:uid="{00000000-0005-0000-0000-00007E950000}"/>
    <cellStyle name="Normal 50 9 3" xfId="27109" xr:uid="{00000000-0005-0000-0000-00007F950000}"/>
    <cellStyle name="Normal 50 9 3 2" xfId="27110" xr:uid="{00000000-0005-0000-0000-000080950000}"/>
    <cellStyle name="Normal 50 9 4" xfId="27111" xr:uid="{00000000-0005-0000-0000-000081950000}"/>
    <cellStyle name="Normal 50 9 5" xfId="27112" xr:uid="{00000000-0005-0000-0000-000082950000}"/>
    <cellStyle name="Normal 51" xfId="27113" xr:uid="{00000000-0005-0000-0000-000083950000}"/>
    <cellStyle name="Normal 51 10" xfId="27114" xr:uid="{00000000-0005-0000-0000-000084950000}"/>
    <cellStyle name="Normal 51 10 2" xfId="27115" xr:uid="{00000000-0005-0000-0000-000085950000}"/>
    <cellStyle name="Normal 51 10 2 2" xfId="27116" xr:uid="{00000000-0005-0000-0000-000086950000}"/>
    <cellStyle name="Normal 51 10 3" xfId="27117" xr:uid="{00000000-0005-0000-0000-000087950000}"/>
    <cellStyle name="Normal 51 11" xfId="27118" xr:uid="{00000000-0005-0000-0000-000088950000}"/>
    <cellStyle name="Normal 51 11 2" xfId="27119" xr:uid="{00000000-0005-0000-0000-000089950000}"/>
    <cellStyle name="Normal 51 12" xfId="27120" xr:uid="{00000000-0005-0000-0000-00008A950000}"/>
    <cellStyle name="Normal 51 12 2" xfId="27121" xr:uid="{00000000-0005-0000-0000-00008B950000}"/>
    <cellStyle name="Normal 51 13" xfId="27122" xr:uid="{00000000-0005-0000-0000-00008C950000}"/>
    <cellStyle name="Normal 51 14" xfId="27123" xr:uid="{00000000-0005-0000-0000-00008D950000}"/>
    <cellStyle name="Normal 51 14 2" xfId="57186" xr:uid="{00000000-0005-0000-0000-00008E950000}"/>
    <cellStyle name="Normal 51 15" xfId="27124" xr:uid="{00000000-0005-0000-0000-00008F950000}"/>
    <cellStyle name="Normal 51 2" xfId="27125" xr:uid="{00000000-0005-0000-0000-000090950000}"/>
    <cellStyle name="Normal 51 2 10" xfId="27126" xr:uid="{00000000-0005-0000-0000-000091950000}"/>
    <cellStyle name="Normal 51 2 10 2" xfId="27127" xr:uid="{00000000-0005-0000-0000-000092950000}"/>
    <cellStyle name="Normal 51 2 11" xfId="27128" xr:uid="{00000000-0005-0000-0000-000093950000}"/>
    <cellStyle name="Normal 51 2 11 2" xfId="27129" xr:uid="{00000000-0005-0000-0000-000094950000}"/>
    <cellStyle name="Normal 51 2 12" xfId="27130" xr:uid="{00000000-0005-0000-0000-000095950000}"/>
    <cellStyle name="Normal 51 2 13" xfId="27131" xr:uid="{00000000-0005-0000-0000-000096950000}"/>
    <cellStyle name="Normal 51 2 13 2" xfId="57187" xr:uid="{00000000-0005-0000-0000-000097950000}"/>
    <cellStyle name="Normal 51 2 14" xfId="57188" xr:uid="{00000000-0005-0000-0000-000098950000}"/>
    <cellStyle name="Normal 51 2 2" xfId="27132" xr:uid="{00000000-0005-0000-0000-000099950000}"/>
    <cellStyle name="Normal 51 2 2 2" xfId="27133" xr:uid="{00000000-0005-0000-0000-00009A950000}"/>
    <cellStyle name="Normal 51 2 2 2 2" xfId="57189" xr:uid="{00000000-0005-0000-0000-00009B950000}"/>
    <cellStyle name="Normal 51 2 2 2 3" xfId="57190" xr:uid="{00000000-0005-0000-0000-00009C950000}"/>
    <cellStyle name="Normal 51 2 2 3" xfId="27134" xr:uid="{00000000-0005-0000-0000-00009D950000}"/>
    <cellStyle name="Normal 51 2 2 3 2" xfId="57191" xr:uid="{00000000-0005-0000-0000-00009E950000}"/>
    <cellStyle name="Normal 51 2 2 4" xfId="27135" xr:uid="{00000000-0005-0000-0000-00009F950000}"/>
    <cellStyle name="Normal 51 2 2 5" xfId="27136" xr:uid="{00000000-0005-0000-0000-0000A0950000}"/>
    <cellStyle name="Normal 51 2 2 6" xfId="27137" xr:uid="{00000000-0005-0000-0000-0000A1950000}"/>
    <cellStyle name="Normal 51 2 3" xfId="27138" xr:uid="{00000000-0005-0000-0000-0000A2950000}"/>
    <cellStyle name="Normal 51 2 3 2" xfId="27139" xr:uid="{00000000-0005-0000-0000-0000A3950000}"/>
    <cellStyle name="Normal 51 2 3 2 2" xfId="27140" xr:uid="{00000000-0005-0000-0000-0000A4950000}"/>
    <cellStyle name="Normal 51 2 3 2 2 2" xfId="27141" xr:uid="{00000000-0005-0000-0000-0000A5950000}"/>
    <cellStyle name="Normal 51 2 3 2 3" xfId="27142" xr:uid="{00000000-0005-0000-0000-0000A6950000}"/>
    <cellStyle name="Normal 51 2 3 2 3 2" xfId="27143" xr:uid="{00000000-0005-0000-0000-0000A7950000}"/>
    <cellStyle name="Normal 51 2 3 2 4" xfId="27144" xr:uid="{00000000-0005-0000-0000-0000A8950000}"/>
    <cellStyle name="Normal 51 2 3 3" xfId="27145" xr:uid="{00000000-0005-0000-0000-0000A9950000}"/>
    <cellStyle name="Normal 51 2 3 3 2" xfId="27146" xr:uid="{00000000-0005-0000-0000-0000AA950000}"/>
    <cellStyle name="Normal 51 2 3 3 2 2" xfId="27147" xr:uid="{00000000-0005-0000-0000-0000AB950000}"/>
    <cellStyle name="Normal 51 2 3 3 3" xfId="27148" xr:uid="{00000000-0005-0000-0000-0000AC950000}"/>
    <cellStyle name="Normal 51 2 3 3 3 2" xfId="27149" xr:uid="{00000000-0005-0000-0000-0000AD950000}"/>
    <cellStyle name="Normal 51 2 3 3 4" xfId="27150" xr:uid="{00000000-0005-0000-0000-0000AE950000}"/>
    <cellStyle name="Normal 51 2 3 4" xfId="27151" xr:uid="{00000000-0005-0000-0000-0000AF950000}"/>
    <cellStyle name="Normal 51 2 3 4 2" xfId="27152" xr:uid="{00000000-0005-0000-0000-0000B0950000}"/>
    <cellStyle name="Normal 51 2 3 5" xfId="27153" xr:uid="{00000000-0005-0000-0000-0000B1950000}"/>
    <cellStyle name="Normal 51 2 3 5 2" xfId="27154" xr:uid="{00000000-0005-0000-0000-0000B2950000}"/>
    <cellStyle name="Normal 51 2 3 6" xfId="27155" xr:uid="{00000000-0005-0000-0000-0000B3950000}"/>
    <cellStyle name="Normal 51 2 3 7" xfId="27156" xr:uid="{00000000-0005-0000-0000-0000B4950000}"/>
    <cellStyle name="Normal 51 2 4" xfId="27157" xr:uid="{00000000-0005-0000-0000-0000B5950000}"/>
    <cellStyle name="Normal 51 2 4 2" xfId="27158" xr:uid="{00000000-0005-0000-0000-0000B6950000}"/>
    <cellStyle name="Normal 51 2 4 2 2" xfId="27159" xr:uid="{00000000-0005-0000-0000-0000B7950000}"/>
    <cellStyle name="Normal 51 2 4 3" xfId="27160" xr:uid="{00000000-0005-0000-0000-0000B8950000}"/>
    <cellStyle name="Normal 51 2 4 3 2" xfId="27161" xr:uid="{00000000-0005-0000-0000-0000B9950000}"/>
    <cellStyle name="Normal 51 2 4 4" xfId="27162" xr:uid="{00000000-0005-0000-0000-0000BA950000}"/>
    <cellStyle name="Normal 51 2 4 5" xfId="27163" xr:uid="{00000000-0005-0000-0000-0000BB950000}"/>
    <cellStyle name="Normal 51 2 5" xfId="27164" xr:uid="{00000000-0005-0000-0000-0000BC950000}"/>
    <cellStyle name="Normal 51 2 5 2" xfId="27165" xr:uid="{00000000-0005-0000-0000-0000BD950000}"/>
    <cellStyle name="Normal 51 2 5 2 2" xfId="27166" xr:uid="{00000000-0005-0000-0000-0000BE950000}"/>
    <cellStyle name="Normal 51 2 5 3" xfId="27167" xr:uid="{00000000-0005-0000-0000-0000BF950000}"/>
    <cellStyle name="Normal 51 2 5 3 2" xfId="27168" xr:uid="{00000000-0005-0000-0000-0000C0950000}"/>
    <cellStyle name="Normal 51 2 5 4" xfId="27169" xr:uid="{00000000-0005-0000-0000-0000C1950000}"/>
    <cellStyle name="Normal 51 2 5 5" xfId="27170" xr:uid="{00000000-0005-0000-0000-0000C2950000}"/>
    <cellStyle name="Normal 51 2 6" xfId="27171" xr:uid="{00000000-0005-0000-0000-0000C3950000}"/>
    <cellStyle name="Normal 51 2 6 2" xfId="27172" xr:uid="{00000000-0005-0000-0000-0000C4950000}"/>
    <cellStyle name="Normal 51 2 6 2 2" xfId="27173" xr:uid="{00000000-0005-0000-0000-0000C5950000}"/>
    <cellStyle name="Normal 51 2 6 3" xfId="27174" xr:uid="{00000000-0005-0000-0000-0000C6950000}"/>
    <cellStyle name="Normal 51 2 6 3 2" xfId="27175" xr:uid="{00000000-0005-0000-0000-0000C7950000}"/>
    <cellStyle name="Normal 51 2 6 4" xfId="27176" xr:uid="{00000000-0005-0000-0000-0000C8950000}"/>
    <cellStyle name="Normal 51 2 6 5" xfId="27177" xr:uid="{00000000-0005-0000-0000-0000C9950000}"/>
    <cellStyle name="Normal 51 2 7" xfId="27178" xr:uid="{00000000-0005-0000-0000-0000CA950000}"/>
    <cellStyle name="Normal 51 2 7 2" xfId="27179" xr:uid="{00000000-0005-0000-0000-0000CB950000}"/>
    <cellStyle name="Normal 51 2 7 2 2" xfId="27180" xr:uid="{00000000-0005-0000-0000-0000CC950000}"/>
    <cellStyle name="Normal 51 2 7 3" xfId="27181" xr:uid="{00000000-0005-0000-0000-0000CD950000}"/>
    <cellStyle name="Normal 51 2 7 3 2" xfId="27182" xr:uid="{00000000-0005-0000-0000-0000CE950000}"/>
    <cellStyle name="Normal 51 2 7 4" xfId="27183" xr:uid="{00000000-0005-0000-0000-0000CF950000}"/>
    <cellStyle name="Normal 51 2 7 5" xfId="27184" xr:uid="{00000000-0005-0000-0000-0000D0950000}"/>
    <cellStyle name="Normal 51 2 8" xfId="27185" xr:uid="{00000000-0005-0000-0000-0000D1950000}"/>
    <cellStyle name="Normal 51 2 8 2" xfId="27186" xr:uid="{00000000-0005-0000-0000-0000D2950000}"/>
    <cellStyle name="Normal 51 2 8 2 2" xfId="27187" xr:uid="{00000000-0005-0000-0000-0000D3950000}"/>
    <cellStyle name="Normal 51 2 8 3" xfId="27188" xr:uid="{00000000-0005-0000-0000-0000D4950000}"/>
    <cellStyle name="Normal 51 2 8 3 2" xfId="27189" xr:uid="{00000000-0005-0000-0000-0000D5950000}"/>
    <cellStyle name="Normal 51 2 8 4" xfId="27190" xr:uid="{00000000-0005-0000-0000-0000D6950000}"/>
    <cellStyle name="Normal 51 2 9" xfId="27191" xr:uid="{00000000-0005-0000-0000-0000D7950000}"/>
    <cellStyle name="Normal 51 2 9 2" xfId="27192" xr:uid="{00000000-0005-0000-0000-0000D8950000}"/>
    <cellStyle name="Normal 51 2 9 2 2" xfId="27193" xr:uid="{00000000-0005-0000-0000-0000D9950000}"/>
    <cellStyle name="Normal 51 2 9 3" xfId="27194" xr:uid="{00000000-0005-0000-0000-0000DA950000}"/>
    <cellStyle name="Normal 51 3" xfId="27195" xr:uid="{00000000-0005-0000-0000-0000DB950000}"/>
    <cellStyle name="Normal 51 3 2" xfId="27196" xr:uid="{00000000-0005-0000-0000-0000DC950000}"/>
    <cellStyle name="Normal 51 3 2 2" xfId="57192" xr:uid="{00000000-0005-0000-0000-0000DD950000}"/>
    <cellStyle name="Normal 51 3 2 3" xfId="57193" xr:uid="{00000000-0005-0000-0000-0000DE950000}"/>
    <cellStyle name="Normal 51 3 3" xfId="27197" xr:uid="{00000000-0005-0000-0000-0000DF950000}"/>
    <cellStyle name="Normal 51 3 3 2" xfId="57194" xr:uid="{00000000-0005-0000-0000-0000E0950000}"/>
    <cellStyle name="Normal 51 3 4" xfId="27198" xr:uid="{00000000-0005-0000-0000-0000E1950000}"/>
    <cellStyle name="Normal 51 3 5" xfId="27199" xr:uid="{00000000-0005-0000-0000-0000E2950000}"/>
    <cellStyle name="Normal 51 3 6" xfId="27200" xr:uid="{00000000-0005-0000-0000-0000E3950000}"/>
    <cellStyle name="Normal 51 4" xfId="27201" xr:uid="{00000000-0005-0000-0000-0000E4950000}"/>
    <cellStyle name="Normal 51 4 2" xfId="27202" xr:uid="{00000000-0005-0000-0000-0000E5950000}"/>
    <cellStyle name="Normal 51 4 2 2" xfId="27203" xr:uid="{00000000-0005-0000-0000-0000E6950000}"/>
    <cellStyle name="Normal 51 4 2 2 2" xfId="27204" xr:uid="{00000000-0005-0000-0000-0000E7950000}"/>
    <cellStyle name="Normal 51 4 2 3" xfId="27205" xr:uid="{00000000-0005-0000-0000-0000E8950000}"/>
    <cellStyle name="Normal 51 4 2 3 2" xfId="27206" xr:uid="{00000000-0005-0000-0000-0000E9950000}"/>
    <cellStyle name="Normal 51 4 2 4" xfId="27207" xr:uid="{00000000-0005-0000-0000-0000EA950000}"/>
    <cellStyle name="Normal 51 4 3" xfId="27208" xr:uid="{00000000-0005-0000-0000-0000EB950000}"/>
    <cellStyle name="Normal 51 4 3 2" xfId="27209" xr:uid="{00000000-0005-0000-0000-0000EC950000}"/>
    <cellStyle name="Normal 51 4 3 2 2" xfId="27210" xr:uid="{00000000-0005-0000-0000-0000ED950000}"/>
    <cellStyle name="Normal 51 4 3 3" xfId="27211" xr:uid="{00000000-0005-0000-0000-0000EE950000}"/>
    <cellStyle name="Normal 51 4 3 3 2" xfId="27212" xr:uid="{00000000-0005-0000-0000-0000EF950000}"/>
    <cellStyle name="Normal 51 4 3 4" xfId="27213" xr:uid="{00000000-0005-0000-0000-0000F0950000}"/>
    <cellStyle name="Normal 51 4 4" xfId="27214" xr:uid="{00000000-0005-0000-0000-0000F1950000}"/>
    <cellStyle name="Normal 51 4 4 2" xfId="27215" xr:uid="{00000000-0005-0000-0000-0000F2950000}"/>
    <cellStyle name="Normal 51 4 5" xfId="27216" xr:uid="{00000000-0005-0000-0000-0000F3950000}"/>
    <cellStyle name="Normal 51 4 5 2" xfId="27217" xr:uid="{00000000-0005-0000-0000-0000F4950000}"/>
    <cellStyle name="Normal 51 4 6" xfId="27218" xr:uid="{00000000-0005-0000-0000-0000F5950000}"/>
    <cellStyle name="Normal 51 4 7" xfId="27219" xr:uid="{00000000-0005-0000-0000-0000F6950000}"/>
    <cellStyle name="Normal 51 5" xfId="27220" xr:uid="{00000000-0005-0000-0000-0000F7950000}"/>
    <cellStyle name="Normal 51 5 2" xfId="27221" xr:uid="{00000000-0005-0000-0000-0000F8950000}"/>
    <cellStyle name="Normal 51 5 2 2" xfId="27222" xr:uid="{00000000-0005-0000-0000-0000F9950000}"/>
    <cellStyle name="Normal 51 5 3" xfId="27223" xr:uid="{00000000-0005-0000-0000-0000FA950000}"/>
    <cellStyle name="Normal 51 5 3 2" xfId="27224" xr:uid="{00000000-0005-0000-0000-0000FB950000}"/>
    <cellStyle name="Normal 51 5 4" xfId="27225" xr:uid="{00000000-0005-0000-0000-0000FC950000}"/>
    <cellStyle name="Normal 51 5 5" xfId="27226" xr:uid="{00000000-0005-0000-0000-0000FD950000}"/>
    <cellStyle name="Normal 51 6" xfId="27227" xr:uid="{00000000-0005-0000-0000-0000FE950000}"/>
    <cellStyle name="Normal 51 6 2" xfId="27228" xr:uid="{00000000-0005-0000-0000-0000FF950000}"/>
    <cellStyle name="Normal 51 6 2 2" xfId="27229" xr:uid="{00000000-0005-0000-0000-000000960000}"/>
    <cellStyle name="Normal 51 6 3" xfId="27230" xr:uid="{00000000-0005-0000-0000-000001960000}"/>
    <cellStyle name="Normal 51 6 3 2" xfId="27231" xr:uid="{00000000-0005-0000-0000-000002960000}"/>
    <cellStyle name="Normal 51 6 4" xfId="27232" xr:uid="{00000000-0005-0000-0000-000003960000}"/>
    <cellStyle name="Normal 51 6 5" xfId="27233" xr:uid="{00000000-0005-0000-0000-000004960000}"/>
    <cellStyle name="Normal 51 7" xfId="27234" xr:uid="{00000000-0005-0000-0000-000005960000}"/>
    <cellStyle name="Normal 51 7 2" xfId="27235" xr:uid="{00000000-0005-0000-0000-000006960000}"/>
    <cellStyle name="Normal 51 7 2 2" xfId="27236" xr:uid="{00000000-0005-0000-0000-000007960000}"/>
    <cellStyle name="Normal 51 7 3" xfId="27237" xr:uid="{00000000-0005-0000-0000-000008960000}"/>
    <cellStyle name="Normal 51 7 3 2" xfId="27238" xr:uid="{00000000-0005-0000-0000-000009960000}"/>
    <cellStyle name="Normal 51 7 4" xfId="27239" xr:uid="{00000000-0005-0000-0000-00000A960000}"/>
    <cellStyle name="Normal 51 7 5" xfId="27240" xr:uid="{00000000-0005-0000-0000-00000B960000}"/>
    <cellStyle name="Normal 51 8" xfId="27241" xr:uid="{00000000-0005-0000-0000-00000C960000}"/>
    <cellStyle name="Normal 51 8 2" xfId="27242" xr:uid="{00000000-0005-0000-0000-00000D960000}"/>
    <cellStyle name="Normal 51 8 2 2" xfId="27243" xr:uid="{00000000-0005-0000-0000-00000E960000}"/>
    <cellStyle name="Normal 51 8 3" xfId="27244" xr:uid="{00000000-0005-0000-0000-00000F960000}"/>
    <cellStyle name="Normal 51 8 3 2" xfId="27245" xr:uid="{00000000-0005-0000-0000-000010960000}"/>
    <cellStyle name="Normal 51 8 4" xfId="27246" xr:uid="{00000000-0005-0000-0000-000011960000}"/>
    <cellStyle name="Normal 51 8 5" xfId="27247" xr:uid="{00000000-0005-0000-0000-000012960000}"/>
    <cellStyle name="Normal 51 9" xfId="27248" xr:uid="{00000000-0005-0000-0000-000013960000}"/>
    <cellStyle name="Normal 51 9 2" xfId="27249" xr:uid="{00000000-0005-0000-0000-000014960000}"/>
    <cellStyle name="Normal 51 9 2 2" xfId="27250" xr:uid="{00000000-0005-0000-0000-000015960000}"/>
    <cellStyle name="Normal 51 9 3" xfId="27251" xr:uid="{00000000-0005-0000-0000-000016960000}"/>
    <cellStyle name="Normal 51 9 3 2" xfId="27252" xr:uid="{00000000-0005-0000-0000-000017960000}"/>
    <cellStyle name="Normal 51 9 4" xfId="27253" xr:uid="{00000000-0005-0000-0000-000018960000}"/>
    <cellStyle name="Normal 52" xfId="27254" xr:uid="{00000000-0005-0000-0000-000019960000}"/>
    <cellStyle name="Normal 52 10" xfId="27255" xr:uid="{00000000-0005-0000-0000-00001A960000}"/>
    <cellStyle name="Normal 52 10 2" xfId="27256" xr:uid="{00000000-0005-0000-0000-00001B960000}"/>
    <cellStyle name="Normal 52 11" xfId="27257" xr:uid="{00000000-0005-0000-0000-00001C960000}"/>
    <cellStyle name="Normal 52 11 2" xfId="27258" xr:uid="{00000000-0005-0000-0000-00001D960000}"/>
    <cellStyle name="Normal 52 12" xfId="27259" xr:uid="{00000000-0005-0000-0000-00001E960000}"/>
    <cellStyle name="Normal 52 13" xfId="27260" xr:uid="{00000000-0005-0000-0000-00001F960000}"/>
    <cellStyle name="Normal 52 13 2" xfId="57195" xr:uid="{00000000-0005-0000-0000-000020960000}"/>
    <cellStyle name="Normal 52 14" xfId="27261" xr:uid="{00000000-0005-0000-0000-000021960000}"/>
    <cellStyle name="Normal 52 2" xfId="27262" xr:uid="{00000000-0005-0000-0000-000022960000}"/>
    <cellStyle name="Normal 52 2 10" xfId="27263" xr:uid="{00000000-0005-0000-0000-000023960000}"/>
    <cellStyle name="Normal 52 2 10 2" xfId="27264" xr:uid="{00000000-0005-0000-0000-000024960000}"/>
    <cellStyle name="Normal 52 2 11" xfId="27265" xr:uid="{00000000-0005-0000-0000-000025960000}"/>
    <cellStyle name="Normal 52 2 12" xfId="27266" xr:uid="{00000000-0005-0000-0000-000026960000}"/>
    <cellStyle name="Normal 52 2 2" xfId="27267" xr:uid="{00000000-0005-0000-0000-000027960000}"/>
    <cellStyle name="Normal 52 2 2 2" xfId="27268" xr:uid="{00000000-0005-0000-0000-000028960000}"/>
    <cellStyle name="Normal 52 2 2 2 2" xfId="27269" xr:uid="{00000000-0005-0000-0000-000029960000}"/>
    <cellStyle name="Normal 52 2 2 2 2 2" xfId="27270" xr:uid="{00000000-0005-0000-0000-00002A960000}"/>
    <cellStyle name="Normal 52 2 2 2 3" xfId="27271" xr:uid="{00000000-0005-0000-0000-00002B960000}"/>
    <cellStyle name="Normal 52 2 2 2 3 2" xfId="27272" xr:uid="{00000000-0005-0000-0000-00002C960000}"/>
    <cellStyle name="Normal 52 2 2 2 4" xfId="27273" xr:uid="{00000000-0005-0000-0000-00002D960000}"/>
    <cellStyle name="Normal 52 2 2 3" xfId="27274" xr:uid="{00000000-0005-0000-0000-00002E960000}"/>
    <cellStyle name="Normal 52 2 2 3 2" xfId="27275" xr:uid="{00000000-0005-0000-0000-00002F960000}"/>
    <cellStyle name="Normal 52 2 2 3 2 2" xfId="27276" xr:uid="{00000000-0005-0000-0000-000030960000}"/>
    <cellStyle name="Normal 52 2 2 3 3" xfId="27277" xr:uid="{00000000-0005-0000-0000-000031960000}"/>
    <cellStyle name="Normal 52 2 2 3 3 2" xfId="27278" xr:uid="{00000000-0005-0000-0000-000032960000}"/>
    <cellStyle name="Normal 52 2 2 3 4" xfId="27279" xr:uid="{00000000-0005-0000-0000-000033960000}"/>
    <cellStyle name="Normal 52 2 2 4" xfId="27280" xr:uid="{00000000-0005-0000-0000-000034960000}"/>
    <cellStyle name="Normal 52 2 2 4 2" xfId="27281" xr:uid="{00000000-0005-0000-0000-000035960000}"/>
    <cellStyle name="Normal 52 2 2 5" xfId="27282" xr:uid="{00000000-0005-0000-0000-000036960000}"/>
    <cellStyle name="Normal 52 2 2 5 2" xfId="27283" xr:uid="{00000000-0005-0000-0000-000037960000}"/>
    <cellStyle name="Normal 52 2 2 6" xfId="27284" xr:uid="{00000000-0005-0000-0000-000038960000}"/>
    <cellStyle name="Normal 52 2 3" xfId="27285" xr:uid="{00000000-0005-0000-0000-000039960000}"/>
    <cellStyle name="Normal 52 2 3 2" xfId="27286" xr:uid="{00000000-0005-0000-0000-00003A960000}"/>
    <cellStyle name="Normal 52 2 3 2 2" xfId="27287" xr:uid="{00000000-0005-0000-0000-00003B960000}"/>
    <cellStyle name="Normal 52 2 3 3" xfId="27288" xr:uid="{00000000-0005-0000-0000-00003C960000}"/>
    <cellStyle name="Normal 52 2 3 3 2" xfId="27289" xr:uid="{00000000-0005-0000-0000-00003D960000}"/>
    <cellStyle name="Normal 52 2 3 4" xfId="27290" xr:uid="{00000000-0005-0000-0000-00003E960000}"/>
    <cellStyle name="Normal 52 2 4" xfId="27291" xr:uid="{00000000-0005-0000-0000-00003F960000}"/>
    <cellStyle name="Normal 52 2 4 2" xfId="27292" xr:uid="{00000000-0005-0000-0000-000040960000}"/>
    <cellStyle name="Normal 52 2 4 2 2" xfId="27293" xr:uid="{00000000-0005-0000-0000-000041960000}"/>
    <cellStyle name="Normal 52 2 4 3" xfId="27294" xr:uid="{00000000-0005-0000-0000-000042960000}"/>
    <cellStyle name="Normal 52 2 4 3 2" xfId="27295" xr:uid="{00000000-0005-0000-0000-000043960000}"/>
    <cellStyle name="Normal 52 2 4 4" xfId="27296" xr:uid="{00000000-0005-0000-0000-000044960000}"/>
    <cellStyle name="Normal 52 2 5" xfId="27297" xr:uid="{00000000-0005-0000-0000-000045960000}"/>
    <cellStyle name="Normal 52 2 5 2" xfId="27298" xr:uid="{00000000-0005-0000-0000-000046960000}"/>
    <cellStyle name="Normal 52 2 5 2 2" xfId="27299" xr:uid="{00000000-0005-0000-0000-000047960000}"/>
    <cellStyle name="Normal 52 2 5 3" xfId="27300" xr:uid="{00000000-0005-0000-0000-000048960000}"/>
    <cellStyle name="Normal 52 2 5 3 2" xfId="27301" xr:uid="{00000000-0005-0000-0000-000049960000}"/>
    <cellStyle name="Normal 52 2 5 4" xfId="27302" xr:uid="{00000000-0005-0000-0000-00004A960000}"/>
    <cellStyle name="Normal 52 2 6" xfId="27303" xr:uid="{00000000-0005-0000-0000-00004B960000}"/>
    <cellStyle name="Normal 52 2 6 2" xfId="27304" xr:uid="{00000000-0005-0000-0000-00004C960000}"/>
    <cellStyle name="Normal 52 2 6 2 2" xfId="27305" xr:uid="{00000000-0005-0000-0000-00004D960000}"/>
    <cellStyle name="Normal 52 2 6 3" xfId="27306" xr:uid="{00000000-0005-0000-0000-00004E960000}"/>
    <cellStyle name="Normal 52 2 6 3 2" xfId="27307" xr:uid="{00000000-0005-0000-0000-00004F960000}"/>
    <cellStyle name="Normal 52 2 6 4" xfId="27308" xr:uid="{00000000-0005-0000-0000-000050960000}"/>
    <cellStyle name="Normal 52 2 7" xfId="27309" xr:uid="{00000000-0005-0000-0000-000051960000}"/>
    <cellStyle name="Normal 52 2 7 2" xfId="27310" xr:uid="{00000000-0005-0000-0000-000052960000}"/>
    <cellStyle name="Normal 52 2 7 2 2" xfId="27311" xr:uid="{00000000-0005-0000-0000-000053960000}"/>
    <cellStyle name="Normal 52 2 7 3" xfId="27312" xr:uid="{00000000-0005-0000-0000-000054960000}"/>
    <cellStyle name="Normal 52 2 7 3 2" xfId="27313" xr:uid="{00000000-0005-0000-0000-000055960000}"/>
    <cellStyle name="Normal 52 2 7 4" xfId="27314" xr:uid="{00000000-0005-0000-0000-000056960000}"/>
    <cellStyle name="Normal 52 2 8" xfId="27315" xr:uid="{00000000-0005-0000-0000-000057960000}"/>
    <cellStyle name="Normal 52 2 8 2" xfId="27316" xr:uid="{00000000-0005-0000-0000-000058960000}"/>
    <cellStyle name="Normal 52 2 8 2 2" xfId="27317" xr:uid="{00000000-0005-0000-0000-000059960000}"/>
    <cellStyle name="Normal 52 2 8 3" xfId="27318" xr:uid="{00000000-0005-0000-0000-00005A960000}"/>
    <cellStyle name="Normal 52 2 9" xfId="27319" xr:uid="{00000000-0005-0000-0000-00005B960000}"/>
    <cellStyle name="Normal 52 2 9 2" xfId="27320" xr:uid="{00000000-0005-0000-0000-00005C960000}"/>
    <cellStyle name="Normal 52 3" xfId="27321" xr:uid="{00000000-0005-0000-0000-00005D960000}"/>
    <cellStyle name="Normal 52 3 2" xfId="27322" xr:uid="{00000000-0005-0000-0000-00005E960000}"/>
    <cellStyle name="Normal 52 3 2 2" xfId="27323" xr:uid="{00000000-0005-0000-0000-00005F960000}"/>
    <cellStyle name="Normal 52 3 2 2 2" xfId="27324" xr:uid="{00000000-0005-0000-0000-000060960000}"/>
    <cellStyle name="Normal 52 3 2 3" xfId="27325" xr:uid="{00000000-0005-0000-0000-000061960000}"/>
    <cellStyle name="Normal 52 3 2 3 2" xfId="27326" xr:uid="{00000000-0005-0000-0000-000062960000}"/>
    <cellStyle name="Normal 52 3 2 4" xfId="27327" xr:uid="{00000000-0005-0000-0000-000063960000}"/>
    <cellStyle name="Normal 52 3 3" xfId="27328" xr:uid="{00000000-0005-0000-0000-000064960000}"/>
    <cellStyle name="Normal 52 3 3 2" xfId="27329" xr:uid="{00000000-0005-0000-0000-000065960000}"/>
    <cellStyle name="Normal 52 3 3 2 2" xfId="27330" xr:uid="{00000000-0005-0000-0000-000066960000}"/>
    <cellStyle name="Normal 52 3 3 3" xfId="27331" xr:uid="{00000000-0005-0000-0000-000067960000}"/>
    <cellStyle name="Normal 52 3 3 3 2" xfId="27332" xr:uid="{00000000-0005-0000-0000-000068960000}"/>
    <cellStyle name="Normal 52 3 3 4" xfId="27333" xr:uid="{00000000-0005-0000-0000-000069960000}"/>
    <cellStyle name="Normal 52 3 4" xfId="27334" xr:uid="{00000000-0005-0000-0000-00006A960000}"/>
    <cellStyle name="Normal 52 3 4 2" xfId="27335" xr:uid="{00000000-0005-0000-0000-00006B960000}"/>
    <cellStyle name="Normal 52 3 5" xfId="27336" xr:uid="{00000000-0005-0000-0000-00006C960000}"/>
    <cellStyle name="Normal 52 3 5 2" xfId="27337" xr:uid="{00000000-0005-0000-0000-00006D960000}"/>
    <cellStyle name="Normal 52 3 6" xfId="27338" xr:uid="{00000000-0005-0000-0000-00006E960000}"/>
    <cellStyle name="Normal 52 3 7" xfId="27339" xr:uid="{00000000-0005-0000-0000-00006F960000}"/>
    <cellStyle name="Normal 52 4" xfId="27340" xr:uid="{00000000-0005-0000-0000-000070960000}"/>
    <cellStyle name="Normal 52 4 2" xfId="27341" xr:uid="{00000000-0005-0000-0000-000071960000}"/>
    <cellStyle name="Normal 52 4 2 2" xfId="27342" xr:uid="{00000000-0005-0000-0000-000072960000}"/>
    <cellStyle name="Normal 52 4 3" xfId="27343" xr:uid="{00000000-0005-0000-0000-000073960000}"/>
    <cellStyle name="Normal 52 4 3 2" xfId="27344" xr:uid="{00000000-0005-0000-0000-000074960000}"/>
    <cellStyle name="Normal 52 4 4" xfId="27345" xr:uid="{00000000-0005-0000-0000-000075960000}"/>
    <cellStyle name="Normal 52 4 5" xfId="27346" xr:uid="{00000000-0005-0000-0000-000076960000}"/>
    <cellStyle name="Normal 52 5" xfId="27347" xr:uid="{00000000-0005-0000-0000-000077960000}"/>
    <cellStyle name="Normal 52 5 2" xfId="27348" xr:uid="{00000000-0005-0000-0000-000078960000}"/>
    <cellStyle name="Normal 52 5 2 2" xfId="27349" xr:uid="{00000000-0005-0000-0000-000079960000}"/>
    <cellStyle name="Normal 52 5 3" xfId="27350" xr:uid="{00000000-0005-0000-0000-00007A960000}"/>
    <cellStyle name="Normal 52 5 3 2" xfId="27351" xr:uid="{00000000-0005-0000-0000-00007B960000}"/>
    <cellStyle name="Normal 52 5 4" xfId="27352" xr:uid="{00000000-0005-0000-0000-00007C960000}"/>
    <cellStyle name="Normal 52 5 5" xfId="27353" xr:uid="{00000000-0005-0000-0000-00007D960000}"/>
    <cellStyle name="Normal 52 6" xfId="27354" xr:uid="{00000000-0005-0000-0000-00007E960000}"/>
    <cellStyle name="Normal 52 6 2" xfId="27355" xr:uid="{00000000-0005-0000-0000-00007F960000}"/>
    <cellStyle name="Normal 52 6 2 2" xfId="27356" xr:uid="{00000000-0005-0000-0000-000080960000}"/>
    <cellStyle name="Normal 52 6 3" xfId="27357" xr:uid="{00000000-0005-0000-0000-000081960000}"/>
    <cellStyle name="Normal 52 6 3 2" xfId="27358" xr:uid="{00000000-0005-0000-0000-000082960000}"/>
    <cellStyle name="Normal 52 6 4" xfId="27359" xr:uid="{00000000-0005-0000-0000-000083960000}"/>
    <cellStyle name="Normal 52 6 5" xfId="27360" xr:uid="{00000000-0005-0000-0000-000084960000}"/>
    <cellStyle name="Normal 52 7" xfId="27361" xr:uid="{00000000-0005-0000-0000-000085960000}"/>
    <cellStyle name="Normal 52 7 2" xfId="27362" xr:uid="{00000000-0005-0000-0000-000086960000}"/>
    <cellStyle name="Normal 52 7 2 2" xfId="27363" xr:uid="{00000000-0005-0000-0000-000087960000}"/>
    <cellStyle name="Normal 52 7 3" xfId="27364" xr:uid="{00000000-0005-0000-0000-000088960000}"/>
    <cellStyle name="Normal 52 7 3 2" xfId="27365" xr:uid="{00000000-0005-0000-0000-000089960000}"/>
    <cellStyle name="Normal 52 7 4" xfId="27366" xr:uid="{00000000-0005-0000-0000-00008A960000}"/>
    <cellStyle name="Normal 52 7 5" xfId="27367" xr:uid="{00000000-0005-0000-0000-00008B960000}"/>
    <cellStyle name="Normal 52 8" xfId="27368" xr:uid="{00000000-0005-0000-0000-00008C960000}"/>
    <cellStyle name="Normal 52 8 2" xfId="27369" xr:uid="{00000000-0005-0000-0000-00008D960000}"/>
    <cellStyle name="Normal 52 8 2 2" xfId="27370" xr:uid="{00000000-0005-0000-0000-00008E960000}"/>
    <cellStyle name="Normal 52 8 3" xfId="27371" xr:uid="{00000000-0005-0000-0000-00008F960000}"/>
    <cellStyle name="Normal 52 8 3 2" xfId="27372" xr:uid="{00000000-0005-0000-0000-000090960000}"/>
    <cellStyle name="Normal 52 8 4" xfId="27373" xr:uid="{00000000-0005-0000-0000-000091960000}"/>
    <cellStyle name="Normal 52 8 5" xfId="27374" xr:uid="{00000000-0005-0000-0000-000092960000}"/>
    <cellStyle name="Normal 52 9" xfId="27375" xr:uid="{00000000-0005-0000-0000-000093960000}"/>
    <cellStyle name="Normal 52 9 2" xfId="27376" xr:uid="{00000000-0005-0000-0000-000094960000}"/>
    <cellStyle name="Normal 52 9 2 2" xfId="27377" xr:uid="{00000000-0005-0000-0000-000095960000}"/>
    <cellStyle name="Normal 52 9 3" xfId="27378" xr:uid="{00000000-0005-0000-0000-000096960000}"/>
    <cellStyle name="Normal 53" xfId="27379" xr:uid="{00000000-0005-0000-0000-000097960000}"/>
    <cellStyle name="Normal 53 10" xfId="27380" xr:uid="{00000000-0005-0000-0000-000098960000}"/>
    <cellStyle name="Normal 53 10 2" xfId="27381" xr:uid="{00000000-0005-0000-0000-000099960000}"/>
    <cellStyle name="Normal 53 11" xfId="27382" xr:uid="{00000000-0005-0000-0000-00009A960000}"/>
    <cellStyle name="Normal 53 11 2" xfId="27383" xr:uid="{00000000-0005-0000-0000-00009B960000}"/>
    <cellStyle name="Normal 53 12" xfId="27384" xr:uid="{00000000-0005-0000-0000-00009C960000}"/>
    <cellStyle name="Normal 53 13" xfId="27385" xr:uid="{00000000-0005-0000-0000-00009D960000}"/>
    <cellStyle name="Normal 53 14" xfId="27386" xr:uid="{00000000-0005-0000-0000-00009E960000}"/>
    <cellStyle name="Normal 53 2" xfId="27387" xr:uid="{00000000-0005-0000-0000-00009F960000}"/>
    <cellStyle name="Normal 53 2 10" xfId="27388" xr:uid="{00000000-0005-0000-0000-0000A0960000}"/>
    <cellStyle name="Normal 53 2 10 2" xfId="27389" xr:uid="{00000000-0005-0000-0000-0000A1960000}"/>
    <cellStyle name="Normal 53 2 11" xfId="27390" xr:uid="{00000000-0005-0000-0000-0000A2960000}"/>
    <cellStyle name="Normal 53 2 12" xfId="27391" xr:uid="{00000000-0005-0000-0000-0000A3960000}"/>
    <cellStyle name="Normal 53 2 2" xfId="27392" xr:uid="{00000000-0005-0000-0000-0000A4960000}"/>
    <cellStyle name="Normal 53 2 2 2" xfId="27393" xr:uid="{00000000-0005-0000-0000-0000A5960000}"/>
    <cellStyle name="Normal 53 2 2 2 2" xfId="27394" xr:uid="{00000000-0005-0000-0000-0000A6960000}"/>
    <cellStyle name="Normal 53 2 2 2 2 2" xfId="27395" xr:uid="{00000000-0005-0000-0000-0000A7960000}"/>
    <cellStyle name="Normal 53 2 2 2 3" xfId="27396" xr:uid="{00000000-0005-0000-0000-0000A8960000}"/>
    <cellStyle name="Normal 53 2 2 2 3 2" xfId="27397" xr:uid="{00000000-0005-0000-0000-0000A9960000}"/>
    <cellStyle name="Normal 53 2 2 2 4" xfId="27398" xr:uid="{00000000-0005-0000-0000-0000AA960000}"/>
    <cellStyle name="Normal 53 2 2 3" xfId="27399" xr:uid="{00000000-0005-0000-0000-0000AB960000}"/>
    <cellStyle name="Normal 53 2 2 3 2" xfId="27400" xr:uid="{00000000-0005-0000-0000-0000AC960000}"/>
    <cellStyle name="Normal 53 2 2 3 2 2" xfId="27401" xr:uid="{00000000-0005-0000-0000-0000AD960000}"/>
    <cellStyle name="Normal 53 2 2 3 3" xfId="27402" xr:uid="{00000000-0005-0000-0000-0000AE960000}"/>
    <cellStyle name="Normal 53 2 2 3 3 2" xfId="27403" xr:uid="{00000000-0005-0000-0000-0000AF960000}"/>
    <cellStyle name="Normal 53 2 2 3 4" xfId="27404" xr:uid="{00000000-0005-0000-0000-0000B0960000}"/>
    <cellStyle name="Normal 53 2 2 4" xfId="27405" xr:uid="{00000000-0005-0000-0000-0000B1960000}"/>
    <cellStyle name="Normal 53 2 2 4 2" xfId="27406" xr:uid="{00000000-0005-0000-0000-0000B2960000}"/>
    <cellStyle name="Normal 53 2 2 5" xfId="27407" xr:uid="{00000000-0005-0000-0000-0000B3960000}"/>
    <cellStyle name="Normal 53 2 2 5 2" xfId="27408" xr:uid="{00000000-0005-0000-0000-0000B4960000}"/>
    <cellStyle name="Normal 53 2 2 6" xfId="27409" xr:uid="{00000000-0005-0000-0000-0000B5960000}"/>
    <cellStyle name="Normal 53 2 3" xfId="27410" xr:uid="{00000000-0005-0000-0000-0000B6960000}"/>
    <cellStyle name="Normal 53 2 3 2" xfId="27411" xr:uid="{00000000-0005-0000-0000-0000B7960000}"/>
    <cellStyle name="Normal 53 2 3 2 2" xfId="27412" xr:uid="{00000000-0005-0000-0000-0000B8960000}"/>
    <cellStyle name="Normal 53 2 3 3" xfId="27413" xr:uid="{00000000-0005-0000-0000-0000B9960000}"/>
    <cellStyle name="Normal 53 2 3 3 2" xfId="27414" xr:uid="{00000000-0005-0000-0000-0000BA960000}"/>
    <cellStyle name="Normal 53 2 3 4" xfId="27415" xr:uid="{00000000-0005-0000-0000-0000BB960000}"/>
    <cellStyle name="Normal 53 2 4" xfId="27416" xr:uid="{00000000-0005-0000-0000-0000BC960000}"/>
    <cellStyle name="Normal 53 2 4 2" xfId="27417" xr:uid="{00000000-0005-0000-0000-0000BD960000}"/>
    <cellStyle name="Normal 53 2 4 2 2" xfId="27418" xr:uid="{00000000-0005-0000-0000-0000BE960000}"/>
    <cellStyle name="Normal 53 2 4 3" xfId="27419" xr:uid="{00000000-0005-0000-0000-0000BF960000}"/>
    <cellStyle name="Normal 53 2 4 3 2" xfId="27420" xr:uid="{00000000-0005-0000-0000-0000C0960000}"/>
    <cellStyle name="Normal 53 2 4 4" xfId="27421" xr:uid="{00000000-0005-0000-0000-0000C1960000}"/>
    <cellStyle name="Normal 53 2 5" xfId="27422" xr:uid="{00000000-0005-0000-0000-0000C2960000}"/>
    <cellStyle name="Normal 53 2 5 2" xfId="27423" xr:uid="{00000000-0005-0000-0000-0000C3960000}"/>
    <cellStyle name="Normal 53 2 5 2 2" xfId="27424" xr:uid="{00000000-0005-0000-0000-0000C4960000}"/>
    <cellStyle name="Normal 53 2 5 3" xfId="27425" xr:uid="{00000000-0005-0000-0000-0000C5960000}"/>
    <cellStyle name="Normal 53 2 5 3 2" xfId="27426" xr:uid="{00000000-0005-0000-0000-0000C6960000}"/>
    <cellStyle name="Normal 53 2 5 4" xfId="27427" xr:uid="{00000000-0005-0000-0000-0000C7960000}"/>
    <cellStyle name="Normal 53 2 6" xfId="27428" xr:uid="{00000000-0005-0000-0000-0000C8960000}"/>
    <cellStyle name="Normal 53 2 6 2" xfId="27429" xr:uid="{00000000-0005-0000-0000-0000C9960000}"/>
    <cellStyle name="Normal 53 2 6 2 2" xfId="27430" xr:uid="{00000000-0005-0000-0000-0000CA960000}"/>
    <cellStyle name="Normal 53 2 6 3" xfId="27431" xr:uid="{00000000-0005-0000-0000-0000CB960000}"/>
    <cellStyle name="Normal 53 2 6 3 2" xfId="27432" xr:uid="{00000000-0005-0000-0000-0000CC960000}"/>
    <cellStyle name="Normal 53 2 6 4" xfId="27433" xr:uid="{00000000-0005-0000-0000-0000CD960000}"/>
    <cellStyle name="Normal 53 2 7" xfId="27434" xr:uid="{00000000-0005-0000-0000-0000CE960000}"/>
    <cellStyle name="Normal 53 2 7 2" xfId="27435" xr:uid="{00000000-0005-0000-0000-0000CF960000}"/>
    <cellStyle name="Normal 53 2 7 2 2" xfId="27436" xr:uid="{00000000-0005-0000-0000-0000D0960000}"/>
    <cellStyle name="Normal 53 2 7 3" xfId="27437" xr:uid="{00000000-0005-0000-0000-0000D1960000}"/>
    <cellStyle name="Normal 53 2 7 3 2" xfId="27438" xr:uid="{00000000-0005-0000-0000-0000D2960000}"/>
    <cellStyle name="Normal 53 2 7 4" xfId="27439" xr:uid="{00000000-0005-0000-0000-0000D3960000}"/>
    <cellStyle name="Normal 53 2 8" xfId="27440" xr:uid="{00000000-0005-0000-0000-0000D4960000}"/>
    <cellStyle name="Normal 53 2 8 2" xfId="27441" xr:uid="{00000000-0005-0000-0000-0000D5960000}"/>
    <cellStyle name="Normal 53 2 8 2 2" xfId="27442" xr:uid="{00000000-0005-0000-0000-0000D6960000}"/>
    <cellStyle name="Normal 53 2 8 3" xfId="27443" xr:uid="{00000000-0005-0000-0000-0000D7960000}"/>
    <cellStyle name="Normal 53 2 9" xfId="27444" xr:uid="{00000000-0005-0000-0000-0000D8960000}"/>
    <cellStyle name="Normal 53 2 9 2" xfId="27445" xr:uid="{00000000-0005-0000-0000-0000D9960000}"/>
    <cellStyle name="Normal 53 3" xfId="27446" xr:uid="{00000000-0005-0000-0000-0000DA960000}"/>
    <cellStyle name="Normal 53 3 2" xfId="27447" xr:uid="{00000000-0005-0000-0000-0000DB960000}"/>
    <cellStyle name="Normal 53 3 2 2" xfId="27448" xr:uid="{00000000-0005-0000-0000-0000DC960000}"/>
    <cellStyle name="Normal 53 3 2 2 2" xfId="27449" xr:uid="{00000000-0005-0000-0000-0000DD960000}"/>
    <cellStyle name="Normal 53 3 2 3" xfId="27450" xr:uid="{00000000-0005-0000-0000-0000DE960000}"/>
    <cellStyle name="Normal 53 3 2 3 2" xfId="27451" xr:uid="{00000000-0005-0000-0000-0000DF960000}"/>
    <cellStyle name="Normal 53 3 2 4" xfId="27452" xr:uid="{00000000-0005-0000-0000-0000E0960000}"/>
    <cellStyle name="Normal 53 3 3" xfId="27453" xr:uid="{00000000-0005-0000-0000-0000E1960000}"/>
    <cellStyle name="Normal 53 3 3 2" xfId="27454" xr:uid="{00000000-0005-0000-0000-0000E2960000}"/>
    <cellStyle name="Normal 53 3 3 2 2" xfId="27455" xr:uid="{00000000-0005-0000-0000-0000E3960000}"/>
    <cellStyle name="Normal 53 3 3 3" xfId="27456" xr:uid="{00000000-0005-0000-0000-0000E4960000}"/>
    <cellStyle name="Normal 53 3 3 3 2" xfId="27457" xr:uid="{00000000-0005-0000-0000-0000E5960000}"/>
    <cellStyle name="Normal 53 3 3 4" xfId="27458" xr:uid="{00000000-0005-0000-0000-0000E6960000}"/>
    <cellStyle name="Normal 53 3 4" xfId="27459" xr:uid="{00000000-0005-0000-0000-0000E7960000}"/>
    <cellStyle name="Normal 53 3 4 2" xfId="27460" xr:uid="{00000000-0005-0000-0000-0000E8960000}"/>
    <cellStyle name="Normal 53 3 5" xfId="27461" xr:uid="{00000000-0005-0000-0000-0000E9960000}"/>
    <cellStyle name="Normal 53 3 5 2" xfId="27462" xr:uid="{00000000-0005-0000-0000-0000EA960000}"/>
    <cellStyle name="Normal 53 3 6" xfId="27463" xr:uid="{00000000-0005-0000-0000-0000EB960000}"/>
    <cellStyle name="Normal 53 4" xfId="27464" xr:uid="{00000000-0005-0000-0000-0000EC960000}"/>
    <cellStyle name="Normal 53 4 2" xfId="27465" xr:uid="{00000000-0005-0000-0000-0000ED960000}"/>
    <cellStyle name="Normal 53 4 2 2" xfId="27466" xr:uid="{00000000-0005-0000-0000-0000EE960000}"/>
    <cellStyle name="Normal 53 4 3" xfId="27467" xr:uid="{00000000-0005-0000-0000-0000EF960000}"/>
    <cellStyle name="Normal 53 4 3 2" xfId="27468" xr:uid="{00000000-0005-0000-0000-0000F0960000}"/>
    <cellStyle name="Normal 53 4 4" xfId="27469" xr:uid="{00000000-0005-0000-0000-0000F1960000}"/>
    <cellStyle name="Normal 53 5" xfId="27470" xr:uid="{00000000-0005-0000-0000-0000F2960000}"/>
    <cellStyle name="Normal 53 5 2" xfId="27471" xr:uid="{00000000-0005-0000-0000-0000F3960000}"/>
    <cellStyle name="Normal 53 5 2 2" xfId="27472" xr:uid="{00000000-0005-0000-0000-0000F4960000}"/>
    <cellStyle name="Normal 53 5 3" xfId="27473" xr:uid="{00000000-0005-0000-0000-0000F5960000}"/>
    <cellStyle name="Normal 53 5 3 2" xfId="27474" xr:uid="{00000000-0005-0000-0000-0000F6960000}"/>
    <cellStyle name="Normal 53 5 4" xfId="27475" xr:uid="{00000000-0005-0000-0000-0000F7960000}"/>
    <cellStyle name="Normal 53 6" xfId="27476" xr:uid="{00000000-0005-0000-0000-0000F8960000}"/>
    <cellStyle name="Normal 53 6 2" xfId="27477" xr:uid="{00000000-0005-0000-0000-0000F9960000}"/>
    <cellStyle name="Normal 53 6 2 2" xfId="27478" xr:uid="{00000000-0005-0000-0000-0000FA960000}"/>
    <cellStyle name="Normal 53 6 3" xfId="27479" xr:uid="{00000000-0005-0000-0000-0000FB960000}"/>
    <cellStyle name="Normal 53 6 3 2" xfId="27480" xr:uid="{00000000-0005-0000-0000-0000FC960000}"/>
    <cellStyle name="Normal 53 6 4" xfId="27481" xr:uid="{00000000-0005-0000-0000-0000FD960000}"/>
    <cellStyle name="Normal 53 7" xfId="27482" xr:uid="{00000000-0005-0000-0000-0000FE960000}"/>
    <cellStyle name="Normal 53 7 2" xfId="27483" xr:uid="{00000000-0005-0000-0000-0000FF960000}"/>
    <cellStyle name="Normal 53 7 2 2" xfId="27484" xr:uid="{00000000-0005-0000-0000-000000970000}"/>
    <cellStyle name="Normal 53 7 3" xfId="27485" xr:uid="{00000000-0005-0000-0000-000001970000}"/>
    <cellStyle name="Normal 53 7 3 2" xfId="27486" xr:uid="{00000000-0005-0000-0000-000002970000}"/>
    <cellStyle name="Normal 53 7 4" xfId="27487" xr:uid="{00000000-0005-0000-0000-000003970000}"/>
    <cellStyle name="Normal 53 8" xfId="27488" xr:uid="{00000000-0005-0000-0000-000004970000}"/>
    <cellStyle name="Normal 53 8 2" xfId="27489" xr:uid="{00000000-0005-0000-0000-000005970000}"/>
    <cellStyle name="Normal 53 8 2 2" xfId="27490" xr:uid="{00000000-0005-0000-0000-000006970000}"/>
    <cellStyle name="Normal 53 8 3" xfId="27491" xr:uid="{00000000-0005-0000-0000-000007970000}"/>
    <cellStyle name="Normal 53 8 3 2" xfId="27492" xr:uid="{00000000-0005-0000-0000-000008970000}"/>
    <cellStyle name="Normal 53 8 4" xfId="27493" xr:uid="{00000000-0005-0000-0000-000009970000}"/>
    <cellStyle name="Normal 53 9" xfId="27494" xr:uid="{00000000-0005-0000-0000-00000A970000}"/>
    <cellStyle name="Normal 53 9 2" xfId="27495" xr:uid="{00000000-0005-0000-0000-00000B970000}"/>
    <cellStyle name="Normal 53 9 2 2" xfId="27496" xr:uid="{00000000-0005-0000-0000-00000C970000}"/>
    <cellStyle name="Normal 53 9 3" xfId="27497" xr:uid="{00000000-0005-0000-0000-00000D970000}"/>
    <cellStyle name="Normal 54" xfId="27498" xr:uid="{00000000-0005-0000-0000-00000E970000}"/>
    <cellStyle name="Normal 54 10" xfId="27499" xr:uid="{00000000-0005-0000-0000-00000F970000}"/>
    <cellStyle name="Normal 54 10 2" xfId="27500" xr:uid="{00000000-0005-0000-0000-000010970000}"/>
    <cellStyle name="Normal 54 11" xfId="27501" xr:uid="{00000000-0005-0000-0000-000011970000}"/>
    <cellStyle name="Normal 54 11 2" xfId="27502" xr:uid="{00000000-0005-0000-0000-000012970000}"/>
    <cellStyle name="Normal 54 12" xfId="27503" xr:uid="{00000000-0005-0000-0000-000013970000}"/>
    <cellStyle name="Normal 54 13" xfId="27504" xr:uid="{00000000-0005-0000-0000-000014970000}"/>
    <cellStyle name="Normal 54 14" xfId="27505" xr:uid="{00000000-0005-0000-0000-000015970000}"/>
    <cellStyle name="Normal 54 2" xfId="27506" xr:uid="{00000000-0005-0000-0000-000016970000}"/>
    <cellStyle name="Normal 54 2 10" xfId="27507" xr:uid="{00000000-0005-0000-0000-000017970000}"/>
    <cellStyle name="Normal 54 2 10 2" xfId="27508" xr:uid="{00000000-0005-0000-0000-000018970000}"/>
    <cellStyle name="Normal 54 2 11" xfId="27509" xr:uid="{00000000-0005-0000-0000-000019970000}"/>
    <cellStyle name="Normal 54 2 12" xfId="27510" xr:uid="{00000000-0005-0000-0000-00001A970000}"/>
    <cellStyle name="Normal 54 2 2" xfId="27511" xr:uid="{00000000-0005-0000-0000-00001B970000}"/>
    <cellStyle name="Normal 54 2 2 2" xfId="27512" xr:uid="{00000000-0005-0000-0000-00001C970000}"/>
    <cellStyle name="Normal 54 2 2 2 2" xfId="27513" xr:uid="{00000000-0005-0000-0000-00001D970000}"/>
    <cellStyle name="Normal 54 2 2 2 2 2" xfId="27514" xr:uid="{00000000-0005-0000-0000-00001E970000}"/>
    <cellStyle name="Normal 54 2 2 2 3" xfId="27515" xr:uid="{00000000-0005-0000-0000-00001F970000}"/>
    <cellStyle name="Normal 54 2 2 2 3 2" xfId="27516" xr:uid="{00000000-0005-0000-0000-000020970000}"/>
    <cellStyle name="Normal 54 2 2 2 4" xfId="27517" xr:uid="{00000000-0005-0000-0000-000021970000}"/>
    <cellStyle name="Normal 54 2 2 3" xfId="27518" xr:uid="{00000000-0005-0000-0000-000022970000}"/>
    <cellStyle name="Normal 54 2 2 3 2" xfId="27519" xr:uid="{00000000-0005-0000-0000-000023970000}"/>
    <cellStyle name="Normal 54 2 2 3 2 2" xfId="27520" xr:uid="{00000000-0005-0000-0000-000024970000}"/>
    <cellStyle name="Normal 54 2 2 3 3" xfId="27521" xr:uid="{00000000-0005-0000-0000-000025970000}"/>
    <cellStyle name="Normal 54 2 2 3 3 2" xfId="27522" xr:uid="{00000000-0005-0000-0000-000026970000}"/>
    <cellStyle name="Normal 54 2 2 3 4" xfId="27523" xr:uid="{00000000-0005-0000-0000-000027970000}"/>
    <cellStyle name="Normal 54 2 2 4" xfId="27524" xr:uid="{00000000-0005-0000-0000-000028970000}"/>
    <cellStyle name="Normal 54 2 2 4 2" xfId="27525" xr:uid="{00000000-0005-0000-0000-000029970000}"/>
    <cellStyle name="Normal 54 2 2 5" xfId="27526" xr:uid="{00000000-0005-0000-0000-00002A970000}"/>
    <cellStyle name="Normal 54 2 2 5 2" xfId="27527" xr:uid="{00000000-0005-0000-0000-00002B970000}"/>
    <cellStyle name="Normal 54 2 2 6" xfId="27528" xr:uid="{00000000-0005-0000-0000-00002C970000}"/>
    <cellStyle name="Normal 54 2 3" xfId="27529" xr:uid="{00000000-0005-0000-0000-00002D970000}"/>
    <cellStyle name="Normal 54 2 3 2" xfId="27530" xr:uid="{00000000-0005-0000-0000-00002E970000}"/>
    <cellStyle name="Normal 54 2 3 2 2" xfId="27531" xr:uid="{00000000-0005-0000-0000-00002F970000}"/>
    <cellStyle name="Normal 54 2 3 3" xfId="27532" xr:uid="{00000000-0005-0000-0000-000030970000}"/>
    <cellStyle name="Normal 54 2 3 3 2" xfId="27533" xr:uid="{00000000-0005-0000-0000-000031970000}"/>
    <cellStyle name="Normal 54 2 3 4" xfId="27534" xr:uid="{00000000-0005-0000-0000-000032970000}"/>
    <cellStyle name="Normal 54 2 4" xfId="27535" xr:uid="{00000000-0005-0000-0000-000033970000}"/>
    <cellStyle name="Normal 54 2 4 2" xfId="27536" xr:uid="{00000000-0005-0000-0000-000034970000}"/>
    <cellStyle name="Normal 54 2 4 2 2" xfId="27537" xr:uid="{00000000-0005-0000-0000-000035970000}"/>
    <cellStyle name="Normal 54 2 4 3" xfId="27538" xr:uid="{00000000-0005-0000-0000-000036970000}"/>
    <cellStyle name="Normal 54 2 4 3 2" xfId="27539" xr:uid="{00000000-0005-0000-0000-000037970000}"/>
    <cellStyle name="Normal 54 2 4 4" xfId="27540" xr:uid="{00000000-0005-0000-0000-000038970000}"/>
    <cellStyle name="Normal 54 2 5" xfId="27541" xr:uid="{00000000-0005-0000-0000-000039970000}"/>
    <cellStyle name="Normal 54 2 5 2" xfId="27542" xr:uid="{00000000-0005-0000-0000-00003A970000}"/>
    <cellStyle name="Normal 54 2 5 2 2" xfId="27543" xr:uid="{00000000-0005-0000-0000-00003B970000}"/>
    <cellStyle name="Normal 54 2 5 3" xfId="27544" xr:uid="{00000000-0005-0000-0000-00003C970000}"/>
    <cellStyle name="Normal 54 2 5 3 2" xfId="27545" xr:uid="{00000000-0005-0000-0000-00003D970000}"/>
    <cellStyle name="Normal 54 2 5 4" xfId="27546" xr:uid="{00000000-0005-0000-0000-00003E970000}"/>
    <cellStyle name="Normal 54 2 6" xfId="27547" xr:uid="{00000000-0005-0000-0000-00003F970000}"/>
    <cellStyle name="Normal 54 2 6 2" xfId="27548" xr:uid="{00000000-0005-0000-0000-000040970000}"/>
    <cellStyle name="Normal 54 2 6 2 2" xfId="27549" xr:uid="{00000000-0005-0000-0000-000041970000}"/>
    <cellStyle name="Normal 54 2 6 3" xfId="27550" xr:uid="{00000000-0005-0000-0000-000042970000}"/>
    <cellStyle name="Normal 54 2 6 3 2" xfId="27551" xr:uid="{00000000-0005-0000-0000-000043970000}"/>
    <cellStyle name="Normal 54 2 6 4" xfId="27552" xr:uid="{00000000-0005-0000-0000-000044970000}"/>
    <cellStyle name="Normal 54 2 7" xfId="27553" xr:uid="{00000000-0005-0000-0000-000045970000}"/>
    <cellStyle name="Normal 54 2 7 2" xfId="27554" xr:uid="{00000000-0005-0000-0000-000046970000}"/>
    <cellStyle name="Normal 54 2 7 2 2" xfId="27555" xr:uid="{00000000-0005-0000-0000-000047970000}"/>
    <cellStyle name="Normal 54 2 7 3" xfId="27556" xr:uid="{00000000-0005-0000-0000-000048970000}"/>
    <cellStyle name="Normal 54 2 7 3 2" xfId="27557" xr:uid="{00000000-0005-0000-0000-000049970000}"/>
    <cellStyle name="Normal 54 2 7 4" xfId="27558" xr:uid="{00000000-0005-0000-0000-00004A970000}"/>
    <cellStyle name="Normal 54 2 8" xfId="27559" xr:uid="{00000000-0005-0000-0000-00004B970000}"/>
    <cellStyle name="Normal 54 2 8 2" xfId="27560" xr:uid="{00000000-0005-0000-0000-00004C970000}"/>
    <cellStyle name="Normal 54 2 8 2 2" xfId="27561" xr:uid="{00000000-0005-0000-0000-00004D970000}"/>
    <cellStyle name="Normal 54 2 8 3" xfId="27562" xr:uid="{00000000-0005-0000-0000-00004E970000}"/>
    <cellStyle name="Normal 54 2 9" xfId="27563" xr:uid="{00000000-0005-0000-0000-00004F970000}"/>
    <cellStyle name="Normal 54 2 9 2" xfId="27564" xr:uid="{00000000-0005-0000-0000-000050970000}"/>
    <cellStyle name="Normal 54 3" xfId="27565" xr:uid="{00000000-0005-0000-0000-000051970000}"/>
    <cellStyle name="Normal 54 3 2" xfId="27566" xr:uid="{00000000-0005-0000-0000-000052970000}"/>
    <cellStyle name="Normal 54 3 2 2" xfId="27567" xr:uid="{00000000-0005-0000-0000-000053970000}"/>
    <cellStyle name="Normal 54 3 2 2 2" xfId="27568" xr:uid="{00000000-0005-0000-0000-000054970000}"/>
    <cellStyle name="Normal 54 3 2 3" xfId="27569" xr:uid="{00000000-0005-0000-0000-000055970000}"/>
    <cellStyle name="Normal 54 3 2 3 2" xfId="27570" xr:uid="{00000000-0005-0000-0000-000056970000}"/>
    <cellStyle name="Normal 54 3 2 4" xfId="27571" xr:uid="{00000000-0005-0000-0000-000057970000}"/>
    <cellStyle name="Normal 54 3 3" xfId="27572" xr:uid="{00000000-0005-0000-0000-000058970000}"/>
    <cellStyle name="Normal 54 3 3 2" xfId="27573" xr:uid="{00000000-0005-0000-0000-000059970000}"/>
    <cellStyle name="Normal 54 3 3 2 2" xfId="27574" xr:uid="{00000000-0005-0000-0000-00005A970000}"/>
    <cellStyle name="Normal 54 3 3 3" xfId="27575" xr:uid="{00000000-0005-0000-0000-00005B970000}"/>
    <cellStyle name="Normal 54 3 3 3 2" xfId="27576" xr:uid="{00000000-0005-0000-0000-00005C970000}"/>
    <cellStyle name="Normal 54 3 3 4" xfId="27577" xr:uid="{00000000-0005-0000-0000-00005D970000}"/>
    <cellStyle name="Normal 54 3 4" xfId="27578" xr:uid="{00000000-0005-0000-0000-00005E970000}"/>
    <cellStyle name="Normal 54 3 4 2" xfId="27579" xr:uid="{00000000-0005-0000-0000-00005F970000}"/>
    <cellStyle name="Normal 54 3 5" xfId="27580" xr:uid="{00000000-0005-0000-0000-000060970000}"/>
    <cellStyle name="Normal 54 3 5 2" xfId="27581" xr:uid="{00000000-0005-0000-0000-000061970000}"/>
    <cellStyle name="Normal 54 3 6" xfId="27582" xr:uid="{00000000-0005-0000-0000-000062970000}"/>
    <cellStyle name="Normal 54 4" xfId="27583" xr:uid="{00000000-0005-0000-0000-000063970000}"/>
    <cellStyle name="Normal 54 4 2" xfId="27584" xr:uid="{00000000-0005-0000-0000-000064970000}"/>
    <cellStyle name="Normal 54 4 2 2" xfId="27585" xr:uid="{00000000-0005-0000-0000-000065970000}"/>
    <cellStyle name="Normal 54 4 3" xfId="27586" xr:uid="{00000000-0005-0000-0000-000066970000}"/>
    <cellStyle name="Normal 54 4 3 2" xfId="27587" xr:uid="{00000000-0005-0000-0000-000067970000}"/>
    <cellStyle name="Normal 54 4 4" xfId="27588" xr:uid="{00000000-0005-0000-0000-000068970000}"/>
    <cellStyle name="Normal 54 5" xfId="27589" xr:uid="{00000000-0005-0000-0000-000069970000}"/>
    <cellStyle name="Normal 54 5 2" xfId="27590" xr:uid="{00000000-0005-0000-0000-00006A970000}"/>
    <cellStyle name="Normal 54 5 2 2" xfId="27591" xr:uid="{00000000-0005-0000-0000-00006B970000}"/>
    <cellStyle name="Normal 54 5 3" xfId="27592" xr:uid="{00000000-0005-0000-0000-00006C970000}"/>
    <cellStyle name="Normal 54 5 3 2" xfId="27593" xr:uid="{00000000-0005-0000-0000-00006D970000}"/>
    <cellStyle name="Normal 54 5 4" xfId="27594" xr:uid="{00000000-0005-0000-0000-00006E970000}"/>
    <cellStyle name="Normal 54 6" xfId="27595" xr:uid="{00000000-0005-0000-0000-00006F970000}"/>
    <cellStyle name="Normal 54 6 2" xfId="27596" xr:uid="{00000000-0005-0000-0000-000070970000}"/>
    <cellStyle name="Normal 54 6 2 2" xfId="27597" xr:uid="{00000000-0005-0000-0000-000071970000}"/>
    <cellStyle name="Normal 54 6 3" xfId="27598" xr:uid="{00000000-0005-0000-0000-000072970000}"/>
    <cellStyle name="Normal 54 6 3 2" xfId="27599" xr:uid="{00000000-0005-0000-0000-000073970000}"/>
    <cellStyle name="Normal 54 6 4" xfId="27600" xr:uid="{00000000-0005-0000-0000-000074970000}"/>
    <cellStyle name="Normal 54 7" xfId="27601" xr:uid="{00000000-0005-0000-0000-000075970000}"/>
    <cellStyle name="Normal 54 7 2" xfId="27602" xr:uid="{00000000-0005-0000-0000-000076970000}"/>
    <cellStyle name="Normal 54 7 2 2" xfId="27603" xr:uid="{00000000-0005-0000-0000-000077970000}"/>
    <cellStyle name="Normal 54 7 3" xfId="27604" xr:uid="{00000000-0005-0000-0000-000078970000}"/>
    <cellStyle name="Normal 54 7 3 2" xfId="27605" xr:uid="{00000000-0005-0000-0000-000079970000}"/>
    <cellStyle name="Normal 54 7 4" xfId="27606" xr:uid="{00000000-0005-0000-0000-00007A970000}"/>
    <cellStyle name="Normal 54 8" xfId="27607" xr:uid="{00000000-0005-0000-0000-00007B970000}"/>
    <cellStyle name="Normal 54 8 2" xfId="27608" xr:uid="{00000000-0005-0000-0000-00007C970000}"/>
    <cellStyle name="Normal 54 8 2 2" xfId="27609" xr:uid="{00000000-0005-0000-0000-00007D970000}"/>
    <cellStyle name="Normal 54 8 3" xfId="27610" xr:uid="{00000000-0005-0000-0000-00007E970000}"/>
    <cellStyle name="Normal 54 8 3 2" xfId="27611" xr:uid="{00000000-0005-0000-0000-00007F970000}"/>
    <cellStyle name="Normal 54 8 4" xfId="27612" xr:uid="{00000000-0005-0000-0000-000080970000}"/>
    <cellStyle name="Normal 54 9" xfId="27613" xr:uid="{00000000-0005-0000-0000-000081970000}"/>
    <cellStyle name="Normal 54 9 2" xfId="27614" xr:uid="{00000000-0005-0000-0000-000082970000}"/>
    <cellStyle name="Normal 54 9 2 2" xfId="27615" xr:uid="{00000000-0005-0000-0000-000083970000}"/>
    <cellStyle name="Normal 54 9 3" xfId="27616" xr:uid="{00000000-0005-0000-0000-000084970000}"/>
    <cellStyle name="Normal 55" xfId="27617" xr:uid="{00000000-0005-0000-0000-000085970000}"/>
    <cellStyle name="Normal 55 10" xfId="27618" xr:uid="{00000000-0005-0000-0000-000086970000}"/>
    <cellStyle name="Normal 55 10 2" xfId="27619" xr:uid="{00000000-0005-0000-0000-000087970000}"/>
    <cellStyle name="Normal 55 11" xfId="27620" xr:uid="{00000000-0005-0000-0000-000088970000}"/>
    <cellStyle name="Normal 55 11 2" xfId="27621" xr:uid="{00000000-0005-0000-0000-000089970000}"/>
    <cellStyle name="Normal 55 12" xfId="27622" xr:uid="{00000000-0005-0000-0000-00008A970000}"/>
    <cellStyle name="Normal 55 13" xfId="27623" xr:uid="{00000000-0005-0000-0000-00008B970000}"/>
    <cellStyle name="Normal 55 14" xfId="27624" xr:uid="{00000000-0005-0000-0000-00008C970000}"/>
    <cellStyle name="Normal 55 2" xfId="27625" xr:uid="{00000000-0005-0000-0000-00008D970000}"/>
    <cellStyle name="Normal 55 2 10" xfId="27626" xr:uid="{00000000-0005-0000-0000-00008E970000}"/>
    <cellStyle name="Normal 55 2 10 2" xfId="27627" xr:uid="{00000000-0005-0000-0000-00008F970000}"/>
    <cellStyle name="Normal 55 2 11" xfId="27628" xr:uid="{00000000-0005-0000-0000-000090970000}"/>
    <cellStyle name="Normal 55 2 2" xfId="27629" xr:uid="{00000000-0005-0000-0000-000091970000}"/>
    <cellStyle name="Normal 55 2 2 2" xfId="27630" xr:uid="{00000000-0005-0000-0000-000092970000}"/>
    <cellStyle name="Normal 55 2 2 2 2" xfId="27631" xr:uid="{00000000-0005-0000-0000-000093970000}"/>
    <cellStyle name="Normal 55 2 2 2 2 2" xfId="27632" xr:uid="{00000000-0005-0000-0000-000094970000}"/>
    <cellStyle name="Normal 55 2 2 2 3" xfId="27633" xr:uid="{00000000-0005-0000-0000-000095970000}"/>
    <cellStyle name="Normal 55 2 2 2 3 2" xfId="27634" xr:uid="{00000000-0005-0000-0000-000096970000}"/>
    <cellStyle name="Normal 55 2 2 2 4" xfId="27635" xr:uid="{00000000-0005-0000-0000-000097970000}"/>
    <cellStyle name="Normal 55 2 2 3" xfId="27636" xr:uid="{00000000-0005-0000-0000-000098970000}"/>
    <cellStyle name="Normal 55 2 2 3 2" xfId="27637" xr:uid="{00000000-0005-0000-0000-000099970000}"/>
    <cellStyle name="Normal 55 2 2 3 2 2" xfId="27638" xr:uid="{00000000-0005-0000-0000-00009A970000}"/>
    <cellStyle name="Normal 55 2 2 3 3" xfId="27639" xr:uid="{00000000-0005-0000-0000-00009B970000}"/>
    <cellStyle name="Normal 55 2 2 3 3 2" xfId="27640" xr:uid="{00000000-0005-0000-0000-00009C970000}"/>
    <cellStyle name="Normal 55 2 2 3 4" xfId="27641" xr:uid="{00000000-0005-0000-0000-00009D970000}"/>
    <cellStyle name="Normal 55 2 2 4" xfId="27642" xr:uid="{00000000-0005-0000-0000-00009E970000}"/>
    <cellStyle name="Normal 55 2 2 4 2" xfId="27643" xr:uid="{00000000-0005-0000-0000-00009F970000}"/>
    <cellStyle name="Normal 55 2 2 5" xfId="27644" xr:uid="{00000000-0005-0000-0000-0000A0970000}"/>
    <cellStyle name="Normal 55 2 2 5 2" xfId="27645" xr:uid="{00000000-0005-0000-0000-0000A1970000}"/>
    <cellStyle name="Normal 55 2 2 6" xfId="27646" xr:uid="{00000000-0005-0000-0000-0000A2970000}"/>
    <cellStyle name="Normal 55 2 3" xfId="27647" xr:uid="{00000000-0005-0000-0000-0000A3970000}"/>
    <cellStyle name="Normal 55 2 3 2" xfId="27648" xr:uid="{00000000-0005-0000-0000-0000A4970000}"/>
    <cellStyle name="Normal 55 2 3 2 2" xfId="27649" xr:uid="{00000000-0005-0000-0000-0000A5970000}"/>
    <cellStyle name="Normal 55 2 3 3" xfId="27650" xr:uid="{00000000-0005-0000-0000-0000A6970000}"/>
    <cellStyle name="Normal 55 2 3 3 2" xfId="27651" xr:uid="{00000000-0005-0000-0000-0000A7970000}"/>
    <cellStyle name="Normal 55 2 3 4" xfId="27652" xr:uid="{00000000-0005-0000-0000-0000A8970000}"/>
    <cellStyle name="Normal 55 2 4" xfId="27653" xr:uid="{00000000-0005-0000-0000-0000A9970000}"/>
    <cellStyle name="Normal 55 2 4 2" xfId="27654" xr:uid="{00000000-0005-0000-0000-0000AA970000}"/>
    <cellStyle name="Normal 55 2 4 2 2" xfId="27655" xr:uid="{00000000-0005-0000-0000-0000AB970000}"/>
    <cellStyle name="Normal 55 2 4 3" xfId="27656" xr:uid="{00000000-0005-0000-0000-0000AC970000}"/>
    <cellStyle name="Normal 55 2 4 3 2" xfId="27657" xr:uid="{00000000-0005-0000-0000-0000AD970000}"/>
    <cellStyle name="Normal 55 2 4 4" xfId="27658" xr:uid="{00000000-0005-0000-0000-0000AE970000}"/>
    <cellStyle name="Normal 55 2 5" xfId="27659" xr:uid="{00000000-0005-0000-0000-0000AF970000}"/>
    <cellStyle name="Normal 55 2 5 2" xfId="27660" xr:uid="{00000000-0005-0000-0000-0000B0970000}"/>
    <cellStyle name="Normal 55 2 5 2 2" xfId="27661" xr:uid="{00000000-0005-0000-0000-0000B1970000}"/>
    <cellStyle name="Normal 55 2 5 3" xfId="27662" xr:uid="{00000000-0005-0000-0000-0000B2970000}"/>
    <cellStyle name="Normal 55 2 5 3 2" xfId="27663" xr:uid="{00000000-0005-0000-0000-0000B3970000}"/>
    <cellStyle name="Normal 55 2 5 4" xfId="27664" xr:uid="{00000000-0005-0000-0000-0000B4970000}"/>
    <cellStyle name="Normal 55 2 6" xfId="27665" xr:uid="{00000000-0005-0000-0000-0000B5970000}"/>
    <cellStyle name="Normal 55 2 6 2" xfId="27666" xr:uid="{00000000-0005-0000-0000-0000B6970000}"/>
    <cellStyle name="Normal 55 2 6 2 2" xfId="27667" xr:uid="{00000000-0005-0000-0000-0000B7970000}"/>
    <cellStyle name="Normal 55 2 6 3" xfId="27668" xr:uid="{00000000-0005-0000-0000-0000B8970000}"/>
    <cellStyle name="Normal 55 2 6 3 2" xfId="27669" xr:uid="{00000000-0005-0000-0000-0000B9970000}"/>
    <cellStyle name="Normal 55 2 6 4" xfId="27670" xr:uid="{00000000-0005-0000-0000-0000BA970000}"/>
    <cellStyle name="Normal 55 2 7" xfId="27671" xr:uid="{00000000-0005-0000-0000-0000BB970000}"/>
    <cellStyle name="Normal 55 2 7 2" xfId="27672" xr:uid="{00000000-0005-0000-0000-0000BC970000}"/>
    <cellStyle name="Normal 55 2 7 2 2" xfId="27673" xr:uid="{00000000-0005-0000-0000-0000BD970000}"/>
    <cellStyle name="Normal 55 2 7 3" xfId="27674" xr:uid="{00000000-0005-0000-0000-0000BE970000}"/>
    <cellStyle name="Normal 55 2 7 3 2" xfId="27675" xr:uid="{00000000-0005-0000-0000-0000BF970000}"/>
    <cellStyle name="Normal 55 2 7 4" xfId="27676" xr:uid="{00000000-0005-0000-0000-0000C0970000}"/>
    <cellStyle name="Normal 55 2 8" xfId="27677" xr:uid="{00000000-0005-0000-0000-0000C1970000}"/>
    <cellStyle name="Normal 55 2 8 2" xfId="27678" xr:uid="{00000000-0005-0000-0000-0000C2970000}"/>
    <cellStyle name="Normal 55 2 8 2 2" xfId="27679" xr:uid="{00000000-0005-0000-0000-0000C3970000}"/>
    <cellStyle name="Normal 55 2 8 3" xfId="27680" xr:uid="{00000000-0005-0000-0000-0000C4970000}"/>
    <cellStyle name="Normal 55 2 9" xfId="27681" xr:uid="{00000000-0005-0000-0000-0000C5970000}"/>
    <cellStyle name="Normal 55 2 9 2" xfId="27682" xr:uid="{00000000-0005-0000-0000-0000C6970000}"/>
    <cellStyle name="Normal 55 3" xfId="27683" xr:uid="{00000000-0005-0000-0000-0000C7970000}"/>
    <cellStyle name="Normal 55 3 2" xfId="27684" xr:uid="{00000000-0005-0000-0000-0000C8970000}"/>
    <cellStyle name="Normal 55 3 2 2" xfId="27685" xr:uid="{00000000-0005-0000-0000-0000C9970000}"/>
    <cellStyle name="Normal 55 3 2 2 2" xfId="27686" xr:uid="{00000000-0005-0000-0000-0000CA970000}"/>
    <cellStyle name="Normal 55 3 2 3" xfId="27687" xr:uid="{00000000-0005-0000-0000-0000CB970000}"/>
    <cellStyle name="Normal 55 3 2 3 2" xfId="27688" xr:uid="{00000000-0005-0000-0000-0000CC970000}"/>
    <cellStyle name="Normal 55 3 2 4" xfId="27689" xr:uid="{00000000-0005-0000-0000-0000CD970000}"/>
    <cellStyle name="Normal 55 3 3" xfId="27690" xr:uid="{00000000-0005-0000-0000-0000CE970000}"/>
    <cellStyle name="Normal 55 3 3 2" xfId="27691" xr:uid="{00000000-0005-0000-0000-0000CF970000}"/>
    <cellStyle name="Normal 55 3 3 2 2" xfId="27692" xr:uid="{00000000-0005-0000-0000-0000D0970000}"/>
    <cellStyle name="Normal 55 3 3 3" xfId="27693" xr:uid="{00000000-0005-0000-0000-0000D1970000}"/>
    <cellStyle name="Normal 55 3 3 3 2" xfId="27694" xr:uid="{00000000-0005-0000-0000-0000D2970000}"/>
    <cellStyle name="Normal 55 3 3 4" xfId="27695" xr:uid="{00000000-0005-0000-0000-0000D3970000}"/>
    <cellStyle name="Normal 55 3 4" xfId="27696" xr:uid="{00000000-0005-0000-0000-0000D4970000}"/>
    <cellStyle name="Normal 55 3 4 2" xfId="27697" xr:uid="{00000000-0005-0000-0000-0000D5970000}"/>
    <cellStyle name="Normal 55 3 5" xfId="27698" xr:uid="{00000000-0005-0000-0000-0000D6970000}"/>
    <cellStyle name="Normal 55 3 5 2" xfId="27699" xr:uid="{00000000-0005-0000-0000-0000D7970000}"/>
    <cellStyle name="Normal 55 3 6" xfId="27700" xr:uid="{00000000-0005-0000-0000-0000D8970000}"/>
    <cellStyle name="Normal 55 4" xfId="27701" xr:uid="{00000000-0005-0000-0000-0000D9970000}"/>
    <cellStyle name="Normal 55 4 2" xfId="27702" xr:uid="{00000000-0005-0000-0000-0000DA970000}"/>
    <cellStyle name="Normal 55 4 2 2" xfId="27703" xr:uid="{00000000-0005-0000-0000-0000DB970000}"/>
    <cellStyle name="Normal 55 4 3" xfId="27704" xr:uid="{00000000-0005-0000-0000-0000DC970000}"/>
    <cellStyle name="Normal 55 4 3 2" xfId="27705" xr:uid="{00000000-0005-0000-0000-0000DD970000}"/>
    <cellStyle name="Normal 55 4 4" xfId="27706" xr:uid="{00000000-0005-0000-0000-0000DE970000}"/>
    <cellStyle name="Normal 55 5" xfId="27707" xr:uid="{00000000-0005-0000-0000-0000DF970000}"/>
    <cellStyle name="Normal 55 5 2" xfId="27708" xr:uid="{00000000-0005-0000-0000-0000E0970000}"/>
    <cellStyle name="Normal 55 5 2 2" xfId="27709" xr:uid="{00000000-0005-0000-0000-0000E1970000}"/>
    <cellStyle name="Normal 55 5 3" xfId="27710" xr:uid="{00000000-0005-0000-0000-0000E2970000}"/>
    <cellStyle name="Normal 55 5 3 2" xfId="27711" xr:uid="{00000000-0005-0000-0000-0000E3970000}"/>
    <cellStyle name="Normal 55 5 4" xfId="27712" xr:uid="{00000000-0005-0000-0000-0000E4970000}"/>
    <cellStyle name="Normal 55 6" xfId="27713" xr:uid="{00000000-0005-0000-0000-0000E5970000}"/>
    <cellStyle name="Normal 55 6 2" xfId="27714" xr:uid="{00000000-0005-0000-0000-0000E6970000}"/>
    <cellStyle name="Normal 55 6 2 2" xfId="27715" xr:uid="{00000000-0005-0000-0000-0000E7970000}"/>
    <cellStyle name="Normal 55 6 3" xfId="27716" xr:uid="{00000000-0005-0000-0000-0000E8970000}"/>
    <cellStyle name="Normal 55 6 3 2" xfId="27717" xr:uid="{00000000-0005-0000-0000-0000E9970000}"/>
    <cellStyle name="Normal 55 6 4" xfId="27718" xr:uid="{00000000-0005-0000-0000-0000EA970000}"/>
    <cellStyle name="Normal 55 7" xfId="27719" xr:uid="{00000000-0005-0000-0000-0000EB970000}"/>
    <cellStyle name="Normal 55 7 2" xfId="27720" xr:uid="{00000000-0005-0000-0000-0000EC970000}"/>
    <cellStyle name="Normal 55 7 2 2" xfId="27721" xr:uid="{00000000-0005-0000-0000-0000ED970000}"/>
    <cellStyle name="Normal 55 7 3" xfId="27722" xr:uid="{00000000-0005-0000-0000-0000EE970000}"/>
    <cellStyle name="Normal 55 7 3 2" xfId="27723" xr:uid="{00000000-0005-0000-0000-0000EF970000}"/>
    <cellStyle name="Normal 55 7 4" xfId="27724" xr:uid="{00000000-0005-0000-0000-0000F0970000}"/>
    <cellStyle name="Normal 55 8" xfId="27725" xr:uid="{00000000-0005-0000-0000-0000F1970000}"/>
    <cellStyle name="Normal 55 8 2" xfId="27726" xr:uid="{00000000-0005-0000-0000-0000F2970000}"/>
    <cellStyle name="Normal 55 8 2 2" xfId="27727" xr:uid="{00000000-0005-0000-0000-0000F3970000}"/>
    <cellStyle name="Normal 55 8 3" xfId="27728" xr:uid="{00000000-0005-0000-0000-0000F4970000}"/>
    <cellStyle name="Normal 55 8 3 2" xfId="27729" xr:uid="{00000000-0005-0000-0000-0000F5970000}"/>
    <cellStyle name="Normal 55 8 4" xfId="27730" xr:uid="{00000000-0005-0000-0000-0000F6970000}"/>
    <cellStyle name="Normal 55 9" xfId="27731" xr:uid="{00000000-0005-0000-0000-0000F7970000}"/>
    <cellStyle name="Normal 55 9 2" xfId="27732" xr:uid="{00000000-0005-0000-0000-0000F8970000}"/>
    <cellStyle name="Normal 55 9 2 2" xfId="27733" xr:uid="{00000000-0005-0000-0000-0000F9970000}"/>
    <cellStyle name="Normal 55 9 3" xfId="27734" xr:uid="{00000000-0005-0000-0000-0000FA970000}"/>
    <cellStyle name="Normal 56" xfId="27735" xr:uid="{00000000-0005-0000-0000-0000FB970000}"/>
    <cellStyle name="Normal 56 10" xfId="27736" xr:uid="{00000000-0005-0000-0000-0000FC970000}"/>
    <cellStyle name="Normal 56 10 2" xfId="27737" xr:uid="{00000000-0005-0000-0000-0000FD970000}"/>
    <cellStyle name="Normal 56 11" xfId="27738" xr:uid="{00000000-0005-0000-0000-0000FE970000}"/>
    <cellStyle name="Normal 56 11 2" xfId="27739" xr:uid="{00000000-0005-0000-0000-0000FF970000}"/>
    <cellStyle name="Normal 56 12" xfId="27740" xr:uid="{00000000-0005-0000-0000-000000980000}"/>
    <cellStyle name="Normal 56 13" xfId="27741" xr:uid="{00000000-0005-0000-0000-000001980000}"/>
    <cellStyle name="Normal 56 14" xfId="27742" xr:uid="{00000000-0005-0000-0000-000002980000}"/>
    <cellStyle name="Normal 56 2" xfId="27743" xr:uid="{00000000-0005-0000-0000-000003980000}"/>
    <cellStyle name="Normal 56 2 10" xfId="27744" xr:uid="{00000000-0005-0000-0000-000004980000}"/>
    <cellStyle name="Normal 56 2 10 2" xfId="27745" xr:uid="{00000000-0005-0000-0000-000005980000}"/>
    <cellStyle name="Normal 56 2 11" xfId="27746" xr:uid="{00000000-0005-0000-0000-000006980000}"/>
    <cellStyle name="Normal 56 2 12" xfId="27747" xr:uid="{00000000-0005-0000-0000-000007980000}"/>
    <cellStyle name="Normal 56 2 2" xfId="27748" xr:uid="{00000000-0005-0000-0000-000008980000}"/>
    <cellStyle name="Normal 56 2 2 2" xfId="27749" xr:uid="{00000000-0005-0000-0000-000009980000}"/>
    <cellStyle name="Normal 56 2 2 2 2" xfId="27750" xr:uid="{00000000-0005-0000-0000-00000A980000}"/>
    <cellStyle name="Normal 56 2 2 2 2 2" xfId="27751" xr:uid="{00000000-0005-0000-0000-00000B980000}"/>
    <cellStyle name="Normal 56 2 2 2 3" xfId="27752" xr:uid="{00000000-0005-0000-0000-00000C980000}"/>
    <cellStyle name="Normal 56 2 2 2 3 2" xfId="27753" xr:uid="{00000000-0005-0000-0000-00000D980000}"/>
    <cellStyle name="Normal 56 2 2 2 4" xfId="27754" xr:uid="{00000000-0005-0000-0000-00000E980000}"/>
    <cellStyle name="Normal 56 2 2 3" xfId="27755" xr:uid="{00000000-0005-0000-0000-00000F980000}"/>
    <cellStyle name="Normal 56 2 2 3 2" xfId="27756" xr:uid="{00000000-0005-0000-0000-000010980000}"/>
    <cellStyle name="Normal 56 2 2 3 2 2" xfId="27757" xr:uid="{00000000-0005-0000-0000-000011980000}"/>
    <cellStyle name="Normal 56 2 2 3 3" xfId="27758" xr:uid="{00000000-0005-0000-0000-000012980000}"/>
    <cellStyle name="Normal 56 2 2 3 3 2" xfId="27759" xr:uid="{00000000-0005-0000-0000-000013980000}"/>
    <cellStyle name="Normal 56 2 2 3 4" xfId="27760" xr:uid="{00000000-0005-0000-0000-000014980000}"/>
    <cellStyle name="Normal 56 2 2 4" xfId="27761" xr:uid="{00000000-0005-0000-0000-000015980000}"/>
    <cellStyle name="Normal 56 2 2 4 2" xfId="27762" xr:uid="{00000000-0005-0000-0000-000016980000}"/>
    <cellStyle name="Normal 56 2 2 5" xfId="27763" xr:uid="{00000000-0005-0000-0000-000017980000}"/>
    <cellStyle name="Normal 56 2 2 5 2" xfId="27764" xr:uid="{00000000-0005-0000-0000-000018980000}"/>
    <cellStyle name="Normal 56 2 2 6" xfId="27765" xr:uid="{00000000-0005-0000-0000-000019980000}"/>
    <cellStyle name="Normal 56 2 3" xfId="27766" xr:uid="{00000000-0005-0000-0000-00001A980000}"/>
    <cellStyle name="Normal 56 2 3 2" xfId="27767" xr:uid="{00000000-0005-0000-0000-00001B980000}"/>
    <cellStyle name="Normal 56 2 3 2 2" xfId="27768" xr:uid="{00000000-0005-0000-0000-00001C980000}"/>
    <cellStyle name="Normal 56 2 3 3" xfId="27769" xr:uid="{00000000-0005-0000-0000-00001D980000}"/>
    <cellStyle name="Normal 56 2 3 3 2" xfId="27770" xr:uid="{00000000-0005-0000-0000-00001E980000}"/>
    <cellStyle name="Normal 56 2 3 4" xfId="27771" xr:uid="{00000000-0005-0000-0000-00001F980000}"/>
    <cellStyle name="Normal 56 2 4" xfId="27772" xr:uid="{00000000-0005-0000-0000-000020980000}"/>
    <cellStyle name="Normal 56 2 4 2" xfId="27773" xr:uid="{00000000-0005-0000-0000-000021980000}"/>
    <cellStyle name="Normal 56 2 4 2 2" xfId="27774" xr:uid="{00000000-0005-0000-0000-000022980000}"/>
    <cellStyle name="Normal 56 2 4 3" xfId="27775" xr:uid="{00000000-0005-0000-0000-000023980000}"/>
    <cellStyle name="Normal 56 2 4 3 2" xfId="27776" xr:uid="{00000000-0005-0000-0000-000024980000}"/>
    <cellStyle name="Normal 56 2 4 4" xfId="27777" xr:uid="{00000000-0005-0000-0000-000025980000}"/>
    <cellStyle name="Normal 56 2 5" xfId="27778" xr:uid="{00000000-0005-0000-0000-000026980000}"/>
    <cellStyle name="Normal 56 2 5 2" xfId="27779" xr:uid="{00000000-0005-0000-0000-000027980000}"/>
    <cellStyle name="Normal 56 2 5 2 2" xfId="27780" xr:uid="{00000000-0005-0000-0000-000028980000}"/>
    <cellStyle name="Normal 56 2 5 3" xfId="27781" xr:uid="{00000000-0005-0000-0000-000029980000}"/>
    <cellStyle name="Normal 56 2 5 3 2" xfId="27782" xr:uid="{00000000-0005-0000-0000-00002A980000}"/>
    <cellStyle name="Normal 56 2 5 4" xfId="27783" xr:uid="{00000000-0005-0000-0000-00002B980000}"/>
    <cellStyle name="Normal 56 2 6" xfId="27784" xr:uid="{00000000-0005-0000-0000-00002C980000}"/>
    <cellStyle name="Normal 56 2 6 2" xfId="27785" xr:uid="{00000000-0005-0000-0000-00002D980000}"/>
    <cellStyle name="Normal 56 2 6 2 2" xfId="27786" xr:uid="{00000000-0005-0000-0000-00002E980000}"/>
    <cellStyle name="Normal 56 2 6 3" xfId="27787" xr:uid="{00000000-0005-0000-0000-00002F980000}"/>
    <cellStyle name="Normal 56 2 6 3 2" xfId="27788" xr:uid="{00000000-0005-0000-0000-000030980000}"/>
    <cellStyle name="Normal 56 2 6 4" xfId="27789" xr:uid="{00000000-0005-0000-0000-000031980000}"/>
    <cellStyle name="Normal 56 2 7" xfId="27790" xr:uid="{00000000-0005-0000-0000-000032980000}"/>
    <cellStyle name="Normal 56 2 7 2" xfId="27791" xr:uid="{00000000-0005-0000-0000-000033980000}"/>
    <cellStyle name="Normal 56 2 7 2 2" xfId="27792" xr:uid="{00000000-0005-0000-0000-000034980000}"/>
    <cellStyle name="Normal 56 2 7 3" xfId="27793" xr:uid="{00000000-0005-0000-0000-000035980000}"/>
    <cellStyle name="Normal 56 2 7 3 2" xfId="27794" xr:uid="{00000000-0005-0000-0000-000036980000}"/>
    <cellStyle name="Normal 56 2 7 4" xfId="27795" xr:uid="{00000000-0005-0000-0000-000037980000}"/>
    <cellStyle name="Normal 56 2 8" xfId="27796" xr:uid="{00000000-0005-0000-0000-000038980000}"/>
    <cellStyle name="Normal 56 2 8 2" xfId="27797" xr:uid="{00000000-0005-0000-0000-000039980000}"/>
    <cellStyle name="Normal 56 2 8 2 2" xfId="27798" xr:uid="{00000000-0005-0000-0000-00003A980000}"/>
    <cellStyle name="Normal 56 2 8 3" xfId="27799" xr:uid="{00000000-0005-0000-0000-00003B980000}"/>
    <cellStyle name="Normal 56 2 9" xfId="27800" xr:uid="{00000000-0005-0000-0000-00003C980000}"/>
    <cellStyle name="Normal 56 2 9 2" xfId="27801" xr:uid="{00000000-0005-0000-0000-00003D980000}"/>
    <cellStyle name="Normal 56 3" xfId="27802" xr:uid="{00000000-0005-0000-0000-00003E980000}"/>
    <cellStyle name="Normal 56 3 2" xfId="27803" xr:uid="{00000000-0005-0000-0000-00003F980000}"/>
    <cellStyle name="Normal 56 3 2 2" xfId="27804" xr:uid="{00000000-0005-0000-0000-000040980000}"/>
    <cellStyle name="Normal 56 3 2 2 2" xfId="27805" xr:uid="{00000000-0005-0000-0000-000041980000}"/>
    <cellStyle name="Normal 56 3 2 3" xfId="27806" xr:uid="{00000000-0005-0000-0000-000042980000}"/>
    <cellStyle name="Normal 56 3 2 3 2" xfId="27807" xr:uid="{00000000-0005-0000-0000-000043980000}"/>
    <cellStyle name="Normal 56 3 2 4" xfId="27808" xr:uid="{00000000-0005-0000-0000-000044980000}"/>
    <cellStyle name="Normal 56 3 3" xfId="27809" xr:uid="{00000000-0005-0000-0000-000045980000}"/>
    <cellStyle name="Normal 56 3 3 2" xfId="27810" xr:uid="{00000000-0005-0000-0000-000046980000}"/>
    <cellStyle name="Normal 56 3 3 2 2" xfId="27811" xr:uid="{00000000-0005-0000-0000-000047980000}"/>
    <cellStyle name="Normal 56 3 3 3" xfId="27812" xr:uid="{00000000-0005-0000-0000-000048980000}"/>
    <cellStyle name="Normal 56 3 3 3 2" xfId="27813" xr:uid="{00000000-0005-0000-0000-000049980000}"/>
    <cellStyle name="Normal 56 3 3 4" xfId="27814" xr:uid="{00000000-0005-0000-0000-00004A980000}"/>
    <cellStyle name="Normal 56 3 4" xfId="27815" xr:uid="{00000000-0005-0000-0000-00004B980000}"/>
    <cellStyle name="Normal 56 3 4 2" xfId="27816" xr:uid="{00000000-0005-0000-0000-00004C980000}"/>
    <cellStyle name="Normal 56 3 5" xfId="27817" xr:uid="{00000000-0005-0000-0000-00004D980000}"/>
    <cellStyle name="Normal 56 3 5 2" xfId="27818" xr:uid="{00000000-0005-0000-0000-00004E980000}"/>
    <cellStyle name="Normal 56 3 6" xfId="27819" xr:uid="{00000000-0005-0000-0000-00004F980000}"/>
    <cellStyle name="Normal 56 4" xfId="27820" xr:uid="{00000000-0005-0000-0000-000050980000}"/>
    <cellStyle name="Normal 56 4 2" xfId="27821" xr:uid="{00000000-0005-0000-0000-000051980000}"/>
    <cellStyle name="Normal 56 4 2 2" xfId="27822" xr:uid="{00000000-0005-0000-0000-000052980000}"/>
    <cellStyle name="Normal 56 4 3" xfId="27823" xr:uid="{00000000-0005-0000-0000-000053980000}"/>
    <cellStyle name="Normal 56 4 3 2" xfId="27824" xr:uid="{00000000-0005-0000-0000-000054980000}"/>
    <cellStyle name="Normal 56 4 4" xfId="27825" xr:uid="{00000000-0005-0000-0000-000055980000}"/>
    <cellStyle name="Normal 56 5" xfId="27826" xr:uid="{00000000-0005-0000-0000-000056980000}"/>
    <cellStyle name="Normal 56 5 2" xfId="27827" xr:uid="{00000000-0005-0000-0000-000057980000}"/>
    <cellStyle name="Normal 56 5 2 2" xfId="27828" xr:uid="{00000000-0005-0000-0000-000058980000}"/>
    <cellStyle name="Normal 56 5 3" xfId="27829" xr:uid="{00000000-0005-0000-0000-000059980000}"/>
    <cellStyle name="Normal 56 5 3 2" xfId="27830" xr:uid="{00000000-0005-0000-0000-00005A980000}"/>
    <cellStyle name="Normal 56 5 4" xfId="27831" xr:uid="{00000000-0005-0000-0000-00005B980000}"/>
    <cellStyle name="Normal 56 6" xfId="27832" xr:uid="{00000000-0005-0000-0000-00005C980000}"/>
    <cellStyle name="Normal 56 6 2" xfId="27833" xr:uid="{00000000-0005-0000-0000-00005D980000}"/>
    <cellStyle name="Normal 56 6 2 2" xfId="27834" xr:uid="{00000000-0005-0000-0000-00005E980000}"/>
    <cellStyle name="Normal 56 6 3" xfId="27835" xr:uid="{00000000-0005-0000-0000-00005F980000}"/>
    <cellStyle name="Normal 56 6 3 2" xfId="27836" xr:uid="{00000000-0005-0000-0000-000060980000}"/>
    <cellStyle name="Normal 56 6 4" xfId="27837" xr:uid="{00000000-0005-0000-0000-000061980000}"/>
    <cellStyle name="Normal 56 7" xfId="27838" xr:uid="{00000000-0005-0000-0000-000062980000}"/>
    <cellStyle name="Normal 56 7 2" xfId="27839" xr:uid="{00000000-0005-0000-0000-000063980000}"/>
    <cellStyle name="Normal 56 7 2 2" xfId="27840" xr:uid="{00000000-0005-0000-0000-000064980000}"/>
    <cellStyle name="Normal 56 7 3" xfId="27841" xr:uid="{00000000-0005-0000-0000-000065980000}"/>
    <cellStyle name="Normal 56 7 3 2" xfId="27842" xr:uid="{00000000-0005-0000-0000-000066980000}"/>
    <cellStyle name="Normal 56 7 4" xfId="27843" xr:uid="{00000000-0005-0000-0000-000067980000}"/>
    <cellStyle name="Normal 56 8" xfId="27844" xr:uid="{00000000-0005-0000-0000-000068980000}"/>
    <cellStyle name="Normal 56 8 2" xfId="27845" xr:uid="{00000000-0005-0000-0000-000069980000}"/>
    <cellStyle name="Normal 56 8 2 2" xfId="27846" xr:uid="{00000000-0005-0000-0000-00006A980000}"/>
    <cellStyle name="Normal 56 8 3" xfId="27847" xr:uid="{00000000-0005-0000-0000-00006B980000}"/>
    <cellStyle name="Normal 56 8 3 2" xfId="27848" xr:uid="{00000000-0005-0000-0000-00006C980000}"/>
    <cellStyle name="Normal 56 8 4" xfId="27849" xr:uid="{00000000-0005-0000-0000-00006D980000}"/>
    <cellStyle name="Normal 56 9" xfId="27850" xr:uid="{00000000-0005-0000-0000-00006E980000}"/>
    <cellStyle name="Normal 56 9 2" xfId="27851" xr:uid="{00000000-0005-0000-0000-00006F980000}"/>
    <cellStyle name="Normal 56 9 2 2" xfId="27852" xr:uid="{00000000-0005-0000-0000-000070980000}"/>
    <cellStyle name="Normal 56 9 3" xfId="27853" xr:uid="{00000000-0005-0000-0000-000071980000}"/>
    <cellStyle name="Normal 57" xfId="27854" xr:uid="{00000000-0005-0000-0000-000072980000}"/>
    <cellStyle name="Normal 57 10" xfId="27855" xr:uid="{00000000-0005-0000-0000-000073980000}"/>
    <cellStyle name="Normal 57 10 2" xfId="27856" xr:uid="{00000000-0005-0000-0000-000074980000}"/>
    <cellStyle name="Normal 57 11" xfId="27857" xr:uid="{00000000-0005-0000-0000-000075980000}"/>
    <cellStyle name="Normal 57 11 2" xfId="27858" xr:uid="{00000000-0005-0000-0000-000076980000}"/>
    <cellStyle name="Normal 57 12" xfId="27859" xr:uid="{00000000-0005-0000-0000-000077980000}"/>
    <cellStyle name="Normal 57 13" xfId="27860" xr:uid="{00000000-0005-0000-0000-000078980000}"/>
    <cellStyle name="Normal 57 14" xfId="27861" xr:uid="{00000000-0005-0000-0000-000079980000}"/>
    <cellStyle name="Normal 57 2" xfId="27862" xr:uid="{00000000-0005-0000-0000-00007A980000}"/>
    <cellStyle name="Normal 57 2 10" xfId="27863" xr:uid="{00000000-0005-0000-0000-00007B980000}"/>
    <cellStyle name="Normal 57 2 10 2" xfId="27864" xr:uid="{00000000-0005-0000-0000-00007C980000}"/>
    <cellStyle name="Normal 57 2 11" xfId="27865" xr:uid="{00000000-0005-0000-0000-00007D980000}"/>
    <cellStyle name="Normal 57 2 12" xfId="27866" xr:uid="{00000000-0005-0000-0000-00007E980000}"/>
    <cellStyle name="Normal 57 2 2" xfId="27867" xr:uid="{00000000-0005-0000-0000-00007F980000}"/>
    <cellStyle name="Normal 57 2 2 2" xfId="27868" xr:uid="{00000000-0005-0000-0000-000080980000}"/>
    <cellStyle name="Normal 57 2 2 2 2" xfId="27869" xr:uid="{00000000-0005-0000-0000-000081980000}"/>
    <cellStyle name="Normal 57 2 2 2 2 2" xfId="27870" xr:uid="{00000000-0005-0000-0000-000082980000}"/>
    <cellStyle name="Normal 57 2 2 2 3" xfId="27871" xr:uid="{00000000-0005-0000-0000-000083980000}"/>
    <cellStyle name="Normal 57 2 2 2 3 2" xfId="27872" xr:uid="{00000000-0005-0000-0000-000084980000}"/>
    <cellStyle name="Normal 57 2 2 2 4" xfId="27873" xr:uid="{00000000-0005-0000-0000-000085980000}"/>
    <cellStyle name="Normal 57 2 2 3" xfId="27874" xr:uid="{00000000-0005-0000-0000-000086980000}"/>
    <cellStyle name="Normal 57 2 2 3 2" xfId="27875" xr:uid="{00000000-0005-0000-0000-000087980000}"/>
    <cellStyle name="Normal 57 2 2 3 2 2" xfId="27876" xr:uid="{00000000-0005-0000-0000-000088980000}"/>
    <cellStyle name="Normal 57 2 2 3 3" xfId="27877" xr:uid="{00000000-0005-0000-0000-000089980000}"/>
    <cellStyle name="Normal 57 2 2 3 3 2" xfId="27878" xr:uid="{00000000-0005-0000-0000-00008A980000}"/>
    <cellStyle name="Normal 57 2 2 3 4" xfId="27879" xr:uid="{00000000-0005-0000-0000-00008B980000}"/>
    <cellStyle name="Normal 57 2 2 4" xfId="27880" xr:uid="{00000000-0005-0000-0000-00008C980000}"/>
    <cellStyle name="Normal 57 2 2 4 2" xfId="27881" xr:uid="{00000000-0005-0000-0000-00008D980000}"/>
    <cellStyle name="Normal 57 2 2 5" xfId="27882" xr:uid="{00000000-0005-0000-0000-00008E980000}"/>
    <cellStyle name="Normal 57 2 2 5 2" xfId="27883" xr:uid="{00000000-0005-0000-0000-00008F980000}"/>
    <cellStyle name="Normal 57 2 2 6" xfId="27884" xr:uid="{00000000-0005-0000-0000-000090980000}"/>
    <cellStyle name="Normal 57 2 3" xfId="27885" xr:uid="{00000000-0005-0000-0000-000091980000}"/>
    <cellStyle name="Normal 57 2 3 2" xfId="27886" xr:uid="{00000000-0005-0000-0000-000092980000}"/>
    <cellStyle name="Normal 57 2 3 2 2" xfId="27887" xr:uid="{00000000-0005-0000-0000-000093980000}"/>
    <cellStyle name="Normal 57 2 3 3" xfId="27888" xr:uid="{00000000-0005-0000-0000-000094980000}"/>
    <cellStyle name="Normal 57 2 3 3 2" xfId="27889" xr:uid="{00000000-0005-0000-0000-000095980000}"/>
    <cellStyle name="Normal 57 2 3 4" xfId="27890" xr:uid="{00000000-0005-0000-0000-000096980000}"/>
    <cellStyle name="Normal 57 2 4" xfId="27891" xr:uid="{00000000-0005-0000-0000-000097980000}"/>
    <cellStyle name="Normal 57 2 4 2" xfId="27892" xr:uid="{00000000-0005-0000-0000-000098980000}"/>
    <cellStyle name="Normal 57 2 4 2 2" xfId="27893" xr:uid="{00000000-0005-0000-0000-000099980000}"/>
    <cellStyle name="Normal 57 2 4 3" xfId="27894" xr:uid="{00000000-0005-0000-0000-00009A980000}"/>
    <cellStyle name="Normal 57 2 4 3 2" xfId="27895" xr:uid="{00000000-0005-0000-0000-00009B980000}"/>
    <cellStyle name="Normal 57 2 4 4" xfId="27896" xr:uid="{00000000-0005-0000-0000-00009C980000}"/>
    <cellStyle name="Normal 57 2 5" xfId="27897" xr:uid="{00000000-0005-0000-0000-00009D980000}"/>
    <cellStyle name="Normal 57 2 5 2" xfId="27898" xr:uid="{00000000-0005-0000-0000-00009E980000}"/>
    <cellStyle name="Normal 57 2 5 2 2" xfId="27899" xr:uid="{00000000-0005-0000-0000-00009F980000}"/>
    <cellStyle name="Normal 57 2 5 3" xfId="27900" xr:uid="{00000000-0005-0000-0000-0000A0980000}"/>
    <cellStyle name="Normal 57 2 5 3 2" xfId="27901" xr:uid="{00000000-0005-0000-0000-0000A1980000}"/>
    <cellStyle name="Normal 57 2 5 4" xfId="27902" xr:uid="{00000000-0005-0000-0000-0000A2980000}"/>
    <cellStyle name="Normal 57 2 6" xfId="27903" xr:uid="{00000000-0005-0000-0000-0000A3980000}"/>
    <cellStyle name="Normal 57 2 6 2" xfId="27904" xr:uid="{00000000-0005-0000-0000-0000A4980000}"/>
    <cellStyle name="Normal 57 2 6 2 2" xfId="27905" xr:uid="{00000000-0005-0000-0000-0000A5980000}"/>
    <cellStyle name="Normal 57 2 6 3" xfId="27906" xr:uid="{00000000-0005-0000-0000-0000A6980000}"/>
    <cellStyle name="Normal 57 2 6 3 2" xfId="27907" xr:uid="{00000000-0005-0000-0000-0000A7980000}"/>
    <cellStyle name="Normal 57 2 6 4" xfId="27908" xr:uid="{00000000-0005-0000-0000-0000A8980000}"/>
    <cellStyle name="Normal 57 2 7" xfId="27909" xr:uid="{00000000-0005-0000-0000-0000A9980000}"/>
    <cellStyle name="Normal 57 2 7 2" xfId="27910" xr:uid="{00000000-0005-0000-0000-0000AA980000}"/>
    <cellStyle name="Normal 57 2 7 2 2" xfId="27911" xr:uid="{00000000-0005-0000-0000-0000AB980000}"/>
    <cellStyle name="Normal 57 2 7 3" xfId="27912" xr:uid="{00000000-0005-0000-0000-0000AC980000}"/>
    <cellStyle name="Normal 57 2 7 3 2" xfId="27913" xr:uid="{00000000-0005-0000-0000-0000AD980000}"/>
    <cellStyle name="Normal 57 2 7 4" xfId="27914" xr:uid="{00000000-0005-0000-0000-0000AE980000}"/>
    <cellStyle name="Normal 57 2 8" xfId="27915" xr:uid="{00000000-0005-0000-0000-0000AF980000}"/>
    <cellStyle name="Normal 57 2 8 2" xfId="27916" xr:uid="{00000000-0005-0000-0000-0000B0980000}"/>
    <cellStyle name="Normal 57 2 8 2 2" xfId="27917" xr:uid="{00000000-0005-0000-0000-0000B1980000}"/>
    <cellStyle name="Normal 57 2 8 3" xfId="27918" xr:uid="{00000000-0005-0000-0000-0000B2980000}"/>
    <cellStyle name="Normal 57 2 9" xfId="27919" xr:uid="{00000000-0005-0000-0000-0000B3980000}"/>
    <cellStyle name="Normal 57 2 9 2" xfId="27920" xr:uid="{00000000-0005-0000-0000-0000B4980000}"/>
    <cellStyle name="Normal 57 3" xfId="27921" xr:uid="{00000000-0005-0000-0000-0000B5980000}"/>
    <cellStyle name="Normal 57 3 2" xfId="27922" xr:uid="{00000000-0005-0000-0000-0000B6980000}"/>
    <cellStyle name="Normal 57 3 2 2" xfId="27923" xr:uid="{00000000-0005-0000-0000-0000B7980000}"/>
    <cellStyle name="Normal 57 3 2 2 2" xfId="27924" xr:uid="{00000000-0005-0000-0000-0000B8980000}"/>
    <cellStyle name="Normal 57 3 2 3" xfId="27925" xr:uid="{00000000-0005-0000-0000-0000B9980000}"/>
    <cellStyle name="Normal 57 3 2 3 2" xfId="27926" xr:uid="{00000000-0005-0000-0000-0000BA980000}"/>
    <cellStyle name="Normal 57 3 2 4" xfId="27927" xr:uid="{00000000-0005-0000-0000-0000BB980000}"/>
    <cellStyle name="Normal 57 3 3" xfId="27928" xr:uid="{00000000-0005-0000-0000-0000BC980000}"/>
    <cellStyle name="Normal 57 3 3 2" xfId="27929" xr:uid="{00000000-0005-0000-0000-0000BD980000}"/>
    <cellStyle name="Normal 57 3 3 2 2" xfId="27930" xr:uid="{00000000-0005-0000-0000-0000BE980000}"/>
    <cellStyle name="Normal 57 3 3 3" xfId="27931" xr:uid="{00000000-0005-0000-0000-0000BF980000}"/>
    <cellStyle name="Normal 57 3 3 3 2" xfId="27932" xr:uid="{00000000-0005-0000-0000-0000C0980000}"/>
    <cellStyle name="Normal 57 3 3 4" xfId="27933" xr:uid="{00000000-0005-0000-0000-0000C1980000}"/>
    <cellStyle name="Normal 57 3 4" xfId="27934" xr:uid="{00000000-0005-0000-0000-0000C2980000}"/>
    <cellStyle name="Normal 57 3 4 2" xfId="27935" xr:uid="{00000000-0005-0000-0000-0000C3980000}"/>
    <cellStyle name="Normal 57 3 5" xfId="27936" xr:uid="{00000000-0005-0000-0000-0000C4980000}"/>
    <cellStyle name="Normal 57 3 5 2" xfId="27937" xr:uid="{00000000-0005-0000-0000-0000C5980000}"/>
    <cellStyle name="Normal 57 3 6" xfId="27938" xr:uid="{00000000-0005-0000-0000-0000C6980000}"/>
    <cellStyle name="Normal 57 4" xfId="27939" xr:uid="{00000000-0005-0000-0000-0000C7980000}"/>
    <cellStyle name="Normal 57 4 2" xfId="27940" xr:uid="{00000000-0005-0000-0000-0000C8980000}"/>
    <cellStyle name="Normal 57 4 2 2" xfId="27941" xr:uid="{00000000-0005-0000-0000-0000C9980000}"/>
    <cellStyle name="Normal 57 4 3" xfId="27942" xr:uid="{00000000-0005-0000-0000-0000CA980000}"/>
    <cellStyle name="Normal 57 4 3 2" xfId="27943" xr:uid="{00000000-0005-0000-0000-0000CB980000}"/>
    <cellStyle name="Normal 57 4 4" xfId="27944" xr:uid="{00000000-0005-0000-0000-0000CC980000}"/>
    <cellStyle name="Normal 57 5" xfId="27945" xr:uid="{00000000-0005-0000-0000-0000CD980000}"/>
    <cellStyle name="Normal 57 5 2" xfId="27946" xr:uid="{00000000-0005-0000-0000-0000CE980000}"/>
    <cellStyle name="Normal 57 5 2 2" xfId="27947" xr:uid="{00000000-0005-0000-0000-0000CF980000}"/>
    <cellStyle name="Normal 57 5 3" xfId="27948" xr:uid="{00000000-0005-0000-0000-0000D0980000}"/>
    <cellStyle name="Normal 57 5 3 2" xfId="27949" xr:uid="{00000000-0005-0000-0000-0000D1980000}"/>
    <cellStyle name="Normal 57 5 4" xfId="27950" xr:uid="{00000000-0005-0000-0000-0000D2980000}"/>
    <cellStyle name="Normal 57 6" xfId="27951" xr:uid="{00000000-0005-0000-0000-0000D3980000}"/>
    <cellStyle name="Normal 57 6 2" xfId="27952" xr:uid="{00000000-0005-0000-0000-0000D4980000}"/>
    <cellStyle name="Normal 57 6 2 2" xfId="27953" xr:uid="{00000000-0005-0000-0000-0000D5980000}"/>
    <cellStyle name="Normal 57 6 3" xfId="27954" xr:uid="{00000000-0005-0000-0000-0000D6980000}"/>
    <cellStyle name="Normal 57 6 3 2" xfId="27955" xr:uid="{00000000-0005-0000-0000-0000D7980000}"/>
    <cellStyle name="Normal 57 6 4" xfId="27956" xr:uid="{00000000-0005-0000-0000-0000D8980000}"/>
    <cellStyle name="Normal 57 7" xfId="27957" xr:uid="{00000000-0005-0000-0000-0000D9980000}"/>
    <cellStyle name="Normal 57 7 2" xfId="27958" xr:uid="{00000000-0005-0000-0000-0000DA980000}"/>
    <cellStyle name="Normal 57 7 2 2" xfId="27959" xr:uid="{00000000-0005-0000-0000-0000DB980000}"/>
    <cellStyle name="Normal 57 7 3" xfId="27960" xr:uid="{00000000-0005-0000-0000-0000DC980000}"/>
    <cellStyle name="Normal 57 7 3 2" xfId="27961" xr:uid="{00000000-0005-0000-0000-0000DD980000}"/>
    <cellStyle name="Normal 57 7 4" xfId="27962" xr:uid="{00000000-0005-0000-0000-0000DE980000}"/>
    <cellStyle name="Normal 57 8" xfId="27963" xr:uid="{00000000-0005-0000-0000-0000DF980000}"/>
    <cellStyle name="Normal 57 8 2" xfId="27964" xr:uid="{00000000-0005-0000-0000-0000E0980000}"/>
    <cellStyle name="Normal 57 8 2 2" xfId="27965" xr:uid="{00000000-0005-0000-0000-0000E1980000}"/>
    <cellStyle name="Normal 57 8 3" xfId="27966" xr:uid="{00000000-0005-0000-0000-0000E2980000}"/>
    <cellStyle name="Normal 57 8 3 2" xfId="27967" xr:uid="{00000000-0005-0000-0000-0000E3980000}"/>
    <cellStyle name="Normal 57 8 4" xfId="27968" xr:uid="{00000000-0005-0000-0000-0000E4980000}"/>
    <cellStyle name="Normal 57 9" xfId="27969" xr:uid="{00000000-0005-0000-0000-0000E5980000}"/>
    <cellStyle name="Normal 57 9 2" xfId="27970" xr:uid="{00000000-0005-0000-0000-0000E6980000}"/>
    <cellStyle name="Normal 57 9 2 2" xfId="27971" xr:uid="{00000000-0005-0000-0000-0000E7980000}"/>
    <cellStyle name="Normal 57 9 3" xfId="27972" xr:uid="{00000000-0005-0000-0000-0000E8980000}"/>
    <cellStyle name="Normal 58" xfId="27973" xr:uid="{00000000-0005-0000-0000-0000E9980000}"/>
    <cellStyle name="Normal 58 10" xfId="27974" xr:uid="{00000000-0005-0000-0000-0000EA980000}"/>
    <cellStyle name="Normal 58 10 2" xfId="27975" xr:uid="{00000000-0005-0000-0000-0000EB980000}"/>
    <cellStyle name="Normal 58 11" xfId="27976" xr:uid="{00000000-0005-0000-0000-0000EC980000}"/>
    <cellStyle name="Normal 58 11 2" xfId="27977" xr:uid="{00000000-0005-0000-0000-0000ED980000}"/>
    <cellStyle name="Normal 58 12" xfId="27978" xr:uid="{00000000-0005-0000-0000-0000EE980000}"/>
    <cellStyle name="Normal 58 13" xfId="27979" xr:uid="{00000000-0005-0000-0000-0000EF980000}"/>
    <cellStyle name="Normal 58 14" xfId="27980" xr:uid="{00000000-0005-0000-0000-0000F0980000}"/>
    <cellStyle name="Normal 58 2" xfId="27981" xr:uid="{00000000-0005-0000-0000-0000F1980000}"/>
    <cellStyle name="Normal 58 2 10" xfId="27982" xr:uid="{00000000-0005-0000-0000-0000F2980000}"/>
    <cellStyle name="Normal 58 2 10 2" xfId="27983" xr:uid="{00000000-0005-0000-0000-0000F3980000}"/>
    <cellStyle name="Normal 58 2 11" xfId="27984" xr:uid="{00000000-0005-0000-0000-0000F4980000}"/>
    <cellStyle name="Normal 58 2 2" xfId="27985" xr:uid="{00000000-0005-0000-0000-0000F5980000}"/>
    <cellStyle name="Normal 58 2 2 2" xfId="27986" xr:uid="{00000000-0005-0000-0000-0000F6980000}"/>
    <cellStyle name="Normal 58 2 2 2 2" xfId="27987" xr:uid="{00000000-0005-0000-0000-0000F7980000}"/>
    <cellStyle name="Normal 58 2 2 2 2 2" xfId="27988" xr:uid="{00000000-0005-0000-0000-0000F8980000}"/>
    <cellStyle name="Normal 58 2 2 2 3" xfId="27989" xr:uid="{00000000-0005-0000-0000-0000F9980000}"/>
    <cellStyle name="Normal 58 2 2 2 3 2" xfId="27990" xr:uid="{00000000-0005-0000-0000-0000FA980000}"/>
    <cellStyle name="Normal 58 2 2 2 4" xfId="27991" xr:uid="{00000000-0005-0000-0000-0000FB980000}"/>
    <cellStyle name="Normal 58 2 2 3" xfId="27992" xr:uid="{00000000-0005-0000-0000-0000FC980000}"/>
    <cellStyle name="Normal 58 2 2 3 2" xfId="27993" xr:uid="{00000000-0005-0000-0000-0000FD980000}"/>
    <cellStyle name="Normal 58 2 2 3 2 2" xfId="27994" xr:uid="{00000000-0005-0000-0000-0000FE980000}"/>
    <cellStyle name="Normal 58 2 2 3 3" xfId="27995" xr:uid="{00000000-0005-0000-0000-0000FF980000}"/>
    <cellStyle name="Normal 58 2 2 3 3 2" xfId="27996" xr:uid="{00000000-0005-0000-0000-000000990000}"/>
    <cellStyle name="Normal 58 2 2 3 4" xfId="27997" xr:uid="{00000000-0005-0000-0000-000001990000}"/>
    <cellStyle name="Normal 58 2 2 4" xfId="27998" xr:uid="{00000000-0005-0000-0000-000002990000}"/>
    <cellStyle name="Normal 58 2 2 4 2" xfId="27999" xr:uid="{00000000-0005-0000-0000-000003990000}"/>
    <cellStyle name="Normal 58 2 2 5" xfId="28000" xr:uid="{00000000-0005-0000-0000-000004990000}"/>
    <cellStyle name="Normal 58 2 2 5 2" xfId="28001" xr:uid="{00000000-0005-0000-0000-000005990000}"/>
    <cellStyle name="Normal 58 2 2 6" xfId="28002" xr:uid="{00000000-0005-0000-0000-000006990000}"/>
    <cellStyle name="Normal 58 2 3" xfId="28003" xr:uid="{00000000-0005-0000-0000-000007990000}"/>
    <cellStyle name="Normal 58 2 3 2" xfId="28004" xr:uid="{00000000-0005-0000-0000-000008990000}"/>
    <cellStyle name="Normal 58 2 3 2 2" xfId="28005" xr:uid="{00000000-0005-0000-0000-000009990000}"/>
    <cellStyle name="Normal 58 2 3 3" xfId="28006" xr:uid="{00000000-0005-0000-0000-00000A990000}"/>
    <cellStyle name="Normal 58 2 3 3 2" xfId="28007" xr:uid="{00000000-0005-0000-0000-00000B990000}"/>
    <cellStyle name="Normal 58 2 3 4" xfId="28008" xr:uid="{00000000-0005-0000-0000-00000C990000}"/>
    <cellStyle name="Normal 58 2 4" xfId="28009" xr:uid="{00000000-0005-0000-0000-00000D990000}"/>
    <cellStyle name="Normal 58 2 4 2" xfId="28010" xr:uid="{00000000-0005-0000-0000-00000E990000}"/>
    <cellStyle name="Normal 58 2 4 2 2" xfId="28011" xr:uid="{00000000-0005-0000-0000-00000F990000}"/>
    <cellStyle name="Normal 58 2 4 3" xfId="28012" xr:uid="{00000000-0005-0000-0000-000010990000}"/>
    <cellStyle name="Normal 58 2 4 3 2" xfId="28013" xr:uid="{00000000-0005-0000-0000-000011990000}"/>
    <cellStyle name="Normal 58 2 4 4" xfId="28014" xr:uid="{00000000-0005-0000-0000-000012990000}"/>
    <cellStyle name="Normal 58 2 5" xfId="28015" xr:uid="{00000000-0005-0000-0000-000013990000}"/>
    <cellStyle name="Normal 58 2 5 2" xfId="28016" xr:uid="{00000000-0005-0000-0000-000014990000}"/>
    <cellStyle name="Normal 58 2 5 2 2" xfId="28017" xr:uid="{00000000-0005-0000-0000-000015990000}"/>
    <cellStyle name="Normal 58 2 5 3" xfId="28018" xr:uid="{00000000-0005-0000-0000-000016990000}"/>
    <cellStyle name="Normal 58 2 5 3 2" xfId="28019" xr:uid="{00000000-0005-0000-0000-000017990000}"/>
    <cellStyle name="Normal 58 2 5 4" xfId="28020" xr:uid="{00000000-0005-0000-0000-000018990000}"/>
    <cellStyle name="Normal 58 2 6" xfId="28021" xr:uid="{00000000-0005-0000-0000-000019990000}"/>
    <cellStyle name="Normal 58 2 6 2" xfId="28022" xr:uid="{00000000-0005-0000-0000-00001A990000}"/>
    <cellStyle name="Normal 58 2 6 2 2" xfId="28023" xr:uid="{00000000-0005-0000-0000-00001B990000}"/>
    <cellStyle name="Normal 58 2 6 3" xfId="28024" xr:uid="{00000000-0005-0000-0000-00001C990000}"/>
    <cellStyle name="Normal 58 2 6 3 2" xfId="28025" xr:uid="{00000000-0005-0000-0000-00001D990000}"/>
    <cellStyle name="Normal 58 2 6 4" xfId="28026" xr:uid="{00000000-0005-0000-0000-00001E990000}"/>
    <cellStyle name="Normal 58 2 7" xfId="28027" xr:uid="{00000000-0005-0000-0000-00001F990000}"/>
    <cellStyle name="Normal 58 2 7 2" xfId="28028" xr:uid="{00000000-0005-0000-0000-000020990000}"/>
    <cellStyle name="Normal 58 2 7 2 2" xfId="28029" xr:uid="{00000000-0005-0000-0000-000021990000}"/>
    <cellStyle name="Normal 58 2 7 3" xfId="28030" xr:uid="{00000000-0005-0000-0000-000022990000}"/>
    <cellStyle name="Normal 58 2 7 3 2" xfId="28031" xr:uid="{00000000-0005-0000-0000-000023990000}"/>
    <cellStyle name="Normal 58 2 7 4" xfId="28032" xr:uid="{00000000-0005-0000-0000-000024990000}"/>
    <cellStyle name="Normal 58 2 8" xfId="28033" xr:uid="{00000000-0005-0000-0000-000025990000}"/>
    <cellStyle name="Normal 58 2 8 2" xfId="28034" xr:uid="{00000000-0005-0000-0000-000026990000}"/>
    <cellStyle name="Normal 58 2 8 2 2" xfId="28035" xr:uid="{00000000-0005-0000-0000-000027990000}"/>
    <cellStyle name="Normal 58 2 8 3" xfId="28036" xr:uid="{00000000-0005-0000-0000-000028990000}"/>
    <cellStyle name="Normal 58 2 9" xfId="28037" xr:uid="{00000000-0005-0000-0000-000029990000}"/>
    <cellStyle name="Normal 58 2 9 2" xfId="28038" xr:uid="{00000000-0005-0000-0000-00002A990000}"/>
    <cellStyle name="Normal 58 3" xfId="28039" xr:uid="{00000000-0005-0000-0000-00002B990000}"/>
    <cellStyle name="Normal 58 3 2" xfId="28040" xr:uid="{00000000-0005-0000-0000-00002C990000}"/>
    <cellStyle name="Normal 58 3 2 2" xfId="28041" xr:uid="{00000000-0005-0000-0000-00002D990000}"/>
    <cellStyle name="Normal 58 3 2 2 2" xfId="28042" xr:uid="{00000000-0005-0000-0000-00002E990000}"/>
    <cellStyle name="Normal 58 3 2 3" xfId="28043" xr:uid="{00000000-0005-0000-0000-00002F990000}"/>
    <cellStyle name="Normal 58 3 2 3 2" xfId="28044" xr:uid="{00000000-0005-0000-0000-000030990000}"/>
    <cellStyle name="Normal 58 3 2 4" xfId="28045" xr:uid="{00000000-0005-0000-0000-000031990000}"/>
    <cellStyle name="Normal 58 3 3" xfId="28046" xr:uid="{00000000-0005-0000-0000-000032990000}"/>
    <cellStyle name="Normal 58 3 3 2" xfId="28047" xr:uid="{00000000-0005-0000-0000-000033990000}"/>
    <cellStyle name="Normal 58 3 3 2 2" xfId="28048" xr:uid="{00000000-0005-0000-0000-000034990000}"/>
    <cellStyle name="Normal 58 3 3 3" xfId="28049" xr:uid="{00000000-0005-0000-0000-000035990000}"/>
    <cellStyle name="Normal 58 3 3 3 2" xfId="28050" xr:uid="{00000000-0005-0000-0000-000036990000}"/>
    <cellStyle name="Normal 58 3 3 4" xfId="28051" xr:uid="{00000000-0005-0000-0000-000037990000}"/>
    <cellStyle name="Normal 58 3 4" xfId="28052" xr:uid="{00000000-0005-0000-0000-000038990000}"/>
    <cellStyle name="Normal 58 3 4 2" xfId="28053" xr:uid="{00000000-0005-0000-0000-000039990000}"/>
    <cellStyle name="Normal 58 3 5" xfId="28054" xr:uid="{00000000-0005-0000-0000-00003A990000}"/>
    <cellStyle name="Normal 58 3 5 2" xfId="28055" xr:uid="{00000000-0005-0000-0000-00003B990000}"/>
    <cellStyle name="Normal 58 3 6" xfId="28056" xr:uid="{00000000-0005-0000-0000-00003C990000}"/>
    <cellStyle name="Normal 58 4" xfId="28057" xr:uid="{00000000-0005-0000-0000-00003D990000}"/>
    <cellStyle name="Normal 58 4 2" xfId="28058" xr:uid="{00000000-0005-0000-0000-00003E990000}"/>
    <cellStyle name="Normal 58 4 2 2" xfId="28059" xr:uid="{00000000-0005-0000-0000-00003F990000}"/>
    <cellStyle name="Normal 58 4 3" xfId="28060" xr:uid="{00000000-0005-0000-0000-000040990000}"/>
    <cellStyle name="Normal 58 4 3 2" xfId="28061" xr:uid="{00000000-0005-0000-0000-000041990000}"/>
    <cellStyle name="Normal 58 4 4" xfId="28062" xr:uid="{00000000-0005-0000-0000-000042990000}"/>
    <cellStyle name="Normal 58 5" xfId="28063" xr:uid="{00000000-0005-0000-0000-000043990000}"/>
    <cellStyle name="Normal 58 5 2" xfId="28064" xr:uid="{00000000-0005-0000-0000-000044990000}"/>
    <cellStyle name="Normal 58 5 2 2" xfId="28065" xr:uid="{00000000-0005-0000-0000-000045990000}"/>
    <cellStyle name="Normal 58 5 3" xfId="28066" xr:uid="{00000000-0005-0000-0000-000046990000}"/>
    <cellStyle name="Normal 58 5 3 2" xfId="28067" xr:uid="{00000000-0005-0000-0000-000047990000}"/>
    <cellStyle name="Normal 58 5 4" xfId="28068" xr:uid="{00000000-0005-0000-0000-000048990000}"/>
    <cellStyle name="Normal 58 6" xfId="28069" xr:uid="{00000000-0005-0000-0000-000049990000}"/>
    <cellStyle name="Normal 58 6 2" xfId="28070" xr:uid="{00000000-0005-0000-0000-00004A990000}"/>
    <cellStyle name="Normal 58 6 2 2" xfId="28071" xr:uid="{00000000-0005-0000-0000-00004B990000}"/>
    <cellStyle name="Normal 58 6 3" xfId="28072" xr:uid="{00000000-0005-0000-0000-00004C990000}"/>
    <cellStyle name="Normal 58 6 3 2" xfId="28073" xr:uid="{00000000-0005-0000-0000-00004D990000}"/>
    <cellStyle name="Normal 58 6 4" xfId="28074" xr:uid="{00000000-0005-0000-0000-00004E990000}"/>
    <cellStyle name="Normal 58 7" xfId="28075" xr:uid="{00000000-0005-0000-0000-00004F990000}"/>
    <cellStyle name="Normal 58 7 2" xfId="28076" xr:uid="{00000000-0005-0000-0000-000050990000}"/>
    <cellStyle name="Normal 58 7 2 2" xfId="28077" xr:uid="{00000000-0005-0000-0000-000051990000}"/>
    <cellStyle name="Normal 58 7 3" xfId="28078" xr:uid="{00000000-0005-0000-0000-000052990000}"/>
    <cellStyle name="Normal 58 7 3 2" xfId="28079" xr:uid="{00000000-0005-0000-0000-000053990000}"/>
    <cellStyle name="Normal 58 7 4" xfId="28080" xr:uid="{00000000-0005-0000-0000-000054990000}"/>
    <cellStyle name="Normal 58 8" xfId="28081" xr:uid="{00000000-0005-0000-0000-000055990000}"/>
    <cellStyle name="Normal 58 8 2" xfId="28082" xr:uid="{00000000-0005-0000-0000-000056990000}"/>
    <cellStyle name="Normal 58 8 2 2" xfId="28083" xr:uid="{00000000-0005-0000-0000-000057990000}"/>
    <cellStyle name="Normal 58 8 3" xfId="28084" xr:uid="{00000000-0005-0000-0000-000058990000}"/>
    <cellStyle name="Normal 58 8 3 2" xfId="28085" xr:uid="{00000000-0005-0000-0000-000059990000}"/>
    <cellStyle name="Normal 58 8 4" xfId="28086" xr:uid="{00000000-0005-0000-0000-00005A990000}"/>
    <cellStyle name="Normal 58 9" xfId="28087" xr:uid="{00000000-0005-0000-0000-00005B990000}"/>
    <cellStyle name="Normal 58 9 2" xfId="28088" xr:uid="{00000000-0005-0000-0000-00005C990000}"/>
    <cellStyle name="Normal 58 9 2 2" xfId="28089" xr:uid="{00000000-0005-0000-0000-00005D990000}"/>
    <cellStyle name="Normal 58 9 3" xfId="28090" xr:uid="{00000000-0005-0000-0000-00005E990000}"/>
    <cellStyle name="Normal 59" xfId="28091" xr:uid="{00000000-0005-0000-0000-00005F990000}"/>
    <cellStyle name="Normal 59 10" xfId="28092" xr:uid="{00000000-0005-0000-0000-000060990000}"/>
    <cellStyle name="Normal 59 10 2" xfId="28093" xr:uid="{00000000-0005-0000-0000-000061990000}"/>
    <cellStyle name="Normal 59 11" xfId="28094" xr:uid="{00000000-0005-0000-0000-000062990000}"/>
    <cellStyle name="Normal 59 11 2" xfId="28095" xr:uid="{00000000-0005-0000-0000-000063990000}"/>
    <cellStyle name="Normal 59 12" xfId="28096" xr:uid="{00000000-0005-0000-0000-000064990000}"/>
    <cellStyle name="Normal 59 13" xfId="28097" xr:uid="{00000000-0005-0000-0000-000065990000}"/>
    <cellStyle name="Normal 59 2" xfId="28098" xr:uid="{00000000-0005-0000-0000-000066990000}"/>
    <cellStyle name="Normal 59 2 10" xfId="28099" xr:uid="{00000000-0005-0000-0000-000067990000}"/>
    <cellStyle name="Normal 59 2 10 2" xfId="28100" xr:uid="{00000000-0005-0000-0000-000068990000}"/>
    <cellStyle name="Normal 59 2 11" xfId="28101" xr:uid="{00000000-0005-0000-0000-000069990000}"/>
    <cellStyle name="Normal 59 2 2" xfId="28102" xr:uid="{00000000-0005-0000-0000-00006A990000}"/>
    <cellStyle name="Normal 59 2 2 2" xfId="28103" xr:uid="{00000000-0005-0000-0000-00006B990000}"/>
    <cellStyle name="Normal 59 2 2 2 2" xfId="28104" xr:uid="{00000000-0005-0000-0000-00006C990000}"/>
    <cellStyle name="Normal 59 2 2 2 2 2" xfId="28105" xr:uid="{00000000-0005-0000-0000-00006D990000}"/>
    <cellStyle name="Normal 59 2 2 2 3" xfId="28106" xr:uid="{00000000-0005-0000-0000-00006E990000}"/>
    <cellStyle name="Normal 59 2 2 2 3 2" xfId="28107" xr:uid="{00000000-0005-0000-0000-00006F990000}"/>
    <cellStyle name="Normal 59 2 2 2 4" xfId="28108" xr:uid="{00000000-0005-0000-0000-000070990000}"/>
    <cellStyle name="Normal 59 2 2 3" xfId="28109" xr:uid="{00000000-0005-0000-0000-000071990000}"/>
    <cellStyle name="Normal 59 2 2 3 2" xfId="28110" xr:uid="{00000000-0005-0000-0000-000072990000}"/>
    <cellStyle name="Normal 59 2 2 3 2 2" xfId="28111" xr:uid="{00000000-0005-0000-0000-000073990000}"/>
    <cellStyle name="Normal 59 2 2 3 3" xfId="28112" xr:uid="{00000000-0005-0000-0000-000074990000}"/>
    <cellStyle name="Normal 59 2 2 3 3 2" xfId="28113" xr:uid="{00000000-0005-0000-0000-000075990000}"/>
    <cellStyle name="Normal 59 2 2 3 4" xfId="28114" xr:uid="{00000000-0005-0000-0000-000076990000}"/>
    <cellStyle name="Normal 59 2 2 4" xfId="28115" xr:uid="{00000000-0005-0000-0000-000077990000}"/>
    <cellStyle name="Normal 59 2 2 4 2" xfId="28116" xr:uid="{00000000-0005-0000-0000-000078990000}"/>
    <cellStyle name="Normal 59 2 2 5" xfId="28117" xr:uid="{00000000-0005-0000-0000-000079990000}"/>
    <cellStyle name="Normal 59 2 2 5 2" xfId="28118" xr:uid="{00000000-0005-0000-0000-00007A990000}"/>
    <cellStyle name="Normal 59 2 2 6" xfId="28119" xr:uid="{00000000-0005-0000-0000-00007B990000}"/>
    <cellStyle name="Normal 59 2 3" xfId="28120" xr:uid="{00000000-0005-0000-0000-00007C990000}"/>
    <cellStyle name="Normal 59 2 3 2" xfId="28121" xr:uid="{00000000-0005-0000-0000-00007D990000}"/>
    <cellStyle name="Normal 59 2 3 2 2" xfId="28122" xr:uid="{00000000-0005-0000-0000-00007E990000}"/>
    <cellStyle name="Normal 59 2 3 3" xfId="28123" xr:uid="{00000000-0005-0000-0000-00007F990000}"/>
    <cellStyle name="Normal 59 2 3 3 2" xfId="28124" xr:uid="{00000000-0005-0000-0000-000080990000}"/>
    <cellStyle name="Normal 59 2 3 4" xfId="28125" xr:uid="{00000000-0005-0000-0000-000081990000}"/>
    <cellStyle name="Normal 59 2 4" xfId="28126" xr:uid="{00000000-0005-0000-0000-000082990000}"/>
    <cellStyle name="Normal 59 2 4 2" xfId="28127" xr:uid="{00000000-0005-0000-0000-000083990000}"/>
    <cellStyle name="Normal 59 2 4 2 2" xfId="28128" xr:uid="{00000000-0005-0000-0000-000084990000}"/>
    <cellStyle name="Normal 59 2 4 3" xfId="28129" xr:uid="{00000000-0005-0000-0000-000085990000}"/>
    <cellStyle name="Normal 59 2 4 3 2" xfId="28130" xr:uid="{00000000-0005-0000-0000-000086990000}"/>
    <cellStyle name="Normal 59 2 4 4" xfId="28131" xr:uid="{00000000-0005-0000-0000-000087990000}"/>
    <cellStyle name="Normal 59 2 5" xfId="28132" xr:uid="{00000000-0005-0000-0000-000088990000}"/>
    <cellStyle name="Normal 59 2 5 2" xfId="28133" xr:uid="{00000000-0005-0000-0000-000089990000}"/>
    <cellStyle name="Normal 59 2 5 2 2" xfId="28134" xr:uid="{00000000-0005-0000-0000-00008A990000}"/>
    <cellStyle name="Normal 59 2 5 3" xfId="28135" xr:uid="{00000000-0005-0000-0000-00008B990000}"/>
    <cellStyle name="Normal 59 2 5 3 2" xfId="28136" xr:uid="{00000000-0005-0000-0000-00008C990000}"/>
    <cellStyle name="Normal 59 2 5 4" xfId="28137" xr:uid="{00000000-0005-0000-0000-00008D990000}"/>
    <cellStyle name="Normal 59 2 6" xfId="28138" xr:uid="{00000000-0005-0000-0000-00008E990000}"/>
    <cellStyle name="Normal 59 2 6 2" xfId="28139" xr:uid="{00000000-0005-0000-0000-00008F990000}"/>
    <cellStyle name="Normal 59 2 6 2 2" xfId="28140" xr:uid="{00000000-0005-0000-0000-000090990000}"/>
    <cellStyle name="Normal 59 2 6 3" xfId="28141" xr:uid="{00000000-0005-0000-0000-000091990000}"/>
    <cellStyle name="Normal 59 2 6 3 2" xfId="28142" xr:uid="{00000000-0005-0000-0000-000092990000}"/>
    <cellStyle name="Normal 59 2 6 4" xfId="28143" xr:uid="{00000000-0005-0000-0000-000093990000}"/>
    <cellStyle name="Normal 59 2 7" xfId="28144" xr:uid="{00000000-0005-0000-0000-000094990000}"/>
    <cellStyle name="Normal 59 2 7 2" xfId="28145" xr:uid="{00000000-0005-0000-0000-000095990000}"/>
    <cellStyle name="Normal 59 2 7 2 2" xfId="28146" xr:uid="{00000000-0005-0000-0000-000096990000}"/>
    <cellStyle name="Normal 59 2 7 3" xfId="28147" xr:uid="{00000000-0005-0000-0000-000097990000}"/>
    <cellStyle name="Normal 59 2 7 3 2" xfId="28148" xr:uid="{00000000-0005-0000-0000-000098990000}"/>
    <cellStyle name="Normal 59 2 7 4" xfId="28149" xr:uid="{00000000-0005-0000-0000-000099990000}"/>
    <cellStyle name="Normal 59 2 8" xfId="28150" xr:uid="{00000000-0005-0000-0000-00009A990000}"/>
    <cellStyle name="Normal 59 2 8 2" xfId="28151" xr:uid="{00000000-0005-0000-0000-00009B990000}"/>
    <cellStyle name="Normal 59 2 8 2 2" xfId="28152" xr:uid="{00000000-0005-0000-0000-00009C990000}"/>
    <cellStyle name="Normal 59 2 8 3" xfId="28153" xr:uid="{00000000-0005-0000-0000-00009D990000}"/>
    <cellStyle name="Normal 59 2 9" xfId="28154" xr:uid="{00000000-0005-0000-0000-00009E990000}"/>
    <cellStyle name="Normal 59 2 9 2" xfId="28155" xr:uid="{00000000-0005-0000-0000-00009F990000}"/>
    <cellStyle name="Normal 59 3" xfId="28156" xr:uid="{00000000-0005-0000-0000-0000A0990000}"/>
    <cellStyle name="Normal 59 3 2" xfId="28157" xr:uid="{00000000-0005-0000-0000-0000A1990000}"/>
    <cellStyle name="Normal 59 3 2 2" xfId="28158" xr:uid="{00000000-0005-0000-0000-0000A2990000}"/>
    <cellStyle name="Normal 59 3 2 2 2" xfId="28159" xr:uid="{00000000-0005-0000-0000-0000A3990000}"/>
    <cellStyle name="Normal 59 3 2 3" xfId="28160" xr:uid="{00000000-0005-0000-0000-0000A4990000}"/>
    <cellStyle name="Normal 59 3 2 3 2" xfId="28161" xr:uid="{00000000-0005-0000-0000-0000A5990000}"/>
    <cellStyle name="Normal 59 3 2 4" xfId="28162" xr:uid="{00000000-0005-0000-0000-0000A6990000}"/>
    <cellStyle name="Normal 59 3 3" xfId="28163" xr:uid="{00000000-0005-0000-0000-0000A7990000}"/>
    <cellStyle name="Normal 59 3 3 2" xfId="28164" xr:uid="{00000000-0005-0000-0000-0000A8990000}"/>
    <cellStyle name="Normal 59 3 3 2 2" xfId="28165" xr:uid="{00000000-0005-0000-0000-0000A9990000}"/>
    <cellStyle name="Normal 59 3 3 3" xfId="28166" xr:uid="{00000000-0005-0000-0000-0000AA990000}"/>
    <cellStyle name="Normal 59 3 3 3 2" xfId="28167" xr:uid="{00000000-0005-0000-0000-0000AB990000}"/>
    <cellStyle name="Normal 59 3 3 4" xfId="28168" xr:uid="{00000000-0005-0000-0000-0000AC990000}"/>
    <cellStyle name="Normal 59 3 4" xfId="28169" xr:uid="{00000000-0005-0000-0000-0000AD990000}"/>
    <cellStyle name="Normal 59 3 4 2" xfId="28170" xr:uid="{00000000-0005-0000-0000-0000AE990000}"/>
    <cellStyle name="Normal 59 3 5" xfId="28171" xr:uid="{00000000-0005-0000-0000-0000AF990000}"/>
    <cellStyle name="Normal 59 3 5 2" xfId="28172" xr:uid="{00000000-0005-0000-0000-0000B0990000}"/>
    <cellStyle name="Normal 59 3 6" xfId="28173" xr:uid="{00000000-0005-0000-0000-0000B1990000}"/>
    <cellStyle name="Normal 59 4" xfId="28174" xr:uid="{00000000-0005-0000-0000-0000B2990000}"/>
    <cellStyle name="Normal 59 4 2" xfId="28175" xr:uid="{00000000-0005-0000-0000-0000B3990000}"/>
    <cellStyle name="Normal 59 4 2 2" xfId="28176" xr:uid="{00000000-0005-0000-0000-0000B4990000}"/>
    <cellStyle name="Normal 59 4 3" xfId="28177" xr:uid="{00000000-0005-0000-0000-0000B5990000}"/>
    <cellStyle name="Normal 59 4 3 2" xfId="28178" xr:uid="{00000000-0005-0000-0000-0000B6990000}"/>
    <cellStyle name="Normal 59 4 4" xfId="28179" xr:uid="{00000000-0005-0000-0000-0000B7990000}"/>
    <cellStyle name="Normal 59 5" xfId="28180" xr:uid="{00000000-0005-0000-0000-0000B8990000}"/>
    <cellStyle name="Normal 59 5 2" xfId="28181" xr:uid="{00000000-0005-0000-0000-0000B9990000}"/>
    <cellStyle name="Normal 59 5 2 2" xfId="28182" xr:uid="{00000000-0005-0000-0000-0000BA990000}"/>
    <cellStyle name="Normal 59 5 3" xfId="28183" xr:uid="{00000000-0005-0000-0000-0000BB990000}"/>
    <cellStyle name="Normal 59 5 3 2" xfId="28184" xr:uid="{00000000-0005-0000-0000-0000BC990000}"/>
    <cellStyle name="Normal 59 5 4" xfId="28185" xr:uid="{00000000-0005-0000-0000-0000BD990000}"/>
    <cellStyle name="Normal 59 6" xfId="28186" xr:uid="{00000000-0005-0000-0000-0000BE990000}"/>
    <cellStyle name="Normal 59 6 2" xfId="28187" xr:uid="{00000000-0005-0000-0000-0000BF990000}"/>
    <cellStyle name="Normal 59 6 2 2" xfId="28188" xr:uid="{00000000-0005-0000-0000-0000C0990000}"/>
    <cellStyle name="Normal 59 6 3" xfId="28189" xr:uid="{00000000-0005-0000-0000-0000C1990000}"/>
    <cellStyle name="Normal 59 6 3 2" xfId="28190" xr:uid="{00000000-0005-0000-0000-0000C2990000}"/>
    <cellStyle name="Normal 59 6 4" xfId="28191" xr:uid="{00000000-0005-0000-0000-0000C3990000}"/>
    <cellStyle name="Normal 59 7" xfId="28192" xr:uid="{00000000-0005-0000-0000-0000C4990000}"/>
    <cellStyle name="Normal 59 7 2" xfId="28193" xr:uid="{00000000-0005-0000-0000-0000C5990000}"/>
    <cellStyle name="Normal 59 7 2 2" xfId="28194" xr:uid="{00000000-0005-0000-0000-0000C6990000}"/>
    <cellStyle name="Normal 59 7 3" xfId="28195" xr:uid="{00000000-0005-0000-0000-0000C7990000}"/>
    <cellStyle name="Normal 59 7 3 2" xfId="28196" xr:uid="{00000000-0005-0000-0000-0000C8990000}"/>
    <cellStyle name="Normal 59 7 4" xfId="28197" xr:uid="{00000000-0005-0000-0000-0000C9990000}"/>
    <cellStyle name="Normal 59 8" xfId="28198" xr:uid="{00000000-0005-0000-0000-0000CA990000}"/>
    <cellStyle name="Normal 59 8 2" xfId="28199" xr:uid="{00000000-0005-0000-0000-0000CB990000}"/>
    <cellStyle name="Normal 59 8 2 2" xfId="28200" xr:uid="{00000000-0005-0000-0000-0000CC990000}"/>
    <cellStyle name="Normal 59 8 3" xfId="28201" xr:uid="{00000000-0005-0000-0000-0000CD990000}"/>
    <cellStyle name="Normal 59 8 3 2" xfId="28202" xr:uid="{00000000-0005-0000-0000-0000CE990000}"/>
    <cellStyle name="Normal 59 8 4" xfId="28203" xr:uid="{00000000-0005-0000-0000-0000CF990000}"/>
    <cellStyle name="Normal 59 9" xfId="28204" xr:uid="{00000000-0005-0000-0000-0000D0990000}"/>
    <cellStyle name="Normal 59 9 2" xfId="28205" xr:uid="{00000000-0005-0000-0000-0000D1990000}"/>
    <cellStyle name="Normal 59 9 2 2" xfId="28206" xr:uid="{00000000-0005-0000-0000-0000D2990000}"/>
    <cellStyle name="Normal 59 9 3" xfId="28207" xr:uid="{00000000-0005-0000-0000-0000D3990000}"/>
    <cellStyle name="Normal 6" xfId="28208" xr:uid="{00000000-0005-0000-0000-0000D4990000}"/>
    <cellStyle name="Normal 6 10" xfId="28209" xr:uid="{00000000-0005-0000-0000-0000D5990000}"/>
    <cellStyle name="Normal 6 10 2" xfId="28210" xr:uid="{00000000-0005-0000-0000-0000D6990000}"/>
    <cellStyle name="Normal 6 10 2 2" xfId="28211" xr:uid="{00000000-0005-0000-0000-0000D7990000}"/>
    <cellStyle name="Normal 6 10 2 2 2" xfId="28212" xr:uid="{00000000-0005-0000-0000-0000D8990000}"/>
    <cellStyle name="Normal 6 10 2 2 2 2" xfId="57196" xr:uid="{00000000-0005-0000-0000-0000D9990000}"/>
    <cellStyle name="Normal 6 10 2 2 2 3" xfId="57197" xr:uid="{00000000-0005-0000-0000-0000DA990000}"/>
    <cellStyle name="Normal 6 10 2 2 3" xfId="28213" xr:uid="{00000000-0005-0000-0000-0000DB990000}"/>
    <cellStyle name="Normal 6 10 2 2 3 2" xfId="57198" xr:uid="{00000000-0005-0000-0000-0000DC990000}"/>
    <cellStyle name="Normal 6 10 2 2 4" xfId="28214" xr:uid="{00000000-0005-0000-0000-0000DD990000}"/>
    <cellStyle name="Normal 6 10 2 2 5" xfId="28215" xr:uid="{00000000-0005-0000-0000-0000DE990000}"/>
    <cellStyle name="Normal 6 10 2 2 6" xfId="28216" xr:uid="{00000000-0005-0000-0000-0000DF990000}"/>
    <cellStyle name="Normal 6 10 2 3" xfId="28217" xr:uid="{00000000-0005-0000-0000-0000E0990000}"/>
    <cellStyle name="Normal 6 10 2 3 2" xfId="57199" xr:uid="{00000000-0005-0000-0000-0000E1990000}"/>
    <cellStyle name="Normal 6 10 2 3 3" xfId="57200" xr:uid="{00000000-0005-0000-0000-0000E2990000}"/>
    <cellStyle name="Normal 6 10 2 4" xfId="28218" xr:uid="{00000000-0005-0000-0000-0000E3990000}"/>
    <cellStyle name="Normal 6 10 2 4 2" xfId="57201" xr:uid="{00000000-0005-0000-0000-0000E4990000}"/>
    <cellStyle name="Normal 6 10 2 5" xfId="28219" xr:uid="{00000000-0005-0000-0000-0000E5990000}"/>
    <cellStyle name="Normal 6 10 2 6" xfId="28220" xr:uid="{00000000-0005-0000-0000-0000E6990000}"/>
    <cellStyle name="Normal 6 10 2 7" xfId="28221" xr:uid="{00000000-0005-0000-0000-0000E7990000}"/>
    <cellStyle name="Normal 6 10 3" xfId="28222" xr:uid="{00000000-0005-0000-0000-0000E8990000}"/>
    <cellStyle name="Normal 6 10 3 2" xfId="28223" xr:uid="{00000000-0005-0000-0000-0000E9990000}"/>
    <cellStyle name="Normal 6 10 3 2 2" xfId="57202" xr:uid="{00000000-0005-0000-0000-0000EA990000}"/>
    <cellStyle name="Normal 6 10 3 2 3" xfId="57203" xr:uid="{00000000-0005-0000-0000-0000EB990000}"/>
    <cellStyle name="Normal 6 10 3 3" xfId="28224" xr:uid="{00000000-0005-0000-0000-0000EC990000}"/>
    <cellStyle name="Normal 6 10 3 3 2" xfId="57204" xr:uid="{00000000-0005-0000-0000-0000ED990000}"/>
    <cellStyle name="Normal 6 10 3 4" xfId="28225" xr:uid="{00000000-0005-0000-0000-0000EE990000}"/>
    <cellStyle name="Normal 6 10 3 5" xfId="28226" xr:uid="{00000000-0005-0000-0000-0000EF990000}"/>
    <cellStyle name="Normal 6 10 3 6" xfId="28227" xr:uid="{00000000-0005-0000-0000-0000F0990000}"/>
    <cellStyle name="Normal 6 10 4" xfId="28228" xr:uid="{00000000-0005-0000-0000-0000F1990000}"/>
    <cellStyle name="Normal 6 10 4 2" xfId="57205" xr:uid="{00000000-0005-0000-0000-0000F2990000}"/>
    <cellStyle name="Normal 6 10 4 3" xfId="57206" xr:uid="{00000000-0005-0000-0000-0000F3990000}"/>
    <cellStyle name="Normal 6 10 5" xfId="28229" xr:uid="{00000000-0005-0000-0000-0000F4990000}"/>
    <cellStyle name="Normal 6 10 5 2" xfId="57207" xr:uid="{00000000-0005-0000-0000-0000F5990000}"/>
    <cellStyle name="Normal 6 10 6" xfId="28230" xr:uid="{00000000-0005-0000-0000-0000F6990000}"/>
    <cellStyle name="Normal 6 10 7" xfId="28231" xr:uid="{00000000-0005-0000-0000-0000F7990000}"/>
    <cellStyle name="Normal 6 10 8" xfId="28232" xr:uid="{00000000-0005-0000-0000-0000F8990000}"/>
    <cellStyle name="Normal 6 10 9" xfId="28233" xr:uid="{00000000-0005-0000-0000-0000F9990000}"/>
    <cellStyle name="Normal 6 11" xfId="28234" xr:uid="{00000000-0005-0000-0000-0000FA990000}"/>
    <cellStyle name="Normal 6 11 2" xfId="28235" xr:uid="{00000000-0005-0000-0000-0000FB990000}"/>
    <cellStyle name="Normal 6 11 2 2" xfId="28236" xr:uid="{00000000-0005-0000-0000-0000FC990000}"/>
    <cellStyle name="Normal 6 11 2 2 2" xfId="28237" xr:uid="{00000000-0005-0000-0000-0000FD990000}"/>
    <cellStyle name="Normal 6 11 2 2 2 2" xfId="57208" xr:uid="{00000000-0005-0000-0000-0000FE990000}"/>
    <cellStyle name="Normal 6 11 2 2 2 3" xfId="57209" xr:uid="{00000000-0005-0000-0000-0000FF990000}"/>
    <cellStyle name="Normal 6 11 2 2 3" xfId="28238" xr:uid="{00000000-0005-0000-0000-0000009A0000}"/>
    <cellStyle name="Normal 6 11 2 2 3 2" xfId="57210" xr:uid="{00000000-0005-0000-0000-0000019A0000}"/>
    <cellStyle name="Normal 6 11 2 2 4" xfId="28239" xr:uid="{00000000-0005-0000-0000-0000029A0000}"/>
    <cellStyle name="Normal 6 11 2 2 5" xfId="28240" xr:uid="{00000000-0005-0000-0000-0000039A0000}"/>
    <cellStyle name="Normal 6 11 2 2 6" xfId="28241" xr:uid="{00000000-0005-0000-0000-0000049A0000}"/>
    <cellStyle name="Normal 6 11 2 3" xfId="28242" xr:uid="{00000000-0005-0000-0000-0000059A0000}"/>
    <cellStyle name="Normal 6 11 2 3 2" xfId="57211" xr:uid="{00000000-0005-0000-0000-0000069A0000}"/>
    <cellStyle name="Normal 6 11 2 3 3" xfId="57212" xr:uid="{00000000-0005-0000-0000-0000079A0000}"/>
    <cellStyle name="Normal 6 11 2 4" xfId="28243" xr:uid="{00000000-0005-0000-0000-0000089A0000}"/>
    <cellStyle name="Normal 6 11 2 4 2" xfId="57213" xr:uid="{00000000-0005-0000-0000-0000099A0000}"/>
    <cellStyle name="Normal 6 11 2 5" xfId="28244" xr:uid="{00000000-0005-0000-0000-00000A9A0000}"/>
    <cellStyle name="Normal 6 11 2 6" xfId="28245" xr:uid="{00000000-0005-0000-0000-00000B9A0000}"/>
    <cellStyle name="Normal 6 11 2 7" xfId="28246" xr:uid="{00000000-0005-0000-0000-00000C9A0000}"/>
    <cellStyle name="Normal 6 11 3" xfId="28247" xr:uid="{00000000-0005-0000-0000-00000D9A0000}"/>
    <cellStyle name="Normal 6 11 3 2" xfId="28248" xr:uid="{00000000-0005-0000-0000-00000E9A0000}"/>
    <cellStyle name="Normal 6 11 3 2 2" xfId="57214" xr:uid="{00000000-0005-0000-0000-00000F9A0000}"/>
    <cellStyle name="Normal 6 11 3 2 3" xfId="57215" xr:uid="{00000000-0005-0000-0000-0000109A0000}"/>
    <cellStyle name="Normal 6 11 3 3" xfId="28249" xr:uid="{00000000-0005-0000-0000-0000119A0000}"/>
    <cellStyle name="Normal 6 11 3 3 2" xfId="57216" xr:uid="{00000000-0005-0000-0000-0000129A0000}"/>
    <cellStyle name="Normal 6 11 3 4" xfId="28250" xr:uid="{00000000-0005-0000-0000-0000139A0000}"/>
    <cellStyle name="Normal 6 11 3 5" xfId="28251" xr:uid="{00000000-0005-0000-0000-0000149A0000}"/>
    <cellStyle name="Normal 6 11 3 6" xfId="28252" xr:uid="{00000000-0005-0000-0000-0000159A0000}"/>
    <cellStyle name="Normal 6 11 4" xfId="28253" xr:uid="{00000000-0005-0000-0000-0000169A0000}"/>
    <cellStyle name="Normal 6 11 4 2" xfId="57217" xr:uid="{00000000-0005-0000-0000-0000179A0000}"/>
    <cellStyle name="Normal 6 11 4 3" xfId="57218" xr:uid="{00000000-0005-0000-0000-0000189A0000}"/>
    <cellStyle name="Normal 6 11 5" xfId="28254" xr:uid="{00000000-0005-0000-0000-0000199A0000}"/>
    <cellStyle name="Normal 6 11 5 2" xfId="57219" xr:uid="{00000000-0005-0000-0000-00001A9A0000}"/>
    <cellStyle name="Normal 6 11 6" xfId="28255" xr:uid="{00000000-0005-0000-0000-00001B9A0000}"/>
    <cellStyle name="Normal 6 11 7" xfId="28256" xr:uid="{00000000-0005-0000-0000-00001C9A0000}"/>
    <cellStyle name="Normal 6 11 8" xfId="28257" xr:uid="{00000000-0005-0000-0000-00001D9A0000}"/>
    <cellStyle name="Normal 6 12" xfId="28258" xr:uid="{00000000-0005-0000-0000-00001E9A0000}"/>
    <cellStyle name="Normal 6 12 2" xfId="28259" xr:uid="{00000000-0005-0000-0000-00001F9A0000}"/>
    <cellStyle name="Normal 6 12 2 2" xfId="28260" xr:uid="{00000000-0005-0000-0000-0000209A0000}"/>
    <cellStyle name="Normal 6 12 2 2 2" xfId="28261" xr:uid="{00000000-0005-0000-0000-0000219A0000}"/>
    <cellStyle name="Normal 6 12 2 2 2 2" xfId="57220" xr:uid="{00000000-0005-0000-0000-0000229A0000}"/>
    <cellStyle name="Normal 6 12 2 2 2 3" xfId="57221" xr:uid="{00000000-0005-0000-0000-0000239A0000}"/>
    <cellStyle name="Normal 6 12 2 2 3" xfId="28262" xr:uid="{00000000-0005-0000-0000-0000249A0000}"/>
    <cellStyle name="Normal 6 12 2 2 3 2" xfId="57222" xr:uid="{00000000-0005-0000-0000-0000259A0000}"/>
    <cellStyle name="Normal 6 12 2 2 4" xfId="28263" xr:uid="{00000000-0005-0000-0000-0000269A0000}"/>
    <cellStyle name="Normal 6 12 2 2 5" xfId="28264" xr:uid="{00000000-0005-0000-0000-0000279A0000}"/>
    <cellStyle name="Normal 6 12 2 2 6" xfId="28265" xr:uid="{00000000-0005-0000-0000-0000289A0000}"/>
    <cellStyle name="Normal 6 12 2 3" xfId="28266" xr:uid="{00000000-0005-0000-0000-0000299A0000}"/>
    <cellStyle name="Normal 6 12 2 3 2" xfId="57223" xr:uid="{00000000-0005-0000-0000-00002A9A0000}"/>
    <cellStyle name="Normal 6 12 2 3 3" xfId="57224" xr:uid="{00000000-0005-0000-0000-00002B9A0000}"/>
    <cellStyle name="Normal 6 12 2 4" xfId="28267" xr:uid="{00000000-0005-0000-0000-00002C9A0000}"/>
    <cellStyle name="Normal 6 12 2 4 2" xfId="57225" xr:uid="{00000000-0005-0000-0000-00002D9A0000}"/>
    <cellStyle name="Normal 6 12 2 5" xfId="28268" xr:uid="{00000000-0005-0000-0000-00002E9A0000}"/>
    <cellStyle name="Normal 6 12 2 6" xfId="28269" xr:uid="{00000000-0005-0000-0000-00002F9A0000}"/>
    <cellStyle name="Normal 6 12 2 7" xfId="28270" xr:uid="{00000000-0005-0000-0000-0000309A0000}"/>
    <cellStyle name="Normal 6 12 3" xfId="28271" xr:uid="{00000000-0005-0000-0000-0000319A0000}"/>
    <cellStyle name="Normal 6 12 3 2" xfId="28272" xr:uid="{00000000-0005-0000-0000-0000329A0000}"/>
    <cellStyle name="Normal 6 12 3 2 2" xfId="57226" xr:uid="{00000000-0005-0000-0000-0000339A0000}"/>
    <cellStyle name="Normal 6 12 3 2 3" xfId="57227" xr:uid="{00000000-0005-0000-0000-0000349A0000}"/>
    <cellStyle name="Normal 6 12 3 3" xfId="28273" xr:uid="{00000000-0005-0000-0000-0000359A0000}"/>
    <cellStyle name="Normal 6 12 3 3 2" xfId="57228" xr:uid="{00000000-0005-0000-0000-0000369A0000}"/>
    <cellStyle name="Normal 6 12 3 4" xfId="28274" xr:uid="{00000000-0005-0000-0000-0000379A0000}"/>
    <cellStyle name="Normal 6 12 3 5" xfId="28275" xr:uid="{00000000-0005-0000-0000-0000389A0000}"/>
    <cellStyle name="Normal 6 12 3 6" xfId="28276" xr:uid="{00000000-0005-0000-0000-0000399A0000}"/>
    <cellStyle name="Normal 6 12 4" xfId="28277" xr:uid="{00000000-0005-0000-0000-00003A9A0000}"/>
    <cellStyle name="Normal 6 12 4 2" xfId="57229" xr:uid="{00000000-0005-0000-0000-00003B9A0000}"/>
    <cellStyle name="Normal 6 12 4 3" xfId="57230" xr:uid="{00000000-0005-0000-0000-00003C9A0000}"/>
    <cellStyle name="Normal 6 12 5" xfId="28278" xr:uid="{00000000-0005-0000-0000-00003D9A0000}"/>
    <cellStyle name="Normal 6 12 5 2" xfId="57231" xr:uid="{00000000-0005-0000-0000-00003E9A0000}"/>
    <cellStyle name="Normal 6 12 6" xfId="28279" xr:uid="{00000000-0005-0000-0000-00003F9A0000}"/>
    <cellStyle name="Normal 6 12 7" xfId="28280" xr:uid="{00000000-0005-0000-0000-0000409A0000}"/>
    <cellStyle name="Normal 6 12 8" xfId="28281" xr:uid="{00000000-0005-0000-0000-0000419A0000}"/>
    <cellStyle name="Normal 6 13" xfId="28282" xr:uid="{00000000-0005-0000-0000-0000429A0000}"/>
    <cellStyle name="Normal 6 13 2" xfId="28283" xr:uid="{00000000-0005-0000-0000-0000439A0000}"/>
    <cellStyle name="Normal 6 13 2 2" xfId="28284" xr:uid="{00000000-0005-0000-0000-0000449A0000}"/>
    <cellStyle name="Normal 6 13 2 2 2" xfId="57232" xr:uid="{00000000-0005-0000-0000-0000459A0000}"/>
    <cellStyle name="Normal 6 13 2 2 3" xfId="57233" xr:uid="{00000000-0005-0000-0000-0000469A0000}"/>
    <cellStyle name="Normal 6 13 2 3" xfId="28285" xr:uid="{00000000-0005-0000-0000-0000479A0000}"/>
    <cellStyle name="Normal 6 13 2 3 2" xfId="57234" xr:uid="{00000000-0005-0000-0000-0000489A0000}"/>
    <cellStyle name="Normal 6 13 2 4" xfId="28286" xr:uid="{00000000-0005-0000-0000-0000499A0000}"/>
    <cellStyle name="Normal 6 13 2 5" xfId="28287" xr:uid="{00000000-0005-0000-0000-00004A9A0000}"/>
    <cellStyle name="Normal 6 13 2 6" xfId="28288" xr:uid="{00000000-0005-0000-0000-00004B9A0000}"/>
    <cellStyle name="Normal 6 13 3" xfId="28289" xr:uid="{00000000-0005-0000-0000-00004C9A0000}"/>
    <cellStyle name="Normal 6 13 3 2" xfId="57235" xr:uid="{00000000-0005-0000-0000-00004D9A0000}"/>
    <cellStyle name="Normal 6 13 3 3" xfId="57236" xr:uid="{00000000-0005-0000-0000-00004E9A0000}"/>
    <cellStyle name="Normal 6 13 4" xfId="28290" xr:uid="{00000000-0005-0000-0000-00004F9A0000}"/>
    <cellStyle name="Normal 6 13 4 2" xfId="57237" xr:uid="{00000000-0005-0000-0000-0000509A0000}"/>
    <cellStyle name="Normal 6 13 5" xfId="28291" xr:uid="{00000000-0005-0000-0000-0000519A0000}"/>
    <cellStyle name="Normal 6 13 6" xfId="28292" xr:uid="{00000000-0005-0000-0000-0000529A0000}"/>
    <cellStyle name="Normal 6 13 7" xfId="28293" xr:uid="{00000000-0005-0000-0000-0000539A0000}"/>
    <cellStyle name="Normal 6 14" xfId="28294" xr:uid="{00000000-0005-0000-0000-0000549A0000}"/>
    <cellStyle name="Normal 6 14 2" xfId="28295" xr:uid="{00000000-0005-0000-0000-0000559A0000}"/>
    <cellStyle name="Normal 6 14 2 2" xfId="57238" xr:uid="{00000000-0005-0000-0000-0000569A0000}"/>
    <cellStyle name="Normal 6 14 2 3" xfId="57239" xr:uid="{00000000-0005-0000-0000-0000579A0000}"/>
    <cellStyle name="Normal 6 14 3" xfId="28296" xr:uid="{00000000-0005-0000-0000-0000589A0000}"/>
    <cellStyle name="Normal 6 14 3 2" xfId="57240" xr:uid="{00000000-0005-0000-0000-0000599A0000}"/>
    <cellStyle name="Normal 6 14 4" xfId="28297" xr:uid="{00000000-0005-0000-0000-00005A9A0000}"/>
    <cellStyle name="Normal 6 14 5" xfId="28298" xr:uid="{00000000-0005-0000-0000-00005B9A0000}"/>
    <cellStyle name="Normal 6 14 6" xfId="28299" xr:uid="{00000000-0005-0000-0000-00005C9A0000}"/>
    <cellStyle name="Normal 6 15" xfId="28300" xr:uid="{00000000-0005-0000-0000-00005D9A0000}"/>
    <cellStyle name="Normal 6 15 2" xfId="57241" xr:uid="{00000000-0005-0000-0000-00005E9A0000}"/>
    <cellStyle name="Normal 6 15 3" xfId="57242" xr:uid="{00000000-0005-0000-0000-00005F9A0000}"/>
    <cellStyle name="Normal 6 16" xfId="28301" xr:uid="{00000000-0005-0000-0000-0000609A0000}"/>
    <cellStyle name="Normal 6 16 2" xfId="57243" xr:uid="{00000000-0005-0000-0000-0000619A0000}"/>
    <cellStyle name="Normal 6 17" xfId="28302" xr:uid="{00000000-0005-0000-0000-0000629A0000}"/>
    <cellStyle name="Normal 6 17 2" xfId="57244" xr:uid="{00000000-0005-0000-0000-0000639A0000}"/>
    <cellStyle name="Normal 6 18" xfId="28303" xr:uid="{00000000-0005-0000-0000-0000649A0000}"/>
    <cellStyle name="Normal 6 19" xfId="28304" xr:uid="{00000000-0005-0000-0000-0000659A0000}"/>
    <cellStyle name="Normal 6 2" xfId="28305" xr:uid="{00000000-0005-0000-0000-0000669A0000}"/>
    <cellStyle name="Normal 6 2 10" xfId="28306" xr:uid="{00000000-0005-0000-0000-0000679A0000}"/>
    <cellStyle name="Normal 6 2 10 2" xfId="28307" xr:uid="{00000000-0005-0000-0000-0000689A0000}"/>
    <cellStyle name="Normal 6 2 10 2 2" xfId="28308" xr:uid="{00000000-0005-0000-0000-0000699A0000}"/>
    <cellStyle name="Normal 6 2 10 2 2 2" xfId="28309" xr:uid="{00000000-0005-0000-0000-00006A9A0000}"/>
    <cellStyle name="Normal 6 2 10 2 2 2 2" xfId="57245" xr:uid="{00000000-0005-0000-0000-00006B9A0000}"/>
    <cellStyle name="Normal 6 2 10 2 2 2 3" xfId="57246" xr:uid="{00000000-0005-0000-0000-00006C9A0000}"/>
    <cellStyle name="Normal 6 2 10 2 2 3" xfId="28310" xr:uid="{00000000-0005-0000-0000-00006D9A0000}"/>
    <cellStyle name="Normal 6 2 10 2 2 3 2" xfId="57247" xr:uid="{00000000-0005-0000-0000-00006E9A0000}"/>
    <cellStyle name="Normal 6 2 10 2 2 4" xfId="28311" xr:uid="{00000000-0005-0000-0000-00006F9A0000}"/>
    <cellStyle name="Normal 6 2 10 2 2 5" xfId="28312" xr:uid="{00000000-0005-0000-0000-0000709A0000}"/>
    <cellStyle name="Normal 6 2 10 2 2 6" xfId="28313" xr:uid="{00000000-0005-0000-0000-0000719A0000}"/>
    <cellStyle name="Normal 6 2 10 2 3" xfId="28314" xr:uid="{00000000-0005-0000-0000-0000729A0000}"/>
    <cellStyle name="Normal 6 2 10 2 3 2" xfId="57248" xr:uid="{00000000-0005-0000-0000-0000739A0000}"/>
    <cellStyle name="Normal 6 2 10 2 3 3" xfId="57249" xr:uid="{00000000-0005-0000-0000-0000749A0000}"/>
    <cellStyle name="Normal 6 2 10 2 4" xfId="28315" xr:uid="{00000000-0005-0000-0000-0000759A0000}"/>
    <cellStyle name="Normal 6 2 10 2 4 2" xfId="57250" xr:uid="{00000000-0005-0000-0000-0000769A0000}"/>
    <cellStyle name="Normal 6 2 10 2 5" xfId="28316" xr:uid="{00000000-0005-0000-0000-0000779A0000}"/>
    <cellStyle name="Normal 6 2 10 2 6" xfId="28317" xr:uid="{00000000-0005-0000-0000-0000789A0000}"/>
    <cellStyle name="Normal 6 2 10 2 7" xfId="28318" xr:uid="{00000000-0005-0000-0000-0000799A0000}"/>
    <cellStyle name="Normal 6 2 10 3" xfId="28319" xr:uid="{00000000-0005-0000-0000-00007A9A0000}"/>
    <cellStyle name="Normal 6 2 10 3 2" xfId="28320" xr:uid="{00000000-0005-0000-0000-00007B9A0000}"/>
    <cellStyle name="Normal 6 2 10 3 2 2" xfId="57251" xr:uid="{00000000-0005-0000-0000-00007C9A0000}"/>
    <cellStyle name="Normal 6 2 10 3 2 3" xfId="57252" xr:uid="{00000000-0005-0000-0000-00007D9A0000}"/>
    <cellStyle name="Normal 6 2 10 3 3" xfId="28321" xr:uid="{00000000-0005-0000-0000-00007E9A0000}"/>
    <cellStyle name="Normal 6 2 10 3 3 2" xfId="57253" xr:uid="{00000000-0005-0000-0000-00007F9A0000}"/>
    <cellStyle name="Normal 6 2 10 3 4" xfId="28322" xr:uid="{00000000-0005-0000-0000-0000809A0000}"/>
    <cellStyle name="Normal 6 2 10 3 5" xfId="28323" xr:uid="{00000000-0005-0000-0000-0000819A0000}"/>
    <cellStyle name="Normal 6 2 10 3 6" xfId="28324" xr:uid="{00000000-0005-0000-0000-0000829A0000}"/>
    <cellStyle name="Normal 6 2 10 4" xfId="28325" xr:uid="{00000000-0005-0000-0000-0000839A0000}"/>
    <cellStyle name="Normal 6 2 10 4 2" xfId="57254" xr:uid="{00000000-0005-0000-0000-0000849A0000}"/>
    <cellStyle name="Normal 6 2 10 4 3" xfId="57255" xr:uid="{00000000-0005-0000-0000-0000859A0000}"/>
    <cellStyle name="Normal 6 2 10 5" xfId="28326" xr:uid="{00000000-0005-0000-0000-0000869A0000}"/>
    <cellStyle name="Normal 6 2 10 5 2" xfId="57256" xr:uid="{00000000-0005-0000-0000-0000879A0000}"/>
    <cellStyle name="Normal 6 2 10 6" xfId="28327" xr:uid="{00000000-0005-0000-0000-0000889A0000}"/>
    <cellStyle name="Normal 6 2 10 7" xfId="28328" xr:uid="{00000000-0005-0000-0000-0000899A0000}"/>
    <cellStyle name="Normal 6 2 10 8" xfId="28329" xr:uid="{00000000-0005-0000-0000-00008A9A0000}"/>
    <cellStyle name="Normal 6 2 11" xfId="28330" xr:uid="{00000000-0005-0000-0000-00008B9A0000}"/>
    <cellStyle name="Normal 6 2 11 2" xfId="28331" xr:uid="{00000000-0005-0000-0000-00008C9A0000}"/>
    <cellStyle name="Normal 6 2 11 2 2" xfId="28332" xr:uid="{00000000-0005-0000-0000-00008D9A0000}"/>
    <cellStyle name="Normal 6 2 11 2 2 2" xfId="28333" xr:uid="{00000000-0005-0000-0000-00008E9A0000}"/>
    <cellStyle name="Normal 6 2 11 2 2 2 2" xfId="57257" xr:uid="{00000000-0005-0000-0000-00008F9A0000}"/>
    <cellStyle name="Normal 6 2 11 2 2 2 3" xfId="57258" xr:uid="{00000000-0005-0000-0000-0000909A0000}"/>
    <cellStyle name="Normal 6 2 11 2 2 3" xfId="28334" xr:uid="{00000000-0005-0000-0000-0000919A0000}"/>
    <cellStyle name="Normal 6 2 11 2 2 3 2" xfId="57259" xr:uid="{00000000-0005-0000-0000-0000929A0000}"/>
    <cellStyle name="Normal 6 2 11 2 2 4" xfId="28335" xr:uid="{00000000-0005-0000-0000-0000939A0000}"/>
    <cellStyle name="Normal 6 2 11 2 2 5" xfId="28336" xr:uid="{00000000-0005-0000-0000-0000949A0000}"/>
    <cellStyle name="Normal 6 2 11 2 2 6" xfId="28337" xr:uid="{00000000-0005-0000-0000-0000959A0000}"/>
    <cellStyle name="Normal 6 2 11 2 3" xfId="28338" xr:uid="{00000000-0005-0000-0000-0000969A0000}"/>
    <cellStyle name="Normal 6 2 11 2 3 2" xfId="57260" xr:uid="{00000000-0005-0000-0000-0000979A0000}"/>
    <cellStyle name="Normal 6 2 11 2 3 3" xfId="57261" xr:uid="{00000000-0005-0000-0000-0000989A0000}"/>
    <cellStyle name="Normal 6 2 11 2 4" xfId="28339" xr:uid="{00000000-0005-0000-0000-0000999A0000}"/>
    <cellStyle name="Normal 6 2 11 2 4 2" xfId="57262" xr:uid="{00000000-0005-0000-0000-00009A9A0000}"/>
    <cellStyle name="Normal 6 2 11 2 5" xfId="28340" xr:uid="{00000000-0005-0000-0000-00009B9A0000}"/>
    <cellStyle name="Normal 6 2 11 2 6" xfId="28341" xr:uid="{00000000-0005-0000-0000-00009C9A0000}"/>
    <cellStyle name="Normal 6 2 11 2 7" xfId="28342" xr:uid="{00000000-0005-0000-0000-00009D9A0000}"/>
    <cellStyle name="Normal 6 2 11 3" xfId="28343" xr:uid="{00000000-0005-0000-0000-00009E9A0000}"/>
    <cellStyle name="Normal 6 2 11 3 2" xfId="28344" xr:uid="{00000000-0005-0000-0000-00009F9A0000}"/>
    <cellStyle name="Normal 6 2 11 3 2 2" xfId="57263" xr:uid="{00000000-0005-0000-0000-0000A09A0000}"/>
    <cellStyle name="Normal 6 2 11 3 2 3" xfId="57264" xr:uid="{00000000-0005-0000-0000-0000A19A0000}"/>
    <cellStyle name="Normal 6 2 11 3 3" xfId="28345" xr:uid="{00000000-0005-0000-0000-0000A29A0000}"/>
    <cellStyle name="Normal 6 2 11 3 3 2" xfId="57265" xr:uid="{00000000-0005-0000-0000-0000A39A0000}"/>
    <cellStyle name="Normal 6 2 11 3 4" xfId="28346" xr:uid="{00000000-0005-0000-0000-0000A49A0000}"/>
    <cellStyle name="Normal 6 2 11 3 5" xfId="28347" xr:uid="{00000000-0005-0000-0000-0000A59A0000}"/>
    <cellStyle name="Normal 6 2 11 3 6" xfId="28348" xr:uid="{00000000-0005-0000-0000-0000A69A0000}"/>
    <cellStyle name="Normal 6 2 11 4" xfId="28349" xr:uid="{00000000-0005-0000-0000-0000A79A0000}"/>
    <cellStyle name="Normal 6 2 11 4 2" xfId="57266" xr:uid="{00000000-0005-0000-0000-0000A89A0000}"/>
    <cellStyle name="Normal 6 2 11 4 3" xfId="57267" xr:uid="{00000000-0005-0000-0000-0000A99A0000}"/>
    <cellStyle name="Normal 6 2 11 5" xfId="28350" xr:uid="{00000000-0005-0000-0000-0000AA9A0000}"/>
    <cellStyle name="Normal 6 2 11 5 2" xfId="57268" xr:uid="{00000000-0005-0000-0000-0000AB9A0000}"/>
    <cellStyle name="Normal 6 2 11 6" xfId="28351" xr:uid="{00000000-0005-0000-0000-0000AC9A0000}"/>
    <cellStyle name="Normal 6 2 11 7" xfId="28352" xr:uid="{00000000-0005-0000-0000-0000AD9A0000}"/>
    <cellStyle name="Normal 6 2 11 8" xfId="28353" xr:uid="{00000000-0005-0000-0000-0000AE9A0000}"/>
    <cellStyle name="Normal 6 2 12" xfId="28354" xr:uid="{00000000-0005-0000-0000-0000AF9A0000}"/>
    <cellStyle name="Normal 6 2 12 2" xfId="28355" xr:uid="{00000000-0005-0000-0000-0000B09A0000}"/>
    <cellStyle name="Normal 6 2 12 2 2" xfId="28356" xr:uid="{00000000-0005-0000-0000-0000B19A0000}"/>
    <cellStyle name="Normal 6 2 12 2 2 2" xfId="57269" xr:uid="{00000000-0005-0000-0000-0000B29A0000}"/>
    <cellStyle name="Normal 6 2 12 2 2 3" xfId="57270" xr:uid="{00000000-0005-0000-0000-0000B39A0000}"/>
    <cellStyle name="Normal 6 2 12 2 3" xfId="28357" xr:uid="{00000000-0005-0000-0000-0000B49A0000}"/>
    <cellStyle name="Normal 6 2 12 2 3 2" xfId="57271" xr:uid="{00000000-0005-0000-0000-0000B59A0000}"/>
    <cellStyle name="Normal 6 2 12 2 4" xfId="28358" xr:uid="{00000000-0005-0000-0000-0000B69A0000}"/>
    <cellStyle name="Normal 6 2 12 2 5" xfId="28359" xr:uid="{00000000-0005-0000-0000-0000B79A0000}"/>
    <cellStyle name="Normal 6 2 12 2 6" xfId="28360" xr:uid="{00000000-0005-0000-0000-0000B89A0000}"/>
    <cellStyle name="Normal 6 2 12 3" xfId="28361" xr:uid="{00000000-0005-0000-0000-0000B99A0000}"/>
    <cellStyle name="Normal 6 2 12 3 2" xfId="57272" xr:uid="{00000000-0005-0000-0000-0000BA9A0000}"/>
    <cellStyle name="Normal 6 2 12 3 3" xfId="57273" xr:uid="{00000000-0005-0000-0000-0000BB9A0000}"/>
    <cellStyle name="Normal 6 2 12 4" xfId="28362" xr:uid="{00000000-0005-0000-0000-0000BC9A0000}"/>
    <cellStyle name="Normal 6 2 12 4 2" xfId="57274" xr:uid="{00000000-0005-0000-0000-0000BD9A0000}"/>
    <cellStyle name="Normal 6 2 12 5" xfId="28363" xr:uid="{00000000-0005-0000-0000-0000BE9A0000}"/>
    <cellStyle name="Normal 6 2 12 6" xfId="28364" xr:uid="{00000000-0005-0000-0000-0000BF9A0000}"/>
    <cellStyle name="Normal 6 2 12 7" xfId="28365" xr:uid="{00000000-0005-0000-0000-0000C09A0000}"/>
    <cellStyle name="Normal 6 2 13" xfId="28366" xr:uid="{00000000-0005-0000-0000-0000C19A0000}"/>
    <cellStyle name="Normal 6 2 13 2" xfId="28367" xr:uid="{00000000-0005-0000-0000-0000C29A0000}"/>
    <cellStyle name="Normal 6 2 13 2 2" xfId="57275" xr:uid="{00000000-0005-0000-0000-0000C39A0000}"/>
    <cellStyle name="Normal 6 2 13 2 3" xfId="57276" xr:uid="{00000000-0005-0000-0000-0000C49A0000}"/>
    <cellStyle name="Normal 6 2 13 3" xfId="28368" xr:uid="{00000000-0005-0000-0000-0000C59A0000}"/>
    <cellStyle name="Normal 6 2 13 3 2" xfId="57277" xr:uid="{00000000-0005-0000-0000-0000C69A0000}"/>
    <cellStyle name="Normal 6 2 13 4" xfId="28369" xr:uid="{00000000-0005-0000-0000-0000C79A0000}"/>
    <cellStyle name="Normal 6 2 13 5" xfId="28370" xr:uid="{00000000-0005-0000-0000-0000C89A0000}"/>
    <cellStyle name="Normal 6 2 13 6" xfId="28371" xr:uid="{00000000-0005-0000-0000-0000C99A0000}"/>
    <cellStyle name="Normal 6 2 14" xfId="28372" xr:uid="{00000000-0005-0000-0000-0000CA9A0000}"/>
    <cellStyle name="Normal 6 2 14 2" xfId="57278" xr:uid="{00000000-0005-0000-0000-0000CB9A0000}"/>
    <cellStyle name="Normal 6 2 14 3" xfId="57279" xr:uid="{00000000-0005-0000-0000-0000CC9A0000}"/>
    <cellStyle name="Normal 6 2 15" xfId="28373" xr:uid="{00000000-0005-0000-0000-0000CD9A0000}"/>
    <cellStyle name="Normal 6 2 15 2" xfId="57280" xr:uid="{00000000-0005-0000-0000-0000CE9A0000}"/>
    <cellStyle name="Normal 6 2 16" xfId="28374" xr:uid="{00000000-0005-0000-0000-0000CF9A0000}"/>
    <cellStyle name="Normal 6 2 16 2" xfId="57281" xr:uid="{00000000-0005-0000-0000-0000D09A0000}"/>
    <cellStyle name="Normal 6 2 17" xfId="28375" xr:uid="{00000000-0005-0000-0000-0000D19A0000}"/>
    <cellStyle name="Normal 6 2 18" xfId="28376" xr:uid="{00000000-0005-0000-0000-0000D29A0000}"/>
    <cellStyle name="Normal 6 2 19" xfId="28377" xr:uid="{00000000-0005-0000-0000-0000D39A0000}"/>
    <cellStyle name="Normal 6 2 2" xfId="28378" xr:uid="{00000000-0005-0000-0000-0000D49A0000}"/>
    <cellStyle name="Normal 6 2 2 10" xfId="28379" xr:uid="{00000000-0005-0000-0000-0000D59A0000}"/>
    <cellStyle name="Normal 6 2 2 10 2" xfId="28380" xr:uid="{00000000-0005-0000-0000-0000D69A0000}"/>
    <cellStyle name="Normal 6 2 2 10 2 2" xfId="28381" xr:uid="{00000000-0005-0000-0000-0000D79A0000}"/>
    <cellStyle name="Normal 6 2 2 10 2 2 2" xfId="57282" xr:uid="{00000000-0005-0000-0000-0000D89A0000}"/>
    <cellStyle name="Normal 6 2 2 10 2 2 3" xfId="57283" xr:uid="{00000000-0005-0000-0000-0000D99A0000}"/>
    <cellStyle name="Normal 6 2 2 10 2 3" xfId="28382" xr:uid="{00000000-0005-0000-0000-0000DA9A0000}"/>
    <cellStyle name="Normal 6 2 2 10 2 3 2" xfId="57284" xr:uid="{00000000-0005-0000-0000-0000DB9A0000}"/>
    <cellStyle name="Normal 6 2 2 10 2 4" xfId="28383" xr:uid="{00000000-0005-0000-0000-0000DC9A0000}"/>
    <cellStyle name="Normal 6 2 2 10 2 5" xfId="28384" xr:uid="{00000000-0005-0000-0000-0000DD9A0000}"/>
    <cellStyle name="Normal 6 2 2 10 2 6" xfId="28385" xr:uid="{00000000-0005-0000-0000-0000DE9A0000}"/>
    <cellStyle name="Normal 6 2 2 10 3" xfId="28386" xr:uid="{00000000-0005-0000-0000-0000DF9A0000}"/>
    <cellStyle name="Normal 6 2 2 10 3 2" xfId="57285" xr:uid="{00000000-0005-0000-0000-0000E09A0000}"/>
    <cellStyle name="Normal 6 2 2 10 3 3" xfId="57286" xr:uid="{00000000-0005-0000-0000-0000E19A0000}"/>
    <cellStyle name="Normal 6 2 2 10 4" xfId="28387" xr:uid="{00000000-0005-0000-0000-0000E29A0000}"/>
    <cellStyle name="Normal 6 2 2 10 4 2" xfId="57287" xr:uid="{00000000-0005-0000-0000-0000E39A0000}"/>
    <cellStyle name="Normal 6 2 2 10 5" xfId="28388" xr:uid="{00000000-0005-0000-0000-0000E49A0000}"/>
    <cellStyle name="Normal 6 2 2 10 6" xfId="28389" xr:uid="{00000000-0005-0000-0000-0000E59A0000}"/>
    <cellStyle name="Normal 6 2 2 10 7" xfId="28390" xr:uid="{00000000-0005-0000-0000-0000E69A0000}"/>
    <cellStyle name="Normal 6 2 2 11" xfId="28391" xr:uid="{00000000-0005-0000-0000-0000E79A0000}"/>
    <cellStyle name="Normal 6 2 2 11 2" xfId="28392" xr:uid="{00000000-0005-0000-0000-0000E89A0000}"/>
    <cellStyle name="Normal 6 2 2 11 2 2" xfId="57288" xr:uid="{00000000-0005-0000-0000-0000E99A0000}"/>
    <cellStyle name="Normal 6 2 2 11 2 3" xfId="57289" xr:uid="{00000000-0005-0000-0000-0000EA9A0000}"/>
    <cellStyle name="Normal 6 2 2 11 3" xfId="28393" xr:uid="{00000000-0005-0000-0000-0000EB9A0000}"/>
    <cellStyle name="Normal 6 2 2 11 3 2" xfId="57290" xr:uid="{00000000-0005-0000-0000-0000EC9A0000}"/>
    <cellStyle name="Normal 6 2 2 11 4" xfId="28394" xr:uid="{00000000-0005-0000-0000-0000ED9A0000}"/>
    <cellStyle name="Normal 6 2 2 11 5" xfId="28395" xr:uid="{00000000-0005-0000-0000-0000EE9A0000}"/>
    <cellStyle name="Normal 6 2 2 11 6" xfId="28396" xr:uid="{00000000-0005-0000-0000-0000EF9A0000}"/>
    <cellStyle name="Normal 6 2 2 12" xfId="28397" xr:uid="{00000000-0005-0000-0000-0000F09A0000}"/>
    <cellStyle name="Normal 6 2 2 12 2" xfId="57291" xr:uid="{00000000-0005-0000-0000-0000F19A0000}"/>
    <cellStyle name="Normal 6 2 2 12 3" xfId="57292" xr:uid="{00000000-0005-0000-0000-0000F29A0000}"/>
    <cellStyle name="Normal 6 2 2 13" xfId="28398" xr:uid="{00000000-0005-0000-0000-0000F39A0000}"/>
    <cellStyle name="Normal 6 2 2 13 2" xfId="57293" xr:uid="{00000000-0005-0000-0000-0000F49A0000}"/>
    <cellStyle name="Normal 6 2 2 14" xfId="28399" xr:uid="{00000000-0005-0000-0000-0000F59A0000}"/>
    <cellStyle name="Normal 6 2 2 14 2" xfId="57294" xr:uid="{00000000-0005-0000-0000-0000F69A0000}"/>
    <cellStyle name="Normal 6 2 2 15" xfId="28400" xr:uid="{00000000-0005-0000-0000-0000F79A0000}"/>
    <cellStyle name="Normal 6 2 2 16" xfId="28401" xr:uid="{00000000-0005-0000-0000-0000F89A0000}"/>
    <cellStyle name="Normal 6 2 2 17" xfId="28402" xr:uid="{00000000-0005-0000-0000-0000F99A0000}"/>
    <cellStyle name="Normal 6 2 2 18" xfId="28403" xr:uid="{00000000-0005-0000-0000-0000FA9A0000}"/>
    <cellStyle name="Normal 6 2 2 19" xfId="28404" xr:uid="{00000000-0005-0000-0000-0000FB9A0000}"/>
    <cellStyle name="Normal 6 2 2 2" xfId="28405" xr:uid="{00000000-0005-0000-0000-0000FC9A0000}"/>
    <cellStyle name="Normal 6 2 2 2 10" xfId="28406" xr:uid="{00000000-0005-0000-0000-0000FD9A0000}"/>
    <cellStyle name="Normal 6 2 2 2 11" xfId="28407" xr:uid="{00000000-0005-0000-0000-0000FE9A0000}"/>
    <cellStyle name="Normal 6 2 2 2 12" xfId="28408" xr:uid="{00000000-0005-0000-0000-0000FF9A0000}"/>
    <cellStyle name="Normal 6 2 2 2 13" xfId="28409" xr:uid="{00000000-0005-0000-0000-0000009B0000}"/>
    <cellStyle name="Normal 6 2 2 2 14" xfId="28410" xr:uid="{00000000-0005-0000-0000-0000019B0000}"/>
    <cellStyle name="Normal 6 2 2 2 15" xfId="28411" xr:uid="{00000000-0005-0000-0000-0000029B0000}"/>
    <cellStyle name="Normal 6 2 2 2 2" xfId="28412" xr:uid="{00000000-0005-0000-0000-0000039B0000}"/>
    <cellStyle name="Normal 6 2 2 2 2 10" xfId="28413" xr:uid="{00000000-0005-0000-0000-0000049B0000}"/>
    <cellStyle name="Normal 6 2 2 2 2 11" xfId="28414" xr:uid="{00000000-0005-0000-0000-0000059B0000}"/>
    <cellStyle name="Normal 6 2 2 2 2 12" xfId="28415" xr:uid="{00000000-0005-0000-0000-0000069B0000}"/>
    <cellStyle name="Normal 6 2 2 2 2 13" xfId="28416" xr:uid="{00000000-0005-0000-0000-0000079B0000}"/>
    <cellStyle name="Normal 6 2 2 2 2 14" xfId="28417" xr:uid="{00000000-0005-0000-0000-0000089B0000}"/>
    <cellStyle name="Normal 6 2 2 2 2 2" xfId="28418" xr:uid="{00000000-0005-0000-0000-0000099B0000}"/>
    <cellStyle name="Normal 6 2 2 2 2 2 2" xfId="28419" xr:uid="{00000000-0005-0000-0000-00000A9B0000}"/>
    <cellStyle name="Normal 6 2 2 2 2 2 2 2" xfId="28420" xr:uid="{00000000-0005-0000-0000-00000B9B0000}"/>
    <cellStyle name="Normal 6 2 2 2 2 2 2 2 2" xfId="28421" xr:uid="{00000000-0005-0000-0000-00000C9B0000}"/>
    <cellStyle name="Normal 6 2 2 2 2 2 2 2 2 2" xfId="57295" xr:uid="{00000000-0005-0000-0000-00000D9B0000}"/>
    <cellStyle name="Normal 6 2 2 2 2 2 2 2 2 3" xfId="57296" xr:uid="{00000000-0005-0000-0000-00000E9B0000}"/>
    <cellStyle name="Normal 6 2 2 2 2 2 2 2 3" xfId="28422" xr:uid="{00000000-0005-0000-0000-00000F9B0000}"/>
    <cellStyle name="Normal 6 2 2 2 2 2 2 2 3 2" xfId="57297" xr:uid="{00000000-0005-0000-0000-0000109B0000}"/>
    <cellStyle name="Normal 6 2 2 2 2 2 2 2 4" xfId="28423" xr:uid="{00000000-0005-0000-0000-0000119B0000}"/>
    <cellStyle name="Normal 6 2 2 2 2 2 2 2 5" xfId="28424" xr:uid="{00000000-0005-0000-0000-0000129B0000}"/>
    <cellStyle name="Normal 6 2 2 2 2 2 2 2 6" xfId="28425" xr:uid="{00000000-0005-0000-0000-0000139B0000}"/>
    <cellStyle name="Normal 6 2 2 2 2 2 2 3" xfId="28426" xr:uid="{00000000-0005-0000-0000-0000149B0000}"/>
    <cellStyle name="Normal 6 2 2 2 2 2 2 3 2" xfId="57298" xr:uid="{00000000-0005-0000-0000-0000159B0000}"/>
    <cellStyle name="Normal 6 2 2 2 2 2 2 3 3" xfId="57299" xr:uid="{00000000-0005-0000-0000-0000169B0000}"/>
    <cellStyle name="Normal 6 2 2 2 2 2 2 4" xfId="28427" xr:uid="{00000000-0005-0000-0000-0000179B0000}"/>
    <cellStyle name="Normal 6 2 2 2 2 2 2 4 2" xfId="57300" xr:uid="{00000000-0005-0000-0000-0000189B0000}"/>
    <cellStyle name="Normal 6 2 2 2 2 2 2 5" xfId="28428" xr:uid="{00000000-0005-0000-0000-0000199B0000}"/>
    <cellStyle name="Normal 6 2 2 2 2 2 2 6" xfId="28429" xr:uid="{00000000-0005-0000-0000-00001A9B0000}"/>
    <cellStyle name="Normal 6 2 2 2 2 2 2 7" xfId="28430" xr:uid="{00000000-0005-0000-0000-00001B9B0000}"/>
    <cellStyle name="Normal 6 2 2 2 2 2 3" xfId="28431" xr:uid="{00000000-0005-0000-0000-00001C9B0000}"/>
    <cellStyle name="Normal 6 2 2 2 2 2 3 2" xfId="28432" xr:uid="{00000000-0005-0000-0000-00001D9B0000}"/>
    <cellStyle name="Normal 6 2 2 2 2 2 3 2 2" xfId="57301" xr:uid="{00000000-0005-0000-0000-00001E9B0000}"/>
    <cellStyle name="Normal 6 2 2 2 2 2 3 2 3" xfId="57302" xr:uid="{00000000-0005-0000-0000-00001F9B0000}"/>
    <cellStyle name="Normal 6 2 2 2 2 2 3 3" xfId="28433" xr:uid="{00000000-0005-0000-0000-0000209B0000}"/>
    <cellStyle name="Normal 6 2 2 2 2 2 3 3 2" xfId="57303" xr:uid="{00000000-0005-0000-0000-0000219B0000}"/>
    <cellStyle name="Normal 6 2 2 2 2 2 3 4" xfId="28434" xr:uid="{00000000-0005-0000-0000-0000229B0000}"/>
    <cellStyle name="Normal 6 2 2 2 2 2 3 5" xfId="28435" xr:uid="{00000000-0005-0000-0000-0000239B0000}"/>
    <cellStyle name="Normal 6 2 2 2 2 2 3 6" xfId="28436" xr:uid="{00000000-0005-0000-0000-0000249B0000}"/>
    <cellStyle name="Normal 6 2 2 2 2 2 4" xfId="28437" xr:uid="{00000000-0005-0000-0000-0000259B0000}"/>
    <cellStyle name="Normal 6 2 2 2 2 2 4 2" xfId="57304" xr:uid="{00000000-0005-0000-0000-0000269B0000}"/>
    <cellStyle name="Normal 6 2 2 2 2 2 4 3" xfId="57305" xr:uid="{00000000-0005-0000-0000-0000279B0000}"/>
    <cellStyle name="Normal 6 2 2 2 2 2 5" xfId="28438" xr:uid="{00000000-0005-0000-0000-0000289B0000}"/>
    <cellStyle name="Normal 6 2 2 2 2 2 5 2" xfId="57306" xr:uid="{00000000-0005-0000-0000-0000299B0000}"/>
    <cellStyle name="Normal 6 2 2 2 2 2 6" xfId="28439" xr:uid="{00000000-0005-0000-0000-00002A9B0000}"/>
    <cellStyle name="Normal 6 2 2 2 2 2 7" xfId="28440" xr:uid="{00000000-0005-0000-0000-00002B9B0000}"/>
    <cellStyle name="Normal 6 2 2 2 2 2 8" xfId="28441" xr:uid="{00000000-0005-0000-0000-00002C9B0000}"/>
    <cellStyle name="Normal 6 2 2 2 2 2 9" xfId="28442" xr:uid="{00000000-0005-0000-0000-00002D9B0000}"/>
    <cellStyle name="Normal 6 2 2 2 2 3" xfId="28443" xr:uid="{00000000-0005-0000-0000-00002E9B0000}"/>
    <cellStyle name="Normal 6 2 2 2 2 3 2" xfId="28444" xr:uid="{00000000-0005-0000-0000-00002F9B0000}"/>
    <cellStyle name="Normal 6 2 2 2 2 3 2 2" xfId="28445" xr:uid="{00000000-0005-0000-0000-0000309B0000}"/>
    <cellStyle name="Normal 6 2 2 2 2 3 2 2 2" xfId="28446" xr:uid="{00000000-0005-0000-0000-0000319B0000}"/>
    <cellStyle name="Normal 6 2 2 2 2 3 2 2 2 2" xfId="57307" xr:uid="{00000000-0005-0000-0000-0000329B0000}"/>
    <cellStyle name="Normal 6 2 2 2 2 3 2 2 2 3" xfId="57308" xr:uid="{00000000-0005-0000-0000-0000339B0000}"/>
    <cellStyle name="Normal 6 2 2 2 2 3 2 2 3" xfId="28447" xr:uid="{00000000-0005-0000-0000-0000349B0000}"/>
    <cellStyle name="Normal 6 2 2 2 2 3 2 2 3 2" xfId="57309" xr:uid="{00000000-0005-0000-0000-0000359B0000}"/>
    <cellStyle name="Normal 6 2 2 2 2 3 2 2 4" xfId="28448" xr:uid="{00000000-0005-0000-0000-0000369B0000}"/>
    <cellStyle name="Normal 6 2 2 2 2 3 2 2 5" xfId="28449" xr:uid="{00000000-0005-0000-0000-0000379B0000}"/>
    <cellStyle name="Normal 6 2 2 2 2 3 2 2 6" xfId="28450" xr:uid="{00000000-0005-0000-0000-0000389B0000}"/>
    <cellStyle name="Normal 6 2 2 2 2 3 2 3" xfId="28451" xr:uid="{00000000-0005-0000-0000-0000399B0000}"/>
    <cellStyle name="Normal 6 2 2 2 2 3 2 3 2" xfId="57310" xr:uid="{00000000-0005-0000-0000-00003A9B0000}"/>
    <cellStyle name="Normal 6 2 2 2 2 3 2 3 3" xfId="57311" xr:uid="{00000000-0005-0000-0000-00003B9B0000}"/>
    <cellStyle name="Normal 6 2 2 2 2 3 2 4" xfId="28452" xr:uid="{00000000-0005-0000-0000-00003C9B0000}"/>
    <cellStyle name="Normal 6 2 2 2 2 3 2 4 2" xfId="57312" xr:uid="{00000000-0005-0000-0000-00003D9B0000}"/>
    <cellStyle name="Normal 6 2 2 2 2 3 2 5" xfId="28453" xr:uid="{00000000-0005-0000-0000-00003E9B0000}"/>
    <cellStyle name="Normal 6 2 2 2 2 3 2 6" xfId="28454" xr:uid="{00000000-0005-0000-0000-00003F9B0000}"/>
    <cellStyle name="Normal 6 2 2 2 2 3 2 7" xfId="28455" xr:uid="{00000000-0005-0000-0000-0000409B0000}"/>
    <cellStyle name="Normal 6 2 2 2 2 3 3" xfId="28456" xr:uid="{00000000-0005-0000-0000-0000419B0000}"/>
    <cellStyle name="Normal 6 2 2 2 2 3 3 2" xfId="28457" xr:uid="{00000000-0005-0000-0000-0000429B0000}"/>
    <cellStyle name="Normal 6 2 2 2 2 3 3 2 2" xfId="57313" xr:uid="{00000000-0005-0000-0000-0000439B0000}"/>
    <cellStyle name="Normal 6 2 2 2 2 3 3 2 3" xfId="57314" xr:uid="{00000000-0005-0000-0000-0000449B0000}"/>
    <cellStyle name="Normal 6 2 2 2 2 3 3 3" xfId="28458" xr:uid="{00000000-0005-0000-0000-0000459B0000}"/>
    <cellStyle name="Normal 6 2 2 2 2 3 3 3 2" xfId="57315" xr:uid="{00000000-0005-0000-0000-0000469B0000}"/>
    <cellStyle name="Normal 6 2 2 2 2 3 3 4" xfId="28459" xr:uid="{00000000-0005-0000-0000-0000479B0000}"/>
    <cellStyle name="Normal 6 2 2 2 2 3 3 5" xfId="28460" xr:uid="{00000000-0005-0000-0000-0000489B0000}"/>
    <cellStyle name="Normal 6 2 2 2 2 3 3 6" xfId="28461" xr:uid="{00000000-0005-0000-0000-0000499B0000}"/>
    <cellStyle name="Normal 6 2 2 2 2 3 4" xfId="28462" xr:uid="{00000000-0005-0000-0000-00004A9B0000}"/>
    <cellStyle name="Normal 6 2 2 2 2 3 4 2" xfId="57316" xr:uid="{00000000-0005-0000-0000-00004B9B0000}"/>
    <cellStyle name="Normal 6 2 2 2 2 3 4 3" xfId="57317" xr:uid="{00000000-0005-0000-0000-00004C9B0000}"/>
    <cellStyle name="Normal 6 2 2 2 2 3 5" xfId="28463" xr:uid="{00000000-0005-0000-0000-00004D9B0000}"/>
    <cellStyle name="Normal 6 2 2 2 2 3 5 2" xfId="57318" xr:uid="{00000000-0005-0000-0000-00004E9B0000}"/>
    <cellStyle name="Normal 6 2 2 2 2 3 6" xfId="28464" xr:uid="{00000000-0005-0000-0000-00004F9B0000}"/>
    <cellStyle name="Normal 6 2 2 2 2 3 7" xfId="28465" xr:uid="{00000000-0005-0000-0000-0000509B0000}"/>
    <cellStyle name="Normal 6 2 2 2 2 3 8" xfId="28466" xr:uid="{00000000-0005-0000-0000-0000519B0000}"/>
    <cellStyle name="Normal 6 2 2 2 2 4" xfId="28467" xr:uid="{00000000-0005-0000-0000-0000529B0000}"/>
    <cellStyle name="Normal 6 2 2 2 2 4 2" xfId="28468" xr:uid="{00000000-0005-0000-0000-0000539B0000}"/>
    <cellStyle name="Normal 6 2 2 2 2 4 2 2" xfId="28469" xr:uid="{00000000-0005-0000-0000-0000549B0000}"/>
    <cellStyle name="Normal 6 2 2 2 2 4 2 2 2" xfId="57319" xr:uid="{00000000-0005-0000-0000-0000559B0000}"/>
    <cellStyle name="Normal 6 2 2 2 2 4 2 2 3" xfId="57320" xr:uid="{00000000-0005-0000-0000-0000569B0000}"/>
    <cellStyle name="Normal 6 2 2 2 2 4 2 3" xfId="28470" xr:uid="{00000000-0005-0000-0000-0000579B0000}"/>
    <cellStyle name="Normal 6 2 2 2 2 4 2 3 2" xfId="57321" xr:uid="{00000000-0005-0000-0000-0000589B0000}"/>
    <cellStyle name="Normal 6 2 2 2 2 4 2 4" xfId="28471" xr:uid="{00000000-0005-0000-0000-0000599B0000}"/>
    <cellStyle name="Normal 6 2 2 2 2 4 2 5" xfId="28472" xr:uid="{00000000-0005-0000-0000-00005A9B0000}"/>
    <cellStyle name="Normal 6 2 2 2 2 4 2 6" xfId="28473" xr:uid="{00000000-0005-0000-0000-00005B9B0000}"/>
    <cellStyle name="Normal 6 2 2 2 2 4 3" xfId="28474" xr:uid="{00000000-0005-0000-0000-00005C9B0000}"/>
    <cellStyle name="Normal 6 2 2 2 2 4 3 2" xfId="57322" xr:uid="{00000000-0005-0000-0000-00005D9B0000}"/>
    <cellStyle name="Normal 6 2 2 2 2 4 3 3" xfId="57323" xr:uid="{00000000-0005-0000-0000-00005E9B0000}"/>
    <cellStyle name="Normal 6 2 2 2 2 4 4" xfId="28475" xr:uid="{00000000-0005-0000-0000-00005F9B0000}"/>
    <cellStyle name="Normal 6 2 2 2 2 4 4 2" xfId="57324" xr:uid="{00000000-0005-0000-0000-0000609B0000}"/>
    <cellStyle name="Normal 6 2 2 2 2 4 5" xfId="28476" xr:uid="{00000000-0005-0000-0000-0000619B0000}"/>
    <cellStyle name="Normal 6 2 2 2 2 4 6" xfId="28477" xr:uid="{00000000-0005-0000-0000-0000629B0000}"/>
    <cellStyle name="Normal 6 2 2 2 2 4 7" xfId="28478" xr:uid="{00000000-0005-0000-0000-0000639B0000}"/>
    <cellStyle name="Normal 6 2 2 2 2 5" xfId="28479" xr:uid="{00000000-0005-0000-0000-0000649B0000}"/>
    <cellStyle name="Normal 6 2 2 2 2 5 2" xfId="28480" xr:uid="{00000000-0005-0000-0000-0000659B0000}"/>
    <cellStyle name="Normal 6 2 2 2 2 5 2 2" xfId="57325" xr:uid="{00000000-0005-0000-0000-0000669B0000}"/>
    <cellStyle name="Normal 6 2 2 2 2 5 2 3" xfId="57326" xr:uid="{00000000-0005-0000-0000-0000679B0000}"/>
    <cellStyle name="Normal 6 2 2 2 2 5 3" xfId="28481" xr:uid="{00000000-0005-0000-0000-0000689B0000}"/>
    <cellStyle name="Normal 6 2 2 2 2 5 3 2" xfId="57327" xr:uid="{00000000-0005-0000-0000-0000699B0000}"/>
    <cellStyle name="Normal 6 2 2 2 2 5 4" xfId="28482" xr:uid="{00000000-0005-0000-0000-00006A9B0000}"/>
    <cellStyle name="Normal 6 2 2 2 2 5 5" xfId="28483" xr:uid="{00000000-0005-0000-0000-00006B9B0000}"/>
    <cellStyle name="Normal 6 2 2 2 2 5 6" xfId="28484" xr:uid="{00000000-0005-0000-0000-00006C9B0000}"/>
    <cellStyle name="Normal 6 2 2 2 2 6" xfId="28485" xr:uid="{00000000-0005-0000-0000-00006D9B0000}"/>
    <cellStyle name="Normal 6 2 2 2 2 6 2" xfId="57328" xr:uid="{00000000-0005-0000-0000-00006E9B0000}"/>
    <cellStyle name="Normal 6 2 2 2 2 6 3" xfId="57329" xr:uid="{00000000-0005-0000-0000-00006F9B0000}"/>
    <cellStyle name="Normal 6 2 2 2 2 7" xfId="28486" xr:uid="{00000000-0005-0000-0000-0000709B0000}"/>
    <cellStyle name="Normal 6 2 2 2 2 7 2" xfId="57330" xr:uid="{00000000-0005-0000-0000-0000719B0000}"/>
    <cellStyle name="Normal 6 2 2 2 2 8" xfId="28487" xr:uid="{00000000-0005-0000-0000-0000729B0000}"/>
    <cellStyle name="Normal 6 2 2 2 2 9" xfId="28488" xr:uid="{00000000-0005-0000-0000-0000739B0000}"/>
    <cellStyle name="Normal 6 2 2 2 3" xfId="28489" xr:uid="{00000000-0005-0000-0000-0000749B0000}"/>
    <cellStyle name="Normal 6 2 2 2 3 2" xfId="28490" xr:uid="{00000000-0005-0000-0000-0000759B0000}"/>
    <cellStyle name="Normal 6 2 2 2 3 2 2" xfId="28491" xr:uid="{00000000-0005-0000-0000-0000769B0000}"/>
    <cellStyle name="Normal 6 2 2 2 3 2 2 2" xfId="28492" xr:uid="{00000000-0005-0000-0000-0000779B0000}"/>
    <cellStyle name="Normal 6 2 2 2 3 2 2 2 2" xfId="57331" xr:uid="{00000000-0005-0000-0000-0000789B0000}"/>
    <cellStyle name="Normal 6 2 2 2 3 2 2 2 3" xfId="57332" xr:uid="{00000000-0005-0000-0000-0000799B0000}"/>
    <cellStyle name="Normal 6 2 2 2 3 2 2 3" xfId="28493" xr:uid="{00000000-0005-0000-0000-00007A9B0000}"/>
    <cellStyle name="Normal 6 2 2 2 3 2 2 3 2" xfId="57333" xr:uid="{00000000-0005-0000-0000-00007B9B0000}"/>
    <cellStyle name="Normal 6 2 2 2 3 2 2 4" xfId="28494" xr:uid="{00000000-0005-0000-0000-00007C9B0000}"/>
    <cellStyle name="Normal 6 2 2 2 3 2 2 5" xfId="28495" xr:uid="{00000000-0005-0000-0000-00007D9B0000}"/>
    <cellStyle name="Normal 6 2 2 2 3 2 2 6" xfId="28496" xr:uid="{00000000-0005-0000-0000-00007E9B0000}"/>
    <cellStyle name="Normal 6 2 2 2 3 2 3" xfId="28497" xr:uid="{00000000-0005-0000-0000-00007F9B0000}"/>
    <cellStyle name="Normal 6 2 2 2 3 2 3 2" xfId="57334" xr:uid="{00000000-0005-0000-0000-0000809B0000}"/>
    <cellStyle name="Normal 6 2 2 2 3 2 3 3" xfId="57335" xr:uid="{00000000-0005-0000-0000-0000819B0000}"/>
    <cellStyle name="Normal 6 2 2 2 3 2 4" xfId="28498" xr:uid="{00000000-0005-0000-0000-0000829B0000}"/>
    <cellStyle name="Normal 6 2 2 2 3 2 4 2" xfId="57336" xr:uid="{00000000-0005-0000-0000-0000839B0000}"/>
    <cellStyle name="Normal 6 2 2 2 3 2 5" xfId="28499" xr:uid="{00000000-0005-0000-0000-0000849B0000}"/>
    <cellStyle name="Normal 6 2 2 2 3 2 6" xfId="28500" xr:uid="{00000000-0005-0000-0000-0000859B0000}"/>
    <cellStyle name="Normal 6 2 2 2 3 2 7" xfId="28501" xr:uid="{00000000-0005-0000-0000-0000869B0000}"/>
    <cellStyle name="Normal 6 2 2 2 3 3" xfId="28502" xr:uid="{00000000-0005-0000-0000-0000879B0000}"/>
    <cellStyle name="Normal 6 2 2 2 3 3 2" xfId="28503" xr:uid="{00000000-0005-0000-0000-0000889B0000}"/>
    <cellStyle name="Normal 6 2 2 2 3 3 2 2" xfId="57337" xr:uid="{00000000-0005-0000-0000-0000899B0000}"/>
    <cellStyle name="Normal 6 2 2 2 3 3 2 3" xfId="57338" xr:uid="{00000000-0005-0000-0000-00008A9B0000}"/>
    <cellStyle name="Normal 6 2 2 2 3 3 3" xfId="28504" xr:uid="{00000000-0005-0000-0000-00008B9B0000}"/>
    <cellStyle name="Normal 6 2 2 2 3 3 3 2" xfId="57339" xr:uid="{00000000-0005-0000-0000-00008C9B0000}"/>
    <cellStyle name="Normal 6 2 2 2 3 3 4" xfId="28505" xr:uid="{00000000-0005-0000-0000-00008D9B0000}"/>
    <cellStyle name="Normal 6 2 2 2 3 3 5" xfId="28506" xr:uid="{00000000-0005-0000-0000-00008E9B0000}"/>
    <cellStyle name="Normal 6 2 2 2 3 3 6" xfId="28507" xr:uid="{00000000-0005-0000-0000-00008F9B0000}"/>
    <cellStyle name="Normal 6 2 2 2 3 4" xfId="28508" xr:uid="{00000000-0005-0000-0000-0000909B0000}"/>
    <cellStyle name="Normal 6 2 2 2 3 4 2" xfId="57340" xr:uid="{00000000-0005-0000-0000-0000919B0000}"/>
    <cellStyle name="Normal 6 2 2 2 3 4 3" xfId="57341" xr:uid="{00000000-0005-0000-0000-0000929B0000}"/>
    <cellStyle name="Normal 6 2 2 2 3 5" xfId="28509" xr:uid="{00000000-0005-0000-0000-0000939B0000}"/>
    <cellStyle name="Normal 6 2 2 2 3 5 2" xfId="57342" xr:uid="{00000000-0005-0000-0000-0000949B0000}"/>
    <cellStyle name="Normal 6 2 2 2 3 6" xfId="28510" xr:uid="{00000000-0005-0000-0000-0000959B0000}"/>
    <cellStyle name="Normal 6 2 2 2 3 7" xfId="28511" xr:uid="{00000000-0005-0000-0000-0000969B0000}"/>
    <cellStyle name="Normal 6 2 2 2 3 8" xfId="28512" xr:uid="{00000000-0005-0000-0000-0000979B0000}"/>
    <cellStyle name="Normal 6 2 2 2 3 9" xfId="28513" xr:uid="{00000000-0005-0000-0000-0000989B0000}"/>
    <cellStyle name="Normal 6 2 2 2 4" xfId="28514" xr:uid="{00000000-0005-0000-0000-0000999B0000}"/>
    <cellStyle name="Normal 6 2 2 2 4 2" xfId="28515" xr:uid="{00000000-0005-0000-0000-00009A9B0000}"/>
    <cellStyle name="Normal 6 2 2 2 4 2 2" xfId="28516" xr:uid="{00000000-0005-0000-0000-00009B9B0000}"/>
    <cellStyle name="Normal 6 2 2 2 4 2 2 2" xfId="28517" xr:uid="{00000000-0005-0000-0000-00009C9B0000}"/>
    <cellStyle name="Normal 6 2 2 2 4 2 2 2 2" xfId="57343" xr:uid="{00000000-0005-0000-0000-00009D9B0000}"/>
    <cellStyle name="Normal 6 2 2 2 4 2 2 2 3" xfId="57344" xr:uid="{00000000-0005-0000-0000-00009E9B0000}"/>
    <cellStyle name="Normal 6 2 2 2 4 2 2 3" xfId="28518" xr:uid="{00000000-0005-0000-0000-00009F9B0000}"/>
    <cellStyle name="Normal 6 2 2 2 4 2 2 3 2" xfId="57345" xr:uid="{00000000-0005-0000-0000-0000A09B0000}"/>
    <cellStyle name="Normal 6 2 2 2 4 2 2 4" xfId="28519" xr:uid="{00000000-0005-0000-0000-0000A19B0000}"/>
    <cellStyle name="Normal 6 2 2 2 4 2 2 5" xfId="28520" xr:uid="{00000000-0005-0000-0000-0000A29B0000}"/>
    <cellStyle name="Normal 6 2 2 2 4 2 2 6" xfId="28521" xr:uid="{00000000-0005-0000-0000-0000A39B0000}"/>
    <cellStyle name="Normal 6 2 2 2 4 2 3" xfId="28522" xr:uid="{00000000-0005-0000-0000-0000A49B0000}"/>
    <cellStyle name="Normal 6 2 2 2 4 2 3 2" xfId="57346" xr:uid="{00000000-0005-0000-0000-0000A59B0000}"/>
    <cellStyle name="Normal 6 2 2 2 4 2 3 3" xfId="57347" xr:uid="{00000000-0005-0000-0000-0000A69B0000}"/>
    <cellStyle name="Normal 6 2 2 2 4 2 4" xfId="28523" xr:uid="{00000000-0005-0000-0000-0000A79B0000}"/>
    <cellStyle name="Normal 6 2 2 2 4 2 4 2" xfId="57348" xr:uid="{00000000-0005-0000-0000-0000A89B0000}"/>
    <cellStyle name="Normal 6 2 2 2 4 2 5" xfId="28524" xr:uid="{00000000-0005-0000-0000-0000A99B0000}"/>
    <cellStyle name="Normal 6 2 2 2 4 2 6" xfId="28525" xr:uid="{00000000-0005-0000-0000-0000AA9B0000}"/>
    <cellStyle name="Normal 6 2 2 2 4 2 7" xfId="28526" xr:uid="{00000000-0005-0000-0000-0000AB9B0000}"/>
    <cellStyle name="Normal 6 2 2 2 4 3" xfId="28527" xr:uid="{00000000-0005-0000-0000-0000AC9B0000}"/>
    <cellStyle name="Normal 6 2 2 2 4 3 2" xfId="28528" xr:uid="{00000000-0005-0000-0000-0000AD9B0000}"/>
    <cellStyle name="Normal 6 2 2 2 4 3 2 2" xfId="57349" xr:uid="{00000000-0005-0000-0000-0000AE9B0000}"/>
    <cellStyle name="Normal 6 2 2 2 4 3 2 3" xfId="57350" xr:uid="{00000000-0005-0000-0000-0000AF9B0000}"/>
    <cellStyle name="Normal 6 2 2 2 4 3 3" xfId="28529" xr:uid="{00000000-0005-0000-0000-0000B09B0000}"/>
    <cellStyle name="Normal 6 2 2 2 4 3 3 2" xfId="57351" xr:uid="{00000000-0005-0000-0000-0000B19B0000}"/>
    <cellStyle name="Normal 6 2 2 2 4 3 4" xfId="28530" xr:uid="{00000000-0005-0000-0000-0000B29B0000}"/>
    <cellStyle name="Normal 6 2 2 2 4 3 5" xfId="28531" xr:uid="{00000000-0005-0000-0000-0000B39B0000}"/>
    <cellStyle name="Normal 6 2 2 2 4 3 6" xfId="28532" xr:uid="{00000000-0005-0000-0000-0000B49B0000}"/>
    <cellStyle name="Normal 6 2 2 2 4 4" xfId="28533" xr:uid="{00000000-0005-0000-0000-0000B59B0000}"/>
    <cellStyle name="Normal 6 2 2 2 4 4 2" xfId="57352" xr:uid="{00000000-0005-0000-0000-0000B69B0000}"/>
    <cellStyle name="Normal 6 2 2 2 4 4 3" xfId="57353" xr:uid="{00000000-0005-0000-0000-0000B79B0000}"/>
    <cellStyle name="Normal 6 2 2 2 4 5" xfId="28534" xr:uid="{00000000-0005-0000-0000-0000B89B0000}"/>
    <cellStyle name="Normal 6 2 2 2 4 5 2" xfId="57354" xr:uid="{00000000-0005-0000-0000-0000B99B0000}"/>
    <cellStyle name="Normal 6 2 2 2 4 6" xfId="28535" xr:uid="{00000000-0005-0000-0000-0000BA9B0000}"/>
    <cellStyle name="Normal 6 2 2 2 4 7" xfId="28536" xr:uid="{00000000-0005-0000-0000-0000BB9B0000}"/>
    <cellStyle name="Normal 6 2 2 2 4 8" xfId="28537" xr:uid="{00000000-0005-0000-0000-0000BC9B0000}"/>
    <cellStyle name="Normal 6 2 2 2 5" xfId="28538" xr:uid="{00000000-0005-0000-0000-0000BD9B0000}"/>
    <cellStyle name="Normal 6 2 2 2 5 2" xfId="28539" xr:uid="{00000000-0005-0000-0000-0000BE9B0000}"/>
    <cellStyle name="Normal 6 2 2 2 5 2 2" xfId="28540" xr:uid="{00000000-0005-0000-0000-0000BF9B0000}"/>
    <cellStyle name="Normal 6 2 2 2 5 2 2 2" xfId="57355" xr:uid="{00000000-0005-0000-0000-0000C09B0000}"/>
    <cellStyle name="Normal 6 2 2 2 5 2 2 3" xfId="57356" xr:uid="{00000000-0005-0000-0000-0000C19B0000}"/>
    <cellStyle name="Normal 6 2 2 2 5 2 3" xfId="28541" xr:uid="{00000000-0005-0000-0000-0000C29B0000}"/>
    <cellStyle name="Normal 6 2 2 2 5 2 3 2" xfId="57357" xr:uid="{00000000-0005-0000-0000-0000C39B0000}"/>
    <cellStyle name="Normal 6 2 2 2 5 2 4" xfId="28542" xr:uid="{00000000-0005-0000-0000-0000C49B0000}"/>
    <cellStyle name="Normal 6 2 2 2 5 2 5" xfId="28543" xr:uid="{00000000-0005-0000-0000-0000C59B0000}"/>
    <cellStyle name="Normal 6 2 2 2 5 2 6" xfId="28544" xr:uid="{00000000-0005-0000-0000-0000C69B0000}"/>
    <cellStyle name="Normal 6 2 2 2 5 3" xfId="28545" xr:uid="{00000000-0005-0000-0000-0000C79B0000}"/>
    <cellStyle name="Normal 6 2 2 2 5 3 2" xfId="57358" xr:uid="{00000000-0005-0000-0000-0000C89B0000}"/>
    <cellStyle name="Normal 6 2 2 2 5 3 3" xfId="57359" xr:uid="{00000000-0005-0000-0000-0000C99B0000}"/>
    <cellStyle name="Normal 6 2 2 2 5 4" xfId="28546" xr:uid="{00000000-0005-0000-0000-0000CA9B0000}"/>
    <cellStyle name="Normal 6 2 2 2 5 4 2" xfId="57360" xr:uid="{00000000-0005-0000-0000-0000CB9B0000}"/>
    <cellStyle name="Normal 6 2 2 2 5 5" xfId="28547" xr:uid="{00000000-0005-0000-0000-0000CC9B0000}"/>
    <cellStyle name="Normal 6 2 2 2 5 6" xfId="28548" xr:uid="{00000000-0005-0000-0000-0000CD9B0000}"/>
    <cellStyle name="Normal 6 2 2 2 5 7" xfId="28549" xr:uid="{00000000-0005-0000-0000-0000CE9B0000}"/>
    <cellStyle name="Normal 6 2 2 2 6" xfId="28550" xr:uid="{00000000-0005-0000-0000-0000CF9B0000}"/>
    <cellStyle name="Normal 6 2 2 2 6 2" xfId="28551" xr:uid="{00000000-0005-0000-0000-0000D09B0000}"/>
    <cellStyle name="Normal 6 2 2 2 6 2 2" xfId="57361" xr:uid="{00000000-0005-0000-0000-0000D19B0000}"/>
    <cellStyle name="Normal 6 2 2 2 6 2 3" xfId="57362" xr:uid="{00000000-0005-0000-0000-0000D29B0000}"/>
    <cellStyle name="Normal 6 2 2 2 6 3" xfId="28552" xr:uid="{00000000-0005-0000-0000-0000D39B0000}"/>
    <cellStyle name="Normal 6 2 2 2 6 3 2" xfId="57363" xr:uid="{00000000-0005-0000-0000-0000D49B0000}"/>
    <cellStyle name="Normal 6 2 2 2 6 4" xfId="28553" xr:uid="{00000000-0005-0000-0000-0000D59B0000}"/>
    <cellStyle name="Normal 6 2 2 2 6 5" xfId="28554" xr:uid="{00000000-0005-0000-0000-0000D69B0000}"/>
    <cellStyle name="Normal 6 2 2 2 6 6" xfId="28555" xr:uid="{00000000-0005-0000-0000-0000D79B0000}"/>
    <cellStyle name="Normal 6 2 2 2 7" xfId="28556" xr:uid="{00000000-0005-0000-0000-0000D89B0000}"/>
    <cellStyle name="Normal 6 2 2 2 7 2" xfId="57364" xr:uid="{00000000-0005-0000-0000-0000D99B0000}"/>
    <cellStyle name="Normal 6 2 2 2 7 3" xfId="57365" xr:uid="{00000000-0005-0000-0000-0000DA9B0000}"/>
    <cellStyle name="Normal 6 2 2 2 8" xfId="28557" xr:uid="{00000000-0005-0000-0000-0000DB9B0000}"/>
    <cellStyle name="Normal 6 2 2 2 8 2" xfId="57366" xr:uid="{00000000-0005-0000-0000-0000DC9B0000}"/>
    <cellStyle name="Normal 6 2 2 2 9" xfId="28558" xr:uid="{00000000-0005-0000-0000-0000DD9B0000}"/>
    <cellStyle name="Normal 6 2 2 2 9 2" xfId="57367" xr:uid="{00000000-0005-0000-0000-0000DE9B0000}"/>
    <cellStyle name="Normal 6 2 2 20" xfId="28559" xr:uid="{00000000-0005-0000-0000-0000DF9B0000}"/>
    <cellStyle name="Normal 6 2 2 3" xfId="28560" xr:uid="{00000000-0005-0000-0000-0000E09B0000}"/>
    <cellStyle name="Normal 6 2 2 3 10" xfId="28561" xr:uid="{00000000-0005-0000-0000-0000E19B0000}"/>
    <cellStyle name="Normal 6 2 2 3 11" xfId="28562" xr:uid="{00000000-0005-0000-0000-0000E29B0000}"/>
    <cellStyle name="Normal 6 2 2 3 12" xfId="28563" xr:uid="{00000000-0005-0000-0000-0000E39B0000}"/>
    <cellStyle name="Normal 6 2 2 3 13" xfId="28564" xr:uid="{00000000-0005-0000-0000-0000E49B0000}"/>
    <cellStyle name="Normal 6 2 2 3 14" xfId="28565" xr:uid="{00000000-0005-0000-0000-0000E59B0000}"/>
    <cellStyle name="Normal 6 2 2 3 15" xfId="28566" xr:uid="{00000000-0005-0000-0000-0000E69B0000}"/>
    <cellStyle name="Normal 6 2 2 3 2" xfId="28567" xr:uid="{00000000-0005-0000-0000-0000E79B0000}"/>
    <cellStyle name="Normal 6 2 2 3 2 10" xfId="28568" xr:uid="{00000000-0005-0000-0000-0000E89B0000}"/>
    <cellStyle name="Normal 6 2 2 3 2 11" xfId="28569" xr:uid="{00000000-0005-0000-0000-0000E99B0000}"/>
    <cellStyle name="Normal 6 2 2 3 2 12" xfId="28570" xr:uid="{00000000-0005-0000-0000-0000EA9B0000}"/>
    <cellStyle name="Normal 6 2 2 3 2 13" xfId="28571" xr:uid="{00000000-0005-0000-0000-0000EB9B0000}"/>
    <cellStyle name="Normal 6 2 2 3 2 14" xfId="28572" xr:uid="{00000000-0005-0000-0000-0000EC9B0000}"/>
    <cellStyle name="Normal 6 2 2 3 2 2" xfId="28573" xr:uid="{00000000-0005-0000-0000-0000ED9B0000}"/>
    <cellStyle name="Normal 6 2 2 3 2 2 2" xfId="28574" xr:uid="{00000000-0005-0000-0000-0000EE9B0000}"/>
    <cellStyle name="Normal 6 2 2 3 2 2 2 2" xfId="28575" xr:uid="{00000000-0005-0000-0000-0000EF9B0000}"/>
    <cellStyle name="Normal 6 2 2 3 2 2 2 2 2" xfId="28576" xr:uid="{00000000-0005-0000-0000-0000F09B0000}"/>
    <cellStyle name="Normal 6 2 2 3 2 2 2 2 2 2" xfId="57368" xr:uid="{00000000-0005-0000-0000-0000F19B0000}"/>
    <cellStyle name="Normal 6 2 2 3 2 2 2 2 2 3" xfId="57369" xr:uid="{00000000-0005-0000-0000-0000F29B0000}"/>
    <cellStyle name="Normal 6 2 2 3 2 2 2 2 3" xfId="28577" xr:uid="{00000000-0005-0000-0000-0000F39B0000}"/>
    <cellStyle name="Normal 6 2 2 3 2 2 2 2 3 2" xfId="57370" xr:uid="{00000000-0005-0000-0000-0000F49B0000}"/>
    <cellStyle name="Normal 6 2 2 3 2 2 2 2 4" xfId="28578" xr:uid="{00000000-0005-0000-0000-0000F59B0000}"/>
    <cellStyle name="Normal 6 2 2 3 2 2 2 2 5" xfId="28579" xr:uid="{00000000-0005-0000-0000-0000F69B0000}"/>
    <cellStyle name="Normal 6 2 2 3 2 2 2 2 6" xfId="28580" xr:uid="{00000000-0005-0000-0000-0000F79B0000}"/>
    <cellStyle name="Normal 6 2 2 3 2 2 2 3" xfId="28581" xr:uid="{00000000-0005-0000-0000-0000F89B0000}"/>
    <cellStyle name="Normal 6 2 2 3 2 2 2 3 2" xfId="57371" xr:uid="{00000000-0005-0000-0000-0000F99B0000}"/>
    <cellStyle name="Normal 6 2 2 3 2 2 2 3 3" xfId="57372" xr:uid="{00000000-0005-0000-0000-0000FA9B0000}"/>
    <cellStyle name="Normal 6 2 2 3 2 2 2 4" xfId="28582" xr:uid="{00000000-0005-0000-0000-0000FB9B0000}"/>
    <cellStyle name="Normal 6 2 2 3 2 2 2 4 2" xfId="57373" xr:uid="{00000000-0005-0000-0000-0000FC9B0000}"/>
    <cellStyle name="Normal 6 2 2 3 2 2 2 5" xfId="28583" xr:uid="{00000000-0005-0000-0000-0000FD9B0000}"/>
    <cellStyle name="Normal 6 2 2 3 2 2 2 6" xfId="28584" xr:uid="{00000000-0005-0000-0000-0000FE9B0000}"/>
    <cellStyle name="Normal 6 2 2 3 2 2 2 7" xfId="28585" xr:uid="{00000000-0005-0000-0000-0000FF9B0000}"/>
    <cellStyle name="Normal 6 2 2 3 2 2 3" xfId="28586" xr:uid="{00000000-0005-0000-0000-0000009C0000}"/>
    <cellStyle name="Normal 6 2 2 3 2 2 3 2" xfId="28587" xr:uid="{00000000-0005-0000-0000-0000019C0000}"/>
    <cellStyle name="Normal 6 2 2 3 2 2 3 2 2" xfId="57374" xr:uid="{00000000-0005-0000-0000-0000029C0000}"/>
    <cellStyle name="Normal 6 2 2 3 2 2 3 2 3" xfId="57375" xr:uid="{00000000-0005-0000-0000-0000039C0000}"/>
    <cellStyle name="Normal 6 2 2 3 2 2 3 3" xfId="28588" xr:uid="{00000000-0005-0000-0000-0000049C0000}"/>
    <cellStyle name="Normal 6 2 2 3 2 2 3 3 2" xfId="57376" xr:uid="{00000000-0005-0000-0000-0000059C0000}"/>
    <cellStyle name="Normal 6 2 2 3 2 2 3 4" xfId="28589" xr:uid="{00000000-0005-0000-0000-0000069C0000}"/>
    <cellStyle name="Normal 6 2 2 3 2 2 3 5" xfId="28590" xr:uid="{00000000-0005-0000-0000-0000079C0000}"/>
    <cellStyle name="Normal 6 2 2 3 2 2 3 6" xfId="28591" xr:uid="{00000000-0005-0000-0000-0000089C0000}"/>
    <cellStyle name="Normal 6 2 2 3 2 2 4" xfId="28592" xr:uid="{00000000-0005-0000-0000-0000099C0000}"/>
    <cellStyle name="Normal 6 2 2 3 2 2 4 2" xfId="57377" xr:uid="{00000000-0005-0000-0000-00000A9C0000}"/>
    <cellStyle name="Normal 6 2 2 3 2 2 4 3" xfId="57378" xr:uid="{00000000-0005-0000-0000-00000B9C0000}"/>
    <cellStyle name="Normal 6 2 2 3 2 2 5" xfId="28593" xr:uid="{00000000-0005-0000-0000-00000C9C0000}"/>
    <cellStyle name="Normal 6 2 2 3 2 2 5 2" xfId="57379" xr:uid="{00000000-0005-0000-0000-00000D9C0000}"/>
    <cellStyle name="Normal 6 2 2 3 2 2 6" xfId="28594" xr:uid="{00000000-0005-0000-0000-00000E9C0000}"/>
    <cellStyle name="Normal 6 2 2 3 2 2 7" xfId="28595" xr:uid="{00000000-0005-0000-0000-00000F9C0000}"/>
    <cellStyle name="Normal 6 2 2 3 2 2 8" xfId="28596" xr:uid="{00000000-0005-0000-0000-0000109C0000}"/>
    <cellStyle name="Normal 6 2 2 3 2 2 9" xfId="28597" xr:uid="{00000000-0005-0000-0000-0000119C0000}"/>
    <cellStyle name="Normal 6 2 2 3 2 3" xfId="28598" xr:uid="{00000000-0005-0000-0000-0000129C0000}"/>
    <cellStyle name="Normal 6 2 2 3 2 3 2" xfId="28599" xr:uid="{00000000-0005-0000-0000-0000139C0000}"/>
    <cellStyle name="Normal 6 2 2 3 2 3 2 2" xfId="28600" xr:uid="{00000000-0005-0000-0000-0000149C0000}"/>
    <cellStyle name="Normal 6 2 2 3 2 3 2 2 2" xfId="28601" xr:uid="{00000000-0005-0000-0000-0000159C0000}"/>
    <cellStyle name="Normal 6 2 2 3 2 3 2 2 2 2" xfId="57380" xr:uid="{00000000-0005-0000-0000-0000169C0000}"/>
    <cellStyle name="Normal 6 2 2 3 2 3 2 2 2 3" xfId="57381" xr:uid="{00000000-0005-0000-0000-0000179C0000}"/>
    <cellStyle name="Normal 6 2 2 3 2 3 2 2 3" xfId="28602" xr:uid="{00000000-0005-0000-0000-0000189C0000}"/>
    <cellStyle name="Normal 6 2 2 3 2 3 2 2 3 2" xfId="57382" xr:uid="{00000000-0005-0000-0000-0000199C0000}"/>
    <cellStyle name="Normal 6 2 2 3 2 3 2 2 4" xfId="28603" xr:uid="{00000000-0005-0000-0000-00001A9C0000}"/>
    <cellStyle name="Normal 6 2 2 3 2 3 2 2 5" xfId="28604" xr:uid="{00000000-0005-0000-0000-00001B9C0000}"/>
    <cellStyle name="Normal 6 2 2 3 2 3 2 2 6" xfId="28605" xr:uid="{00000000-0005-0000-0000-00001C9C0000}"/>
    <cellStyle name="Normal 6 2 2 3 2 3 2 3" xfId="28606" xr:uid="{00000000-0005-0000-0000-00001D9C0000}"/>
    <cellStyle name="Normal 6 2 2 3 2 3 2 3 2" xfId="57383" xr:uid="{00000000-0005-0000-0000-00001E9C0000}"/>
    <cellStyle name="Normal 6 2 2 3 2 3 2 3 3" xfId="57384" xr:uid="{00000000-0005-0000-0000-00001F9C0000}"/>
    <cellStyle name="Normal 6 2 2 3 2 3 2 4" xfId="28607" xr:uid="{00000000-0005-0000-0000-0000209C0000}"/>
    <cellStyle name="Normal 6 2 2 3 2 3 2 4 2" xfId="57385" xr:uid="{00000000-0005-0000-0000-0000219C0000}"/>
    <cellStyle name="Normal 6 2 2 3 2 3 2 5" xfId="28608" xr:uid="{00000000-0005-0000-0000-0000229C0000}"/>
    <cellStyle name="Normal 6 2 2 3 2 3 2 6" xfId="28609" xr:uid="{00000000-0005-0000-0000-0000239C0000}"/>
    <cellStyle name="Normal 6 2 2 3 2 3 2 7" xfId="28610" xr:uid="{00000000-0005-0000-0000-0000249C0000}"/>
    <cellStyle name="Normal 6 2 2 3 2 3 3" xfId="28611" xr:uid="{00000000-0005-0000-0000-0000259C0000}"/>
    <cellStyle name="Normal 6 2 2 3 2 3 3 2" xfId="28612" xr:uid="{00000000-0005-0000-0000-0000269C0000}"/>
    <cellStyle name="Normal 6 2 2 3 2 3 3 2 2" xfId="57386" xr:uid="{00000000-0005-0000-0000-0000279C0000}"/>
    <cellStyle name="Normal 6 2 2 3 2 3 3 2 3" xfId="57387" xr:uid="{00000000-0005-0000-0000-0000289C0000}"/>
    <cellStyle name="Normal 6 2 2 3 2 3 3 3" xfId="28613" xr:uid="{00000000-0005-0000-0000-0000299C0000}"/>
    <cellStyle name="Normal 6 2 2 3 2 3 3 3 2" xfId="57388" xr:uid="{00000000-0005-0000-0000-00002A9C0000}"/>
    <cellStyle name="Normal 6 2 2 3 2 3 3 4" xfId="28614" xr:uid="{00000000-0005-0000-0000-00002B9C0000}"/>
    <cellStyle name="Normal 6 2 2 3 2 3 3 5" xfId="28615" xr:uid="{00000000-0005-0000-0000-00002C9C0000}"/>
    <cellStyle name="Normal 6 2 2 3 2 3 3 6" xfId="28616" xr:uid="{00000000-0005-0000-0000-00002D9C0000}"/>
    <cellStyle name="Normal 6 2 2 3 2 3 4" xfId="28617" xr:uid="{00000000-0005-0000-0000-00002E9C0000}"/>
    <cellStyle name="Normal 6 2 2 3 2 3 4 2" xfId="57389" xr:uid="{00000000-0005-0000-0000-00002F9C0000}"/>
    <cellStyle name="Normal 6 2 2 3 2 3 4 3" xfId="57390" xr:uid="{00000000-0005-0000-0000-0000309C0000}"/>
    <cellStyle name="Normal 6 2 2 3 2 3 5" xfId="28618" xr:uid="{00000000-0005-0000-0000-0000319C0000}"/>
    <cellStyle name="Normal 6 2 2 3 2 3 5 2" xfId="57391" xr:uid="{00000000-0005-0000-0000-0000329C0000}"/>
    <cellStyle name="Normal 6 2 2 3 2 3 6" xfId="28619" xr:uid="{00000000-0005-0000-0000-0000339C0000}"/>
    <cellStyle name="Normal 6 2 2 3 2 3 7" xfId="28620" xr:uid="{00000000-0005-0000-0000-0000349C0000}"/>
    <cellStyle name="Normal 6 2 2 3 2 3 8" xfId="28621" xr:uid="{00000000-0005-0000-0000-0000359C0000}"/>
    <cellStyle name="Normal 6 2 2 3 2 4" xfId="28622" xr:uid="{00000000-0005-0000-0000-0000369C0000}"/>
    <cellStyle name="Normal 6 2 2 3 2 4 2" xfId="28623" xr:uid="{00000000-0005-0000-0000-0000379C0000}"/>
    <cellStyle name="Normal 6 2 2 3 2 4 2 2" xfId="28624" xr:uid="{00000000-0005-0000-0000-0000389C0000}"/>
    <cellStyle name="Normal 6 2 2 3 2 4 2 2 2" xfId="57392" xr:uid="{00000000-0005-0000-0000-0000399C0000}"/>
    <cellStyle name="Normal 6 2 2 3 2 4 2 2 3" xfId="57393" xr:uid="{00000000-0005-0000-0000-00003A9C0000}"/>
    <cellStyle name="Normal 6 2 2 3 2 4 2 3" xfId="28625" xr:uid="{00000000-0005-0000-0000-00003B9C0000}"/>
    <cellStyle name="Normal 6 2 2 3 2 4 2 3 2" xfId="57394" xr:uid="{00000000-0005-0000-0000-00003C9C0000}"/>
    <cellStyle name="Normal 6 2 2 3 2 4 2 4" xfId="28626" xr:uid="{00000000-0005-0000-0000-00003D9C0000}"/>
    <cellStyle name="Normal 6 2 2 3 2 4 2 5" xfId="28627" xr:uid="{00000000-0005-0000-0000-00003E9C0000}"/>
    <cellStyle name="Normal 6 2 2 3 2 4 2 6" xfId="28628" xr:uid="{00000000-0005-0000-0000-00003F9C0000}"/>
    <cellStyle name="Normal 6 2 2 3 2 4 3" xfId="28629" xr:uid="{00000000-0005-0000-0000-0000409C0000}"/>
    <cellStyle name="Normal 6 2 2 3 2 4 3 2" xfId="57395" xr:uid="{00000000-0005-0000-0000-0000419C0000}"/>
    <cellStyle name="Normal 6 2 2 3 2 4 3 3" xfId="57396" xr:uid="{00000000-0005-0000-0000-0000429C0000}"/>
    <cellStyle name="Normal 6 2 2 3 2 4 4" xfId="28630" xr:uid="{00000000-0005-0000-0000-0000439C0000}"/>
    <cellStyle name="Normal 6 2 2 3 2 4 4 2" xfId="57397" xr:uid="{00000000-0005-0000-0000-0000449C0000}"/>
    <cellStyle name="Normal 6 2 2 3 2 4 5" xfId="28631" xr:uid="{00000000-0005-0000-0000-0000459C0000}"/>
    <cellStyle name="Normal 6 2 2 3 2 4 6" xfId="28632" xr:uid="{00000000-0005-0000-0000-0000469C0000}"/>
    <cellStyle name="Normal 6 2 2 3 2 4 7" xfId="28633" xr:uid="{00000000-0005-0000-0000-0000479C0000}"/>
    <cellStyle name="Normal 6 2 2 3 2 5" xfId="28634" xr:uid="{00000000-0005-0000-0000-0000489C0000}"/>
    <cellStyle name="Normal 6 2 2 3 2 5 2" xfId="28635" xr:uid="{00000000-0005-0000-0000-0000499C0000}"/>
    <cellStyle name="Normal 6 2 2 3 2 5 2 2" xfId="57398" xr:uid="{00000000-0005-0000-0000-00004A9C0000}"/>
    <cellStyle name="Normal 6 2 2 3 2 5 2 3" xfId="57399" xr:uid="{00000000-0005-0000-0000-00004B9C0000}"/>
    <cellStyle name="Normal 6 2 2 3 2 5 3" xfId="28636" xr:uid="{00000000-0005-0000-0000-00004C9C0000}"/>
    <cellStyle name="Normal 6 2 2 3 2 5 3 2" xfId="57400" xr:uid="{00000000-0005-0000-0000-00004D9C0000}"/>
    <cellStyle name="Normal 6 2 2 3 2 5 4" xfId="28637" xr:uid="{00000000-0005-0000-0000-00004E9C0000}"/>
    <cellStyle name="Normal 6 2 2 3 2 5 5" xfId="28638" xr:uid="{00000000-0005-0000-0000-00004F9C0000}"/>
    <cellStyle name="Normal 6 2 2 3 2 5 6" xfId="28639" xr:uid="{00000000-0005-0000-0000-0000509C0000}"/>
    <cellStyle name="Normal 6 2 2 3 2 6" xfId="28640" xr:uid="{00000000-0005-0000-0000-0000519C0000}"/>
    <cellStyle name="Normal 6 2 2 3 2 6 2" xfId="57401" xr:uid="{00000000-0005-0000-0000-0000529C0000}"/>
    <cellStyle name="Normal 6 2 2 3 2 6 3" xfId="57402" xr:uid="{00000000-0005-0000-0000-0000539C0000}"/>
    <cellStyle name="Normal 6 2 2 3 2 7" xfId="28641" xr:uid="{00000000-0005-0000-0000-0000549C0000}"/>
    <cellStyle name="Normal 6 2 2 3 2 7 2" xfId="57403" xr:uid="{00000000-0005-0000-0000-0000559C0000}"/>
    <cellStyle name="Normal 6 2 2 3 2 8" xfId="28642" xr:uid="{00000000-0005-0000-0000-0000569C0000}"/>
    <cellStyle name="Normal 6 2 2 3 2 9" xfId="28643" xr:uid="{00000000-0005-0000-0000-0000579C0000}"/>
    <cellStyle name="Normal 6 2 2 3 3" xfId="28644" xr:uid="{00000000-0005-0000-0000-0000589C0000}"/>
    <cellStyle name="Normal 6 2 2 3 3 2" xfId="28645" xr:uid="{00000000-0005-0000-0000-0000599C0000}"/>
    <cellStyle name="Normal 6 2 2 3 3 2 2" xfId="28646" xr:uid="{00000000-0005-0000-0000-00005A9C0000}"/>
    <cellStyle name="Normal 6 2 2 3 3 2 2 2" xfId="28647" xr:uid="{00000000-0005-0000-0000-00005B9C0000}"/>
    <cellStyle name="Normal 6 2 2 3 3 2 2 2 2" xfId="57404" xr:uid="{00000000-0005-0000-0000-00005C9C0000}"/>
    <cellStyle name="Normal 6 2 2 3 3 2 2 2 3" xfId="57405" xr:uid="{00000000-0005-0000-0000-00005D9C0000}"/>
    <cellStyle name="Normal 6 2 2 3 3 2 2 3" xfId="28648" xr:uid="{00000000-0005-0000-0000-00005E9C0000}"/>
    <cellStyle name="Normal 6 2 2 3 3 2 2 3 2" xfId="57406" xr:uid="{00000000-0005-0000-0000-00005F9C0000}"/>
    <cellStyle name="Normal 6 2 2 3 3 2 2 4" xfId="28649" xr:uid="{00000000-0005-0000-0000-0000609C0000}"/>
    <cellStyle name="Normal 6 2 2 3 3 2 2 5" xfId="28650" xr:uid="{00000000-0005-0000-0000-0000619C0000}"/>
    <cellStyle name="Normal 6 2 2 3 3 2 2 6" xfId="28651" xr:uid="{00000000-0005-0000-0000-0000629C0000}"/>
    <cellStyle name="Normal 6 2 2 3 3 2 3" xfId="28652" xr:uid="{00000000-0005-0000-0000-0000639C0000}"/>
    <cellStyle name="Normal 6 2 2 3 3 2 3 2" xfId="57407" xr:uid="{00000000-0005-0000-0000-0000649C0000}"/>
    <cellStyle name="Normal 6 2 2 3 3 2 3 3" xfId="57408" xr:uid="{00000000-0005-0000-0000-0000659C0000}"/>
    <cellStyle name="Normal 6 2 2 3 3 2 4" xfId="28653" xr:uid="{00000000-0005-0000-0000-0000669C0000}"/>
    <cellStyle name="Normal 6 2 2 3 3 2 4 2" xfId="57409" xr:uid="{00000000-0005-0000-0000-0000679C0000}"/>
    <cellStyle name="Normal 6 2 2 3 3 2 5" xfId="28654" xr:uid="{00000000-0005-0000-0000-0000689C0000}"/>
    <cellStyle name="Normal 6 2 2 3 3 2 6" xfId="28655" xr:uid="{00000000-0005-0000-0000-0000699C0000}"/>
    <cellStyle name="Normal 6 2 2 3 3 2 7" xfId="28656" xr:uid="{00000000-0005-0000-0000-00006A9C0000}"/>
    <cellStyle name="Normal 6 2 2 3 3 3" xfId="28657" xr:uid="{00000000-0005-0000-0000-00006B9C0000}"/>
    <cellStyle name="Normal 6 2 2 3 3 3 2" xfId="28658" xr:uid="{00000000-0005-0000-0000-00006C9C0000}"/>
    <cellStyle name="Normal 6 2 2 3 3 3 2 2" xfId="57410" xr:uid="{00000000-0005-0000-0000-00006D9C0000}"/>
    <cellStyle name="Normal 6 2 2 3 3 3 2 3" xfId="57411" xr:uid="{00000000-0005-0000-0000-00006E9C0000}"/>
    <cellStyle name="Normal 6 2 2 3 3 3 3" xfId="28659" xr:uid="{00000000-0005-0000-0000-00006F9C0000}"/>
    <cellStyle name="Normal 6 2 2 3 3 3 3 2" xfId="57412" xr:uid="{00000000-0005-0000-0000-0000709C0000}"/>
    <cellStyle name="Normal 6 2 2 3 3 3 4" xfId="28660" xr:uid="{00000000-0005-0000-0000-0000719C0000}"/>
    <cellStyle name="Normal 6 2 2 3 3 3 5" xfId="28661" xr:uid="{00000000-0005-0000-0000-0000729C0000}"/>
    <cellStyle name="Normal 6 2 2 3 3 3 6" xfId="28662" xr:uid="{00000000-0005-0000-0000-0000739C0000}"/>
    <cellStyle name="Normal 6 2 2 3 3 4" xfId="28663" xr:uid="{00000000-0005-0000-0000-0000749C0000}"/>
    <cellStyle name="Normal 6 2 2 3 3 4 2" xfId="57413" xr:uid="{00000000-0005-0000-0000-0000759C0000}"/>
    <cellStyle name="Normal 6 2 2 3 3 4 3" xfId="57414" xr:uid="{00000000-0005-0000-0000-0000769C0000}"/>
    <cellStyle name="Normal 6 2 2 3 3 5" xfId="28664" xr:uid="{00000000-0005-0000-0000-0000779C0000}"/>
    <cellStyle name="Normal 6 2 2 3 3 5 2" xfId="57415" xr:uid="{00000000-0005-0000-0000-0000789C0000}"/>
    <cellStyle name="Normal 6 2 2 3 3 6" xfId="28665" xr:uid="{00000000-0005-0000-0000-0000799C0000}"/>
    <cellStyle name="Normal 6 2 2 3 3 7" xfId="28666" xr:uid="{00000000-0005-0000-0000-00007A9C0000}"/>
    <cellStyle name="Normal 6 2 2 3 3 8" xfId="28667" xr:uid="{00000000-0005-0000-0000-00007B9C0000}"/>
    <cellStyle name="Normal 6 2 2 3 3 9" xfId="28668" xr:uid="{00000000-0005-0000-0000-00007C9C0000}"/>
    <cellStyle name="Normal 6 2 2 3 4" xfId="28669" xr:uid="{00000000-0005-0000-0000-00007D9C0000}"/>
    <cellStyle name="Normal 6 2 2 3 4 2" xfId="28670" xr:uid="{00000000-0005-0000-0000-00007E9C0000}"/>
    <cellStyle name="Normal 6 2 2 3 4 2 2" xfId="28671" xr:uid="{00000000-0005-0000-0000-00007F9C0000}"/>
    <cellStyle name="Normal 6 2 2 3 4 2 2 2" xfId="28672" xr:uid="{00000000-0005-0000-0000-0000809C0000}"/>
    <cellStyle name="Normal 6 2 2 3 4 2 2 2 2" xfId="57416" xr:uid="{00000000-0005-0000-0000-0000819C0000}"/>
    <cellStyle name="Normal 6 2 2 3 4 2 2 2 3" xfId="57417" xr:uid="{00000000-0005-0000-0000-0000829C0000}"/>
    <cellStyle name="Normal 6 2 2 3 4 2 2 3" xfId="28673" xr:uid="{00000000-0005-0000-0000-0000839C0000}"/>
    <cellStyle name="Normal 6 2 2 3 4 2 2 3 2" xfId="57418" xr:uid="{00000000-0005-0000-0000-0000849C0000}"/>
    <cellStyle name="Normal 6 2 2 3 4 2 2 4" xfId="28674" xr:uid="{00000000-0005-0000-0000-0000859C0000}"/>
    <cellStyle name="Normal 6 2 2 3 4 2 2 5" xfId="28675" xr:uid="{00000000-0005-0000-0000-0000869C0000}"/>
    <cellStyle name="Normal 6 2 2 3 4 2 2 6" xfId="28676" xr:uid="{00000000-0005-0000-0000-0000879C0000}"/>
    <cellStyle name="Normal 6 2 2 3 4 2 3" xfId="28677" xr:uid="{00000000-0005-0000-0000-0000889C0000}"/>
    <cellStyle name="Normal 6 2 2 3 4 2 3 2" xfId="57419" xr:uid="{00000000-0005-0000-0000-0000899C0000}"/>
    <cellStyle name="Normal 6 2 2 3 4 2 3 3" xfId="57420" xr:uid="{00000000-0005-0000-0000-00008A9C0000}"/>
    <cellStyle name="Normal 6 2 2 3 4 2 4" xfId="28678" xr:uid="{00000000-0005-0000-0000-00008B9C0000}"/>
    <cellStyle name="Normal 6 2 2 3 4 2 4 2" xfId="57421" xr:uid="{00000000-0005-0000-0000-00008C9C0000}"/>
    <cellStyle name="Normal 6 2 2 3 4 2 5" xfId="28679" xr:uid="{00000000-0005-0000-0000-00008D9C0000}"/>
    <cellStyle name="Normal 6 2 2 3 4 2 6" xfId="28680" xr:uid="{00000000-0005-0000-0000-00008E9C0000}"/>
    <cellStyle name="Normal 6 2 2 3 4 2 7" xfId="28681" xr:uid="{00000000-0005-0000-0000-00008F9C0000}"/>
    <cellStyle name="Normal 6 2 2 3 4 3" xfId="28682" xr:uid="{00000000-0005-0000-0000-0000909C0000}"/>
    <cellStyle name="Normal 6 2 2 3 4 3 2" xfId="28683" xr:uid="{00000000-0005-0000-0000-0000919C0000}"/>
    <cellStyle name="Normal 6 2 2 3 4 3 2 2" xfId="57422" xr:uid="{00000000-0005-0000-0000-0000929C0000}"/>
    <cellStyle name="Normal 6 2 2 3 4 3 2 3" xfId="57423" xr:uid="{00000000-0005-0000-0000-0000939C0000}"/>
    <cellStyle name="Normal 6 2 2 3 4 3 3" xfId="28684" xr:uid="{00000000-0005-0000-0000-0000949C0000}"/>
    <cellStyle name="Normal 6 2 2 3 4 3 3 2" xfId="57424" xr:uid="{00000000-0005-0000-0000-0000959C0000}"/>
    <cellStyle name="Normal 6 2 2 3 4 3 4" xfId="28685" xr:uid="{00000000-0005-0000-0000-0000969C0000}"/>
    <cellStyle name="Normal 6 2 2 3 4 3 5" xfId="28686" xr:uid="{00000000-0005-0000-0000-0000979C0000}"/>
    <cellStyle name="Normal 6 2 2 3 4 3 6" xfId="28687" xr:uid="{00000000-0005-0000-0000-0000989C0000}"/>
    <cellStyle name="Normal 6 2 2 3 4 4" xfId="28688" xr:uid="{00000000-0005-0000-0000-0000999C0000}"/>
    <cellStyle name="Normal 6 2 2 3 4 4 2" xfId="57425" xr:uid="{00000000-0005-0000-0000-00009A9C0000}"/>
    <cellStyle name="Normal 6 2 2 3 4 4 3" xfId="57426" xr:uid="{00000000-0005-0000-0000-00009B9C0000}"/>
    <cellStyle name="Normal 6 2 2 3 4 5" xfId="28689" xr:uid="{00000000-0005-0000-0000-00009C9C0000}"/>
    <cellStyle name="Normal 6 2 2 3 4 5 2" xfId="57427" xr:uid="{00000000-0005-0000-0000-00009D9C0000}"/>
    <cellStyle name="Normal 6 2 2 3 4 6" xfId="28690" xr:uid="{00000000-0005-0000-0000-00009E9C0000}"/>
    <cellStyle name="Normal 6 2 2 3 4 7" xfId="28691" xr:uid="{00000000-0005-0000-0000-00009F9C0000}"/>
    <cellStyle name="Normal 6 2 2 3 4 8" xfId="28692" xr:uid="{00000000-0005-0000-0000-0000A09C0000}"/>
    <cellStyle name="Normal 6 2 2 3 5" xfId="28693" xr:uid="{00000000-0005-0000-0000-0000A19C0000}"/>
    <cellStyle name="Normal 6 2 2 3 5 2" xfId="28694" xr:uid="{00000000-0005-0000-0000-0000A29C0000}"/>
    <cellStyle name="Normal 6 2 2 3 5 2 2" xfId="28695" xr:uid="{00000000-0005-0000-0000-0000A39C0000}"/>
    <cellStyle name="Normal 6 2 2 3 5 2 2 2" xfId="57428" xr:uid="{00000000-0005-0000-0000-0000A49C0000}"/>
    <cellStyle name="Normal 6 2 2 3 5 2 2 3" xfId="57429" xr:uid="{00000000-0005-0000-0000-0000A59C0000}"/>
    <cellStyle name="Normal 6 2 2 3 5 2 3" xfId="28696" xr:uid="{00000000-0005-0000-0000-0000A69C0000}"/>
    <cellStyle name="Normal 6 2 2 3 5 2 3 2" xfId="57430" xr:uid="{00000000-0005-0000-0000-0000A79C0000}"/>
    <cellStyle name="Normal 6 2 2 3 5 2 4" xfId="28697" xr:uid="{00000000-0005-0000-0000-0000A89C0000}"/>
    <cellStyle name="Normal 6 2 2 3 5 2 5" xfId="28698" xr:uid="{00000000-0005-0000-0000-0000A99C0000}"/>
    <cellStyle name="Normal 6 2 2 3 5 2 6" xfId="28699" xr:uid="{00000000-0005-0000-0000-0000AA9C0000}"/>
    <cellStyle name="Normal 6 2 2 3 5 3" xfId="28700" xr:uid="{00000000-0005-0000-0000-0000AB9C0000}"/>
    <cellStyle name="Normal 6 2 2 3 5 3 2" xfId="57431" xr:uid="{00000000-0005-0000-0000-0000AC9C0000}"/>
    <cellStyle name="Normal 6 2 2 3 5 3 3" xfId="57432" xr:uid="{00000000-0005-0000-0000-0000AD9C0000}"/>
    <cellStyle name="Normal 6 2 2 3 5 4" xfId="28701" xr:uid="{00000000-0005-0000-0000-0000AE9C0000}"/>
    <cellStyle name="Normal 6 2 2 3 5 4 2" xfId="57433" xr:uid="{00000000-0005-0000-0000-0000AF9C0000}"/>
    <cellStyle name="Normal 6 2 2 3 5 5" xfId="28702" xr:uid="{00000000-0005-0000-0000-0000B09C0000}"/>
    <cellStyle name="Normal 6 2 2 3 5 6" xfId="28703" xr:uid="{00000000-0005-0000-0000-0000B19C0000}"/>
    <cellStyle name="Normal 6 2 2 3 5 7" xfId="28704" xr:uid="{00000000-0005-0000-0000-0000B29C0000}"/>
    <cellStyle name="Normal 6 2 2 3 6" xfId="28705" xr:uid="{00000000-0005-0000-0000-0000B39C0000}"/>
    <cellStyle name="Normal 6 2 2 3 6 2" xfId="28706" xr:uid="{00000000-0005-0000-0000-0000B49C0000}"/>
    <cellStyle name="Normal 6 2 2 3 6 2 2" xfId="57434" xr:uid="{00000000-0005-0000-0000-0000B59C0000}"/>
    <cellStyle name="Normal 6 2 2 3 6 2 3" xfId="57435" xr:uid="{00000000-0005-0000-0000-0000B69C0000}"/>
    <cellStyle name="Normal 6 2 2 3 6 3" xfId="28707" xr:uid="{00000000-0005-0000-0000-0000B79C0000}"/>
    <cellStyle name="Normal 6 2 2 3 6 3 2" xfId="57436" xr:uid="{00000000-0005-0000-0000-0000B89C0000}"/>
    <cellStyle name="Normal 6 2 2 3 6 4" xfId="28708" xr:uid="{00000000-0005-0000-0000-0000B99C0000}"/>
    <cellStyle name="Normal 6 2 2 3 6 5" xfId="28709" xr:uid="{00000000-0005-0000-0000-0000BA9C0000}"/>
    <cellStyle name="Normal 6 2 2 3 6 6" xfId="28710" xr:uid="{00000000-0005-0000-0000-0000BB9C0000}"/>
    <cellStyle name="Normal 6 2 2 3 7" xfId="28711" xr:uid="{00000000-0005-0000-0000-0000BC9C0000}"/>
    <cellStyle name="Normal 6 2 2 3 7 2" xfId="57437" xr:uid="{00000000-0005-0000-0000-0000BD9C0000}"/>
    <cellStyle name="Normal 6 2 2 3 7 3" xfId="57438" xr:uid="{00000000-0005-0000-0000-0000BE9C0000}"/>
    <cellStyle name="Normal 6 2 2 3 8" xfId="28712" xr:uid="{00000000-0005-0000-0000-0000BF9C0000}"/>
    <cellStyle name="Normal 6 2 2 3 8 2" xfId="57439" xr:uid="{00000000-0005-0000-0000-0000C09C0000}"/>
    <cellStyle name="Normal 6 2 2 3 9" xfId="28713" xr:uid="{00000000-0005-0000-0000-0000C19C0000}"/>
    <cellStyle name="Normal 6 2 2 4" xfId="28714" xr:uid="{00000000-0005-0000-0000-0000C29C0000}"/>
    <cellStyle name="Normal 6 2 2 4 10" xfId="28715" xr:uid="{00000000-0005-0000-0000-0000C39C0000}"/>
    <cellStyle name="Normal 6 2 2 4 11" xfId="28716" xr:uid="{00000000-0005-0000-0000-0000C49C0000}"/>
    <cellStyle name="Normal 6 2 2 4 12" xfId="28717" xr:uid="{00000000-0005-0000-0000-0000C59C0000}"/>
    <cellStyle name="Normal 6 2 2 4 13" xfId="28718" xr:uid="{00000000-0005-0000-0000-0000C69C0000}"/>
    <cellStyle name="Normal 6 2 2 4 14" xfId="28719" xr:uid="{00000000-0005-0000-0000-0000C79C0000}"/>
    <cellStyle name="Normal 6 2 2 4 2" xfId="28720" xr:uid="{00000000-0005-0000-0000-0000C89C0000}"/>
    <cellStyle name="Normal 6 2 2 4 2 2" xfId="28721" xr:uid="{00000000-0005-0000-0000-0000C99C0000}"/>
    <cellStyle name="Normal 6 2 2 4 2 2 2" xfId="28722" xr:uid="{00000000-0005-0000-0000-0000CA9C0000}"/>
    <cellStyle name="Normal 6 2 2 4 2 2 2 2" xfId="28723" xr:uid="{00000000-0005-0000-0000-0000CB9C0000}"/>
    <cellStyle name="Normal 6 2 2 4 2 2 2 2 2" xfId="57440" xr:uid="{00000000-0005-0000-0000-0000CC9C0000}"/>
    <cellStyle name="Normal 6 2 2 4 2 2 2 2 3" xfId="57441" xr:uid="{00000000-0005-0000-0000-0000CD9C0000}"/>
    <cellStyle name="Normal 6 2 2 4 2 2 2 3" xfId="28724" xr:uid="{00000000-0005-0000-0000-0000CE9C0000}"/>
    <cellStyle name="Normal 6 2 2 4 2 2 2 3 2" xfId="57442" xr:uid="{00000000-0005-0000-0000-0000CF9C0000}"/>
    <cellStyle name="Normal 6 2 2 4 2 2 2 4" xfId="28725" xr:uid="{00000000-0005-0000-0000-0000D09C0000}"/>
    <cellStyle name="Normal 6 2 2 4 2 2 2 5" xfId="28726" xr:uid="{00000000-0005-0000-0000-0000D19C0000}"/>
    <cellStyle name="Normal 6 2 2 4 2 2 2 6" xfId="28727" xr:uid="{00000000-0005-0000-0000-0000D29C0000}"/>
    <cellStyle name="Normal 6 2 2 4 2 2 3" xfId="28728" xr:uid="{00000000-0005-0000-0000-0000D39C0000}"/>
    <cellStyle name="Normal 6 2 2 4 2 2 3 2" xfId="57443" xr:uid="{00000000-0005-0000-0000-0000D49C0000}"/>
    <cellStyle name="Normal 6 2 2 4 2 2 3 3" xfId="57444" xr:uid="{00000000-0005-0000-0000-0000D59C0000}"/>
    <cellStyle name="Normal 6 2 2 4 2 2 4" xfId="28729" xr:uid="{00000000-0005-0000-0000-0000D69C0000}"/>
    <cellStyle name="Normal 6 2 2 4 2 2 4 2" xfId="57445" xr:uid="{00000000-0005-0000-0000-0000D79C0000}"/>
    <cellStyle name="Normal 6 2 2 4 2 2 5" xfId="28730" xr:uid="{00000000-0005-0000-0000-0000D89C0000}"/>
    <cellStyle name="Normal 6 2 2 4 2 2 6" xfId="28731" xr:uid="{00000000-0005-0000-0000-0000D99C0000}"/>
    <cellStyle name="Normal 6 2 2 4 2 2 7" xfId="28732" xr:uid="{00000000-0005-0000-0000-0000DA9C0000}"/>
    <cellStyle name="Normal 6 2 2 4 2 3" xfId="28733" xr:uid="{00000000-0005-0000-0000-0000DB9C0000}"/>
    <cellStyle name="Normal 6 2 2 4 2 3 2" xfId="28734" xr:uid="{00000000-0005-0000-0000-0000DC9C0000}"/>
    <cellStyle name="Normal 6 2 2 4 2 3 2 2" xfId="57446" xr:uid="{00000000-0005-0000-0000-0000DD9C0000}"/>
    <cellStyle name="Normal 6 2 2 4 2 3 2 3" xfId="57447" xr:uid="{00000000-0005-0000-0000-0000DE9C0000}"/>
    <cellStyle name="Normal 6 2 2 4 2 3 3" xfId="28735" xr:uid="{00000000-0005-0000-0000-0000DF9C0000}"/>
    <cellStyle name="Normal 6 2 2 4 2 3 3 2" xfId="57448" xr:uid="{00000000-0005-0000-0000-0000E09C0000}"/>
    <cellStyle name="Normal 6 2 2 4 2 3 4" xfId="28736" xr:uid="{00000000-0005-0000-0000-0000E19C0000}"/>
    <cellStyle name="Normal 6 2 2 4 2 3 5" xfId="28737" xr:uid="{00000000-0005-0000-0000-0000E29C0000}"/>
    <cellStyle name="Normal 6 2 2 4 2 3 6" xfId="28738" xr:uid="{00000000-0005-0000-0000-0000E39C0000}"/>
    <cellStyle name="Normal 6 2 2 4 2 4" xfId="28739" xr:uid="{00000000-0005-0000-0000-0000E49C0000}"/>
    <cellStyle name="Normal 6 2 2 4 2 4 2" xfId="57449" xr:uid="{00000000-0005-0000-0000-0000E59C0000}"/>
    <cellStyle name="Normal 6 2 2 4 2 4 3" xfId="57450" xr:uid="{00000000-0005-0000-0000-0000E69C0000}"/>
    <cellStyle name="Normal 6 2 2 4 2 5" xfId="28740" xr:uid="{00000000-0005-0000-0000-0000E79C0000}"/>
    <cellStyle name="Normal 6 2 2 4 2 5 2" xfId="57451" xr:uid="{00000000-0005-0000-0000-0000E89C0000}"/>
    <cellStyle name="Normal 6 2 2 4 2 6" xfId="28741" xr:uid="{00000000-0005-0000-0000-0000E99C0000}"/>
    <cellStyle name="Normal 6 2 2 4 2 7" xfId="28742" xr:uid="{00000000-0005-0000-0000-0000EA9C0000}"/>
    <cellStyle name="Normal 6 2 2 4 2 8" xfId="28743" xr:uid="{00000000-0005-0000-0000-0000EB9C0000}"/>
    <cellStyle name="Normal 6 2 2 4 2 9" xfId="28744" xr:uid="{00000000-0005-0000-0000-0000EC9C0000}"/>
    <cellStyle name="Normal 6 2 2 4 3" xfId="28745" xr:uid="{00000000-0005-0000-0000-0000ED9C0000}"/>
    <cellStyle name="Normal 6 2 2 4 3 2" xfId="28746" xr:uid="{00000000-0005-0000-0000-0000EE9C0000}"/>
    <cellStyle name="Normal 6 2 2 4 3 2 2" xfId="28747" xr:uid="{00000000-0005-0000-0000-0000EF9C0000}"/>
    <cellStyle name="Normal 6 2 2 4 3 2 2 2" xfId="28748" xr:uid="{00000000-0005-0000-0000-0000F09C0000}"/>
    <cellStyle name="Normal 6 2 2 4 3 2 2 2 2" xfId="57452" xr:uid="{00000000-0005-0000-0000-0000F19C0000}"/>
    <cellStyle name="Normal 6 2 2 4 3 2 2 2 3" xfId="57453" xr:uid="{00000000-0005-0000-0000-0000F29C0000}"/>
    <cellStyle name="Normal 6 2 2 4 3 2 2 3" xfId="28749" xr:uid="{00000000-0005-0000-0000-0000F39C0000}"/>
    <cellStyle name="Normal 6 2 2 4 3 2 2 3 2" xfId="57454" xr:uid="{00000000-0005-0000-0000-0000F49C0000}"/>
    <cellStyle name="Normal 6 2 2 4 3 2 2 4" xfId="28750" xr:uid="{00000000-0005-0000-0000-0000F59C0000}"/>
    <cellStyle name="Normal 6 2 2 4 3 2 2 5" xfId="28751" xr:uid="{00000000-0005-0000-0000-0000F69C0000}"/>
    <cellStyle name="Normal 6 2 2 4 3 2 2 6" xfId="28752" xr:uid="{00000000-0005-0000-0000-0000F79C0000}"/>
    <cellStyle name="Normal 6 2 2 4 3 2 3" xfId="28753" xr:uid="{00000000-0005-0000-0000-0000F89C0000}"/>
    <cellStyle name="Normal 6 2 2 4 3 2 3 2" xfId="57455" xr:uid="{00000000-0005-0000-0000-0000F99C0000}"/>
    <cellStyle name="Normal 6 2 2 4 3 2 3 3" xfId="57456" xr:uid="{00000000-0005-0000-0000-0000FA9C0000}"/>
    <cellStyle name="Normal 6 2 2 4 3 2 4" xfId="28754" xr:uid="{00000000-0005-0000-0000-0000FB9C0000}"/>
    <cellStyle name="Normal 6 2 2 4 3 2 4 2" xfId="57457" xr:uid="{00000000-0005-0000-0000-0000FC9C0000}"/>
    <cellStyle name="Normal 6 2 2 4 3 2 5" xfId="28755" xr:uid="{00000000-0005-0000-0000-0000FD9C0000}"/>
    <cellStyle name="Normal 6 2 2 4 3 2 6" xfId="28756" xr:uid="{00000000-0005-0000-0000-0000FE9C0000}"/>
    <cellStyle name="Normal 6 2 2 4 3 2 7" xfId="28757" xr:uid="{00000000-0005-0000-0000-0000FF9C0000}"/>
    <cellStyle name="Normal 6 2 2 4 3 3" xfId="28758" xr:uid="{00000000-0005-0000-0000-0000009D0000}"/>
    <cellStyle name="Normal 6 2 2 4 3 3 2" xfId="28759" xr:uid="{00000000-0005-0000-0000-0000019D0000}"/>
    <cellStyle name="Normal 6 2 2 4 3 3 2 2" xfId="57458" xr:uid="{00000000-0005-0000-0000-0000029D0000}"/>
    <cellStyle name="Normal 6 2 2 4 3 3 2 3" xfId="57459" xr:uid="{00000000-0005-0000-0000-0000039D0000}"/>
    <cellStyle name="Normal 6 2 2 4 3 3 3" xfId="28760" xr:uid="{00000000-0005-0000-0000-0000049D0000}"/>
    <cellStyle name="Normal 6 2 2 4 3 3 3 2" xfId="57460" xr:uid="{00000000-0005-0000-0000-0000059D0000}"/>
    <cellStyle name="Normal 6 2 2 4 3 3 4" xfId="28761" xr:uid="{00000000-0005-0000-0000-0000069D0000}"/>
    <cellStyle name="Normal 6 2 2 4 3 3 5" xfId="28762" xr:uid="{00000000-0005-0000-0000-0000079D0000}"/>
    <cellStyle name="Normal 6 2 2 4 3 3 6" xfId="28763" xr:uid="{00000000-0005-0000-0000-0000089D0000}"/>
    <cellStyle name="Normal 6 2 2 4 3 4" xfId="28764" xr:uid="{00000000-0005-0000-0000-0000099D0000}"/>
    <cellStyle name="Normal 6 2 2 4 3 4 2" xfId="57461" xr:uid="{00000000-0005-0000-0000-00000A9D0000}"/>
    <cellStyle name="Normal 6 2 2 4 3 4 3" xfId="57462" xr:uid="{00000000-0005-0000-0000-00000B9D0000}"/>
    <cellStyle name="Normal 6 2 2 4 3 5" xfId="28765" xr:uid="{00000000-0005-0000-0000-00000C9D0000}"/>
    <cellStyle name="Normal 6 2 2 4 3 5 2" xfId="57463" xr:uid="{00000000-0005-0000-0000-00000D9D0000}"/>
    <cellStyle name="Normal 6 2 2 4 3 6" xfId="28766" xr:uid="{00000000-0005-0000-0000-00000E9D0000}"/>
    <cellStyle name="Normal 6 2 2 4 3 7" xfId="28767" xr:uid="{00000000-0005-0000-0000-00000F9D0000}"/>
    <cellStyle name="Normal 6 2 2 4 3 8" xfId="28768" xr:uid="{00000000-0005-0000-0000-0000109D0000}"/>
    <cellStyle name="Normal 6 2 2 4 4" xfId="28769" xr:uid="{00000000-0005-0000-0000-0000119D0000}"/>
    <cellStyle name="Normal 6 2 2 4 4 2" xfId="28770" xr:uid="{00000000-0005-0000-0000-0000129D0000}"/>
    <cellStyle name="Normal 6 2 2 4 4 2 2" xfId="28771" xr:uid="{00000000-0005-0000-0000-0000139D0000}"/>
    <cellStyle name="Normal 6 2 2 4 4 2 2 2" xfId="57464" xr:uid="{00000000-0005-0000-0000-0000149D0000}"/>
    <cellStyle name="Normal 6 2 2 4 4 2 2 3" xfId="57465" xr:uid="{00000000-0005-0000-0000-0000159D0000}"/>
    <cellStyle name="Normal 6 2 2 4 4 2 3" xfId="28772" xr:uid="{00000000-0005-0000-0000-0000169D0000}"/>
    <cellStyle name="Normal 6 2 2 4 4 2 3 2" xfId="57466" xr:uid="{00000000-0005-0000-0000-0000179D0000}"/>
    <cellStyle name="Normal 6 2 2 4 4 2 4" xfId="28773" xr:uid="{00000000-0005-0000-0000-0000189D0000}"/>
    <cellStyle name="Normal 6 2 2 4 4 2 5" xfId="28774" xr:uid="{00000000-0005-0000-0000-0000199D0000}"/>
    <cellStyle name="Normal 6 2 2 4 4 2 6" xfId="28775" xr:uid="{00000000-0005-0000-0000-00001A9D0000}"/>
    <cellStyle name="Normal 6 2 2 4 4 3" xfId="28776" xr:uid="{00000000-0005-0000-0000-00001B9D0000}"/>
    <cellStyle name="Normal 6 2 2 4 4 3 2" xfId="57467" xr:uid="{00000000-0005-0000-0000-00001C9D0000}"/>
    <cellStyle name="Normal 6 2 2 4 4 3 3" xfId="57468" xr:uid="{00000000-0005-0000-0000-00001D9D0000}"/>
    <cellStyle name="Normal 6 2 2 4 4 4" xfId="28777" xr:uid="{00000000-0005-0000-0000-00001E9D0000}"/>
    <cellStyle name="Normal 6 2 2 4 4 4 2" xfId="57469" xr:uid="{00000000-0005-0000-0000-00001F9D0000}"/>
    <cellStyle name="Normal 6 2 2 4 4 5" xfId="28778" xr:uid="{00000000-0005-0000-0000-0000209D0000}"/>
    <cellStyle name="Normal 6 2 2 4 4 6" xfId="28779" xr:uid="{00000000-0005-0000-0000-0000219D0000}"/>
    <cellStyle name="Normal 6 2 2 4 4 7" xfId="28780" xr:uid="{00000000-0005-0000-0000-0000229D0000}"/>
    <cellStyle name="Normal 6 2 2 4 5" xfId="28781" xr:uid="{00000000-0005-0000-0000-0000239D0000}"/>
    <cellStyle name="Normal 6 2 2 4 5 2" xfId="28782" xr:uid="{00000000-0005-0000-0000-0000249D0000}"/>
    <cellStyle name="Normal 6 2 2 4 5 2 2" xfId="57470" xr:uid="{00000000-0005-0000-0000-0000259D0000}"/>
    <cellStyle name="Normal 6 2 2 4 5 2 3" xfId="57471" xr:uid="{00000000-0005-0000-0000-0000269D0000}"/>
    <cellStyle name="Normal 6 2 2 4 5 3" xfId="28783" xr:uid="{00000000-0005-0000-0000-0000279D0000}"/>
    <cellStyle name="Normal 6 2 2 4 5 3 2" xfId="57472" xr:uid="{00000000-0005-0000-0000-0000289D0000}"/>
    <cellStyle name="Normal 6 2 2 4 5 4" xfId="28784" xr:uid="{00000000-0005-0000-0000-0000299D0000}"/>
    <cellStyle name="Normal 6 2 2 4 5 5" xfId="28785" xr:uid="{00000000-0005-0000-0000-00002A9D0000}"/>
    <cellStyle name="Normal 6 2 2 4 5 6" xfId="28786" xr:uid="{00000000-0005-0000-0000-00002B9D0000}"/>
    <cellStyle name="Normal 6 2 2 4 6" xfId="28787" xr:uid="{00000000-0005-0000-0000-00002C9D0000}"/>
    <cellStyle name="Normal 6 2 2 4 6 2" xfId="57473" xr:uid="{00000000-0005-0000-0000-00002D9D0000}"/>
    <cellStyle name="Normal 6 2 2 4 6 3" xfId="57474" xr:uid="{00000000-0005-0000-0000-00002E9D0000}"/>
    <cellStyle name="Normal 6 2 2 4 7" xfId="28788" xr:uid="{00000000-0005-0000-0000-00002F9D0000}"/>
    <cellStyle name="Normal 6 2 2 4 7 2" xfId="57475" xr:uid="{00000000-0005-0000-0000-0000309D0000}"/>
    <cellStyle name="Normal 6 2 2 4 8" xfId="28789" xr:uid="{00000000-0005-0000-0000-0000319D0000}"/>
    <cellStyle name="Normal 6 2 2 4 9" xfId="28790" xr:uid="{00000000-0005-0000-0000-0000329D0000}"/>
    <cellStyle name="Normal 6 2 2 5" xfId="28791" xr:uid="{00000000-0005-0000-0000-0000339D0000}"/>
    <cellStyle name="Normal 6 2 2 5 10" xfId="28792" xr:uid="{00000000-0005-0000-0000-0000349D0000}"/>
    <cellStyle name="Normal 6 2 2 5 11" xfId="28793" xr:uid="{00000000-0005-0000-0000-0000359D0000}"/>
    <cellStyle name="Normal 6 2 2 5 12" xfId="28794" xr:uid="{00000000-0005-0000-0000-0000369D0000}"/>
    <cellStyle name="Normal 6 2 2 5 13" xfId="28795" xr:uid="{00000000-0005-0000-0000-0000379D0000}"/>
    <cellStyle name="Normal 6 2 2 5 14" xfId="28796" xr:uid="{00000000-0005-0000-0000-0000389D0000}"/>
    <cellStyle name="Normal 6 2 2 5 2" xfId="28797" xr:uid="{00000000-0005-0000-0000-0000399D0000}"/>
    <cellStyle name="Normal 6 2 2 5 2 2" xfId="28798" xr:uid="{00000000-0005-0000-0000-00003A9D0000}"/>
    <cellStyle name="Normal 6 2 2 5 2 2 2" xfId="28799" xr:uid="{00000000-0005-0000-0000-00003B9D0000}"/>
    <cellStyle name="Normal 6 2 2 5 2 2 2 2" xfId="28800" xr:uid="{00000000-0005-0000-0000-00003C9D0000}"/>
    <cellStyle name="Normal 6 2 2 5 2 2 2 2 2" xfId="57476" xr:uid="{00000000-0005-0000-0000-00003D9D0000}"/>
    <cellStyle name="Normal 6 2 2 5 2 2 2 2 3" xfId="57477" xr:uid="{00000000-0005-0000-0000-00003E9D0000}"/>
    <cellStyle name="Normal 6 2 2 5 2 2 2 3" xfId="28801" xr:uid="{00000000-0005-0000-0000-00003F9D0000}"/>
    <cellStyle name="Normal 6 2 2 5 2 2 2 3 2" xfId="57478" xr:uid="{00000000-0005-0000-0000-0000409D0000}"/>
    <cellStyle name="Normal 6 2 2 5 2 2 2 4" xfId="28802" xr:uid="{00000000-0005-0000-0000-0000419D0000}"/>
    <cellStyle name="Normal 6 2 2 5 2 2 2 5" xfId="28803" xr:uid="{00000000-0005-0000-0000-0000429D0000}"/>
    <cellStyle name="Normal 6 2 2 5 2 2 2 6" xfId="28804" xr:uid="{00000000-0005-0000-0000-0000439D0000}"/>
    <cellStyle name="Normal 6 2 2 5 2 2 3" xfId="28805" xr:uid="{00000000-0005-0000-0000-0000449D0000}"/>
    <cellStyle name="Normal 6 2 2 5 2 2 3 2" xfId="57479" xr:uid="{00000000-0005-0000-0000-0000459D0000}"/>
    <cellStyle name="Normal 6 2 2 5 2 2 3 3" xfId="57480" xr:uid="{00000000-0005-0000-0000-0000469D0000}"/>
    <cellStyle name="Normal 6 2 2 5 2 2 4" xfId="28806" xr:uid="{00000000-0005-0000-0000-0000479D0000}"/>
    <cellStyle name="Normal 6 2 2 5 2 2 4 2" xfId="57481" xr:uid="{00000000-0005-0000-0000-0000489D0000}"/>
    <cellStyle name="Normal 6 2 2 5 2 2 5" xfId="28807" xr:uid="{00000000-0005-0000-0000-0000499D0000}"/>
    <cellStyle name="Normal 6 2 2 5 2 2 6" xfId="28808" xr:uid="{00000000-0005-0000-0000-00004A9D0000}"/>
    <cellStyle name="Normal 6 2 2 5 2 2 7" xfId="28809" xr:uid="{00000000-0005-0000-0000-00004B9D0000}"/>
    <cellStyle name="Normal 6 2 2 5 2 3" xfId="28810" xr:uid="{00000000-0005-0000-0000-00004C9D0000}"/>
    <cellStyle name="Normal 6 2 2 5 2 3 2" xfId="28811" xr:uid="{00000000-0005-0000-0000-00004D9D0000}"/>
    <cellStyle name="Normal 6 2 2 5 2 3 2 2" xfId="57482" xr:uid="{00000000-0005-0000-0000-00004E9D0000}"/>
    <cellStyle name="Normal 6 2 2 5 2 3 2 3" xfId="57483" xr:uid="{00000000-0005-0000-0000-00004F9D0000}"/>
    <cellStyle name="Normal 6 2 2 5 2 3 3" xfId="28812" xr:uid="{00000000-0005-0000-0000-0000509D0000}"/>
    <cellStyle name="Normal 6 2 2 5 2 3 3 2" xfId="57484" xr:uid="{00000000-0005-0000-0000-0000519D0000}"/>
    <cellStyle name="Normal 6 2 2 5 2 3 4" xfId="28813" xr:uid="{00000000-0005-0000-0000-0000529D0000}"/>
    <cellStyle name="Normal 6 2 2 5 2 3 5" xfId="28814" xr:uid="{00000000-0005-0000-0000-0000539D0000}"/>
    <cellStyle name="Normal 6 2 2 5 2 3 6" xfId="28815" xr:uid="{00000000-0005-0000-0000-0000549D0000}"/>
    <cellStyle name="Normal 6 2 2 5 2 4" xfId="28816" xr:uid="{00000000-0005-0000-0000-0000559D0000}"/>
    <cellStyle name="Normal 6 2 2 5 2 4 2" xfId="57485" xr:uid="{00000000-0005-0000-0000-0000569D0000}"/>
    <cellStyle name="Normal 6 2 2 5 2 4 3" xfId="57486" xr:uid="{00000000-0005-0000-0000-0000579D0000}"/>
    <cellStyle name="Normal 6 2 2 5 2 5" xfId="28817" xr:uid="{00000000-0005-0000-0000-0000589D0000}"/>
    <cellStyle name="Normal 6 2 2 5 2 5 2" xfId="57487" xr:uid="{00000000-0005-0000-0000-0000599D0000}"/>
    <cellStyle name="Normal 6 2 2 5 2 6" xfId="28818" xr:uid="{00000000-0005-0000-0000-00005A9D0000}"/>
    <cellStyle name="Normal 6 2 2 5 2 7" xfId="28819" xr:uid="{00000000-0005-0000-0000-00005B9D0000}"/>
    <cellStyle name="Normal 6 2 2 5 2 8" xfId="28820" xr:uid="{00000000-0005-0000-0000-00005C9D0000}"/>
    <cellStyle name="Normal 6 2 2 5 2 9" xfId="28821" xr:uid="{00000000-0005-0000-0000-00005D9D0000}"/>
    <cellStyle name="Normal 6 2 2 5 3" xfId="28822" xr:uid="{00000000-0005-0000-0000-00005E9D0000}"/>
    <cellStyle name="Normal 6 2 2 5 3 2" xfId="28823" xr:uid="{00000000-0005-0000-0000-00005F9D0000}"/>
    <cellStyle name="Normal 6 2 2 5 3 2 2" xfId="28824" xr:uid="{00000000-0005-0000-0000-0000609D0000}"/>
    <cellStyle name="Normal 6 2 2 5 3 2 2 2" xfId="28825" xr:uid="{00000000-0005-0000-0000-0000619D0000}"/>
    <cellStyle name="Normal 6 2 2 5 3 2 2 2 2" xfId="57488" xr:uid="{00000000-0005-0000-0000-0000629D0000}"/>
    <cellStyle name="Normal 6 2 2 5 3 2 2 2 3" xfId="57489" xr:uid="{00000000-0005-0000-0000-0000639D0000}"/>
    <cellStyle name="Normal 6 2 2 5 3 2 2 3" xfId="28826" xr:uid="{00000000-0005-0000-0000-0000649D0000}"/>
    <cellStyle name="Normal 6 2 2 5 3 2 2 3 2" xfId="57490" xr:uid="{00000000-0005-0000-0000-0000659D0000}"/>
    <cellStyle name="Normal 6 2 2 5 3 2 2 4" xfId="28827" xr:uid="{00000000-0005-0000-0000-0000669D0000}"/>
    <cellStyle name="Normal 6 2 2 5 3 2 2 5" xfId="28828" xr:uid="{00000000-0005-0000-0000-0000679D0000}"/>
    <cellStyle name="Normal 6 2 2 5 3 2 2 6" xfId="28829" xr:uid="{00000000-0005-0000-0000-0000689D0000}"/>
    <cellStyle name="Normal 6 2 2 5 3 2 3" xfId="28830" xr:uid="{00000000-0005-0000-0000-0000699D0000}"/>
    <cellStyle name="Normal 6 2 2 5 3 2 3 2" xfId="57491" xr:uid="{00000000-0005-0000-0000-00006A9D0000}"/>
    <cellStyle name="Normal 6 2 2 5 3 2 3 3" xfId="57492" xr:uid="{00000000-0005-0000-0000-00006B9D0000}"/>
    <cellStyle name="Normal 6 2 2 5 3 2 4" xfId="28831" xr:uid="{00000000-0005-0000-0000-00006C9D0000}"/>
    <cellStyle name="Normal 6 2 2 5 3 2 4 2" xfId="57493" xr:uid="{00000000-0005-0000-0000-00006D9D0000}"/>
    <cellStyle name="Normal 6 2 2 5 3 2 5" xfId="28832" xr:uid="{00000000-0005-0000-0000-00006E9D0000}"/>
    <cellStyle name="Normal 6 2 2 5 3 2 6" xfId="28833" xr:uid="{00000000-0005-0000-0000-00006F9D0000}"/>
    <cellStyle name="Normal 6 2 2 5 3 2 7" xfId="28834" xr:uid="{00000000-0005-0000-0000-0000709D0000}"/>
    <cellStyle name="Normal 6 2 2 5 3 3" xfId="28835" xr:uid="{00000000-0005-0000-0000-0000719D0000}"/>
    <cellStyle name="Normal 6 2 2 5 3 3 2" xfId="28836" xr:uid="{00000000-0005-0000-0000-0000729D0000}"/>
    <cellStyle name="Normal 6 2 2 5 3 3 2 2" xfId="57494" xr:uid="{00000000-0005-0000-0000-0000739D0000}"/>
    <cellStyle name="Normal 6 2 2 5 3 3 2 3" xfId="57495" xr:uid="{00000000-0005-0000-0000-0000749D0000}"/>
    <cellStyle name="Normal 6 2 2 5 3 3 3" xfId="28837" xr:uid="{00000000-0005-0000-0000-0000759D0000}"/>
    <cellStyle name="Normal 6 2 2 5 3 3 3 2" xfId="57496" xr:uid="{00000000-0005-0000-0000-0000769D0000}"/>
    <cellStyle name="Normal 6 2 2 5 3 3 4" xfId="28838" xr:uid="{00000000-0005-0000-0000-0000779D0000}"/>
    <cellStyle name="Normal 6 2 2 5 3 3 5" xfId="28839" xr:uid="{00000000-0005-0000-0000-0000789D0000}"/>
    <cellStyle name="Normal 6 2 2 5 3 3 6" xfId="28840" xr:uid="{00000000-0005-0000-0000-0000799D0000}"/>
    <cellStyle name="Normal 6 2 2 5 3 4" xfId="28841" xr:uid="{00000000-0005-0000-0000-00007A9D0000}"/>
    <cellStyle name="Normal 6 2 2 5 3 4 2" xfId="57497" xr:uid="{00000000-0005-0000-0000-00007B9D0000}"/>
    <cellStyle name="Normal 6 2 2 5 3 4 3" xfId="57498" xr:uid="{00000000-0005-0000-0000-00007C9D0000}"/>
    <cellStyle name="Normal 6 2 2 5 3 5" xfId="28842" xr:uid="{00000000-0005-0000-0000-00007D9D0000}"/>
    <cellStyle name="Normal 6 2 2 5 3 5 2" xfId="57499" xr:uid="{00000000-0005-0000-0000-00007E9D0000}"/>
    <cellStyle name="Normal 6 2 2 5 3 6" xfId="28843" xr:uid="{00000000-0005-0000-0000-00007F9D0000}"/>
    <cellStyle name="Normal 6 2 2 5 3 7" xfId="28844" xr:uid="{00000000-0005-0000-0000-0000809D0000}"/>
    <cellStyle name="Normal 6 2 2 5 3 8" xfId="28845" xr:uid="{00000000-0005-0000-0000-0000819D0000}"/>
    <cellStyle name="Normal 6 2 2 5 4" xfId="28846" xr:uid="{00000000-0005-0000-0000-0000829D0000}"/>
    <cellStyle name="Normal 6 2 2 5 4 2" xfId="28847" xr:uid="{00000000-0005-0000-0000-0000839D0000}"/>
    <cellStyle name="Normal 6 2 2 5 4 2 2" xfId="28848" xr:uid="{00000000-0005-0000-0000-0000849D0000}"/>
    <cellStyle name="Normal 6 2 2 5 4 2 2 2" xfId="57500" xr:uid="{00000000-0005-0000-0000-0000859D0000}"/>
    <cellStyle name="Normal 6 2 2 5 4 2 2 3" xfId="57501" xr:uid="{00000000-0005-0000-0000-0000869D0000}"/>
    <cellStyle name="Normal 6 2 2 5 4 2 3" xfId="28849" xr:uid="{00000000-0005-0000-0000-0000879D0000}"/>
    <cellStyle name="Normal 6 2 2 5 4 2 3 2" xfId="57502" xr:uid="{00000000-0005-0000-0000-0000889D0000}"/>
    <cellStyle name="Normal 6 2 2 5 4 2 4" xfId="28850" xr:uid="{00000000-0005-0000-0000-0000899D0000}"/>
    <cellStyle name="Normal 6 2 2 5 4 2 5" xfId="28851" xr:uid="{00000000-0005-0000-0000-00008A9D0000}"/>
    <cellStyle name="Normal 6 2 2 5 4 2 6" xfId="28852" xr:uid="{00000000-0005-0000-0000-00008B9D0000}"/>
    <cellStyle name="Normal 6 2 2 5 4 3" xfId="28853" xr:uid="{00000000-0005-0000-0000-00008C9D0000}"/>
    <cellStyle name="Normal 6 2 2 5 4 3 2" xfId="57503" xr:uid="{00000000-0005-0000-0000-00008D9D0000}"/>
    <cellStyle name="Normal 6 2 2 5 4 3 3" xfId="57504" xr:uid="{00000000-0005-0000-0000-00008E9D0000}"/>
    <cellStyle name="Normal 6 2 2 5 4 4" xfId="28854" xr:uid="{00000000-0005-0000-0000-00008F9D0000}"/>
    <cellStyle name="Normal 6 2 2 5 4 4 2" xfId="57505" xr:uid="{00000000-0005-0000-0000-0000909D0000}"/>
    <cellStyle name="Normal 6 2 2 5 4 5" xfId="28855" xr:uid="{00000000-0005-0000-0000-0000919D0000}"/>
    <cellStyle name="Normal 6 2 2 5 4 6" xfId="28856" xr:uid="{00000000-0005-0000-0000-0000929D0000}"/>
    <cellStyle name="Normal 6 2 2 5 4 7" xfId="28857" xr:uid="{00000000-0005-0000-0000-0000939D0000}"/>
    <cellStyle name="Normal 6 2 2 5 5" xfId="28858" xr:uid="{00000000-0005-0000-0000-0000949D0000}"/>
    <cellStyle name="Normal 6 2 2 5 5 2" xfId="28859" xr:uid="{00000000-0005-0000-0000-0000959D0000}"/>
    <cellStyle name="Normal 6 2 2 5 5 2 2" xfId="57506" xr:uid="{00000000-0005-0000-0000-0000969D0000}"/>
    <cellStyle name="Normal 6 2 2 5 5 2 3" xfId="57507" xr:uid="{00000000-0005-0000-0000-0000979D0000}"/>
    <cellStyle name="Normal 6 2 2 5 5 3" xfId="28860" xr:uid="{00000000-0005-0000-0000-0000989D0000}"/>
    <cellStyle name="Normal 6 2 2 5 5 3 2" xfId="57508" xr:uid="{00000000-0005-0000-0000-0000999D0000}"/>
    <cellStyle name="Normal 6 2 2 5 5 4" xfId="28861" xr:uid="{00000000-0005-0000-0000-00009A9D0000}"/>
    <cellStyle name="Normal 6 2 2 5 5 5" xfId="28862" xr:uid="{00000000-0005-0000-0000-00009B9D0000}"/>
    <cellStyle name="Normal 6 2 2 5 5 6" xfId="28863" xr:uid="{00000000-0005-0000-0000-00009C9D0000}"/>
    <cellStyle name="Normal 6 2 2 5 6" xfId="28864" xr:uid="{00000000-0005-0000-0000-00009D9D0000}"/>
    <cellStyle name="Normal 6 2 2 5 6 2" xfId="57509" xr:uid="{00000000-0005-0000-0000-00009E9D0000}"/>
    <cellStyle name="Normal 6 2 2 5 6 3" xfId="57510" xr:uid="{00000000-0005-0000-0000-00009F9D0000}"/>
    <cellStyle name="Normal 6 2 2 5 7" xfId="28865" xr:uid="{00000000-0005-0000-0000-0000A09D0000}"/>
    <cellStyle name="Normal 6 2 2 5 7 2" xfId="57511" xr:uid="{00000000-0005-0000-0000-0000A19D0000}"/>
    <cellStyle name="Normal 6 2 2 5 8" xfId="28866" xr:uid="{00000000-0005-0000-0000-0000A29D0000}"/>
    <cellStyle name="Normal 6 2 2 5 9" xfId="28867" xr:uid="{00000000-0005-0000-0000-0000A39D0000}"/>
    <cellStyle name="Normal 6 2 2 6" xfId="28868" xr:uid="{00000000-0005-0000-0000-0000A49D0000}"/>
    <cellStyle name="Normal 6 2 2 6 10" xfId="28869" xr:uid="{00000000-0005-0000-0000-0000A59D0000}"/>
    <cellStyle name="Normal 6 2 2 6 11" xfId="28870" xr:uid="{00000000-0005-0000-0000-0000A69D0000}"/>
    <cellStyle name="Normal 6 2 2 6 12" xfId="28871" xr:uid="{00000000-0005-0000-0000-0000A79D0000}"/>
    <cellStyle name="Normal 6 2 2 6 13" xfId="28872" xr:uid="{00000000-0005-0000-0000-0000A89D0000}"/>
    <cellStyle name="Normal 6 2 2 6 2" xfId="28873" xr:uid="{00000000-0005-0000-0000-0000A99D0000}"/>
    <cellStyle name="Normal 6 2 2 6 2 2" xfId="28874" xr:uid="{00000000-0005-0000-0000-0000AA9D0000}"/>
    <cellStyle name="Normal 6 2 2 6 2 2 2" xfId="28875" xr:uid="{00000000-0005-0000-0000-0000AB9D0000}"/>
    <cellStyle name="Normal 6 2 2 6 2 2 2 2" xfId="28876" xr:uid="{00000000-0005-0000-0000-0000AC9D0000}"/>
    <cellStyle name="Normal 6 2 2 6 2 2 2 2 2" xfId="57512" xr:uid="{00000000-0005-0000-0000-0000AD9D0000}"/>
    <cellStyle name="Normal 6 2 2 6 2 2 2 2 3" xfId="57513" xr:uid="{00000000-0005-0000-0000-0000AE9D0000}"/>
    <cellStyle name="Normal 6 2 2 6 2 2 2 3" xfId="28877" xr:uid="{00000000-0005-0000-0000-0000AF9D0000}"/>
    <cellStyle name="Normal 6 2 2 6 2 2 2 3 2" xfId="57514" xr:uid="{00000000-0005-0000-0000-0000B09D0000}"/>
    <cellStyle name="Normal 6 2 2 6 2 2 2 4" xfId="28878" xr:uid="{00000000-0005-0000-0000-0000B19D0000}"/>
    <cellStyle name="Normal 6 2 2 6 2 2 2 5" xfId="28879" xr:uid="{00000000-0005-0000-0000-0000B29D0000}"/>
    <cellStyle name="Normal 6 2 2 6 2 2 2 6" xfId="28880" xr:uid="{00000000-0005-0000-0000-0000B39D0000}"/>
    <cellStyle name="Normal 6 2 2 6 2 2 3" xfId="28881" xr:uid="{00000000-0005-0000-0000-0000B49D0000}"/>
    <cellStyle name="Normal 6 2 2 6 2 2 3 2" xfId="57515" xr:uid="{00000000-0005-0000-0000-0000B59D0000}"/>
    <cellStyle name="Normal 6 2 2 6 2 2 3 3" xfId="57516" xr:uid="{00000000-0005-0000-0000-0000B69D0000}"/>
    <cellStyle name="Normal 6 2 2 6 2 2 4" xfId="28882" xr:uid="{00000000-0005-0000-0000-0000B79D0000}"/>
    <cellStyle name="Normal 6 2 2 6 2 2 4 2" xfId="57517" xr:uid="{00000000-0005-0000-0000-0000B89D0000}"/>
    <cellStyle name="Normal 6 2 2 6 2 2 5" xfId="28883" xr:uid="{00000000-0005-0000-0000-0000B99D0000}"/>
    <cellStyle name="Normal 6 2 2 6 2 2 6" xfId="28884" xr:uid="{00000000-0005-0000-0000-0000BA9D0000}"/>
    <cellStyle name="Normal 6 2 2 6 2 2 7" xfId="28885" xr:uid="{00000000-0005-0000-0000-0000BB9D0000}"/>
    <cellStyle name="Normal 6 2 2 6 2 3" xfId="28886" xr:uid="{00000000-0005-0000-0000-0000BC9D0000}"/>
    <cellStyle name="Normal 6 2 2 6 2 3 2" xfId="28887" xr:uid="{00000000-0005-0000-0000-0000BD9D0000}"/>
    <cellStyle name="Normal 6 2 2 6 2 3 2 2" xfId="57518" xr:uid="{00000000-0005-0000-0000-0000BE9D0000}"/>
    <cellStyle name="Normal 6 2 2 6 2 3 2 3" xfId="57519" xr:uid="{00000000-0005-0000-0000-0000BF9D0000}"/>
    <cellStyle name="Normal 6 2 2 6 2 3 3" xfId="28888" xr:uid="{00000000-0005-0000-0000-0000C09D0000}"/>
    <cellStyle name="Normal 6 2 2 6 2 3 3 2" xfId="57520" xr:uid="{00000000-0005-0000-0000-0000C19D0000}"/>
    <cellStyle name="Normal 6 2 2 6 2 3 4" xfId="28889" xr:uid="{00000000-0005-0000-0000-0000C29D0000}"/>
    <cellStyle name="Normal 6 2 2 6 2 3 5" xfId="28890" xr:uid="{00000000-0005-0000-0000-0000C39D0000}"/>
    <cellStyle name="Normal 6 2 2 6 2 3 6" xfId="28891" xr:uid="{00000000-0005-0000-0000-0000C49D0000}"/>
    <cellStyle name="Normal 6 2 2 6 2 4" xfId="28892" xr:uid="{00000000-0005-0000-0000-0000C59D0000}"/>
    <cellStyle name="Normal 6 2 2 6 2 4 2" xfId="57521" xr:uid="{00000000-0005-0000-0000-0000C69D0000}"/>
    <cellStyle name="Normal 6 2 2 6 2 4 3" xfId="57522" xr:uid="{00000000-0005-0000-0000-0000C79D0000}"/>
    <cellStyle name="Normal 6 2 2 6 2 5" xfId="28893" xr:uid="{00000000-0005-0000-0000-0000C89D0000}"/>
    <cellStyle name="Normal 6 2 2 6 2 5 2" xfId="57523" xr:uid="{00000000-0005-0000-0000-0000C99D0000}"/>
    <cellStyle name="Normal 6 2 2 6 2 6" xfId="28894" xr:uid="{00000000-0005-0000-0000-0000CA9D0000}"/>
    <cellStyle name="Normal 6 2 2 6 2 7" xfId="28895" xr:uid="{00000000-0005-0000-0000-0000CB9D0000}"/>
    <cellStyle name="Normal 6 2 2 6 2 8" xfId="28896" xr:uid="{00000000-0005-0000-0000-0000CC9D0000}"/>
    <cellStyle name="Normal 6 2 2 6 2 9" xfId="28897" xr:uid="{00000000-0005-0000-0000-0000CD9D0000}"/>
    <cellStyle name="Normal 6 2 2 6 3" xfId="28898" xr:uid="{00000000-0005-0000-0000-0000CE9D0000}"/>
    <cellStyle name="Normal 6 2 2 6 3 2" xfId="28899" xr:uid="{00000000-0005-0000-0000-0000CF9D0000}"/>
    <cellStyle name="Normal 6 2 2 6 3 2 2" xfId="28900" xr:uid="{00000000-0005-0000-0000-0000D09D0000}"/>
    <cellStyle name="Normal 6 2 2 6 3 2 2 2" xfId="57524" xr:uid="{00000000-0005-0000-0000-0000D19D0000}"/>
    <cellStyle name="Normal 6 2 2 6 3 2 2 3" xfId="57525" xr:uid="{00000000-0005-0000-0000-0000D29D0000}"/>
    <cellStyle name="Normal 6 2 2 6 3 2 3" xfId="28901" xr:uid="{00000000-0005-0000-0000-0000D39D0000}"/>
    <cellStyle name="Normal 6 2 2 6 3 2 3 2" xfId="57526" xr:uid="{00000000-0005-0000-0000-0000D49D0000}"/>
    <cellStyle name="Normal 6 2 2 6 3 2 4" xfId="28902" xr:uid="{00000000-0005-0000-0000-0000D59D0000}"/>
    <cellStyle name="Normal 6 2 2 6 3 2 5" xfId="28903" xr:uid="{00000000-0005-0000-0000-0000D69D0000}"/>
    <cellStyle name="Normal 6 2 2 6 3 2 6" xfId="28904" xr:uid="{00000000-0005-0000-0000-0000D79D0000}"/>
    <cellStyle name="Normal 6 2 2 6 3 3" xfId="28905" xr:uid="{00000000-0005-0000-0000-0000D89D0000}"/>
    <cellStyle name="Normal 6 2 2 6 3 3 2" xfId="57527" xr:uid="{00000000-0005-0000-0000-0000D99D0000}"/>
    <cellStyle name="Normal 6 2 2 6 3 3 3" xfId="57528" xr:uid="{00000000-0005-0000-0000-0000DA9D0000}"/>
    <cellStyle name="Normal 6 2 2 6 3 4" xfId="28906" xr:uid="{00000000-0005-0000-0000-0000DB9D0000}"/>
    <cellStyle name="Normal 6 2 2 6 3 4 2" xfId="57529" xr:uid="{00000000-0005-0000-0000-0000DC9D0000}"/>
    <cellStyle name="Normal 6 2 2 6 3 5" xfId="28907" xr:uid="{00000000-0005-0000-0000-0000DD9D0000}"/>
    <cellStyle name="Normal 6 2 2 6 3 6" xfId="28908" xr:uid="{00000000-0005-0000-0000-0000DE9D0000}"/>
    <cellStyle name="Normal 6 2 2 6 3 7" xfId="28909" xr:uid="{00000000-0005-0000-0000-0000DF9D0000}"/>
    <cellStyle name="Normal 6 2 2 6 4" xfId="28910" xr:uid="{00000000-0005-0000-0000-0000E09D0000}"/>
    <cellStyle name="Normal 6 2 2 6 4 2" xfId="28911" xr:uid="{00000000-0005-0000-0000-0000E19D0000}"/>
    <cellStyle name="Normal 6 2 2 6 4 2 2" xfId="57530" xr:uid="{00000000-0005-0000-0000-0000E29D0000}"/>
    <cellStyle name="Normal 6 2 2 6 4 2 3" xfId="57531" xr:uid="{00000000-0005-0000-0000-0000E39D0000}"/>
    <cellStyle name="Normal 6 2 2 6 4 3" xfId="28912" xr:uid="{00000000-0005-0000-0000-0000E49D0000}"/>
    <cellStyle name="Normal 6 2 2 6 4 3 2" xfId="57532" xr:uid="{00000000-0005-0000-0000-0000E59D0000}"/>
    <cellStyle name="Normal 6 2 2 6 4 4" xfId="28913" xr:uid="{00000000-0005-0000-0000-0000E69D0000}"/>
    <cellStyle name="Normal 6 2 2 6 4 5" xfId="28914" xr:uid="{00000000-0005-0000-0000-0000E79D0000}"/>
    <cellStyle name="Normal 6 2 2 6 4 6" xfId="28915" xr:uid="{00000000-0005-0000-0000-0000E89D0000}"/>
    <cellStyle name="Normal 6 2 2 6 5" xfId="28916" xr:uid="{00000000-0005-0000-0000-0000E99D0000}"/>
    <cellStyle name="Normal 6 2 2 6 5 2" xfId="57533" xr:uid="{00000000-0005-0000-0000-0000EA9D0000}"/>
    <cellStyle name="Normal 6 2 2 6 5 3" xfId="57534" xr:uid="{00000000-0005-0000-0000-0000EB9D0000}"/>
    <cellStyle name="Normal 6 2 2 6 6" xfId="28917" xr:uid="{00000000-0005-0000-0000-0000EC9D0000}"/>
    <cellStyle name="Normal 6 2 2 6 6 2" xfId="57535" xr:uid="{00000000-0005-0000-0000-0000ED9D0000}"/>
    <cellStyle name="Normal 6 2 2 6 7" xfId="28918" xr:uid="{00000000-0005-0000-0000-0000EE9D0000}"/>
    <cellStyle name="Normal 6 2 2 6 8" xfId="28919" xr:uid="{00000000-0005-0000-0000-0000EF9D0000}"/>
    <cellStyle name="Normal 6 2 2 6 9" xfId="28920" xr:uid="{00000000-0005-0000-0000-0000F09D0000}"/>
    <cellStyle name="Normal 6 2 2 7" xfId="28921" xr:uid="{00000000-0005-0000-0000-0000F19D0000}"/>
    <cellStyle name="Normal 6 2 2 7 2" xfId="28922" xr:uid="{00000000-0005-0000-0000-0000F29D0000}"/>
    <cellStyle name="Normal 6 2 2 7 2 2" xfId="28923" xr:uid="{00000000-0005-0000-0000-0000F39D0000}"/>
    <cellStyle name="Normal 6 2 2 7 2 2 2" xfId="28924" xr:uid="{00000000-0005-0000-0000-0000F49D0000}"/>
    <cellStyle name="Normal 6 2 2 7 2 2 2 2" xfId="57536" xr:uid="{00000000-0005-0000-0000-0000F59D0000}"/>
    <cellStyle name="Normal 6 2 2 7 2 2 2 3" xfId="57537" xr:uid="{00000000-0005-0000-0000-0000F69D0000}"/>
    <cellStyle name="Normal 6 2 2 7 2 2 3" xfId="28925" xr:uid="{00000000-0005-0000-0000-0000F79D0000}"/>
    <cellStyle name="Normal 6 2 2 7 2 2 3 2" xfId="57538" xr:uid="{00000000-0005-0000-0000-0000F89D0000}"/>
    <cellStyle name="Normal 6 2 2 7 2 2 4" xfId="28926" xr:uid="{00000000-0005-0000-0000-0000F99D0000}"/>
    <cellStyle name="Normal 6 2 2 7 2 2 5" xfId="28927" xr:uid="{00000000-0005-0000-0000-0000FA9D0000}"/>
    <cellStyle name="Normal 6 2 2 7 2 2 6" xfId="28928" xr:uid="{00000000-0005-0000-0000-0000FB9D0000}"/>
    <cellStyle name="Normal 6 2 2 7 2 3" xfId="28929" xr:uid="{00000000-0005-0000-0000-0000FC9D0000}"/>
    <cellStyle name="Normal 6 2 2 7 2 3 2" xfId="57539" xr:uid="{00000000-0005-0000-0000-0000FD9D0000}"/>
    <cellStyle name="Normal 6 2 2 7 2 3 3" xfId="57540" xr:uid="{00000000-0005-0000-0000-0000FE9D0000}"/>
    <cellStyle name="Normal 6 2 2 7 2 4" xfId="28930" xr:uid="{00000000-0005-0000-0000-0000FF9D0000}"/>
    <cellStyle name="Normal 6 2 2 7 2 4 2" xfId="57541" xr:uid="{00000000-0005-0000-0000-0000009E0000}"/>
    <cellStyle name="Normal 6 2 2 7 2 5" xfId="28931" xr:uid="{00000000-0005-0000-0000-0000019E0000}"/>
    <cellStyle name="Normal 6 2 2 7 2 6" xfId="28932" xr:uid="{00000000-0005-0000-0000-0000029E0000}"/>
    <cellStyle name="Normal 6 2 2 7 2 7" xfId="28933" xr:uid="{00000000-0005-0000-0000-0000039E0000}"/>
    <cellStyle name="Normal 6 2 2 7 3" xfId="28934" xr:uid="{00000000-0005-0000-0000-0000049E0000}"/>
    <cellStyle name="Normal 6 2 2 7 3 2" xfId="28935" xr:uid="{00000000-0005-0000-0000-0000059E0000}"/>
    <cellStyle name="Normal 6 2 2 7 3 2 2" xfId="57542" xr:uid="{00000000-0005-0000-0000-0000069E0000}"/>
    <cellStyle name="Normal 6 2 2 7 3 2 3" xfId="57543" xr:uid="{00000000-0005-0000-0000-0000079E0000}"/>
    <cellStyle name="Normal 6 2 2 7 3 3" xfId="28936" xr:uid="{00000000-0005-0000-0000-0000089E0000}"/>
    <cellStyle name="Normal 6 2 2 7 3 3 2" xfId="57544" xr:uid="{00000000-0005-0000-0000-0000099E0000}"/>
    <cellStyle name="Normal 6 2 2 7 3 4" xfId="28937" xr:uid="{00000000-0005-0000-0000-00000A9E0000}"/>
    <cellStyle name="Normal 6 2 2 7 3 5" xfId="28938" xr:uid="{00000000-0005-0000-0000-00000B9E0000}"/>
    <cellStyle name="Normal 6 2 2 7 3 6" xfId="28939" xr:uid="{00000000-0005-0000-0000-00000C9E0000}"/>
    <cellStyle name="Normal 6 2 2 7 4" xfId="28940" xr:uid="{00000000-0005-0000-0000-00000D9E0000}"/>
    <cellStyle name="Normal 6 2 2 7 4 2" xfId="57545" xr:uid="{00000000-0005-0000-0000-00000E9E0000}"/>
    <cellStyle name="Normal 6 2 2 7 4 3" xfId="57546" xr:uid="{00000000-0005-0000-0000-00000F9E0000}"/>
    <cellStyle name="Normal 6 2 2 7 5" xfId="28941" xr:uid="{00000000-0005-0000-0000-0000109E0000}"/>
    <cellStyle name="Normal 6 2 2 7 5 2" xfId="57547" xr:uid="{00000000-0005-0000-0000-0000119E0000}"/>
    <cellStyle name="Normal 6 2 2 7 6" xfId="28942" xr:uid="{00000000-0005-0000-0000-0000129E0000}"/>
    <cellStyle name="Normal 6 2 2 7 7" xfId="28943" xr:uid="{00000000-0005-0000-0000-0000139E0000}"/>
    <cellStyle name="Normal 6 2 2 7 8" xfId="28944" xr:uid="{00000000-0005-0000-0000-0000149E0000}"/>
    <cellStyle name="Normal 6 2 2 7 9" xfId="28945" xr:uid="{00000000-0005-0000-0000-0000159E0000}"/>
    <cellStyle name="Normal 6 2 2 8" xfId="28946" xr:uid="{00000000-0005-0000-0000-0000169E0000}"/>
    <cellStyle name="Normal 6 2 2 8 2" xfId="28947" xr:uid="{00000000-0005-0000-0000-0000179E0000}"/>
    <cellStyle name="Normal 6 2 2 8 2 2" xfId="28948" xr:uid="{00000000-0005-0000-0000-0000189E0000}"/>
    <cellStyle name="Normal 6 2 2 8 2 2 2" xfId="28949" xr:uid="{00000000-0005-0000-0000-0000199E0000}"/>
    <cellStyle name="Normal 6 2 2 8 2 2 2 2" xfId="57548" xr:uid="{00000000-0005-0000-0000-00001A9E0000}"/>
    <cellStyle name="Normal 6 2 2 8 2 2 2 3" xfId="57549" xr:uid="{00000000-0005-0000-0000-00001B9E0000}"/>
    <cellStyle name="Normal 6 2 2 8 2 2 3" xfId="28950" xr:uid="{00000000-0005-0000-0000-00001C9E0000}"/>
    <cellStyle name="Normal 6 2 2 8 2 2 3 2" xfId="57550" xr:uid="{00000000-0005-0000-0000-00001D9E0000}"/>
    <cellStyle name="Normal 6 2 2 8 2 2 4" xfId="28951" xr:uid="{00000000-0005-0000-0000-00001E9E0000}"/>
    <cellStyle name="Normal 6 2 2 8 2 2 5" xfId="28952" xr:uid="{00000000-0005-0000-0000-00001F9E0000}"/>
    <cellStyle name="Normal 6 2 2 8 2 2 6" xfId="28953" xr:uid="{00000000-0005-0000-0000-0000209E0000}"/>
    <cellStyle name="Normal 6 2 2 8 2 3" xfId="28954" xr:uid="{00000000-0005-0000-0000-0000219E0000}"/>
    <cellStyle name="Normal 6 2 2 8 2 3 2" xfId="57551" xr:uid="{00000000-0005-0000-0000-0000229E0000}"/>
    <cellStyle name="Normal 6 2 2 8 2 3 3" xfId="57552" xr:uid="{00000000-0005-0000-0000-0000239E0000}"/>
    <cellStyle name="Normal 6 2 2 8 2 4" xfId="28955" xr:uid="{00000000-0005-0000-0000-0000249E0000}"/>
    <cellStyle name="Normal 6 2 2 8 2 4 2" xfId="57553" xr:uid="{00000000-0005-0000-0000-0000259E0000}"/>
    <cellStyle name="Normal 6 2 2 8 2 5" xfId="28956" xr:uid="{00000000-0005-0000-0000-0000269E0000}"/>
    <cellStyle name="Normal 6 2 2 8 2 6" xfId="28957" xr:uid="{00000000-0005-0000-0000-0000279E0000}"/>
    <cellStyle name="Normal 6 2 2 8 2 7" xfId="28958" xr:uid="{00000000-0005-0000-0000-0000289E0000}"/>
    <cellStyle name="Normal 6 2 2 8 3" xfId="28959" xr:uid="{00000000-0005-0000-0000-0000299E0000}"/>
    <cellStyle name="Normal 6 2 2 8 3 2" xfId="28960" xr:uid="{00000000-0005-0000-0000-00002A9E0000}"/>
    <cellStyle name="Normal 6 2 2 8 3 2 2" xfId="57554" xr:uid="{00000000-0005-0000-0000-00002B9E0000}"/>
    <cellStyle name="Normal 6 2 2 8 3 2 3" xfId="57555" xr:uid="{00000000-0005-0000-0000-00002C9E0000}"/>
    <cellStyle name="Normal 6 2 2 8 3 3" xfId="28961" xr:uid="{00000000-0005-0000-0000-00002D9E0000}"/>
    <cellStyle name="Normal 6 2 2 8 3 3 2" xfId="57556" xr:uid="{00000000-0005-0000-0000-00002E9E0000}"/>
    <cellStyle name="Normal 6 2 2 8 3 4" xfId="28962" xr:uid="{00000000-0005-0000-0000-00002F9E0000}"/>
    <cellStyle name="Normal 6 2 2 8 3 5" xfId="28963" xr:uid="{00000000-0005-0000-0000-0000309E0000}"/>
    <cellStyle name="Normal 6 2 2 8 3 6" xfId="28964" xr:uid="{00000000-0005-0000-0000-0000319E0000}"/>
    <cellStyle name="Normal 6 2 2 8 4" xfId="28965" xr:uid="{00000000-0005-0000-0000-0000329E0000}"/>
    <cellStyle name="Normal 6 2 2 8 4 2" xfId="57557" xr:uid="{00000000-0005-0000-0000-0000339E0000}"/>
    <cellStyle name="Normal 6 2 2 8 4 3" xfId="57558" xr:uid="{00000000-0005-0000-0000-0000349E0000}"/>
    <cellStyle name="Normal 6 2 2 8 5" xfId="28966" xr:uid="{00000000-0005-0000-0000-0000359E0000}"/>
    <cellStyle name="Normal 6 2 2 8 5 2" xfId="57559" xr:uid="{00000000-0005-0000-0000-0000369E0000}"/>
    <cellStyle name="Normal 6 2 2 8 6" xfId="28967" xr:uid="{00000000-0005-0000-0000-0000379E0000}"/>
    <cellStyle name="Normal 6 2 2 8 7" xfId="28968" xr:uid="{00000000-0005-0000-0000-0000389E0000}"/>
    <cellStyle name="Normal 6 2 2 8 8" xfId="28969" xr:uid="{00000000-0005-0000-0000-0000399E0000}"/>
    <cellStyle name="Normal 6 2 2 9" xfId="28970" xr:uid="{00000000-0005-0000-0000-00003A9E0000}"/>
    <cellStyle name="Normal 6 2 2 9 2" xfId="28971" xr:uid="{00000000-0005-0000-0000-00003B9E0000}"/>
    <cellStyle name="Normal 6 2 2 9 2 2" xfId="28972" xr:uid="{00000000-0005-0000-0000-00003C9E0000}"/>
    <cellStyle name="Normal 6 2 2 9 2 2 2" xfId="28973" xr:uid="{00000000-0005-0000-0000-00003D9E0000}"/>
    <cellStyle name="Normal 6 2 2 9 2 2 2 2" xfId="57560" xr:uid="{00000000-0005-0000-0000-00003E9E0000}"/>
    <cellStyle name="Normal 6 2 2 9 2 2 2 3" xfId="57561" xr:uid="{00000000-0005-0000-0000-00003F9E0000}"/>
    <cellStyle name="Normal 6 2 2 9 2 2 3" xfId="28974" xr:uid="{00000000-0005-0000-0000-0000409E0000}"/>
    <cellStyle name="Normal 6 2 2 9 2 2 3 2" xfId="57562" xr:uid="{00000000-0005-0000-0000-0000419E0000}"/>
    <cellStyle name="Normal 6 2 2 9 2 2 4" xfId="28975" xr:uid="{00000000-0005-0000-0000-0000429E0000}"/>
    <cellStyle name="Normal 6 2 2 9 2 2 5" xfId="28976" xr:uid="{00000000-0005-0000-0000-0000439E0000}"/>
    <cellStyle name="Normal 6 2 2 9 2 2 6" xfId="28977" xr:uid="{00000000-0005-0000-0000-0000449E0000}"/>
    <cellStyle name="Normal 6 2 2 9 2 3" xfId="28978" xr:uid="{00000000-0005-0000-0000-0000459E0000}"/>
    <cellStyle name="Normal 6 2 2 9 2 3 2" xfId="57563" xr:uid="{00000000-0005-0000-0000-0000469E0000}"/>
    <cellStyle name="Normal 6 2 2 9 2 3 3" xfId="57564" xr:uid="{00000000-0005-0000-0000-0000479E0000}"/>
    <cellStyle name="Normal 6 2 2 9 2 4" xfId="28979" xr:uid="{00000000-0005-0000-0000-0000489E0000}"/>
    <cellStyle name="Normal 6 2 2 9 2 4 2" xfId="57565" xr:uid="{00000000-0005-0000-0000-0000499E0000}"/>
    <cellStyle name="Normal 6 2 2 9 2 5" xfId="28980" xr:uid="{00000000-0005-0000-0000-00004A9E0000}"/>
    <cellStyle name="Normal 6 2 2 9 2 6" xfId="28981" xr:uid="{00000000-0005-0000-0000-00004B9E0000}"/>
    <cellStyle name="Normal 6 2 2 9 2 7" xfId="28982" xr:uid="{00000000-0005-0000-0000-00004C9E0000}"/>
    <cellStyle name="Normal 6 2 2 9 3" xfId="28983" xr:uid="{00000000-0005-0000-0000-00004D9E0000}"/>
    <cellStyle name="Normal 6 2 2 9 3 2" xfId="28984" xr:uid="{00000000-0005-0000-0000-00004E9E0000}"/>
    <cellStyle name="Normal 6 2 2 9 3 2 2" xfId="57566" xr:uid="{00000000-0005-0000-0000-00004F9E0000}"/>
    <cellStyle name="Normal 6 2 2 9 3 2 3" xfId="57567" xr:uid="{00000000-0005-0000-0000-0000509E0000}"/>
    <cellStyle name="Normal 6 2 2 9 3 3" xfId="28985" xr:uid="{00000000-0005-0000-0000-0000519E0000}"/>
    <cellStyle name="Normal 6 2 2 9 3 3 2" xfId="57568" xr:uid="{00000000-0005-0000-0000-0000529E0000}"/>
    <cellStyle name="Normal 6 2 2 9 3 4" xfId="28986" xr:uid="{00000000-0005-0000-0000-0000539E0000}"/>
    <cellStyle name="Normal 6 2 2 9 3 5" xfId="28987" xr:uid="{00000000-0005-0000-0000-0000549E0000}"/>
    <cellStyle name="Normal 6 2 2 9 3 6" xfId="28988" xr:uid="{00000000-0005-0000-0000-0000559E0000}"/>
    <cellStyle name="Normal 6 2 2 9 4" xfId="28989" xr:uid="{00000000-0005-0000-0000-0000569E0000}"/>
    <cellStyle name="Normal 6 2 2 9 4 2" xfId="57569" xr:uid="{00000000-0005-0000-0000-0000579E0000}"/>
    <cellStyle name="Normal 6 2 2 9 4 3" xfId="57570" xr:uid="{00000000-0005-0000-0000-0000589E0000}"/>
    <cellStyle name="Normal 6 2 2 9 5" xfId="28990" xr:uid="{00000000-0005-0000-0000-0000599E0000}"/>
    <cellStyle name="Normal 6 2 2 9 5 2" xfId="57571" xr:uid="{00000000-0005-0000-0000-00005A9E0000}"/>
    <cellStyle name="Normal 6 2 2 9 6" xfId="28991" xr:uid="{00000000-0005-0000-0000-00005B9E0000}"/>
    <cellStyle name="Normal 6 2 2 9 7" xfId="28992" xr:uid="{00000000-0005-0000-0000-00005C9E0000}"/>
    <cellStyle name="Normal 6 2 2 9 8" xfId="28993" xr:uid="{00000000-0005-0000-0000-00005D9E0000}"/>
    <cellStyle name="Normal 6 2 20" xfId="28994" xr:uid="{00000000-0005-0000-0000-00005E9E0000}"/>
    <cellStyle name="Normal 6 2 21" xfId="28995" xr:uid="{00000000-0005-0000-0000-00005F9E0000}"/>
    <cellStyle name="Normal 6 2 22" xfId="28996" xr:uid="{00000000-0005-0000-0000-0000609E0000}"/>
    <cellStyle name="Normal 6 2 3" xfId="28997" xr:uid="{00000000-0005-0000-0000-0000619E0000}"/>
    <cellStyle name="Normal 6 2 3 10" xfId="28998" xr:uid="{00000000-0005-0000-0000-0000629E0000}"/>
    <cellStyle name="Normal 6 2 3 10 2" xfId="28999" xr:uid="{00000000-0005-0000-0000-0000639E0000}"/>
    <cellStyle name="Normal 6 2 3 10 2 2" xfId="29000" xr:uid="{00000000-0005-0000-0000-0000649E0000}"/>
    <cellStyle name="Normal 6 2 3 10 2 2 2" xfId="57572" xr:uid="{00000000-0005-0000-0000-0000659E0000}"/>
    <cellStyle name="Normal 6 2 3 10 2 2 3" xfId="57573" xr:uid="{00000000-0005-0000-0000-0000669E0000}"/>
    <cellStyle name="Normal 6 2 3 10 2 3" xfId="29001" xr:uid="{00000000-0005-0000-0000-0000679E0000}"/>
    <cellStyle name="Normal 6 2 3 10 2 3 2" xfId="57574" xr:uid="{00000000-0005-0000-0000-0000689E0000}"/>
    <cellStyle name="Normal 6 2 3 10 2 4" xfId="29002" xr:uid="{00000000-0005-0000-0000-0000699E0000}"/>
    <cellStyle name="Normal 6 2 3 10 2 5" xfId="29003" xr:uid="{00000000-0005-0000-0000-00006A9E0000}"/>
    <cellStyle name="Normal 6 2 3 10 2 6" xfId="29004" xr:uid="{00000000-0005-0000-0000-00006B9E0000}"/>
    <cellStyle name="Normal 6 2 3 10 3" xfId="29005" xr:uid="{00000000-0005-0000-0000-00006C9E0000}"/>
    <cellStyle name="Normal 6 2 3 10 3 2" xfId="57575" xr:uid="{00000000-0005-0000-0000-00006D9E0000}"/>
    <cellStyle name="Normal 6 2 3 10 3 3" xfId="57576" xr:uid="{00000000-0005-0000-0000-00006E9E0000}"/>
    <cellStyle name="Normal 6 2 3 10 4" xfId="29006" xr:uid="{00000000-0005-0000-0000-00006F9E0000}"/>
    <cellStyle name="Normal 6 2 3 10 4 2" xfId="57577" xr:uid="{00000000-0005-0000-0000-0000709E0000}"/>
    <cellStyle name="Normal 6 2 3 10 5" xfId="29007" xr:uid="{00000000-0005-0000-0000-0000719E0000}"/>
    <cellStyle name="Normal 6 2 3 10 6" xfId="29008" xr:uid="{00000000-0005-0000-0000-0000729E0000}"/>
    <cellStyle name="Normal 6 2 3 10 7" xfId="29009" xr:uid="{00000000-0005-0000-0000-0000739E0000}"/>
    <cellStyle name="Normal 6 2 3 11" xfId="29010" xr:uid="{00000000-0005-0000-0000-0000749E0000}"/>
    <cellStyle name="Normal 6 2 3 11 2" xfId="29011" xr:uid="{00000000-0005-0000-0000-0000759E0000}"/>
    <cellStyle name="Normal 6 2 3 11 2 2" xfId="57578" xr:uid="{00000000-0005-0000-0000-0000769E0000}"/>
    <cellStyle name="Normal 6 2 3 11 2 3" xfId="57579" xr:uid="{00000000-0005-0000-0000-0000779E0000}"/>
    <cellStyle name="Normal 6 2 3 11 3" xfId="29012" xr:uid="{00000000-0005-0000-0000-0000789E0000}"/>
    <cellStyle name="Normal 6 2 3 11 3 2" xfId="57580" xr:uid="{00000000-0005-0000-0000-0000799E0000}"/>
    <cellStyle name="Normal 6 2 3 11 4" xfId="29013" xr:uid="{00000000-0005-0000-0000-00007A9E0000}"/>
    <cellStyle name="Normal 6 2 3 11 5" xfId="29014" xr:uid="{00000000-0005-0000-0000-00007B9E0000}"/>
    <cellStyle name="Normal 6 2 3 11 6" xfId="29015" xr:uid="{00000000-0005-0000-0000-00007C9E0000}"/>
    <cellStyle name="Normal 6 2 3 12" xfId="29016" xr:uid="{00000000-0005-0000-0000-00007D9E0000}"/>
    <cellStyle name="Normal 6 2 3 12 2" xfId="57581" xr:uid="{00000000-0005-0000-0000-00007E9E0000}"/>
    <cellStyle name="Normal 6 2 3 12 3" xfId="57582" xr:uid="{00000000-0005-0000-0000-00007F9E0000}"/>
    <cellStyle name="Normal 6 2 3 13" xfId="29017" xr:uid="{00000000-0005-0000-0000-0000809E0000}"/>
    <cellStyle name="Normal 6 2 3 13 2" xfId="57583" xr:uid="{00000000-0005-0000-0000-0000819E0000}"/>
    <cellStyle name="Normal 6 2 3 14" xfId="29018" xr:uid="{00000000-0005-0000-0000-0000829E0000}"/>
    <cellStyle name="Normal 6 2 3 14 2" xfId="57584" xr:uid="{00000000-0005-0000-0000-0000839E0000}"/>
    <cellStyle name="Normal 6 2 3 15" xfId="29019" xr:uid="{00000000-0005-0000-0000-0000849E0000}"/>
    <cellStyle name="Normal 6 2 3 16" xfId="29020" xr:uid="{00000000-0005-0000-0000-0000859E0000}"/>
    <cellStyle name="Normal 6 2 3 17" xfId="29021" xr:uid="{00000000-0005-0000-0000-0000869E0000}"/>
    <cellStyle name="Normal 6 2 3 18" xfId="29022" xr:uid="{00000000-0005-0000-0000-0000879E0000}"/>
    <cellStyle name="Normal 6 2 3 19" xfId="29023" xr:uid="{00000000-0005-0000-0000-0000889E0000}"/>
    <cellStyle name="Normal 6 2 3 2" xfId="29024" xr:uid="{00000000-0005-0000-0000-0000899E0000}"/>
    <cellStyle name="Normal 6 2 3 2 10" xfId="29025" xr:uid="{00000000-0005-0000-0000-00008A9E0000}"/>
    <cellStyle name="Normal 6 2 3 2 11" xfId="29026" xr:uid="{00000000-0005-0000-0000-00008B9E0000}"/>
    <cellStyle name="Normal 6 2 3 2 12" xfId="29027" xr:uid="{00000000-0005-0000-0000-00008C9E0000}"/>
    <cellStyle name="Normal 6 2 3 2 13" xfId="29028" xr:uid="{00000000-0005-0000-0000-00008D9E0000}"/>
    <cellStyle name="Normal 6 2 3 2 14" xfId="29029" xr:uid="{00000000-0005-0000-0000-00008E9E0000}"/>
    <cellStyle name="Normal 6 2 3 2 15" xfId="29030" xr:uid="{00000000-0005-0000-0000-00008F9E0000}"/>
    <cellStyle name="Normal 6 2 3 2 2" xfId="29031" xr:uid="{00000000-0005-0000-0000-0000909E0000}"/>
    <cellStyle name="Normal 6 2 3 2 2 10" xfId="29032" xr:uid="{00000000-0005-0000-0000-0000919E0000}"/>
    <cellStyle name="Normal 6 2 3 2 2 11" xfId="29033" xr:uid="{00000000-0005-0000-0000-0000929E0000}"/>
    <cellStyle name="Normal 6 2 3 2 2 12" xfId="29034" xr:uid="{00000000-0005-0000-0000-0000939E0000}"/>
    <cellStyle name="Normal 6 2 3 2 2 13" xfId="29035" xr:uid="{00000000-0005-0000-0000-0000949E0000}"/>
    <cellStyle name="Normal 6 2 3 2 2 14" xfId="29036" xr:uid="{00000000-0005-0000-0000-0000959E0000}"/>
    <cellStyle name="Normal 6 2 3 2 2 2" xfId="29037" xr:uid="{00000000-0005-0000-0000-0000969E0000}"/>
    <cellStyle name="Normal 6 2 3 2 2 2 2" xfId="29038" xr:uid="{00000000-0005-0000-0000-0000979E0000}"/>
    <cellStyle name="Normal 6 2 3 2 2 2 2 2" xfId="29039" xr:uid="{00000000-0005-0000-0000-0000989E0000}"/>
    <cellStyle name="Normal 6 2 3 2 2 2 2 2 2" xfId="29040" xr:uid="{00000000-0005-0000-0000-0000999E0000}"/>
    <cellStyle name="Normal 6 2 3 2 2 2 2 2 2 2" xfId="57585" xr:uid="{00000000-0005-0000-0000-00009A9E0000}"/>
    <cellStyle name="Normal 6 2 3 2 2 2 2 2 2 3" xfId="57586" xr:uid="{00000000-0005-0000-0000-00009B9E0000}"/>
    <cellStyle name="Normal 6 2 3 2 2 2 2 2 3" xfId="29041" xr:uid="{00000000-0005-0000-0000-00009C9E0000}"/>
    <cellStyle name="Normal 6 2 3 2 2 2 2 2 3 2" xfId="57587" xr:uid="{00000000-0005-0000-0000-00009D9E0000}"/>
    <cellStyle name="Normal 6 2 3 2 2 2 2 2 4" xfId="29042" xr:uid="{00000000-0005-0000-0000-00009E9E0000}"/>
    <cellStyle name="Normal 6 2 3 2 2 2 2 2 5" xfId="29043" xr:uid="{00000000-0005-0000-0000-00009F9E0000}"/>
    <cellStyle name="Normal 6 2 3 2 2 2 2 2 6" xfId="29044" xr:uid="{00000000-0005-0000-0000-0000A09E0000}"/>
    <cellStyle name="Normal 6 2 3 2 2 2 2 3" xfId="29045" xr:uid="{00000000-0005-0000-0000-0000A19E0000}"/>
    <cellStyle name="Normal 6 2 3 2 2 2 2 3 2" xfId="57588" xr:uid="{00000000-0005-0000-0000-0000A29E0000}"/>
    <cellStyle name="Normal 6 2 3 2 2 2 2 3 3" xfId="57589" xr:uid="{00000000-0005-0000-0000-0000A39E0000}"/>
    <cellStyle name="Normal 6 2 3 2 2 2 2 4" xfId="29046" xr:uid="{00000000-0005-0000-0000-0000A49E0000}"/>
    <cellStyle name="Normal 6 2 3 2 2 2 2 4 2" xfId="57590" xr:uid="{00000000-0005-0000-0000-0000A59E0000}"/>
    <cellStyle name="Normal 6 2 3 2 2 2 2 5" xfId="29047" xr:uid="{00000000-0005-0000-0000-0000A69E0000}"/>
    <cellStyle name="Normal 6 2 3 2 2 2 2 6" xfId="29048" xr:uid="{00000000-0005-0000-0000-0000A79E0000}"/>
    <cellStyle name="Normal 6 2 3 2 2 2 2 7" xfId="29049" xr:uid="{00000000-0005-0000-0000-0000A89E0000}"/>
    <cellStyle name="Normal 6 2 3 2 2 2 3" xfId="29050" xr:uid="{00000000-0005-0000-0000-0000A99E0000}"/>
    <cellStyle name="Normal 6 2 3 2 2 2 3 2" xfId="29051" xr:uid="{00000000-0005-0000-0000-0000AA9E0000}"/>
    <cellStyle name="Normal 6 2 3 2 2 2 3 2 2" xfId="57591" xr:uid="{00000000-0005-0000-0000-0000AB9E0000}"/>
    <cellStyle name="Normal 6 2 3 2 2 2 3 2 3" xfId="57592" xr:uid="{00000000-0005-0000-0000-0000AC9E0000}"/>
    <cellStyle name="Normal 6 2 3 2 2 2 3 3" xfId="29052" xr:uid="{00000000-0005-0000-0000-0000AD9E0000}"/>
    <cellStyle name="Normal 6 2 3 2 2 2 3 3 2" xfId="57593" xr:uid="{00000000-0005-0000-0000-0000AE9E0000}"/>
    <cellStyle name="Normal 6 2 3 2 2 2 3 4" xfId="29053" xr:uid="{00000000-0005-0000-0000-0000AF9E0000}"/>
    <cellStyle name="Normal 6 2 3 2 2 2 3 5" xfId="29054" xr:uid="{00000000-0005-0000-0000-0000B09E0000}"/>
    <cellStyle name="Normal 6 2 3 2 2 2 3 6" xfId="29055" xr:uid="{00000000-0005-0000-0000-0000B19E0000}"/>
    <cellStyle name="Normal 6 2 3 2 2 2 4" xfId="29056" xr:uid="{00000000-0005-0000-0000-0000B29E0000}"/>
    <cellStyle name="Normal 6 2 3 2 2 2 4 2" xfId="57594" xr:uid="{00000000-0005-0000-0000-0000B39E0000}"/>
    <cellStyle name="Normal 6 2 3 2 2 2 4 3" xfId="57595" xr:uid="{00000000-0005-0000-0000-0000B49E0000}"/>
    <cellStyle name="Normal 6 2 3 2 2 2 5" xfId="29057" xr:uid="{00000000-0005-0000-0000-0000B59E0000}"/>
    <cellStyle name="Normal 6 2 3 2 2 2 5 2" xfId="57596" xr:uid="{00000000-0005-0000-0000-0000B69E0000}"/>
    <cellStyle name="Normal 6 2 3 2 2 2 6" xfId="29058" xr:uid="{00000000-0005-0000-0000-0000B79E0000}"/>
    <cellStyle name="Normal 6 2 3 2 2 2 7" xfId="29059" xr:uid="{00000000-0005-0000-0000-0000B89E0000}"/>
    <cellStyle name="Normal 6 2 3 2 2 2 8" xfId="29060" xr:uid="{00000000-0005-0000-0000-0000B99E0000}"/>
    <cellStyle name="Normal 6 2 3 2 2 2 9" xfId="29061" xr:uid="{00000000-0005-0000-0000-0000BA9E0000}"/>
    <cellStyle name="Normal 6 2 3 2 2 3" xfId="29062" xr:uid="{00000000-0005-0000-0000-0000BB9E0000}"/>
    <cellStyle name="Normal 6 2 3 2 2 3 2" xfId="29063" xr:uid="{00000000-0005-0000-0000-0000BC9E0000}"/>
    <cellStyle name="Normal 6 2 3 2 2 3 2 2" xfId="29064" xr:uid="{00000000-0005-0000-0000-0000BD9E0000}"/>
    <cellStyle name="Normal 6 2 3 2 2 3 2 2 2" xfId="29065" xr:uid="{00000000-0005-0000-0000-0000BE9E0000}"/>
    <cellStyle name="Normal 6 2 3 2 2 3 2 2 2 2" xfId="57597" xr:uid="{00000000-0005-0000-0000-0000BF9E0000}"/>
    <cellStyle name="Normal 6 2 3 2 2 3 2 2 2 3" xfId="57598" xr:uid="{00000000-0005-0000-0000-0000C09E0000}"/>
    <cellStyle name="Normal 6 2 3 2 2 3 2 2 3" xfId="29066" xr:uid="{00000000-0005-0000-0000-0000C19E0000}"/>
    <cellStyle name="Normal 6 2 3 2 2 3 2 2 3 2" xfId="57599" xr:uid="{00000000-0005-0000-0000-0000C29E0000}"/>
    <cellStyle name="Normal 6 2 3 2 2 3 2 2 4" xfId="29067" xr:uid="{00000000-0005-0000-0000-0000C39E0000}"/>
    <cellStyle name="Normal 6 2 3 2 2 3 2 2 5" xfId="29068" xr:uid="{00000000-0005-0000-0000-0000C49E0000}"/>
    <cellStyle name="Normal 6 2 3 2 2 3 2 2 6" xfId="29069" xr:uid="{00000000-0005-0000-0000-0000C59E0000}"/>
    <cellStyle name="Normal 6 2 3 2 2 3 2 3" xfId="29070" xr:uid="{00000000-0005-0000-0000-0000C69E0000}"/>
    <cellStyle name="Normal 6 2 3 2 2 3 2 3 2" xfId="57600" xr:uid="{00000000-0005-0000-0000-0000C79E0000}"/>
    <cellStyle name="Normal 6 2 3 2 2 3 2 3 3" xfId="57601" xr:uid="{00000000-0005-0000-0000-0000C89E0000}"/>
    <cellStyle name="Normal 6 2 3 2 2 3 2 4" xfId="29071" xr:uid="{00000000-0005-0000-0000-0000C99E0000}"/>
    <cellStyle name="Normal 6 2 3 2 2 3 2 4 2" xfId="57602" xr:uid="{00000000-0005-0000-0000-0000CA9E0000}"/>
    <cellStyle name="Normal 6 2 3 2 2 3 2 5" xfId="29072" xr:uid="{00000000-0005-0000-0000-0000CB9E0000}"/>
    <cellStyle name="Normal 6 2 3 2 2 3 2 6" xfId="29073" xr:uid="{00000000-0005-0000-0000-0000CC9E0000}"/>
    <cellStyle name="Normal 6 2 3 2 2 3 2 7" xfId="29074" xr:uid="{00000000-0005-0000-0000-0000CD9E0000}"/>
    <cellStyle name="Normal 6 2 3 2 2 3 3" xfId="29075" xr:uid="{00000000-0005-0000-0000-0000CE9E0000}"/>
    <cellStyle name="Normal 6 2 3 2 2 3 3 2" xfId="29076" xr:uid="{00000000-0005-0000-0000-0000CF9E0000}"/>
    <cellStyle name="Normal 6 2 3 2 2 3 3 2 2" xfId="57603" xr:uid="{00000000-0005-0000-0000-0000D09E0000}"/>
    <cellStyle name="Normal 6 2 3 2 2 3 3 2 3" xfId="57604" xr:uid="{00000000-0005-0000-0000-0000D19E0000}"/>
    <cellStyle name="Normal 6 2 3 2 2 3 3 3" xfId="29077" xr:uid="{00000000-0005-0000-0000-0000D29E0000}"/>
    <cellStyle name="Normal 6 2 3 2 2 3 3 3 2" xfId="57605" xr:uid="{00000000-0005-0000-0000-0000D39E0000}"/>
    <cellStyle name="Normal 6 2 3 2 2 3 3 4" xfId="29078" xr:uid="{00000000-0005-0000-0000-0000D49E0000}"/>
    <cellStyle name="Normal 6 2 3 2 2 3 3 5" xfId="29079" xr:uid="{00000000-0005-0000-0000-0000D59E0000}"/>
    <cellStyle name="Normal 6 2 3 2 2 3 3 6" xfId="29080" xr:uid="{00000000-0005-0000-0000-0000D69E0000}"/>
    <cellStyle name="Normal 6 2 3 2 2 3 4" xfId="29081" xr:uid="{00000000-0005-0000-0000-0000D79E0000}"/>
    <cellStyle name="Normal 6 2 3 2 2 3 4 2" xfId="57606" xr:uid="{00000000-0005-0000-0000-0000D89E0000}"/>
    <cellStyle name="Normal 6 2 3 2 2 3 4 3" xfId="57607" xr:uid="{00000000-0005-0000-0000-0000D99E0000}"/>
    <cellStyle name="Normal 6 2 3 2 2 3 5" xfId="29082" xr:uid="{00000000-0005-0000-0000-0000DA9E0000}"/>
    <cellStyle name="Normal 6 2 3 2 2 3 5 2" xfId="57608" xr:uid="{00000000-0005-0000-0000-0000DB9E0000}"/>
    <cellStyle name="Normal 6 2 3 2 2 3 6" xfId="29083" xr:uid="{00000000-0005-0000-0000-0000DC9E0000}"/>
    <cellStyle name="Normal 6 2 3 2 2 3 7" xfId="29084" xr:uid="{00000000-0005-0000-0000-0000DD9E0000}"/>
    <cellStyle name="Normal 6 2 3 2 2 3 8" xfId="29085" xr:uid="{00000000-0005-0000-0000-0000DE9E0000}"/>
    <cellStyle name="Normal 6 2 3 2 2 4" xfId="29086" xr:uid="{00000000-0005-0000-0000-0000DF9E0000}"/>
    <cellStyle name="Normal 6 2 3 2 2 4 2" xfId="29087" xr:uid="{00000000-0005-0000-0000-0000E09E0000}"/>
    <cellStyle name="Normal 6 2 3 2 2 4 2 2" xfId="29088" xr:uid="{00000000-0005-0000-0000-0000E19E0000}"/>
    <cellStyle name="Normal 6 2 3 2 2 4 2 2 2" xfId="57609" xr:uid="{00000000-0005-0000-0000-0000E29E0000}"/>
    <cellStyle name="Normal 6 2 3 2 2 4 2 2 3" xfId="57610" xr:uid="{00000000-0005-0000-0000-0000E39E0000}"/>
    <cellStyle name="Normal 6 2 3 2 2 4 2 3" xfId="29089" xr:uid="{00000000-0005-0000-0000-0000E49E0000}"/>
    <cellStyle name="Normal 6 2 3 2 2 4 2 3 2" xfId="57611" xr:uid="{00000000-0005-0000-0000-0000E59E0000}"/>
    <cellStyle name="Normal 6 2 3 2 2 4 2 4" xfId="29090" xr:uid="{00000000-0005-0000-0000-0000E69E0000}"/>
    <cellStyle name="Normal 6 2 3 2 2 4 2 5" xfId="29091" xr:uid="{00000000-0005-0000-0000-0000E79E0000}"/>
    <cellStyle name="Normal 6 2 3 2 2 4 2 6" xfId="29092" xr:uid="{00000000-0005-0000-0000-0000E89E0000}"/>
    <cellStyle name="Normal 6 2 3 2 2 4 3" xfId="29093" xr:uid="{00000000-0005-0000-0000-0000E99E0000}"/>
    <cellStyle name="Normal 6 2 3 2 2 4 3 2" xfId="57612" xr:uid="{00000000-0005-0000-0000-0000EA9E0000}"/>
    <cellStyle name="Normal 6 2 3 2 2 4 3 3" xfId="57613" xr:uid="{00000000-0005-0000-0000-0000EB9E0000}"/>
    <cellStyle name="Normal 6 2 3 2 2 4 4" xfId="29094" xr:uid="{00000000-0005-0000-0000-0000EC9E0000}"/>
    <cellStyle name="Normal 6 2 3 2 2 4 4 2" xfId="57614" xr:uid="{00000000-0005-0000-0000-0000ED9E0000}"/>
    <cellStyle name="Normal 6 2 3 2 2 4 5" xfId="29095" xr:uid="{00000000-0005-0000-0000-0000EE9E0000}"/>
    <cellStyle name="Normal 6 2 3 2 2 4 6" xfId="29096" xr:uid="{00000000-0005-0000-0000-0000EF9E0000}"/>
    <cellStyle name="Normal 6 2 3 2 2 4 7" xfId="29097" xr:uid="{00000000-0005-0000-0000-0000F09E0000}"/>
    <cellStyle name="Normal 6 2 3 2 2 5" xfId="29098" xr:uid="{00000000-0005-0000-0000-0000F19E0000}"/>
    <cellStyle name="Normal 6 2 3 2 2 5 2" xfId="29099" xr:uid="{00000000-0005-0000-0000-0000F29E0000}"/>
    <cellStyle name="Normal 6 2 3 2 2 5 2 2" xfId="57615" xr:uid="{00000000-0005-0000-0000-0000F39E0000}"/>
    <cellStyle name="Normal 6 2 3 2 2 5 2 3" xfId="57616" xr:uid="{00000000-0005-0000-0000-0000F49E0000}"/>
    <cellStyle name="Normal 6 2 3 2 2 5 3" xfId="29100" xr:uid="{00000000-0005-0000-0000-0000F59E0000}"/>
    <cellStyle name="Normal 6 2 3 2 2 5 3 2" xfId="57617" xr:uid="{00000000-0005-0000-0000-0000F69E0000}"/>
    <cellStyle name="Normal 6 2 3 2 2 5 4" xfId="29101" xr:uid="{00000000-0005-0000-0000-0000F79E0000}"/>
    <cellStyle name="Normal 6 2 3 2 2 5 5" xfId="29102" xr:uid="{00000000-0005-0000-0000-0000F89E0000}"/>
    <cellStyle name="Normal 6 2 3 2 2 5 6" xfId="29103" xr:uid="{00000000-0005-0000-0000-0000F99E0000}"/>
    <cellStyle name="Normal 6 2 3 2 2 6" xfId="29104" xr:uid="{00000000-0005-0000-0000-0000FA9E0000}"/>
    <cellStyle name="Normal 6 2 3 2 2 6 2" xfId="57618" xr:uid="{00000000-0005-0000-0000-0000FB9E0000}"/>
    <cellStyle name="Normal 6 2 3 2 2 6 3" xfId="57619" xr:uid="{00000000-0005-0000-0000-0000FC9E0000}"/>
    <cellStyle name="Normal 6 2 3 2 2 7" xfId="29105" xr:uid="{00000000-0005-0000-0000-0000FD9E0000}"/>
    <cellStyle name="Normal 6 2 3 2 2 7 2" xfId="57620" xr:uid="{00000000-0005-0000-0000-0000FE9E0000}"/>
    <cellStyle name="Normal 6 2 3 2 2 8" xfId="29106" xr:uid="{00000000-0005-0000-0000-0000FF9E0000}"/>
    <cellStyle name="Normal 6 2 3 2 2 9" xfId="29107" xr:uid="{00000000-0005-0000-0000-0000009F0000}"/>
    <cellStyle name="Normal 6 2 3 2 3" xfId="29108" xr:uid="{00000000-0005-0000-0000-0000019F0000}"/>
    <cellStyle name="Normal 6 2 3 2 3 2" xfId="29109" xr:uid="{00000000-0005-0000-0000-0000029F0000}"/>
    <cellStyle name="Normal 6 2 3 2 3 2 2" xfId="29110" xr:uid="{00000000-0005-0000-0000-0000039F0000}"/>
    <cellStyle name="Normal 6 2 3 2 3 2 2 2" xfId="29111" xr:uid="{00000000-0005-0000-0000-0000049F0000}"/>
    <cellStyle name="Normal 6 2 3 2 3 2 2 2 2" xfId="57621" xr:uid="{00000000-0005-0000-0000-0000059F0000}"/>
    <cellStyle name="Normal 6 2 3 2 3 2 2 2 3" xfId="57622" xr:uid="{00000000-0005-0000-0000-0000069F0000}"/>
    <cellStyle name="Normal 6 2 3 2 3 2 2 3" xfId="29112" xr:uid="{00000000-0005-0000-0000-0000079F0000}"/>
    <cellStyle name="Normal 6 2 3 2 3 2 2 3 2" xfId="57623" xr:uid="{00000000-0005-0000-0000-0000089F0000}"/>
    <cellStyle name="Normal 6 2 3 2 3 2 2 4" xfId="29113" xr:uid="{00000000-0005-0000-0000-0000099F0000}"/>
    <cellStyle name="Normal 6 2 3 2 3 2 2 5" xfId="29114" xr:uid="{00000000-0005-0000-0000-00000A9F0000}"/>
    <cellStyle name="Normal 6 2 3 2 3 2 2 6" xfId="29115" xr:uid="{00000000-0005-0000-0000-00000B9F0000}"/>
    <cellStyle name="Normal 6 2 3 2 3 2 3" xfId="29116" xr:uid="{00000000-0005-0000-0000-00000C9F0000}"/>
    <cellStyle name="Normal 6 2 3 2 3 2 3 2" xfId="57624" xr:uid="{00000000-0005-0000-0000-00000D9F0000}"/>
    <cellStyle name="Normal 6 2 3 2 3 2 3 3" xfId="57625" xr:uid="{00000000-0005-0000-0000-00000E9F0000}"/>
    <cellStyle name="Normal 6 2 3 2 3 2 4" xfId="29117" xr:uid="{00000000-0005-0000-0000-00000F9F0000}"/>
    <cellStyle name="Normal 6 2 3 2 3 2 4 2" xfId="57626" xr:uid="{00000000-0005-0000-0000-0000109F0000}"/>
    <cellStyle name="Normal 6 2 3 2 3 2 5" xfId="29118" xr:uid="{00000000-0005-0000-0000-0000119F0000}"/>
    <cellStyle name="Normal 6 2 3 2 3 2 6" xfId="29119" xr:uid="{00000000-0005-0000-0000-0000129F0000}"/>
    <cellStyle name="Normal 6 2 3 2 3 2 7" xfId="29120" xr:uid="{00000000-0005-0000-0000-0000139F0000}"/>
    <cellStyle name="Normal 6 2 3 2 3 3" xfId="29121" xr:uid="{00000000-0005-0000-0000-0000149F0000}"/>
    <cellStyle name="Normal 6 2 3 2 3 3 2" xfId="29122" xr:uid="{00000000-0005-0000-0000-0000159F0000}"/>
    <cellStyle name="Normal 6 2 3 2 3 3 2 2" xfId="57627" xr:uid="{00000000-0005-0000-0000-0000169F0000}"/>
    <cellStyle name="Normal 6 2 3 2 3 3 2 3" xfId="57628" xr:uid="{00000000-0005-0000-0000-0000179F0000}"/>
    <cellStyle name="Normal 6 2 3 2 3 3 3" xfId="29123" xr:uid="{00000000-0005-0000-0000-0000189F0000}"/>
    <cellStyle name="Normal 6 2 3 2 3 3 3 2" xfId="57629" xr:uid="{00000000-0005-0000-0000-0000199F0000}"/>
    <cellStyle name="Normal 6 2 3 2 3 3 4" xfId="29124" xr:uid="{00000000-0005-0000-0000-00001A9F0000}"/>
    <cellStyle name="Normal 6 2 3 2 3 3 5" xfId="29125" xr:uid="{00000000-0005-0000-0000-00001B9F0000}"/>
    <cellStyle name="Normal 6 2 3 2 3 3 6" xfId="29126" xr:uid="{00000000-0005-0000-0000-00001C9F0000}"/>
    <cellStyle name="Normal 6 2 3 2 3 4" xfId="29127" xr:uid="{00000000-0005-0000-0000-00001D9F0000}"/>
    <cellStyle name="Normal 6 2 3 2 3 4 2" xfId="57630" xr:uid="{00000000-0005-0000-0000-00001E9F0000}"/>
    <cellStyle name="Normal 6 2 3 2 3 4 3" xfId="57631" xr:uid="{00000000-0005-0000-0000-00001F9F0000}"/>
    <cellStyle name="Normal 6 2 3 2 3 5" xfId="29128" xr:uid="{00000000-0005-0000-0000-0000209F0000}"/>
    <cellStyle name="Normal 6 2 3 2 3 5 2" xfId="57632" xr:uid="{00000000-0005-0000-0000-0000219F0000}"/>
    <cellStyle name="Normal 6 2 3 2 3 6" xfId="29129" xr:uid="{00000000-0005-0000-0000-0000229F0000}"/>
    <cellStyle name="Normal 6 2 3 2 3 7" xfId="29130" xr:uid="{00000000-0005-0000-0000-0000239F0000}"/>
    <cellStyle name="Normal 6 2 3 2 3 8" xfId="29131" xr:uid="{00000000-0005-0000-0000-0000249F0000}"/>
    <cellStyle name="Normal 6 2 3 2 3 9" xfId="29132" xr:uid="{00000000-0005-0000-0000-0000259F0000}"/>
    <cellStyle name="Normal 6 2 3 2 4" xfId="29133" xr:uid="{00000000-0005-0000-0000-0000269F0000}"/>
    <cellStyle name="Normal 6 2 3 2 4 2" xfId="29134" xr:uid="{00000000-0005-0000-0000-0000279F0000}"/>
    <cellStyle name="Normal 6 2 3 2 4 2 2" xfId="29135" xr:uid="{00000000-0005-0000-0000-0000289F0000}"/>
    <cellStyle name="Normal 6 2 3 2 4 2 2 2" xfId="29136" xr:uid="{00000000-0005-0000-0000-0000299F0000}"/>
    <cellStyle name="Normal 6 2 3 2 4 2 2 2 2" xfId="57633" xr:uid="{00000000-0005-0000-0000-00002A9F0000}"/>
    <cellStyle name="Normal 6 2 3 2 4 2 2 2 3" xfId="57634" xr:uid="{00000000-0005-0000-0000-00002B9F0000}"/>
    <cellStyle name="Normal 6 2 3 2 4 2 2 3" xfId="29137" xr:uid="{00000000-0005-0000-0000-00002C9F0000}"/>
    <cellStyle name="Normal 6 2 3 2 4 2 2 3 2" xfId="57635" xr:uid="{00000000-0005-0000-0000-00002D9F0000}"/>
    <cellStyle name="Normal 6 2 3 2 4 2 2 4" xfId="29138" xr:uid="{00000000-0005-0000-0000-00002E9F0000}"/>
    <cellStyle name="Normal 6 2 3 2 4 2 2 5" xfId="29139" xr:uid="{00000000-0005-0000-0000-00002F9F0000}"/>
    <cellStyle name="Normal 6 2 3 2 4 2 2 6" xfId="29140" xr:uid="{00000000-0005-0000-0000-0000309F0000}"/>
    <cellStyle name="Normal 6 2 3 2 4 2 3" xfId="29141" xr:uid="{00000000-0005-0000-0000-0000319F0000}"/>
    <cellStyle name="Normal 6 2 3 2 4 2 3 2" xfId="57636" xr:uid="{00000000-0005-0000-0000-0000329F0000}"/>
    <cellStyle name="Normal 6 2 3 2 4 2 3 3" xfId="57637" xr:uid="{00000000-0005-0000-0000-0000339F0000}"/>
    <cellStyle name="Normal 6 2 3 2 4 2 4" xfId="29142" xr:uid="{00000000-0005-0000-0000-0000349F0000}"/>
    <cellStyle name="Normal 6 2 3 2 4 2 4 2" xfId="57638" xr:uid="{00000000-0005-0000-0000-0000359F0000}"/>
    <cellStyle name="Normal 6 2 3 2 4 2 5" xfId="29143" xr:uid="{00000000-0005-0000-0000-0000369F0000}"/>
    <cellStyle name="Normal 6 2 3 2 4 2 6" xfId="29144" xr:uid="{00000000-0005-0000-0000-0000379F0000}"/>
    <cellStyle name="Normal 6 2 3 2 4 2 7" xfId="29145" xr:uid="{00000000-0005-0000-0000-0000389F0000}"/>
    <cellStyle name="Normal 6 2 3 2 4 3" xfId="29146" xr:uid="{00000000-0005-0000-0000-0000399F0000}"/>
    <cellStyle name="Normal 6 2 3 2 4 3 2" xfId="29147" xr:uid="{00000000-0005-0000-0000-00003A9F0000}"/>
    <cellStyle name="Normal 6 2 3 2 4 3 2 2" xfId="57639" xr:uid="{00000000-0005-0000-0000-00003B9F0000}"/>
    <cellStyle name="Normal 6 2 3 2 4 3 2 3" xfId="57640" xr:uid="{00000000-0005-0000-0000-00003C9F0000}"/>
    <cellStyle name="Normal 6 2 3 2 4 3 3" xfId="29148" xr:uid="{00000000-0005-0000-0000-00003D9F0000}"/>
    <cellStyle name="Normal 6 2 3 2 4 3 3 2" xfId="57641" xr:uid="{00000000-0005-0000-0000-00003E9F0000}"/>
    <cellStyle name="Normal 6 2 3 2 4 3 4" xfId="29149" xr:uid="{00000000-0005-0000-0000-00003F9F0000}"/>
    <cellStyle name="Normal 6 2 3 2 4 3 5" xfId="29150" xr:uid="{00000000-0005-0000-0000-0000409F0000}"/>
    <cellStyle name="Normal 6 2 3 2 4 3 6" xfId="29151" xr:uid="{00000000-0005-0000-0000-0000419F0000}"/>
    <cellStyle name="Normal 6 2 3 2 4 4" xfId="29152" xr:uid="{00000000-0005-0000-0000-0000429F0000}"/>
    <cellStyle name="Normal 6 2 3 2 4 4 2" xfId="57642" xr:uid="{00000000-0005-0000-0000-0000439F0000}"/>
    <cellStyle name="Normal 6 2 3 2 4 4 3" xfId="57643" xr:uid="{00000000-0005-0000-0000-0000449F0000}"/>
    <cellStyle name="Normal 6 2 3 2 4 5" xfId="29153" xr:uid="{00000000-0005-0000-0000-0000459F0000}"/>
    <cellStyle name="Normal 6 2 3 2 4 5 2" xfId="57644" xr:uid="{00000000-0005-0000-0000-0000469F0000}"/>
    <cellStyle name="Normal 6 2 3 2 4 6" xfId="29154" xr:uid="{00000000-0005-0000-0000-0000479F0000}"/>
    <cellStyle name="Normal 6 2 3 2 4 7" xfId="29155" xr:uid="{00000000-0005-0000-0000-0000489F0000}"/>
    <cellStyle name="Normal 6 2 3 2 4 8" xfId="29156" xr:uid="{00000000-0005-0000-0000-0000499F0000}"/>
    <cellStyle name="Normal 6 2 3 2 5" xfId="29157" xr:uid="{00000000-0005-0000-0000-00004A9F0000}"/>
    <cellStyle name="Normal 6 2 3 2 5 2" xfId="29158" xr:uid="{00000000-0005-0000-0000-00004B9F0000}"/>
    <cellStyle name="Normal 6 2 3 2 5 2 2" xfId="29159" xr:uid="{00000000-0005-0000-0000-00004C9F0000}"/>
    <cellStyle name="Normal 6 2 3 2 5 2 2 2" xfId="57645" xr:uid="{00000000-0005-0000-0000-00004D9F0000}"/>
    <cellStyle name="Normal 6 2 3 2 5 2 2 3" xfId="57646" xr:uid="{00000000-0005-0000-0000-00004E9F0000}"/>
    <cellStyle name="Normal 6 2 3 2 5 2 3" xfId="29160" xr:uid="{00000000-0005-0000-0000-00004F9F0000}"/>
    <cellStyle name="Normal 6 2 3 2 5 2 3 2" xfId="57647" xr:uid="{00000000-0005-0000-0000-0000509F0000}"/>
    <cellStyle name="Normal 6 2 3 2 5 2 4" xfId="29161" xr:uid="{00000000-0005-0000-0000-0000519F0000}"/>
    <cellStyle name="Normal 6 2 3 2 5 2 5" xfId="29162" xr:uid="{00000000-0005-0000-0000-0000529F0000}"/>
    <cellStyle name="Normal 6 2 3 2 5 2 6" xfId="29163" xr:uid="{00000000-0005-0000-0000-0000539F0000}"/>
    <cellStyle name="Normal 6 2 3 2 5 3" xfId="29164" xr:uid="{00000000-0005-0000-0000-0000549F0000}"/>
    <cellStyle name="Normal 6 2 3 2 5 3 2" xfId="57648" xr:uid="{00000000-0005-0000-0000-0000559F0000}"/>
    <cellStyle name="Normal 6 2 3 2 5 3 3" xfId="57649" xr:uid="{00000000-0005-0000-0000-0000569F0000}"/>
    <cellStyle name="Normal 6 2 3 2 5 4" xfId="29165" xr:uid="{00000000-0005-0000-0000-0000579F0000}"/>
    <cellStyle name="Normal 6 2 3 2 5 4 2" xfId="57650" xr:uid="{00000000-0005-0000-0000-0000589F0000}"/>
    <cellStyle name="Normal 6 2 3 2 5 5" xfId="29166" xr:uid="{00000000-0005-0000-0000-0000599F0000}"/>
    <cellStyle name="Normal 6 2 3 2 5 6" xfId="29167" xr:uid="{00000000-0005-0000-0000-00005A9F0000}"/>
    <cellStyle name="Normal 6 2 3 2 5 7" xfId="29168" xr:uid="{00000000-0005-0000-0000-00005B9F0000}"/>
    <cellStyle name="Normal 6 2 3 2 6" xfId="29169" xr:uid="{00000000-0005-0000-0000-00005C9F0000}"/>
    <cellStyle name="Normal 6 2 3 2 6 2" xfId="29170" xr:uid="{00000000-0005-0000-0000-00005D9F0000}"/>
    <cellStyle name="Normal 6 2 3 2 6 2 2" xfId="57651" xr:uid="{00000000-0005-0000-0000-00005E9F0000}"/>
    <cellStyle name="Normal 6 2 3 2 6 2 3" xfId="57652" xr:uid="{00000000-0005-0000-0000-00005F9F0000}"/>
    <cellStyle name="Normal 6 2 3 2 6 3" xfId="29171" xr:uid="{00000000-0005-0000-0000-0000609F0000}"/>
    <cellStyle name="Normal 6 2 3 2 6 3 2" xfId="57653" xr:uid="{00000000-0005-0000-0000-0000619F0000}"/>
    <cellStyle name="Normal 6 2 3 2 6 4" xfId="29172" xr:uid="{00000000-0005-0000-0000-0000629F0000}"/>
    <cellStyle name="Normal 6 2 3 2 6 5" xfId="29173" xr:uid="{00000000-0005-0000-0000-0000639F0000}"/>
    <cellStyle name="Normal 6 2 3 2 6 6" xfId="29174" xr:uid="{00000000-0005-0000-0000-0000649F0000}"/>
    <cellStyle name="Normal 6 2 3 2 7" xfId="29175" xr:uid="{00000000-0005-0000-0000-0000659F0000}"/>
    <cellStyle name="Normal 6 2 3 2 7 2" xfId="57654" xr:uid="{00000000-0005-0000-0000-0000669F0000}"/>
    <cellStyle name="Normal 6 2 3 2 7 3" xfId="57655" xr:uid="{00000000-0005-0000-0000-0000679F0000}"/>
    <cellStyle name="Normal 6 2 3 2 8" xfId="29176" xr:uid="{00000000-0005-0000-0000-0000689F0000}"/>
    <cellStyle name="Normal 6 2 3 2 8 2" xfId="57656" xr:uid="{00000000-0005-0000-0000-0000699F0000}"/>
    <cellStyle name="Normal 6 2 3 2 9" xfId="29177" xr:uid="{00000000-0005-0000-0000-00006A9F0000}"/>
    <cellStyle name="Normal 6 2 3 2 9 2" xfId="57657" xr:uid="{00000000-0005-0000-0000-00006B9F0000}"/>
    <cellStyle name="Normal 6 2 3 20" xfId="29178" xr:uid="{00000000-0005-0000-0000-00006C9F0000}"/>
    <cellStyle name="Normal 6 2 3 3" xfId="29179" xr:uid="{00000000-0005-0000-0000-00006D9F0000}"/>
    <cellStyle name="Normal 6 2 3 3 10" xfId="29180" xr:uid="{00000000-0005-0000-0000-00006E9F0000}"/>
    <cellStyle name="Normal 6 2 3 3 11" xfId="29181" xr:uid="{00000000-0005-0000-0000-00006F9F0000}"/>
    <cellStyle name="Normal 6 2 3 3 12" xfId="29182" xr:uid="{00000000-0005-0000-0000-0000709F0000}"/>
    <cellStyle name="Normal 6 2 3 3 13" xfId="29183" xr:uid="{00000000-0005-0000-0000-0000719F0000}"/>
    <cellStyle name="Normal 6 2 3 3 14" xfId="29184" xr:uid="{00000000-0005-0000-0000-0000729F0000}"/>
    <cellStyle name="Normal 6 2 3 3 15" xfId="29185" xr:uid="{00000000-0005-0000-0000-0000739F0000}"/>
    <cellStyle name="Normal 6 2 3 3 2" xfId="29186" xr:uid="{00000000-0005-0000-0000-0000749F0000}"/>
    <cellStyle name="Normal 6 2 3 3 2 10" xfId="29187" xr:uid="{00000000-0005-0000-0000-0000759F0000}"/>
    <cellStyle name="Normal 6 2 3 3 2 11" xfId="29188" xr:uid="{00000000-0005-0000-0000-0000769F0000}"/>
    <cellStyle name="Normal 6 2 3 3 2 12" xfId="29189" xr:uid="{00000000-0005-0000-0000-0000779F0000}"/>
    <cellStyle name="Normal 6 2 3 3 2 13" xfId="29190" xr:uid="{00000000-0005-0000-0000-0000789F0000}"/>
    <cellStyle name="Normal 6 2 3 3 2 14" xfId="29191" xr:uid="{00000000-0005-0000-0000-0000799F0000}"/>
    <cellStyle name="Normal 6 2 3 3 2 2" xfId="29192" xr:uid="{00000000-0005-0000-0000-00007A9F0000}"/>
    <cellStyle name="Normal 6 2 3 3 2 2 2" xfId="29193" xr:uid="{00000000-0005-0000-0000-00007B9F0000}"/>
    <cellStyle name="Normal 6 2 3 3 2 2 2 2" xfId="29194" xr:uid="{00000000-0005-0000-0000-00007C9F0000}"/>
    <cellStyle name="Normal 6 2 3 3 2 2 2 2 2" xfId="29195" xr:uid="{00000000-0005-0000-0000-00007D9F0000}"/>
    <cellStyle name="Normal 6 2 3 3 2 2 2 2 2 2" xfId="57658" xr:uid="{00000000-0005-0000-0000-00007E9F0000}"/>
    <cellStyle name="Normal 6 2 3 3 2 2 2 2 2 3" xfId="57659" xr:uid="{00000000-0005-0000-0000-00007F9F0000}"/>
    <cellStyle name="Normal 6 2 3 3 2 2 2 2 3" xfId="29196" xr:uid="{00000000-0005-0000-0000-0000809F0000}"/>
    <cellStyle name="Normal 6 2 3 3 2 2 2 2 3 2" xfId="57660" xr:uid="{00000000-0005-0000-0000-0000819F0000}"/>
    <cellStyle name="Normal 6 2 3 3 2 2 2 2 4" xfId="29197" xr:uid="{00000000-0005-0000-0000-0000829F0000}"/>
    <cellStyle name="Normal 6 2 3 3 2 2 2 2 5" xfId="29198" xr:uid="{00000000-0005-0000-0000-0000839F0000}"/>
    <cellStyle name="Normal 6 2 3 3 2 2 2 2 6" xfId="29199" xr:uid="{00000000-0005-0000-0000-0000849F0000}"/>
    <cellStyle name="Normal 6 2 3 3 2 2 2 3" xfId="29200" xr:uid="{00000000-0005-0000-0000-0000859F0000}"/>
    <cellStyle name="Normal 6 2 3 3 2 2 2 3 2" xfId="57661" xr:uid="{00000000-0005-0000-0000-0000869F0000}"/>
    <cellStyle name="Normal 6 2 3 3 2 2 2 3 3" xfId="57662" xr:uid="{00000000-0005-0000-0000-0000879F0000}"/>
    <cellStyle name="Normal 6 2 3 3 2 2 2 4" xfId="29201" xr:uid="{00000000-0005-0000-0000-0000889F0000}"/>
    <cellStyle name="Normal 6 2 3 3 2 2 2 4 2" xfId="57663" xr:uid="{00000000-0005-0000-0000-0000899F0000}"/>
    <cellStyle name="Normal 6 2 3 3 2 2 2 5" xfId="29202" xr:uid="{00000000-0005-0000-0000-00008A9F0000}"/>
    <cellStyle name="Normal 6 2 3 3 2 2 2 6" xfId="29203" xr:uid="{00000000-0005-0000-0000-00008B9F0000}"/>
    <cellStyle name="Normal 6 2 3 3 2 2 2 7" xfId="29204" xr:uid="{00000000-0005-0000-0000-00008C9F0000}"/>
    <cellStyle name="Normal 6 2 3 3 2 2 3" xfId="29205" xr:uid="{00000000-0005-0000-0000-00008D9F0000}"/>
    <cellStyle name="Normal 6 2 3 3 2 2 3 2" xfId="29206" xr:uid="{00000000-0005-0000-0000-00008E9F0000}"/>
    <cellStyle name="Normal 6 2 3 3 2 2 3 2 2" xfId="57664" xr:uid="{00000000-0005-0000-0000-00008F9F0000}"/>
    <cellStyle name="Normal 6 2 3 3 2 2 3 2 3" xfId="57665" xr:uid="{00000000-0005-0000-0000-0000909F0000}"/>
    <cellStyle name="Normal 6 2 3 3 2 2 3 3" xfId="29207" xr:uid="{00000000-0005-0000-0000-0000919F0000}"/>
    <cellStyle name="Normal 6 2 3 3 2 2 3 3 2" xfId="57666" xr:uid="{00000000-0005-0000-0000-0000929F0000}"/>
    <cellStyle name="Normal 6 2 3 3 2 2 3 4" xfId="29208" xr:uid="{00000000-0005-0000-0000-0000939F0000}"/>
    <cellStyle name="Normal 6 2 3 3 2 2 3 5" xfId="29209" xr:uid="{00000000-0005-0000-0000-0000949F0000}"/>
    <cellStyle name="Normal 6 2 3 3 2 2 3 6" xfId="29210" xr:uid="{00000000-0005-0000-0000-0000959F0000}"/>
    <cellStyle name="Normal 6 2 3 3 2 2 4" xfId="29211" xr:uid="{00000000-0005-0000-0000-0000969F0000}"/>
    <cellStyle name="Normal 6 2 3 3 2 2 4 2" xfId="57667" xr:uid="{00000000-0005-0000-0000-0000979F0000}"/>
    <cellStyle name="Normal 6 2 3 3 2 2 4 3" xfId="57668" xr:uid="{00000000-0005-0000-0000-0000989F0000}"/>
    <cellStyle name="Normal 6 2 3 3 2 2 5" xfId="29212" xr:uid="{00000000-0005-0000-0000-0000999F0000}"/>
    <cellStyle name="Normal 6 2 3 3 2 2 5 2" xfId="57669" xr:uid="{00000000-0005-0000-0000-00009A9F0000}"/>
    <cellStyle name="Normal 6 2 3 3 2 2 6" xfId="29213" xr:uid="{00000000-0005-0000-0000-00009B9F0000}"/>
    <cellStyle name="Normal 6 2 3 3 2 2 7" xfId="29214" xr:uid="{00000000-0005-0000-0000-00009C9F0000}"/>
    <cellStyle name="Normal 6 2 3 3 2 2 8" xfId="29215" xr:uid="{00000000-0005-0000-0000-00009D9F0000}"/>
    <cellStyle name="Normal 6 2 3 3 2 2 9" xfId="29216" xr:uid="{00000000-0005-0000-0000-00009E9F0000}"/>
    <cellStyle name="Normal 6 2 3 3 2 3" xfId="29217" xr:uid="{00000000-0005-0000-0000-00009F9F0000}"/>
    <cellStyle name="Normal 6 2 3 3 2 3 2" xfId="29218" xr:uid="{00000000-0005-0000-0000-0000A09F0000}"/>
    <cellStyle name="Normal 6 2 3 3 2 3 2 2" xfId="29219" xr:uid="{00000000-0005-0000-0000-0000A19F0000}"/>
    <cellStyle name="Normal 6 2 3 3 2 3 2 2 2" xfId="29220" xr:uid="{00000000-0005-0000-0000-0000A29F0000}"/>
    <cellStyle name="Normal 6 2 3 3 2 3 2 2 2 2" xfId="57670" xr:uid="{00000000-0005-0000-0000-0000A39F0000}"/>
    <cellStyle name="Normal 6 2 3 3 2 3 2 2 2 3" xfId="57671" xr:uid="{00000000-0005-0000-0000-0000A49F0000}"/>
    <cellStyle name="Normal 6 2 3 3 2 3 2 2 3" xfId="29221" xr:uid="{00000000-0005-0000-0000-0000A59F0000}"/>
    <cellStyle name="Normal 6 2 3 3 2 3 2 2 3 2" xfId="57672" xr:uid="{00000000-0005-0000-0000-0000A69F0000}"/>
    <cellStyle name="Normal 6 2 3 3 2 3 2 2 4" xfId="29222" xr:uid="{00000000-0005-0000-0000-0000A79F0000}"/>
    <cellStyle name="Normal 6 2 3 3 2 3 2 2 5" xfId="29223" xr:uid="{00000000-0005-0000-0000-0000A89F0000}"/>
    <cellStyle name="Normal 6 2 3 3 2 3 2 2 6" xfId="29224" xr:uid="{00000000-0005-0000-0000-0000A99F0000}"/>
    <cellStyle name="Normal 6 2 3 3 2 3 2 3" xfId="29225" xr:uid="{00000000-0005-0000-0000-0000AA9F0000}"/>
    <cellStyle name="Normal 6 2 3 3 2 3 2 3 2" xfId="57673" xr:uid="{00000000-0005-0000-0000-0000AB9F0000}"/>
    <cellStyle name="Normal 6 2 3 3 2 3 2 3 3" xfId="57674" xr:uid="{00000000-0005-0000-0000-0000AC9F0000}"/>
    <cellStyle name="Normal 6 2 3 3 2 3 2 4" xfId="29226" xr:uid="{00000000-0005-0000-0000-0000AD9F0000}"/>
    <cellStyle name="Normal 6 2 3 3 2 3 2 4 2" xfId="57675" xr:uid="{00000000-0005-0000-0000-0000AE9F0000}"/>
    <cellStyle name="Normal 6 2 3 3 2 3 2 5" xfId="29227" xr:uid="{00000000-0005-0000-0000-0000AF9F0000}"/>
    <cellStyle name="Normal 6 2 3 3 2 3 2 6" xfId="29228" xr:uid="{00000000-0005-0000-0000-0000B09F0000}"/>
    <cellStyle name="Normal 6 2 3 3 2 3 2 7" xfId="29229" xr:uid="{00000000-0005-0000-0000-0000B19F0000}"/>
    <cellStyle name="Normal 6 2 3 3 2 3 3" xfId="29230" xr:uid="{00000000-0005-0000-0000-0000B29F0000}"/>
    <cellStyle name="Normal 6 2 3 3 2 3 3 2" xfId="29231" xr:uid="{00000000-0005-0000-0000-0000B39F0000}"/>
    <cellStyle name="Normal 6 2 3 3 2 3 3 2 2" xfId="57676" xr:uid="{00000000-0005-0000-0000-0000B49F0000}"/>
    <cellStyle name="Normal 6 2 3 3 2 3 3 2 3" xfId="57677" xr:uid="{00000000-0005-0000-0000-0000B59F0000}"/>
    <cellStyle name="Normal 6 2 3 3 2 3 3 3" xfId="29232" xr:uid="{00000000-0005-0000-0000-0000B69F0000}"/>
    <cellStyle name="Normal 6 2 3 3 2 3 3 3 2" xfId="57678" xr:uid="{00000000-0005-0000-0000-0000B79F0000}"/>
    <cellStyle name="Normal 6 2 3 3 2 3 3 4" xfId="29233" xr:uid="{00000000-0005-0000-0000-0000B89F0000}"/>
    <cellStyle name="Normal 6 2 3 3 2 3 3 5" xfId="29234" xr:uid="{00000000-0005-0000-0000-0000B99F0000}"/>
    <cellStyle name="Normal 6 2 3 3 2 3 3 6" xfId="29235" xr:uid="{00000000-0005-0000-0000-0000BA9F0000}"/>
    <cellStyle name="Normal 6 2 3 3 2 3 4" xfId="29236" xr:uid="{00000000-0005-0000-0000-0000BB9F0000}"/>
    <cellStyle name="Normal 6 2 3 3 2 3 4 2" xfId="57679" xr:uid="{00000000-0005-0000-0000-0000BC9F0000}"/>
    <cellStyle name="Normal 6 2 3 3 2 3 4 3" xfId="57680" xr:uid="{00000000-0005-0000-0000-0000BD9F0000}"/>
    <cellStyle name="Normal 6 2 3 3 2 3 5" xfId="29237" xr:uid="{00000000-0005-0000-0000-0000BE9F0000}"/>
    <cellStyle name="Normal 6 2 3 3 2 3 5 2" xfId="57681" xr:uid="{00000000-0005-0000-0000-0000BF9F0000}"/>
    <cellStyle name="Normal 6 2 3 3 2 3 6" xfId="29238" xr:uid="{00000000-0005-0000-0000-0000C09F0000}"/>
    <cellStyle name="Normal 6 2 3 3 2 3 7" xfId="29239" xr:uid="{00000000-0005-0000-0000-0000C19F0000}"/>
    <cellStyle name="Normal 6 2 3 3 2 3 8" xfId="29240" xr:uid="{00000000-0005-0000-0000-0000C29F0000}"/>
    <cellStyle name="Normal 6 2 3 3 2 4" xfId="29241" xr:uid="{00000000-0005-0000-0000-0000C39F0000}"/>
    <cellStyle name="Normal 6 2 3 3 2 4 2" xfId="29242" xr:uid="{00000000-0005-0000-0000-0000C49F0000}"/>
    <cellStyle name="Normal 6 2 3 3 2 4 2 2" xfId="29243" xr:uid="{00000000-0005-0000-0000-0000C59F0000}"/>
    <cellStyle name="Normal 6 2 3 3 2 4 2 2 2" xfId="57682" xr:uid="{00000000-0005-0000-0000-0000C69F0000}"/>
    <cellStyle name="Normal 6 2 3 3 2 4 2 2 3" xfId="57683" xr:uid="{00000000-0005-0000-0000-0000C79F0000}"/>
    <cellStyle name="Normal 6 2 3 3 2 4 2 3" xfId="29244" xr:uid="{00000000-0005-0000-0000-0000C89F0000}"/>
    <cellStyle name="Normal 6 2 3 3 2 4 2 3 2" xfId="57684" xr:uid="{00000000-0005-0000-0000-0000C99F0000}"/>
    <cellStyle name="Normal 6 2 3 3 2 4 2 4" xfId="29245" xr:uid="{00000000-0005-0000-0000-0000CA9F0000}"/>
    <cellStyle name="Normal 6 2 3 3 2 4 2 5" xfId="29246" xr:uid="{00000000-0005-0000-0000-0000CB9F0000}"/>
    <cellStyle name="Normal 6 2 3 3 2 4 2 6" xfId="29247" xr:uid="{00000000-0005-0000-0000-0000CC9F0000}"/>
    <cellStyle name="Normal 6 2 3 3 2 4 3" xfId="29248" xr:uid="{00000000-0005-0000-0000-0000CD9F0000}"/>
    <cellStyle name="Normal 6 2 3 3 2 4 3 2" xfId="57685" xr:uid="{00000000-0005-0000-0000-0000CE9F0000}"/>
    <cellStyle name="Normal 6 2 3 3 2 4 3 3" xfId="57686" xr:uid="{00000000-0005-0000-0000-0000CF9F0000}"/>
    <cellStyle name="Normal 6 2 3 3 2 4 4" xfId="29249" xr:uid="{00000000-0005-0000-0000-0000D09F0000}"/>
    <cellStyle name="Normal 6 2 3 3 2 4 4 2" xfId="57687" xr:uid="{00000000-0005-0000-0000-0000D19F0000}"/>
    <cellStyle name="Normal 6 2 3 3 2 4 5" xfId="29250" xr:uid="{00000000-0005-0000-0000-0000D29F0000}"/>
    <cellStyle name="Normal 6 2 3 3 2 4 6" xfId="29251" xr:uid="{00000000-0005-0000-0000-0000D39F0000}"/>
    <cellStyle name="Normal 6 2 3 3 2 4 7" xfId="29252" xr:uid="{00000000-0005-0000-0000-0000D49F0000}"/>
    <cellStyle name="Normal 6 2 3 3 2 5" xfId="29253" xr:uid="{00000000-0005-0000-0000-0000D59F0000}"/>
    <cellStyle name="Normal 6 2 3 3 2 5 2" xfId="29254" xr:uid="{00000000-0005-0000-0000-0000D69F0000}"/>
    <cellStyle name="Normal 6 2 3 3 2 5 2 2" xfId="57688" xr:uid="{00000000-0005-0000-0000-0000D79F0000}"/>
    <cellStyle name="Normal 6 2 3 3 2 5 2 3" xfId="57689" xr:uid="{00000000-0005-0000-0000-0000D89F0000}"/>
    <cellStyle name="Normal 6 2 3 3 2 5 3" xfId="29255" xr:uid="{00000000-0005-0000-0000-0000D99F0000}"/>
    <cellStyle name="Normal 6 2 3 3 2 5 3 2" xfId="57690" xr:uid="{00000000-0005-0000-0000-0000DA9F0000}"/>
    <cellStyle name="Normal 6 2 3 3 2 5 4" xfId="29256" xr:uid="{00000000-0005-0000-0000-0000DB9F0000}"/>
    <cellStyle name="Normal 6 2 3 3 2 5 5" xfId="29257" xr:uid="{00000000-0005-0000-0000-0000DC9F0000}"/>
    <cellStyle name="Normal 6 2 3 3 2 5 6" xfId="29258" xr:uid="{00000000-0005-0000-0000-0000DD9F0000}"/>
    <cellStyle name="Normal 6 2 3 3 2 6" xfId="29259" xr:uid="{00000000-0005-0000-0000-0000DE9F0000}"/>
    <cellStyle name="Normal 6 2 3 3 2 6 2" xfId="57691" xr:uid="{00000000-0005-0000-0000-0000DF9F0000}"/>
    <cellStyle name="Normal 6 2 3 3 2 6 3" xfId="57692" xr:uid="{00000000-0005-0000-0000-0000E09F0000}"/>
    <cellStyle name="Normal 6 2 3 3 2 7" xfId="29260" xr:uid="{00000000-0005-0000-0000-0000E19F0000}"/>
    <cellStyle name="Normal 6 2 3 3 2 7 2" xfId="57693" xr:uid="{00000000-0005-0000-0000-0000E29F0000}"/>
    <cellStyle name="Normal 6 2 3 3 2 8" xfId="29261" xr:uid="{00000000-0005-0000-0000-0000E39F0000}"/>
    <cellStyle name="Normal 6 2 3 3 2 9" xfId="29262" xr:uid="{00000000-0005-0000-0000-0000E49F0000}"/>
    <cellStyle name="Normal 6 2 3 3 3" xfId="29263" xr:uid="{00000000-0005-0000-0000-0000E59F0000}"/>
    <cellStyle name="Normal 6 2 3 3 3 2" xfId="29264" xr:uid="{00000000-0005-0000-0000-0000E69F0000}"/>
    <cellStyle name="Normal 6 2 3 3 3 2 2" xfId="29265" xr:uid="{00000000-0005-0000-0000-0000E79F0000}"/>
    <cellStyle name="Normal 6 2 3 3 3 2 2 2" xfId="29266" xr:uid="{00000000-0005-0000-0000-0000E89F0000}"/>
    <cellStyle name="Normal 6 2 3 3 3 2 2 2 2" xfId="57694" xr:uid="{00000000-0005-0000-0000-0000E99F0000}"/>
    <cellStyle name="Normal 6 2 3 3 3 2 2 2 3" xfId="57695" xr:uid="{00000000-0005-0000-0000-0000EA9F0000}"/>
    <cellStyle name="Normal 6 2 3 3 3 2 2 3" xfId="29267" xr:uid="{00000000-0005-0000-0000-0000EB9F0000}"/>
    <cellStyle name="Normal 6 2 3 3 3 2 2 3 2" xfId="57696" xr:uid="{00000000-0005-0000-0000-0000EC9F0000}"/>
    <cellStyle name="Normal 6 2 3 3 3 2 2 4" xfId="29268" xr:uid="{00000000-0005-0000-0000-0000ED9F0000}"/>
    <cellStyle name="Normal 6 2 3 3 3 2 2 5" xfId="29269" xr:uid="{00000000-0005-0000-0000-0000EE9F0000}"/>
    <cellStyle name="Normal 6 2 3 3 3 2 2 6" xfId="29270" xr:uid="{00000000-0005-0000-0000-0000EF9F0000}"/>
    <cellStyle name="Normal 6 2 3 3 3 2 3" xfId="29271" xr:uid="{00000000-0005-0000-0000-0000F09F0000}"/>
    <cellStyle name="Normal 6 2 3 3 3 2 3 2" xfId="57697" xr:uid="{00000000-0005-0000-0000-0000F19F0000}"/>
    <cellStyle name="Normal 6 2 3 3 3 2 3 3" xfId="57698" xr:uid="{00000000-0005-0000-0000-0000F29F0000}"/>
    <cellStyle name="Normal 6 2 3 3 3 2 4" xfId="29272" xr:uid="{00000000-0005-0000-0000-0000F39F0000}"/>
    <cellStyle name="Normal 6 2 3 3 3 2 4 2" xfId="57699" xr:uid="{00000000-0005-0000-0000-0000F49F0000}"/>
    <cellStyle name="Normal 6 2 3 3 3 2 5" xfId="29273" xr:uid="{00000000-0005-0000-0000-0000F59F0000}"/>
    <cellStyle name="Normal 6 2 3 3 3 2 6" xfId="29274" xr:uid="{00000000-0005-0000-0000-0000F69F0000}"/>
    <cellStyle name="Normal 6 2 3 3 3 2 7" xfId="29275" xr:uid="{00000000-0005-0000-0000-0000F79F0000}"/>
    <cellStyle name="Normal 6 2 3 3 3 3" xfId="29276" xr:uid="{00000000-0005-0000-0000-0000F89F0000}"/>
    <cellStyle name="Normal 6 2 3 3 3 3 2" xfId="29277" xr:uid="{00000000-0005-0000-0000-0000F99F0000}"/>
    <cellStyle name="Normal 6 2 3 3 3 3 2 2" xfId="57700" xr:uid="{00000000-0005-0000-0000-0000FA9F0000}"/>
    <cellStyle name="Normal 6 2 3 3 3 3 2 3" xfId="57701" xr:uid="{00000000-0005-0000-0000-0000FB9F0000}"/>
    <cellStyle name="Normal 6 2 3 3 3 3 3" xfId="29278" xr:uid="{00000000-0005-0000-0000-0000FC9F0000}"/>
    <cellStyle name="Normal 6 2 3 3 3 3 3 2" xfId="57702" xr:uid="{00000000-0005-0000-0000-0000FD9F0000}"/>
    <cellStyle name="Normal 6 2 3 3 3 3 4" xfId="29279" xr:uid="{00000000-0005-0000-0000-0000FE9F0000}"/>
    <cellStyle name="Normal 6 2 3 3 3 3 5" xfId="29280" xr:uid="{00000000-0005-0000-0000-0000FF9F0000}"/>
    <cellStyle name="Normal 6 2 3 3 3 3 6" xfId="29281" xr:uid="{00000000-0005-0000-0000-000000A00000}"/>
    <cellStyle name="Normal 6 2 3 3 3 4" xfId="29282" xr:uid="{00000000-0005-0000-0000-000001A00000}"/>
    <cellStyle name="Normal 6 2 3 3 3 4 2" xfId="57703" xr:uid="{00000000-0005-0000-0000-000002A00000}"/>
    <cellStyle name="Normal 6 2 3 3 3 4 3" xfId="57704" xr:uid="{00000000-0005-0000-0000-000003A00000}"/>
    <cellStyle name="Normal 6 2 3 3 3 5" xfId="29283" xr:uid="{00000000-0005-0000-0000-000004A00000}"/>
    <cellStyle name="Normal 6 2 3 3 3 5 2" xfId="57705" xr:uid="{00000000-0005-0000-0000-000005A00000}"/>
    <cellStyle name="Normal 6 2 3 3 3 6" xfId="29284" xr:uid="{00000000-0005-0000-0000-000006A00000}"/>
    <cellStyle name="Normal 6 2 3 3 3 7" xfId="29285" xr:uid="{00000000-0005-0000-0000-000007A00000}"/>
    <cellStyle name="Normal 6 2 3 3 3 8" xfId="29286" xr:uid="{00000000-0005-0000-0000-000008A00000}"/>
    <cellStyle name="Normal 6 2 3 3 3 9" xfId="29287" xr:uid="{00000000-0005-0000-0000-000009A00000}"/>
    <cellStyle name="Normal 6 2 3 3 4" xfId="29288" xr:uid="{00000000-0005-0000-0000-00000AA00000}"/>
    <cellStyle name="Normal 6 2 3 3 4 2" xfId="29289" xr:uid="{00000000-0005-0000-0000-00000BA00000}"/>
    <cellStyle name="Normal 6 2 3 3 4 2 2" xfId="29290" xr:uid="{00000000-0005-0000-0000-00000CA00000}"/>
    <cellStyle name="Normal 6 2 3 3 4 2 2 2" xfId="29291" xr:uid="{00000000-0005-0000-0000-00000DA00000}"/>
    <cellStyle name="Normal 6 2 3 3 4 2 2 2 2" xfId="57706" xr:uid="{00000000-0005-0000-0000-00000EA00000}"/>
    <cellStyle name="Normal 6 2 3 3 4 2 2 2 3" xfId="57707" xr:uid="{00000000-0005-0000-0000-00000FA00000}"/>
    <cellStyle name="Normal 6 2 3 3 4 2 2 3" xfId="29292" xr:uid="{00000000-0005-0000-0000-000010A00000}"/>
    <cellStyle name="Normal 6 2 3 3 4 2 2 3 2" xfId="57708" xr:uid="{00000000-0005-0000-0000-000011A00000}"/>
    <cellStyle name="Normal 6 2 3 3 4 2 2 4" xfId="29293" xr:uid="{00000000-0005-0000-0000-000012A00000}"/>
    <cellStyle name="Normal 6 2 3 3 4 2 2 5" xfId="29294" xr:uid="{00000000-0005-0000-0000-000013A00000}"/>
    <cellStyle name="Normal 6 2 3 3 4 2 2 6" xfId="29295" xr:uid="{00000000-0005-0000-0000-000014A00000}"/>
    <cellStyle name="Normal 6 2 3 3 4 2 3" xfId="29296" xr:uid="{00000000-0005-0000-0000-000015A00000}"/>
    <cellStyle name="Normal 6 2 3 3 4 2 3 2" xfId="57709" xr:uid="{00000000-0005-0000-0000-000016A00000}"/>
    <cellStyle name="Normal 6 2 3 3 4 2 3 3" xfId="57710" xr:uid="{00000000-0005-0000-0000-000017A00000}"/>
    <cellStyle name="Normal 6 2 3 3 4 2 4" xfId="29297" xr:uid="{00000000-0005-0000-0000-000018A00000}"/>
    <cellStyle name="Normal 6 2 3 3 4 2 4 2" xfId="57711" xr:uid="{00000000-0005-0000-0000-000019A00000}"/>
    <cellStyle name="Normal 6 2 3 3 4 2 5" xfId="29298" xr:uid="{00000000-0005-0000-0000-00001AA00000}"/>
    <cellStyle name="Normal 6 2 3 3 4 2 6" xfId="29299" xr:uid="{00000000-0005-0000-0000-00001BA00000}"/>
    <cellStyle name="Normal 6 2 3 3 4 2 7" xfId="29300" xr:uid="{00000000-0005-0000-0000-00001CA00000}"/>
    <cellStyle name="Normal 6 2 3 3 4 3" xfId="29301" xr:uid="{00000000-0005-0000-0000-00001DA00000}"/>
    <cellStyle name="Normal 6 2 3 3 4 3 2" xfId="29302" xr:uid="{00000000-0005-0000-0000-00001EA00000}"/>
    <cellStyle name="Normal 6 2 3 3 4 3 2 2" xfId="57712" xr:uid="{00000000-0005-0000-0000-00001FA00000}"/>
    <cellStyle name="Normal 6 2 3 3 4 3 2 3" xfId="57713" xr:uid="{00000000-0005-0000-0000-000020A00000}"/>
    <cellStyle name="Normal 6 2 3 3 4 3 3" xfId="29303" xr:uid="{00000000-0005-0000-0000-000021A00000}"/>
    <cellStyle name="Normal 6 2 3 3 4 3 3 2" xfId="57714" xr:uid="{00000000-0005-0000-0000-000022A00000}"/>
    <cellStyle name="Normal 6 2 3 3 4 3 4" xfId="29304" xr:uid="{00000000-0005-0000-0000-000023A00000}"/>
    <cellStyle name="Normal 6 2 3 3 4 3 5" xfId="29305" xr:uid="{00000000-0005-0000-0000-000024A00000}"/>
    <cellStyle name="Normal 6 2 3 3 4 3 6" xfId="29306" xr:uid="{00000000-0005-0000-0000-000025A00000}"/>
    <cellStyle name="Normal 6 2 3 3 4 4" xfId="29307" xr:uid="{00000000-0005-0000-0000-000026A00000}"/>
    <cellStyle name="Normal 6 2 3 3 4 4 2" xfId="57715" xr:uid="{00000000-0005-0000-0000-000027A00000}"/>
    <cellStyle name="Normal 6 2 3 3 4 4 3" xfId="57716" xr:uid="{00000000-0005-0000-0000-000028A00000}"/>
    <cellStyle name="Normal 6 2 3 3 4 5" xfId="29308" xr:uid="{00000000-0005-0000-0000-000029A00000}"/>
    <cellStyle name="Normal 6 2 3 3 4 5 2" xfId="57717" xr:uid="{00000000-0005-0000-0000-00002AA00000}"/>
    <cellStyle name="Normal 6 2 3 3 4 6" xfId="29309" xr:uid="{00000000-0005-0000-0000-00002BA00000}"/>
    <cellStyle name="Normal 6 2 3 3 4 7" xfId="29310" xr:uid="{00000000-0005-0000-0000-00002CA00000}"/>
    <cellStyle name="Normal 6 2 3 3 4 8" xfId="29311" xr:uid="{00000000-0005-0000-0000-00002DA00000}"/>
    <cellStyle name="Normal 6 2 3 3 5" xfId="29312" xr:uid="{00000000-0005-0000-0000-00002EA00000}"/>
    <cellStyle name="Normal 6 2 3 3 5 2" xfId="29313" xr:uid="{00000000-0005-0000-0000-00002FA00000}"/>
    <cellStyle name="Normal 6 2 3 3 5 2 2" xfId="29314" xr:uid="{00000000-0005-0000-0000-000030A00000}"/>
    <cellStyle name="Normal 6 2 3 3 5 2 2 2" xfId="57718" xr:uid="{00000000-0005-0000-0000-000031A00000}"/>
    <cellStyle name="Normal 6 2 3 3 5 2 2 3" xfId="57719" xr:uid="{00000000-0005-0000-0000-000032A00000}"/>
    <cellStyle name="Normal 6 2 3 3 5 2 3" xfId="29315" xr:uid="{00000000-0005-0000-0000-000033A00000}"/>
    <cellStyle name="Normal 6 2 3 3 5 2 3 2" xfId="57720" xr:uid="{00000000-0005-0000-0000-000034A00000}"/>
    <cellStyle name="Normal 6 2 3 3 5 2 4" xfId="29316" xr:uid="{00000000-0005-0000-0000-000035A00000}"/>
    <cellStyle name="Normal 6 2 3 3 5 2 5" xfId="29317" xr:uid="{00000000-0005-0000-0000-000036A00000}"/>
    <cellStyle name="Normal 6 2 3 3 5 2 6" xfId="29318" xr:uid="{00000000-0005-0000-0000-000037A00000}"/>
    <cellStyle name="Normal 6 2 3 3 5 3" xfId="29319" xr:uid="{00000000-0005-0000-0000-000038A00000}"/>
    <cellStyle name="Normal 6 2 3 3 5 3 2" xfId="57721" xr:uid="{00000000-0005-0000-0000-000039A00000}"/>
    <cellStyle name="Normal 6 2 3 3 5 3 3" xfId="57722" xr:uid="{00000000-0005-0000-0000-00003AA00000}"/>
    <cellStyle name="Normal 6 2 3 3 5 4" xfId="29320" xr:uid="{00000000-0005-0000-0000-00003BA00000}"/>
    <cellStyle name="Normal 6 2 3 3 5 4 2" xfId="57723" xr:uid="{00000000-0005-0000-0000-00003CA00000}"/>
    <cellStyle name="Normal 6 2 3 3 5 5" xfId="29321" xr:uid="{00000000-0005-0000-0000-00003DA00000}"/>
    <cellStyle name="Normal 6 2 3 3 5 6" xfId="29322" xr:uid="{00000000-0005-0000-0000-00003EA00000}"/>
    <cellStyle name="Normal 6 2 3 3 5 7" xfId="29323" xr:uid="{00000000-0005-0000-0000-00003FA00000}"/>
    <cellStyle name="Normal 6 2 3 3 6" xfId="29324" xr:uid="{00000000-0005-0000-0000-000040A00000}"/>
    <cellStyle name="Normal 6 2 3 3 6 2" xfId="29325" xr:uid="{00000000-0005-0000-0000-000041A00000}"/>
    <cellStyle name="Normal 6 2 3 3 6 2 2" xfId="57724" xr:uid="{00000000-0005-0000-0000-000042A00000}"/>
    <cellStyle name="Normal 6 2 3 3 6 2 3" xfId="57725" xr:uid="{00000000-0005-0000-0000-000043A00000}"/>
    <cellStyle name="Normal 6 2 3 3 6 3" xfId="29326" xr:uid="{00000000-0005-0000-0000-000044A00000}"/>
    <cellStyle name="Normal 6 2 3 3 6 3 2" xfId="57726" xr:uid="{00000000-0005-0000-0000-000045A00000}"/>
    <cellStyle name="Normal 6 2 3 3 6 4" xfId="29327" xr:uid="{00000000-0005-0000-0000-000046A00000}"/>
    <cellStyle name="Normal 6 2 3 3 6 5" xfId="29328" xr:uid="{00000000-0005-0000-0000-000047A00000}"/>
    <cellStyle name="Normal 6 2 3 3 6 6" xfId="29329" xr:uid="{00000000-0005-0000-0000-000048A00000}"/>
    <cellStyle name="Normal 6 2 3 3 7" xfId="29330" xr:uid="{00000000-0005-0000-0000-000049A00000}"/>
    <cellStyle name="Normal 6 2 3 3 7 2" xfId="57727" xr:uid="{00000000-0005-0000-0000-00004AA00000}"/>
    <cellStyle name="Normal 6 2 3 3 7 3" xfId="57728" xr:uid="{00000000-0005-0000-0000-00004BA00000}"/>
    <cellStyle name="Normal 6 2 3 3 8" xfId="29331" xr:uid="{00000000-0005-0000-0000-00004CA00000}"/>
    <cellStyle name="Normal 6 2 3 3 8 2" xfId="57729" xr:uid="{00000000-0005-0000-0000-00004DA00000}"/>
    <cellStyle name="Normal 6 2 3 3 9" xfId="29332" xr:uid="{00000000-0005-0000-0000-00004EA00000}"/>
    <cellStyle name="Normal 6 2 3 4" xfId="29333" xr:uid="{00000000-0005-0000-0000-00004FA00000}"/>
    <cellStyle name="Normal 6 2 3 4 10" xfId="29334" xr:uid="{00000000-0005-0000-0000-000050A00000}"/>
    <cellStyle name="Normal 6 2 3 4 11" xfId="29335" xr:uid="{00000000-0005-0000-0000-000051A00000}"/>
    <cellStyle name="Normal 6 2 3 4 12" xfId="29336" xr:uid="{00000000-0005-0000-0000-000052A00000}"/>
    <cellStyle name="Normal 6 2 3 4 13" xfId="29337" xr:uid="{00000000-0005-0000-0000-000053A00000}"/>
    <cellStyle name="Normal 6 2 3 4 14" xfId="29338" xr:uid="{00000000-0005-0000-0000-000054A00000}"/>
    <cellStyle name="Normal 6 2 3 4 2" xfId="29339" xr:uid="{00000000-0005-0000-0000-000055A00000}"/>
    <cellStyle name="Normal 6 2 3 4 2 2" xfId="29340" xr:uid="{00000000-0005-0000-0000-000056A00000}"/>
    <cellStyle name="Normal 6 2 3 4 2 2 2" xfId="29341" xr:uid="{00000000-0005-0000-0000-000057A00000}"/>
    <cellStyle name="Normal 6 2 3 4 2 2 2 2" xfId="29342" xr:uid="{00000000-0005-0000-0000-000058A00000}"/>
    <cellStyle name="Normal 6 2 3 4 2 2 2 2 2" xfId="57730" xr:uid="{00000000-0005-0000-0000-000059A00000}"/>
    <cellStyle name="Normal 6 2 3 4 2 2 2 2 3" xfId="57731" xr:uid="{00000000-0005-0000-0000-00005AA00000}"/>
    <cellStyle name="Normal 6 2 3 4 2 2 2 3" xfId="29343" xr:uid="{00000000-0005-0000-0000-00005BA00000}"/>
    <cellStyle name="Normal 6 2 3 4 2 2 2 3 2" xfId="57732" xr:uid="{00000000-0005-0000-0000-00005CA00000}"/>
    <cellStyle name="Normal 6 2 3 4 2 2 2 4" xfId="29344" xr:uid="{00000000-0005-0000-0000-00005DA00000}"/>
    <cellStyle name="Normal 6 2 3 4 2 2 2 5" xfId="29345" xr:uid="{00000000-0005-0000-0000-00005EA00000}"/>
    <cellStyle name="Normal 6 2 3 4 2 2 2 6" xfId="29346" xr:uid="{00000000-0005-0000-0000-00005FA00000}"/>
    <cellStyle name="Normal 6 2 3 4 2 2 3" xfId="29347" xr:uid="{00000000-0005-0000-0000-000060A00000}"/>
    <cellStyle name="Normal 6 2 3 4 2 2 3 2" xfId="57733" xr:uid="{00000000-0005-0000-0000-000061A00000}"/>
    <cellStyle name="Normal 6 2 3 4 2 2 3 3" xfId="57734" xr:uid="{00000000-0005-0000-0000-000062A00000}"/>
    <cellStyle name="Normal 6 2 3 4 2 2 4" xfId="29348" xr:uid="{00000000-0005-0000-0000-000063A00000}"/>
    <cellStyle name="Normal 6 2 3 4 2 2 4 2" xfId="57735" xr:uid="{00000000-0005-0000-0000-000064A00000}"/>
    <cellStyle name="Normal 6 2 3 4 2 2 5" xfId="29349" xr:uid="{00000000-0005-0000-0000-000065A00000}"/>
    <cellStyle name="Normal 6 2 3 4 2 2 6" xfId="29350" xr:uid="{00000000-0005-0000-0000-000066A00000}"/>
    <cellStyle name="Normal 6 2 3 4 2 2 7" xfId="29351" xr:uid="{00000000-0005-0000-0000-000067A00000}"/>
    <cellStyle name="Normal 6 2 3 4 2 3" xfId="29352" xr:uid="{00000000-0005-0000-0000-000068A00000}"/>
    <cellStyle name="Normal 6 2 3 4 2 3 2" xfId="29353" xr:uid="{00000000-0005-0000-0000-000069A00000}"/>
    <cellStyle name="Normal 6 2 3 4 2 3 2 2" xfId="57736" xr:uid="{00000000-0005-0000-0000-00006AA00000}"/>
    <cellStyle name="Normal 6 2 3 4 2 3 2 3" xfId="57737" xr:uid="{00000000-0005-0000-0000-00006BA00000}"/>
    <cellStyle name="Normal 6 2 3 4 2 3 3" xfId="29354" xr:uid="{00000000-0005-0000-0000-00006CA00000}"/>
    <cellStyle name="Normal 6 2 3 4 2 3 3 2" xfId="57738" xr:uid="{00000000-0005-0000-0000-00006DA00000}"/>
    <cellStyle name="Normal 6 2 3 4 2 3 4" xfId="29355" xr:uid="{00000000-0005-0000-0000-00006EA00000}"/>
    <cellStyle name="Normal 6 2 3 4 2 3 5" xfId="29356" xr:uid="{00000000-0005-0000-0000-00006FA00000}"/>
    <cellStyle name="Normal 6 2 3 4 2 3 6" xfId="29357" xr:uid="{00000000-0005-0000-0000-000070A00000}"/>
    <cellStyle name="Normal 6 2 3 4 2 4" xfId="29358" xr:uid="{00000000-0005-0000-0000-000071A00000}"/>
    <cellStyle name="Normal 6 2 3 4 2 4 2" xfId="57739" xr:uid="{00000000-0005-0000-0000-000072A00000}"/>
    <cellStyle name="Normal 6 2 3 4 2 4 3" xfId="57740" xr:uid="{00000000-0005-0000-0000-000073A00000}"/>
    <cellStyle name="Normal 6 2 3 4 2 5" xfId="29359" xr:uid="{00000000-0005-0000-0000-000074A00000}"/>
    <cellStyle name="Normal 6 2 3 4 2 5 2" xfId="57741" xr:uid="{00000000-0005-0000-0000-000075A00000}"/>
    <cellStyle name="Normal 6 2 3 4 2 6" xfId="29360" xr:uid="{00000000-0005-0000-0000-000076A00000}"/>
    <cellStyle name="Normal 6 2 3 4 2 7" xfId="29361" xr:uid="{00000000-0005-0000-0000-000077A00000}"/>
    <cellStyle name="Normal 6 2 3 4 2 8" xfId="29362" xr:uid="{00000000-0005-0000-0000-000078A00000}"/>
    <cellStyle name="Normal 6 2 3 4 2 9" xfId="29363" xr:uid="{00000000-0005-0000-0000-000079A00000}"/>
    <cellStyle name="Normal 6 2 3 4 3" xfId="29364" xr:uid="{00000000-0005-0000-0000-00007AA00000}"/>
    <cellStyle name="Normal 6 2 3 4 3 2" xfId="29365" xr:uid="{00000000-0005-0000-0000-00007BA00000}"/>
    <cellStyle name="Normal 6 2 3 4 3 2 2" xfId="29366" xr:uid="{00000000-0005-0000-0000-00007CA00000}"/>
    <cellStyle name="Normal 6 2 3 4 3 2 2 2" xfId="29367" xr:uid="{00000000-0005-0000-0000-00007DA00000}"/>
    <cellStyle name="Normal 6 2 3 4 3 2 2 2 2" xfId="57742" xr:uid="{00000000-0005-0000-0000-00007EA00000}"/>
    <cellStyle name="Normal 6 2 3 4 3 2 2 2 3" xfId="57743" xr:uid="{00000000-0005-0000-0000-00007FA00000}"/>
    <cellStyle name="Normal 6 2 3 4 3 2 2 3" xfId="29368" xr:uid="{00000000-0005-0000-0000-000080A00000}"/>
    <cellStyle name="Normal 6 2 3 4 3 2 2 3 2" xfId="57744" xr:uid="{00000000-0005-0000-0000-000081A00000}"/>
    <cellStyle name="Normal 6 2 3 4 3 2 2 4" xfId="29369" xr:uid="{00000000-0005-0000-0000-000082A00000}"/>
    <cellStyle name="Normal 6 2 3 4 3 2 2 5" xfId="29370" xr:uid="{00000000-0005-0000-0000-000083A00000}"/>
    <cellStyle name="Normal 6 2 3 4 3 2 2 6" xfId="29371" xr:uid="{00000000-0005-0000-0000-000084A00000}"/>
    <cellStyle name="Normal 6 2 3 4 3 2 3" xfId="29372" xr:uid="{00000000-0005-0000-0000-000085A00000}"/>
    <cellStyle name="Normal 6 2 3 4 3 2 3 2" xfId="57745" xr:uid="{00000000-0005-0000-0000-000086A00000}"/>
    <cellStyle name="Normal 6 2 3 4 3 2 3 3" xfId="57746" xr:uid="{00000000-0005-0000-0000-000087A00000}"/>
    <cellStyle name="Normal 6 2 3 4 3 2 4" xfId="29373" xr:uid="{00000000-0005-0000-0000-000088A00000}"/>
    <cellStyle name="Normal 6 2 3 4 3 2 4 2" xfId="57747" xr:uid="{00000000-0005-0000-0000-000089A00000}"/>
    <cellStyle name="Normal 6 2 3 4 3 2 5" xfId="29374" xr:uid="{00000000-0005-0000-0000-00008AA00000}"/>
    <cellStyle name="Normal 6 2 3 4 3 2 6" xfId="29375" xr:uid="{00000000-0005-0000-0000-00008BA00000}"/>
    <cellStyle name="Normal 6 2 3 4 3 2 7" xfId="29376" xr:uid="{00000000-0005-0000-0000-00008CA00000}"/>
    <cellStyle name="Normal 6 2 3 4 3 3" xfId="29377" xr:uid="{00000000-0005-0000-0000-00008DA00000}"/>
    <cellStyle name="Normal 6 2 3 4 3 3 2" xfId="29378" xr:uid="{00000000-0005-0000-0000-00008EA00000}"/>
    <cellStyle name="Normal 6 2 3 4 3 3 2 2" xfId="57748" xr:uid="{00000000-0005-0000-0000-00008FA00000}"/>
    <cellStyle name="Normal 6 2 3 4 3 3 2 3" xfId="57749" xr:uid="{00000000-0005-0000-0000-000090A00000}"/>
    <cellStyle name="Normal 6 2 3 4 3 3 3" xfId="29379" xr:uid="{00000000-0005-0000-0000-000091A00000}"/>
    <cellStyle name="Normal 6 2 3 4 3 3 3 2" xfId="57750" xr:uid="{00000000-0005-0000-0000-000092A00000}"/>
    <cellStyle name="Normal 6 2 3 4 3 3 4" xfId="29380" xr:uid="{00000000-0005-0000-0000-000093A00000}"/>
    <cellStyle name="Normal 6 2 3 4 3 3 5" xfId="29381" xr:uid="{00000000-0005-0000-0000-000094A00000}"/>
    <cellStyle name="Normal 6 2 3 4 3 3 6" xfId="29382" xr:uid="{00000000-0005-0000-0000-000095A00000}"/>
    <cellStyle name="Normal 6 2 3 4 3 4" xfId="29383" xr:uid="{00000000-0005-0000-0000-000096A00000}"/>
    <cellStyle name="Normal 6 2 3 4 3 4 2" xfId="57751" xr:uid="{00000000-0005-0000-0000-000097A00000}"/>
    <cellStyle name="Normal 6 2 3 4 3 4 3" xfId="57752" xr:uid="{00000000-0005-0000-0000-000098A00000}"/>
    <cellStyle name="Normal 6 2 3 4 3 5" xfId="29384" xr:uid="{00000000-0005-0000-0000-000099A00000}"/>
    <cellStyle name="Normal 6 2 3 4 3 5 2" xfId="57753" xr:uid="{00000000-0005-0000-0000-00009AA00000}"/>
    <cellStyle name="Normal 6 2 3 4 3 6" xfId="29385" xr:uid="{00000000-0005-0000-0000-00009BA00000}"/>
    <cellStyle name="Normal 6 2 3 4 3 7" xfId="29386" xr:uid="{00000000-0005-0000-0000-00009CA00000}"/>
    <cellStyle name="Normal 6 2 3 4 3 8" xfId="29387" xr:uid="{00000000-0005-0000-0000-00009DA00000}"/>
    <cellStyle name="Normal 6 2 3 4 4" xfId="29388" xr:uid="{00000000-0005-0000-0000-00009EA00000}"/>
    <cellStyle name="Normal 6 2 3 4 4 2" xfId="29389" xr:uid="{00000000-0005-0000-0000-00009FA00000}"/>
    <cellStyle name="Normal 6 2 3 4 4 2 2" xfId="29390" xr:uid="{00000000-0005-0000-0000-0000A0A00000}"/>
    <cellStyle name="Normal 6 2 3 4 4 2 2 2" xfId="57754" xr:uid="{00000000-0005-0000-0000-0000A1A00000}"/>
    <cellStyle name="Normal 6 2 3 4 4 2 2 3" xfId="57755" xr:uid="{00000000-0005-0000-0000-0000A2A00000}"/>
    <cellStyle name="Normal 6 2 3 4 4 2 3" xfId="29391" xr:uid="{00000000-0005-0000-0000-0000A3A00000}"/>
    <cellStyle name="Normal 6 2 3 4 4 2 3 2" xfId="57756" xr:uid="{00000000-0005-0000-0000-0000A4A00000}"/>
    <cellStyle name="Normal 6 2 3 4 4 2 4" xfId="29392" xr:uid="{00000000-0005-0000-0000-0000A5A00000}"/>
    <cellStyle name="Normal 6 2 3 4 4 2 5" xfId="29393" xr:uid="{00000000-0005-0000-0000-0000A6A00000}"/>
    <cellStyle name="Normal 6 2 3 4 4 2 6" xfId="29394" xr:uid="{00000000-0005-0000-0000-0000A7A00000}"/>
    <cellStyle name="Normal 6 2 3 4 4 3" xfId="29395" xr:uid="{00000000-0005-0000-0000-0000A8A00000}"/>
    <cellStyle name="Normal 6 2 3 4 4 3 2" xfId="57757" xr:uid="{00000000-0005-0000-0000-0000A9A00000}"/>
    <cellStyle name="Normal 6 2 3 4 4 3 3" xfId="57758" xr:uid="{00000000-0005-0000-0000-0000AAA00000}"/>
    <cellStyle name="Normal 6 2 3 4 4 4" xfId="29396" xr:uid="{00000000-0005-0000-0000-0000ABA00000}"/>
    <cellStyle name="Normal 6 2 3 4 4 4 2" xfId="57759" xr:uid="{00000000-0005-0000-0000-0000ACA00000}"/>
    <cellStyle name="Normal 6 2 3 4 4 5" xfId="29397" xr:uid="{00000000-0005-0000-0000-0000ADA00000}"/>
    <cellStyle name="Normal 6 2 3 4 4 6" xfId="29398" xr:uid="{00000000-0005-0000-0000-0000AEA00000}"/>
    <cellStyle name="Normal 6 2 3 4 4 7" xfId="29399" xr:uid="{00000000-0005-0000-0000-0000AFA00000}"/>
    <cellStyle name="Normal 6 2 3 4 5" xfId="29400" xr:uid="{00000000-0005-0000-0000-0000B0A00000}"/>
    <cellStyle name="Normal 6 2 3 4 5 2" xfId="29401" xr:uid="{00000000-0005-0000-0000-0000B1A00000}"/>
    <cellStyle name="Normal 6 2 3 4 5 2 2" xfId="57760" xr:uid="{00000000-0005-0000-0000-0000B2A00000}"/>
    <cellStyle name="Normal 6 2 3 4 5 2 3" xfId="57761" xr:uid="{00000000-0005-0000-0000-0000B3A00000}"/>
    <cellStyle name="Normal 6 2 3 4 5 3" xfId="29402" xr:uid="{00000000-0005-0000-0000-0000B4A00000}"/>
    <cellStyle name="Normal 6 2 3 4 5 3 2" xfId="57762" xr:uid="{00000000-0005-0000-0000-0000B5A00000}"/>
    <cellStyle name="Normal 6 2 3 4 5 4" xfId="29403" xr:uid="{00000000-0005-0000-0000-0000B6A00000}"/>
    <cellStyle name="Normal 6 2 3 4 5 5" xfId="29404" xr:uid="{00000000-0005-0000-0000-0000B7A00000}"/>
    <cellStyle name="Normal 6 2 3 4 5 6" xfId="29405" xr:uid="{00000000-0005-0000-0000-0000B8A00000}"/>
    <cellStyle name="Normal 6 2 3 4 6" xfId="29406" xr:uid="{00000000-0005-0000-0000-0000B9A00000}"/>
    <cellStyle name="Normal 6 2 3 4 6 2" xfId="57763" xr:uid="{00000000-0005-0000-0000-0000BAA00000}"/>
    <cellStyle name="Normal 6 2 3 4 6 3" xfId="57764" xr:uid="{00000000-0005-0000-0000-0000BBA00000}"/>
    <cellStyle name="Normal 6 2 3 4 7" xfId="29407" xr:uid="{00000000-0005-0000-0000-0000BCA00000}"/>
    <cellStyle name="Normal 6 2 3 4 7 2" xfId="57765" xr:uid="{00000000-0005-0000-0000-0000BDA00000}"/>
    <cellStyle name="Normal 6 2 3 4 8" xfId="29408" xr:uid="{00000000-0005-0000-0000-0000BEA00000}"/>
    <cellStyle name="Normal 6 2 3 4 9" xfId="29409" xr:uid="{00000000-0005-0000-0000-0000BFA00000}"/>
    <cellStyle name="Normal 6 2 3 5" xfId="29410" xr:uid="{00000000-0005-0000-0000-0000C0A00000}"/>
    <cellStyle name="Normal 6 2 3 5 10" xfId="29411" xr:uid="{00000000-0005-0000-0000-0000C1A00000}"/>
    <cellStyle name="Normal 6 2 3 5 11" xfId="29412" xr:uid="{00000000-0005-0000-0000-0000C2A00000}"/>
    <cellStyle name="Normal 6 2 3 5 12" xfId="29413" xr:uid="{00000000-0005-0000-0000-0000C3A00000}"/>
    <cellStyle name="Normal 6 2 3 5 13" xfId="29414" xr:uid="{00000000-0005-0000-0000-0000C4A00000}"/>
    <cellStyle name="Normal 6 2 3 5 14" xfId="29415" xr:uid="{00000000-0005-0000-0000-0000C5A00000}"/>
    <cellStyle name="Normal 6 2 3 5 2" xfId="29416" xr:uid="{00000000-0005-0000-0000-0000C6A00000}"/>
    <cellStyle name="Normal 6 2 3 5 2 2" xfId="29417" xr:uid="{00000000-0005-0000-0000-0000C7A00000}"/>
    <cellStyle name="Normal 6 2 3 5 2 2 2" xfId="29418" xr:uid="{00000000-0005-0000-0000-0000C8A00000}"/>
    <cellStyle name="Normal 6 2 3 5 2 2 2 2" xfId="29419" xr:uid="{00000000-0005-0000-0000-0000C9A00000}"/>
    <cellStyle name="Normal 6 2 3 5 2 2 2 2 2" xfId="57766" xr:uid="{00000000-0005-0000-0000-0000CAA00000}"/>
    <cellStyle name="Normal 6 2 3 5 2 2 2 2 3" xfId="57767" xr:uid="{00000000-0005-0000-0000-0000CBA00000}"/>
    <cellStyle name="Normal 6 2 3 5 2 2 2 3" xfId="29420" xr:uid="{00000000-0005-0000-0000-0000CCA00000}"/>
    <cellStyle name="Normal 6 2 3 5 2 2 2 3 2" xfId="57768" xr:uid="{00000000-0005-0000-0000-0000CDA00000}"/>
    <cellStyle name="Normal 6 2 3 5 2 2 2 4" xfId="29421" xr:uid="{00000000-0005-0000-0000-0000CEA00000}"/>
    <cellStyle name="Normal 6 2 3 5 2 2 2 5" xfId="29422" xr:uid="{00000000-0005-0000-0000-0000CFA00000}"/>
    <cellStyle name="Normal 6 2 3 5 2 2 2 6" xfId="29423" xr:uid="{00000000-0005-0000-0000-0000D0A00000}"/>
    <cellStyle name="Normal 6 2 3 5 2 2 3" xfId="29424" xr:uid="{00000000-0005-0000-0000-0000D1A00000}"/>
    <cellStyle name="Normal 6 2 3 5 2 2 3 2" xfId="57769" xr:uid="{00000000-0005-0000-0000-0000D2A00000}"/>
    <cellStyle name="Normal 6 2 3 5 2 2 3 3" xfId="57770" xr:uid="{00000000-0005-0000-0000-0000D3A00000}"/>
    <cellStyle name="Normal 6 2 3 5 2 2 4" xfId="29425" xr:uid="{00000000-0005-0000-0000-0000D4A00000}"/>
    <cellStyle name="Normal 6 2 3 5 2 2 4 2" xfId="57771" xr:uid="{00000000-0005-0000-0000-0000D5A00000}"/>
    <cellStyle name="Normal 6 2 3 5 2 2 5" xfId="29426" xr:uid="{00000000-0005-0000-0000-0000D6A00000}"/>
    <cellStyle name="Normal 6 2 3 5 2 2 6" xfId="29427" xr:uid="{00000000-0005-0000-0000-0000D7A00000}"/>
    <cellStyle name="Normal 6 2 3 5 2 2 7" xfId="29428" xr:uid="{00000000-0005-0000-0000-0000D8A00000}"/>
    <cellStyle name="Normal 6 2 3 5 2 3" xfId="29429" xr:uid="{00000000-0005-0000-0000-0000D9A00000}"/>
    <cellStyle name="Normal 6 2 3 5 2 3 2" xfId="29430" xr:uid="{00000000-0005-0000-0000-0000DAA00000}"/>
    <cellStyle name="Normal 6 2 3 5 2 3 2 2" xfId="57772" xr:uid="{00000000-0005-0000-0000-0000DBA00000}"/>
    <cellStyle name="Normal 6 2 3 5 2 3 2 3" xfId="57773" xr:uid="{00000000-0005-0000-0000-0000DCA00000}"/>
    <cellStyle name="Normal 6 2 3 5 2 3 3" xfId="29431" xr:uid="{00000000-0005-0000-0000-0000DDA00000}"/>
    <cellStyle name="Normal 6 2 3 5 2 3 3 2" xfId="57774" xr:uid="{00000000-0005-0000-0000-0000DEA00000}"/>
    <cellStyle name="Normal 6 2 3 5 2 3 4" xfId="29432" xr:uid="{00000000-0005-0000-0000-0000DFA00000}"/>
    <cellStyle name="Normal 6 2 3 5 2 3 5" xfId="29433" xr:uid="{00000000-0005-0000-0000-0000E0A00000}"/>
    <cellStyle name="Normal 6 2 3 5 2 3 6" xfId="29434" xr:uid="{00000000-0005-0000-0000-0000E1A00000}"/>
    <cellStyle name="Normal 6 2 3 5 2 4" xfId="29435" xr:uid="{00000000-0005-0000-0000-0000E2A00000}"/>
    <cellStyle name="Normal 6 2 3 5 2 4 2" xfId="57775" xr:uid="{00000000-0005-0000-0000-0000E3A00000}"/>
    <cellStyle name="Normal 6 2 3 5 2 4 3" xfId="57776" xr:uid="{00000000-0005-0000-0000-0000E4A00000}"/>
    <cellStyle name="Normal 6 2 3 5 2 5" xfId="29436" xr:uid="{00000000-0005-0000-0000-0000E5A00000}"/>
    <cellStyle name="Normal 6 2 3 5 2 5 2" xfId="57777" xr:uid="{00000000-0005-0000-0000-0000E6A00000}"/>
    <cellStyle name="Normal 6 2 3 5 2 6" xfId="29437" xr:uid="{00000000-0005-0000-0000-0000E7A00000}"/>
    <cellStyle name="Normal 6 2 3 5 2 7" xfId="29438" xr:uid="{00000000-0005-0000-0000-0000E8A00000}"/>
    <cellStyle name="Normal 6 2 3 5 2 8" xfId="29439" xr:uid="{00000000-0005-0000-0000-0000E9A00000}"/>
    <cellStyle name="Normal 6 2 3 5 2 9" xfId="29440" xr:uid="{00000000-0005-0000-0000-0000EAA00000}"/>
    <cellStyle name="Normal 6 2 3 5 3" xfId="29441" xr:uid="{00000000-0005-0000-0000-0000EBA00000}"/>
    <cellStyle name="Normal 6 2 3 5 3 2" xfId="29442" xr:uid="{00000000-0005-0000-0000-0000ECA00000}"/>
    <cellStyle name="Normal 6 2 3 5 3 2 2" xfId="29443" xr:uid="{00000000-0005-0000-0000-0000EDA00000}"/>
    <cellStyle name="Normal 6 2 3 5 3 2 2 2" xfId="29444" xr:uid="{00000000-0005-0000-0000-0000EEA00000}"/>
    <cellStyle name="Normal 6 2 3 5 3 2 2 2 2" xfId="57778" xr:uid="{00000000-0005-0000-0000-0000EFA00000}"/>
    <cellStyle name="Normal 6 2 3 5 3 2 2 2 3" xfId="57779" xr:uid="{00000000-0005-0000-0000-0000F0A00000}"/>
    <cellStyle name="Normal 6 2 3 5 3 2 2 3" xfId="29445" xr:uid="{00000000-0005-0000-0000-0000F1A00000}"/>
    <cellStyle name="Normal 6 2 3 5 3 2 2 3 2" xfId="57780" xr:uid="{00000000-0005-0000-0000-0000F2A00000}"/>
    <cellStyle name="Normal 6 2 3 5 3 2 2 4" xfId="29446" xr:uid="{00000000-0005-0000-0000-0000F3A00000}"/>
    <cellStyle name="Normal 6 2 3 5 3 2 2 5" xfId="29447" xr:uid="{00000000-0005-0000-0000-0000F4A00000}"/>
    <cellStyle name="Normal 6 2 3 5 3 2 2 6" xfId="29448" xr:uid="{00000000-0005-0000-0000-0000F5A00000}"/>
    <cellStyle name="Normal 6 2 3 5 3 2 3" xfId="29449" xr:uid="{00000000-0005-0000-0000-0000F6A00000}"/>
    <cellStyle name="Normal 6 2 3 5 3 2 3 2" xfId="57781" xr:uid="{00000000-0005-0000-0000-0000F7A00000}"/>
    <cellStyle name="Normal 6 2 3 5 3 2 3 3" xfId="57782" xr:uid="{00000000-0005-0000-0000-0000F8A00000}"/>
    <cellStyle name="Normal 6 2 3 5 3 2 4" xfId="29450" xr:uid="{00000000-0005-0000-0000-0000F9A00000}"/>
    <cellStyle name="Normal 6 2 3 5 3 2 4 2" xfId="57783" xr:uid="{00000000-0005-0000-0000-0000FAA00000}"/>
    <cellStyle name="Normal 6 2 3 5 3 2 5" xfId="29451" xr:uid="{00000000-0005-0000-0000-0000FBA00000}"/>
    <cellStyle name="Normal 6 2 3 5 3 2 6" xfId="29452" xr:uid="{00000000-0005-0000-0000-0000FCA00000}"/>
    <cellStyle name="Normal 6 2 3 5 3 2 7" xfId="29453" xr:uid="{00000000-0005-0000-0000-0000FDA00000}"/>
    <cellStyle name="Normal 6 2 3 5 3 3" xfId="29454" xr:uid="{00000000-0005-0000-0000-0000FEA00000}"/>
    <cellStyle name="Normal 6 2 3 5 3 3 2" xfId="29455" xr:uid="{00000000-0005-0000-0000-0000FFA00000}"/>
    <cellStyle name="Normal 6 2 3 5 3 3 2 2" xfId="57784" xr:uid="{00000000-0005-0000-0000-000000A10000}"/>
    <cellStyle name="Normal 6 2 3 5 3 3 2 3" xfId="57785" xr:uid="{00000000-0005-0000-0000-000001A10000}"/>
    <cellStyle name="Normal 6 2 3 5 3 3 3" xfId="29456" xr:uid="{00000000-0005-0000-0000-000002A10000}"/>
    <cellStyle name="Normal 6 2 3 5 3 3 3 2" xfId="57786" xr:uid="{00000000-0005-0000-0000-000003A10000}"/>
    <cellStyle name="Normal 6 2 3 5 3 3 4" xfId="29457" xr:uid="{00000000-0005-0000-0000-000004A10000}"/>
    <cellStyle name="Normal 6 2 3 5 3 3 5" xfId="29458" xr:uid="{00000000-0005-0000-0000-000005A10000}"/>
    <cellStyle name="Normal 6 2 3 5 3 3 6" xfId="29459" xr:uid="{00000000-0005-0000-0000-000006A10000}"/>
    <cellStyle name="Normal 6 2 3 5 3 4" xfId="29460" xr:uid="{00000000-0005-0000-0000-000007A10000}"/>
    <cellStyle name="Normal 6 2 3 5 3 4 2" xfId="57787" xr:uid="{00000000-0005-0000-0000-000008A10000}"/>
    <cellStyle name="Normal 6 2 3 5 3 4 3" xfId="57788" xr:uid="{00000000-0005-0000-0000-000009A10000}"/>
    <cellStyle name="Normal 6 2 3 5 3 5" xfId="29461" xr:uid="{00000000-0005-0000-0000-00000AA10000}"/>
    <cellStyle name="Normal 6 2 3 5 3 5 2" xfId="57789" xr:uid="{00000000-0005-0000-0000-00000BA10000}"/>
    <cellStyle name="Normal 6 2 3 5 3 6" xfId="29462" xr:uid="{00000000-0005-0000-0000-00000CA10000}"/>
    <cellStyle name="Normal 6 2 3 5 3 7" xfId="29463" xr:uid="{00000000-0005-0000-0000-00000DA10000}"/>
    <cellStyle name="Normal 6 2 3 5 3 8" xfId="29464" xr:uid="{00000000-0005-0000-0000-00000EA10000}"/>
    <cellStyle name="Normal 6 2 3 5 4" xfId="29465" xr:uid="{00000000-0005-0000-0000-00000FA10000}"/>
    <cellStyle name="Normal 6 2 3 5 4 2" xfId="29466" xr:uid="{00000000-0005-0000-0000-000010A10000}"/>
    <cellStyle name="Normal 6 2 3 5 4 2 2" xfId="29467" xr:uid="{00000000-0005-0000-0000-000011A10000}"/>
    <cellStyle name="Normal 6 2 3 5 4 2 2 2" xfId="57790" xr:uid="{00000000-0005-0000-0000-000012A10000}"/>
    <cellStyle name="Normal 6 2 3 5 4 2 2 3" xfId="57791" xr:uid="{00000000-0005-0000-0000-000013A10000}"/>
    <cellStyle name="Normal 6 2 3 5 4 2 3" xfId="29468" xr:uid="{00000000-0005-0000-0000-000014A10000}"/>
    <cellStyle name="Normal 6 2 3 5 4 2 3 2" xfId="57792" xr:uid="{00000000-0005-0000-0000-000015A10000}"/>
    <cellStyle name="Normal 6 2 3 5 4 2 4" xfId="29469" xr:uid="{00000000-0005-0000-0000-000016A10000}"/>
    <cellStyle name="Normal 6 2 3 5 4 2 5" xfId="29470" xr:uid="{00000000-0005-0000-0000-000017A10000}"/>
    <cellStyle name="Normal 6 2 3 5 4 2 6" xfId="29471" xr:uid="{00000000-0005-0000-0000-000018A10000}"/>
    <cellStyle name="Normal 6 2 3 5 4 3" xfId="29472" xr:uid="{00000000-0005-0000-0000-000019A10000}"/>
    <cellStyle name="Normal 6 2 3 5 4 3 2" xfId="57793" xr:uid="{00000000-0005-0000-0000-00001AA10000}"/>
    <cellStyle name="Normal 6 2 3 5 4 3 3" xfId="57794" xr:uid="{00000000-0005-0000-0000-00001BA10000}"/>
    <cellStyle name="Normal 6 2 3 5 4 4" xfId="29473" xr:uid="{00000000-0005-0000-0000-00001CA10000}"/>
    <cellStyle name="Normal 6 2 3 5 4 4 2" xfId="57795" xr:uid="{00000000-0005-0000-0000-00001DA10000}"/>
    <cellStyle name="Normal 6 2 3 5 4 5" xfId="29474" xr:uid="{00000000-0005-0000-0000-00001EA10000}"/>
    <cellStyle name="Normal 6 2 3 5 4 6" xfId="29475" xr:uid="{00000000-0005-0000-0000-00001FA10000}"/>
    <cellStyle name="Normal 6 2 3 5 4 7" xfId="29476" xr:uid="{00000000-0005-0000-0000-000020A10000}"/>
    <cellStyle name="Normal 6 2 3 5 5" xfId="29477" xr:uid="{00000000-0005-0000-0000-000021A10000}"/>
    <cellStyle name="Normal 6 2 3 5 5 2" xfId="29478" xr:uid="{00000000-0005-0000-0000-000022A10000}"/>
    <cellStyle name="Normal 6 2 3 5 5 2 2" xfId="57796" xr:uid="{00000000-0005-0000-0000-000023A10000}"/>
    <cellStyle name="Normal 6 2 3 5 5 2 3" xfId="57797" xr:uid="{00000000-0005-0000-0000-000024A10000}"/>
    <cellStyle name="Normal 6 2 3 5 5 3" xfId="29479" xr:uid="{00000000-0005-0000-0000-000025A10000}"/>
    <cellStyle name="Normal 6 2 3 5 5 3 2" xfId="57798" xr:uid="{00000000-0005-0000-0000-000026A10000}"/>
    <cellStyle name="Normal 6 2 3 5 5 4" xfId="29480" xr:uid="{00000000-0005-0000-0000-000027A10000}"/>
    <cellStyle name="Normal 6 2 3 5 5 5" xfId="29481" xr:uid="{00000000-0005-0000-0000-000028A10000}"/>
    <cellStyle name="Normal 6 2 3 5 5 6" xfId="29482" xr:uid="{00000000-0005-0000-0000-000029A10000}"/>
    <cellStyle name="Normal 6 2 3 5 6" xfId="29483" xr:uid="{00000000-0005-0000-0000-00002AA10000}"/>
    <cellStyle name="Normal 6 2 3 5 6 2" xfId="57799" xr:uid="{00000000-0005-0000-0000-00002BA10000}"/>
    <cellStyle name="Normal 6 2 3 5 6 3" xfId="57800" xr:uid="{00000000-0005-0000-0000-00002CA10000}"/>
    <cellStyle name="Normal 6 2 3 5 7" xfId="29484" xr:uid="{00000000-0005-0000-0000-00002DA10000}"/>
    <cellStyle name="Normal 6 2 3 5 7 2" xfId="57801" xr:uid="{00000000-0005-0000-0000-00002EA10000}"/>
    <cellStyle name="Normal 6 2 3 5 8" xfId="29485" xr:uid="{00000000-0005-0000-0000-00002FA10000}"/>
    <cellStyle name="Normal 6 2 3 5 9" xfId="29486" xr:uid="{00000000-0005-0000-0000-000030A10000}"/>
    <cellStyle name="Normal 6 2 3 6" xfId="29487" xr:uid="{00000000-0005-0000-0000-000031A10000}"/>
    <cellStyle name="Normal 6 2 3 6 10" xfId="29488" xr:uid="{00000000-0005-0000-0000-000032A10000}"/>
    <cellStyle name="Normal 6 2 3 6 11" xfId="29489" xr:uid="{00000000-0005-0000-0000-000033A10000}"/>
    <cellStyle name="Normal 6 2 3 6 12" xfId="29490" xr:uid="{00000000-0005-0000-0000-000034A10000}"/>
    <cellStyle name="Normal 6 2 3 6 13" xfId="29491" xr:uid="{00000000-0005-0000-0000-000035A10000}"/>
    <cellStyle name="Normal 6 2 3 6 2" xfId="29492" xr:uid="{00000000-0005-0000-0000-000036A10000}"/>
    <cellStyle name="Normal 6 2 3 6 2 2" xfId="29493" xr:uid="{00000000-0005-0000-0000-000037A10000}"/>
    <cellStyle name="Normal 6 2 3 6 2 2 2" xfId="29494" xr:uid="{00000000-0005-0000-0000-000038A10000}"/>
    <cellStyle name="Normal 6 2 3 6 2 2 2 2" xfId="29495" xr:uid="{00000000-0005-0000-0000-000039A10000}"/>
    <cellStyle name="Normal 6 2 3 6 2 2 2 2 2" xfId="57802" xr:uid="{00000000-0005-0000-0000-00003AA10000}"/>
    <cellStyle name="Normal 6 2 3 6 2 2 2 2 3" xfId="57803" xr:uid="{00000000-0005-0000-0000-00003BA10000}"/>
    <cellStyle name="Normal 6 2 3 6 2 2 2 3" xfId="29496" xr:uid="{00000000-0005-0000-0000-00003CA10000}"/>
    <cellStyle name="Normal 6 2 3 6 2 2 2 3 2" xfId="57804" xr:uid="{00000000-0005-0000-0000-00003DA10000}"/>
    <cellStyle name="Normal 6 2 3 6 2 2 2 4" xfId="29497" xr:uid="{00000000-0005-0000-0000-00003EA10000}"/>
    <cellStyle name="Normal 6 2 3 6 2 2 2 5" xfId="29498" xr:uid="{00000000-0005-0000-0000-00003FA10000}"/>
    <cellStyle name="Normal 6 2 3 6 2 2 2 6" xfId="29499" xr:uid="{00000000-0005-0000-0000-000040A10000}"/>
    <cellStyle name="Normal 6 2 3 6 2 2 3" xfId="29500" xr:uid="{00000000-0005-0000-0000-000041A10000}"/>
    <cellStyle name="Normal 6 2 3 6 2 2 3 2" xfId="57805" xr:uid="{00000000-0005-0000-0000-000042A10000}"/>
    <cellStyle name="Normal 6 2 3 6 2 2 3 3" xfId="57806" xr:uid="{00000000-0005-0000-0000-000043A10000}"/>
    <cellStyle name="Normal 6 2 3 6 2 2 4" xfId="29501" xr:uid="{00000000-0005-0000-0000-000044A10000}"/>
    <cellStyle name="Normal 6 2 3 6 2 2 4 2" xfId="57807" xr:uid="{00000000-0005-0000-0000-000045A10000}"/>
    <cellStyle name="Normal 6 2 3 6 2 2 5" xfId="29502" xr:uid="{00000000-0005-0000-0000-000046A10000}"/>
    <cellStyle name="Normal 6 2 3 6 2 2 6" xfId="29503" xr:uid="{00000000-0005-0000-0000-000047A10000}"/>
    <cellStyle name="Normal 6 2 3 6 2 2 7" xfId="29504" xr:uid="{00000000-0005-0000-0000-000048A10000}"/>
    <cellStyle name="Normal 6 2 3 6 2 3" xfId="29505" xr:uid="{00000000-0005-0000-0000-000049A10000}"/>
    <cellStyle name="Normal 6 2 3 6 2 3 2" xfId="29506" xr:uid="{00000000-0005-0000-0000-00004AA10000}"/>
    <cellStyle name="Normal 6 2 3 6 2 3 2 2" xfId="57808" xr:uid="{00000000-0005-0000-0000-00004BA10000}"/>
    <cellStyle name="Normal 6 2 3 6 2 3 2 3" xfId="57809" xr:uid="{00000000-0005-0000-0000-00004CA10000}"/>
    <cellStyle name="Normal 6 2 3 6 2 3 3" xfId="29507" xr:uid="{00000000-0005-0000-0000-00004DA10000}"/>
    <cellStyle name="Normal 6 2 3 6 2 3 3 2" xfId="57810" xr:uid="{00000000-0005-0000-0000-00004EA10000}"/>
    <cellStyle name="Normal 6 2 3 6 2 3 4" xfId="29508" xr:uid="{00000000-0005-0000-0000-00004FA10000}"/>
    <cellStyle name="Normal 6 2 3 6 2 3 5" xfId="29509" xr:uid="{00000000-0005-0000-0000-000050A10000}"/>
    <cellStyle name="Normal 6 2 3 6 2 3 6" xfId="29510" xr:uid="{00000000-0005-0000-0000-000051A10000}"/>
    <cellStyle name="Normal 6 2 3 6 2 4" xfId="29511" xr:uid="{00000000-0005-0000-0000-000052A10000}"/>
    <cellStyle name="Normal 6 2 3 6 2 4 2" xfId="57811" xr:uid="{00000000-0005-0000-0000-000053A10000}"/>
    <cellStyle name="Normal 6 2 3 6 2 4 3" xfId="57812" xr:uid="{00000000-0005-0000-0000-000054A10000}"/>
    <cellStyle name="Normal 6 2 3 6 2 5" xfId="29512" xr:uid="{00000000-0005-0000-0000-000055A10000}"/>
    <cellStyle name="Normal 6 2 3 6 2 5 2" xfId="57813" xr:uid="{00000000-0005-0000-0000-000056A10000}"/>
    <cellStyle name="Normal 6 2 3 6 2 6" xfId="29513" xr:uid="{00000000-0005-0000-0000-000057A10000}"/>
    <cellStyle name="Normal 6 2 3 6 2 7" xfId="29514" xr:uid="{00000000-0005-0000-0000-000058A10000}"/>
    <cellStyle name="Normal 6 2 3 6 2 8" xfId="29515" xr:uid="{00000000-0005-0000-0000-000059A10000}"/>
    <cellStyle name="Normal 6 2 3 6 2 9" xfId="29516" xr:uid="{00000000-0005-0000-0000-00005AA10000}"/>
    <cellStyle name="Normal 6 2 3 6 3" xfId="29517" xr:uid="{00000000-0005-0000-0000-00005BA10000}"/>
    <cellStyle name="Normal 6 2 3 6 3 2" xfId="29518" xr:uid="{00000000-0005-0000-0000-00005CA10000}"/>
    <cellStyle name="Normal 6 2 3 6 3 2 2" xfId="29519" xr:uid="{00000000-0005-0000-0000-00005DA10000}"/>
    <cellStyle name="Normal 6 2 3 6 3 2 2 2" xfId="57814" xr:uid="{00000000-0005-0000-0000-00005EA10000}"/>
    <cellStyle name="Normal 6 2 3 6 3 2 2 3" xfId="57815" xr:uid="{00000000-0005-0000-0000-00005FA10000}"/>
    <cellStyle name="Normal 6 2 3 6 3 2 3" xfId="29520" xr:uid="{00000000-0005-0000-0000-000060A10000}"/>
    <cellStyle name="Normal 6 2 3 6 3 2 3 2" xfId="57816" xr:uid="{00000000-0005-0000-0000-000061A10000}"/>
    <cellStyle name="Normal 6 2 3 6 3 2 4" xfId="29521" xr:uid="{00000000-0005-0000-0000-000062A10000}"/>
    <cellStyle name="Normal 6 2 3 6 3 2 5" xfId="29522" xr:uid="{00000000-0005-0000-0000-000063A10000}"/>
    <cellStyle name="Normal 6 2 3 6 3 2 6" xfId="29523" xr:uid="{00000000-0005-0000-0000-000064A10000}"/>
    <cellStyle name="Normal 6 2 3 6 3 3" xfId="29524" xr:uid="{00000000-0005-0000-0000-000065A10000}"/>
    <cellStyle name="Normal 6 2 3 6 3 3 2" xfId="57817" xr:uid="{00000000-0005-0000-0000-000066A10000}"/>
    <cellStyle name="Normal 6 2 3 6 3 3 3" xfId="57818" xr:uid="{00000000-0005-0000-0000-000067A10000}"/>
    <cellStyle name="Normal 6 2 3 6 3 4" xfId="29525" xr:uid="{00000000-0005-0000-0000-000068A10000}"/>
    <cellStyle name="Normal 6 2 3 6 3 4 2" xfId="57819" xr:uid="{00000000-0005-0000-0000-000069A10000}"/>
    <cellStyle name="Normal 6 2 3 6 3 5" xfId="29526" xr:uid="{00000000-0005-0000-0000-00006AA10000}"/>
    <cellStyle name="Normal 6 2 3 6 3 6" xfId="29527" xr:uid="{00000000-0005-0000-0000-00006BA10000}"/>
    <cellStyle name="Normal 6 2 3 6 3 7" xfId="29528" xr:uid="{00000000-0005-0000-0000-00006CA10000}"/>
    <cellStyle name="Normal 6 2 3 6 4" xfId="29529" xr:uid="{00000000-0005-0000-0000-00006DA10000}"/>
    <cellStyle name="Normal 6 2 3 6 4 2" xfId="29530" xr:uid="{00000000-0005-0000-0000-00006EA10000}"/>
    <cellStyle name="Normal 6 2 3 6 4 2 2" xfId="57820" xr:uid="{00000000-0005-0000-0000-00006FA10000}"/>
    <cellStyle name="Normal 6 2 3 6 4 2 3" xfId="57821" xr:uid="{00000000-0005-0000-0000-000070A10000}"/>
    <cellStyle name="Normal 6 2 3 6 4 3" xfId="29531" xr:uid="{00000000-0005-0000-0000-000071A10000}"/>
    <cellStyle name="Normal 6 2 3 6 4 3 2" xfId="57822" xr:uid="{00000000-0005-0000-0000-000072A10000}"/>
    <cellStyle name="Normal 6 2 3 6 4 4" xfId="29532" xr:uid="{00000000-0005-0000-0000-000073A10000}"/>
    <cellStyle name="Normal 6 2 3 6 4 5" xfId="29533" xr:uid="{00000000-0005-0000-0000-000074A10000}"/>
    <cellStyle name="Normal 6 2 3 6 4 6" xfId="29534" xr:uid="{00000000-0005-0000-0000-000075A10000}"/>
    <cellStyle name="Normal 6 2 3 6 5" xfId="29535" xr:uid="{00000000-0005-0000-0000-000076A10000}"/>
    <cellStyle name="Normal 6 2 3 6 5 2" xfId="57823" xr:uid="{00000000-0005-0000-0000-000077A10000}"/>
    <cellStyle name="Normal 6 2 3 6 5 3" xfId="57824" xr:uid="{00000000-0005-0000-0000-000078A10000}"/>
    <cellStyle name="Normal 6 2 3 6 6" xfId="29536" xr:uid="{00000000-0005-0000-0000-000079A10000}"/>
    <cellStyle name="Normal 6 2 3 6 6 2" xfId="57825" xr:uid="{00000000-0005-0000-0000-00007AA10000}"/>
    <cellStyle name="Normal 6 2 3 6 7" xfId="29537" xr:uid="{00000000-0005-0000-0000-00007BA10000}"/>
    <cellStyle name="Normal 6 2 3 6 8" xfId="29538" xr:uid="{00000000-0005-0000-0000-00007CA10000}"/>
    <cellStyle name="Normal 6 2 3 6 9" xfId="29539" xr:uid="{00000000-0005-0000-0000-00007DA10000}"/>
    <cellStyle name="Normal 6 2 3 7" xfId="29540" xr:uid="{00000000-0005-0000-0000-00007EA10000}"/>
    <cellStyle name="Normal 6 2 3 7 2" xfId="29541" xr:uid="{00000000-0005-0000-0000-00007FA10000}"/>
    <cellStyle name="Normal 6 2 3 7 2 2" xfId="29542" xr:uid="{00000000-0005-0000-0000-000080A10000}"/>
    <cellStyle name="Normal 6 2 3 7 2 2 2" xfId="29543" xr:uid="{00000000-0005-0000-0000-000081A10000}"/>
    <cellStyle name="Normal 6 2 3 7 2 2 2 2" xfId="57826" xr:uid="{00000000-0005-0000-0000-000082A10000}"/>
    <cellStyle name="Normal 6 2 3 7 2 2 2 3" xfId="57827" xr:uid="{00000000-0005-0000-0000-000083A10000}"/>
    <cellStyle name="Normal 6 2 3 7 2 2 3" xfId="29544" xr:uid="{00000000-0005-0000-0000-000084A10000}"/>
    <cellStyle name="Normal 6 2 3 7 2 2 3 2" xfId="57828" xr:uid="{00000000-0005-0000-0000-000085A10000}"/>
    <cellStyle name="Normal 6 2 3 7 2 2 4" xfId="29545" xr:uid="{00000000-0005-0000-0000-000086A10000}"/>
    <cellStyle name="Normal 6 2 3 7 2 2 5" xfId="29546" xr:uid="{00000000-0005-0000-0000-000087A10000}"/>
    <cellStyle name="Normal 6 2 3 7 2 2 6" xfId="29547" xr:uid="{00000000-0005-0000-0000-000088A10000}"/>
    <cellStyle name="Normal 6 2 3 7 2 3" xfId="29548" xr:uid="{00000000-0005-0000-0000-000089A10000}"/>
    <cellStyle name="Normal 6 2 3 7 2 3 2" xfId="57829" xr:uid="{00000000-0005-0000-0000-00008AA10000}"/>
    <cellStyle name="Normal 6 2 3 7 2 3 3" xfId="57830" xr:uid="{00000000-0005-0000-0000-00008BA10000}"/>
    <cellStyle name="Normal 6 2 3 7 2 4" xfId="29549" xr:uid="{00000000-0005-0000-0000-00008CA10000}"/>
    <cellStyle name="Normal 6 2 3 7 2 4 2" xfId="57831" xr:uid="{00000000-0005-0000-0000-00008DA10000}"/>
    <cellStyle name="Normal 6 2 3 7 2 5" xfId="29550" xr:uid="{00000000-0005-0000-0000-00008EA10000}"/>
    <cellStyle name="Normal 6 2 3 7 2 6" xfId="29551" xr:uid="{00000000-0005-0000-0000-00008FA10000}"/>
    <cellStyle name="Normal 6 2 3 7 2 7" xfId="29552" xr:uid="{00000000-0005-0000-0000-000090A10000}"/>
    <cellStyle name="Normal 6 2 3 7 3" xfId="29553" xr:uid="{00000000-0005-0000-0000-000091A10000}"/>
    <cellStyle name="Normal 6 2 3 7 3 2" xfId="29554" xr:uid="{00000000-0005-0000-0000-000092A10000}"/>
    <cellStyle name="Normal 6 2 3 7 3 2 2" xfId="57832" xr:uid="{00000000-0005-0000-0000-000093A10000}"/>
    <cellStyle name="Normal 6 2 3 7 3 2 3" xfId="57833" xr:uid="{00000000-0005-0000-0000-000094A10000}"/>
    <cellStyle name="Normal 6 2 3 7 3 3" xfId="29555" xr:uid="{00000000-0005-0000-0000-000095A10000}"/>
    <cellStyle name="Normal 6 2 3 7 3 3 2" xfId="57834" xr:uid="{00000000-0005-0000-0000-000096A10000}"/>
    <cellStyle name="Normal 6 2 3 7 3 4" xfId="29556" xr:uid="{00000000-0005-0000-0000-000097A10000}"/>
    <cellStyle name="Normal 6 2 3 7 3 5" xfId="29557" xr:uid="{00000000-0005-0000-0000-000098A10000}"/>
    <cellStyle name="Normal 6 2 3 7 3 6" xfId="29558" xr:uid="{00000000-0005-0000-0000-000099A10000}"/>
    <cellStyle name="Normal 6 2 3 7 4" xfId="29559" xr:uid="{00000000-0005-0000-0000-00009AA10000}"/>
    <cellStyle name="Normal 6 2 3 7 4 2" xfId="57835" xr:uid="{00000000-0005-0000-0000-00009BA10000}"/>
    <cellStyle name="Normal 6 2 3 7 4 3" xfId="57836" xr:uid="{00000000-0005-0000-0000-00009CA10000}"/>
    <cellStyle name="Normal 6 2 3 7 5" xfId="29560" xr:uid="{00000000-0005-0000-0000-00009DA10000}"/>
    <cellStyle name="Normal 6 2 3 7 5 2" xfId="57837" xr:uid="{00000000-0005-0000-0000-00009EA10000}"/>
    <cellStyle name="Normal 6 2 3 7 6" xfId="29561" xr:uid="{00000000-0005-0000-0000-00009FA10000}"/>
    <cellStyle name="Normal 6 2 3 7 7" xfId="29562" xr:uid="{00000000-0005-0000-0000-0000A0A10000}"/>
    <cellStyle name="Normal 6 2 3 7 8" xfId="29563" xr:uid="{00000000-0005-0000-0000-0000A1A10000}"/>
    <cellStyle name="Normal 6 2 3 7 9" xfId="29564" xr:uid="{00000000-0005-0000-0000-0000A2A10000}"/>
    <cellStyle name="Normal 6 2 3 8" xfId="29565" xr:uid="{00000000-0005-0000-0000-0000A3A10000}"/>
    <cellStyle name="Normal 6 2 3 8 2" xfId="29566" xr:uid="{00000000-0005-0000-0000-0000A4A10000}"/>
    <cellStyle name="Normal 6 2 3 8 2 2" xfId="29567" xr:uid="{00000000-0005-0000-0000-0000A5A10000}"/>
    <cellStyle name="Normal 6 2 3 8 2 2 2" xfId="29568" xr:uid="{00000000-0005-0000-0000-0000A6A10000}"/>
    <cellStyle name="Normal 6 2 3 8 2 2 2 2" xfId="57838" xr:uid="{00000000-0005-0000-0000-0000A7A10000}"/>
    <cellStyle name="Normal 6 2 3 8 2 2 2 3" xfId="57839" xr:uid="{00000000-0005-0000-0000-0000A8A10000}"/>
    <cellStyle name="Normal 6 2 3 8 2 2 3" xfId="29569" xr:uid="{00000000-0005-0000-0000-0000A9A10000}"/>
    <cellStyle name="Normal 6 2 3 8 2 2 3 2" xfId="57840" xr:uid="{00000000-0005-0000-0000-0000AAA10000}"/>
    <cellStyle name="Normal 6 2 3 8 2 2 4" xfId="29570" xr:uid="{00000000-0005-0000-0000-0000ABA10000}"/>
    <cellStyle name="Normal 6 2 3 8 2 2 5" xfId="29571" xr:uid="{00000000-0005-0000-0000-0000ACA10000}"/>
    <cellStyle name="Normal 6 2 3 8 2 2 6" xfId="29572" xr:uid="{00000000-0005-0000-0000-0000ADA10000}"/>
    <cellStyle name="Normal 6 2 3 8 2 3" xfId="29573" xr:uid="{00000000-0005-0000-0000-0000AEA10000}"/>
    <cellStyle name="Normal 6 2 3 8 2 3 2" xfId="57841" xr:uid="{00000000-0005-0000-0000-0000AFA10000}"/>
    <cellStyle name="Normal 6 2 3 8 2 3 3" xfId="57842" xr:uid="{00000000-0005-0000-0000-0000B0A10000}"/>
    <cellStyle name="Normal 6 2 3 8 2 4" xfId="29574" xr:uid="{00000000-0005-0000-0000-0000B1A10000}"/>
    <cellStyle name="Normal 6 2 3 8 2 4 2" xfId="57843" xr:uid="{00000000-0005-0000-0000-0000B2A10000}"/>
    <cellStyle name="Normal 6 2 3 8 2 5" xfId="29575" xr:uid="{00000000-0005-0000-0000-0000B3A10000}"/>
    <cellStyle name="Normal 6 2 3 8 2 6" xfId="29576" xr:uid="{00000000-0005-0000-0000-0000B4A10000}"/>
    <cellStyle name="Normal 6 2 3 8 2 7" xfId="29577" xr:uid="{00000000-0005-0000-0000-0000B5A10000}"/>
    <cellStyle name="Normal 6 2 3 8 3" xfId="29578" xr:uid="{00000000-0005-0000-0000-0000B6A10000}"/>
    <cellStyle name="Normal 6 2 3 8 3 2" xfId="29579" xr:uid="{00000000-0005-0000-0000-0000B7A10000}"/>
    <cellStyle name="Normal 6 2 3 8 3 2 2" xfId="57844" xr:uid="{00000000-0005-0000-0000-0000B8A10000}"/>
    <cellStyle name="Normal 6 2 3 8 3 2 3" xfId="57845" xr:uid="{00000000-0005-0000-0000-0000B9A10000}"/>
    <cellStyle name="Normal 6 2 3 8 3 3" xfId="29580" xr:uid="{00000000-0005-0000-0000-0000BAA10000}"/>
    <cellStyle name="Normal 6 2 3 8 3 3 2" xfId="57846" xr:uid="{00000000-0005-0000-0000-0000BBA10000}"/>
    <cellStyle name="Normal 6 2 3 8 3 4" xfId="29581" xr:uid="{00000000-0005-0000-0000-0000BCA10000}"/>
    <cellStyle name="Normal 6 2 3 8 3 5" xfId="29582" xr:uid="{00000000-0005-0000-0000-0000BDA10000}"/>
    <cellStyle name="Normal 6 2 3 8 3 6" xfId="29583" xr:uid="{00000000-0005-0000-0000-0000BEA10000}"/>
    <cellStyle name="Normal 6 2 3 8 4" xfId="29584" xr:uid="{00000000-0005-0000-0000-0000BFA10000}"/>
    <cellStyle name="Normal 6 2 3 8 4 2" xfId="57847" xr:uid="{00000000-0005-0000-0000-0000C0A10000}"/>
    <cellStyle name="Normal 6 2 3 8 4 3" xfId="57848" xr:uid="{00000000-0005-0000-0000-0000C1A10000}"/>
    <cellStyle name="Normal 6 2 3 8 5" xfId="29585" xr:uid="{00000000-0005-0000-0000-0000C2A10000}"/>
    <cellStyle name="Normal 6 2 3 8 5 2" xfId="57849" xr:uid="{00000000-0005-0000-0000-0000C3A10000}"/>
    <cellStyle name="Normal 6 2 3 8 6" xfId="29586" xr:uid="{00000000-0005-0000-0000-0000C4A10000}"/>
    <cellStyle name="Normal 6 2 3 8 7" xfId="29587" xr:uid="{00000000-0005-0000-0000-0000C5A10000}"/>
    <cellStyle name="Normal 6 2 3 8 8" xfId="29588" xr:uid="{00000000-0005-0000-0000-0000C6A10000}"/>
    <cellStyle name="Normal 6 2 3 9" xfId="29589" xr:uid="{00000000-0005-0000-0000-0000C7A10000}"/>
    <cellStyle name="Normal 6 2 3 9 2" xfId="29590" xr:uid="{00000000-0005-0000-0000-0000C8A10000}"/>
    <cellStyle name="Normal 6 2 3 9 2 2" xfId="29591" xr:uid="{00000000-0005-0000-0000-0000C9A10000}"/>
    <cellStyle name="Normal 6 2 3 9 2 2 2" xfId="29592" xr:uid="{00000000-0005-0000-0000-0000CAA10000}"/>
    <cellStyle name="Normal 6 2 3 9 2 2 2 2" xfId="57850" xr:uid="{00000000-0005-0000-0000-0000CBA10000}"/>
    <cellStyle name="Normal 6 2 3 9 2 2 2 3" xfId="57851" xr:uid="{00000000-0005-0000-0000-0000CCA10000}"/>
    <cellStyle name="Normal 6 2 3 9 2 2 3" xfId="29593" xr:uid="{00000000-0005-0000-0000-0000CDA10000}"/>
    <cellStyle name="Normal 6 2 3 9 2 2 3 2" xfId="57852" xr:uid="{00000000-0005-0000-0000-0000CEA10000}"/>
    <cellStyle name="Normal 6 2 3 9 2 2 4" xfId="29594" xr:uid="{00000000-0005-0000-0000-0000CFA10000}"/>
    <cellStyle name="Normal 6 2 3 9 2 2 5" xfId="29595" xr:uid="{00000000-0005-0000-0000-0000D0A10000}"/>
    <cellStyle name="Normal 6 2 3 9 2 2 6" xfId="29596" xr:uid="{00000000-0005-0000-0000-0000D1A10000}"/>
    <cellStyle name="Normal 6 2 3 9 2 3" xfId="29597" xr:uid="{00000000-0005-0000-0000-0000D2A10000}"/>
    <cellStyle name="Normal 6 2 3 9 2 3 2" xfId="57853" xr:uid="{00000000-0005-0000-0000-0000D3A10000}"/>
    <cellStyle name="Normal 6 2 3 9 2 3 3" xfId="57854" xr:uid="{00000000-0005-0000-0000-0000D4A10000}"/>
    <cellStyle name="Normal 6 2 3 9 2 4" xfId="29598" xr:uid="{00000000-0005-0000-0000-0000D5A10000}"/>
    <cellStyle name="Normal 6 2 3 9 2 4 2" xfId="57855" xr:uid="{00000000-0005-0000-0000-0000D6A10000}"/>
    <cellStyle name="Normal 6 2 3 9 2 5" xfId="29599" xr:uid="{00000000-0005-0000-0000-0000D7A10000}"/>
    <cellStyle name="Normal 6 2 3 9 2 6" xfId="29600" xr:uid="{00000000-0005-0000-0000-0000D8A10000}"/>
    <cellStyle name="Normal 6 2 3 9 2 7" xfId="29601" xr:uid="{00000000-0005-0000-0000-0000D9A10000}"/>
    <cellStyle name="Normal 6 2 3 9 3" xfId="29602" xr:uid="{00000000-0005-0000-0000-0000DAA10000}"/>
    <cellStyle name="Normal 6 2 3 9 3 2" xfId="29603" xr:uid="{00000000-0005-0000-0000-0000DBA10000}"/>
    <cellStyle name="Normal 6 2 3 9 3 2 2" xfId="57856" xr:uid="{00000000-0005-0000-0000-0000DCA10000}"/>
    <cellStyle name="Normal 6 2 3 9 3 2 3" xfId="57857" xr:uid="{00000000-0005-0000-0000-0000DDA10000}"/>
    <cellStyle name="Normal 6 2 3 9 3 3" xfId="29604" xr:uid="{00000000-0005-0000-0000-0000DEA10000}"/>
    <cellStyle name="Normal 6 2 3 9 3 3 2" xfId="57858" xr:uid="{00000000-0005-0000-0000-0000DFA10000}"/>
    <cellStyle name="Normal 6 2 3 9 3 4" xfId="29605" xr:uid="{00000000-0005-0000-0000-0000E0A10000}"/>
    <cellStyle name="Normal 6 2 3 9 3 5" xfId="29606" xr:uid="{00000000-0005-0000-0000-0000E1A10000}"/>
    <cellStyle name="Normal 6 2 3 9 3 6" xfId="29607" xr:uid="{00000000-0005-0000-0000-0000E2A10000}"/>
    <cellStyle name="Normal 6 2 3 9 4" xfId="29608" xr:uid="{00000000-0005-0000-0000-0000E3A10000}"/>
    <cellStyle name="Normal 6 2 3 9 4 2" xfId="57859" xr:uid="{00000000-0005-0000-0000-0000E4A10000}"/>
    <cellStyle name="Normal 6 2 3 9 4 3" xfId="57860" xr:uid="{00000000-0005-0000-0000-0000E5A10000}"/>
    <cellStyle name="Normal 6 2 3 9 5" xfId="29609" xr:uid="{00000000-0005-0000-0000-0000E6A10000}"/>
    <cellStyle name="Normal 6 2 3 9 5 2" xfId="57861" xr:uid="{00000000-0005-0000-0000-0000E7A10000}"/>
    <cellStyle name="Normal 6 2 3 9 6" xfId="29610" xr:uid="{00000000-0005-0000-0000-0000E8A10000}"/>
    <cellStyle name="Normal 6 2 3 9 7" xfId="29611" xr:uid="{00000000-0005-0000-0000-0000E9A10000}"/>
    <cellStyle name="Normal 6 2 3 9 8" xfId="29612" xr:uid="{00000000-0005-0000-0000-0000EAA10000}"/>
    <cellStyle name="Normal 6 2 4" xfId="29613" xr:uid="{00000000-0005-0000-0000-0000EBA10000}"/>
    <cellStyle name="Normal 6 2 4 10" xfId="29614" xr:uid="{00000000-0005-0000-0000-0000ECA10000}"/>
    <cellStyle name="Normal 6 2 4 11" xfId="29615" xr:uid="{00000000-0005-0000-0000-0000EDA10000}"/>
    <cellStyle name="Normal 6 2 4 12" xfId="29616" xr:uid="{00000000-0005-0000-0000-0000EEA10000}"/>
    <cellStyle name="Normal 6 2 4 13" xfId="29617" xr:uid="{00000000-0005-0000-0000-0000EFA10000}"/>
    <cellStyle name="Normal 6 2 4 14" xfId="29618" xr:uid="{00000000-0005-0000-0000-0000F0A10000}"/>
    <cellStyle name="Normal 6 2 4 15" xfId="29619" xr:uid="{00000000-0005-0000-0000-0000F1A10000}"/>
    <cellStyle name="Normal 6 2 4 2" xfId="29620" xr:uid="{00000000-0005-0000-0000-0000F2A10000}"/>
    <cellStyle name="Normal 6 2 4 2 10" xfId="29621" xr:uid="{00000000-0005-0000-0000-0000F3A10000}"/>
    <cellStyle name="Normal 6 2 4 2 11" xfId="29622" xr:uid="{00000000-0005-0000-0000-0000F4A10000}"/>
    <cellStyle name="Normal 6 2 4 2 12" xfId="29623" xr:uid="{00000000-0005-0000-0000-0000F5A10000}"/>
    <cellStyle name="Normal 6 2 4 2 13" xfId="29624" xr:uid="{00000000-0005-0000-0000-0000F6A10000}"/>
    <cellStyle name="Normal 6 2 4 2 14" xfId="29625" xr:uid="{00000000-0005-0000-0000-0000F7A10000}"/>
    <cellStyle name="Normal 6 2 4 2 2" xfId="29626" xr:uid="{00000000-0005-0000-0000-0000F8A10000}"/>
    <cellStyle name="Normal 6 2 4 2 2 2" xfId="29627" xr:uid="{00000000-0005-0000-0000-0000F9A10000}"/>
    <cellStyle name="Normal 6 2 4 2 2 2 2" xfId="29628" xr:uid="{00000000-0005-0000-0000-0000FAA10000}"/>
    <cellStyle name="Normal 6 2 4 2 2 2 2 2" xfId="29629" xr:uid="{00000000-0005-0000-0000-0000FBA10000}"/>
    <cellStyle name="Normal 6 2 4 2 2 2 2 2 2" xfId="57862" xr:uid="{00000000-0005-0000-0000-0000FCA10000}"/>
    <cellStyle name="Normal 6 2 4 2 2 2 2 2 3" xfId="57863" xr:uid="{00000000-0005-0000-0000-0000FDA10000}"/>
    <cellStyle name="Normal 6 2 4 2 2 2 2 3" xfId="29630" xr:uid="{00000000-0005-0000-0000-0000FEA10000}"/>
    <cellStyle name="Normal 6 2 4 2 2 2 2 3 2" xfId="57864" xr:uid="{00000000-0005-0000-0000-0000FFA10000}"/>
    <cellStyle name="Normal 6 2 4 2 2 2 2 4" xfId="29631" xr:uid="{00000000-0005-0000-0000-000000A20000}"/>
    <cellStyle name="Normal 6 2 4 2 2 2 2 5" xfId="29632" xr:uid="{00000000-0005-0000-0000-000001A20000}"/>
    <cellStyle name="Normal 6 2 4 2 2 2 2 6" xfId="29633" xr:uid="{00000000-0005-0000-0000-000002A20000}"/>
    <cellStyle name="Normal 6 2 4 2 2 2 3" xfId="29634" xr:uid="{00000000-0005-0000-0000-000003A20000}"/>
    <cellStyle name="Normal 6 2 4 2 2 2 3 2" xfId="57865" xr:uid="{00000000-0005-0000-0000-000004A20000}"/>
    <cellStyle name="Normal 6 2 4 2 2 2 3 3" xfId="57866" xr:uid="{00000000-0005-0000-0000-000005A20000}"/>
    <cellStyle name="Normal 6 2 4 2 2 2 4" xfId="29635" xr:uid="{00000000-0005-0000-0000-000006A20000}"/>
    <cellStyle name="Normal 6 2 4 2 2 2 4 2" xfId="57867" xr:uid="{00000000-0005-0000-0000-000007A20000}"/>
    <cellStyle name="Normal 6 2 4 2 2 2 5" xfId="29636" xr:uid="{00000000-0005-0000-0000-000008A20000}"/>
    <cellStyle name="Normal 6 2 4 2 2 2 6" xfId="29637" xr:uid="{00000000-0005-0000-0000-000009A20000}"/>
    <cellStyle name="Normal 6 2 4 2 2 2 7" xfId="29638" xr:uid="{00000000-0005-0000-0000-00000AA20000}"/>
    <cellStyle name="Normal 6 2 4 2 2 3" xfId="29639" xr:uid="{00000000-0005-0000-0000-00000BA20000}"/>
    <cellStyle name="Normal 6 2 4 2 2 3 2" xfId="29640" xr:uid="{00000000-0005-0000-0000-00000CA20000}"/>
    <cellStyle name="Normal 6 2 4 2 2 3 2 2" xfId="57868" xr:uid="{00000000-0005-0000-0000-00000DA20000}"/>
    <cellStyle name="Normal 6 2 4 2 2 3 2 3" xfId="57869" xr:uid="{00000000-0005-0000-0000-00000EA20000}"/>
    <cellStyle name="Normal 6 2 4 2 2 3 3" xfId="29641" xr:uid="{00000000-0005-0000-0000-00000FA20000}"/>
    <cellStyle name="Normal 6 2 4 2 2 3 3 2" xfId="57870" xr:uid="{00000000-0005-0000-0000-000010A20000}"/>
    <cellStyle name="Normal 6 2 4 2 2 3 4" xfId="29642" xr:uid="{00000000-0005-0000-0000-000011A20000}"/>
    <cellStyle name="Normal 6 2 4 2 2 3 5" xfId="29643" xr:uid="{00000000-0005-0000-0000-000012A20000}"/>
    <cellStyle name="Normal 6 2 4 2 2 3 6" xfId="29644" xr:uid="{00000000-0005-0000-0000-000013A20000}"/>
    <cellStyle name="Normal 6 2 4 2 2 4" xfId="29645" xr:uid="{00000000-0005-0000-0000-000014A20000}"/>
    <cellStyle name="Normal 6 2 4 2 2 4 2" xfId="57871" xr:uid="{00000000-0005-0000-0000-000015A20000}"/>
    <cellStyle name="Normal 6 2 4 2 2 4 3" xfId="57872" xr:uid="{00000000-0005-0000-0000-000016A20000}"/>
    <cellStyle name="Normal 6 2 4 2 2 5" xfId="29646" xr:uid="{00000000-0005-0000-0000-000017A20000}"/>
    <cellStyle name="Normal 6 2 4 2 2 5 2" xfId="57873" xr:uid="{00000000-0005-0000-0000-000018A20000}"/>
    <cellStyle name="Normal 6 2 4 2 2 6" xfId="29647" xr:uid="{00000000-0005-0000-0000-000019A20000}"/>
    <cellStyle name="Normal 6 2 4 2 2 7" xfId="29648" xr:uid="{00000000-0005-0000-0000-00001AA20000}"/>
    <cellStyle name="Normal 6 2 4 2 2 8" xfId="29649" xr:uid="{00000000-0005-0000-0000-00001BA20000}"/>
    <cellStyle name="Normal 6 2 4 2 2 9" xfId="29650" xr:uid="{00000000-0005-0000-0000-00001CA20000}"/>
    <cellStyle name="Normal 6 2 4 2 3" xfId="29651" xr:uid="{00000000-0005-0000-0000-00001DA20000}"/>
    <cellStyle name="Normal 6 2 4 2 3 2" xfId="29652" xr:uid="{00000000-0005-0000-0000-00001EA20000}"/>
    <cellStyle name="Normal 6 2 4 2 3 2 2" xfId="29653" xr:uid="{00000000-0005-0000-0000-00001FA20000}"/>
    <cellStyle name="Normal 6 2 4 2 3 2 2 2" xfId="29654" xr:uid="{00000000-0005-0000-0000-000020A20000}"/>
    <cellStyle name="Normal 6 2 4 2 3 2 2 2 2" xfId="57874" xr:uid="{00000000-0005-0000-0000-000021A20000}"/>
    <cellStyle name="Normal 6 2 4 2 3 2 2 2 3" xfId="57875" xr:uid="{00000000-0005-0000-0000-000022A20000}"/>
    <cellStyle name="Normal 6 2 4 2 3 2 2 3" xfId="29655" xr:uid="{00000000-0005-0000-0000-000023A20000}"/>
    <cellStyle name="Normal 6 2 4 2 3 2 2 3 2" xfId="57876" xr:uid="{00000000-0005-0000-0000-000024A20000}"/>
    <cellStyle name="Normal 6 2 4 2 3 2 2 4" xfId="29656" xr:uid="{00000000-0005-0000-0000-000025A20000}"/>
    <cellStyle name="Normal 6 2 4 2 3 2 2 5" xfId="29657" xr:uid="{00000000-0005-0000-0000-000026A20000}"/>
    <cellStyle name="Normal 6 2 4 2 3 2 2 6" xfId="29658" xr:uid="{00000000-0005-0000-0000-000027A20000}"/>
    <cellStyle name="Normal 6 2 4 2 3 2 3" xfId="29659" xr:uid="{00000000-0005-0000-0000-000028A20000}"/>
    <cellStyle name="Normal 6 2 4 2 3 2 3 2" xfId="57877" xr:uid="{00000000-0005-0000-0000-000029A20000}"/>
    <cellStyle name="Normal 6 2 4 2 3 2 3 3" xfId="57878" xr:uid="{00000000-0005-0000-0000-00002AA20000}"/>
    <cellStyle name="Normal 6 2 4 2 3 2 4" xfId="29660" xr:uid="{00000000-0005-0000-0000-00002BA20000}"/>
    <cellStyle name="Normal 6 2 4 2 3 2 4 2" xfId="57879" xr:uid="{00000000-0005-0000-0000-00002CA20000}"/>
    <cellStyle name="Normal 6 2 4 2 3 2 5" xfId="29661" xr:uid="{00000000-0005-0000-0000-00002DA20000}"/>
    <cellStyle name="Normal 6 2 4 2 3 2 6" xfId="29662" xr:uid="{00000000-0005-0000-0000-00002EA20000}"/>
    <cellStyle name="Normal 6 2 4 2 3 2 7" xfId="29663" xr:uid="{00000000-0005-0000-0000-00002FA20000}"/>
    <cellStyle name="Normal 6 2 4 2 3 3" xfId="29664" xr:uid="{00000000-0005-0000-0000-000030A20000}"/>
    <cellStyle name="Normal 6 2 4 2 3 3 2" xfId="29665" xr:uid="{00000000-0005-0000-0000-000031A20000}"/>
    <cellStyle name="Normal 6 2 4 2 3 3 2 2" xfId="57880" xr:uid="{00000000-0005-0000-0000-000032A20000}"/>
    <cellStyle name="Normal 6 2 4 2 3 3 2 3" xfId="57881" xr:uid="{00000000-0005-0000-0000-000033A20000}"/>
    <cellStyle name="Normal 6 2 4 2 3 3 3" xfId="29666" xr:uid="{00000000-0005-0000-0000-000034A20000}"/>
    <cellStyle name="Normal 6 2 4 2 3 3 3 2" xfId="57882" xr:uid="{00000000-0005-0000-0000-000035A20000}"/>
    <cellStyle name="Normal 6 2 4 2 3 3 4" xfId="29667" xr:uid="{00000000-0005-0000-0000-000036A20000}"/>
    <cellStyle name="Normal 6 2 4 2 3 3 5" xfId="29668" xr:uid="{00000000-0005-0000-0000-000037A20000}"/>
    <cellStyle name="Normal 6 2 4 2 3 3 6" xfId="29669" xr:uid="{00000000-0005-0000-0000-000038A20000}"/>
    <cellStyle name="Normal 6 2 4 2 3 4" xfId="29670" xr:uid="{00000000-0005-0000-0000-000039A20000}"/>
    <cellStyle name="Normal 6 2 4 2 3 4 2" xfId="57883" xr:uid="{00000000-0005-0000-0000-00003AA20000}"/>
    <cellStyle name="Normal 6 2 4 2 3 4 3" xfId="57884" xr:uid="{00000000-0005-0000-0000-00003BA20000}"/>
    <cellStyle name="Normal 6 2 4 2 3 5" xfId="29671" xr:uid="{00000000-0005-0000-0000-00003CA20000}"/>
    <cellStyle name="Normal 6 2 4 2 3 5 2" xfId="57885" xr:uid="{00000000-0005-0000-0000-00003DA20000}"/>
    <cellStyle name="Normal 6 2 4 2 3 6" xfId="29672" xr:uid="{00000000-0005-0000-0000-00003EA20000}"/>
    <cellStyle name="Normal 6 2 4 2 3 7" xfId="29673" xr:uid="{00000000-0005-0000-0000-00003FA20000}"/>
    <cellStyle name="Normal 6 2 4 2 3 8" xfId="29674" xr:uid="{00000000-0005-0000-0000-000040A20000}"/>
    <cellStyle name="Normal 6 2 4 2 4" xfId="29675" xr:uid="{00000000-0005-0000-0000-000041A20000}"/>
    <cellStyle name="Normal 6 2 4 2 4 2" xfId="29676" xr:uid="{00000000-0005-0000-0000-000042A20000}"/>
    <cellStyle name="Normal 6 2 4 2 4 2 2" xfId="29677" xr:uid="{00000000-0005-0000-0000-000043A20000}"/>
    <cellStyle name="Normal 6 2 4 2 4 2 2 2" xfId="57886" xr:uid="{00000000-0005-0000-0000-000044A20000}"/>
    <cellStyle name="Normal 6 2 4 2 4 2 2 3" xfId="57887" xr:uid="{00000000-0005-0000-0000-000045A20000}"/>
    <cellStyle name="Normal 6 2 4 2 4 2 3" xfId="29678" xr:uid="{00000000-0005-0000-0000-000046A20000}"/>
    <cellStyle name="Normal 6 2 4 2 4 2 3 2" xfId="57888" xr:uid="{00000000-0005-0000-0000-000047A20000}"/>
    <cellStyle name="Normal 6 2 4 2 4 2 4" xfId="29679" xr:uid="{00000000-0005-0000-0000-000048A20000}"/>
    <cellStyle name="Normal 6 2 4 2 4 2 5" xfId="29680" xr:uid="{00000000-0005-0000-0000-000049A20000}"/>
    <cellStyle name="Normal 6 2 4 2 4 2 6" xfId="29681" xr:uid="{00000000-0005-0000-0000-00004AA20000}"/>
    <cellStyle name="Normal 6 2 4 2 4 3" xfId="29682" xr:uid="{00000000-0005-0000-0000-00004BA20000}"/>
    <cellStyle name="Normal 6 2 4 2 4 3 2" xfId="57889" xr:uid="{00000000-0005-0000-0000-00004CA20000}"/>
    <cellStyle name="Normal 6 2 4 2 4 3 3" xfId="57890" xr:uid="{00000000-0005-0000-0000-00004DA20000}"/>
    <cellStyle name="Normal 6 2 4 2 4 4" xfId="29683" xr:uid="{00000000-0005-0000-0000-00004EA20000}"/>
    <cellStyle name="Normal 6 2 4 2 4 4 2" xfId="57891" xr:uid="{00000000-0005-0000-0000-00004FA20000}"/>
    <cellStyle name="Normal 6 2 4 2 4 5" xfId="29684" xr:uid="{00000000-0005-0000-0000-000050A20000}"/>
    <cellStyle name="Normal 6 2 4 2 4 6" xfId="29685" xr:uid="{00000000-0005-0000-0000-000051A20000}"/>
    <cellStyle name="Normal 6 2 4 2 4 7" xfId="29686" xr:uid="{00000000-0005-0000-0000-000052A20000}"/>
    <cellStyle name="Normal 6 2 4 2 5" xfId="29687" xr:uid="{00000000-0005-0000-0000-000053A20000}"/>
    <cellStyle name="Normal 6 2 4 2 5 2" xfId="29688" xr:uid="{00000000-0005-0000-0000-000054A20000}"/>
    <cellStyle name="Normal 6 2 4 2 5 2 2" xfId="57892" xr:uid="{00000000-0005-0000-0000-000055A20000}"/>
    <cellStyle name="Normal 6 2 4 2 5 2 3" xfId="57893" xr:uid="{00000000-0005-0000-0000-000056A20000}"/>
    <cellStyle name="Normal 6 2 4 2 5 3" xfId="29689" xr:uid="{00000000-0005-0000-0000-000057A20000}"/>
    <cellStyle name="Normal 6 2 4 2 5 3 2" xfId="57894" xr:uid="{00000000-0005-0000-0000-000058A20000}"/>
    <cellStyle name="Normal 6 2 4 2 5 4" xfId="29690" xr:uid="{00000000-0005-0000-0000-000059A20000}"/>
    <cellStyle name="Normal 6 2 4 2 5 5" xfId="29691" xr:uid="{00000000-0005-0000-0000-00005AA20000}"/>
    <cellStyle name="Normal 6 2 4 2 5 6" xfId="29692" xr:uid="{00000000-0005-0000-0000-00005BA20000}"/>
    <cellStyle name="Normal 6 2 4 2 6" xfId="29693" xr:uid="{00000000-0005-0000-0000-00005CA20000}"/>
    <cellStyle name="Normal 6 2 4 2 6 2" xfId="57895" xr:uid="{00000000-0005-0000-0000-00005DA20000}"/>
    <cellStyle name="Normal 6 2 4 2 6 3" xfId="57896" xr:uid="{00000000-0005-0000-0000-00005EA20000}"/>
    <cellStyle name="Normal 6 2 4 2 7" xfId="29694" xr:uid="{00000000-0005-0000-0000-00005FA20000}"/>
    <cellStyle name="Normal 6 2 4 2 7 2" xfId="57897" xr:uid="{00000000-0005-0000-0000-000060A20000}"/>
    <cellStyle name="Normal 6 2 4 2 8" xfId="29695" xr:uid="{00000000-0005-0000-0000-000061A20000}"/>
    <cellStyle name="Normal 6 2 4 2 8 2" xfId="57898" xr:uid="{00000000-0005-0000-0000-000062A20000}"/>
    <cellStyle name="Normal 6 2 4 2 9" xfId="29696" xr:uid="{00000000-0005-0000-0000-000063A20000}"/>
    <cellStyle name="Normal 6 2 4 3" xfId="29697" xr:uid="{00000000-0005-0000-0000-000064A20000}"/>
    <cellStyle name="Normal 6 2 4 3 2" xfId="29698" xr:uid="{00000000-0005-0000-0000-000065A20000}"/>
    <cellStyle name="Normal 6 2 4 3 2 2" xfId="29699" xr:uid="{00000000-0005-0000-0000-000066A20000}"/>
    <cellStyle name="Normal 6 2 4 3 2 2 2" xfId="29700" xr:uid="{00000000-0005-0000-0000-000067A20000}"/>
    <cellStyle name="Normal 6 2 4 3 2 2 2 2" xfId="57899" xr:uid="{00000000-0005-0000-0000-000068A20000}"/>
    <cellStyle name="Normal 6 2 4 3 2 2 2 3" xfId="57900" xr:uid="{00000000-0005-0000-0000-000069A20000}"/>
    <cellStyle name="Normal 6 2 4 3 2 2 3" xfId="29701" xr:uid="{00000000-0005-0000-0000-00006AA20000}"/>
    <cellStyle name="Normal 6 2 4 3 2 2 3 2" xfId="57901" xr:uid="{00000000-0005-0000-0000-00006BA20000}"/>
    <cellStyle name="Normal 6 2 4 3 2 2 4" xfId="29702" xr:uid="{00000000-0005-0000-0000-00006CA20000}"/>
    <cellStyle name="Normal 6 2 4 3 2 2 5" xfId="29703" xr:uid="{00000000-0005-0000-0000-00006DA20000}"/>
    <cellStyle name="Normal 6 2 4 3 2 2 6" xfId="29704" xr:uid="{00000000-0005-0000-0000-00006EA20000}"/>
    <cellStyle name="Normal 6 2 4 3 2 3" xfId="29705" xr:uid="{00000000-0005-0000-0000-00006FA20000}"/>
    <cellStyle name="Normal 6 2 4 3 2 3 2" xfId="57902" xr:uid="{00000000-0005-0000-0000-000070A20000}"/>
    <cellStyle name="Normal 6 2 4 3 2 3 3" xfId="57903" xr:uid="{00000000-0005-0000-0000-000071A20000}"/>
    <cellStyle name="Normal 6 2 4 3 2 4" xfId="29706" xr:uid="{00000000-0005-0000-0000-000072A20000}"/>
    <cellStyle name="Normal 6 2 4 3 2 4 2" xfId="57904" xr:uid="{00000000-0005-0000-0000-000073A20000}"/>
    <cellStyle name="Normal 6 2 4 3 2 5" xfId="29707" xr:uid="{00000000-0005-0000-0000-000074A20000}"/>
    <cellStyle name="Normal 6 2 4 3 2 6" xfId="29708" xr:uid="{00000000-0005-0000-0000-000075A20000}"/>
    <cellStyle name="Normal 6 2 4 3 2 7" xfId="29709" xr:uid="{00000000-0005-0000-0000-000076A20000}"/>
    <cellStyle name="Normal 6 2 4 3 3" xfId="29710" xr:uid="{00000000-0005-0000-0000-000077A20000}"/>
    <cellStyle name="Normal 6 2 4 3 3 2" xfId="29711" xr:uid="{00000000-0005-0000-0000-000078A20000}"/>
    <cellStyle name="Normal 6 2 4 3 3 2 2" xfId="57905" xr:uid="{00000000-0005-0000-0000-000079A20000}"/>
    <cellStyle name="Normal 6 2 4 3 3 2 3" xfId="57906" xr:uid="{00000000-0005-0000-0000-00007AA20000}"/>
    <cellStyle name="Normal 6 2 4 3 3 3" xfId="29712" xr:uid="{00000000-0005-0000-0000-00007BA20000}"/>
    <cellStyle name="Normal 6 2 4 3 3 3 2" xfId="57907" xr:uid="{00000000-0005-0000-0000-00007CA20000}"/>
    <cellStyle name="Normal 6 2 4 3 3 4" xfId="29713" xr:uid="{00000000-0005-0000-0000-00007DA20000}"/>
    <cellStyle name="Normal 6 2 4 3 3 5" xfId="29714" xr:uid="{00000000-0005-0000-0000-00007EA20000}"/>
    <cellStyle name="Normal 6 2 4 3 3 6" xfId="29715" xr:uid="{00000000-0005-0000-0000-00007FA20000}"/>
    <cellStyle name="Normal 6 2 4 3 4" xfId="29716" xr:uid="{00000000-0005-0000-0000-000080A20000}"/>
    <cellStyle name="Normal 6 2 4 3 4 2" xfId="57908" xr:uid="{00000000-0005-0000-0000-000081A20000}"/>
    <cellStyle name="Normal 6 2 4 3 4 3" xfId="57909" xr:uid="{00000000-0005-0000-0000-000082A20000}"/>
    <cellStyle name="Normal 6 2 4 3 5" xfId="29717" xr:uid="{00000000-0005-0000-0000-000083A20000}"/>
    <cellStyle name="Normal 6 2 4 3 5 2" xfId="57910" xr:uid="{00000000-0005-0000-0000-000084A20000}"/>
    <cellStyle name="Normal 6 2 4 3 6" xfId="29718" xr:uid="{00000000-0005-0000-0000-000085A20000}"/>
    <cellStyle name="Normal 6 2 4 3 7" xfId="29719" xr:uid="{00000000-0005-0000-0000-000086A20000}"/>
    <cellStyle name="Normal 6 2 4 3 8" xfId="29720" xr:uid="{00000000-0005-0000-0000-000087A20000}"/>
    <cellStyle name="Normal 6 2 4 3 9" xfId="29721" xr:uid="{00000000-0005-0000-0000-000088A20000}"/>
    <cellStyle name="Normal 6 2 4 4" xfId="29722" xr:uid="{00000000-0005-0000-0000-000089A20000}"/>
    <cellStyle name="Normal 6 2 4 4 2" xfId="29723" xr:uid="{00000000-0005-0000-0000-00008AA20000}"/>
    <cellStyle name="Normal 6 2 4 4 2 2" xfId="29724" xr:uid="{00000000-0005-0000-0000-00008BA20000}"/>
    <cellStyle name="Normal 6 2 4 4 2 2 2" xfId="29725" xr:uid="{00000000-0005-0000-0000-00008CA20000}"/>
    <cellStyle name="Normal 6 2 4 4 2 2 2 2" xfId="57911" xr:uid="{00000000-0005-0000-0000-00008DA20000}"/>
    <cellStyle name="Normal 6 2 4 4 2 2 2 3" xfId="57912" xr:uid="{00000000-0005-0000-0000-00008EA20000}"/>
    <cellStyle name="Normal 6 2 4 4 2 2 3" xfId="29726" xr:uid="{00000000-0005-0000-0000-00008FA20000}"/>
    <cellStyle name="Normal 6 2 4 4 2 2 3 2" xfId="57913" xr:uid="{00000000-0005-0000-0000-000090A20000}"/>
    <cellStyle name="Normal 6 2 4 4 2 2 4" xfId="29727" xr:uid="{00000000-0005-0000-0000-000091A20000}"/>
    <cellStyle name="Normal 6 2 4 4 2 2 5" xfId="29728" xr:uid="{00000000-0005-0000-0000-000092A20000}"/>
    <cellStyle name="Normal 6 2 4 4 2 2 6" xfId="29729" xr:uid="{00000000-0005-0000-0000-000093A20000}"/>
    <cellStyle name="Normal 6 2 4 4 2 3" xfId="29730" xr:uid="{00000000-0005-0000-0000-000094A20000}"/>
    <cellStyle name="Normal 6 2 4 4 2 3 2" xfId="57914" xr:uid="{00000000-0005-0000-0000-000095A20000}"/>
    <cellStyle name="Normal 6 2 4 4 2 3 3" xfId="57915" xr:uid="{00000000-0005-0000-0000-000096A20000}"/>
    <cellStyle name="Normal 6 2 4 4 2 4" xfId="29731" xr:uid="{00000000-0005-0000-0000-000097A20000}"/>
    <cellStyle name="Normal 6 2 4 4 2 4 2" xfId="57916" xr:uid="{00000000-0005-0000-0000-000098A20000}"/>
    <cellStyle name="Normal 6 2 4 4 2 5" xfId="29732" xr:uid="{00000000-0005-0000-0000-000099A20000}"/>
    <cellStyle name="Normal 6 2 4 4 2 6" xfId="29733" xr:uid="{00000000-0005-0000-0000-00009AA20000}"/>
    <cellStyle name="Normal 6 2 4 4 2 7" xfId="29734" xr:uid="{00000000-0005-0000-0000-00009BA20000}"/>
    <cellStyle name="Normal 6 2 4 4 3" xfId="29735" xr:uid="{00000000-0005-0000-0000-00009CA20000}"/>
    <cellStyle name="Normal 6 2 4 4 3 2" xfId="29736" xr:uid="{00000000-0005-0000-0000-00009DA20000}"/>
    <cellStyle name="Normal 6 2 4 4 3 2 2" xfId="57917" xr:uid="{00000000-0005-0000-0000-00009EA20000}"/>
    <cellStyle name="Normal 6 2 4 4 3 2 3" xfId="57918" xr:uid="{00000000-0005-0000-0000-00009FA20000}"/>
    <cellStyle name="Normal 6 2 4 4 3 3" xfId="29737" xr:uid="{00000000-0005-0000-0000-0000A0A20000}"/>
    <cellStyle name="Normal 6 2 4 4 3 3 2" xfId="57919" xr:uid="{00000000-0005-0000-0000-0000A1A20000}"/>
    <cellStyle name="Normal 6 2 4 4 3 4" xfId="29738" xr:uid="{00000000-0005-0000-0000-0000A2A20000}"/>
    <cellStyle name="Normal 6 2 4 4 3 5" xfId="29739" xr:uid="{00000000-0005-0000-0000-0000A3A20000}"/>
    <cellStyle name="Normal 6 2 4 4 3 6" xfId="29740" xr:uid="{00000000-0005-0000-0000-0000A4A20000}"/>
    <cellStyle name="Normal 6 2 4 4 4" xfId="29741" xr:uid="{00000000-0005-0000-0000-0000A5A20000}"/>
    <cellStyle name="Normal 6 2 4 4 4 2" xfId="57920" xr:uid="{00000000-0005-0000-0000-0000A6A20000}"/>
    <cellStyle name="Normal 6 2 4 4 4 3" xfId="57921" xr:uid="{00000000-0005-0000-0000-0000A7A20000}"/>
    <cellStyle name="Normal 6 2 4 4 5" xfId="29742" xr:uid="{00000000-0005-0000-0000-0000A8A20000}"/>
    <cellStyle name="Normal 6 2 4 4 5 2" xfId="57922" xr:uid="{00000000-0005-0000-0000-0000A9A20000}"/>
    <cellStyle name="Normal 6 2 4 4 6" xfId="29743" xr:uid="{00000000-0005-0000-0000-0000AAA20000}"/>
    <cellStyle name="Normal 6 2 4 4 7" xfId="29744" xr:uid="{00000000-0005-0000-0000-0000ABA20000}"/>
    <cellStyle name="Normal 6 2 4 4 8" xfId="29745" xr:uid="{00000000-0005-0000-0000-0000ACA20000}"/>
    <cellStyle name="Normal 6 2 4 5" xfId="29746" xr:uid="{00000000-0005-0000-0000-0000ADA20000}"/>
    <cellStyle name="Normal 6 2 4 5 2" xfId="29747" xr:uid="{00000000-0005-0000-0000-0000AEA20000}"/>
    <cellStyle name="Normal 6 2 4 5 2 2" xfId="29748" xr:uid="{00000000-0005-0000-0000-0000AFA20000}"/>
    <cellStyle name="Normal 6 2 4 5 2 2 2" xfId="57923" xr:uid="{00000000-0005-0000-0000-0000B0A20000}"/>
    <cellStyle name="Normal 6 2 4 5 2 2 3" xfId="57924" xr:uid="{00000000-0005-0000-0000-0000B1A20000}"/>
    <cellStyle name="Normal 6 2 4 5 2 3" xfId="29749" xr:uid="{00000000-0005-0000-0000-0000B2A20000}"/>
    <cellStyle name="Normal 6 2 4 5 2 3 2" xfId="57925" xr:uid="{00000000-0005-0000-0000-0000B3A20000}"/>
    <cellStyle name="Normal 6 2 4 5 2 4" xfId="29750" xr:uid="{00000000-0005-0000-0000-0000B4A20000}"/>
    <cellStyle name="Normal 6 2 4 5 2 5" xfId="29751" xr:uid="{00000000-0005-0000-0000-0000B5A20000}"/>
    <cellStyle name="Normal 6 2 4 5 2 6" xfId="29752" xr:uid="{00000000-0005-0000-0000-0000B6A20000}"/>
    <cellStyle name="Normal 6 2 4 5 3" xfId="29753" xr:uid="{00000000-0005-0000-0000-0000B7A20000}"/>
    <cellStyle name="Normal 6 2 4 5 3 2" xfId="57926" xr:uid="{00000000-0005-0000-0000-0000B8A20000}"/>
    <cellStyle name="Normal 6 2 4 5 3 3" xfId="57927" xr:uid="{00000000-0005-0000-0000-0000B9A20000}"/>
    <cellStyle name="Normal 6 2 4 5 4" xfId="29754" xr:uid="{00000000-0005-0000-0000-0000BAA20000}"/>
    <cellStyle name="Normal 6 2 4 5 4 2" xfId="57928" xr:uid="{00000000-0005-0000-0000-0000BBA20000}"/>
    <cellStyle name="Normal 6 2 4 5 5" xfId="29755" xr:uid="{00000000-0005-0000-0000-0000BCA20000}"/>
    <cellStyle name="Normal 6 2 4 5 6" xfId="29756" xr:uid="{00000000-0005-0000-0000-0000BDA20000}"/>
    <cellStyle name="Normal 6 2 4 5 7" xfId="29757" xr:uid="{00000000-0005-0000-0000-0000BEA20000}"/>
    <cellStyle name="Normal 6 2 4 6" xfId="29758" xr:uid="{00000000-0005-0000-0000-0000BFA20000}"/>
    <cellStyle name="Normal 6 2 4 6 2" xfId="29759" xr:uid="{00000000-0005-0000-0000-0000C0A20000}"/>
    <cellStyle name="Normal 6 2 4 6 2 2" xfId="57929" xr:uid="{00000000-0005-0000-0000-0000C1A20000}"/>
    <cellStyle name="Normal 6 2 4 6 2 3" xfId="57930" xr:uid="{00000000-0005-0000-0000-0000C2A20000}"/>
    <cellStyle name="Normal 6 2 4 6 3" xfId="29760" xr:uid="{00000000-0005-0000-0000-0000C3A20000}"/>
    <cellStyle name="Normal 6 2 4 6 3 2" xfId="57931" xr:uid="{00000000-0005-0000-0000-0000C4A20000}"/>
    <cellStyle name="Normal 6 2 4 6 4" xfId="29761" xr:uid="{00000000-0005-0000-0000-0000C5A20000}"/>
    <cellStyle name="Normal 6 2 4 6 5" xfId="29762" xr:uid="{00000000-0005-0000-0000-0000C6A20000}"/>
    <cellStyle name="Normal 6 2 4 6 6" xfId="29763" xr:uid="{00000000-0005-0000-0000-0000C7A20000}"/>
    <cellStyle name="Normal 6 2 4 7" xfId="29764" xr:uid="{00000000-0005-0000-0000-0000C8A20000}"/>
    <cellStyle name="Normal 6 2 4 7 2" xfId="57932" xr:uid="{00000000-0005-0000-0000-0000C9A20000}"/>
    <cellStyle name="Normal 6 2 4 7 3" xfId="57933" xr:uid="{00000000-0005-0000-0000-0000CAA20000}"/>
    <cellStyle name="Normal 6 2 4 8" xfId="29765" xr:uid="{00000000-0005-0000-0000-0000CBA20000}"/>
    <cellStyle name="Normal 6 2 4 8 2" xfId="57934" xr:uid="{00000000-0005-0000-0000-0000CCA20000}"/>
    <cellStyle name="Normal 6 2 4 9" xfId="29766" xr:uid="{00000000-0005-0000-0000-0000CDA20000}"/>
    <cellStyle name="Normal 6 2 4 9 2" xfId="57935" xr:uid="{00000000-0005-0000-0000-0000CEA20000}"/>
    <cellStyle name="Normal 6 2 5" xfId="29767" xr:uid="{00000000-0005-0000-0000-0000CFA20000}"/>
    <cellStyle name="Normal 6 2 5 10" xfId="29768" xr:uid="{00000000-0005-0000-0000-0000D0A20000}"/>
    <cellStyle name="Normal 6 2 5 11" xfId="29769" xr:uid="{00000000-0005-0000-0000-0000D1A20000}"/>
    <cellStyle name="Normal 6 2 5 12" xfId="29770" xr:uid="{00000000-0005-0000-0000-0000D2A20000}"/>
    <cellStyle name="Normal 6 2 5 13" xfId="29771" xr:uid="{00000000-0005-0000-0000-0000D3A20000}"/>
    <cellStyle name="Normal 6 2 5 14" xfId="29772" xr:uid="{00000000-0005-0000-0000-0000D4A20000}"/>
    <cellStyle name="Normal 6 2 5 15" xfId="29773" xr:uid="{00000000-0005-0000-0000-0000D5A20000}"/>
    <cellStyle name="Normal 6 2 5 2" xfId="29774" xr:uid="{00000000-0005-0000-0000-0000D6A20000}"/>
    <cellStyle name="Normal 6 2 5 2 10" xfId="29775" xr:uid="{00000000-0005-0000-0000-0000D7A20000}"/>
    <cellStyle name="Normal 6 2 5 2 11" xfId="29776" xr:uid="{00000000-0005-0000-0000-0000D8A20000}"/>
    <cellStyle name="Normal 6 2 5 2 12" xfId="29777" xr:uid="{00000000-0005-0000-0000-0000D9A20000}"/>
    <cellStyle name="Normal 6 2 5 2 13" xfId="29778" xr:uid="{00000000-0005-0000-0000-0000DAA20000}"/>
    <cellStyle name="Normal 6 2 5 2 14" xfId="29779" xr:uid="{00000000-0005-0000-0000-0000DBA20000}"/>
    <cellStyle name="Normal 6 2 5 2 2" xfId="29780" xr:uid="{00000000-0005-0000-0000-0000DCA20000}"/>
    <cellStyle name="Normal 6 2 5 2 2 2" xfId="29781" xr:uid="{00000000-0005-0000-0000-0000DDA20000}"/>
    <cellStyle name="Normal 6 2 5 2 2 2 2" xfId="29782" xr:uid="{00000000-0005-0000-0000-0000DEA20000}"/>
    <cellStyle name="Normal 6 2 5 2 2 2 2 2" xfId="29783" xr:uid="{00000000-0005-0000-0000-0000DFA20000}"/>
    <cellStyle name="Normal 6 2 5 2 2 2 2 2 2" xfId="57936" xr:uid="{00000000-0005-0000-0000-0000E0A20000}"/>
    <cellStyle name="Normal 6 2 5 2 2 2 2 2 3" xfId="57937" xr:uid="{00000000-0005-0000-0000-0000E1A20000}"/>
    <cellStyle name="Normal 6 2 5 2 2 2 2 3" xfId="29784" xr:uid="{00000000-0005-0000-0000-0000E2A20000}"/>
    <cellStyle name="Normal 6 2 5 2 2 2 2 3 2" xfId="57938" xr:uid="{00000000-0005-0000-0000-0000E3A20000}"/>
    <cellStyle name="Normal 6 2 5 2 2 2 2 4" xfId="29785" xr:uid="{00000000-0005-0000-0000-0000E4A20000}"/>
    <cellStyle name="Normal 6 2 5 2 2 2 2 5" xfId="29786" xr:uid="{00000000-0005-0000-0000-0000E5A20000}"/>
    <cellStyle name="Normal 6 2 5 2 2 2 2 6" xfId="29787" xr:uid="{00000000-0005-0000-0000-0000E6A20000}"/>
    <cellStyle name="Normal 6 2 5 2 2 2 3" xfId="29788" xr:uid="{00000000-0005-0000-0000-0000E7A20000}"/>
    <cellStyle name="Normal 6 2 5 2 2 2 3 2" xfId="57939" xr:uid="{00000000-0005-0000-0000-0000E8A20000}"/>
    <cellStyle name="Normal 6 2 5 2 2 2 3 3" xfId="57940" xr:uid="{00000000-0005-0000-0000-0000E9A20000}"/>
    <cellStyle name="Normal 6 2 5 2 2 2 4" xfId="29789" xr:uid="{00000000-0005-0000-0000-0000EAA20000}"/>
    <cellStyle name="Normal 6 2 5 2 2 2 4 2" xfId="57941" xr:uid="{00000000-0005-0000-0000-0000EBA20000}"/>
    <cellStyle name="Normal 6 2 5 2 2 2 5" xfId="29790" xr:uid="{00000000-0005-0000-0000-0000ECA20000}"/>
    <cellStyle name="Normal 6 2 5 2 2 2 6" xfId="29791" xr:uid="{00000000-0005-0000-0000-0000EDA20000}"/>
    <cellStyle name="Normal 6 2 5 2 2 2 7" xfId="29792" xr:uid="{00000000-0005-0000-0000-0000EEA20000}"/>
    <cellStyle name="Normal 6 2 5 2 2 3" xfId="29793" xr:uid="{00000000-0005-0000-0000-0000EFA20000}"/>
    <cellStyle name="Normal 6 2 5 2 2 3 2" xfId="29794" xr:uid="{00000000-0005-0000-0000-0000F0A20000}"/>
    <cellStyle name="Normal 6 2 5 2 2 3 2 2" xfId="57942" xr:uid="{00000000-0005-0000-0000-0000F1A20000}"/>
    <cellStyle name="Normal 6 2 5 2 2 3 2 3" xfId="57943" xr:uid="{00000000-0005-0000-0000-0000F2A20000}"/>
    <cellStyle name="Normal 6 2 5 2 2 3 3" xfId="29795" xr:uid="{00000000-0005-0000-0000-0000F3A20000}"/>
    <cellStyle name="Normal 6 2 5 2 2 3 3 2" xfId="57944" xr:uid="{00000000-0005-0000-0000-0000F4A20000}"/>
    <cellStyle name="Normal 6 2 5 2 2 3 4" xfId="29796" xr:uid="{00000000-0005-0000-0000-0000F5A20000}"/>
    <cellStyle name="Normal 6 2 5 2 2 3 5" xfId="29797" xr:uid="{00000000-0005-0000-0000-0000F6A20000}"/>
    <cellStyle name="Normal 6 2 5 2 2 3 6" xfId="29798" xr:uid="{00000000-0005-0000-0000-0000F7A20000}"/>
    <cellStyle name="Normal 6 2 5 2 2 4" xfId="29799" xr:uid="{00000000-0005-0000-0000-0000F8A20000}"/>
    <cellStyle name="Normal 6 2 5 2 2 4 2" xfId="57945" xr:uid="{00000000-0005-0000-0000-0000F9A20000}"/>
    <cellStyle name="Normal 6 2 5 2 2 4 3" xfId="57946" xr:uid="{00000000-0005-0000-0000-0000FAA20000}"/>
    <cellStyle name="Normal 6 2 5 2 2 5" xfId="29800" xr:uid="{00000000-0005-0000-0000-0000FBA20000}"/>
    <cellStyle name="Normal 6 2 5 2 2 5 2" xfId="57947" xr:uid="{00000000-0005-0000-0000-0000FCA20000}"/>
    <cellStyle name="Normal 6 2 5 2 2 6" xfId="29801" xr:uid="{00000000-0005-0000-0000-0000FDA20000}"/>
    <cellStyle name="Normal 6 2 5 2 2 7" xfId="29802" xr:uid="{00000000-0005-0000-0000-0000FEA20000}"/>
    <cellStyle name="Normal 6 2 5 2 2 8" xfId="29803" xr:uid="{00000000-0005-0000-0000-0000FFA20000}"/>
    <cellStyle name="Normal 6 2 5 2 2 9" xfId="29804" xr:uid="{00000000-0005-0000-0000-000000A30000}"/>
    <cellStyle name="Normal 6 2 5 2 3" xfId="29805" xr:uid="{00000000-0005-0000-0000-000001A30000}"/>
    <cellStyle name="Normal 6 2 5 2 3 2" xfId="29806" xr:uid="{00000000-0005-0000-0000-000002A30000}"/>
    <cellStyle name="Normal 6 2 5 2 3 2 2" xfId="29807" xr:uid="{00000000-0005-0000-0000-000003A30000}"/>
    <cellStyle name="Normal 6 2 5 2 3 2 2 2" xfId="29808" xr:uid="{00000000-0005-0000-0000-000004A30000}"/>
    <cellStyle name="Normal 6 2 5 2 3 2 2 2 2" xfId="57948" xr:uid="{00000000-0005-0000-0000-000005A30000}"/>
    <cellStyle name="Normal 6 2 5 2 3 2 2 2 3" xfId="57949" xr:uid="{00000000-0005-0000-0000-000006A30000}"/>
    <cellStyle name="Normal 6 2 5 2 3 2 2 3" xfId="29809" xr:uid="{00000000-0005-0000-0000-000007A30000}"/>
    <cellStyle name="Normal 6 2 5 2 3 2 2 3 2" xfId="57950" xr:uid="{00000000-0005-0000-0000-000008A30000}"/>
    <cellStyle name="Normal 6 2 5 2 3 2 2 4" xfId="29810" xr:uid="{00000000-0005-0000-0000-000009A30000}"/>
    <cellStyle name="Normal 6 2 5 2 3 2 2 5" xfId="29811" xr:uid="{00000000-0005-0000-0000-00000AA30000}"/>
    <cellStyle name="Normal 6 2 5 2 3 2 2 6" xfId="29812" xr:uid="{00000000-0005-0000-0000-00000BA30000}"/>
    <cellStyle name="Normal 6 2 5 2 3 2 3" xfId="29813" xr:uid="{00000000-0005-0000-0000-00000CA30000}"/>
    <cellStyle name="Normal 6 2 5 2 3 2 3 2" xfId="57951" xr:uid="{00000000-0005-0000-0000-00000DA30000}"/>
    <cellStyle name="Normal 6 2 5 2 3 2 3 3" xfId="57952" xr:uid="{00000000-0005-0000-0000-00000EA30000}"/>
    <cellStyle name="Normal 6 2 5 2 3 2 4" xfId="29814" xr:uid="{00000000-0005-0000-0000-00000FA30000}"/>
    <cellStyle name="Normal 6 2 5 2 3 2 4 2" xfId="57953" xr:uid="{00000000-0005-0000-0000-000010A30000}"/>
    <cellStyle name="Normal 6 2 5 2 3 2 5" xfId="29815" xr:uid="{00000000-0005-0000-0000-000011A30000}"/>
    <cellStyle name="Normal 6 2 5 2 3 2 6" xfId="29816" xr:uid="{00000000-0005-0000-0000-000012A30000}"/>
    <cellStyle name="Normal 6 2 5 2 3 2 7" xfId="29817" xr:uid="{00000000-0005-0000-0000-000013A30000}"/>
    <cellStyle name="Normal 6 2 5 2 3 3" xfId="29818" xr:uid="{00000000-0005-0000-0000-000014A30000}"/>
    <cellStyle name="Normal 6 2 5 2 3 3 2" xfId="29819" xr:uid="{00000000-0005-0000-0000-000015A30000}"/>
    <cellStyle name="Normal 6 2 5 2 3 3 2 2" xfId="57954" xr:uid="{00000000-0005-0000-0000-000016A30000}"/>
    <cellStyle name="Normal 6 2 5 2 3 3 2 3" xfId="57955" xr:uid="{00000000-0005-0000-0000-000017A30000}"/>
    <cellStyle name="Normal 6 2 5 2 3 3 3" xfId="29820" xr:uid="{00000000-0005-0000-0000-000018A30000}"/>
    <cellStyle name="Normal 6 2 5 2 3 3 3 2" xfId="57956" xr:uid="{00000000-0005-0000-0000-000019A30000}"/>
    <cellStyle name="Normal 6 2 5 2 3 3 4" xfId="29821" xr:uid="{00000000-0005-0000-0000-00001AA30000}"/>
    <cellStyle name="Normal 6 2 5 2 3 3 5" xfId="29822" xr:uid="{00000000-0005-0000-0000-00001BA30000}"/>
    <cellStyle name="Normal 6 2 5 2 3 3 6" xfId="29823" xr:uid="{00000000-0005-0000-0000-00001CA30000}"/>
    <cellStyle name="Normal 6 2 5 2 3 4" xfId="29824" xr:uid="{00000000-0005-0000-0000-00001DA30000}"/>
    <cellStyle name="Normal 6 2 5 2 3 4 2" xfId="57957" xr:uid="{00000000-0005-0000-0000-00001EA30000}"/>
    <cellStyle name="Normal 6 2 5 2 3 4 3" xfId="57958" xr:uid="{00000000-0005-0000-0000-00001FA30000}"/>
    <cellStyle name="Normal 6 2 5 2 3 5" xfId="29825" xr:uid="{00000000-0005-0000-0000-000020A30000}"/>
    <cellStyle name="Normal 6 2 5 2 3 5 2" xfId="57959" xr:uid="{00000000-0005-0000-0000-000021A30000}"/>
    <cellStyle name="Normal 6 2 5 2 3 6" xfId="29826" xr:uid="{00000000-0005-0000-0000-000022A30000}"/>
    <cellStyle name="Normal 6 2 5 2 3 7" xfId="29827" xr:uid="{00000000-0005-0000-0000-000023A30000}"/>
    <cellStyle name="Normal 6 2 5 2 3 8" xfId="29828" xr:uid="{00000000-0005-0000-0000-000024A30000}"/>
    <cellStyle name="Normal 6 2 5 2 4" xfId="29829" xr:uid="{00000000-0005-0000-0000-000025A30000}"/>
    <cellStyle name="Normal 6 2 5 2 4 2" xfId="29830" xr:uid="{00000000-0005-0000-0000-000026A30000}"/>
    <cellStyle name="Normal 6 2 5 2 4 2 2" xfId="29831" xr:uid="{00000000-0005-0000-0000-000027A30000}"/>
    <cellStyle name="Normal 6 2 5 2 4 2 2 2" xfId="57960" xr:uid="{00000000-0005-0000-0000-000028A30000}"/>
    <cellStyle name="Normal 6 2 5 2 4 2 2 3" xfId="57961" xr:uid="{00000000-0005-0000-0000-000029A30000}"/>
    <cellStyle name="Normal 6 2 5 2 4 2 3" xfId="29832" xr:uid="{00000000-0005-0000-0000-00002AA30000}"/>
    <cellStyle name="Normal 6 2 5 2 4 2 3 2" xfId="57962" xr:uid="{00000000-0005-0000-0000-00002BA30000}"/>
    <cellStyle name="Normal 6 2 5 2 4 2 4" xfId="29833" xr:uid="{00000000-0005-0000-0000-00002CA30000}"/>
    <cellStyle name="Normal 6 2 5 2 4 2 5" xfId="29834" xr:uid="{00000000-0005-0000-0000-00002DA30000}"/>
    <cellStyle name="Normal 6 2 5 2 4 2 6" xfId="29835" xr:uid="{00000000-0005-0000-0000-00002EA30000}"/>
    <cellStyle name="Normal 6 2 5 2 4 3" xfId="29836" xr:uid="{00000000-0005-0000-0000-00002FA30000}"/>
    <cellStyle name="Normal 6 2 5 2 4 3 2" xfId="57963" xr:uid="{00000000-0005-0000-0000-000030A30000}"/>
    <cellStyle name="Normal 6 2 5 2 4 3 3" xfId="57964" xr:uid="{00000000-0005-0000-0000-000031A30000}"/>
    <cellStyle name="Normal 6 2 5 2 4 4" xfId="29837" xr:uid="{00000000-0005-0000-0000-000032A30000}"/>
    <cellStyle name="Normal 6 2 5 2 4 4 2" xfId="57965" xr:uid="{00000000-0005-0000-0000-000033A30000}"/>
    <cellStyle name="Normal 6 2 5 2 4 5" xfId="29838" xr:uid="{00000000-0005-0000-0000-000034A30000}"/>
    <cellStyle name="Normal 6 2 5 2 4 6" xfId="29839" xr:uid="{00000000-0005-0000-0000-000035A30000}"/>
    <cellStyle name="Normal 6 2 5 2 4 7" xfId="29840" xr:uid="{00000000-0005-0000-0000-000036A30000}"/>
    <cellStyle name="Normal 6 2 5 2 5" xfId="29841" xr:uid="{00000000-0005-0000-0000-000037A30000}"/>
    <cellStyle name="Normal 6 2 5 2 5 2" xfId="29842" xr:uid="{00000000-0005-0000-0000-000038A30000}"/>
    <cellStyle name="Normal 6 2 5 2 5 2 2" xfId="57966" xr:uid="{00000000-0005-0000-0000-000039A30000}"/>
    <cellStyle name="Normal 6 2 5 2 5 2 3" xfId="57967" xr:uid="{00000000-0005-0000-0000-00003AA30000}"/>
    <cellStyle name="Normal 6 2 5 2 5 3" xfId="29843" xr:uid="{00000000-0005-0000-0000-00003BA30000}"/>
    <cellStyle name="Normal 6 2 5 2 5 3 2" xfId="57968" xr:uid="{00000000-0005-0000-0000-00003CA30000}"/>
    <cellStyle name="Normal 6 2 5 2 5 4" xfId="29844" xr:uid="{00000000-0005-0000-0000-00003DA30000}"/>
    <cellStyle name="Normal 6 2 5 2 5 5" xfId="29845" xr:uid="{00000000-0005-0000-0000-00003EA30000}"/>
    <cellStyle name="Normal 6 2 5 2 5 6" xfId="29846" xr:uid="{00000000-0005-0000-0000-00003FA30000}"/>
    <cellStyle name="Normal 6 2 5 2 6" xfId="29847" xr:uid="{00000000-0005-0000-0000-000040A30000}"/>
    <cellStyle name="Normal 6 2 5 2 6 2" xfId="57969" xr:uid="{00000000-0005-0000-0000-000041A30000}"/>
    <cellStyle name="Normal 6 2 5 2 6 3" xfId="57970" xr:uid="{00000000-0005-0000-0000-000042A30000}"/>
    <cellStyle name="Normal 6 2 5 2 7" xfId="29848" xr:uid="{00000000-0005-0000-0000-000043A30000}"/>
    <cellStyle name="Normal 6 2 5 2 7 2" xfId="57971" xr:uid="{00000000-0005-0000-0000-000044A30000}"/>
    <cellStyle name="Normal 6 2 5 2 8" xfId="29849" xr:uid="{00000000-0005-0000-0000-000045A30000}"/>
    <cellStyle name="Normal 6 2 5 2 9" xfId="29850" xr:uid="{00000000-0005-0000-0000-000046A30000}"/>
    <cellStyle name="Normal 6 2 5 3" xfId="29851" xr:uid="{00000000-0005-0000-0000-000047A30000}"/>
    <cellStyle name="Normal 6 2 5 3 2" xfId="29852" xr:uid="{00000000-0005-0000-0000-000048A30000}"/>
    <cellStyle name="Normal 6 2 5 3 2 2" xfId="29853" xr:uid="{00000000-0005-0000-0000-000049A30000}"/>
    <cellStyle name="Normal 6 2 5 3 2 2 2" xfId="29854" xr:uid="{00000000-0005-0000-0000-00004AA30000}"/>
    <cellStyle name="Normal 6 2 5 3 2 2 2 2" xfId="57972" xr:uid="{00000000-0005-0000-0000-00004BA30000}"/>
    <cellStyle name="Normal 6 2 5 3 2 2 2 3" xfId="57973" xr:uid="{00000000-0005-0000-0000-00004CA30000}"/>
    <cellStyle name="Normal 6 2 5 3 2 2 3" xfId="29855" xr:uid="{00000000-0005-0000-0000-00004DA30000}"/>
    <cellStyle name="Normal 6 2 5 3 2 2 3 2" xfId="57974" xr:uid="{00000000-0005-0000-0000-00004EA30000}"/>
    <cellStyle name="Normal 6 2 5 3 2 2 4" xfId="29856" xr:uid="{00000000-0005-0000-0000-00004FA30000}"/>
    <cellStyle name="Normal 6 2 5 3 2 2 5" xfId="29857" xr:uid="{00000000-0005-0000-0000-000050A30000}"/>
    <cellStyle name="Normal 6 2 5 3 2 2 6" xfId="29858" xr:uid="{00000000-0005-0000-0000-000051A30000}"/>
    <cellStyle name="Normal 6 2 5 3 2 3" xfId="29859" xr:uid="{00000000-0005-0000-0000-000052A30000}"/>
    <cellStyle name="Normal 6 2 5 3 2 3 2" xfId="57975" xr:uid="{00000000-0005-0000-0000-000053A30000}"/>
    <cellStyle name="Normal 6 2 5 3 2 3 3" xfId="57976" xr:uid="{00000000-0005-0000-0000-000054A30000}"/>
    <cellStyle name="Normal 6 2 5 3 2 4" xfId="29860" xr:uid="{00000000-0005-0000-0000-000055A30000}"/>
    <cellStyle name="Normal 6 2 5 3 2 4 2" xfId="57977" xr:uid="{00000000-0005-0000-0000-000056A30000}"/>
    <cellStyle name="Normal 6 2 5 3 2 5" xfId="29861" xr:uid="{00000000-0005-0000-0000-000057A30000}"/>
    <cellStyle name="Normal 6 2 5 3 2 6" xfId="29862" xr:uid="{00000000-0005-0000-0000-000058A30000}"/>
    <cellStyle name="Normal 6 2 5 3 2 7" xfId="29863" xr:uid="{00000000-0005-0000-0000-000059A30000}"/>
    <cellStyle name="Normal 6 2 5 3 3" xfId="29864" xr:uid="{00000000-0005-0000-0000-00005AA30000}"/>
    <cellStyle name="Normal 6 2 5 3 3 2" xfId="29865" xr:uid="{00000000-0005-0000-0000-00005BA30000}"/>
    <cellStyle name="Normal 6 2 5 3 3 2 2" xfId="57978" xr:uid="{00000000-0005-0000-0000-00005CA30000}"/>
    <cellStyle name="Normal 6 2 5 3 3 2 3" xfId="57979" xr:uid="{00000000-0005-0000-0000-00005DA30000}"/>
    <cellStyle name="Normal 6 2 5 3 3 3" xfId="29866" xr:uid="{00000000-0005-0000-0000-00005EA30000}"/>
    <cellStyle name="Normal 6 2 5 3 3 3 2" xfId="57980" xr:uid="{00000000-0005-0000-0000-00005FA30000}"/>
    <cellStyle name="Normal 6 2 5 3 3 4" xfId="29867" xr:uid="{00000000-0005-0000-0000-000060A30000}"/>
    <cellStyle name="Normal 6 2 5 3 3 5" xfId="29868" xr:uid="{00000000-0005-0000-0000-000061A30000}"/>
    <cellStyle name="Normal 6 2 5 3 3 6" xfId="29869" xr:uid="{00000000-0005-0000-0000-000062A30000}"/>
    <cellStyle name="Normal 6 2 5 3 4" xfId="29870" xr:uid="{00000000-0005-0000-0000-000063A30000}"/>
    <cellStyle name="Normal 6 2 5 3 4 2" xfId="57981" xr:uid="{00000000-0005-0000-0000-000064A30000}"/>
    <cellStyle name="Normal 6 2 5 3 4 3" xfId="57982" xr:uid="{00000000-0005-0000-0000-000065A30000}"/>
    <cellStyle name="Normal 6 2 5 3 5" xfId="29871" xr:uid="{00000000-0005-0000-0000-000066A30000}"/>
    <cellStyle name="Normal 6 2 5 3 5 2" xfId="57983" xr:uid="{00000000-0005-0000-0000-000067A30000}"/>
    <cellStyle name="Normal 6 2 5 3 6" xfId="29872" xr:uid="{00000000-0005-0000-0000-000068A30000}"/>
    <cellStyle name="Normal 6 2 5 3 7" xfId="29873" xr:uid="{00000000-0005-0000-0000-000069A30000}"/>
    <cellStyle name="Normal 6 2 5 3 8" xfId="29874" xr:uid="{00000000-0005-0000-0000-00006AA30000}"/>
    <cellStyle name="Normal 6 2 5 3 9" xfId="29875" xr:uid="{00000000-0005-0000-0000-00006BA30000}"/>
    <cellStyle name="Normal 6 2 5 4" xfId="29876" xr:uid="{00000000-0005-0000-0000-00006CA30000}"/>
    <cellStyle name="Normal 6 2 5 4 2" xfId="29877" xr:uid="{00000000-0005-0000-0000-00006DA30000}"/>
    <cellStyle name="Normal 6 2 5 4 2 2" xfId="29878" xr:uid="{00000000-0005-0000-0000-00006EA30000}"/>
    <cellStyle name="Normal 6 2 5 4 2 2 2" xfId="29879" xr:uid="{00000000-0005-0000-0000-00006FA30000}"/>
    <cellStyle name="Normal 6 2 5 4 2 2 2 2" xfId="57984" xr:uid="{00000000-0005-0000-0000-000070A30000}"/>
    <cellStyle name="Normal 6 2 5 4 2 2 2 3" xfId="57985" xr:uid="{00000000-0005-0000-0000-000071A30000}"/>
    <cellStyle name="Normal 6 2 5 4 2 2 3" xfId="29880" xr:uid="{00000000-0005-0000-0000-000072A30000}"/>
    <cellStyle name="Normal 6 2 5 4 2 2 3 2" xfId="57986" xr:uid="{00000000-0005-0000-0000-000073A30000}"/>
    <cellStyle name="Normal 6 2 5 4 2 2 4" xfId="29881" xr:uid="{00000000-0005-0000-0000-000074A30000}"/>
    <cellStyle name="Normal 6 2 5 4 2 2 5" xfId="29882" xr:uid="{00000000-0005-0000-0000-000075A30000}"/>
    <cellStyle name="Normal 6 2 5 4 2 2 6" xfId="29883" xr:uid="{00000000-0005-0000-0000-000076A30000}"/>
    <cellStyle name="Normal 6 2 5 4 2 3" xfId="29884" xr:uid="{00000000-0005-0000-0000-000077A30000}"/>
    <cellStyle name="Normal 6 2 5 4 2 3 2" xfId="57987" xr:uid="{00000000-0005-0000-0000-000078A30000}"/>
    <cellStyle name="Normal 6 2 5 4 2 3 3" xfId="57988" xr:uid="{00000000-0005-0000-0000-000079A30000}"/>
    <cellStyle name="Normal 6 2 5 4 2 4" xfId="29885" xr:uid="{00000000-0005-0000-0000-00007AA30000}"/>
    <cellStyle name="Normal 6 2 5 4 2 4 2" xfId="57989" xr:uid="{00000000-0005-0000-0000-00007BA30000}"/>
    <cellStyle name="Normal 6 2 5 4 2 5" xfId="29886" xr:uid="{00000000-0005-0000-0000-00007CA30000}"/>
    <cellStyle name="Normal 6 2 5 4 2 6" xfId="29887" xr:uid="{00000000-0005-0000-0000-00007DA30000}"/>
    <cellStyle name="Normal 6 2 5 4 2 7" xfId="29888" xr:uid="{00000000-0005-0000-0000-00007EA30000}"/>
    <cellStyle name="Normal 6 2 5 4 3" xfId="29889" xr:uid="{00000000-0005-0000-0000-00007FA30000}"/>
    <cellStyle name="Normal 6 2 5 4 3 2" xfId="29890" xr:uid="{00000000-0005-0000-0000-000080A30000}"/>
    <cellStyle name="Normal 6 2 5 4 3 2 2" xfId="57990" xr:uid="{00000000-0005-0000-0000-000081A30000}"/>
    <cellStyle name="Normal 6 2 5 4 3 2 3" xfId="57991" xr:uid="{00000000-0005-0000-0000-000082A30000}"/>
    <cellStyle name="Normal 6 2 5 4 3 3" xfId="29891" xr:uid="{00000000-0005-0000-0000-000083A30000}"/>
    <cellStyle name="Normal 6 2 5 4 3 3 2" xfId="57992" xr:uid="{00000000-0005-0000-0000-000084A30000}"/>
    <cellStyle name="Normal 6 2 5 4 3 4" xfId="29892" xr:uid="{00000000-0005-0000-0000-000085A30000}"/>
    <cellStyle name="Normal 6 2 5 4 3 5" xfId="29893" xr:uid="{00000000-0005-0000-0000-000086A30000}"/>
    <cellStyle name="Normal 6 2 5 4 3 6" xfId="29894" xr:uid="{00000000-0005-0000-0000-000087A30000}"/>
    <cellStyle name="Normal 6 2 5 4 4" xfId="29895" xr:uid="{00000000-0005-0000-0000-000088A30000}"/>
    <cellStyle name="Normal 6 2 5 4 4 2" xfId="57993" xr:uid="{00000000-0005-0000-0000-000089A30000}"/>
    <cellStyle name="Normal 6 2 5 4 4 3" xfId="57994" xr:uid="{00000000-0005-0000-0000-00008AA30000}"/>
    <cellStyle name="Normal 6 2 5 4 5" xfId="29896" xr:uid="{00000000-0005-0000-0000-00008BA30000}"/>
    <cellStyle name="Normal 6 2 5 4 5 2" xfId="57995" xr:uid="{00000000-0005-0000-0000-00008CA30000}"/>
    <cellStyle name="Normal 6 2 5 4 6" xfId="29897" xr:uid="{00000000-0005-0000-0000-00008DA30000}"/>
    <cellStyle name="Normal 6 2 5 4 7" xfId="29898" xr:uid="{00000000-0005-0000-0000-00008EA30000}"/>
    <cellStyle name="Normal 6 2 5 4 8" xfId="29899" xr:uid="{00000000-0005-0000-0000-00008FA30000}"/>
    <cellStyle name="Normal 6 2 5 5" xfId="29900" xr:uid="{00000000-0005-0000-0000-000090A30000}"/>
    <cellStyle name="Normal 6 2 5 5 2" xfId="29901" xr:uid="{00000000-0005-0000-0000-000091A30000}"/>
    <cellStyle name="Normal 6 2 5 5 2 2" xfId="29902" xr:uid="{00000000-0005-0000-0000-000092A30000}"/>
    <cellStyle name="Normal 6 2 5 5 2 2 2" xfId="57996" xr:uid="{00000000-0005-0000-0000-000093A30000}"/>
    <cellStyle name="Normal 6 2 5 5 2 2 3" xfId="57997" xr:uid="{00000000-0005-0000-0000-000094A30000}"/>
    <cellStyle name="Normal 6 2 5 5 2 3" xfId="29903" xr:uid="{00000000-0005-0000-0000-000095A30000}"/>
    <cellStyle name="Normal 6 2 5 5 2 3 2" xfId="57998" xr:uid="{00000000-0005-0000-0000-000096A30000}"/>
    <cellStyle name="Normal 6 2 5 5 2 4" xfId="29904" xr:uid="{00000000-0005-0000-0000-000097A30000}"/>
    <cellStyle name="Normal 6 2 5 5 2 5" xfId="29905" xr:uid="{00000000-0005-0000-0000-000098A30000}"/>
    <cellStyle name="Normal 6 2 5 5 2 6" xfId="29906" xr:uid="{00000000-0005-0000-0000-000099A30000}"/>
    <cellStyle name="Normal 6 2 5 5 3" xfId="29907" xr:uid="{00000000-0005-0000-0000-00009AA30000}"/>
    <cellStyle name="Normal 6 2 5 5 3 2" xfId="57999" xr:uid="{00000000-0005-0000-0000-00009BA30000}"/>
    <cellStyle name="Normal 6 2 5 5 3 3" xfId="58000" xr:uid="{00000000-0005-0000-0000-00009CA30000}"/>
    <cellStyle name="Normal 6 2 5 5 4" xfId="29908" xr:uid="{00000000-0005-0000-0000-00009DA30000}"/>
    <cellStyle name="Normal 6 2 5 5 4 2" xfId="58001" xr:uid="{00000000-0005-0000-0000-00009EA30000}"/>
    <cellStyle name="Normal 6 2 5 5 5" xfId="29909" xr:uid="{00000000-0005-0000-0000-00009FA30000}"/>
    <cellStyle name="Normal 6 2 5 5 6" xfId="29910" xr:uid="{00000000-0005-0000-0000-0000A0A30000}"/>
    <cellStyle name="Normal 6 2 5 5 7" xfId="29911" xr:uid="{00000000-0005-0000-0000-0000A1A30000}"/>
    <cellStyle name="Normal 6 2 5 6" xfId="29912" xr:uid="{00000000-0005-0000-0000-0000A2A30000}"/>
    <cellStyle name="Normal 6 2 5 6 2" xfId="29913" xr:uid="{00000000-0005-0000-0000-0000A3A30000}"/>
    <cellStyle name="Normal 6 2 5 6 2 2" xfId="58002" xr:uid="{00000000-0005-0000-0000-0000A4A30000}"/>
    <cellStyle name="Normal 6 2 5 6 2 3" xfId="58003" xr:uid="{00000000-0005-0000-0000-0000A5A30000}"/>
    <cellStyle name="Normal 6 2 5 6 3" xfId="29914" xr:uid="{00000000-0005-0000-0000-0000A6A30000}"/>
    <cellStyle name="Normal 6 2 5 6 3 2" xfId="58004" xr:uid="{00000000-0005-0000-0000-0000A7A30000}"/>
    <cellStyle name="Normal 6 2 5 6 4" xfId="29915" xr:uid="{00000000-0005-0000-0000-0000A8A30000}"/>
    <cellStyle name="Normal 6 2 5 6 5" xfId="29916" xr:uid="{00000000-0005-0000-0000-0000A9A30000}"/>
    <cellStyle name="Normal 6 2 5 6 6" xfId="29917" xr:uid="{00000000-0005-0000-0000-0000AAA30000}"/>
    <cellStyle name="Normal 6 2 5 7" xfId="29918" xr:uid="{00000000-0005-0000-0000-0000ABA30000}"/>
    <cellStyle name="Normal 6 2 5 7 2" xfId="58005" xr:uid="{00000000-0005-0000-0000-0000ACA30000}"/>
    <cellStyle name="Normal 6 2 5 7 3" xfId="58006" xr:uid="{00000000-0005-0000-0000-0000ADA30000}"/>
    <cellStyle name="Normal 6 2 5 8" xfId="29919" xr:uid="{00000000-0005-0000-0000-0000AEA30000}"/>
    <cellStyle name="Normal 6 2 5 8 2" xfId="58007" xr:uid="{00000000-0005-0000-0000-0000AFA30000}"/>
    <cellStyle name="Normal 6 2 5 9" xfId="29920" xr:uid="{00000000-0005-0000-0000-0000B0A30000}"/>
    <cellStyle name="Normal 6 2 5 9 2" xfId="58008" xr:uid="{00000000-0005-0000-0000-0000B1A30000}"/>
    <cellStyle name="Normal 6 2 6" xfId="29921" xr:uid="{00000000-0005-0000-0000-0000B2A30000}"/>
    <cellStyle name="Normal 6 2 6 10" xfId="29922" xr:uid="{00000000-0005-0000-0000-0000B3A30000}"/>
    <cellStyle name="Normal 6 2 6 11" xfId="29923" xr:uid="{00000000-0005-0000-0000-0000B4A30000}"/>
    <cellStyle name="Normal 6 2 6 12" xfId="29924" xr:uid="{00000000-0005-0000-0000-0000B5A30000}"/>
    <cellStyle name="Normal 6 2 6 13" xfId="29925" xr:uid="{00000000-0005-0000-0000-0000B6A30000}"/>
    <cellStyle name="Normal 6 2 6 14" xfId="29926" xr:uid="{00000000-0005-0000-0000-0000B7A30000}"/>
    <cellStyle name="Normal 6 2 6 2" xfId="29927" xr:uid="{00000000-0005-0000-0000-0000B8A30000}"/>
    <cellStyle name="Normal 6 2 6 2 2" xfId="29928" xr:uid="{00000000-0005-0000-0000-0000B9A30000}"/>
    <cellStyle name="Normal 6 2 6 2 2 2" xfId="29929" xr:uid="{00000000-0005-0000-0000-0000BAA30000}"/>
    <cellStyle name="Normal 6 2 6 2 2 2 2" xfId="29930" xr:uid="{00000000-0005-0000-0000-0000BBA30000}"/>
    <cellStyle name="Normal 6 2 6 2 2 2 2 2" xfId="58009" xr:uid="{00000000-0005-0000-0000-0000BCA30000}"/>
    <cellStyle name="Normal 6 2 6 2 2 2 2 3" xfId="58010" xr:uid="{00000000-0005-0000-0000-0000BDA30000}"/>
    <cellStyle name="Normal 6 2 6 2 2 2 3" xfId="29931" xr:uid="{00000000-0005-0000-0000-0000BEA30000}"/>
    <cellStyle name="Normal 6 2 6 2 2 2 3 2" xfId="58011" xr:uid="{00000000-0005-0000-0000-0000BFA30000}"/>
    <cellStyle name="Normal 6 2 6 2 2 2 4" xfId="29932" xr:uid="{00000000-0005-0000-0000-0000C0A30000}"/>
    <cellStyle name="Normal 6 2 6 2 2 2 5" xfId="29933" xr:uid="{00000000-0005-0000-0000-0000C1A30000}"/>
    <cellStyle name="Normal 6 2 6 2 2 2 6" xfId="29934" xr:uid="{00000000-0005-0000-0000-0000C2A30000}"/>
    <cellStyle name="Normal 6 2 6 2 2 3" xfId="29935" xr:uid="{00000000-0005-0000-0000-0000C3A30000}"/>
    <cellStyle name="Normal 6 2 6 2 2 3 2" xfId="58012" xr:uid="{00000000-0005-0000-0000-0000C4A30000}"/>
    <cellStyle name="Normal 6 2 6 2 2 3 3" xfId="58013" xr:uid="{00000000-0005-0000-0000-0000C5A30000}"/>
    <cellStyle name="Normal 6 2 6 2 2 4" xfId="29936" xr:uid="{00000000-0005-0000-0000-0000C6A30000}"/>
    <cellStyle name="Normal 6 2 6 2 2 4 2" xfId="58014" xr:uid="{00000000-0005-0000-0000-0000C7A30000}"/>
    <cellStyle name="Normal 6 2 6 2 2 5" xfId="29937" xr:uid="{00000000-0005-0000-0000-0000C8A30000}"/>
    <cellStyle name="Normal 6 2 6 2 2 6" xfId="29938" xr:uid="{00000000-0005-0000-0000-0000C9A30000}"/>
    <cellStyle name="Normal 6 2 6 2 2 7" xfId="29939" xr:uid="{00000000-0005-0000-0000-0000CAA30000}"/>
    <cellStyle name="Normal 6 2 6 2 3" xfId="29940" xr:uid="{00000000-0005-0000-0000-0000CBA30000}"/>
    <cellStyle name="Normal 6 2 6 2 3 2" xfId="29941" xr:uid="{00000000-0005-0000-0000-0000CCA30000}"/>
    <cellStyle name="Normal 6 2 6 2 3 2 2" xfId="58015" xr:uid="{00000000-0005-0000-0000-0000CDA30000}"/>
    <cellStyle name="Normal 6 2 6 2 3 2 3" xfId="58016" xr:uid="{00000000-0005-0000-0000-0000CEA30000}"/>
    <cellStyle name="Normal 6 2 6 2 3 3" xfId="29942" xr:uid="{00000000-0005-0000-0000-0000CFA30000}"/>
    <cellStyle name="Normal 6 2 6 2 3 3 2" xfId="58017" xr:uid="{00000000-0005-0000-0000-0000D0A30000}"/>
    <cellStyle name="Normal 6 2 6 2 3 4" xfId="29943" xr:uid="{00000000-0005-0000-0000-0000D1A30000}"/>
    <cellStyle name="Normal 6 2 6 2 3 5" xfId="29944" xr:uid="{00000000-0005-0000-0000-0000D2A30000}"/>
    <cellStyle name="Normal 6 2 6 2 3 6" xfId="29945" xr:uid="{00000000-0005-0000-0000-0000D3A30000}"/>
    <cellStyle name="Normal 6 2 6 2 4" xfId="29946" xr:uid="{00000000-0005-0000-0000-0000D4A30000}"/>
    <cellStyle name="Normal 6 2 6 2 4 2" xfId="58018" xr:uid="{00000000-0005-0000-0000-0000D5A30000}"/>
    <cellStyle name="Normal 6 2 6 2 4 3" xfId="58019" xr:uid="{00000000-0005-0000-0000-0000D6A30000}"/>
    <cellStyle name="Normal 6 2 6 2 5" xfId="29947" xr:uid="{00000000-0005-0000-0000-0000D7A30000}"/>
    <cellStyle name="Normal 6 2 6 2 5 2" xfId="58020" xr:uid="{00000000-0005-0000-0000-0000D8A30000}"/>
    <cellStyle name="Normal 6 2 6 2 6" xfId="29948" xr:uid="{00000000-0005-0000-0000-0000D9A30000}"/>
    <cellStyle name="Normal 6 2 6 2 7" xfId="29949" xr:uid="{00000000-0005-0000-0000-0000DAA30000}"/>
    <cellStyle name="Normal 6 2 6 2 8" xfId="29950" xr:uid="{00000000-0005-0000-0000-0000DBA30000}"/>
    <cellStyle name="Normal 6 2 6 2 9" xfId="29951" xr:uid="{00000000-0005-0000-0000-0000DCA30000}"/>
    <cellStyle name="Normal 6 2 6 3" xfId="29952" xr:uid="{00000000-0005-0000-0000-0000DDA30000}"/>
    <cellStyle name="Normal 6 2 6 3 2" xfId="29953" xr:uid="{00000000-0005-0000-0000-0000DEA30000}"/>
    <cellStyle name="Normal 6 2 6 3 2 2" xfId="29954" xr:uid="{00000000-0005-0000-0000-0000DFA30000}"/>
    <cellStyle name="Normal 6 2 6 3 2 2 2" xfId="29955" xr:uid="{00000000-0005-0000-0000-0000E0A30000}"/>
    <cellStyle name="Normal 6 2 6 3 2 2 2 2" xfId="58021" xr:uid="{00000000-0005-0000-0000-0000E1A30000}"/>
    <cellStyle name="Normal 6 2 6 3 2 2 2 3" xfId="58022" xr:uid="{00000000-0005-0000-0000-0000E2A30000}"/>
    <cellStyle name="Normal 6 2 6 3 2 2 3" xfId="29956" xr:uid="{00000000-0005-0000-0000-0000E3A30000}"/>
    <cellStyle name="Normal 6 2 6 3 2 2 3 2" xfId="58023" xr:uid="{00000000-0005-0000-0000-0000E4A30000}"/>
    <cellStyle name="Normal 6 2 6 3 2 2 4" xfId="29957" xr:uid="{00000000-0005-0000-0000-0000E5A30000}"/>
    <cellStyle name="Normal 6 2 6 3 2 2 5" xfId="29958" xr:uid="{00000000-0005-0000-0000-0000E6A30000}"/>
    <cellStyle name="Normal 6 2 6 3 2 2 6" xfId="29959" xr:uid="{00000000-0005-0000-0000-0000E7A30000}"/>
    <cellStyle name="Normal 6 2 6 3 2 3" xfId="29960" xr:uid="{00000000-0005-0000-0000-0000E8A30000}"/>
    <cellStyle name="Normal 6 2 6 3 2 3 2" xfId="58024" xr:uid="{00000000-0005-0000-0000-0000E9A30000}"/>
    <cellStyle name="Normal 6 2 6 3 2 3 3" xfId="58025" xr:uid="{00000000-0005-0000-0000-0000EAA30000}"/>
    <cellStyle name="Normal 6 2 6 3 2 4" xfId="29961" xr:uid="{00000000-0005-0000-0000-0000EBA30000}"/>
    <cellStyle name="Normal 6 2 6 3 2 4 2" xfId="58026" xr:uid="{00000000-0005-0000-0000-0000ECA30000}"/>
    <cellStyle name="Normal 6 2 6 3 2 5" xfId="29962" xr:uid="{00000000-0005-0000-0000-0000EDA30000}"/>
    <cellStyle name="Normal 6 2 6 3 2 6" xfId="29963" xr:uid="{00000000-0005-0000-0000-0000EEA30000}"/>
    <cellStyle name="Normal 6 2 6 3 2 7" xfId="29964" xr:uid="{00000000-0005-0000-0000-0000EFA30000}"/>
    <cellStyle name="Normal 6 2 6 3 3" xfId="29965" xr:uid="{00000000-0005-0000-0000-0000F0A30000}"/>
    <cellStyle name="Normal 6 2 6 3 3 2" xfId="29966" xr:uid="{00000000-0005-0000-0000-0000F1A30000}"/>
    <cellStyle name="Normal 6 2 6 3 3 2 2" xfId="58027" xr:uid="{00000000-0005-0000-0000-0000F2A30000}"/>
    <cellStyle name="Normal 6 2 6 3 3 2 3" xfId="58028" xr:uid="{00000000-0005-0000-0000-0000F3A30000}"/>
    <cellStyle name="Normal 6 2 6 3 3 3" xfId="29967" xr:uid="{00000000-0005-0000-0000-0000F4A30000}"/>
    <cellStyle name="Normal 6 2 6 3 3 3 2" xfId="58029" xr:uid="{00000000-0005-0000-0000-0000F5A30000}"/>
    <cellStyle name="Normal 6 2 6 3 3 4" xfId="29968" xr:uid="{00000000-0005-0000-0000-0000F6A30000}"/>
    <cellStyle name="Normal 6 2 6 3 3 5" xfId="29969" xr:uid="{00000000-0005-0000-0000-0000F7A30000}"/>
    <cellStyle name="Normal 6 2 6 3 3 6" xfId="29970" xr:uid="{00000000-0005-0000-0000-0000F8A30000}"/>
    <cellStyle name="Normal 6 2 6 3 4" xfId="29971" xr:uid="{00000000-0005-0000-0000-0000F9A30000}"/>
    <cellStyle name="Normal 6 2 6 3 4 2" xfId="58030" xr:uid="{00000000-0005-0000-0000-0000FAA30000}"/>
    <cellStyle name="Normal 6 2 6 3 4 3" xfId="58031" xr:uid="{00000000-0005-0000-0000-0000FBA30000}"/>
    <cellStyle name="Normal 6 2 6 3 5" xfId="29972" xr:uid="{00000000-0005-0000-0000-0000FCA30000}"/>
    <cellStyle name="Normal 6 2 6 3 5 2" xfId="58032" xr:uid="{00000000-0005-0000-0000-0000FDA30000}"/>
    <cellStyle name="Normal 6 2 6 3 6" xfId="29973" xr:uid="{00000000-0005-0000-0000-0000FEA30000}"/>
    <cellStyle name="Normal 6 2 6 3 7" xfId="29974" xr:uid="{00000000-0005-0000-0000-0000FFA30000}"/>
    <cellStyle name="Normal 6 2 6 3 8" xfId="29975" xr:uid="{00000000-0005-0000-0000-000000A40000}"/>
    <cellStyle name="Normal 6 2 6 4" xfId="29976" xr:uid="{00000000-0005-0000-0000-000001A40000}"/>
    <cellStyle name="Normal 6 2 6 4 2" xfId="29977" xr:uid="{00000000-0005-0000-0000-000002A40000}"/>
    <cellStyle name="Normal 6 2 6 4 2 2" xfId="29978" xr:uid="{00000000-0005-0000-0000-000003A40000}"/>
    <cellStyle name="Normal 6 2 6 4 2 2 2" xfId="58033" xr:uid="{00000000-0005-0000-0000-000004A40000}"/>
    <cellStyle name="Normal 6 2 6 4 2 2 3" xfId="58034" xr:uid="{00000000-0005-0000-0000-000005A40000}"/>
    <cellStyle name="Normal 6 2 6 4 2 3" xfId="29979" xr:uid="{00000000-0005-0000-0000-000006A40000}"/>
    <cellStyle name="Normal 6 2 6 4 2 3 2" xfId="58035" xr:uid="{00000000-0005-0000-0000-000007A40000}"/>
    <cellStyle name="Normal 6 2 6 4 2 4" xfId="29980" xr:uid="{00000000-0005-0000-0000-000008A40000}"/>
    <cellStyle name="Normal 6 2 6 4 2 5" xfId="29981" xr:uid="{00000000-0005-0000-0000-000009A40000}"/>
    <cellStyle name="Normal 6 2 6 4 2 6" xfId="29982" xr:uid="{00000000-0005-0000-0000-00000AA40000}"/>
    <cellStyle name="Normal 6 2 6 4 3" xfId="29983" xr:uid="{00000000-0005-0000-0000-00000BA40000}"/>
    <cellStyle name="Normal 6 2 6 4 3 2" xfId="58036" xr:uid="{00000000-0005-0000-0000-00000CA40000}"/>
    <cellStyle name="Normal 6 2 6 4 3 3" xfId="58037" xr:uid="{00000000-0005-0000-0000-00000DA40000}"/>
    <cellStyle name="Normal 6 2 6 4 4" xfId="29984" xr:uid="{00000000-0005-0000-0000-00000EA40000}"/>
    <cellStyle name="Normal 6 2 6 4 4 2" xfId="58038" xr:uid="{00000000-0005-0000-0000-00000FA40000}"/>
    <cellStyle name="Normal 6 2 6 4 5" xfId="29985" xr:uid="{00000000-0005-0000-0000-000010A40000}"/>
    <cellStyle name="Normal 6 2 6 4 6" xfId="29986" xr:uid="{00000000-0005-0000-0000-000011A40000}"/>
    <cellStyle name="Normal 6 2 6 4 7" xfId="29987" xr:uid="{00000000-0005-0000-0000-000012A40000}"/>
    <cellStyle name="Normal 6 2 6 5" xfId="29988" xr:uid="{00000000-0005-0000-0000-000013A40000}"/>
    <cellStyle name="Normal 6 2 6 5 2" xfId="29989" xr:uid="{00000000-0005-0000-0000-000014A40000}"/>
    <cellStyle name="Normal 6 2 6 5 2 2" xfId="58039" xr:uid="{00000000-0005-0000-0000-000015A40000}"/>
    <cellStyle name="Normal 6 2 6 5 2 3" xfId="58040" xr:uid="{00000000-0005-0000-0000-000016A40000}"/>
    <cellStyle name="Normal 6 2 6 5 3" xfId="29990" xr:uid="{00000000-0005-0000-0000-000017A40000}"/>
    <cellStyle name="Normal 6 2 6 5 3 2" xfId="58041" xr:uid="{00000000-0005-0000-0000-000018A40000}"/>
    <cellStyle name="Normal 6 2 6 5 4" xfId="29991" xr:uid="{00000000-0005-0000-0000-000019A40000}"/>
    <cellStyle name="Normal 6 2 6 5 5" xfId="29992" xr:uid="{00000000-0005-0000-0000-00001AA40000}"/>
    <cellStyle name="Normal 6 2 6 5 6" xfId="29993" xr:uid="{00000000-0005-0000-0000-00001BA40000}"/>
    <cellStyle name="Normal 6 2 6 6" xfId="29994" xr:uid="{00000000-0005-0000-0000-00001CA40000}"/>
    <cellStyle name="Normal 6 2 6 6 2" xfId="58042" xr:uid="{00000000-0005-0000-0000-00001DA40000}"/>
    <cellStyle name="Normal 6 2 6 6 3" xfId="58043" xr:uid="{00000000-0005-0000-0000-00001EA40000}"/>
    <cellStyle name="Normal 6 2 6 7" xfId="29995" xr:uid="{00000000-0005-0000-0000-00001FA40000}"/>
    <cellStyle name="Normal 6 2 6 7 2" xfId="58044" xr:uid="{00000000-0005-0000-0000-000020A40000}"/>
    <cellStyle name="Normal 6 2 6 8" xfId="29996" xr:uid="{00000000-0005-0000-0000-000021A40000}"/>
    <cellStyle name="Normal 6 2 6 9" xfId="29997" xr:uid="{00000000-0005-0000-0000-000022A40000}"/>
    <cellStyle name="Normal 6 2 7" xfId="29998" xr:uid="{00000000-0005-0000-0000-000023A40000}"/>
    <cellStyle name="Normal 6 2 7 10" xfId="29999" xr:uid="{00000000-0005-0000-0000-000024A40000}"/>
    <cellStyle name="Normal 6 2 7 11" xfId="30000" xr:uid="{00000000-0005-0000-0000-000025A40000}"/>
    <cellStyle name="Normal 6 2 7 12" xfId="30001" xr:uid="{00000000-0005-0000-0000-000026A40000}"/>
    <cellStyle name="Normal 6 2 7 13" xfId="30002" xr:uid="{00000000-0005-0000-0000-000027A40000}"/>
    <cellStyle name="Normal 6 2 7 14" xfId="30003" xr:uid="{00000000-0005-0000-0000-000028A40000}"/>
    <cellStyle name="Normal 6 2 7 2" xfId="30004" xr:uid="{00000000-0005-0000-0000-000029A40000}"/>
    <cellStyle name="Normal 6 2 7 2 2" xfId="30005" xr:uid="{00000000-0005-0000-0000-00002AA40000}"/>
    <cellStyle name="Normal 6 2 7 2 2 2" xfId="30006" xr:uid="{00000000-0005-0000-0000-00002BA40000}"/>
    <cellStyle name="Normal 6 2 7 2 2 2 2" xfId="30007" xr:uid="{00000000-0005-0000-0000-00002CA40000}"/>
    <cellStyle name="Normal 6 2 7 2 2 2 2 2" xfId="58045" xr:uid="{00000000-0005-0000-0000-00002DA40000}"/>
    <cellStyle name="Normal 6 2 7 2 2 2 2 3" xfId="58046" xr:uid="{00000000-0005-0000-0000-00002EA40000}"/>
    <cellStyle name="Normal 6 2 7 2 2 2 3" xfId="30008" xr:uid="{00000000-0005-0000-0000-00002FA40000}"/>
    <cellStyle name="Normal 6 2 7 2 2 2 3 2" xfId="58047" xr:uid="{00000000-0005-0000-0000-000030A40000}"/>
    <cellStyle name="Normal 6 2 7 2 2 2 4" xfId="30009" xr:uid="{00000000-0005-0000-0000-000031A40000}"/>
    <cellStyle name="Normal 6 2 7 2 2 2 5" xfId="30010" xr:uid="{00000000-0005-0000-0000-000032A40000}"/>
    <cellStyle name="Normal 6 2 7 2 2 2 6" xfId="30011" xr:uid="{00000000-0005-0000-0000-000033A40000}"/>
    <cellStyle name="Normal 6 2 7 2 2 3" xfId="30012" xr:uid="{00000000-0005-0000-0000-000034A40000}"/>
    <cellStyle name="Normal 6 2 7 2 2 3 2" xfId="58048" xr:uid="{00000000-0005-0000-0000-000035A40000}"/>
    <cellStyle name="Normal 6 2 7 2 2 3 3" xfId="58049" xr:uid="{00000000-0005-0000-0000-000036A40000}"/>
    <cellStyle name="Normal 6 2 7 2 2 4" xfId="30013" xr:uid="{00000000-0005-0000-0000-000037A40000}"/>
    <cellStyle name="Normal 6 2 7 2 2 4 2" xfId="58050" xr:uid="{00000000-0005-0000-0000-000038A40000}"/>
    <cellStyle name="Normal 6 2 7 2 2 5" xfId="30014" xr:uid="{00000000-0005-0000-0000-000039A40000}"/>
    <cellStyle name="Normal 6 2 7 2 2 6" xfId="30015" xr:uid="{00000000-0005-0000-0000-00003AA40000}"/>
    <cellStyle name="Normal 6 2 7 2 2 7" xfId="30016" xr:uid="{00000000-0005-0000-0000-00003BA40000}"/>
    <cellStyle name="Normal 6 2 7 2 3" xfId="30017" xr:uid="{00000000-0005-0000-0000-00003CA40000}"/>
    <cellStyle name="Normal 6 2 7 2 3 2" xfId="30018" xr:uid="{00000000-0005-0000-0000-00003DA40000}"/>
    <cellStyle name="Normal 6 2 7 2 3 2 2" xfId="58051" xr:uid="{00000000-0005-0000-0000-00003EA40000}"/>
    <cellStyle name="Normal 6 2 7 2 3 2 3" xfId="58052" xr:uid="{00000000-0005-0000-0000-00003FA40000}"/>
    <cellStyle name="Normal 6 2 7 2 3 3" xfId="30019" xr:uid="{00000000-0005-0000-0000-000040A40000}"/>
    <cellStyle name="Normal 6 2 7 2 3 3 2" xfId="58053" xr:uid="{00000000-0005-0000-0000-000041A40000}"/>
    <cellStyle name="Normal 6 2 7 2 3 4" xfId="30020" xr:uid="{00000000-0005-0000-0000-000042A40000}"/>
    <cellStyle name="Normal 6 2 7 2 3 5" xfId="30021" xr:uid="{00000000-0005-0000-0000-000043A40000}"/>
    <cellStyle name="Normal 6 2 7 2 3 6" xfId="30022" xr:uid="{00000000-0005-0000-0000-000044A40000}"/>
    <cellStyle name="Normal 6 2 7 2 4" xfId="30023" xr:uid="{00000000-0005-0000-0000-000045A40000}"/>
    <cellStyle name="Normal 6 2 7 2 4 2" xfId="58054" xr:uid="{00000000-0005-0000-0000-000046A40000}"/>
    <cellStyle name="Normal 6 2 7 2 4 3" xfId="58055" xr:uid="{00000000-0005-0000-0000-000047A40000}"/>
    <cellStyle name="Normal 6 2 7 2 5" xfId="30024" xr:uid="{00000000-0005-0000-0000-000048A40000}"/>
    <cellStyle name="Normal 6 2 7 2 5 2" xfId="58056" xr:uid="{00000000-0005-0000-0000-000049A40000}"/>
    <cellStyle name="Normal 6 2 7 2 6" xfId="30025" xr:uid="{00000000-0005-0000-0000-00004AA40000}"/>
    <cellStyle name="Normal 6 2 7 2 7" xfId="30026" xr:uid="{00000000-0005-0000-0000-00004BA40000}"/>
    <cellStyle name="Normal 6 2 7 2 8" xfId="30027" xr:uid="{00000000-0005-0000-0000-00004CA40000}"/>
    <cellStyle name="Normal 6 2 7 2 9" xfId="30028" xr:uid="{00000000-0005-0000-0000-00004DA40000}"/>
    <cellStyle name="Normal 6 2 7 3" xfId="30029" xr:uid="{00000000-0005-0000-0000-00004EA40000}"/>
    <cellStyle name="Normal 6 2 7 3 2" xfId="30030" xr:uid="{00000000-0005-0000-0000-00004FA40000}"/>
    <cellStyle name="Normal 6 2 7 3 2 2" xfId="30031" xr:uid="{00000000-0005-0000-0000-000050A40000}"/>
    <cellStyle name="Normal 6 2 7 3 2 2 2" xfId="30032" xr:uid="{00000000-0005-0000-0000-000051A40000}"/>
    <cellStyle name="Normal 6 2 7 3 2 2 2 2" xfId="58057" xr:uid="{00000000-0005-0000-0000-000052A40000}"/>
    <cellStyle name="Normal 6 2 7 3 2 2 2 3" xfId="58058" xr:uid="{00000000-0005-0000-0000-000053A40000}"/>
    <cellStyle name="Normal 6 2 7 3 2 2 3" xfId="30033" xr:uid="{00000000-0005-0000-0000-000054A40000}"/>
    <cellStyle name="Normal 6 2 7 3 2 2 3 2" xfId="58059" xr:uid="{00000000-0005-0000-0000-000055A40000}"/>
    <cellStyle name="Normal 6 2 7 3 2 2 4" xfId="30034" xr:uid="{00000000-0005-0000-0000-000056A40000}"/>
    <cellStyle name="Normal 6 2 7 3 2 2 5" xfId="30035" xr:uid="{00000000-0005-0000-0000-000057A40000}"/>
    <cellStyle name="Normal 6 2 7 3 2 2 6" xfId="30036" xr:uid="{00000000-0005-0000-0000-000058A40000}"/>
    <cellStyle name="Normal 6 2 7 3 2 3" xfId="30037" xr:uid="{00000000-0005-0000-0000-000059A40000}"/>
    <cellStyle name="Normal 6 2 7 3 2 3 2" xfId="58060" xr:uid="{00000000-0005-0000-0000-00005AA40000}"/>
    <cellStyle name="Normal 6 2 7 3 2 3 3" xfId="58061" xr:uid="{00000000-0005-0000-0000-00005BA40000}"/>
    <cellStyle name="Normal 6 2 7 3 2 4" xfId="30038" xr:uid="{00000000-0005-0000-0000-00005CA40000}"/>
    <cellStyle name="Normal 6 2 7 3 2 4 2" xfId="58062" xr:uid="{00000000-0005-0000-0000-00005DA40000}"/>
    <cellStyle name="Normal 6 2 7 3 2 5" xfId="30039" xr:uid="{00000000-0005-0000-0000-00005EA40000}"/>
    <cellStyle name="Normal 6 2 7 3 2 6" xfId="30040" xr:uid="{00000000-0005-0000-0000-00005FA40000}"/>
    <cellStyle name="Normal 6 2 7 3 2 7" xfId="30041" xr:uid="{00000000-0005-0000-0000-000060A40000}"/>
    <cellStyle name="Normal 6 2 7 3 3" xfId="30042" xr:uid="{00000000-0005-0000-0000-000061A40000}"/>
    <cellStyle name="Normal 6 2 7 3 3 2" xfId="30043" xr:uid="{00000000-0005-0000-0000-000062A40000}"/>
    <cellStyle name="Normal 6 2 7 3 3 2 2" xfId="58063" xr:uid="{00000000-0005-0000-0000-000063A40000}"/>
    <cellStyle name="Normal 6 2 7 3 3 2 3" xfId="58064" xr:uid="{00000000-0005-0000-0000-000064A40000}"/>
    <cellStyle name="Normal 6 2 7 3 3 3" xfId="30044" xr:uid="{00000000-0005-0000-0000-000065A40000}"/>
    <cellStyle name="Normal 6 2 7 3 3 3 2" xfId="58065" xr:uid="{00000000-0005-0000-0000-000066A40000}"/>
    <cellStyle name="Normal 6 2 7 3 3 4" xfId="30045" xr:uid="{00000000-0005-0000-0000-000067A40000}"/>
    <cellStyle name="Normal 6 2 7 3 3 5" xfId="30046" xr:uid="{00000000-0005-0000-0000-000068A40000}"/>
    <cellStyle name="Normal 6 2 7 3 3 6" xfId="30047" xr:uid="{00000000-0005-0000-0000-000069A40000}"/>
    <cellStyle name="Normal 6 2 7 3 4" xfId="30048" xr:uid="{00000000-0005-0000-0000-00006AA40000}"/>
    <cellStyle name="Normal 6 2 7 3 4 2" xfId="58066" xr:uid="{00000000-0005-0000-0000-00006BA40000}"/>
    <cellStyle name="Normal 6 2 7 3 4 3" xfId="58067" xr:uid="{00000000-0005-0000-0000-00006CA40000}"/>
    <cellStyle name="Normal 6 2 7 3 5" xfId="30049" xr:uid="{00000000-0005-0000-0000-00006DA40000}"/>
    <cellStyle name="Normal 6 2 7 3 5 2" xfId="58068" xr:uid="{00000000-0005-0000-0000-00006EA40000}"/>
    <cellStyle name="Normal 6 2 7 3 6" xfId="30050" xr:uid="{00000000-0005-0000-0000-00006FA40000}"/>
    <cellStyle name="Normal 6 2 7 3 7" xfId="30051" xr:uid="{00000000-0005-0000-0000-000070A40000}"/>
    <cellStyle name="Normal 6 2 7 3 8" xfId="30052" xr:uid="{00000000-0005-0000-0000-000071A40000}"/>
    <cellStyle name="Normal 6 2 7 4" xfId="30053" xr:uid="{00000000-0005-0000-0000-000072A40000}"/>
    <cellStyle name="Normal 6 2 7 4 2" xfId="30054" xr:uid="{00000000-0005-0000-0000-000073A40000}"/>
    <cellStyle name="Normal 6 2 7 4 2 2" xfId="30055" xr:uid="{00000000-0005-0000-0000-000074A40000}"/>
    <cellStyle name="Normal 6 2 7 4 2 2 2" xfId="58069" xr:uid="{00000000-0005-0000-0000-000075A40000}"/>
    <cellStyle name="Normal 6 2 7 4 2 2 3" xfId="58070" xr:uid="{00000000-0005-0000-0000-000076A40000}"/>
    <cellStyle name="Normal 6 2 7 4 2 3" xfId="30056" xr:uid="{00000000-0005-0000-0000-000077A40000}"/>
    <cellStyle name="Normal 6 2 7 4 2 3 2" xfId="58071" xr:uid="{00000000-0005-0000-0000-000078A40000}"/>
    <cellStyle name="Normal 6 2 7 4 2 4" xfId="30057" xr:uid="{00000000-0005-0000-0000-000079A40000}"/>
    <cellStyle name="Normal 6 2 7 4 2 5" xfId="30058" xr:uid="{00000000-0005-0000-0000-00007AA40000}"/>
    <cellStyle name="Normal 6 2 7 4 2 6" xfId="30059" xr:uid="{00000000-0005-0000-0000-00007BA40000}"/>
    <cellStyle name="Normal 6 2 7 4 3" xfId="30060" xr:uid="{00000000-0005-0000-0000-00007CA40000}"/>
    <cellStyle name="Normal 6 2 7 4 3 2" xfId="58072" xr:uid="{00000000-0005-0000-0000-00007DA40000}"/>
    <cellStyle name="Normal 6 2 7 4 3 3" xfId="58073" xr:uid="{00000000-0005-0000-0000-00007EA40000}"/>
    <cellStyle name="Normal 6 2 7 4 4" xfId="30061" xr:uid="{00000000-0005-0000-0000-00007FA40000}"/>
    <cellStyle name="Normal 6 2 7 4 4 2" xfId="58074" xr:uid="{00000000-0005-0000-0000-000080A40000}"/>
    <cellStyle name="Normal 6 2 7 4 5" xfId="30062" xr:uid="{00000000-0005-0000-0000-000081A40000}"/>
    <cellStyle name="Normal 6 2 7 4 6" xfId="30063" xr:uid="{00000000-0005-0000-0000-000082A40000}"/>
    <cellStyle name="Normal 6 2 7 4 7" xfId="30064" xr:uid="{00000000-0005-0000-0000-000083A40000}"/>
    <cellStyle name="Normal 6 2 7 5" xfId="30065" xr:uid="{00000000-0005-0000-0000-000084A40000}"/>
    <cellStyle name="Normal 6 2 7 5 2" xfId="30066" xr:uid="{00000000-0005-0000-0000-000085A40000}"/>
    <cellStyle name="Normal 6 2 7 5 2 2" xfId="58075" xr:uid="{00000000-0005-0000-0000-000086A40000}"/>
    <cellStyle name="Normal 6 2 7 5 2 3" xfId="58076" xr:uid="{00000000-0005-0000-0000-000087A40000}"/>
    <cellStyle name="Normal 6 2 7 5 3" xfId="30067" xr:uid="{00000000-0005-0000-0000-000088A40000}"/>
    <cellStyle name="Normal 6 2 7 5 3 2" xfId="58077" xr:uid="{00000000-0005-0000-0000-000089A40000}"/>
    <cellStyle name="Normal 6 2 7 5 4" xfId="30068" xr:uid="{00000000-0005-0000-0000-00008AA40000}"/>
    <cellStyle name="Normal 6 2 7 5 5" xfId="30069" xr:uid="{00000000-0005-0000-0000-00008BA40000}"/>
    <cellStyle name="Normal 6 2 7 5 6" xfId="30070" xr:uid="{00000000-0005-0000-0000-00008CA40000}"/>
    <cellStyle name="Normal 6 2 7 6" xfId="30071" xr:uid="{00000000-0005-0000-0000-00008DA40000}"/>
    <cellStyle name="Normal 6 2 7 6 2" xfId="58078" xr:uid="{00000000-0005-0000-0000-00008EA40000}"/>
    <cellStyle name="Normal 6 2 7 6 3" xfId="58079" xr:uid="{00000000-0005-0000-0000-00008FA40000}"/>
    <cellStyle name="Normal 6 2 7 7" xfId="30072" xr:uid="{00000000-0005-0000-0000-000090A40000}"/>
    <cellStyle name="Normal 6 2 7 7 2" xfId="58080" xr:uid="{00000000-0005-0000-0000-000091A40000}"/>
    <cellStyle name="Normal 6 2 7 8" xfId="30073" xr:uid="{00000000-0005-0000-0000-000092A40000}"/>
    <cellStyle name="Normal 6 2 7 9" xfId="30074" xr:uid="{00000000-0005-0000-0000-000093A40000}"/>
    <cellStyle name="Normal 6 2 8" xfId="30075" xr:uid="{00000000-0005-0000-0000-000094A40000}"/>
    <cellStyle name="Normal 6 2 8 10" xfId="30076" xr:uid="{00000000-0005-0000-0000-000095A40000}"/>
    <cellStyle name="Normal 6 2 8 11" xfId="30077" xr:uid="{00000000-0005-0000-0000-000096A40000}"/>
    <cellStyle name="Normal 6 2 8 12" xfId="30078" xr:uid="{00000000-0005-0000-0000-000097A40000}"/>
    <cellStyle name="Normal 6 2 8 13" xfId="30079" xr:uid="{00000000-0005-0000-0000-000098A40000}"/>
    <cellStyle name="Normal 6 2 8 2" xfId="30080" xr:uid="{00000000-0005-0000-0000-000099A40000}"/>
    <cellStyle name="Normal 6 2 8 2 2" xfId="30081" xr:uid="{00000000-0005-0000-0000-00009AA40000}"/>
    <cellStyle name="Normal 6 2 8 2 2 2" xfId="30082" xr:uid="{00000000-0005-0000-0000-00009BA40000}"/>
    <cellStyle name="Normal 6 2 8 2 2 2 2" xfId="30083" xr:uid="{00000000-0005-0000-0000-00009CA40000}"/>
    <cellStyle name="Normal 6 2 8 2 2 2 2 2" xfId="58081" xr:uid="{00000000-0005-0000-0000-00009DA40000}"/>
    <cellStyle name="Normal 6 2 8 2 2 2 2 3" xfId="58082" xr:uid="{00000000-0005-0000-0000-00009EA40000}"/>
    <cellStyle name="Normal 6 2 8 2 2 2 3" xfId="30084" xr:uid="{00000000-0005-0000-0000-00009FA40000}"/>
    <cellStyle name="Normal 6 2 8 2 2 2 3 2" xfId="58083" xr:uid="{00000000-0005-0000-0000-0000A0A40000}"/>
    <cellStyle name="Normal 6 2 8 2 2 2 4" xfId="30085" xr:uid="{00000000-0005-0000-0000-0000A1A40000}"/>
    <cellStyle name="Normal 6 2 8 2 2 2 5" xfId="30086" xr:uid="{00000000-0005-0000-0000-0000A2A40000}"/>
    <cellStyle name="Normal 6 2 8 2 2 2 6" xfId="30087" xr:uid="{00000000-0005-0000-0000-0000A3A40000}"/>
    <cellStyle name="Normal 6 2 8 2 2 3" xfId="30088" xr:uid="{00000000-0005-0000-0000-0000A4A40000}"/>
    <cellStyle name="Normal 6 2 8 2 2 3 2" xfId="58084" xr:uid="{00000000-0005-0000-0000-0000A5A40000}"/>
    <cellStyle name="Normal 6 2 8 2 2 3 3" xfId="58085" xr:uid="{00000000-0005-0000-0000-0000A6A40000}"/>
    <cellStyle name="Normal 6 2 8 2 2 4" xfId="30089" xr:uid="{00000000-0005-0000-0000-0000A7A40000}"/>
    <cellStyle name="Normal 6 2 8 2 2 4 2" xfId="58086" xr:uid="{00000000-0005-0000-0000-0000A8A40000}"/>
    <cellStyle name="Normal 6 2 8 2 2 5" xfId="30090" xr:uid="{00000000-0005-0000-0000-0000A9A40000}"/>
    <cellStyle name="Normal 6 2 8 2 2 6" xfId="30091" xr:uid="{00000000-0005-0000-0000-0000AAA40000}"/>
    <cellStyle name="Normal 6 2 8 2 2 7" xfId="30092" xr:uid="{00000000-0005-0000-0000-0000ABA40000}"/>
    <cellStyle name="Normal 6 2 8 2 3" xfId="30093" xr:uid="{00000000-0005-0000-0000-0000ACA40000}"/>
    <cellStyle name="Normal 6 2 8 2 3 2" xfId="30094" xr:uid="{00000000-0005-0000-0000-0000ADA40000}"/>
    <cellStyle name="Normal 6 2 8 2 3 2 2" xfId="58087" xr:uid="{00000000-0005-0000-0000-0000AEA40000}"/>
    <cellStyle name="Normal 6 2 8 2 3 2 3" xfId="58088" xr:uid="{00000000-0005-0000-0000-0000AFA40000}"/>
    <cellStyle name="Normal 6 2 8 2 3 3" xfId="30095" xr:uid="{00000000-0005-0000-0000-0000B0A40000}"/>
    <cellStyle name="Normal 6 2 8 2 3 3 2" xfId="58089" xr:uid="{00000000-0005-0000-0000-0000B1A40000}"/>
    <cellStyle name="Normal 6 2 8 2 3 4" xfId="30096" xr:uid="{00000000-0005-0000-0000-0000B2A40000}"/>
    <cellStyle name="Normal 6 2 8 2 3 5" xfId="30097" xr:uid="{00000000-0005-0000-0000-0000B3A40000}"/>
    <cellStyle name="Normal 6 2 8 2 3 6" xfId="30098" xr:uid="{00000000-0005-0000-0000-0000B4A40000}"/>
    <cellStyle name="Normal 6 2 8 2 4" xfId="30099" xr:uid="{00000000-0005-0000-0000-0000B5A40000}"/>
    <cellStyle name="Normal 6 2 8 2 4 2" xfId="58090" xr:uid="{00000000-0005-0000-0000-0000B6A40000}"/>
    <cellStyle name="Normal 6 2 8 2 4 3" xfId="58091" xr:uid="{00000000-0005-0000-0000-0000B7A40000}"/>
    <cellStyle name="Normal 6 2 8 2 5" xfId="30100" xr:uid="{00000000-0005-0000-0000-0000B8A40000}"/>
    <cellStyle name="Normal 6 2 8 2 5 2" xfId="58092" xr:uid="{00000000-0005-0000-0000-0000B9A40000}"/>
    <cellStyle name="Normal 6 2 8 2 6" xfId="30101" xr:uid="{00000000-0005-0000-0000-0000BAA40000}"/>
    <cellStyle name="Normal 6 2 8 2 7" xfId="30102" xr:uid="{00000000-0005-0000-0000-0000BBA40000}"/>
    <cellStyle name="Normal 6 2 8 2 8" xfId="30103" xr:uid="{00000000-0005-0000-0000-0000BCA40000}"/>
    <cellStyle name="Normal 6 2 8 2 9" xfId="30104" xr:uid="{00000000-0005-0000-0000-0000BDA40000}"/>
    <cellStyle name="Normal 6 2 8 3" xfId="30105" xr:uid="{00000000-0005-0000-0000-0000BEA40000}"/>
    <cellStyle name="Normal 6 2 8 3 2" xfId="30106" xr:uid="{00000000-0005-0000-0000-0000BFA40000}"/>
    <cellStyle name="Normal 6 2 8 3 2 2" xfId="30107" xr:uid="{00000000-0005-0000-0000-0000C0A40000}"/>
    <cellStyle name="Normal 6 2 8 3 2 2 2" xfId="58093" xr:uid="{00000000-0005-0000-0000-0000C1A40000}"/>
    <cellStyle name="Normal 6 2 8 3 2 2 3" xfId="58094" xr:uid="{00000000-0005-0000-0000-0000C2A40000}"/>
    <cellStyle name="Normal 6 2 8 3 2 3" xfId="30108" xr:uid="{00000000-0005-0000-0000-0000C3A40000}"/>
    <cellStyle name="Normal 6 2 8 3 2 3 2" xfId="58095" xr:uid="{00000000-0005-0000-0000-0000C4A40000}"/>
    <cellStyle name="Normal 6 2 8 3 2 4" xfId="30109" xr:uid="{00000000-0005-0000-0000-0000C5A40000}"/>
    <cellStyle name="Normal 6 2 8 3 2 5" xfId="30110" xr:uid="{00000000-0005-0000-0000-0000C6A40000}"/>
    <cellStyle name="Normal 6 2 8 3 2 6" xfId="30111" xr:uid="{00000000-0005-0000-0000-0000C7A40000}"/>
    <cellStyle name="Normal 6 2 8 3 3" xfId="30112" xr:uid="{00000000-0005-0000-0000-0000C8A40000}"/>
    <cellStyle name="Normal 6 2 8 3 3 2" xfId="58096" xr:uid="{00000000-0005-0000-0000-0000C9A40000}"/>
    <cellStyle name="Normal 6 2 8 3 3 3" xfId="58097" xr:uid="{00000000-0005-0000-0000-0000CAA40000}"/>
    <cellStyle name="Normal 6 2 8 3 4" xfId="30113" xr:uid="{00000000-0005-0000-0000-0000CBA40000}"/>
    <cellStyle name="Normal 6 2 8 3 4 2" xfId="58098" xr:uid="{00000000-0005-0000-0000-0000CCA40000}"/>
    <cellStyle name="Normal 6 2 8 3 5" xfId="30114" xr:uid="{00000000-0005-0000-0000-0000CDA40000}"/>
    <cellStyle name="Normal 6 2 8 3 6" xfId="30115" xr:uid="{00000000-0005-0000-0000-0000CEA40000}"/>
    <cellStyle name="Normal 6 2 8 3 7" xfId="30116" xr:uid="{00000000-0005-0000-0000-0000CFA40000}"/>
    <cellStyle name="Normal 6 2 8 4" xfId="30117" xr:uid="{00000000-0005-0000-0000-0000D0A40000}"/>
    <cellStyle name="Normal 6 2 8 4 2" xfId="30118" xr:uid="{00000000-0005-0000-0000-0000D1A40000}"/>
    <cellStyle name="Normal 6 2 8 4 2 2" xfId="58099" xr:uid="{00000000-0005-0000-0000-0000D2A40000}"/>
    <cellStyle name="Normal 6 2 8 4 2 3" xfId="58100" xr:uid="{00000000-0005-0000-0000-0000D3A40000}"/>
    <cellStyle name="Normal 6 2 8 4 3" xfId="30119" xr:uid="{00000000-0005-0000-0000-0000D4A40000}"/>
    <cellStyle name="Normal 6 2 8 4 3 2" xfId="58101" xr:uid="{00000000-0005-0000-0000-0000D5A40000}"/>
    <cellStyle name="Normal 6 2 8 4 4" xfId="30120" xr:uid="{00000000-0005-0000-0000-0000D6A40000}"/>
    <cellStyle name="Normal 6 2 8 4 5" xfId="30121" xr:uid="{00000000-0005-0000-0000-0000D7A40000}"/>
    <cellStyle name="Normal 6 2 8 4 6" xfId="30122" xr:uid="{00000000-0005-0000-0000-0000D8A40000}"/>
    <cellStyle name="Normal 6 2 8 5" xfId="30123" xr:uid="{00000000-0005-0000-0000-0000D9A40000}"/>
    <cellStyle name="Normal 6 2 8 5 2" xfId="58102" xr:uid="{00000000-0005-0000-0000-0000DAA40000}"/>
    <cellStyle name="Normal 6 2 8 5 3" xfId="58103" xr:uid="{00000000-0005-0000-0000-0000DBA40000}"/>
    <cellStyle name="Normal 6 2 8 6" xfId="30124" xr:uid="{00000000-0005-0000-0000-0000DCA40000}"/>
    <cellStyle name="Normal 6 2 8 6 2" xfId="58104" xr:uid="{00000000-0005-0000-0000-0000DDA40000}"/>
    <cellStyle name="Normal 6 2 8 7" xfId="30125" xr:uid="{00000000-0005-0000-0000-0000DEA40000}"/>
    <cellStyle name="Normal 6 2 8 8" xfId="30126" xr:uid="{00000000-0005-0000-0000-0000DFA40000}"/>
    <cellStyle name="Normal 6 2 8 9" xfId="30127" xr:uid="{00000000-0005-0000-0000-0000E0A40000}"/>
    <cellStyle name="Normal 6 2 9" xfId="30128" xr:uid="{00000000-0005-0000-0000-0000E1A40000}"/>
    <cellStyle name="Normal 6 2 9 2" xfId="30129" xr:uid="{00000000-0005-0000-0000-0000E2A40000}"/>
    <cellStyle name="Normal 6 2 9 2 2" xfId="30130" xr:uid="{00000000-0005-0000-0000-0000E3A40000}"/>
    <cellStyle name="Normal 6 2 9 2 2 2" xfId="30131" xr:uid="{00000000-0005-0000-0000-0000E4A40000}"/>
    <cellStyle name="Normal 6 2 9 2 2 2 2" xfId="58105" xr:uid="{00000000-0005-0000-0000-0000E5A40000}"/>
    <cellStyle name="Normal 6 2 9 2 2 2 3" xfId="58106" xr:uid="{00000000-0005-0000-0000-0000E6A40000}"/>
    <cellStyle name="Normal 6 2 9 2 2 3" xfId="30132" xr:uid="{00000000-0005-0000-0000-0000E7A40000}"/>
    <cellStyle name="Normal 6 2 9 2 2 3 2" xfId="58107" xr:uid="{00000000-0005-0000-0000-0000E8A40000}"/>
    <cellStyle name="Normal 6 2 9 2 2 4" xfId="30133" xr:uid="{00000000-0005-0000-0000-0000E9A40000}"/>
    <cellStyle name="Normal 6 2 9 2 2 5" xfId="30134" xr:uid="{00000000-0005-0000-0000-0000EAA40000}"/>
    <cellStyle name="Normal 6 2 9 2 2 6" xfId="30135" xr:uid="{00000000-0005-0000-0000-0000EBA40000}"/>
    <cellStyle name="Normal 6 2 9 2 3" xfId="30136" xr:uid="{00000000-0005-0000-0000-0000ECA40000}"/>
    <cellStyle name="Normal 6 2 9 2 3 2" xfId="58108" xr:uid="{00000000-0005-0000-0000-0000EDA40000}"/>
    <cellStyle name="Normal 6 2 9 2 3 3" xfId="58109" xr:uid="{00000000-0005-0000-0000-0000EEA40000}"/>
    <cellStyle name="Normal 6 2 9 2 4" xfId="30137" xr:uid="{00000000-0005-0000-0000-0000EFA40000}"/>
    <cellStyle name="Normal 6 2 9 2 4 2" xfId="58110" xr:uid="{00000000-0005-0000-0000-0000F0A40000}"/>
    <cellStyle name="Normal 6 2 9 2 5" xfId="30138" xr:uid="{00000000-0005-0000-0000-0000F1A40000}"/>
    <cellStyle name="Normal 6 2 9 2 6" xfId="30139" xr:uid="{00000000-0005-0000-0000-0000F2A40000}"/>
    <cellStyle name="Normal 6 2 9 2 7" xfId="30140" xr:uid="{00000000-0005-0000-0000-0000F3A40000}"/>
    <cellStyle name="Normal 6 2 9 3" xfId="30141" xr:uid="{00000000-0005-0000-0000-0000F4A40000}"/>
    <cellStyle name="Normal 6 2 9 3 2" xfId="30142" xr:uid="{00000000-0005-0000-0000-0000F5A40000}"/>
    <cellStyle name="Normal 6 2 9 3 2 2" xfId="58111" xr:uid="{00000000-0005-0000-0000-0000F6A40000}"/>
    <cellStyle name="Normal 6 2 9 3 2 3" xfId="58112" xr:uid="{00000000-0005-0000-0000-0000F7A40000}"/>
    <cellStyle name="Normal 6 2 9 3 3" xfId="30143" xr:uid="{00000000-0005-0000-0000-0000F8A40000}"/>
    <cellStyle name="Normal 6 2 9 3 3 2" xfId="58113" xr:uid="{00000000-0005-0000-0000-0000F9A40000}"/>
    <cellStyle name="Normal 6 2 9 3 4" xfId="30144" xr:uid="{00000000-0005-0000-0000-0000FAA40000}"/>
    <cellStyle name="Normal 6 2 9 3 5" xfId="30145" xr:uid="{00000000-0005-0000-0000-0000FBA40000}"/>
    <cellStyle name="Normal 6 2 9 3 6" xfId="30146" xr:uid="{00000000-0005-0000-0000-0000FCA40000}"/>
    <cellStyle name="Normal 6 2 9 4" xfId="30147" xr:uid="{00000000-0005-0000-0000-0000FDA40000}"/>
    <cellStyle name="Normal 6 2 9 4 2" xfId="58114" xr:uid="{00000000-0005-0000-0000-0000FEA40000}"/>
    <cellStyle name="Normal 6 2 9 4 3" xfId="58115" xr:uid="{00000000-0005-0000-0000-0000FFA40000}"/>
    <cellStyle name="Normal 6 2 9 5" xfId="30148" xr:uid="{00000000-0005-0000-0000-000000A50000}"/>
    <cellStyle name="Normal 6 2 9 5 2" xfId="58116" xr:uid="{00000000-0005-0000-0000-000001A50000}"/>
    <cellStyle name="Normal 6 2 9 6" xfId="30149" xr:uid="{00000000-0005-0000-0000-000002A50000}"/>
    <cellStyle name="Normal 6 2 9 7" xfId="30150" xr:uid="{00000000-0005-0000-0000-000003A50000}"/>
    <cellStyle name="Normal 6 2 9 8" xfId="30151" xr:uid="{00000000-0005-0000-0000-000004A50000}"/>
    <cellStyle name="Normal 6 2 9 9" xfId="30152" xr:uid="{00000000-0005-0000-0000-000005A50000}"/>
    <cellStyle name="Normal 6 20" xfId="30153" xr:uid="{00000000-0005-0000-0000-000006A50000}"/>
    <cellStyle name="Normal 6 21" xfId="30154" xr:uid="{00000000-0005-0000-0000-000007A50000}"/>
    <cellStyle name="Normal 6 22" xfId="30155" xr:uid="{00000000-0005-0000-0000-000008A50000}"/>
    <cellStyle name="Normal 6 23" xfId="30156" xr:uid="{00000000-0005-0000-0000-000009A50000}"/>
    <cellStyle name="Normal 6 3" xfId="30157" xr:uid="{00000000-0005-0000-0000-00000AA50000}"/>
    <cellStyle name="Normal 6 3 10" xfId="30158" xr:uid="{00000000-0005-0000-0000-00000BA50000}"/>
    <cellStyle name="Normal 6 3 10 2" xfId="30159" xr:uid="{00000000-0005-0000-0000-00000CA50000}"/>
    <cellStyle name="Normal 6 3 10 2 2" xfId="30160" xr:uid="{00000000-0005-0000-0000-00000DA50000}"/>
    <cellStyle name="Normal 6 3 10 2 2 2" xfId="58117" xr:uid="{00000000-0005-0000-0000-00000EA50000}"/>
    <cellStyle name="Normal 6 3 10 2 2 3" xfId="58118" xr:uid="{00000000-0005-0000-0000-00000FA50000}"/>
    <cellStyle name="Normal 6 3 10 2 3" xfId="30161" xr:uid="{00000000-0005-0000-0000-000010A50000}"/>
    <cellStyle name="Normal 6 3 10 2 3 2" xfId="58119" xr:uid="{00000000-0005-0000-0000-000011A50000}"/>
    <cellStyle name="Normal 6 3 10 2 4" xfId="30162" xr:uid="{00000000-0005-0000-0000-000012A50000}"/>
    <cellStyle name="Normal 6 3 10 2 5" xfId="30163" xr:uid="{00000000-0005-0000-0000-000013A50000}"/>
    <cellStyle name="Normal 6 3 10 2 6" xfId="30164" xr:uid="{00000000-0005-0000-0000-000014A50000}"/>
    <cellStyle name="Normal 6 3 10 3" xfId="30165" xr:uid="{00000000-0005-0000-0000-000015A50000}"/>
    <cellStyle name="Normal 6 3 10 3 2" xfId="58120" xr:uid="{00000000-0005-0000-0000-000016A50000}"/>
    <cellStyle name="Normal 6 3 10 3 3" xfId="58121" xr:uid="{00000000-0005-0000-0000-000017A50000}"/>
    <cellStyle name="Normal 6 3 10 4" xfId="30166" xr:uid="{00000000-0005-0000-0000-000018A50000}"/>
    <cellStyle name="Normal 6 3 10 4 2" xfId="58122" xr:uid="{00000000-0005-0000-0000-000019A50000}"/>
    <cellStyle name="Normal 6 3 10 5" xfId="30167" xr:uid="{00000000-0005-0000-0000-00001AA50000}"/>
    <cellStyle name="Normal 6 3 10 6" xfId="30168" xr:uid="{00000000-0005-0000-0000-00001BA50000}"/>
    <cellStyle name="Normal 6 3 10 7" xfId="30169" xr:uid="{00000000-0005-0000-0000-00001CA50000}"/>
    <cellStyle name="Normal 6 3 11" xfId="30170" xr:uid="{00000000-0005-0000-0000-00001DA50000}"/>
    <cellStyle name="Normal 6 3 11 2" xfId="30171" xr:uid="{00000000-0005-0000-0000-00001EA50000}"/>
    <cellStyle name="Normal 6 3 11 2 2" xfId="58123" xr:uid="{00000000-0005-0000-0000-00001FA50000}"/>
    <cellStyle name="Normal 6 3 11 2 3" xfId="58124" xr:uid="{00000000-0005-0000-0000-000020A50000}"/>
    <cellStyle name="Normal 6 3 11 3" xfId="30172" xr:uid="{00000000-0005-0000-0000-000021A50000}"/>
    <cellStyle name="Normal 6 3 11 3 2" xfId="58125" xr:uid="{00000000-0005-0000-0000-000022A50000}"/>
    <cellStyle name="Normal 6 3 11 4" xfId="30173" xr:uid="{00000000-0005-0000-0000-000023A50000}"/>
    <cellStyle name="Normal 6 3 11 5" xfId="30174" xr:uid="{00000000-0005-0000-0000-000024A50000}"/>
    <cellStyle name="Normal 6 3 11 6" xfId="30175" xr:uid="{00000000-0005-0000-0000-000025A50000}"/>
    <cellStyle name="Normal 6 3 12" xfId="30176" xr:uid="{00000000-0005-0000-0000-000026A50000}"/>
    <cellStyle name="Normal 6 3 12 2" xfId="30177" xr:uid="{00000000-0005-0000-0000-000027A50000}"/>
    <cellStyle name="Normal 6 3 12 3" xfId="30178" xr:uid="{00000000-0005-0000-0000-000028A50000}"/>
    <cellStyle name="Normal 6 3 12 4" xfId="30179" xr:uid="{00000000-0005-0000-0000-000029A50000}"/>
    <cellStyle name="Normal 6 3 12 5" xfId="30180" xr:uid="{00000000-0005-0000-0000-00002AA50000}"/>
    <cellStyle name="Normal 6 3 13" xfId="30181" xr:uid="{00000000-0005-0000-0000-00002BA50000}"/>
    <cellStyle name="Normal 6 3 13 2" xfId="30182" xr:uid="{00000000-0005-0000-0000-00002CA50000}"/>
    <cellStyle name="Normal 6 3 14" xfId="30183" xr:uid="{00000000-0005-0000-0000-00002DA50000}"/>
    <cellStyle name="Normal 6 3 14 2" xfId="58126" xr:uid="{00000000-0005-0000-0000-00002EA50000}"/>
    <cellStyle name="Normal 6 3 15" xfId="30184" xr:uid="{00000000-0005-0000-0000-00002FA50000}"/>
    <cellStyle name="Normal 6 3 16" xfId="30185" xr:uid="{00000000-0005-0000-0000-000030A50000}"/>
    <cellStyle name="Normal 6 3 17" xfId="30186" xr:uid="{00000000-0005-0000-0000-000031A50000}"/>
    <cellStyle name="Normal 6 3 18" xfId="30187" xr:uid="{00000000-0005-0000-0000-000032A50000}"/>
    <cellStyle name="Normal 6 3 2" xfId="30188" xr:uid="{00000000-0005-0000-0000-000033A50000}"/>
    <cellStyle name="Normal 6 3 2 10" xfId="30189" xr:uid="{00000000-0005-0000-0000-000034A50000}"/>
    <cellStyle name="Normal 6 3 2 11" xfId="30190" xr:uid="{00000000-0005-0000-0000-000035A50000}"/>
    <cellStyle name="Normal 6 3 2 12" xfId="30191" xr:uid="{00000000-0005-0000-0000-000036A50000}"/>
    <cellStyle name="Normal 6 3 2 13" xfId="30192" xr:uid="{00000000-0005-0000-0000-000037A50000}"/>
    <cellStyle name="Normal 6 3 2 14" xfId="30193" xr:uid="{00000000-0005-0000-0000-000038A50000}"/>
    <cellStyle name="Normal 6 3 2 15" xfId="30194" xr:uid="{00000000-0005-0000-0000-000039A50000}"/>
    <cellStyle name="Normal 6 3 2 2" xfId="30195" xr:uid="{00000000-0005-0000-0000-00003AA50000}"/>
    <cellStyle name="Normal 6 3 2 2 10" xfId="30196" xr:uid="{00000000-0005-0000-0000-00003BA50000}"/>
    <cellStyle name="Normal 6 3 2 2 11" xfId="30197" xr:uid="{00000000-0005-0000-0000-00003CA50000}"/>
    <cellStyle name="Normal 6 3 2 2 12" xfId="30198" xr:uid="{00000000-0005-0000-0000-00003DA50000}"/>
    <cellStyle name="Normal 6 3 2 2 13" xfId="30199" xr:uid="{00000000-0005-0000-0000-00003EA50000}"/>
    <cellStyle name="Normal 6 3 2 2 14" xfId="30200" xr:uid="{00000000-0005-0000-0000-00003FA50000}"/>
    <cellStyle name="Normal 6 3 2 2 2" xfId="30201" xr:uid="{00000000-0005-0000-0000-000040A50000}"/>
    <cellStyle name="Normal 6 3 2 2 2 2" xfId="30202" xr:uid="{00000000-0005-0000-0000-000041A50000}"/>
    <cellStyle name="Normal 6 3 2 2 2 2 2" xfId="30203" xr:uid="{00000000-0005-0000-0000-000042A50000}"/>
    <cellStyle name="Normal 6 3 2 2 2 2 2 2" xfId="30204" xr:uid="{00000000-0005-0000-0000-000043A50000}"/>
    <cellStyle name="Normal 6 3 2 2 2 2 2 2 2" xfId="58127" xr:uid="{00000000-0005-0000-0000-000044A50000}"/>
    <cellStyle name="Normal 6 3 2 2 2 2 2 2 3" xfId="58128" xr:uid="{00000000-0005-0000-0000-000045A50000}"/>
    <cellStyle name="Normal 6 3 2 2 2 2 2 3" xfId="30205" xr:uid="{00000000-0005-0000-0000-000046A50000}"/>
    <cellStyle name="Normal 6 3 2 2 2 2 2 3 2" xfId="58129" xr:uid="{00000000-0005-0000-0000-000047A50000}"/>
    <cellStyle name="Normal 6 3 2 2 2 2 2 4" xfId="30206" xr:uid="{00000000-0005-0000-0000-000048A50000}"/>
    <cellStyle name="Normal 6 3 2 2 2 2 2 5" xfId="30207" xr:uid="{00000000-0005-0000-0000-000049A50000}"/>
    <cellStyle name="Normal 6 3 2 2 2 2 2 6" xfId="30208" xr:uid="{00000000-0005-0000-0000-00004AA50000}"/>
    <cellStyle name="Normal 6 3 2 2 2 2 3" xfId="30209" xr:uid="{00000000-0005-0000-0000-00004BA50000}"/>
    <cellStyle name="Normal 6 3 2 2 2 2 3 2" xfId="58130" xr:uid="{00000000-0005-0000-0000-00004CA50000}"/>
    <cellStyle name="Normal 6 3 2 2 2 2 3 3" xfId="58131" xr:uid="{00000000-0005-0000-0000-00004DA50000}"/>
    <cellStyle name="Normal 6 3 2 2 2 2 4" xfId="30210" xr:uid="{00000000-0005-0000-0000-00004EA50000}"/>
    <cellStyle name="Normal 6 3 2 2 2 2 4 2" xfId="58132" xr:uid="{00000000-0005-0000-0000-00004FA50000}"/>
    <cellStyle name="Normal 6 3 2 2 2 2 5" xfId="30211" xr:uid="{00000000-0005-0000-0000-000050A50000}"/>
    <cellStyle name="Normal 6 3 2 2 2 2 6" xfId="30212" xr:uid="{00000000-0005-0000-0000-000051A50000}"/>
    <cellStyle name="Normal 6 3 2 2 2 2 7" xfId="30213" xr:uid="{00000000-0005-0000-0000-000052A50000}"/>
    <cellStyle name="Normal 6 3 2 2 2 3" xfId="30214" xr:uid="{00000000-0005-0000-0000-000053A50000}"/>
    <cellStyle name="Normal 6 3 2 2 2 3 2" xfId="30215" xr:uid="{00000000-0005-0000-0000-000054A50000}"/>
    <cellStyle name="Normal 6 3 2 2 2 3 2 2" xfId="58133" xr:uid="{00000000-0005-0000-0000-000055A50000}"/>
    <cellStyle name="Normal 6 3 2 2 2 3 2 3" xfId="58134" xr:uid="{00000000-0005-0000-0000-000056A50000}"/>
    <cellStyle name="Normal 6 3 2 2 2 3 3" xfId="30216" xr:uid="{00000000-0005-0000-0000-000057A50000}"/>
    <cellStyle name="Normal 6 3 2 2 2 3 3 2" xfId="58135" xr:uid="{00000000-0005-0000-0000-000058A50000}"/>
    <cellStyle name="Normal 6 3 2 2 2 3 4" xfId="30217" xr:uid="{00000000-0005-0000-0000-000059A50000}"/>
    <cellStyle name="Normal 6 3 2 2 2 3 5" xfId="30218" xr:uid="{00000000-0005-0000-0000-00005AA50000}"/>
    <cellStyle name="Normal 6 3 2 2 2 3 6" xfId="30219" xr:uid="{00000000-0005-0000-0000-00005BA50000}"/>
    <cellStyle name="Normal 6 3 2 2 2 4" xfId="30220" xr:uid="{00000000-0005-0000-0000-00005CA50000}"/>
    <cellStyle name="Normal 6 3 2 2 2 4 2" xfId="58136" xr:uid="{00000000-0005-0000-0000-00005DA50000}"/>
    <cellStyle name="Normal 6 3 2 2 2 4 3" xfId="58137" xr:uid="{00000000-0005-0000-0000-00005EA50000}"/>
    <cellStyle name="Normal 6 3 2 2 2 5" xfId="30221" xr:uid="{00000000-0005-0000-0000-00005FA50000}"/>
    <cellStyle name="Normal 6 3 2 2 2 5 2" xfId="58138" xr:uid="{00000000-0005-0000-0000-000060A50000}"/>
    <cellStyle name="Normal 6 3 2 2 2 6" xfId="30222" xr:uid="{00000000-0005-0000-0000-000061A50000}"/>
    <cellStyle name="Normal 6 3 2 2 2 7" xfId="30223" xr:uid="{00000000-0005-0000-0000-000062A50000}"/>
    <cellStyle name="Normal 6 3 2 2 2 8" xfId="30224" xr:uid="{00000000-0005-0000-0000-000063A50000}"/>
    <cellStyle name="Normal 6 3 2 2 2 9" xfId="30225" xr:uid="{00000000-0005-0000-0000-000064A50000}"/>
    <cellStyle name="Normal 6 3 2 2 3" xfId="30226" xr:uid="{00000000-0005-0000-0000-000065A50000}"/>
    <cellStyle name="Normal 6 3 2 2 3 2" xfId="30227" xr:uid="{00000000-0005-0000-0000-000066A50000}"/>
    <cellStyle name="Normal 6 3 2 2 3 2 2" xfId="30228" xr:uid="{00000000-0005-0000-0000-000067A50000}"/>
    <cellStyle name="Normal 6 3 2 2 3 2 2 2" xfId="30229" xr:uid="{00000000-0005-0000-0000-000068A50000}"/>
    <cellStyle name="Normal 6 3 2 2 3 2 2 2 2" xfId="58139" xr:uid="{00000000-0005-0000-0000-000069A50000}"/>
    <cellStyle name="Normal 6 3 2 2 3 2 2 2 3" xfId="58140" xr:uid="{00000000-0005-0000-0000-00006AA50000}"/>
    <cellStyle name="Normal 6 3 2 2 3 2 2 3" xfId="30230" xr:uid="{00000000-0005-0000-0000-00006BA50000}"/>
    <cellStyle name="Normal 6 3 2 2 3 2 2 3 2" xfId="58141" xr:uid="{00000000-0005-0000-0000-00006CA50000}"/>
    <cellStyle name="Normal 6 3 2 2 3 2 2 4" xfId="30231" xr:uid="{00000000-0005-0000-0000-00006DA50000}"/>
    <cellStyle name="Normal 6 3 2 2 3 2 2 5" xfId="30232" xr:uid="{00000000-0005-0000-0000-00006EA50000}"/>
    <cellStyle name="Normal 6 3 2 2 3 2 2 6" xfId="30233" xr:uid="{00000000-0005-0000-0000-00006FA50000}"/>
    <cellStyle name="Normal 6 3 2 2 3 2 3" xfId="30234" xr:uid="{00000000-0005-0000-0000-000070A50000}"/>
    <cellStyle name="Normal 6 3 2 2 3 2 3 2" xfId="58142" xr:uid="{00000000-0005-0000-0000-000071A50000}"/>
    <cellStyle name="Normal 6 3 2 2 3 2 3 3" xfId="58143" xr:uid="{00000000-0005-0000-0000-000072A50000}"/>
    <cellStyle name="Normal 6 3 2 2 3 2 4" xfId="30235" xr:uid="{00000000-0005-0000-0000-000073A50000}"/>
    <cellStyle name="Normal 6 3 2 2 3 2 4 2" xfId="58144" xr:uid="{00000000-0005-0000-0000-000074A50000}"/>
    <cellStyle name="Normal 6 3 2 2 3 2 5" xfId="30236" xr:uid="{00000000-0005-0000-0000-000075A50000}"/>
    <cellStyle name="Normal 6 3 2 2 3 2 6" xfId="30237" xr:uid="{00000000-0005-0000-0000-000076A50000}"/>
    <cellStyle name="Normal 6 3 2 2 3 2 7" xfId="30238" xr:uid="{00000000-0005-0000-0000-000077A50000}"/>
    <cellStyle name="Normal 6 3 2 2 3 3" xfId="30239" xr:uid="{00000000-0005-0000-0000-000078A50000}"/>
    <cellStyle name="Normal 6 3 2 2 3 3 2" xfId="30240" xr:uid="{00000000-0005-0000-0000-000079A50000}"/>
    <cellStyle name="Normal 6 3 2 2 3 3 2 2" xfId="58145" xr:uid="{00000000-0005-0000-0000-00007AA50000}"/>
    <cellStyle name="Normal 6 3 2 2 3 3 2 3" xfId="58146" xr:uid="{00000000-0005-0000-0000-00007BA50000}"/>
    <cellStyle name="Normal 6 3 2 2 3 3 3" xfId="30241" xr:uid="{00000000-0005-0000-0000-00007CA50000}"/>
    <cellStyle name="Normal 6 3 2 2 3 3 3 2" xfId="58147" xr:uid="{00000000-0005-0000-0000-00007DA50000}"/>
    <cellStyle name="Normal 6 3 2 2 3 3 4" xfId="30242" xr:uid="{00000000-0005-0000-0000-00007EA50000}"/>
    <cellStyle name="Normal 6 3 2 2 3 3 5" xfId="30243" xr:uid="{00000000-0005-0000-0000-00007FA50000}"/>
    <cellStyle name="Normal 6 3 2 2 3 3 6" xfId="30244" xr:uid="{00000000-0005-0000-0000-000080A50000}"/>
    <cellStyle name="Normal 6 3 2 2 3 4" xfId="30245" xr:uid="{00000000-0005-0000-0000-000081A50000}"/>
    <cellStyle name="Normal 6 3 2 2 3 4 2" xfId="58148" xr:uid="{00000000-0005-0000-0000-000082A50000}"/>
    <cellStyle name="Normal 6 3 2 2 3 4 3" xfId="58149" xr:uid="{00000000-0005-0000-0000-000083A50000}"/>
    <cellStyle name="Normal 6 3 2 2 3 5" xfId="30246" xr:uid="{00000000-0005-0000-0000-000084A50000}"/>
    <cellStyle name="Normal 6 3 2 2 3 5 2" xfId="58150" xr:uid="{00000000-0005-0000-0000-000085A50000}"/>
    <cellStyle name="Normal 6 3 2 2 3 6" xfId="30247" xr:uid="{00000000-0005-0000-0000-000086A50000}"/>
    <cellStyle name="Normal 6 3 2 2 3 7" xfId="30248" xr:uid="{00000000-0005-0000-0000-000087A50000}"/>
    <cellStyle name="Normal 6 3 2 2 3 8" xfId="30249" xr:uid="{00000000-0005-0000-0000-000088A50000}"/>
    <cellStyle name="Normal 6 3 2 2 4" xfId="30250" xr:uid="{00000000-0005-0000-0000-000089A50000}"/>
    <cellStyle name="Normal 6 3 2 2 4 2" xfId="30251" xr:uid="{00000000-0005-0000-0000-00008AA50000}"/>
    <cellStyle name="Normal 6 3 2 2 4 2 2" xfId="30252" xr:uid="{00000000-0005-0000-0000-00008BA50000}"/>
    <cellStyle name="Normal 6 3 2 2 4 2 2 2" xfId="58151" xr:uid="{00000000-0005-0000-0000-00008CA50000}"/>
    <cellStyle name="Normal 6 3 2 2 4 2 2 3" xfId="58152" xr:uid="{00000000-0005-0000-0000-00008DA50000}"/>
    <cellStyle name="Normal 6 3 2 2 4 2 3" xfId="30253" xr:uid="{00000000-0005-0000-0000-00008EA50000}"/>
    <cellStyle name="Normal 6 3 2 2 4 2 3 2" xfId="58153" xr:uid="{00000000-0005-0000-0000-00008FA50000}"/>
    <cellStyle name="Normal 6 3 2 2 4 2 4" xfId="30254" xr:uid="{00000000-0005-0000-0000-000090A50000}"/>
    <cellStyle name="Normal 6 3 2 2 4 2 5" xfId="30255" xr:uid="{00000000-0005-0000-0000-000091A50000}"/>
    <cellStyle name="Normal 6 3 2 2 4 2 6" xfId="30256" xr:uid="{00000000-0005-0000-0000-000092A50000}"/>
    <cellStyle name="Normal 6 3 2 2 4 3" xfId="30257" xr:uid="{00000000-0005-0000-0000-000093A50000}"/>
    <cellStyle name="Normal 6 3 2 2 4 3 2" xfId="58154" xr:uid="{00000000-0005-0000-0000-000094A50000}"/>
    <cellStyle name="Normal 6 3 2 2 4 3 3" xfId="58155" xr:uid="{00000000-0005-0000-0000-000095A50000}"/>
    <cellStyle name="Normal 6 3 2 2 4 4" xfId="30258" xr:uid="{00000000-0005-0000-0000-000096A50000}"/>
    <cellStyle name="Normal 6 3 2 2 4 4 2" xfId="58156" xr:uid="{00000000-0005-0000-0000-000097A50000}"/>
    <cellStyle name="Normal 6 3 2 2 4 5" xfId="30259" xr:uid="{00000000-0005-0000-0000-000098A50000}"/>
    <cellStyle name="Normal 6 3 2 2 4 6" xfId="30260" xr:uid="{00000000-0005-0000-0000-000099A50000}"/>
    <cellStyle name="Normal 6 3 2 2 4 7" xfId="30261" xr:uid="{00000000-0005-0000-0000-00009AA50000}"/>
    <cellStyle name="Normal 6 3 2 2 5" xfId="30262" xr:uid="{00000000-0005-0000-0000-00009BA50000}"/>
    <cellStyle name="Normal 6 3 2 2 5 2" xfId="30263" xr:uid="{00000000-0005-0000-0000-00009CA50000}"/>
    <cellStyle name="Normal 6 3 2 2 5 2 2" xfId="58157" xr:uid="{00000000-0005-0000-0000-00009DA50000}"/>
    <cellStyle name="Normal 6 3 2 2 5 2 3" xfId="58158" xr:uid="{00000000-0005-0000-0000-00009EA50000}"/>
    <cellStyle name="Normal 6 3 2 2 5 3" xfId="30264" xr:uid="{00000000-0005-0000-0000-00009FA50000}"/>
    <cellStyle name="Normal 6 3 2 2 5 3 2" xfId="58159" xr:uid="{00000000-0005-0000-0000-0000A0A50000}"/>
    <cellStyle name="Normal 6 3 2 2 5 4" xfId="30265" xr:uid="{00000000-0005-0000-0000-0000A1A50000}"/>
    <cellStyle name="Normal 6 3 2 2 5 5" xfId="30266" xr:uid="{00000000-0005-0000-0000-0000A2A50000}"/>
    <cellStyle name="Normal 6 3 2 2 5 6" xfId="30267" xr:uid="{00000000-0005-0000-0000-0000A3A50000}"/>
    <cellStyle name="Normal 6 3 2 2 6" xfId="30268" xr:uid="{00000000-0005-0000-0000-0000A4A50000}"/>
    <cellStyle name="Normal 6 3 2 2 6 2" xfId="58160" xr:uid="{00000000-0005-0000-0000-0000A5A50000}"/>
    <cellStyle name="Normal 6 3 2 2 6 3" xfId="58161" xr:uid="{00000000-0005-0000-0000-0000A6A50000}"/>
    <cellStyle name="Normal 6 3 2 2 7" xfId="30269" xr:uid="{00000000-0005-0000-0000-0000A7A50000}"/>
    <cellStyle name="Normal 6 3 2 2 7 2" xfId="58162" xr:uid="{00000000-0005-0000-0000-0000A8A50000}"/>
    <cellStyle name="Normal 6 3 2 2 8" xfId="30270" xr:uid="{00000000-0005-0000-0000-0000A9A50000}"/>
    <cellStyle name="Normal 6 3 2 2 9" xfId="30271" xr:uid="{00000000-0005-0000-0000-0000AAA50000}"/>
    <cellStyle name="Normal 6 3 2 3" xfId="30272" xr:uid="{00000000-0005-0000-0000-0000ABA50000}"/>
    <cellStyle name="Normal 6 3 2 3 2" xfId="30273" xr:uid="{00000000-0005-0000-0000-0000ACA50000}"/>
    <cellStyle name="Normal 6 3 2 3 2 2" xfId="30274" xr:uid="{00000000-0005-0000-0000-0000ADA50000}"/>
    <cellStyle name="Normal 6 3 2 3 2 2 2" xfId="30275" xr:uid="{00000000-0005-0000-0000-0000AEA50000}"/>
    <cellStyle name="Normal 6 3 2 3 2 2 2 2" xfId="58163" xr:uid="{00000000-0005-0000-0000-0000AFA50000}"/>
    <cellStyle name="Normal 6 3 2 3 2 2 2 3" xfId="58164" xr:uid="{00000000-0005-0000-0000-0000B0A50000}"/>
    <cellStyle name="Normal 6 3 2 3 2 2 3" xfId="30276" xr:uid="{00000000-0005-0000-0000-0000B1A50000}"/>
    <cellStyle name="Normal 6 3 2 3 2 2 3 2" xfId="58165" xr:uid="{00000000-0005-0000-0000-0000B2A50000}"/>
    <cellStyle name="Normal 6 3 2 3 2 2 4" xfId="30277" xr:uid="{00000000-0005-0000-0000-0000B3A50000}"/>
    <cellStyle name="Normal 6 3 2 3 2 2 5" xfId="30278" xr:uid="{00000000-0005-0000-0000-0000B4A50000}"/>
    <cellStyle name="Normal 6 3 2 3 2 2 6" xfId="30279" xr:uid="{00000000-0005-0000-0000-0000B5A50000}"/>
    <cellStyle name="Normal 6 3 2 3 2 3" xfId="30280" xr:uid="{00000000-0005-0000-0000-0000B6A50000}"/>
    <cellStyle name="Normal 6 3 2 3 2 3 2" xfId="58166" xr:uid="{00000000-0005-0000-0000-0000B7A50000}"/>
    <cellStyle name="Normal 6 3 2 3 2 3 3" xfId="58167" xr:uid="{00000000-0005-0000-0000-0000B8A50000}"/>
    <cellStyle name="Normal 6 3 2 3 2 4" xfId="30281" xr:uid="{00000000-0005-0000-0000-0000B9A50000}"/>
    <cellStyle name="Normal 6 3 2 3 2 4 2" xfId="58168" xr:uid="{00000000-0005-0000-0000-0000BAA50000}"/>
    <cellStyle name="Normal 6 3 2 3 2 5" xfId="30282" xr:uid="{00000000-0005-0000-0000-0000BBA50000}"/>
    <cellStyle name="Normal 6 3 2 3 2 6" xfId="30283" xr:uid="{00000000-0005-0000-0000-0000BCA50000}"/>
    <cellStyle name="Normal 6 3 2 3 2 7" xfId="30284" xr:uid="{00000000-0005-0000-0000-0000BDA50000}"/>
    <cellStyle name="Normal 6 3 2 3 3" xfId="30285" xr:uid="{00000000-0005-0000-0000-0000BEA50000}"/>
    <cellStyle name="Normal 6 3 2 3 3 2" xfId="30286" xr:uid="{00000000-0005-0000-0000-0000BFA50000}"/>
    <cellStyle name="Normal 6 3 2 3 3 2 2" xfId="58169" xr:uid="{00000000-0005-0000-0000-0000C0A50000}"/>
    <cellStyle name="Normal 6 3 2 3 3 2 3" xfId="58170" xr:uid="{00000000-0005-0000-0000-0000C1A50000}"/>
    <cellStyle name="Normal 6 3 2 3 3 3" xfId="30287" xr:uid="{00000000-0005-0000-0000-0000C2A50000}"/>
    <cellStyle name="Normal 6 3 2 3 3 3 2" xfId="58171" xr:uid="{00000000-0005-0000-0000-0000C3A50000}"/>
    <cellStyle name="Normal 6 3 2 3 3 4" xfId="30288" xr:uid="{00000000-0005-0000-0000-0000C4A50000}"/>
    <cellStyle name="Normal 6 3 2 3 3 5" xfId="30289" xr:uid="{00000000-0005-0000-0000-0000C5A50000}"/>
    <cellStyle name="Normal 6 3 2 3 3 6" xfId="30290" xr:uid="{00000000-0005-0000-0000-0000C6A50000}"/>
    <cellStyle name="Normal 6 3 2 3 4" xfId="30291" xr:uid="{00000000-0005-0000-0000-0000C7A50000}"/>
    <cellStyle name="Normal 6 3 2 3 4 2" xfId="58172" xr:uid="{00000000-0005-0000-0000-0000C8A50000}"/>
    <cellStyle name="Normal 6 3 2 3 4 3" xfId="58173" xr:uid="{00000000-0005-0000-0000-0000C9A50000}"/>
    <cellStyle name="Normal 6 3 2 3 5" xfId="30292" xr:uid="{00000000-0005-0000-0000-0000CAA50000}"/>
    <cellStyle name="Normal 6 3 2 3 5 2" xfId="58174" xr:uid="{00000000-0005-0000-0000-0000CBA50000}"/>
    <cellStyle name="Normal 6 3 2 3 6" xfId="30293" xr:uid="{00000000-0005-0000-0000-0000CCA50000}"/>
    <cellStyle name="Normal 6 3 2 3 7" xfId="30294" xr:uid="{00000000-0005-0000-0000-0000CDA50000}"/>
    <cellStyle name="Normal 6 3 2 3 8" xfId="30295" xr:uid="{00000000-0005-0000-0000-0000CEA50000}"/>
    <cellStyle name="Normal 6 3 2 3 9" xfId="30296" xr:uid="{00000000-0005-0000-0000-0000CFA50000}"/>
    <cellStyle name="Normal 6 3 2 4" xfId="30297" xr:uid="{00000000-0005-0000-0000-0000D0A50000}"/>
    <cellStyle name="Normal 6 3 2 4 2" xfId="30298" xr:uid="{00000000-0005-0000-0000-0000D1A50000}"/>
    <cellStyle name="Normal 6 3 2 4 2 2" xfId="30299" xr:uid="{00000000-0005-0000-0000-0000D2A50000}"/>
    <cellStyle name="Normal 6 3 2 4 2 2 2" xfId="30300" xr:uid="{00000000-0005-0000-0000-0000D3A50000}"/>
    <cellStyle name="Normal 6 3 2 4 2 2 2 2" xfId="58175" xr:uid="{00000000-0005-0000-0000-0000D4A50000}"/>
    <cellStyle name="Normal 6 3 2 4 2 2 2 3" xfId="58176" xr:uid="{00000000-0005-0000-0000-0000D5A50000}"/>
    <cellStyle name="Normal 6 3 2 4 2 2 3" xfId="30301" xr:uid="{00000000-0005-0000-0000-0000D6A50000}"/>
    <cellStyle name="Normal 6 3 2 4 2 2 3 2" xfId="58177" xr:uid="{00000000-0005-0000-0000-0000D7A50000}"/>
    <cellStyle name="Normal 6 3 2 4 2 2 4" xfId="30302" xr:uid="{00000000-0005-0000-0000-0000D8A50000}"/>
    <cellStyle name="Normal 6 3 2 4 2 2 5" xfId="30303" xr:uid="{00000000-0005-0000-0000-0000D9A50000}"/>
    <cellStyle name="Normal 6 3 2 4 2 2 6" xfId="30304" xr:uid="{00000000-0005-0000-0000-0000DAA50000}"/>
    <cellStyle name="Normal 6 3 2 4 2 3" xfId="30305" xr:uid="{00000000-0005-0000-0000-0000DBA50000}"/>
    <cellStyle name="Normal 6 3 2 4 2 3 2" xfId="58178" xr:uid="{00000000-0005-0000-0000-0000DCA50000}"/>
    <cellStyle name="Normal 6 3 2 4 2 3 3" xfId="58179" xr:uid="{00000000-0005-0000-0000-0000DDA50000}"/>
    <cellStyle name="Normal 6 3 2 4 2 4" xfId="30306" xr:uid="{00000000-0005-0000-0000-0000DEA50000}"/>
    <cellStyle name="Normal 6 3 2 4 2 4 2" xfId="58180" xr:uid="{00000000-0005-0000-0000-0000DFA50000}"/>
    <cellStyle name="Normal 6 3 2 4 2 5" xfId="30307" xr:uid="{00000000-0005-0000-0000-0000E0A50000}"/>
    <cellStyle name="Normal 6 3 2 4 2 6" xfId="30308" xr:uid="{00000000-0005-0000-0000-0000E1A50000}"/>
    <cellStyle name="Normal 6 3 2 4 2 7" xfId="30309" xr:uid="{00000000-0005-0000-0000-0000E2A50000}"/>
    <cellStyle name="Normal 6 3 2 4 3" xfId="30310" xr:uid="{00000000-0005-0000-0000-0000E3A50000}"/>
    <cellStyle name="Normal 6 3 2 4 3 2" xfId="30311" xr:uid="{00000000-0005-0000-0000-0000E4A50000}"/>
    <cellStyle name="Normal 6 3 2 4 3 2 2" xfId="58181" xr:uid="{00000000-0005-0000-0000-0000E5A50000}"/>
    <cellStyle name="Normal 6 3 2 4 3 2 3" xfId="58182" xr:uid="{00000000-0005-0000-0000-0000E6A50000}"/>
    <cellStyle name="Normal 6 3 2 4 3 3" xfId="30312" xr:uid="{00000000-0005-0000-0000-0000E7A50000}"/>
    <cellStyle name="Normal 6 3 2 4 3 3 2" xfId="58183" xr:uid="{00000000-0005-0000-0000-0000E8A50000}"/>
    <cellStyle name="Normal 6 3 2 4 3 4" xfId="30313" xr:uid="{00000000-0005-0000-0000-0000E9A50000}"/>
    <cellStyle name="Normal 6 3 2 4 3 5" xfId="30314" xr:uid="{00000000-0005-0000-0000-0000EAA50000}"/>
    <cellStyle name="Normal 6 3 2 4 3 6" xfId="30315" xr:uid="{00000000-0005-0000-0000-0000EBA50000}"/>
    <cellStyle name="Normal 6 3 2 4 4" xfId="30316" xr:uid="{00000000-0005-0000-0000-0000ECA50000}"/>
    <cellStyle name="Normal 6 3 2 4 4 2" xfId="58184" xr:uid="{00000000-0005-0000-0000-0000EDA50000}"/>
    <cellStyle name="Normal 6 3 2 4 4 3" xfId="58185" xr:uid="{00000000-0005-0000-0000-0000EEA50000}"/>
    <cellStyle name="Normal 6 3 2 4 5" xfId="30317" xr:uid="{00000000-0005-0000-0000-0000EFA50000}"/>
    <cellStyle name="Normal 6 3 2 4 5 2" xfId="58186" xr:uid="{00000000-0005-0000-0000-0000F0A50000}"/>
    <cellStyle name="Normal 6 3 2 4 6" xfId="30318" xr:uid="{00000000-0005-0000-0000-0000F1A50000}"/>
    <cellStyle name="Normal 6 3 2 4 7" xfId="30319" xr:uid="{00000000-0005-0000-0000-0000F2A50000}"/>
    <cellStyle name="Normal 6 3 2 4 8" xfId="30320" xr:uid="{00000000-0005-0000-0000-0000F3A50000}"/>
    <cellStyle name="Normal 6 3 2 5" xfId="30321" xr:uid="{00000000-0005-0000-0000-0000F4A50000}"/>
    <cellStyle name="Normal 6 3 2 5 2" xfId="30322" xr:uid="{00000000-0005-0000-0000-0000F5A50000}"/>
    <cellStyle name="Normal 6 3 2 5 2 2" xfId="30323" xr:uid="{00000000-0005-0000-0000-0000F6A50000}"/>
    <cellStyle name="Normal 6 3 2 5 2 2 2" xfId="58187" xr:uid="{00000000-0005-0000-0000-0000F7A50000}"/>
    <cellStyle name="Normal 6 3 2 5 2 2 3" xfId="58188" xr:uid="{00000000-0005-0000-0000-0000F8A50000}"/>
    <cellStyle name="Normal 6 3 2 5 2 3" xfId="30324" xr:uid="{00000000-0005-0000-0000-0000F9A50000}"/>
    <cellStyle name="Normal 6 3 2 5 2 3 2" xfId="58189" xr:uid="{00000000-0005-0000-0000-0000FAA50000}"/>
    <cellStyle name="Normal 6 3 2 5 2 4" xfId="30325" xr:uid="{00000000-0005-0000-0000-0000FBA50000}"/>
    <cellStyle name="Normal 6 3 2 5 2 5" xfId="30326" xr:uid="{00000000-0005-0000-0000-0000FCA50000}"/>
    <cellStyle name="Normal 6 3 2 5 2 6" xfId="30327" xr:uid="{00000000-0005-0000-0000-0000FDA50000}"/>
    <cellStyle name="Normal 6 3 2 5 3" xfId="30328" xr:uid="{00000000-0005-0000-0000-0000FEA50000}"/>
    <cellStyle name="Normal 6 3 2 5 3 2" xfId="58190" xr:uid="{00000000-0005-0000-0000-0000FFA50000}"/>
    <cellStyle name="Normal 6 3 2 5 3 3" xfId="58191" xr:uid="{00000000-0005-0000-0000-000000A60000}"/>
    <cellStyle name="Normal 6 3 2 5 4" xfId="30329" xr:uid="{00000000-0005-0000-0000-000001A60000}"/>
    <cellStyle name="Normal 6 3 2 5 4 2" xfId="58192" xr:uid="{00000000-0005-0000-0000-000002A60000}"/>
    <cellStyle name="Normal 6 3 2 5 5" xfId="30330" xr:uid="{00000000-0005-0000-0000-000003A60000}"/>
    <cellStyle name="Normal 6 3 2 5 6" xfId="30331" xr:uid="{00000000-0005-0000-0000-000004A60000}"/>
    <cellStyle name="Normal 6 3 2 5 7" xfId="30332" xr:uid="{00000000-0005-0000-0000-000005A60000}"/>
    <cellStyle name="Normal 6 3 2 6" xfId="30333" xr:uid="{00000000-0005-0000-0000-000006A60000}"/>
    <cellStyle name="Normal 6 3 2 6 2" xfId="30334" xr:uid="{00000000-0005-0000-0000-000007A60000}"/>
    <cellStyle name="Normal 6 3 2 6 2 2" xfId="58193" xr:uid="{00000000-0005-0000-0000-000008A60000}"/>
    <cellStyle name="Normal 6 3 2 6 2 3" xfId="58194" xr:uid="{00000000-0005-0000-0000-000009A60000}"/>
    <cellStyle name="Normal 6 3 2 6 3" xfId="30335" xr:uid="{00000000-0005-0000-0000-00000AA60000}"/>
    <cellStyle name="Normal 6 3 2 6 3 2" xfId="58195" xr:uid="{00000000-0005-0000-0000-00000BA60000}"/>
    <cellStyle name="Normal 6 3 2 6 4" xfId="30336" xr:uid="{00000000-0005-0000-0000-00000CA60000}"/>
    <cellStyle name="Normal 6 3 2 6 5" xfId="30337" xr:uid="{00000000-0005-0000-0000-00000DA60000}"/>
    <cellStyle name="Normal 6 3 2 6 6" xfId="30338" xr:uid="{00000000-0005-0000-0000-00000EA60000}"/>
    <cellStyle name="Normal 6 3 2 7" xfId="30339" xr:uid="{00000000-0005-0000-0000-00000FA60000}"/>
    <cellStyle name="Normal 6 3 2 7 2" xfId="58196" xr:uid="{00000000-0005-0000-0000-000010A60000}"/>
    <cellStyle name="Normal 6 3 2 7 3" xfId="58197" xr:uid="{00000000-0005-0000-0000-000011A60000}"/>
    <cellStyle name="Normal 6 3 2 8" xfId="30340" xr:uid="{00000000-0005-0000-0000-000012A60000}"/>
    <cellStyle name="Normal 6 3 2 8 2" xfId="58198" xr:uid="{00000000-0005-0000-0000-000013A60000}"/>
    <cellStyle name="Normal 6 3 2 9" xfId="30341" xr:uid="{00000000-0005-0000-0000-000014A60000}"/>
    <cellStyle name="Normal 6 3 2 9 2" xfId="58199" xr:uid="{00000000-0005-0000-0000-000015A60000}"/>
    <cellStyle name="Normal 6 3 3" xfId="30342" xr:uid="{00000000-0005-0000-0000-000016A60000}"/>
    <cellStyle name="Normal 6 3 3 10" xfId="30343" xr:uid="{00000000-0005-0000-0000-000017A60000}"/>
    <cellStyle name="Normal 6 3 3 11" xfId="30344" xr:uid="{00000000-0005-0000-0000-000018A60000}"/>
    <cellStyle name="Normal 6 3 3 12" xfId="30345" xr:uid="{00000000-0005-0000-0000-000019A60000}"/>
    <cellStyle name="Normal 6 3 3 13" xfId="30346" xr:uid="{00000000-0005-0000-0000-00001AA60000}"/>
    <cellStyle name="Normal 6 3 3 14" xfId="30347" xr:uid="{00000000-0005-0000-0000-00001BA60000}"/>
    <cellStyle name="Normal 6 3 3 15" xfId="30348" xr:uid="{00000000-0005-0000-0000-00001CA60000}"/>
    <cellStyle name="Normal 6 3 3 16" xfId="30349" xr:uid="{00000000-0005-0000-0000-00001DA60000}"/>
    <cellStyle name="Normal 6 3 3 2" xfId="30350" xr:uid="{00000000-0005-0000-0000-00001EA60000}"/>
    <cellStyle name="Normal 6 3 3 2 10" xfId="30351" xr:uid="{00000000-0005-0000-0000-00001FA60000}"/>
    <cellStyle name="Normal 6 3 3 2 11" xfId="30352" xr:uid="{00000000-0005-0000-0000-000020A60000}"/>
    <cellStyle name="Normal 6 3 3 2 12" xfId="30353" xr:uid="{00000000-0005-0000-0000-000021A60000}"/>
    <cellStyle name="Normal 6 3 3 2 13" xfId="30354" xr:uid="{00000000-0005-0000-0000-000022A60000}"/>
    <cellStyle name="Normal 6 3 3 2 14" xfId="30355" xr:uid="{00000000-0005-0000-0000-000023A60000}"/>
    <cellStyle name="Normal 6 3 3 2 2" xfId="30356" xr:uid="{00000000-0005-0000-0000-000024A60000}"/>
    <cellStyle name="Normal 6 3 3 2 2 2" xfId="30357" xr:uid="{00000000-0005-0000-0000-000025A60000}"/>
    <cellStyle name="Normal 6 3 3 2 2 2 2" xfId="30358" xr:uid="{00000000-0005-0000-0000-000026A60000}"/>
    <cellStyle name="Normal 6 3 3 2 2 2 2 2" xfId="30359" xr:uid="{00000000-0005-0000-0000-000027A60000}"/>
    <cellStyle name="Normal 6 3 3 2 2 2 2 2 2" xfId="58200" xr:uid="{00000000-0005-0000-0000-000028A60000}"/>
    <cellStyle name="Normal 6 3 3 2 2 2 2 2 3" xfId="58201" xr:uid="{00000000-0005-0000-0000-000029A60000}"/>
    <cellStyle name="Normal 6 3 3 2 2 2 2 3" xfId="30360" xr:uid="{00000000-0005-0000-0000-00002AA60000}"/>
    <cellStyle name="Normal 6 3 3 2 2 2 2 3 2" xfId="58202" xr:uid="{00000000-0005-0000-0000-00002BA60000}"/>
    <cellStyle name="Normal 6 3 3 2 2 2 2 4" xfId="30361" xr:uid="{00000000-0005-0000-0000-00002CA60000}"/>
    <cellStyle name="Normal 6 3 3 2 2 2 2 5" xfId="30362" xr:uid="{00000000-0005-0000-0000-00002DA60000}"/>
    <cellStyle name="Normal 6 3 3 2 2 2 2 6" xfId="30363" xr:uid="{00000000-0005-0000-0000-00002EA60000}"/>
    <cellStyle name="Normal 6 3 3 2 2 2 3" xfId="30364" xr:uid="{00000000-0005-0000-0000-00002FA60000}"/>
    <cellStyle name="Normal 6 3 3 2 2 2 3 2" xfId="58203" xr:uid="{00000000-0005-0000-0000-000030A60000}"/>
    <cellStyle name="Normal 6 3 3 2 2 2 3 3" xfId="58204" xr:uid="{00000000-0005-0000-0000-000031A60000}"/>
    <cellStyle name="Normal 6 3 3 2 2 2 4" xfId="30365" xr:uid="{00000000-0005-0000-0000-000032A60000}"/>
    <cellStyle name="Normal 6 3 3 2 2 2 4 2" xfId="58205" xr:uid="{00000000-0005-0000-0000-000033A60000}"/>
    <cellStyle name="Normal 6 3 3 2 2 2 5" xfId="30366" xr:uid="{00000000-0005-0000-0000-000034A60000}"/>
    <cellStyle name="Normal 6 3 3 2 2 2 6" xfId="30367" xr:uid="{00000000-0005-0000-0000-000035A60000}"/>
    <cellStyle name="Normal 6 3 3 2 2 2 7" xfId="30368" xr:uid="{00000000-0005-0000-0000-000036A60000}"/>
    <cellStyle name="Normal 6 3 3 2 2 3" xfId="30369" xr:uid="{00000000-0005-0000-0000-000037A60000}"/>
    <cellStyle name="Normal 6 3 3 2 2 3 2" xfId="30370" xr:uid="{00000000-0005-0000-0000-000038A60000}"/>
    <cellStyle name="Normal 6 3 3 2 2 3 2 2" xfId="58206" xr:uid="{00000000-0005-0000-0000-000039A60000}"/>
    <cellStyle name="Normal 6 3 3 2 2 3 2 3" xfId="58207" xr:uid="{00000000-0005-0000-0000-00003AA60000}"/>
    <cellStyle name="Normal 6 3 3 2 2 3 3" xfId="30371" xr:uid="{00000000-0005-0000-0000-00003BA60000}"/>
    <cellStyle name="Normal 6 3 3 2 2 3 3 2" xfId="58208" xr:uid="{00000000-0005-0000-0000-00003CA60000}"/>
    <cellStyle name="Normal 6 3 3 2 2 3 4" xfId="30372" xr:uid="{00000000-0005-0000-0000-00003DA60000}"/>
    <cellStyle name="Normal 6 3 3 2 2 3 5" xfId="30373" xr:uid="{00000000-0005-0000-0000-00003EA60000}"/>
    <cellStyle name="Normal 6 3 3 2 2 3 6" xfId="30374" xr:uid="{00000000-0005-0000-0000-00003FA60000}"/>
    <cellStyle name="Normal 6 3 3 2 2 4" xfId="30375" xr:uid="{00000000-0005-0000-0000-000040A60000}"/>
    <cellStyle name="Normal 6 3 3 2 2 4 2" xfId="58209" xr:uid="{00000000-0005-0000-0000-000041A60000}"/>
    <cellStyle name="Normal 6 3 3 2 2 4 3" xfId="58210" xr:uid="{00000000-0005-0000-0000-000042A60000}"/>
    <cellStyle name="Normal 6 3 3 2 2 5" xfId="30376" xr:uid="{00000000-0005-0000-0000-000043A60000}"/>
    <cellStyle name="Normal 6 3 3 2 2 5 2" xfId="58211" xr:uid="{00000000-0005-0000-0000-000044A60000}"/>
    <cellStyle name="Normal 6 3 3 2 2 6" xfId="30377" xr:uid="{00000000-0005-0000-0000-000045A60000}"/>
    <cellStyle name="Normal 6 3 3 2 2 7" xfId="30378" xr:uid="{00000000-0005-0000-0000-000046A60000}"/>
    <cellStyle name="Normal 6 3 3 2 2 8" xfId="30379" xr:uid="{00000000-0005-0000-0000-000047A60000}"/>
    <cellStyle name="Normal 6 3 3 2 2 9" xfId="30380" xr:uid="{00000000-0005-0000-0000-000048A60000}"/>
    <cellStyle name="Normal 6 3 3 2 3" xfId="30381" xr:uid="{00000000-0005-0000-0000-000049A60000}"/>
    <cellStyle name="Normal 6 3 3 2 3 2" xfId="30382" xr:uid="{00000000-0005-0000-0000-00004AA60000}"/>
    <cellStyle name="Normal 6 3 3 2 3 2 2" xfId="30383" xr:uid="{00000000-0005-0000-0000-00004BA60000}"/>
    <cellStyle name="Normal 6 3 3 2 3 2 2 2" xfId="30384" xr:uid="{00000000-0005-0000-0000-00004CA60000}"/>
    <cellStyle name="Normal 6 3 3 2 3 2 2 2 2" xfId="58212" xr:uid="{00000000-0005-0000-0000-00004DA60000}"/>
    <cellStyle name="Normal 6 3 3 2 3 2 2 2 3" xfId="58213" xr:uid="{00000000-0005-0000-0000-00004EA60000}"/>
    <cellStyle name="Normal 6 3 3 2 3 2 2 3" xfId="30385" xr:uid="{00000000-0005-0000-0000-00004FA60000}"/>
    <cellStyle name="Normal 6 3 3 2 3 2 2 3 2" xfId="58214" xr:uid="{00000000-0005-0000-0000-000050A60000}"/>
    <cellStyle name="Normal 6 3 3 2 3 2 2 4" xfId="30386" xr:uid="{00000000-0005-0000-0000-000051A60000}"/>
    <cellStyle name="Normal 6 3 3 2 3 2 2 5" xfId="30387" xr:uid="{00000000-0005-0000-0000-000052A60000}"/>
    <cellStyle name="Normal 6 3 3 2 3 2 2 6" xfId="30388" xr:uid="{00000000-0005-0000-0000-000053A60000}"/>
    <cellStyle name="Normal 6 3 3 2 3 2 3" xfId="30389" xr:uid="{00000000-0005-0000-0000-000054A60000}"/>
    <cellStyle name="Normal 6 3 3 2 3 2 3 2" xfId="58215" xr:uid="{00000000-0005-0000-0000-000055A60000}"/>
    <cellStyle name="Normal 6 3 3 2 3 2 3 3" xfId="58216" xr:uid="{00000000-0005-0000-0000-000056A60000}"/>
    <cellStyle name="Normal 6 3 3 2 3 2 4" xfId="30390" xr:uid="{00000000-0005-0000-0000-000057A60000}"/>
    <cellStyle name="Normal 6 3 3 2 3 2 4 2" xfId="58217" xr:uid="{00000000-0005-0000-0000-000058A60000}"/>
    <cellStyle name="Normal 6 3 3 2 3 2 5" xfId="30391" xr:uid="{00000000-0005-0000-0000-000059A60000}"/>
    <cellStyle name="Normal 6 3 3 2 3 2 6" xfId="30392" xr:uid="{00000000-0005-0000-0000-00005AA60000}"/>
    <cellStyle name="Normal 6 3 3 2 3 2 7" xfId="30393" xr:uid="{00000000-0005-0000-0000-00005BA60000}"/>
    <cellStyle name="Normal 6 3 3 2 3 3" xfId="30394" xr:uid="{00000000-0005-0000-0000-00005CA60000}"/>
    <cellStyle name="Normal 6 3 3 2 3 3 2" xfId="30395" xr:uid="{00000000-0005-0000-0000-00005DA60000}"/>
    <cellStyle name="Normal 6 3 3 2 3 3 2 2" xfId="58218" xr:uid="{00000000-0005-0000-0000-00005EA60000}"/>
    <cellStyle name="Normal 6 3 3 2 3 3 2 3" xfId="58219" xr:uid="{00000000-0005-0000-0000-00005FA60000}"/>
    <cellStyle name="Normal 6 3 3 2 3 3 3" xfId="30396" xr:uid="{00000000-0005-0000-0000-000060A60000}"/>
    <cellStyle name="Normal 6 3 3 2 3 3 3 2" xfId="58220" xr:uid="{00000000-0005-0000-0000-000061A60000}"/>
    <cellStyle name="Normal 6 3 3 2 3 3 4" xfId="30397" xr:uid="{00000000-0005-0000-0000-000062A60000}"/>
    <cellStyle name="Normal 6 3 3 2 3 3 5" xfId="30398" xr:uid="{00000000-0005-0000-0000-000063A60000}"/>
    <cellStyle name="Normal 6 3 3 2 3 3 6" xfId="30399" xr:uid="{00000000-0005-0000-0000-000064A60000}"/>
    <cellStyle name="Normal 6 3 3 2 3 4" xfId="30400" xr:uid="{00000000-0005-0000-0000-000065A60000}"/>
    <cellStyle name="Normal 6 3 3 2 3 4 2" xfId="58221" xr:uid="{00000000-0005-0000-0000-000066A60000}"/>
    <cellStyle name="Normal 6 3 3 2 3 4 3" xfId="58222" xr:uid="{00000000-0005-0000-0000-000067A60000}"/>
    <cellStyle name="Normal 6 3 3 2 3 5" xfId="30401" xr:uid="{00000000-0005-0000-0000-000068A60000}"/>
    <cellStyle name="Normal 6 3 3 2 3 5 2" xfId="58223" xr:uid="{00000000-0005-0000-0000-000069A60000}"/>
    <cellStyle name="Normal 6 3 3 2 3 6" xfId="30402" xr:uid="{00000000-0005-0000-0000-00006AA60000}"/>
    <cellStyle name="Normal 6 3 3 2 3 7" xfId="30403" xr:uid="{00000000-0005-0000-0000-00006BA60000}"/>
    <cellStyle name="Normal 6 3 3 2 3 8" xfId="30404" xr:uid="{00000000-0005-0000-0000-00006CA60000}"/>
    <cellStyle name="Normal 6 3 3 2 4" xfId="30405" xr:uid="{00000000-0005-0000-0000-00006DA60000}"/>
    <cellStyle name="Normal 6 3 3 2 4 2" xfId="30406" xr:uid="{00000000-0005-0000-0000-00006EA60000}"/>
    <cellStyle name="Normal 6 3 3 2 4 2 2" xfId="30407" xr:uid="{00000000-0005-0000-0000-00006FA60000}"/>
    <cellStyle name="Normal 6 3 3 2 4 2 2 2" xfId="58224" xr:uid="{00000000-0005-0000-0000-000070A60000}"/>
    <cellStyle name="Normal 6 3 3 2 4 2 2 3" xfId="58225" xr:uid="{00000000-0005-0000-0000-000071A60000}"/>
    <cellStyle name="Normal 6 3 3 2 4 2 3" xfId="30408" xr:uid="{00000000-0005-0000-0000-000072A60000}"/>
    <cellStyle name="Normal 6 3 3 2 4 2 3 2" xfId="58226" xr:uid="{00000000-0005-0000-0000-000073A60000}"/>
    <cellStyle name="Normal 6 3 3 2 4 2 4" xfId="30409" xr:uid="{00000000-0005-0000-0000-000074A60000}"/>
    <cellStyle name="Normal 6 3 3 2 4 2 5" xfId="30410" xr:uid="{00000000-0005-0000-0000-000075A60000}"/>
    <cellStyle name="Normal 6 3 3 2 4 2 6" xfId="30411" xr:uid="{00000000-0005-0000-0000-000076A60000}"/>
    <cellStyle name="Normal 6 3 3 2 4 3" xfId="30412" xr:uid="{00000000-0005-0000-0000-000077A60000}"/>
    <cellStyle name="Normal 6 3 3 2 4 3 2" xfId="58227" xr:uid="{00000000-0005-0000-0000-000078A60000}"/>
    <cellStyle name="Normal 6 3 3 2 4 3 3" xfId="58228" xr:uid="{00000000-0005-0000-0000-000079A60000}"/>
    <cellStyle name="Normal 6 3 3 2 4 4" xfId="30413" xr:uid="{00000000-0005-0000-0000-00007AA60000}"/>
    <cellStyle name="Normal 6 3 3 2 4 4 2" xfId="58229" xr:uid="{00000000-0005-0000-0000-00007BA60000}"/>
    <cellStyle name="Normal 6 3 3 2 4 5" xfId="30414" xr:uid="{00000000-0005-0000-0000-00007CA60000}"/>
    <cellStyle name="Normal 6 3 3 2 4 6" xfId="30415" xr:uid="{00000000-0005-0000-0000-00007DA60000}"/>
    <cellStyle name="Normal 6 3 3 2 4 7" xfId="30416" xr:uid="{00000000-0005-0000-0000-00007EA60000}"/>
    <cellStyle name="Normal 6 3 3 2 5" xfId="30417" xr:uid="{00000000-0005-0000-0000-00007FA60000}"/>
    <cellStyle name="Normal 6 3 3 2 5 2" xfId="30418" xr:uid="{00000000-0005-0000-0000-000080A60000}"/>
    <cellStyle name="Normal 6 3 3 2 5 2 2" xfId="58230" xr:uid="{00000000-0005-0000-0000-000081A60000}"/>
    <cellStyle name="Normal 6 3 3 2 5 2 3" xfId="58231" xr:uid="{00000000-0005-0000-0000-000082A60000}"/>
    <cellStyle name="Normal 6 3 3 2 5 3" xfId="30419" xr:uid="{00000000-0005-0000-0000-000083A60000}"/>
    <cellStyle name="Normal 6 3 3 2 5 3 2" xfId="58232" xr:uid="{00000000-0005-0000-0000-000084A60000}"/>
    <cellStyle name="Normal 6 3 3 2 5 4" xfId="30420" xr:uid="{00000000-0005-0000-0000-000085A60000}"/>
    <cellStyle name="Normal 6 3 3 2 5 5" xfId="30421" xr:uid="{00000000-0005-0000-0000-000086A60000}"/>
    <cellStyle name="Normal 6 3 3 2 5 6" xfId="30422" xr:uid="{00000000-0005-0000-0000-000087A60000}"/>
    <cellStyle name="Normal 6 3 3 2 6" xfId="30423" xr:uid="{00000000-0005-0000-0000-000088A60000}"/>
    <cellStyle name="Normal 6 3 3 2 6 2" xfId="58233" xr:uid="{00000000-0005-0000-0000-000089A60000}"/>
    <cellStyle name="Normal 6 3 3 2 6 3" xfId="58234" xr:uid="{00000000-0005-0000-0000-00008AA60000}"/>
    <cellStyle name="Normal 6 3 3 2 7" xfId="30424" xr:uid="{00000000-0005-0000-0000-00008BA60000}"/>
    <cellStyle name="Normal 6 3 3 2 7 2" xfId="58235" xr:uid="{00000000-0005-0000-0000-00008CA60000}"/>
    <cellStyle name="Normal 6 3 3 2 8" xfId="30425" xr:uid="{00000000-0005-0000-0000-00008DA60000}"/>
    <cellStyle name="Normal 6 3 3 2 9" xfId="30426" xr:uid="{00000000-0005-0000-0000-00008EA60000}"/>
    <cellStyle name="Normal 6 3 3 3" xfId="30427" xr:uid="{00000000-0005-0000-0000-00008FA60000}"/>
    <cellStyle name="Normal 6 3 3 3 2" xfId="30428" xr:uid="{00000000-0005-0000-0000-000090A60000}"/>
    <cellStyle name="Normal 6 3 3 3 2 2" xfId="30429" xr:uid="{00000000-0005-0000-0000-000091A60000}"/>
    <cellStyle name="Normal 6 3 3 3 2 2 2" xfId="30430" xr:uid="{00000000-0005-0000-0000-000092A60000}"/>
    <cellStyle name="Normal 6 3 3 3 2 2 2 2" xfId="58236" xr:uid="{00000000-0005-0000-0000-000093A60000}"/>
    <cellStyle name="Normal 6 3 3 3 2 2 2 3" xfId="58237" xr:uid="{00000000-0005-0000-0000-000094A60000}"/>
    <cellStyle name="Normal 6 3 3 3 2 2 3" xfId="30431" xr:uid="{00000000-0005-0000-0000-000095A60000}"/>
    <cellStyle name="Normal 6 3 3 3 2 2 3 2" xfId="58238" xr:uid="{00000000-0005-0000-0000-000096A60000}"/>
    <cellStyle name="Normal 6 3 3 3 2 2 4" xfId="30432" xr:uid="{00000000-0005-0000-0000-000097A60000}"/>
    <cellStyle name="Normal 6 3 3 3 2 2 5" xfId="30433" xr:uid="{00000000-0005-0000-0000-000098A60000}"/>
    <cellStyle name="Normal 6 3 3 3 2 2 6" xfId="30434" xr:uid="{00000000-0005-0000-0000-000099A60000}"/>
    <cellStyle name="Normal 6 3 3 3 2 3" xfId="30435" xr:uid="{00000000-0005-0000-0000-00009AA60000}"/>
    <cellStyle name="Normal 6 3 3 3 2 3 2" xfId="58239" xr:uid="{00000000-0005-0000-0000-00009BA60000}"/>
    <cellStyle name="Normal 6 3 3 3 2 3 3" xfId="58240" xr:uid="{00000000-0005-0000-0000-00009CA60000}"/>
    <cellStyle name="Normal 6 3 3 3 2 4" xfId="30436" xr:uid="{00000000-0005-0000-0000-00009DA60000}"/>
    <cellStyle name="Normal 6 3 3 3 2 4 2" xfId="58241" xr:uid="{00000000-0005-0000-0000-00009EA60000}"/>
    <cellStyle name="Normal 6 3 3 3 2 5" xfId="30437" xr:uid="{00000000-0005-0000-0000-00009FA60000}"/>
    <cellStyle name="Normal 6 3 3 3 2 6" xfId="30438" xr:uid="{00000000-0005-0000-0000-0000A0A60000}"/>
    <cellStyle name="Normal 6 3 3 3 2 7" xfId="30439" xr:uid="{00000000-0005-0000-0000-0000A1A60000}"/>
    <cellStyle name="Normal 6 3 3 3 3" xfId="30440" xr:uid="{00000000-0005-0000-0000-0000A2A60000}"/>
    <cellStyle name="Normal 6 3 3 3 3 2" xfId="30441" xr:uid="{00000000-0005-0000-0000-0000A3A60000}"/>
    <cellStyle name="Normal 6 3 3 3 3 2 2" xfId="58242" xr:uid="{00000000-0005-0000-0000-0000A4A60000}"/>
    <cellStyle name="Normal 6 3 3 3 3 2 3" xfId="58243" xr:uid="{00000000-0005-0000-0000-0000A5A60000}"/>
    <cellStyle name="Normal 6 3 3 3 3 3" xfId="30442" xr:uid="{00000000-0005-0000-0000-0000A6A60000}"/>
    <cellStyle name="Normal 6 3 3 3 3 3 2" xfId="58244" xr:uid="{00000000-0005-0000-0000-0000A7A60000}"/>
    <cellStyle name="Normal 6 3 3 3 3 4" xfId="30443" xr:uid="{00000000-0005-0000-0000-0000A8A60000}"/>
    <cellStyle name="Normal 6 3 3 3 3 5" xfId="30444" xr:uid="{00000000-0005-0000-0000-0000A9A60000}"/>
    <cellStyle name="Normal 6 3 3 3 3 6" xfId="30445" xr:uid="{00000000-0005-0000-0000-0000AAA60000}"/>
    <cellStyle name="Normal 6 3 3 3 4" xfId="30446" xr:uid="{00000000-0005-0000-0000-0000ABA60000}"/>
    <cellStyle name="Normal 6 3 3 3 4 2" xfId="58245" xr:uid="{00000000-0005-0000-0000-0000ACA60000}"/>
    <cellStyle name="Normal 6 3 3 3 4 3" xfId="58246" xr:uid="{00000000-0005-0000-0000-0000ADA60000}"/>
    <cellStyle name="Normal 6 3 3 3 5" xfId="30447" xr:uid="{00000000-0005-0000-0000-0000AEA60000}"/>
    <cellStyle name="Normal 6 3 3 3 5 2" xfId="58247" xr:uid="{00000000-0005-0000-0000-0000AFA60000}"/>
    <cellStyle name="Normal 6 3 3 3 6" xfId="30448" xr:uid="{00000000-0005-0000-0000-0000B0A60000}"/>
    <cellStyle name="Normal 6 3 3 3 7" xfId="30449" xr:uid="{00000000-0005-0000-0000-0000B1A60000}"/>
    <cellStyle name="Normal 6 3 3 3 8" xfId="30450" xr:uid="{00000000-0005-0000-0000-0000B2A60000}"/>
    <cellStyle name="Normal 6 3 3 3 9" xfId="30451" xr:uid="{00000000-0005-0000-0000-0000B3A60000}"/>
    <cellStyle name="Normal 6 3 3 4" xfId="30452" xr:uid="{00000000-0005-0000-0000-0000B4A60000}"/>
    <cellStyle name="Normal 6 3 3 4 2" xfId="30453" xr:uid="{00000000-0005-0000-0000-0000B5A60000}"/>
    <cellStyle name="Normal 6 3 3 4 2 2" xfId="30454" xr:uid="{00000000-0005-0000-0000-0000B6A60000}"/>
    <cellStyle name="Normal 6 3 3 4 2 2 2" xfId="30455" xr:uid="{00000000-0005-0000-0000-0000B7A60000}"/>
    <cellStyle name="Normal 6 3 3 4 2 2 2 2" xfId="58248" xr:uid="{00000000-0005-0000-0000-0000B8A60000}"/>
    <cellStyle name="Normal 6 3 3 4 2 2 2 3" xfId="58249" xr:uid="{00000000-0005-0000-0000-0000B9A60000}"/>
    <cellStyle name="Normal 6 3 3 4 2 2 3" xfId="30456" xr:uid="{00000000-0005-0000-0000-0000BAA60000}"/>
    <cellStyle name="Normal 6 3 3 4 2 2 3 2" xfId="58250" xr:uid="{00000000-0005-0000-0000-0000BBA60000}"/>
    <cellStyle name="Normal 6 3 3 4 2 2 4" xfId="30457" xr:uid="{00000000-0005-0000-0000-0000BCA60000}"/>
    <cellStyle name="Normal 6 3 3 4 2 2 5" xfId="30458" xr:uid="{00000000-0005-0000-0000-0000BDA60000}"/>
    <cellStyle name="Normal 6 3 3 4 2 2 6" xfId="30459" xr:uid="{00000000-0005-0000-0000-0000BEA60000}"/>
    <cellStyle name="Normal 6 3 3 4 2 3" xfId="30460" xr:uid="{00000000-0005-0000-0000-0000BFA60000}"/>
    <cellStyle name="Normal 6 3 3 4 2 3 2" xfId="58251" xr:uid="{00000000-0005-0000-0000-0000C0A60000}"/>
    <cellStyle name="Normal 6 3 3 4 2 3 3" xfId="58252" xr:uid="{00000000-0005-0000-0000-0000C1A60000}"/>
    <cellStyle name="Normal 6 3 3 4 2 4" xfId="30461" xr:uid="{00000000-0005-0000-0000-0000C2A60000}"/>
    <cellStyle name="Normal 6 3 3 4 2 4 2" xfId="58253" xr:uid="{00000000-0005-0000-0000-0000C3A60000}"/>
    <cellStyle name="Normal 6 3 3 4 2 5" xfId="30462" xr:uid="{00000000-0005-0000-0000-0000C4A60000}"/>
    <cellStyle name="Normal 6 3 3 4 2 6" xfId="30463" xr:uid="{00000000-0005-0000-0000-0000C5A60000}"/>
    <cellStyle name="Normal 6 3 3 4 2 7" xfId="30464" xr:uid="{00000000-0005-0000-0000-0000C6A60000}"/>
    <cellStyle name="Normal 6 3 3 4 3" xfId="30465" xr:uid="{00000000-0005-0000-0000-0000C7A60000}"/>
    <cellStyle name="Normal 6 3 3 4 3 2" xfId="30466" xr:uid="{00000000-0005-0000-0000-0000C8A60000}"/>
    <cellStyle name="Normal 6 3 3 4 3 2 2" xfId="58254" xr:uid="{00000000-0005-0000-0000-0000C9A60000}"/>
    <cellStyle name="Normal 6 3 3 4 3 2 3" xfId="58255" xr:uid="{00000000-0005-0000-0000-0000CAA60000}"/>
    <cellStyle name="Normal 6 3 3 4 3 3" xfId="30467" xr:uid="{00000000-0005-0000-0000-0000CBA60000}"/>
    <cellStyle name="Normal 6 3 3 4 3 3 2" xfId="58256" xr:uid="{00000000-0005-0000-0000-0000CCA60000}"/>
    <cellStyle name="Normal 6 3 3 4 3 4" xfId="30468" xr:uid="{00000000-0005-0000-0000-0000CDA60000}"/>
    <cellStyle name="Normal 6 3 3 4 3 5" xfId="30469" xr:uid="{00000000-0005-0000-0000-0000CEA60000}"/>
    <cellStyle name="Normal 6 3 3 4 3 6" xfId="30470" xr:uid="{00000000-0005-0000-0000-0000CFA60000}"/>
    <cellStyle name="Normal 6 3 3 4 4" xfId="30471" xr:uid="{00000000-0005-0000-0000-0000D0A60000}"/>
    <cellStyle name="Normal 6 3 3 4 4 2" xfId="58257" xr:uid="{00000000-0005-0000-0000-0000D1A60000}"/>
    <cellStyle name="Normal 6 3 3 4 4 3" xfId="58258" xr:uid="{00000000-0005-0000-0000-0000D2A60000}"/>
    <cellStyle name="Normal 6 3 3 4 5" xfId="30472" xr:uid="{00000000-0005-0000-0000-0000D3A60000}"/>
    <cellStyle name="Normal 6 3 3 4 5 2" xfId="58259" xr:uid="{00000000-0005-0000-0000-0000D4A60000}"/>
    <cellStyle name="Normal 6 3 3 4 6" xfId="30473" xr:uid="{00000000-0005-0000-0000-0000D5A60000}"/>
    <cellStyle name="Normal 6 3 3 4 7" xfId="30474" xr:uid="{00000000-0005-0000-0000-0000D6A60000}"/>
    <cellStyle name="Normal 6 3 3 4 8" xfId="30475" xr:uid="{00000000-0005-0000-0000-0000D7A60000}"/>
    <cellStyle name="Normal 6 3 3 5" xfId="30476" xr:uid="{00000000-0005-0000-0000-0000D8A60000}"/>
    <cellStyle name="Normal 6 3 3 5 2" xfId="30477" xr:uid="{00000000-0005-0000-0000-0000D9A60000}"/>
    <cellStyle name="Normal 6 3 3 5 2 2" xfId="30478" xr:uid="{00000000-0005-0000-0000-0000DAA60000}"/>
    <cellStyle name="Normal 6 3 3 5 2 2 2" xfId="58260" xr:uid="{00000000-0005-0000-0000-0000DBA60000}"/>
    <cellStyle name="Normal 6 3 3 5 2 2 3" xfId="58261" xr:uid="{00000000-0005-0000-0000-0000DCA60000}"/>
    <cellStyle name="Normal 6 3 3 5 2 3" xfId="30479" xr:uid="{00000000-0005-0000-0000-0000DDA60000}"/>
    <cellStyle name="Normal 6 3 3 5 2 3 2" xfId="58262" xr:uid="{00000000-0005-0000-0000-0000DEA60000}"/>
    <cellStyle name="Normal 6 3 3 5 2 4" xfId="30480" xr:uid="{00000000-0005-0000-0000-0000DFA60000}"/>
    <cellStyle name="Normal 6 3 3 5 2 5" xfId="30481" xr:uid="{00000000-0005-0000-0000-0000E0A60000}"/>
    <cellStyle name="Normal 6 3 3 5 2 6" xfId="30482" xr:uid="{00000000-0005-0000-0000-0000E1A60000}"/>
    <cellStyle name="Normal 6 3 3 5 3" xfId="30483" xr:uid="{00000000-0005-0000-0000-0000E2A60000}"/>
    <cellStyle name="Normal 6 3 3 5 3 2" xfId="58263" xr:uid="{00000000-0005-0000-0000-0000E3A60000}"/>
    <cellStyle name="Normal 6 3 3 5 3 3" xfId="58264" xr:uid="{00000000-0005-0000-0000-0000E4A60000}"/>
    <cellStyle name="Normal 6 3 3 5 4" xfId="30484" xr:uid="{00000000-0005-0000-0000-0000E5A60000}"/>
    <cellStyle name="Normal 6 3 3 5 4 2" xfId="58265" xr:uid="{00000000-0005-0000-0000-0000E6A60000}"/>
    <cellStyle name="Normal 6 3 3 5 5" xfId="30485" xr:uid="{00000000-0005-0000-0000-0000E7A60000}"/>
    <cellStyle name="Normal 6 3 3 5 6" xfId="30486" xr:uid="{00000000-0005-0000-0000-0000E8A60000}"/>
    <cellStyle name="Normal 6 3 3 5 7" xfId="30487" xr:uid="{00000000-0005-0000-0000-0000E9A60000}"/>
    <cellStyle name="Normal 6 3 3 6" xfId="30488" xr:uid="{00000000-0005-0000-0000-0000EAA60000}"/>
    <cellStyle name="Normal 6 3 3 6 2" xfId="30489" xr:uid="{00000000-0005-0000-0000-0000EBA60000}"/>
    <cellStyle name="Normal 6 3 3 6 2 2" xfId="58266" xr:uid="{00000000-0005-0000-0000-0000ECA60000}"/>
    <cellStyle name="Normal 6 3 3 6 2 3" xfId="58267" xr:uid="{00000000-0005-0000-0000-0000EDA60000}"/>
    <cellStyle name="Normal 6 3 3 6 3" xfId="30490" xr:uid="{00000000-0005-0000-0000-0000EEA60000}"/>
    <cellStyle name="Normal 6 3 3 6 3 2" xfId="58268" xr:uid="{00000000-0005-0000-0000-0000EFA60000}"/>
    <cellStyle name="Normal 6 3 3 6 4" xfId="30491" xr:uid="{00000000-0005-0000-0000-0000F0A60000}"/>
    <cellStyle name="Normal 6 3 3 6 5" xfId="30492" xr:uid="{00000000-0005-0000-0000-0000F1A60000}"/>
    <cellStyle name="Normal 6 3 3 6 6" xfId="30493" xr:uid="{00000000-0005-0000-0000-0000F2A60000}"/>
    <cellStyle name="Normal 6 3 3 7" xfId="30494" xr:uid="{00000000-0005-0000-0000-0000F3A60000}"/>
    <cellStyle name="Normal 6 3 3 7 2" xfId="58269" xr:uid="{00000000-0005-0000-0000-0000F4A60000}"/>
    <cellStyle name="Normal 6 3 3 8" xfId="30495" xr:uid="{00000000-0005-0000-0000-0000F5A60000}"/>
    <cellStyle name="Normal 6 3 3 9" xfId="30496" xr:uid="{00000000-0005-0000-0000-0000F6A60000}"/>
    <cellStyle name="Normal 6 3 4" xfId="30497" xr:uid="{00000000-0005-0000-0000-0000F7A60000}"/>
    <cellStyle name="Normal 6 3 4 10" xfId="30498" xr:uid="{00000000-0005-0000-0000-0000F8A60000}"/>
    <cellStyle name="Normal 6 3 4 11" xfId="30499" xr:uid="{00000000-0005-0000-0000-0000F9A60000}"/>
    <cellStyle name="Normal 6 3 4 12" xfId="30500" xr:uid="{00000000-0005-0000-0000-0000FAA60000}"/>
    <cellStyle name="Normal 6 3 4 13" xfId="30501" xr:uid="{00000000-0005-0000-0000-0000FBA60000}"/>
    <cellStyle name="Normal 6 3 4 14" xfId="30502" xr:uid="{00000000-0005-0000-0000-0000FCA60000}"/>
    <cellStyle name="Normal 6 3 4 2" xfId="30503" xr:uid="{00000000-0005-0000-0000-0000FDA60000}"/>
    <cellStyle name="Normal 6 3 4 2 2" xfId="30504" xr:uid="{00000000-0005-0000-0000-0000FEA60000}"/>
    <cellStyle name="Normal 6 3 4 2 2 2" xfId="30505" xr:uid="{00000000-0005-0000-0000-0000FFA60000}"/>
    <cellStyle name="Normal 6 3 4 2 2 2 2" xfId="30506" xr:uid="{00000000-0005-0000-0000-000000A70000}"/>
    <cellStyle name="Normal 6 3 4 2 2 2 2 2" xfId="58270" xr:uid="{00000000-0005-0000-0000-000001A70000}"/>
    <cellStyle name="Normal 6 3 4 2 2 2 2 3" xfId="58271" xr:uid="{00000000-0005-0000-0000-000002A70000}"/>
    <cellStyle name="Normal 6 3 4 2 2 2 3" xfId="30507" xr:uid="{00000000-0005-0000-0000-000003A70000}"/>
    <cellStyle name="Normal 6 3 4 2 2 2 3 2" xfId="58272" xr:uid="{00000000-0005-0000-0000-000004A70000}"/>
    <cellStyle name="Normal 6 3 4 2 2 2 4" xfId="30508" xr:uid="{00000000-0005-0000-0000-000005A70000}"/>
    <cellStyle name="Normal 6 3 4 2 2 2 5" xfId="30509" xr:uid="{00000000-0005-0000-0000-000006A70000}"/>
    <cellStyle name="Normal 6 3 4 2 2 2 6" xfId="30510" xr:uid="{00000000-0005-0000-0000-000007A70000}"/>
    <cellStyle name="Normal 6 3 4 2 2 3" xfId="30511" xr:uid="{00000000-0005-0000-0000-000008A70000}"/>
    <cellStyle name="Normal 6 3 4 2 2 3 2" xfId="58273" xr:uid="{00000000-0005-0000-0000-000009A70000}"/>
    <cellStyle name="Normal 6 3 4 2 2 3 3" xfId="58274" xr:uid="{00000000-0005-0000-0000-00000AA70000}"/>
    <cellStyle name="Normal 6 3 4 2 2 4" xfId="30512" xr:uid="{00000000-0005-0000-0000-00000BA70000}"/>
    <cellStyle name="Normal 6 3 4 2 2 4 2" xfId="58275" xr:uid="{00000000-0005-0000-0000-00000CA70000}"/>
    <cellStyle name="Normal 6 3 4 2 2 5" xfId="30513" xr:uid="{00000000-0005-0000-0000-00000DA70000}"/>
    <cellStyle name="Normal 6 3 4 2 2 6" xfId="30514" xr:uid="{00000000-0005-0000-0000-00000EA70000}"/>
    <cellStyle name="Normal 6 3 4 2 2 7" xfId="30515" xr:uid="{00000000-0005-0000-0000-00000FA70000}"/>
    <cellStyle name="Normal 6 3 4 2 3" xfId="30516" xr:uid="{00000000-0005-0000-0000-000010A70000}"/>
    <cellStyle name="Normal 6 3 4 2 3 2" xfId="30517" xr:uid="{00000000-0005-0000-0000-000011A70000}"/>
    <cellStyle name="Normal 6 3 4 2 3 2 2" xfId="58276" xr:uid="{00000000-0005-0000-0000-000012A70000}"/>
    <cellStyle name="Normal 6 3 4 2 3 2 3" xfId="58277" xr:uid="{00000000-0005-0000-0000-000013A70000}"/>
    <cellStyle name="Normal 6 3 4 2 3 3" xfId="30518" xr:uid="{00000000-0005-0000-0000-000014A70000}"/>
    <cellStyle name="Normal 6 3 4 2 3 3 2" xfId="58278" xr:uid="{00000000-0005-0000-0000-000015A70000}"/>
    <cellStyle name="Normal 6 3 4 2 3 4" xfId="30519" xr:uid="{00000000-0005-0000-0000-000016A70000}"/>
    <cellStyle name="Normal 6 3 4 2 3 5" xfId="30520" xr:uid="{00000000-0005-0000-0000-000017A70000}"/>
    <cellStyle name="Normal 6 3 4 2 3 6" xfId="30521" xr:uid="{00000000-0005-0000-0000-000018A70000}"/>
    <cellStyle name="Normal 6 3 4 2 4" xfId="30522" xr:uid="{00000000-0005-0000-0000-000019A70000}"/>
    <cellStyle name="Normal 6 3 4 2 4 2" xfId="58279" xr:uid="{00000000-0005-0000-0000-00001AA70000}"/>
    <cellStyle name="Normal 6 3 4 2 4 3" xfId="58280" xr:uid="{00000000-0005-0000-0000-00001BA70000}"/>
    <cellStyle name="Normal 6 3 4 2 5" xfId="30523" xr:uid="{00000000-0005-0000-0000-00001CA70000}"/>
    <cellStyle name="Normal 6 3 4 2 5 2" xfId="58281" xr:uid="{00000000-0005-0000-0000-00001DA70000}"/>
    <cellStyle name="Normal 6 3 4 2 6" xfId="30524" xr:uid="{00000000-0005-0000-0000-00001EA70000}"/>
    <cellStyle name="Normal 6 3 4 2 7" xfId="30525" xr:uid="{00000000-0005-0000-0000-00001FA70000}"/>
    <cellStyle name="Normal 6 3 4 2 8" xfId="30526" xr:uid="{00000000-0005-0000-0000-000020A70000}"/>
    <cellStyle name="Normal 6 3 4 2 9" xfId="30527" xr:uid="{00000000-0005-0000-0000-000021A70000}"/>
    <cellStyle name="Normal 6 3 4 3" xfId="30528" xr:uid="{00000000-0005-0000-0000-000022A70000}"/>
    <cellStyle name="Normal 6 3 4 3 2" xfId="30529" xr:uid="{00000000-0005-0000-0000-000023A70000}"/>
    <cellStyle name="Normal 6 3 4 3 2 2" xfId="30530" xr:uid="{00000000-0005-0000-0000-000024A70000}"/>
    <cellStyle name="Normal 6 3 4 3 2 2 2" xfId="30531" xr:uid="{00000000-0005-0000-0000-000025A70000}"/>
    <cellStyle name="Normal 6 3 4 3 2 2 2 2" xfId="58282" xr:uid="{00000000-0005-0000-0000-000026A70000}"/>
    <cellStyle name="Normal 6 3 4 3 2 2 2 3" xfId="58283" xr:uid="{00000000-0005-0000-0000-000027A70000}"/>
    <cellStyle name="Normal 6 3 4 3 2 2 3" xfId="30532" xr:uid="{00000000-0005-0000-0000-000028A70000}"/>
    <cellStyle name="Normal 6 3 4 3 2 2 3 2" xfId="58284" xr:uid="{00000000-0005-0000-0000-000029A70000}"/>
    <cellStyle name="Normal 6 3 4 3 2 2 4" xfId="30533" xr:uid="{00000000-0005-0000-0000-00002AA70000}"/>
    <cellStyle name="Normal 6 3 4 3 2 2 5" xfId="30534" xr:uid="{00000000-0005-0000-0000-00002BA70000}"/>
    <cellStyle name="Normal 6 3 4 3 2 2 6" xfId="30535" xr:uid="{00000000-0005-0000-0000-00002CA70000}"/>
    <cellStyle name="Normal 6 3 4 3 2 3" xfId="30536" xr:uid="{00000000-0005-0000-0000-00002DA70000}"/>
    <cellStyle name="Normal 6 3 4 3 2 3 2" xfId="58285" xr:uid="{00000000-0005-0000-0000-00002EA70000}"/>
    <cellStyle name="Normal 6 3 4 3 2 3 3" xfId="58286" xr:uid="{00000000-0005-0000-0000-00002FA70000}"/>
    <cellStyle name="Normal 6 3 4 3 2 4" xfId="30537" xr:uid="{00000000-0005-0000-0000-000030A70000}"/>
    <cellStyle name="Normal 6 3 4 3 2 4 2" xfId="58287" xr:uid="{00000000-0005-0000-0000-000031A70000}"/>
    <cellStyle name="Normal 6 3 4 3 2 5" xfId="30538" xr:uid="{00000000-0005-0000-0000-000032A70000}"/>
    <cellStyle name="Normal 6 3 4 3 2 6" xfId="30539" xr:uid="{00000000-0005-0000-0000-000033A70000}"/>
    <cellStyle name="Normal 6 3 4 3 2 7" xfId="30540" xr:uid="{00000000-0005-0000-0000-000034A70000}"/>
    <cellStyle name="Normal 6 3 4 3 3" xfId="30541" xr:uid="{00000000-0005-0000-0000-000035A70000}"/>
    <cellStyle name="Normal 6 3 4 3 3 2" xfId="30542" xr:uid="{00000000-0005-0000-0000-000036A70000}"/>
    <cellStyle name="Normal 6 3 4 3 3 2 2" xfId="58288" xr:uid="{00000000-0005-0000-0000-000037A70000}"/>
    <cellStyle name="Normal 6 3 4 3 3 2 3" xfId="58289" xr:uid="{00000000-0005-0000-0000-000038A70000}"/>
    <cellStyle name="Normal 6 3 4 3 3 3" xfId="30543" xr:uid="{00000000-0005-0000-0000-000039A70000}"/>
    <cellStyle name="Normal 6 3 4 3 3 3 2" xfId="58290" xr:uid="{00000000-0005-0000-0000-00003AA70000}"/>
    <cellStyle name="Normal 6 3 4 3 3 4" xfId="30544" xr:uid="{00000000-0005-0000-0000-00003BA70000}"/>
    <cellStyle name="Normal 6 3 4 3 3 5" xfId="30545" xr:uid="{00000000-0005-0000-0000-00003CA70000}"/>
    <cellStyle name="Normal 6 3 4 3 3 6" xfId="30546" xr:uid="{00000000-0005-0000-0000-00003DA70000}"/>
    <cellStyle name="Normal 6 3 4 3 4" xfId="30547" xr:uid="{00000000-0005-0000-0000-00003EA70000}"/>
    <cellStyle name="Normal 6 3 4 3 4 2" xfId="58291" xr:uid="{00000000-0005-0000-0000-00003FA70000}"/>
    <cellStyle name="Normal 6 3 4 3 4 3" xfId="58292" xr:uid="{00000000-0005-0000-0000-000040A70000}"/>
    <cellStyle name="Normal 6 3 4 3 5" xfId="30548" xr:uid="{00000000-0005-0000-0000-000041A70000}"/>
    <cellStyle name="Normal 6 3 4 3 5 2" xfId="58293" xr:uid="{00000000-0005-0000-0000-000042A70000}"/>
    <cellStyle name="Normal 6 3 4 3 6" xfId="30549" xr:uid="{00000000-0005-0000-0000-000043A70000}"/>
    <cellStyle name="Normal 6 3 4 3 7" xfId="30550" xr:uid="{00000000-0005-0000-0000-000044A70000}"/>
    <cellStyle name="Normal 6 3 4 3 8" xfId="30551" xr:uid="{00000000-0005-0000-0000-000045A70000}"/>
    <cellStyle name="Normal 6 3 4 4" xfId="30552" xr:uid="{00000000-0005-0000-0000-000046A70000}"/>
    <cellStyle name="Normal 6 3 4 4 2" xfId="30553" xr:uid="{00000000-0005-0000-0000-000047A70000}"/>
    <cellStyle name="Normal 6 3 4 4 2 2" xfId="30554" xr:uid="{00000000-0005-0000-0000-000048A70000}"/>
    <cellStyle name="Normal 6 3 4 4 2 2 2" xfId="58294" xr:uid="{00000000-0005-0000-0000-000049A70000}"/>
    <cellStyle name="Normal 6 3 4 4 2 2 3" xfId="58295" xr:uid="{00000000-0005-0000-0000-00004AA70000}"/>
    <cellStyle name="Normal 6 3 4 4 2 3" xfId="30555" xr:uid="{00000000-0005-0000-0000-00004BA70000}"/>
    <cellStyle name="Normal 6 3 4 4 2 3 2" xfId="58296" xr:uid="{00000000-0005-0000-0000-00004CA70000}"/>
    <cellStyle name="Normal 6 3 4 4 2 4" xfId="30556" xr:uid="{00000000-0005-0000-0000-00004DA70000}"/>
    <cellStyle name="Normal 6 3 4 4 2 5" xfId="30557" xr:uid="{00000000-0005-0000-0000-00004EA70000}"/>
    <cellStyle name="Normal 6 3 4 4 2 6" xfId="30558" xr:uid="{00000000-0005-0000-0000-00004FA70000}"/>
    <cellStyle name="Normal 6 3 4 4 3" xfId="30559" xr:uid="{00000000-0005-0000-0000-000050A70000}"/>
    <cellStyle name="Normal 6 3 4 4 3 2" xfId="58297" xr:uid="{00000000-0005-0000-0000-000051A70000}"/>
    <cellStyle name="Normal 6 3 4 4 3 3" xfId="58298" xr:uid="{00000000-0005-0000-0000-000052A70000}"/>
    <cellStyle name="Normal 6 3 4 4 4" xfId="30560" xr:uid="{00000000-0005-0000-0000-000053A70000}"/>
    <cellStyle name="Normal 6 3 4 4 4 2" xfId="58299" xr:uid="{00000000-0005-0000-0000-000054A70000}"/>
    <cellStyle name="Normal 6 3 4 4 5" xfId="30561" xr:uid="{00000000-0005-0000-0000-000055A70000}"/>
    <cellStyle name="Normal 6 3 4 4 6" xfId="30562" xr:uid="{00000000-0005-0000-0000-000056A70000}"/>
    <cellStyle name="Normal 6 3 4 4 7" xfId="30563" xr:uid="{00000000-0005-0000-0000-000057A70000}"/>
    <cellStyle name="Normal 6 3 4 5" xfId="30564" xr:uid="{00000000-0005-0000-0000-000058A70000}"/>
    <cellStyle name="Normal 6 3 4 5 2" xfId="30565" xr:uid="{00000000-0005-0000-0000-000059A70000}"/>
    <cellStyle name="Normal 6 3 4 5 2 2" xfId="58300" xr:uid="{00000000-0005-0000-0000-00005AA70000}"/>
    <cellStyle name="Normal 6 3 4 5 2 3" xfId="58301" xr:uid="{00000000-0005-0000-0000-00005BA70000}"/>
    <cellStyle name="Normal 6 3 4 5 3" xfId="30566" xr:uid="{00000000-0005-0000-0000-00005CA70000}"/>
    <cellStyle name="Normal 6 3 4 5 3 2" xfId="58302" xr:uid="{00000000-0005-0000-0000-00005DA70000}"/>
    <cellStyle name="Normal 6 3 4 5 4" xfId="30567" xr:uid="{00000000-0005-0000-0000-00005EA70000}"/>
    <cellStyle name="Normal 6 3 4 5 5" xfId="30568" xr:uid="{00000000-0005-0000-0000-00005FA70000}"/>
    <cellStyle name="Normal 6 3 4 5 6" xfId="30569" xr:uid="{00000000-0005-0000-0000-000060A70000}"/>
    <cellStyle name="Normal 6 3 4 6" xfId="30570" xr:uid="{00000000-0005-0000-0000-000061A70000}"/>
    <cellStyle name="Normal 6 3 4 6 2" xfId="58303" xr:uid="{00000000-0005-0000-0000-000062A70000}"/>
    <cellStyle name="Normal 6 3 4 6 3" xfId="58304" xr:uid="{00000000-0005-0000-0000-000063A70000}"/>
    <cellStyle name="Normal 6 3 4 7" xfId="30571" xr:uid="{00000000-0005-0000-0000-000064A70000}"/>
    <cellStyle name="Normal 6 3 4 7 2" xfId="58305" xr:uid="{00000000-0005-0000-0000-000065A70000}"/>
    <cellStyle name="Normal 6 3 4 8" xfId="30572" xr:uid="{00000000-0005-0000-0000-000066A70000}"/>
    <cellStyle name="Normal 6 3 4 9" xfId="30573" xr:uid="{00000000-0005-0000-0000-000067A70000}"/>
    <cellStyle name="Normal 6 3 5" xfId="30574" xr:uid="{00000000-0005-0000-0000-000068A70000}"/>
    <cellStyle name="Normal 6 3 5 10" xfId="30575" xr:uid="{00000000-0005-0000-0000-000069A70000}"/>
    <cellStyle name="Normal 6 3 5 11" xfId="30576" xr:uid="{00000000-0005-0000-0000-00006AA70000}"/>
    <cellStyle name="Normal 6 3 5 12" xfId="30577" xr:uid="{00000000-0005-0000-0000-00006BA70000}"/>
    <cellStyle name="Normal 6 3 5 13" xfId="30578" xr:uid="{00000000-0005-0000-0000-00006CA70000}"/>
    <cellStyle name="Normal 6 3 5 14" xfId="30579" xr:uid="{00000000-0005-0000-0000-00006DA70000}"/>
    <cellStyle name="Normal 6 3 5 2" xfId="30580" xr:uid="{00000000-0005-0000-0000-00006EA70000}"/>
    <cellStyle name="Normal 6 3 5 2 2" xfId="30581" xr:uid="{00000000-0005-0000-0000-00006FA70000}"/>
    <cellStyle name="Normal 6 3 5 2 2 2" xfId="30582" xr:uid="{00000000-0005-0000-0000-000070A70000}"/>
    <cellStyle name="Normal 6 3 5 2 2 2 2" xfId="30583" xr:uid="{00000000-0005-0000-0000-000071A70000}"/>
    <cellStyle name="Normal 6 3 5 2 2 2 2 2" xfId="58306" xr:uid="{00000000-0005-0000-0000-000072A70000}"/>
    <cellStyle name="Normal 6 3 5 2 2 2 2 3" xfId="58307" xr:uid="{00000000-0005-0000-0000-000073A70000}"/>
    <cellStyle name="Normal 6 3 5 2 2 2 3" xfId="30584" xr:uid="{00000000-0005-0000-0000-000074A70000}"/>
    <cellStyle name="Normal 6 3 5 2 2 2 3 2" xfId="58308" xr:uid="{00000000-0005-0000-0000-000075A70000}"/>
    <cellStyle name="Normal 6 3 5 2 2 2 4" xfId="30585" xr:uid="{00000000-0005-0000-0000-000076A70000}"/>
    <cellStyle name="Normal 6 3 5 2 2 2 5" xfId="30586" xr:uid="{00000000-0005-0000-0000-000077A70000}"/>
    <cellStyle name="Normal 6 3 5 2 2 2 6" xfId="30587" xr:uid="{00000000-0005-0000-0000-000078A70000}"/>
    <cellStyle name="Normal 6 3 5 2 2 3" xfId="30588" xr:uid="{00000000-0005-0000-0000-000079A70000}"/>
    <cellStyle name="Normal 6 3 5 2 2 3 2" xfId="58309" xr:uid="{00000000-0005-0000-0000-00007AA70000}"/>
    <cellStyle name="Normal 6 3 5 2 2 3 3" xfId="58310" xr:uid="{00000000-0005-0000-0000-00007BA70000}"/>
    <cellStyle name="Normal 6 3 5 2 2 4" xfId="30589" xr:uid="{00000000-0005-0000-0000-00007CA70000}"/>
    <cellStyle name="Normal 6 3 5 2 2 4 2" xfId="58311" xr:uid="{00000000-0005-0000-0000-00007DA70000}"/>
    <cellStyle name="Normal 6 3 5 2 2 5" xfId="30590" xr:uid="{00000000-0005-0000-0000-00007EA70000}"/>
    <cellStyle name="Normal 6 3 5 2 2 6" xfId="30591" xr:uid="{00000000-0005-0000-0000-00007FA70000}"/>
    <cellStyle name="Normal 6 3 5 2 2 7" xfId="30592" xr:uid="{00000000-0005-0000-0000-000080A70000}"/>
    <cellStyle name="Normal 6 3 5 2 3" xfId="30593" xr:uid="{00000000-0005-0000-0000-000081A70000}"/>
    <cellStyle name="Normal 6 3 5 2 3 2" xfId="30594" xr:uid="{00000000-0005-0000-0000-000082A70000}"/>
    <cellStyle name="Normal 6 3 5 2 3 2 2" xfId="58312" xr:uid="{00000000-0005-0000-0000-000083A70000}"/>
    <cellStyle name="Normal 6 3 5 2 3 2 3" xfId="58313" xr:uid="{00000000-0005-0000-0000-000084A70000}"/>
    <cellStyle name="Normal 6 3 5 2 3 3" xfId="30595" xr:uid="{00000000-0005-0000-0000-000085A70000}"/>
    <cellStyle name="Normal 6 3 5 2 3 3 2" xfId="58314" xr:uid="{00000000-0005-0000-0000-000086A70000}"/>
    <cellStyle name="Normal 6 3 5 2 3 4" xfId="30596" xr:uid="{00000000-0005-0000-0000-000087A70000}"/>
    <cellStyle name="Normal 6 3 5 2 3 5" xfId="30597" xr:uid="{00000000-0005-0000-0000-000088A70000}"/>
    <cellStyle name="Normal 6 3 5 2 3 6" xfId="30598" xr:uid="{00000000-0005-0000-0000-000089A70000}"/>
    <cellStyle name="Normal 6 3 5 2 4" xfId="30599" xr:uid="{00000000-0005-0000-0000-00008AA70000}"/>
    <cellStyle name="Normal 6 3 5 2 4 2" xfId="58315" xr:uid="{00000000-0005-0000-0000-00008BA70000}"/>
    <cellStyle name="Normal 6 3 5 2 4 3" xfId="58316" xr:uid="{00000000-0005-0000-0000-00008CA70000}"/>
    <cellStyle name="Normal 6 3 5 2 5" xfId="30600" xr:uid="{00000000-0005-0000-0000-00008DA70000}"/>
    <cellStyle name="Normal 6 3 5 2 5 2" xfId="58317" xr:uid="{00000000-0005-0000-0000-00008EA70000}"/>
    <cellStyle name="Normal 6 3 5 2 6" xfId="30601" xr:uid="{00000000-0005-0000-0000-00008FA70000}"/>
    <cellStyle name="Normal 6 3 5 2 7" xfId="30602" xr:uid="{00000000-0005-0000-0000-000090A70000}"/>
    <cellStyle name="Normal 6 3 5 2 8" xfId="30603" xr:uid="{00000000-0005-0000-0000-000091A70000}"/>
    <cellStyle name="Normal 6 3 5 2 9" xfId="30604" xr:uid="{00000000-0005-0000-0000-000092A70000}"/>
    <cellStyle name="Normal 6 3 5 3" xfId="30605" xr:uid="{00000000-0005-0000-0000-000093A70000}"/>
    <cellStyle name="Normal 6 3 5 3 2" xfId="30606" xr:uid="{00000000-0005-0000-0000-000094A70000}"/>
    <cellStyle name="Normal 6 3 5 3 2 2" xfId="30607" xr:uid="{00000000-0005-0000-0000-000095A70000}"/>
    <cellStyle name="Normal 6 3 5 3 2 2 2" xfId="30608" xr:uid="{00000000-0005-0000-0000-000096A70000}"/>
    <cellStyle name="Normal 6 3 5 3 2 2 2 2" xfId="58318" xr:uid="{00000000-0005-0000-0000-000097A70000}"/>
    <cellStyle name="Normal 6 3 5 3 2 2 2 3" xfId="58319" xr:uid="{00000000-0005-0000-0000-000098A70000}"/>
    <cellStyle name="Normal 6 3 5 3 2 2 3" xfId="30609" xr:uid="{00000000-0005-0000-0000-000099A70000}"/>
    <cellStyle name="Normal 6 3 5 3 2 2 3 2" xfId="58320" xr:uid="{00000000-0005-0000-0000-00009AA70000}"/>
    <cellStyle name="Normal 6 3 5 3 2 2 4" xfId="30610" xr:uid="{00000000-0005-0000-0000-00009BA70000}"/>
    <cellStyle name="Normal 6 3 5 3 2 2 5" xfId="30611" xr:uid="{00000000-0005-0000-0000-00009CA70000}"/>
    <cellStyle name="Normal 6 3 5 3 2 2 6" xfId="30612" xr:uid="{00000000-0005-0000-0000-00009DA70000}"/>
    <cellStyle name="Normal 6 3 5 3 2 3" xfId="30613" xr:uid="{00000000-0005-0000-0000-00009EA70000}"/>
    <cellStyle name="Normal 6 3 5 3 2 3 2" xfId="58321" xr:uid="{00000000-0005-0000-0000-00009FA70000}"/>
    <cellStyle name="Normal 6 3 5 3 2 3 3" xfId="58322" xr:uid="{00000000-0005-0000-0000-0000A0A70000}"/>
    <cellStyle name="Normal 6 3 5 3 2 4" xfId="30614" xr:uid="{00000000-0005-0000-0000-0000A1A70000}"/>
    <cellStyle name="Normal 6 3 5 3 2 4 2" xfId="58323" xr:uid="{00000000-0005-0000-0000-0000A2A70000}"/>
    <cellStyle name="Normal 6 3 5 3 2 5" xfId="30615" xr:uid="{00000000-0005-0000-0000-0000A3A70000}"/>
    <cellStyle name="Normal 6 3 5 3 2 6" xfId="30616" xr:uid="{00000000-0005-0000-0000-0000A4A70000}"/>
    <cellStyle name="Normal 6 3 5 3 2 7" xfId="30617" xr:uid="{00000000-0005-0000-0000-0000A5A70000}"/>
    <cellStyle name="Normal 6 3 5 3 3" xfId="30618" xr:uid="{00000000-0005-0000-0000-0000A6A70000}"/>
    <cellStyle name="Normal 6 3 5 3 3 2" xfId="30619" xr:uid="{00000000-0005-0000-0000-0000A7A70000}"/>
    <cellStyle name="Normal 6 3 5 3 3 2 2" xfId="58324" xr:uid="{00000000-0005-0000-0000-0000A8A70000}"/>
    <cellStyle name="Normal 6 3 5 3 3 2 3" xfId="58325" xr:uid="{00000000-0005-0000-0000-0000A9A70000}"/>
    <cellStyle name="Normal 6 3 5 3 3 3" xfId="30620" xr:uid="{00000000-0005-0000-0000-0000AAA70000}"/>
    <cellStyle name="Normal 6 3 5 3 3 3 2" xfId="58326" xr:uid="{00000000-0005-0000-0000-0000ABA70000}"/>
    <cellStyle name="Normal 6 3 5 3 3 4" xfId="30621" xr:uid="{00000000-0005-0000-0000-0000ACA70000}"/>
    <cellStyle name="Normal 6 3 5 3 3 5" xfId="30622" xr:uid="{00000000-0005-0000-0000-0000ADA70000}"/>
    <cellStyle name="Normal 6 3 5 3 3 6" xfId="30623" xr:uid="{00000000-0005-0000-0000-0000AEA70000}"/>
    <cellStyle name="Normal 6 3 5 3 4" xfId="30624" xr:uid="{00000000-0005-0000-0000-0000AFA70000}"/>
    <cellStyle name="Normal 6 3 5 3 4 2" xfId="58327" xr:uid="{00000000-0005-0000-0000-0000B0A70000}"/>
    <cellStyle name="Normal 6 3 5 3 4 3" xfId="58328" xr:uid="{00000000-0005-0000-0000-0000B1A70000}"/>
    <cellStyle name="Normal 6 3 5 3 5" xfId="30625" xr:uid="{00000000-0005-0000-0000-0000B2A70000}"/>
    <cellStyle name="Normal 6 3 5 3 5 2" xfId="58329" xr:uid="{00000000-0005-0000-0000-0000B3A70000}"/>
    <cellStyle name="Normal 6 3 5 3 6" xfId="30626" xr:uid="{00000000-0005-0000-0000-0000B4A70000}"/>
    <cellStyle name="Normal 6 3 5 3 7" xfId="30627" xr:uid="{00000000-0005-0000-0000-0000B5A70000}"/>
    <cellStyle name="Normal 6 3 5 3 8" xfId="30628" xr:uid="{00000000-0005-0000-0000-0000B6A70000}"/>
    <cellStyle name="Normal 6 3 5 4" xfId="30629" xr:uid="{00000000-0005-0000-0000-0000B7A70000}"/>
    <cellStyle name="Normal 6 3 5 4 2" xfId="30630" xr:uid="{00000000-0005-0000-0000-0000B8A70000}"/>
    <cellStyle name="Normal 6 3 5 4 2 2" xfId="30631" xr:uid="{00000000-0005-0000-0000-0000B9A70000}"/>
    <cellStyle name="Normal 6 3 5 4 2 2 2" xfId="58330" xr:uid="{00000000-0005-0000-0000-0000BAA70000}"/>
    <cellStyle name="Normal 6 3 5 4 2 2 3" xfId="58331" xr:uid="{00000000-0005-0000-0000-0000BBA70000}"/>
    <cellStyle name="Normal 6 3 5 4 2 3" xfId="30632" xr:uid="{00000000-0005-0000-0000-0000BCA70000}"/>
    <cellStyle name="Normal 6 3 5 4 2 3 2" xfId="58332" xr:uid="{00000000-0005-0000-0000-0000BDA70000}"/>
    <cellStyle name="Normal 6 3 5 4 2 4" xfId="30633" xr:uid="{00000000-0005-0000-0000-0000BEA70000}"/>
    <cellStyle name="Normal 6 3 5 4 2 5" xfId="30634" xr:uid="{00000000-0005-0000-0000-0000BFA70000}"/>
    <cellStyle name="Normal 6 3 5 4 2 6" xfId="30635" xr:uid="{00000000-0005-0000-0000-0000C0A70000}"/>
    <cellStyle name="Normal 6 3 5 4 3" xfId="30636" xr:uid="{00000000-0005-0000-0000-0000C1A70000}"/>
    <cellStyle name="Normal 6 3 5 4 3 2" xfId="58333" xr:uid="{00000000-0005-0000-0000-0000C2A70000}"/>
    <cellStyle name="Normal 6 3 5 4 3 3" xfId="58334" xr:uid="{00000000-0005-0000-0000-0000C3A70000}"/>
    <cellStyle name="Normal 6 3 5 4 4" xfId="30637" xr:uid="{00000000-0005-0000-0000-0000C4A70000}"/>
    <cellStyle name="Normal 6 3 5 4 4 2" xfId="58335" xr:uid="{00000000-0005-0000-0000-0000C5A70000}"/>
    <cellStyle name="Normal 6 3 5 4 5" xfId="30638" xr:uid="{00000000-0005-0000-0000-0000C6A70000}"/>
    <cellStyle name="Normal 6 3 5 4 6" xfId="30639" xr:uid="{00000000-0005-0000-0000-0000C7A70000}"/>
    <cellStyle name="Normal 6 3 5 4 7" xfId="30640" xr:uid="{00000000-0005-0000-0000-0000C8A70000}"/>
    <cellStyle name="Normal 6 3 5 5" xfId="30641" xr:uid="{00000000-0005-0000-0000-0000C9A70000}"/>
    <cellStyle name="Normal 6 3 5 5 2" xfId="30642" xr:uid="{00000000-0005-0000-0000-0000CAA70000}"/>
    <cellStyle name="Normal 6 3 5 5 2 2" xfId="58336" xr:uid="{00000000-0005-0000-0000-0000CBA70000}"/>
    <cellStyle name="Normal 6 3 5 5 2 3" xfId="58337" xr:uid="{00000000-0005-0000-0000-0000CCA70000}"/>
    <cellStyle name="Normal 6 3 5 5 3" xfId="30643" xr:uid="{00000000-0005-0000-0000-0000CDA70000}"/>
    <cellStyle name="Normal 6 3 5 5 3 2" xfId="58338" xr:uid="{00000000-0005-0000-0000-0000CEA70000}"/>
    <cellStyle name="Normal 6 3 5 5 4" xfId="30644" xr:uid="{00000000-0005-0000-0000-0000CFA70000}"/>
    <cellStyle name="Normal 6 3 5 5 5" xfId="30645" xr:uid="{00000000-0005-0000-0000-0000D0A70000}"/>
    <cellStyle name="Normal 6 3 5 5 6" xfId="30646" xr:uid="{00000000-0005-0000-0000-0000D1A70000}"/>
    <cellStyle name="Normal 6 3 5 6" xfId="30647" xr:uid="{00000000-0005-0000-0000-0000D2A70000}"/>
    <cellStyle name="Normal 6 3 5 6 2" xfId="58339" xr:uid="{00000000-0005-0000-0000-0000D3A70000}"/>
    <cellStyle name="Normal 6 3 5 6 3" xfId="58340" xr:uid="{00000000-0005-0000-0000-0000D4A70000}"/>
    <cellStyle name="Normal 6 3 5 7" xfId="30648" xr:uid="{00000000-0005-0000-0000-0000D5A70000}"/>
    <cellStyle name="Normal 6 3 5 7 2" xfId="58341" xr:uid="{00000000-0005-0000-0000-0000D6A70000}"/>
    <cellStyle name="Normal 6 3 5 8" xfId="30649" xr:uid="{00000000-0005-0000-0000-0000D7A70000}"/>
    <cellStyle name="Normal 6 3 5 9" xfId="30650" xr:uid="{00000000-0005-0000-0000-0000D8A70000}"/>
    <cellStyle name="Normal 6 3 6" xfId="30651" xr:uid="{00000000-0005-0000-0000-0000D9A70000}"/>
    <cellStyle name="Normal 6 3 6 10" xfId="30652" xr:uid="{00000000-0005-0000-0000-0000DAA70000}"/>
    <cellStyle name="Normal 6 3 6 11" xfId="30653" xr:uid="{00000000-0005-0000-0000-0000DBA70000}"/>
    <cellStyle name="Normal 6 3 6 12" xfId="30654" xr:uid="{00000000-0005-0000-0000-0000DCA70000}"/>
    <cellStyle name="Normal 6 3 6 13" xfId="30655" xr:uid="{00000000-0005-0000-0000-0000DDA70000}"/>
    <cellStyle name="Normal 6 3 6 2" xfId="30656" xr:uid="{00000000-0005-0000-0000-0000DEA70000}"/>
    <cellStyle name="Normal 6 3 6 2 2" xfId="30657" xr:uid="{00000000-0005-0000-0000-0000DFA70000}"/>
    <cellStyle name="Normal 6 3 6 2 2 2" xfId="30658" xr:uid="{00000000-0005-0000-0000-0000E0A70000}"/>
    <cellStyle name="Normal 6 3 6 2 2 2 2" xfId="30659" xr:uid="{00000000-0005-0000-0000-0000E1A70000}"/>
    <cellStyle name="Normal 6 3 6 2 2 2 2 2" xfId="58342" xr:uid="{00000000-0005-0000-0000-0000E2A70000}"/>
    <cellStyle name="Normal 6 3 6 2 2 2 2 3" xfId="58343" xr:uid="{00000000-0005-0000-0000-0000E3A70000}"/>
    <cellStyle name="Normal 6 3 6 2 2 2 3" xfId="30660" xr:uid="{00000000-0005-0000-0000-0000E4A70000}"/>
    <cellStyle name="Normal 6 3 6 2 2 2 3 2" xfId="58344" xr:uid="{00000000-0005-0000-0000-0000E5A70000}"/>
    <cellStyle name="Normal 6 3 6 2 2 2 4" xfId="30661" xr:uid="{00000000-0005-0000-0000-0000E6A70000}"/>
    <cellStyle name="Normal 6 3 6 2 2 2 5" xfId="30662" xr:uid="{00000000-0005-0000-0000-0000E7A70000}"/>
    <cellStyle name="Normal 6 3 6 2 2 2 6" xfId="30663" xr:uid="{00000000-0005-0000-0000-0000E8A70000}"/>
    <cellStyle name="Normal 6 3 6 2 2 3" xfId="30664" xr:uid="{00000000-0005-0000-0000-0000E9A70000}"/>
    <cellStyle name="Normal 6 3 6 2 2 3 2" xfId="58345" xr:uid="{00000000-0005-0000-0000-0000EAA70000}"/>
    <cellStyle name="Normal 6 3 6 2 2 3 3" xfId="58346" xr:uid="{00000000-0005-0000-0000-0000EBA70000}"/>
    <cellStyle name="Normal 6 3 6 2 2 4" xfId="30665" xr:uid="{00000000-0005-0000-0000-0000ECA70000}"/>
    <cellStyle name="Normal 6 3 6 2 2 4 2" xfId="58347" xr:uid="{00000000-0005-0000-0000-0000EDA70000}"/>
    <cellStyle name="Normal 6 3 6 2 2 5" xfId="30666" xr:uid="{00000000-0005-0000-0000-0000EEA70000}"/>
    <cellStyle name="Normal 6 3 6 2 2 6" xfId="30667" xr:uid="{00000000-0005-0000-0000-0000EFA70000}"/>
    <cellStyle name="Normal 6 3 6 2 2 7" xfId="30668" xr:uid="{00000000-0005-0000-0000-0000F0A70000}"/>
    <cellStyle name="Normal 6 3 6 2 3" xfId="30669" xr:uid="{00000000-0005-0000-0000-0000F1A70000}"/>
    <cellStyle name="Normal 6 3 6 2 3 2" xfId="30670" xr:uid="{00000000-0005-0000-0000-0000F2A70000}"/>
    <cellStyle name="Normal 6 3 6 2 3 2 2" xfId="58348" xr:uid="{00000000-0005-0000-0000-0000F3A70000}"/>
    <cellStyle name="Normal 6 3 6 2 3 2 3" xfId="58349" xr:uid="{00000000-0005-0000-0000-0000F4A70000}"/>
    <cellStyle name="Normal 6 3 6 2 3 3" xfId="30671" xr:uid="{00000000-0005-0000-0000-0000F5A70000}"/>
    <cellStyle name="Normal 6 3 6 2 3 3 2" xfId="58350" xr:uid="{00000000-0005-0000-0000-0000F6A70000}"/>
    <cellStyle name="Normal 6 3 6 2 3 4" xfId="30672" xr:uid="{00000000-0005-0000-0000-0000F7A70000}"/>
    <cellStyle name="Normal 6 3 6 2 3 5" xfId="30673" xr:uid="{00000000-0005-0000-0000-0000F8A70000}"/>
    <cellStyle name="Normal 6 3 6 2 3 6" xfId="30674" xr:uid="{00000000-0005-0000-0000-0000F9A70000}"/>
    <cellStyle name="Normal 6 3 6 2 4" xfId="30675" xr:uid="{00000000-0005-0000-0000-0000FAA70000}"/>
    <cellStyle name="Normal 6 3 6 2 4 2" xfId="58351" xr:uid="{00000000-0005-0000-0000-0000FBA70000}"/>
    <cellStyle name="Normal 6 3 6 2 4 3" xfId="58352" xr:uid="{00000000-0005-0000-0000-0000FCA70000}"/>
    <cellStyle name="Normal 6 3 6 2 5" xfId="30676" xr:uid="{00000000-0005-0000-0000-0000FDA70000}"/>
    <cellStyle name="Normal 6 3 6 2 5 2" xfId="58353" xr:uid="{00000000-0005-0000-0000-0000FEA70000}"/>
    <cellStyle name="Normal 6 3 6 2 6" xfId="30677" xr:uid="{00000000-0005-0000-0000-0000FFA70000}"/>
    <cellStyle name="Normal 6 3 6 2 7" xfId="30678" xr:uid="{00000000-0005-0000-0000-000000A80000}"/>
    <cellStyle name="Normal 6 3 6 2 8" xfId="30679" xr:uid="{00000000-0005-0000-0000-000001A80000}"/>
    <cellStyle name="Normal 6 3 6 2 9" xfId="30680" xr:uid="{00000000-0005-0000-0000-000002A80000}"/>
    <cellStyle name="Normal 6 3 6 3" xfId="30681" xr:uid="{00000000-0005-0000-0000-000003A80000}"/>
    <cellStyle name="Normal 6 3 6 3 2" xfId="30682" xr:uid="{00000000-0005-0000-0000-000004A80000}"/>
    <cellStyle name="Normal 6 3 6 3 2 2" xfId="30683" xr:uid="{00000000-0005-0000-0000-000005A80000}"/>
    <cellStyle name="Normal 6 3 6 3 2 2 2" xfId="58354" xr:uid="{00000000-0005-0000-0000-000006A80000}"/>
    <cellStyle name="Normal 6 3 6 3 2 2 3" xfId="58355" xr:uid="{00000000-0005-0000-0000-000007A80000}"/>
    <cellStyle name="Normal 6 3 6 3 2 3" xfId="30684" xr:uid="{00000000-0005-0000-0000-000008A80000}"/>
    <cellStyle name="Normal 6 3 6 3 2 3 2" xfId="58356" xr:uid="{00000000-0005-0000-0000-000009A80000}"/>
    <cellStyle name="Normal 6 3 6 3 2 4" xfId="30685" xr:uid="{00000000-0005-0000-0000-00000AA80000}"/>
    <cellStyle name="Normal 6 3 6 3 2 5" xfId="30686" xr:uid="{00000000-0005-0000-0000-00000BA80000}"/>
    <cellStyle name="Normal 6 3 6 3 2 6" xfId="30687" xr:uid="{00000000-0005-0000-0000-00000CA80000}"/>
    <cellStyle name="Normal 6 3 6 3 3" xfId="30688" xr:uid="{00000000-0005-0000-0000-00000DA80000}"/>
    <cellStyle name="Normal 6 3 6 3 3 2" xfId="58357" xr:uid="{00000000-0005-0000-0000-00000EA80000}"/>
    <cellStyle name="Normal 6 3 6 3 3 3" xfId="58358" xr:uid="{00000000-0005-0000-0000-00000FA80000}"/>
    <cellStyle name="Normal 6 3 6 3 4" xfId="30689" xr:uid="{00000000-0005-0000-0000-000010A80000}"/>
    <cellStyle name="Normal 6 3 6 3 4 2" xfId="58359" xr:uid="{00000000-0005-0000-0000-000011A80000}"/>
    <cellStyle name="Normal 6 3 6 3 5" xfId="30690" xr:uid="{00000000-0005-0000-0000-000012A80000}"/>
    <cellStyle name="Normal 6 3 6 3 6" xfId="30691" xr:uid="{00000000-0005-0000-0000-000013A80000}"/>
    <cellStyle name="Normal 6 3 6 3 7" xfId="30692" xr:uid="{00000000-0005-0000-0000-000014A80000}"/>
    <cellStyle name="Normal 6 3 6 4" xfId="30693" xr:uid="{00000000-0005-0000-0000-000015A80000}"/>
    <cellStyle name="Normal 6 3 6 4 2" xfId="30694" xr:uid="{00000000-0005-0000-0000-000016A80000}"/>
    <cellStyle name="Normal 6 3 6 4 2 2" xfId="58360" xr:uid="{00000000-0005-0000-0000-000017A80000}"/>
    <cellStyle name="Normal 6 3 6 4 2 3" xfId="58361" xr:uid="{00000000-0005-0000-0000-000018A80000}"/>
    <cellStyle name="Normal 6 3 6 4 3" xfId="30695" xr:uid="{00000000-0005-0000-0000-000019A80000}"/>
    <cellStyle name="Normal 6 3 6 4 3 2" xfId="58362" xr:uid="{00000000-0005-0000-0000-00001AA80000}"/>
    <cellStyle name="Normal 6 3 6 4 4" xfId="30696" xr:uid="{00000000-0005-0000-0000-00001BA80000}"/>
    <cellStyle name="Normal 6 3 6 4 5" xfId="30697" xr:uid="{00000000-0005-0000-0000-00001CA80000}"/>
    <cellStyle name="Normal 6 3 6 4 6" xfId="30698" xr:uid="{00000000-0005-0000-0000-00001DA80000}"/>
    <cellStyle name="Normal 6 3 6 5" xfId="30699" xr:uid="{00000000-0005-0000-0000-00001EA80000}"/>
    <cellStyle name="Normal 6 3 6 5 2" xfId="58363" xr:uid="{00000000-0005-0000-0000-00001FA80000}"/>
    <cellStyle name="Normal 6 3 6 5 3" xfId="58364" xr:uid="{00000000-0005-0000-0000-000020A80000}"/>
    <cellStyle name="Normal 6 3 6 6" xfId="30700" xr:uid="{00000000-0005-0000-0000-000021A80000}"/>
    <cellStyle name="Normal 6 3 6 6 2" xfId="58365" xr:uid="{00000000-0005-0000-0000-000022A80000}"/>
    <cellStyle name="Normal 6 3 6 7" xfId="30701" xr:uid="{00000000-0005-0000-0000-000023A80000}"/>
    <cellStyle name="Normal 6 3 6 8" xfId="30702" xr:uid="{00000000-0005-0000-0000-000024A80000}"/>
    <cellStyle name="Normal 6 3 6 9" xfId="30703" xr:uid="{00000000-0005-0000-0000-000025A80000}"/>
    <cellStyle name="Normal 6 3 7" xfId="30704" xr:uid="{00000000-0005-0000-0000-000026A80000}"/>
    <cellStyle name="Normal 6 3 7 2" xfId="30705" xr:uid="{00000000-0005-0000-0000-000027A80000}"/>
    <cellStyle name="Normal 6 3 7 2 2" xfId="30706" xr:uid="{00000000-0005-0000-0000-000028A80000}"/>
    <cellStyle name="Normal 6 3 7 2 2 2" xfId="30707" xr:uid="{00000000-0005-0000-0000-000029A80000}"/>
    <cellStyle name="Normal 6 3 7 2 2 2 2" xfId="58366" xr:uid="{00000000-0005-0000-0000-00002AA80000}"/>
    <cellStyle name="Normal 6 3 7 2 2 2 3" xfId="58367" xr:uid="{00000000-0005-0000-0000-00002BA80000}"/>
    <cellStyle name="Normal 6 3 7 2 2 3" xfId="30708" xr:uid="{00000000-0005-0000-0000-00002CA80000}"/>
    <cellStyle name="Normal 6 3 7 2 2 3 2" xfId="58368" xr:uid="{00000000-0005-0000-0000-00002DA80000}"/>
    <cellStyle name="Normal 6 3 7 2 2 4" xfId="30709" xr:uid="{00000000-0005-0000-0000-00002EA80000}"/>
    <cellStyle name="Normal 6 3 7 2 2 5" xfId="30710" xr:uid="{00000000-0005-0000-0000-00002FA80000}"/>
    <cellStyle name="Normal 6 3 7 2 2 6" xfId="30711" xr:uid="{00000000-0005-0000-0000-000030A80000}"/>
    <cellStyle name="Normal 6 3 7 2 3" xfId="30712" xr:uid="{00000000-0005-0000-0000-000031A80000}"/>
    <cellStyle name="Normal 6 3 7 2 3 2" xfId="58369" xr:uid="{00000000-0005-0000-0000-000032A80000}"/>
    <cellStyle name="Normal 6 3 7 2 3 3" xfId="58370" xr:uid="{00000000-0005-0000-0000-000033A80000}"/>
    <cellStyle name="Normal 6 3 7 2 4" xfId="30713" xr:uid="{00000000-0005-0000-0000-000034A80000}"/>
    <cellStyle name="Normal 6 3 7 2 4 2" xfId="58371" xr:uid="{00000000-0005-0000-0000-000035A80000}"/>
    <cellStyle name="Normal 6 3 7 2 5" xfId="30714" xr:uid="{00000000-0005-0000-0000-000036A80000}"/>
    <cellStyle name="Normal 6 3 7 2 6" xfId="30715" xr:uid="{00000000-0005-0000-0000-000037A80000}"/>
    <cellStyle name="Normal 6 3 7 2 7" xfId="30716" xr:uid="{00000000-0005-0000-0000-000038A80000}"/>
    <cellStyle name="Normal 6 3 7 3" xfId="30717" xr:uid="{00000000-0005-0000-0000-000039A80000}"/>
    <cellStyle name="Normal 6 3 7 3 2" xfId="30718" xr:uid="{00000000-0005-0000-0000-00003AA80000}"/>
    <cellStyle name="Normal 6 3 7 3 2 2" xfId="58372" xr:uid="{00000000-0005-0000-0000-00003BA80000}"/>
    <cellStyle name="Normal 6 3 7 3 2 3" xfId="58373" xr:uid="{00000000-0005-0000-0000-00003CA80000}"/>
    <cellStyle name="Normal 6 3 7 3 3" xfId="30719" xr:uid="{00000000-0005-0000-0000-00003DA80000}"/>
    <cellStyle name="Normal 6 3 7 3 3 2" xfId="58374" xr:uid="{00000000-0005-0000-0000-00003EA80000}"/>
    <cellStyle name="Normal 6 3 7 3 4" xfId="30720" xr:uid="{00000000-0005-0000-0000-00003FA80000}"/>
    <cellStyle name="Normal 6 3 7 3 5" xfId="30721" xr:uid="{00000000-0005-0000-0000-000040A80000}"/>
    <cellStyle name="Normal 6 3 7 3 6" xfId="30722" xr:uid="{00000000-0005-0000-0000-000041A80000}"/>
    <cellStyle name="Normal 6 3 7 4" xfId="30723" xr:uid="{00000000-0005-0000-0000-000042A80000}"/>
    <cellStyle name="Normal 6 3 7 4 2" xfId="58375" xr:uid="{00000000-0005-0000-0000-000043A80000}"/>
    <cellStyle name="Normal 6 3 7 4 3" xfId="58376" xr:uid="{00000000-0005-0000-0000-000044A80000}"/>
    <cellStyle name="Normal 6 3 7 5" xfId="30724" xr:uid="{00000000-0005-0000-0000-000045A80000}"/>
    <cellStyle name="Normal 6 3 7 5 2" xfId="58377" xr:uid="{00000000-0005-0000-0000-000046A80000}"/>
    <cellStyle name="Normal 6 3 7 6" xfId="30725" xr:uid="{00000000-0005-0000-0000-000047A80000}"/>
    <cellStyle name="Normal 6 3 7 7" xfId="30726" xr:uid="{00000000-0005-0000-0000-000048A80000}"/>
    <cellStyle name="Normal 6 3 7 8" xfId="30727" xr:uid="{00000000-0005-0000-0000-000049A80000}"/>
    <cellStyle name="Normal 6 3 7 9" xfId="30728" xr:uid="{00000000-0005-0000-0000-00004AA80000}"/>
    <cellStyle name="Normal 6 3 8" xfId="30729" xr:uid="{00000000-0005-0000-0000-00004BA80000}"/>
    <cellStyle name="Normal 6 3 8 2" xfId="30730" xr:uid="{00000000-0005-0000-0000-00004CA80000}"/>
    <cellStyle name="Normal 6 3 8 2 2" xfId="30731" xr:uid="{00000000-0005-0000-0000-00004DA80000}"/>
    <cellStyle name="Normal 6 3 8 2 2 2" xfId="30732" xr:uid="{00000000-0005-0000-0000-00004EA80000}"/>
    <cellStyle name="Normal 6 3 8 2 2 2 2" xfId="58378" xr:uid="{00000000-0005-0000-0000-00004FA80000}"/>
    <cellStyle name="Normal 6 3 8 2 2 2 3" xfId="58379" xr:uid="{00000000-0005-0000-0000-000050A80000}"/>
    <cellStyle name="Normal 6 3 8 2 2 3" xfId="30733" xr:uid="{00000000-0005-0000-0000-000051A80000}"/>
    <cellStyle name="Normal 6 3 8 2 2 3 2" xfId="58380" xr:uid="{00000000-0005-0000-0000-000052A80000}"/>
    <cellStyle name="Normal 6 3 8 2 2 4" xfId="30734" xr:uid="{00000000-0005-0000-0000-000053A80000}"/>
    <cellStyle name="Normal 6 3 8 2 2 5" xfId="30735" xr:uid="{00000000-0005-0000-0000-000054A80000}"/>
    <cellStyle name="Normal 6 3 8 2 2 6" xfId="30736" xr:uid="{00000000-0005-0000-0000-000055A80000}"/>
    <cellStyle name="Normal 6 3 8 2 3" xfId="30737" xr:uid="{00000000-0005-0000-0000-000056A80000}"/>
    <cellStyle name="Normal 6 3 8 2 3 2" xfId="58381" xr:uid="{00000000-0005-0000-0000-000057A80000}"/>
    <cellStyle name="Normal 6 3 8 2 3 3" xfId="58382" xr:uid="{00000000-0005-0000-0000-000058A80000}"/>
    <cellStyle name="Normal 6 3 8 2 4" xfId="30738" xr:uid="{00000000-0005-0000-0000-000059A80000}"/>
    <cellStyle name="Normal 6 3 8 2 4 2" xfId="58383" xr:uid="{00000000-0005-0000-0000-00005AA80000}"/>
    <cellStyle name="Normal 6 3 8 2 5" xfId="30739" xr:uid="{00000000-0005-0000-0000-00005BA80000}"/>
    <cellStyle name="Normal 6 3 8 2 6" xfId="30740" xr:uid="{00000000-0005-0000-0000-00005CA80000}"/>
    <cellStyle name="Normal 6 3 8 2 7" xfId="30741" xr:uid="{00000000-0005-0000-0000-00005DA80000}"/>
    <cellStyle name="Normal 6 3 8 3" xfId="30742" xr:uid="{00000000-0005-0000-0000-00005EA80000}"/>
    <cellStyle name="Normal 6 3 8 3 2" xfId="30743" xr:uid="{00000000-0005-0000-0000-00005FA80000}"/>
    <cellStyle name="Normal 6 3 8 3 2 2" xfId="58384" xr:uid="{00000000-0005-0000-0000-000060A80000}"/>
    <cellStyle name="Normal 6 3 8 3 2 3" xfId="58385" xr:uid="{00000000-0005-0000-0000-000061A80000}"/>
    <cellStyle name="Normal 6 3 8 3 3" xfId="30744" xr:uid="{00000000-0005-0000-0000-000062A80000}"/>
    <cellStyle name="Normal 6 3 8 3 3 2" xfId="58386" xr:uid="{00000000-0005-0000-0000-000063A80000}"/>
    <cellStyle name="Normal 6 3 8 3 4" xfId="30745" xr:uid="{00000000-0005-0000-0000-000064A80000}"/>
    <cellStyle name="Normal 6 3 8 3 5" xfId="30746" xr:uid="{00000000-0005-0000-0000-000065A80000}"/>
    <cellStyle name="Normal 6 3 8 3 6" xfId="30747" xr:uid="{00000000-0005-0000-0000-000066A80000}"/>
    <cellStyle name="Normal 6 3 8 4" xfId="30748" xr:uid="{00000000-0005-0000-0000-000067A80000}"/>
    <cellStyle name="Normal 6 3 8 4 2" xfId="58387" xr:uid="{00000000-0005-0000-0000-000068A80000}"/>
    <cellStyle name="Normal 6 3 8 4 3" xfId="58388" xr:uid="{00000000-0005-0000-0000-000069A80000}"/>
    <cellStyle name="Normal 6 3 8 5" xfId="30749" xr:uid="{00000000-0005-0000-0000-00006AA80000}"/>
    <cellStyle name="Normal 6 3 8 5 2" xfId="58389" xr:uid="{00000000-0005-0000-0000-00006BA80000}"/>
    <cellStyle name="Normal 6 3 8 6" xfId="30750" xr:uid="{00000000-0005-0000-0000-00006CA80000}"/>
    <cellStyle name="Normal 6 3 8 7" xfId="30751" xr:uid="{00000000-0005-0000-0000-00006DA80000}"/>
    <cellStyle name="Normal 6 3 8 8" xfId="30752" xr:uid="{00000000-0005-0000-0000-00006EA80000}"/>
    <cellStyle name="Normal 6 3 9" xfId="30753" xr:uid="{00000000-0005-0000-0000-00006FA80000}"/>
    <cellStyle name="Normal 6 3 9 2" xfId="30754" xr:uid="{00000000-0005-0000-0000-000070A80000}"/>
    <cellStyle name="Normal 6 3 9 2 2" xfId="30755" xr:uid="{00000000-0005-0000-0000-000071A80000}"/>
    <cellStyle name="Normal 6 3 9 2 2 2" xfId="30756" xr:uid="{00000000-0005-0000-0000-000072A80000}"/>
    <cellStyle name="Normal 6 3 9 2 2 2 2" xfId="58390" xr:uid="{00000000-0005-0000-0000-000073A80000}"/>
    <cellStyle name="Normal 6 3 9 2 2 2 3" xfId="58391" xr:uid="{00000000-0005-0000-0000-000074A80000}"/>
    <cellStyle name="Normal 6 3 9 2 2 3" xfId="30757" xr:uid="{00000000-0005-0000-0000-000075A80000}"/>
    <cellStyle name="Normal 6 3 9 2 2 3 2" xfId="58392" xr:uid="{00000000-0005-0000-0000-000076A80000}"/>
    <cellStyle name="Normal 6 3 9 2 2 4" xfId="30758" xr:uid="{00000000-0005-0000-0000-000077A80000}"/>
    <cellStyle name="Normal 6 3 9 2 2 5" xfId="30759" xr:uid="{00000000-0005-0000-0000-000078A80000}"/>
    <cellStyle name="Normal 6 3 9 2 2 6" xfId="30760" xr:uid="{00000000-0005-0000-0000-000079A80000}"/>
    <cellStyle name="Normal 6 3 9 2 3" xfId="30761" xr:uid="{00000000-0005-0000-0000-00007AA80000}"/>
    <cellStyle name="Normal 6 3 9 2 3 2" xfId="58393" xr:uid="{00000000-0005-0000-0000-00007BA80000}"/>
    <cellStyle name="Normal 6 3 9 2 3 3" xfId="58394" xr:uid="{00000000-0005-0000-0000-00007CA80000}"/>
    <cellStyle name="Normal 6 3 9 2 4" xfId="30762" xr:uid="{00000000-0005-0000-0000-00007DA80000}"/>
    <cellStyle name="Normal 6 3 9 2 4 2" xfId="58395" xr:uid="{00000000-0005-0000-0000-00007EA80000}"/>
    <cellStyle name="Normal 6 3 9 2 5" xfId="30763" xr:uid="{00000000-0005-0000-0000-00007FA80000}"/>
    <cellStyle name="Normal 6 3 9 2 6" xfId="30764" xr:uid="{00000000-0005-0000-0000-000080A80000}"/>
    <cellStyle name="Normal 6 3 9 2 7" xfId="30765" xr:uid="{00000000-0005-0000-0000-000081A80000}"/>
    <cellStyle name="Normal 6 3 9 3" xfId="30766" xr:uid="{00000000-0005-0000-0000-000082A80000}"/>
    <cellStyle name="Normal 6 3 9 3 2" xfId="30767" xr:uid="{00000000-0005-0000-0000-000083A80000}"/>
    <cellStyle name="Normal 6 3 9 3 2 2" xfId="58396" xr:uid="{00000000-0005-0000-0000-000084A80000}"/>
    <cellStyle name="Normal 6 3 9 3 2 3" xfId="58397" xr:uid="{00000000-0005-0000-0000-000085A80000}"/>
    <cellStyle name="Normal 6 3 9 3 3" xfId="30768" xr:uid="{00000000-0005-0000-0000-000086A80000}"/>
    <cellStyle name="Normal 6 3 9 3 3 2" xfId="58398" xr:uid="{00000000-0005-0000-0000-000087A80000}"/>
    <cellStyle name="Normal 6 3 9 3 4" xfId="30769" xr:uid="{00000000-0005-0000-0000-000088A80000}"/>
    <cellStyle name="Normal 6 3 9 3 5" xfId="30770" xr:uid="{00000000-0005-0000-0000-000089A80000}"/>
    <cellStyle name="Normal 6 3 9 3 6" xfId="30771" xr:uid="{00000000-0005-0000-0000-00008AA80000}"/>
    <cellStyle name="Normal 6 3 9 4" xfId="30772" xr:uid="{00000000-0005-0000-0000-00008BA80000}"/>
    <cellStyle name="Normal 6 3 9 4 2" xfId="58399" xr:uid="{00000000-0005-0000-0000-00008CA80000}"/>
    <cellStyle name="Normal 6 3 9 4 3" xfId="58400" xr:uid="{00000000-0005-0000-0000-00008DA80000}"/>
    <cellStyle name="Normal 6 3 9 5" xfId="30773" xr:uid="{00000000-0005-0000-0000-00008EA80000}"/>
    <cellStyle name="Normal 6 3 9 5 2" xfId="58401" xr:uid="{00000000-0005-0000-0000-00008FA80000}"/>
    <cellStyle name="Normal 6 3 9 6" xfId="30774" xr:uid="{00000000-0005-0000-0000-000090A80000}"/>
    <cellStyle name="Normal 6 3 9 7" xfId="30775" xr:uid="{00000000-0005-0000-0000-000091A80000}"/>
    <cellStyle name="Normal 6 3 9 8" xfId="30776" xr:uid="{00000000-0005-0000-0000-000092A80000}"/>
    <cellStyle name="Normal 6 4" xfId="30777" xr:uid="{00000000-0005-0000-0000-000093A80000}"/>
    <cellStyle name="Normal 6 4 10" xfId="30778" xr:uid="{00000000-0005-0000-0000-000094A80000}"/>
    <cellStyle name="Normal 6 4 10 2" xfId="30779" xr:uid="{00000000-0005-0000-0000-000095A80000}"/>
    <cellStyle name="Normal 6 4 10 2 2" xfId="30780" xr:uid="{00000000-0005-0000-0000-000096A80000}"/>
    <cellStyle name="Normal 6 4 10 2 2 2" xfId="58402" xr:uid="{00000000-0005-0000-0000-000097A80000}"/>
    <cellStyle name="Normal 6 4 10 2 2 3" xfId="58403" xr:uid="{00000000-0005-0000-0000-000098A80000}"/>
    <cellStyle name="Normal 6 4 10 2 3" xfId="30781" xr:uid="{00000000-0005-0000-0000-000099A80000}"/>
    <cellStyle name="Normal 6 4 10 2 3 2" xfId="58404" xr:uid="{00000000-0005-0000-0000-00009AA80000}"/>
    <cellStyle name="Normal 6 4 10 2 4" xfId="30782" xr:uid="{00000000-0005-0000-0000-00009BA80000}"/>
    <cellStyle name="Normal 6 4 10 2 5" xfId="30783" xr:uid="{00000000-0005-0000-0000-00009CA80000}"/>
    <cellStyle name="Normal 6 4 10 2 6" xfId="30784" xr:uid="{00000000-0005-0000-0000-00009DA80000}"/>
    <cellStyle name="Normal 6 4 10 3" xfId="30785" xr:uid="{00000000-0005-0000-0000-00009EA80000}"/>
    <cellStyle name="Normal 6 4 10 3 2" xfId="58405" xr:uid="{00000000-0005-0000-0000-00009FA80000}"/>
    <cellStyle name="Normal 6 4 10 3 3" xfId="58406" xr:uid="{00000000-0005-0000-0000-0000A0A80000}"/>
    <cellStyle name="Normal 6 4 10 4" xfId="30786" xr:uid="{00000000-0005-0000-0000-0000A1A80000}"/>
    <cellStyle name="Normal 6 4 10 4 2" xfId="58407" xr:uid="{00000000-0005-0000-0000-0000A2A80000}"/>
    <cellStyle name="Normal 6 4 10 5" xfId="30787" xr:uid="{00000000-0005-0000-0000-0000A3A80000}"/>
    <cellStyle name="Normal 6 4 10 6" xfId="30788" xr:uid="{00000000-0005-0000-0000-0000A4A80000}"/>
    <cellStyle name="Normal 6 4 10 7" xfId="30789" xr:uid="{00000000-0005-0000-0000-0000A5A80000}"/>
    <cellStyle name="Normal 6 4 11" xfId="30790" xr:uid="{00000000-0005-0000-0000-0000A6A80000}"/>
    <cellStyle name="Normal 6 4 11 2" xfId="30791" xr:uid="{00000000-0005-0000-0000-0000A7A80000}"/>
    <cellStyle name="Normal 6 4 11 2 2" xfId="58408" xr:uid="{00000000-0005-0000-0000-0000A8A80000}"/>
    <cellStyle name="Normal 6 4 11 2 3" xfId="58409" xr:uid="{00000000-0005-0000-0000-0000A9A80000}"/>
    <cellStyle name="Normal 6 4 11 3" xfId="30792" xr:uid="{00000000-0005-0000-0000-0000AAA80000}"/>
    <cellStyle name="Normal 6 4 11 3 2" xfId="58410" xr:uid="{00000000-0005-0000-0000-0000ABA80000}"/>
    <cellStyle name="Normal 6 4 11 4" xfId="30793" xr:uid="{00000000-0005-0000-0000-0000ACA80000}"/>
    <cellStyle name="Normal 6 4 11 5" xfId="30794" xr:uid="{00000000-0005-0000-0000-0000ADA80000}"/>
    <cellStyle name="Normal 6 4 11 6" xfId="30795" xr:uid="{00000000-0005-0000-0000-0000AEA80000}"/>
    <cellStyle name="Normal 6 4 12" xfId="30796" xr:uid="{00000000-0005-0000-0000-0000AFA80000}"/>
    <cellStyle name="Normal 6 4 12 2" xfId="58411" xr:uid="{00000000-0005-0000-0000-0000B0A80000}"/>
    <cellStyle name="Normal 6 4 12 3" xfId="58412" xr:uid="{00000000-0005-0000-0000-0000B1A80000}"/>
    <cellStyle name="Normal 6 4 13" xfId="30797" xr:uid="{00000000-0005-0000-0000-0000B2A80000}"/>
    <cellStyle name="Normal 6 4 13 2" xfId="58413" xr:uid="{00000000-0005-0000-0000-0000B3A80000}"/>
    <cellStyle name="Normal 6 4 14" xfId="30798" xr:uid="{00000000-0005-0000-0000-0000B4A80000}"/>
    <cellStyle name="Normal 6 4 14 2" xfId="58414" xr:uid="{00000000-0005-0000-0000-0000B5A80000}"/>
    <cellStyle name="Normal 6 4 15" xfId="30799" xr:uid="{00000000-0005-0000-0000-0000B6A80000}"/>
    <cellStyle name="Normal 6 4 16" xfId="30800" xr:uid="{00000000-0005-0000-0000-0000B7A80000}"/>
    <cellStyle name="Normal 6 4 17" xfId="30801" xr:uid="{00000000-0005-0000-0000-0000B8A80000}"/>
    <cellStyle name="Normal 6 4 18" xfId="30802" xr:uid="{00000000-0005-0000-0000-0000B9A80000}"/>
    <cellStyle name="Normal 6 4 19" xfId="30803" xr:uid="{00000000-0005-0000-0000-0000BAA80000}"/>
    <cellStyle name="Normal 6 4 2" xfId="30804" xr:uid="{00000000-0005-0000-0000-0000BBA80000}"/>
    <cellStyle name="Normal 6 4 2 10" xfId="30805" xr:uid="{00000000-0005-0000-0000-0000BCA80000}"/>
    <cellStyle name="Normal 6 4 2 10 2" xfId="58415" xr:uid="{00000000-0005-0000-0000-0000BDA80000}"/>
    <cellStyle name="Normal 6 4 2 11" xfId="30806" xr:uid="{00000000-0005-0000-0000-0000BEA80000}"/>
    <cellStyle name="Normal 6 4 2 12" xfId="30807" xr:uid="{00000000-0005-0000-0000-0000BFA80000}"/>
    <cellStyle name="Normal 6 4 2 13" xfId="30808" xr:uid="{00000000-0005-0000-0000-0000C0A80000}"/>
    <cellStyle name="Normal 6 4 2 14" xfId="30809" xr:uid="{00000000-0005-0000-0000-0000C1A80000}"/>
    <cellStyle name="Normal 6 4 2 15" xfId="30810" xr:uid="{00000000-0005-0000-0000-0000C2A80000}"/>
    <cellStyle name="Normal 6 4 2 16" xfId="30811" xr:uid="{00000000-0005-0000-0000-0000C3A80000}"/>
    <cellStyle name="Normal 6 4 2 2" xfId="30812" xr:uid="{00000000-0005-0000-0000-0000C4A80000}"/>
    <cellStyle name="Normal 6 4 2 2 10" xfId="30813" xr:uid="{00000000-0005-0000-0000-0000C5A80000}"/>
    <cellStyle name="Normal 6 4 2 2 11" xfId="30814" xr:uid="{00000000-0005-0000-0000-0000C6A80000}"/>
    <cellStyle name="Normal 6 4 2 2 12" xfId="30815" xr:uid="{00000000-0005-0000-0000-0000C7A80000}"/>
    <cellStyle name="Normal 6 4 2 2 13" xfId="30816" xr:uid="{00000000-0005-0000-0000-0000C8A80000}"/>
    <cellStyle name="Normal 6 4 2 2 14" xfId="30817" xr:uid="{00000000-0005-0000-0000-0000C9A80000}"/>
    <cellStyle name="Normal 6 4 2 2 2" xfId="30818" xr:uid="{00000000-0005-0000-0000-0000CAA80000}"/>
    <cellStyle name="Normal 6 4 2 2 2 2" xfId="30819" xr:uid="{00000000-0005-0000-0000-0000CBA80000}"/>
    <cellStyle name="Normal 6 4 2 2 2 2 2" xfId="30820" xr:uid="{00000000-0005-0000-0000-0000CCA80000}"/>
    <cellStyle name="Normal 6 4 2 2 2 2 2 2" xfId="30821" xr:uid="{00000000-0005-0000-0000-0000CDA80000}"/>
    <cellStyle name="Normal 6 4 2 2 2 2 2 2 2" xfId="58416" xr:uid="{00000000-0005-0000-0000-0000CEA80000}"/>
    <cellStyle name="Normal 6 4 2 2 2 2 2 2 3" xfId="58417" xr:uid="{00000000-0005-0000-0000-0000CFA80000}"/>
    <cellStyle name="Normal 6 4 2 2 2 2 2 3" xfId="30822" xr:uid="{00000000-0005-0000-0000-0000D0A80000}"/>
    <cellStyle name="Normal 6 4 2 2 2 2 2 3 2" xfId="58418" xr:uid="{00000000-0005-0000-0000-0000D1A80000}"/>
    <cellStyle name="Normal 6 4 2 2 2 2 2 4" xfId="30823" xr:uid="{00000000-0005-0000-0000-0000D2A80000}"/>
    <cellStyle name="Normal 6 4 2 2 2 2 2 5" xfId="30824" xr:uid="{00000000-0005-0000-0000-0000D3A80000}"/>
    <cellStyle name="Normal 6 4 2 2 2 2 2 6" xfId="30825" xr:uid="{00000000-0005-0000-0000-0000D4A80000}"/>
    <cellStyle name="Normal 6 4 2 2 2 2 3" xfId="30826" xr:uid="{00000000-0005-0000-0000-0000D5A80000}"/>
    <cellStyle name="Normal 6 4 2 2 2 2 3 2" xfId="58419" xr:uid="{00000000-0005-0000-0000-0000D6A80000}"/>
    <cellStyle name="Normal 6 4 2 2 2 2 3 3" xfId="58420" xr:uid="{00000000-0005-0000-0000-0000D7A80000}"/>
    <cellStyle name="Normal 6 4 2 2 2 2 4" xfId="30827" xr:uid="{00000000-0005-0000-0000-0000D8A80000}"/>
    <cellStyle name="Normal 6 4 2 2 2 2 4 2" xfId="58421" xr:uid="{00000000-0005-0000-0000-0000D9A80000}"/>
    <cellStyle name="Normal 6 4 2 2 2 2 5" xfId="30828" xr:uid="{00000000-0005-0000-0000-0000DAA80000}"/>
    <cellStyle name="Normal 6 4 2 2 2 2 6" xfId="30829" xr:uid="{00000000-0005-0000-0000-0000DBA80000}"/>
    <cellStyle name="Normal 6 4 2 2 2 2 7" xfId="30830" xr:uid="{00000000-0005-0000-0000-0000DCA80000}"/>
    <cellStyle name="Normal 6 4 2 2 2 3" xfId="30831" xr:uid="{00000000-0005-0000-0000-0000DDA80000}"/>
    <cellStyle name="Normal 6 4 2 2 2 3 2" xfId="30832" xr:uid="{00000000-0005-0000-0000-0000DEA80000}"/>
    <cellStyle name="Normal 6 4 2 2 2 3 2 2" xfId="58422" xr:uid="{00000000-0005-0000-0000-0000DFA80000}"/>
    <cellStyle name="Normal 6 4 2 2 2 3 2 3" xfId="58423" xr:uid="{00000000-0005-0000-0000-0000E0A80000}"/>
    <cellStyle name="Normal 6 4 2 2 2 3 3" xfId="30833" xr:uid="{00000000-0005-0000-0000-0000E1A80000}"/>
    <cellStyle name="Normal 6 4 2 2 2 3 3 2" xfId="58424" xr:uid="{00000000-0005-0000-0000-0000E2A80000}"/>
    <cellStyle name="Normal 6 4 2 2 2 3 4" xfId="30834" xr:uid="{00000000-0005-0000-0000-0000E3A80000}"/>
    <cellStyle name="Normal 6 4 2 2 2 3 5" xfId="30835" xr:uid="{00000000-0005-0000-0000-0000E4A80000}"/>
    <cellStyle name="Normal 6 4 2 2 2 3 6" xfId="30836" xr:uid="{00000000-0005-0000-0000-0000E5A80000}"/>
    <cellStyle name="Normal 6 4 2 2 2 4" xfId="30837" xr:uid="{00000000-0005-0000-0000-0000E6A80000}"/>
    <cellStyle name="Normal 6 4 2 2 2 4 2" xfId="58425" xr:uid="{00000000-0005-0000-0000-0000E7A80000}"/>
    <cellStyle name="Normal 6 4 2 2 2 4 3" xfId="58426" xr:uid="{00000000-0005-0000-0000-0000E8A80000}"/>
    <cellStyle name="Normal 6 4 2 2 2 5" xfId="30838" xr:uid="{00000000-0005-0000-0000-0000E9A80000}"/>
    <cellStyle name="Normal 6 4 2 2 2 5 2" xfId="58427" xr:uid="{00000000-0005-0000-0000-0000EAA80000}"/>
    <cellStyle name="Normal 6 4 2 2 2 6" xfId="30839" xr:uid="{00000000-0005-0000-0000-0000EBA80000}"/>
    <cellStyle name="Normal 6 4 2 2 2 7" xfId="30840" xr:uid="{00000000-0005-0000-0000-0000ECA80000}"/>
    <cellStyle name="Normal 6 4 2 2 2 8" xfId="30841" xr:uid="{00000000-0005-0000-0000-0000EDA80000}"/>
    <cellStyle name="Normal 6 4 2 2 2 9" xfId="30842" xr:uid="{00000000-0005-0000-0000-0000EEA80000}"/>
    <cellStyle name="Normal 6 4 2 2 3" xfId="30843" xr:uid="{00000000-0005-0000-0000-0000EFA80000}"/>
    <cellStyle name="Normal 6 4 2 2 3 2" xfId="30844" xr:uid="{00000000-0005-0000-0000-0000F0A80000}"/>
    <cellStyle name="Normal 6 4 2 2 3 2 2" xfId="30845" xr:uid="{00000000-0005-0000-0000-0000F1A80000}"/>
    <cellStyle name="Normal 6 4 2 2 3 2 2 2" xfId="30846" xr:uid="{00000000-0005-0000-0000-0000F2A80000}"/>
    <cellStyle name="Normal 6 4 2 2 3 2 2 2 2" xfId="58428" xr:uid="{00000000-0005-0000-0000-0000F3A80000}"/>
    <cellStyle name="Normal 6 4 2 2 3 2 2 2 3" xfId="58429" xr:uid="{00000000-0005-0000-0000-0000F4A80000}"/>
    <cellStyle name="Normal 6 4 2 2 3 2 2 3" xfId="30847" xr:uid="{00000000-0005-0000-0000-0000F5A80000}"/>
    <cellStyle name="Normal 6 4 2 2 3 2 2 3 2" xfId="58430" xr:uid="{00000000-0005-0000-0000-0000F6A80000}"/>
    <cellStyle name="Normal 6 4 2 2 3 2 2 4" xfId="30848" xr:uid="{00000000-0005-0000-0000-0000F7A80000}"/>
    <cellStyle name="Normal 6 4 2 2 3 2 2 5" xfId="30849" xr:uid="{00000000-0005-0000-0000-0000F8A80000}"/>
    <cellStyle name="Normal 6 4 2 2 3 2 2 6" xfId="30850" xr:uid="{00000000-0005-0000-0000-0000F9A80000}"/>
    <cellStyle name="Normal 6 4 2 2 3 2 3" xfId="30851" xr:uid="{00000000-0005-0000-0000-0000FAA80000}"/>
    <cellStyle name="Normal 6 4 2 2 3 2 3 2" xfId="58431" xr:uid="{00000000-0005-0000-0000-0000FBA80000}"/>
    <cellStyle name="Normal 6 4 2 2 3 2 3 3" xfId="58432" xr:uid="{00000000-0005-0000-0000-0000FCA80000}"/>
    <cellStyle name="Normal 6 4 2 2 3 2 4" xfId="30852" xr:uid="{00000000-0005-0000-0000-0000FDA80000}"/>
    <cellStyle name="Normal 6 4 2 2 3 2 4 2" xfId="58433" xr:uid="{00000000-0005-0000-0000-0000FEA80000}"/>
    <cellStyle name="Normal 6 4 2 2 3 2 5" xfId="30853" xr:uid="{00000000-0005-0000-0000-0000FFA80000}"/>
    <cellStyle name="Normal 6 4 2 2 3 2 6" xfId="30854" xr:uid="{00000000-0005-0000-0000-000000A90000}"/>
    <cellStyle name="Normal 6 4 2 2 3 2 7" xfId="30855" xr:uid="{00000000-0005-0000-0000-000001A90000}"/>
    <cellStyle name="Normal 6 4 2 2 3 3" xfId="30856" xr:uid="{00000000-0005-0000-0000-000002A90000}"/>
    <cellStyle name="Normal 6 4 2 2 3 3 2" xfId="30857" xr:uid="{00000000-0005-0000-0000-000003A90000}"/>
    <cellStyle name="Normal 6 4 2 2 3 3 2 2" xfId="58434" xr:uid="{00000000-0005-0000-0000-000004A90000}"/>
    <cellStyle name="Normal 6 4 2 2 3 3 2 3" xfId="58435" xr:uid="{00000000-0005-0000-0000-000005A90000}"/>
    <cellStyle name="Normal 6 4 2 2 3 3 3" xfId="30858" xr:uid="{00000000-0005-0000-0000-000006A90000}"/>
    <cellStyle name="Normal 6 4 2 2 3 3 3 2" xfId="58436" xr:uid="{00000000-0005-0000-0000-000007A90000}"/>
    <cellStyle name="Normal 6 4 2 2 3 3 4" xfId="30859" xr:uid="{00000000-0005-0000-0000-000008A90000}"/>
    <cellStyle name="Normal 6 4 2 2 3 3 5" xfId="30860" xr:uid="{00000000-0005-0000-0000-000009A90000}"/>
    <cellStyle name="Normal 6 4 2 2 3 3 6" xfId="30861" xr:uid="{00000000-0005-0000-0000-00000AA90000}"/>
    <cellStyle name="Normal 6 4 2 2 3 4" xfId="30862" xr:uid="{00000000-0005-0000-0000-00000BA90000}"/>
    <cellStyle name="Normal 6 4 2 2 3 4 2" xfId="58437" xr:uid="{00000000-0005-0000-0000-00000CA90000}"/>
    <cellStyle name="Normal 6 4 2 2 3 4 3" xfId="58438" xr:uid="{00000000-0005-0000-0000-00000DA90000}"/>
    <cellStyle name="Normal 6 4 2 2 3 5" xfId="30863" xr:uid="{00000000-0005-0000-0000-00000EA90000}"/>
    <cellStyle name="Normal 6 4 2 2 3 5 2" xfId="58439" xr:uid="{00000000-0005-0000-0000-00000FA90000}"/>
    <cellStyle name="Normal 6 4 2 2 3 6" xfId="30864" xr:uid="{00000000-0005-0000-0000-000010A90000}"/>
    <cellStyle name="Normal 6 4 2 2 3 7" xfId="30865" xr:uid="{00000000-0005-0000-0000-000011A90000}"/>
    <cellStyle name="Normal 6 4 2 2 3 8" xfId="30866" xr:uid="{00000000-0005-0000-0000-000012A90000}"/>
    <cellStyle name="Normal 6 4 2 2 4" xfId="30867" xr:uid="{00000000-0005-0000-0000-000013A90000}"/>
    <cellStyle name="Normal 6 4 2 2 4 2" xfId="30868" xr:uid="{00000000-0005-0000-0000-000014A90000}"/>
    <cellStyle name="Normal 6 4 2 2 4 2 2" xfId="30869" xr:uid="{00000000-0005-0000-0000-000015A90000}"/>
    <cellStyle name="Normal 6 4 2 2 4 2 2 2" xfId="58440" xr:uid="{00000000-0005-0000-0000-000016A90000}"/>
    <cellStyle name="Normal 6 4 2 2 4 2 2 3" xfId="58441" xr:uid="{00000000-0005-0000-0000-000017A90000}"/>
    <cellStyle name="Normal 6 4 2 2 4 2 3" xfId="30870" xr:uid="{00000000-0005-0000-0000-000018A90000}"/>
    <cellStyle name="Normal 6 4 2 2 4 2 3 2" xfId="58442" xr:uid="{00000000-0005-0000-0000-000019A90000}"/>
    <cellStyle name="Normal 6 4 2 2 4 2 4" xfId="30871" xr:uid="{00000000-0005-0000-0000-00001AA90000}"/>
    <cellStyle name="Normal 6 4 2 2 4 2 5" xfId="30872" xr:uid="{00000000-0005-0000-0000-00001BA90000}"/>
    <cellStyle name="Normal 6 4 2 2 4 2 6" xfId="30873" xr:uid="{00000000-0005-0000-0000-00001CA90000}"/>
    <cellStyle name="Normal 6 4 2 2 4 3" xfId="30874" xr:uid="{00000000-0005-0000-0000-00001DA90000}"/>
    <cellStyle name="Normal 6 4 2 2 4 3 2" xfId="58443" xr:uid="{00000000-0005-0000-0000-00001EA90000}"/>
    <cellStyle name="Normal 6 4 2 2 4 3 3" xfId="58444" xr:uid="{00000000-0005-0000-0000-00001FA90000}"/>
    <cellStyle name="Normal 6 4 2 2 4 4" xfId="30875" xr:uid="{00000000-0005-0000-0000-000020A90000}"/>
    <cellStyle name="Normal 6 4 2 2 4 4 2" xfId="58445" xr:uid="{00000000-0005-0000-0000-000021A90000}"/>
    <cellStyle name="Normal 6 4 2 2 4 5" xfId="30876" xr:uid="{00000000-0005-0000-0000-000022A90000}"/>
    <cellStyle name="Normal 6 4 2 2 4 6" xfId="30877" xr:uid="{00000000-0005-0000-0000-000023A90000}"/>
    <cellStyle name="Normal 6 4 2 2 4 7" xfId="30878" xr:uid="{00000000-0005-0000-0000-000024A90000}"/>
    <cellStyle name="Normal 6 4 2 2 5" xfId="30879" xr:uid="{00000000-0005-0000-0000-000025A90000}"/>
    <cellStyle name="Normal 6 4 2 2 5 2" xfId="30880" xr:uid="{00000000-0005-0000-0000-000026A90000}"/>
    <cellStyle name="Normal 6 4 2 2 5 2 2" xfId="58446" xr:uid="{00000000-0005-0000-0000-000027A90000}"/>
    <cellStyle name="Normal 6 4 2 2 5 2 3" xfId="58447" xr:uid="{00000000-0005-0000-0000-000028A90000}"/>
    <cellStyle name="Normal 6 4 2 2 5 3" xfId="30881" xr:uid="{00000000-0005-0000-0000-000029A90000}"/>
    <cellStyle name="Normal 6 4 2 2 5 3 2" xfId="58448" xr:uid="{00000000-0005-0000-0000-00002AA90000}"/>
    <cellStyle name="Normal 6 4 2 2 5 4" xfId="30882" xr:uid="{00000000-0005-0000-0000-00002BA90000}"/>
    <cellStyle name="Normal 6 4 2 2 5 5" xfId="30883" xr:uid="{00000000-0005-0000-0000-00002CA90000}"/>
    <cellStyle name="Normal 6 4 2 2 5 6" xfId="30884" xr:uid="{00000000-0005-0000-0000-00002DA90000}"/>
    <cellStyle name="Normal 6 4 2 2 6" xfId="30885" xr:uid="{00000000-0005-0000-0000-00002EA90000}"/>
    <cellStyle name="Normal 6 4 2 2 6 2" xfId="58449" xr:uid="{00000000-0005-0000-0000-00002FA90000}"/>
    <cellStyle name="Normal 6 4 2 2 6 3" xfId="58450" xr:uid="{00000000-0005-0000-0000-000030A90000}"/>
    <cellStyle name="Normal 6 4 2 2 7" xfId="30886" xr:uid="{00000000-0005-0000-0000-000031A90000}"/>
    <cellStyle name="Normal 6 4 2 2 7 2" xfId="58451" xr:uid="{00000000-0005-0000-0000-000032A90000}"/>
    <cellStyle name="Normal 6 4 2 2 8" xfId="30887" xr:uid="{00000000-0005-0000-0000-000033A90000}"/>
    <cellStyle name="Normal 6 4 2 2 9" xfId="30888" xr:uid="{00000000-0005-0000-0000-000034A90000}"/>
    <cellStyle name="Normal 6 4 2 3" xfId="30889" xr:uid="{00000000-0005-0000-0000-000035A90000}"/>
    <cellStyle name="Normal 6 4 2 3 2" xfId="30890" xr:uid="{00000000-0005-0000-0000-000036A90000}"/>
    <cellStyle name="Normal 6 4 2 3 2 2" xfId="30891" xr:uid="{00000000-0005-0000-0000-000037A90000}"/>
    <cellStyle name="Normal 6 4 2 3 2 2 2" xfId="30892" xr:uid="{00000000-0005-0000-0000-000038A90000}"/>
    <cellStyle name="Normal 6 4 2 3 2 2 2 2" xfId="58452" xr:uid="{00000000-0005-0000-0000-000039A90000}"/>
    <cellStyle name="Normal 6 4 2 3 2 2 2 3" xfId="58453" xr:uid="{00000000-0005-0000-0000-00003AA90000}"/>
    <cellStyle name="Normal 6 4 2 3 2 2 3" xfId="30893" xr:uid="{00000000-0005-0000-0000-00003BA90000}"/>
    <cellStyle name="Normal 6 4 2 3 2 2 3 2" xfId="58454" xr:uid="{00000000-0005-0000-0000-00003CA90000}"/>
    <cellStyle name="Normal 6 4 2 3 2 2 4" xfId="30894" xr:uid="{00000000-0005-0000-0000-00003DA90000}"/>
    <cellStyle name="Normal 6 4 2 3 2 2 5" xfId="30895" xr:uid="{00000000-0005-0000-0000-00003EA90000}"/>
    <cellStyle name="Normal 6 4 2 3 2 2 6" xfId="30896" xr:uid="{00000000-0005-0000-0000-00003FA90000}"/>
    <cellStyle name="Normal 6 4 2 3 2 3" xfId="30897" xr:uid="{00000000-0005-0000-0000-000040A90000}"/>
    <cellStyle name="Normal 6 4 2 3 2 3 2" xfId="58455" xr:uid="{00000000-0005-0000-0000-000041A90000}"/>
    <cellStyle name="Normal 6 4 2 3 2 3 3" xfId="58456" xr:uid="{00000000-0005-0000-0000-000042A90000}"/>
    <cellStyle name="Normal 6 4 2 3 2 4" xfId="30898" xr:uid="{00000000-0005-0000-0000-000043A90000}"/>
    <cellStyle name="Normal 6 4 2 3 2 4 2" xfId="58457" xr:uid="{00000000-0005-0000-0000-000044A90000}"/>
    <cellStyle name="Normal 6 4 2 3 2 5" xfId="30899" xr:uid="{00000000-0005-0000-0000-000045A90000}"/>
    <cellStyle name="Normal 6 4 2 3 2 6" xfId="30900" xr:uid="{00000000-0005-0000-0000-000046A90000}"/>
    <cellStyle name="Normal 6 4 2 3 2 7" xfId="30901" xr:uid="{00000000-0005-0000-0000-000047A90000}"/>
    <cellStyle name="Normal 6 4 2 3 3" xfId="30902" xr:uid="{00000000-0005-0000-0000-000048A90000}"/>
    <cellStyle name="Normal 6 4 2 3 3 2" xfId="30903" xr:uid="{00000000-0005-0000-0000-000049A90000}"/>
    <cellStyle name="Normal 6 4 2 3 3 2 2" xfId="58458" xr:uid="{00000000-0005-0000-0000-00004AA90000}"/>
    <cellStyle name="Normal 6 4 2 3 3 2 3" xfId="58459" xr:uid="{00000000-0005-0000-0000-00004BA90000}"/>
    <cellStyle name="Normal 6 4 2 3 3 3" xfId="30904" xr:uid="{00000000-0005-0000-0000-00004CA90000}"/>
    <cellStyle name="Normal 6 4 2 3 3 3 2" xfId="58460" xr:uid="{00000000-0005-0000-0000-00004DA90000}"/>
    <cellStyle name="Normal 6 4 2 3 3 4" xfId="30905" xr:uid="{00000000-0005-0000-0000-00004EA90000}"/>
    <cellStyle name="Normal 6 4 2 3 3 5" xfId="30906" xr:uid="{00000000-0005-0000-0000-00004FA90000}"/>
    <cellStyle name="Normal 6 4 2 3 3 6" xfId="30907" xr:uid="{00000000-0005-0000-0000-000050A90000}"/>
    <cellStyle name="Normal 6 4 2 3 4" xfId="30908" xr:uid="{00000000-0005-0000-0000-000051A90000}"/>
    <cellStyle name="Normal 6 4 2 3 4 2" xfId="58461" xr:uid="{00000000-0005-0000-0000-000052A90000}"/>
    <cellStyle name="Normal 6 4 2 3 4 3" xfId="58462" xr:uid="{00000000-0005-0000-0000-000053A90000}"/>
    <cellStyle name="Normal 6 4 2 3 5" xfId="30909" xr:uid="{00000000-0005-0000-0000-000054A90000}"/>
    <cellStyle name="Normal 6 4 2 3 5 2" xfId="58463" xr:uid="{00000000-0005-0000-0000-000055A90000}"/>
    <cellStyle name="Normal 6 4 2 3 6" xfId="30910" xr:uid="{00000000-0005-0000-0000-000056A90000}"/>
    <cellStyle name="Normal 6 4 2 3 7" xfId="30911" xr:uid="{00000000-0005-0000-0000-000057A90000}"/>
    <cellStyle name="Normal 6 4 2 3 8" xfId="30912" xr:uid="{00000000-0005-0000-0000-000058A90000}"/>
    <cellStyle name="Normal 6 4 2 3 9" xfId="30913" xr:uid="{00000000-0005-0000-0000-000059A90000}"/>
    <cellStyle name="Normal 6 4 2 4" xfId="30914" xr:uid="{00000000-0005-0000-0000-00005AA90000}"/>
    <cellStyle name="Normal 6 4 2 4 2" xfId="30915" xr:uid="{00000000-0005-0000-0000-00005BA90000}"/>
    <cellStyle name="Normal 6 4 2 4 2 2" xfId="30916" xr:uid="{00000000-0005-0000-0000-00005CA90000}"/>
    <cellStyle name="Normal 6 4 2 4 2 2 2" xfId="30917" xr:uid="{00000000-0005-0000-0000-00005DA90000}"/>
    <cellStyle name="Normal 6 4 2 4 2 2 2 2" xfId="58464" xr:uid="{00000000-0005-0000-0000-00005EA90000}"/>
    <cellStyle name="Normal 6 4 2 4 2 2 2 3" xfId="58465" xr:uid="{00000000-0005-0000-0000-00005FA90000}"/>
    <cellStyle name="Normal 6 4 2 4 2 2 3" xfId="30918" xr:uid="{00000000-0005-0000-0000-000060A90000}"/>
    <cellStyle name="Normal 6 4 2 4 2 2 3 2" xfId="58466" xr:uid="{00000000-0005-0000-0000-000061A90000}"/>
    <cellStyle name="Normal 6 4 2 4 2 2 4" xfId="30919" xr:uid="{00000000-0005-0000-0000-000062A90000}"/>
    <cellStyle name="Normal 6 4 2 4 2 2 5" xfId="30920" xr:uid="{00000000-0005-0000-0000-000063A90000}"/>
    <cellStyle name="Normal 6 4 2 4 2 2 6" xfId="30921" xr:uid="{00000000-0005-0000-0000-000064A90000}"/>
    <cellStyle name="Normal 6 4 2 4 2 3" xfId="30922" xr:uid="{00000000-0005-0000-0000-000065A90000}"/>
    <cellStyle name="Normal 6 4 2 4 2 3 2" xfId="58467" xr:uid="{00000000-0005-0000-0000-000066A90000}"/>
    <cellStyle name="Normal 6 4 2 4 2 3 3" xfId="58468" xr:uid="{00000000-0005-0000-0000-000067A90000}"/>
    <cellStyle name="Normal 6 4 2 4 2 4" xfId="30923" xr:uid="{00000000-0005-0000-0000-000068A90000}"/>
    <cellStyle name="Normal 6 4 2 4 2 4 2" xfId="58469" xr:uid="{00000000-0005-0000-0000-000069A90000}"/>
    <cellStyle name="Normal 6 4 2 4 2 5" xfId="30924" xr:uid="{00000000-0005-0000-0000-00006AA90000}"/>
    <cellStyle name="Normal 6 4 2 4 2 6" xfId="30925" xr:uid="{00000000-0005-0000-0000-00006BA90000}"/>
    <cellStyle name="Normal 6 4 2 4 2 7" xfId="30926" xr:uid="{00000000-0005-0000-0000-00006CA90000}"/>
    <cellStyle name="Normal 6 4 2 4 3" xfId="30927" xr:uid="{00000000-0005-0000-0000-00006DA90000}"/>
    <cellStyle name="Normal 6 4 2 4 3 2" xfId="30928" xr:uid="{00000000-0005-0000-0000-00006EA90000}"/>
    <cellStyle name="Normal 6 4 2 4 3 2 2" xfId="58470" xr:uid="{00000000-0005-0000-0000-00006FA90000}"/>
    <cellStyle name="Normal 6 4 2 4 3 2 3" xfId="58471" xr:uid="{00000000-0005-0000-0000-000070A90000}"/>
    <cellStyle name="Normal 6 4 2 4 3 3" xfId="30929" xr:uid="{00000000-0005-0000-0000-000071A90000}"/>
    <cellStyle name="Normal 6 4 2 4 3 3 2" xfId="58472" xr:uid="{00000000-0005-0000-0000-000072A90000}"/>
    <cellStyle name="Normal 6 4 2 4 3 4" xfId="30930" xr:uid="{00000000-0005-0000-0000-000073A90000}"/>
    <cellStyle name="Normal 6 4 2 4 3 5" xfId="30931" xr:uid="{00000000-0005-0000-0000-000074A90000}"/>
    <cellStyle name="Normal 6 4 2 4 3 6" xfId="30932" xr:uid="{00000000-0005-0000-0000-000075A90000}"/>
    <cellStyle name="Normal 6 4 2 4 4" xfId="30933" xr:uid="{00000000-0005-0000-0000-000076A90000}"/>
    <cellStyle name="Normal 6 4 2 4 4 2" xfId="58473" xr:uid="{00000000-0005-0000-0000-000077A90000}"/>
    <cellStyle name="Normal 6 4 2 4 4 3" xfId="58474" xr:uid="{00000000-0005-0000-0000-000078A90000}"/>
    <cellStyle name="Normal 6 4 2 4 5" xfId="30934" xr:uid="{00000000-0005-0000-0000-000079A90000}"/>
    <cellStyle name="Normal 6 4 2 4 5 2" xfId="58475" xr:uid="{00000000-0005-0000-0000-00007AA90000}"/>
    <cellStyle name="Normal 6 4 2 4 6" xfId="30935" xr:uid="{00000000-0005-0000-0000-00007BA90000}"/>
    <cellStyle name="Normal 6 4 2 4 7" xfId="30936" xr:uid="{00000000-0005-0000-0000-00007CA90000}"/>
    <cellStyle name="Normal 6 4 2 4 8" xfId="30937" xr:uid="{00000000-0005-0000-0000-00007DA90000}"/>
    <cellStyle name="Normal 6 4 2 5" xfId="30938" xr:uid="{00000000-0005-0000-0000-00007EA90000}"/>
    <cellStyle name="Normal 6 4 2 5 2" xfId="30939" xr:uid="{00000000-0005-0000-0000-00007FA90000}"/>
    <cellStyle name="Normal 6 4 2 5 2 2" xfId="30940" xr:uid="{00000000-0005-0000-0000-000080A90000}"/>
    <cellStyle name="Normal 6 4 2 5 2 2 2" xfId="58476" xr:uid="{00000000-0005-0000-0000-000081A90000}"/>
    <cellStyle name="Normal 6 4 2 5 2 2 3" xfId="58477" xr:uid="{00000000-0005-0000-0000-000082A90000}"/>
    <cellStyle name="Normal 6 4 2 5 2 3" xfId="30941" xr:uid="{00000000-0005-0000-0000-000083A90000}"/>
    <cellStyle name="Normal 6 4 2 5 2 3 2" xfId="58478" xr:uid="{00000000-0005-0000-0000-000084A90000}"/>
    <cellStyle name="Normal 6 4 2 5 2 4" xfId="30942" xr:uid="{00000000-0005-0000-0000-000085A90000}"/>
    <cellStyle name="Normal 6 4 2 5 2 5" xfId="30943" xr:uid="{00000000-0005-0000-0000-000086A90000}"/>
    <cellStyle name="Normal 6 4 2 5 2 6" xfId="30944" xr:uid="{00000000-0005-0000-0000-000087A90000}"/>
    <cellStyle name="Normal 6 4 2 5 3" xfId="30945" xr:uid="{00000000-0005-0000-0000-000088A90000}"/>
    <cellStyle name="Normal 6 4 2 5 3 2" xfId="58479" xr:uid="{00000000-0005-0000-0000-000089A90000}"/>
    <cellStyle name="Normal 6 4 2 5 3 3" xfId="58480" xr:uid="{00000000-0005-0000-0000-00008AA90000}"/>
    <cellStyle name="Normal 6 4 2 5 4" xfId="30946" xr:uid="{00000000-0005-0000-0000-00008BA90000}"/>
    <cellStyle name="Normal 6 4 2 5 4 2" xfId="58481" xr:uid="{00000000-0005-0000-0000-00008CA90000}"/>
    <cellStyle name="Normal 6 4 2 5 5" xfId="30947" xr:uid="{00000000-0005-0000-0000-00008DA90000}"/>
    <cellStyle name="Normal 6 4 2 5 6" xfId="30948" xr:uid="{00000000-0005-0000-0000-00008EA90000}"/>
    <cellStyle name="Normal 6 4 2 5 7" xfId="30949" xr:uid="{00000000-0005-0000-0000-00008FA90000}"/>
    <cellStyle name="Normal 6 4 2 6" xfId="30950" xr:uid="{00000000-0005-0000-0000-000090A90000}"/>
    <cellStyle name="Normal 6 4 2 6 2" xfId="30951" xr:uid="{00000000-0005-0000-0000-000091A90000}"/>
    <cellStyle name="Normal 6 4 2 6 2 2" xfId="58482" xr:uid="{00000000-0005-0000-0000-000092A90000}"/>
    <cellStyle name="Normal 6 4 2 6 2 3" xfId="58483" xr:uid="{00000000-0005-0000-0000-000093A90000}"/>
    <cellStyle name="Normal 6 4 2 6 3" xfId="30952" xr:uid="{00000000-0005-0000-0000-000094A90000}"/>
    <cellStyle name="Normal 6 4 2 6 3 2" xfId="58484" xr:uid="{00000000-0005-0000-0000-000095A90000}"/>
    <cellStyle name="Normal 6 4 2 6 4" xfId="30953" xr:uid="{00000000-0005-0000-0000-000096A90000}"/>
    <cellStyle name="Normal 6 4 2 6 5" xfId="30954" xr:uid="{00000000-0005-0000-0000-000097A90000}"/>
    <cellStyle name="Normal 6 4 2 6 6" xfId="30955" xr:uid="{00000000-0005-0000-0000-000098A90000}"/>
    <cellStyle name="Normal 6 4 2 7" xfId="30956" xr:uid="{00000000-0005-0000-0000-000099A90000}"/>
    <cellStyle name="Normal 6 4 2 7 2" xfId="58485" xr:uid="{00000000-0005-0000-0000-00009AA90000}"/>
    <cellStyle name="Normal 6 4 2 7 3" xfId="58486" xr:uid="{00000000-0005-0000-0000-00009BA90000}"/>
    <cellStyle name="Normal 6 4 2 8" xfId="30957" xr:uid="{00000000-0005-0000-0000-00009CA90000}"/>
    <cellStyle name="Normal 6 4 2 8 2" xfId="58487" xr:uid="{00000000-0005-0000-0000-00009DA90000}"/>
    <cellStyle name="Normal 6 4 2 9" xfId="30958" xr:uid="{00000000-0005-0000-0000-00009EA90000}"/>
    <cellStyle name="Normal 6 4 2 9 2" xfId="30959" xr:uid="{00000000-0005-0000-0000-00009FA90000}"/>
    <cellStyle name="Normal 6 4 20" xfId="30960" xr:uid="{00000000-0005-0000-0000-0000A0A90000}"/>
    <cellStyle name="Normal 6 4 21" xfId="30961" xr:uid="{00000000-0005-0000-0000-0000A1A90000}"/>
    <cellStyle name="Normal 6 4 3" xfId="30962" xr:uid="{00000000-0005-0000-0000-0000A2A90000}"/>
    <cellStyle name="Normal 6 4 3 10" xfId="30963" xr:uid="{00000000-0005-0000-0000-0000A3A90000}"/>
    <cellStyle name="Normal 6 4 3 11" xfId="30964" xr:uid="{00000000-0005-0000-0000-0000A4A90000}"/>
    <cellStyle name="Normal 6 4 3 12" xfId="30965" xr:uid="{00000000-0005-0000-0000-0000A5A90000}"/>
    <cellStyle name="Normal 6 4 3 13" xfId="30966" xr:uid="{00000000-0005-0000-0000-0000A6A90000}"/>
    <cellStyle name="Normal 6 4 3 14" xfId="30967" xr:uid="{00000000-0005-0000-0000-0000A7A90000}"/>
    <cellStyle name="Normal 6 4 3 15" xfId="30968" xr:uid="{00000000-0005-0000-0000-0000A8A90000}"/>
    <cellStyle name="Normal 6 4 3 16" xfId="30969" xr:uid="{00000000-0005-0000-0000-0000A9A90000}"/>
    <cellStyle name="Normal 6 4 3 2" xfId="30970" xr:uid="{00000000-0005-0000-0000-0000AAA90000}"/>
    <cellStyle name="Normal 6 4 3 2 10" xfId="30971" xr:uid="{00000000-0005-0000-0000-0000ABA90000}"/>
    <cellStyle name="Normal 6 4 3 2 11" xfId="30972" xr:uid="{00000000-0005-0000-0000-0000ACA90000}"/>
    <cellStyle name="Normal 6 4 3 2 12" xfId="30973" xr:uid="{00000000-0005-0000-0000-0000ADA90000}"/>
    <cellStyle name="Normal 6 4 3 2 13" xfId="30974" xr:uid="{00000000-0005-0000-0000-0000AEA90000}"/>
    <cellStyle name="Normal 6 4 3 2 14" xfId="30975" xr:uid="{00000000-0005-0000-0000-0000AFA90000}"/>
    <cellStyle name="Normal 6 4 3 2 2" xfId="30976" xr:uid="{00000000-0005-0000-0000-0000B0A90000}"/>
    <cellStyle name="Normal 6 4 3 2 2 2" xfId="30977" xr:uid="{00000000-0005-0000-0000-0000B1A90000}"/>
    <cellStyle name="Normal 6 4 3 2 2 2 2" xfId="30978" xr:uid="{00000000-0005-0000-0000-0000B2A90000}"/>
    <cellStyle name="Normal 6 4 3 2 2 2 2 2" xfId="30979" xr:uid="{00000000-0005-0000-0000-0000B3A90000}"/>
    <cellStyle name="Normal 6 4 3 2 2 2 2 2 2" xfId="58488" xr:uid="{00000000-0005-0000-0000-0000B4A90000}"/>
    <cellStyle name="Normal 6 4 3 2 2 2 2 2 3" xfId="58489" xr:uid="{00000000-0005-0000-0000-0000B5A90000}"/>
    <cellStyle name="Normal 6 4 3 2 2 2 2 3" xfId="30980" xr:uid="{00000000-0005-0000-0000-0000B6A90000}"/>
    <cellStyle name="Normal 6 4 3 2 2 2 2 3 2" xfId="58490" xr:uid="{00000000-0005-0000-0000-0000B7A90000}"/>
    <cellStyle name="Normal 6 4 3 2 2 2 2 4" xfId="30981" xr:uid="{00000000-0005-0000-0000-0000B8A90000}"/>
    <cellStyle name="Normal 6 4 3 2 2 2 2 5" xfId="30982" xr:uid="{00000000-0005-0000-0000-0000B9A90000}"/>
    <cellStyle name="Normal 6 4 3 2 2 2 2 6" xfId="30983" xr:uid="{00000000-0005-0000-0000-0000BAA90000}"/>
    <cellStyle name="Normal 6 4 3 2 2 2 3" xfId="30984" xr:uid="{00000000-0005-0000-0000-0000BBA90000}"/>
    <cellStyle name="Normal 6 4 3 2 2 2 3 2" xfId="58491" xr:uid="{00000000-0005-0000-0000-0000BCA90000}"/>
    <cellStyle name="Normal 6 4 3 2 2 2 3 3" xfId="58492" xr:uid="{00000000-0005-0000-0000-0000BDA90000}"/>
    <cellStyle name="Normal 6 4 3 2 2 2 4" xfId="30985" xr:uid="{00000000-0005-0000-0000-0000BEA90000}"/>
    <cellStyle name="Normal 6 4 3 2 2 2 4 2" xfId="58493" xr:uid="{00000000-0005-0000-0000-0000BFA90000}"/>
    <cellStyle name="Normal 6 4 3 2 2 2 5" xfId="30986" xr:uid="{00000000-0005-0000-0000-0000C0A90000}"/>
    <cellStyle name="Normal 6 4 3 2 2 2 6" xfId="30987" xr:uid="{00000000-0005-0000-0000-0000C1A90000}"/>
    <cellStyle name="Normal 6 4 3 2 2 2 7" xfId="30988" xr:uid="{00000000-0005-0000-0000-0000C2A90000}"/>
    <cellStyle name="Normal 6 4 3 2 2 3" xfId="30989" xr:uid="{00000000-0005-0000-0000-0000C3A90000}"/>
    <cellStyle name="Normal 6 4 3 2 2 3 2" xfId="30990" xr:uid="{00000000-0005-0000-0000-0000C4A90000}"/>
    <cellStyle name="Normal 6 4 3 2 2 3 2 2" xfId="58494" xr:uid="{00000000-0005-0000-0000-0000C5A90000}"/>
    <cellStyle name="Normal 6 4 3 2 2 3 2 3" xfId="58495" xr:uid="{00000000-0005-0000-0000-0000C6A90000}"/>
    <cellStyle name="Normal 6 4 3 2 2 3 3" xfId="30991" xr:uid="{00000000-0005-0000-0000-0000C7A90000}"/>
    <cellStyle name="Normal 6 4 3 2 2 3 3 2" xfId="58496" xr:uid="{00000000-0005-0000-0000-0000C8A90000}"/>
    <cellStyle name="Normal 6 4 3 2 2 3 4" xfId="30992" xr:uid="{00000000-0005-0000-0000-0000C9A90000}"/>
    <cellStyle name="Normal 6 4 3 2 2 3 5" xfId="30993" xr:uid="{00000000-0005-0000-0000-0000CAA90000}"/>
    <cellStyle name="Normal 6 4 3 2 2 3 6" xfId="30994" xr:uid="{00000000-0005-0000-0000-0000CBA90000}"/>
    <cellStyle name="Normal 6 4 3 2 2 4" xfId="30995" xr:uid="{00000000-0005-0000-0000-0000CCA90000}"/>
    <cellStyle name="Normal 6 4 3 2 2 4 2" xfId="58497" xr:uid="{00000000-0005-0000-0000-0000CDA90000}"/>
    <cellStyle name="Normal 6 4 3 2 2 4 3" xfId="58498" xr:uid="{00000000-0005-0000-0000-0000CEA90000}"/>
    <cellStyle name="Normal 6 4 3 2 2 5" xfId="30996" xr:uid="{00000000-0005-0000-0000-0000CFA90000}"/>
    <cellStyle name="Normal 6 4 3 2 2 5 2" xfId="58499" xr:uid="{00000000-0005-0000-0000-0000D0A90000}"/>
    <cellStyle name="Normal 6 4 3 2 2 6" xfId="30997" xr:uid="{00000000-0005-0000-0000-0000D1A90000}"/>
    <cellStyle name="Normal 6 4 3 2 2 7" xfId="30998" xr:uid="{00000000-0005-0000-0000-0000D2A90000}"/>
    <cellStyle name="Normal 6 4 3 2 2 8" xfId="30999" xr:uid="{00000000-0005-0000-0000-0000D3A90000}"/>
    <cellStyle name="Normal 6 4 3 2 2 9" xfId="31000" xr:uid="{00000000-0005-0000-0000-0000D4A90000}"/>
    <cellStyle name="Normal 6 4 3 2 3" xfId="31001" xr:uid="{00000000-0005-0000-0000-0000D5A90000}"/>
    <cellStyle name="Normal 6 4 3 2 3 2" xfId="31002" xr:uid="{00000000-0005-0000-0000-0000D6A90000}"/>
    <cellStyle name="Normal 6 4 3 2 3 2 2" xfId="31003" xr:uid="{00000000-0005-0000-0000-0000D7A90000}"/>
    <cellStyle name="Normal 6 4 3 2 3 2 2 2" xfId="31004" xr:uid="{00000000-0005-0000-0000-0000D8A90000}"/>
    <cellStyle name="Normal 6 4 3 2 3 2 2 2 2" xfId="58500" xr:uid="{00000000-0005-0000-0000-0000D9A90000}"/>
    <cellStyle name="Normal 6 4 3 2 3 2 2 2 3" xfId="58501" xr:uid="{00000000-0005-0000-0000-0000DAA90000}"/>
    <cellStyle name="Normal 6 4 3 2 3 2 2 3" xfId="31005" xr:uid="{00000000-0005-0000-0000-0000DBA90000}"/>
    <cellStyle name="Normal 6 4 3 2 3 2 2 3 2" xfId="58502" xr:uid="{00000000-0005-0000-0000-0000DCA90000}"/>
    <cellStyle name="Normal 6 4 3 2 3 2 2 4" xfId="31006" xr:uid="{00000000-0005-0000-0000-0000DDA90000}"/>
    <cellStyle name="Normal 6 4 3 2 3 2 2 5" xfId="31007" xr:uid="{00000000-0005-0000-0000-0000DEA90000}"/>
    <cellStyle name="Normal 6 4 3 2 3 2 2 6" xfId="31008" xr:uid="{00000000-0005-0000-0000-0000DFA90000}"/>
    <cellStyle name="Normal 6 4 3 2 3 2 3" xfId="31009" xr:uid="{00000000-0005-0000-0000-0000E0A90000}"/>
    <cellStyle name="Normal 6 4 3 2 3 2 3 2" xfId="58503" xr:uid="{00000000-0005-0000-0000-0000E1A90000}"/>
    <cellStyle name="Normal 6 4 3 2 3 2 3 3" xfId="58504" xr:uid="{00000000-0005-0000-0000-0000E2A90000}"/>
    <cellStyle name="Normal 6 4 3 2 3 2 4" xfId="31010" xr:uid="{00000000-0005-0000-0000-0000E3A90000}"/>
    <cellStyle name="Normal 6 4 3 2 3 2 4 2" xfId="58505" xr:uid="{00000000-0005-0000-0000-0000E4A90000}"/>
    <cellStyle name="Normal 6 4 3 2 3 2 5" xfId="31011" xr:uid="{00000000-0005-0000-0000-0000E5A90000}"/>
    <cellStyle name="Normal 6 4 3 2 3 2 6" xfId="31012" xr:uid="{00000000-0005-0000-0000-0000E6A90000}"/>
    <cellStyle name="Normal 6 4 3 2 3 2 7" xfId="31013" xr:uid="{00000000-0005-0000-0000-0000E7A90000}"/>
    <cellStyle name="Normal 6 4 3 2 3 3" xfId="31014" xr:uid="{00000000-0005-0000-0000-0000E8A90000}"/>
    <cellStyle name="Normal 6 4 3 2 3 3 2" xfId="31015" xr:uid="{00000000-0005-0000-0000-0000E9A90000}"/>
    <cellStyle name="Normal 6 4 3 2 3 3 2 2" xfId="58506" xr:uid="{00000000-0005-0000-0000-0000EAA90000}"/>
    <cellStyle name="Normal 6 4 3 2 3 3 2 3" xfId="58507" xr:uid="{00000000-0005-0000-0000-0000EBA90000}"/>
    <cellStyle name="Normal 6 4 3 2 3 3 3" xfId="31016" xr:uid="{00000000-0005-0000-0000-0000ECA90000}"/>
    <cellStyle name="Normal 6 4 3 2 3 3 3 2" xfId="58508" xr:uid="{00000000-0005-0000-0000-0000EDA90000}"/>
    <cellStyle name="Normal 6 4 3 2 3 3 4" xfId="31017" xr:uid="{00000000-0005-0000-0000-0000EEA90000}"/>
    <cellStyle name="Normal 6 4 3 2 3 3 5" xfId="31018" xr:uid="{00000000-0005-0000-0000-0000EFA90000}"/>
    <cellStyle name="Normal 6 4 3 2 3 3 6" xfId="31019" xr:uid="{00000000-0005-0000-0000-0000F0A90000}"/>
    <cellStyle name="Normal 6 4 3 2 3 4" xfId="31020" xr:uid="{00000000-0005-0000-0000-0000F1A90000}"/>
    <cellStyle name="Normal 6 4 3 2 3 4 2" xfId="58509" xr:uid="{00000000-0005-0000-0000-0000F2A90000}"/>
    <cellStyle name="Normal 6 4 3 2 3 4 3" xfId="58510" xr:uid="{00000000-0005-0000-0000-0000F3A90000}"/>
    <cellStyle name="Normal 6 4 3 2 3 5" xfId="31021" xr:uid="{00000000-0005-0000-0000-0000F4A90000}"/>
    <cellStyle name="Normal 6 4 3 2 3 5 2" xfId="58511" xr:uid="{00000000-0005-0000-0000-0000F5A90000}"/>
    <cellStyle name="Normal 6 4 3 2 3 6" xfId="31022" xr:uid="{00000000-0005-0000-0000-0000F6A90000}"/>
    <cellStyle name="Normal 6 4 3 2 3 7" xfId="31023" xr:uid="{00000000-0005-0000-0000-0000F7A90000}"/>
    <cellStyle name="Normal 6 4 3 2 3 8" xfId="31024" xr:uid="{00000000-0005-0000-0000-0000F8A90000}"/>
    <cellStyle name="Normal 6 4 3 2 4" xfId="31025" xr:uid="{00000000-0005-0000-0000-0000F9A90000}"/>
    <cellStyle name="Normal 6 4 3 2 4 2" xfId="31026" xr:uid="{00000000-0005-0000-0000-0000FAA90000}"/>
    <cellStyle name="Normal 6 4 3 2 4 2 2" xfId="31027" xr:uid="{00000000-0005-0000-0000-0000FBA90000}"/>
    <cellStyle name="Normal 6 4 3 2 4 2 2 2" xfId="58512" xr:uid="{00000000-0005-0000-0000-0000FCA90000}"/>
    <cellStyle name="Normal 6 4 3 2 4 2 2 3" xfId="58513" xr:uid="{00000000-0005-0000-0000-0000FDA90000}"/>
    <cellStyle name="Normal 6 4 3 2 4 2 3" xfId="31028" xr:uid="{00000000-0005-0000-0000-0000FEA90000}"/>
    <cellStyle name="Normal 6 4 3 2 4 2 3 2" xfId="58514" xr:uid="{00000000-0005-0000-0000-0000FFA90000}"/>
    <cellStyle name="Normal 6 4 3 2 4 2 4" xfId="31029" xr:uid="{00000000-0005-0000-0000-000000AA0000}"/>
    <cellStyle name="Normal 6 4 3 2 4 2 5" xfId="31030" xr:uid="{00000000-0005-0000-0000-000001AA0000}"/>
    <cellStyle name="Normal 6 4 3 2 4 2 6" xfId="31031" xr:uid="{00000000-0005-0000-0000-000002AA0000}"/>
    <cellStyle name="Normal 6 4 3 2 4 3" xfId="31032" xr:uid="{00000000-0005-0000-0000-000003AA0000}"/>
    <cellStyle name="Normal 6 4 3 2 4 3 2" xfId="58515" xr:uid="{00000000-0005-0000-0000-000004AA0000}"/>
    <cellStyle name="Normal 6 4 3 2 4 3 3" xfId="58516" xr:uid="{00000000-0005-0000-0000-000005AA0000}"/>
    <cellStyle name="Normal 6 4 3 2 4 4" xfId="31033" xr:uid="{00000000-0005-0000-0000-000006AA0000}"/>
    <cellStyle name="Normal 6 4 3 2 4 4 2" xfId="58517" xr:uid="{00000000-0005-0000-0000-000007AA0000}"/>
    <cellStyle name="Normal 6 4 3 2 4 5" xfId="31034" xr:uid="{00000000-0005-0000-0000-000008AA0000}"/>
    <cellStyle name="Normal 6 4 3 2 4 6" xfId="31035" xr:uid="{00000000-0005-0000-0000-000009AA0000}"/>
    <cellStyle name="Normal 6 4 3 2 4 7" xfId="31036" xr:uid="{00000000-0005-0000-0000-00000AAA0000}"/>
    <cellStyle name="Normal 6 4 3 2 5" xfId="31037" xr:uid="{00000000-0005-0000-0000-00000BAA0000}"/>
    <cellStyle name="Normal 6 4 3 2 5 2" xfId="31038" xr:uid="{00000000-0005-0000-0000-00000CAA0000}"/>
    <cellStyle name="Normal 6 4 3 2 5 2 2" xfId="58518" xr:uid="{00000000-0005-0000-0000-00000DAA0000}"/>
    <cellStyle name="Normal 6 4 3 2 5 2 3" xfId="58519" xr:uid="{00000000-0005-0000-0000-00000EAA0000}"/>
    <cellStyle name="Normal 6 4 3 2 5 3" xfId="31039" xr:uid="{00000000-0005-0000-0000-00000FAA0000}"/>
    <cellStyle name="Normal 6 4 3 2 5 3 2" xfId="58520" xr:uid="{00000000-0005-0000-0000-000010AA0000}"/>
    <cellStyle name="Normal 6 4 3 2 5 4" xfId="31040" xr:uid="{00000000-0005-0000-0000-000011AA0000}"/>
    <cellStyle name="Normal 6 4 3 2 5 5" xfId="31041" xr:uid="{00000000-0005-0000-0000-000012AA0000}"/>
    <cellStyle name="Normal 6 4 3 2 5 6" xfId="31042" xr:uid="{00000000-0005-0000-0000-000013AA0000}"/>
    <cellStyle name="Normal 6 4 3 2 6" xfId="31043" xr:uid="{00000000-0005-0000-0000-000014AA0000}"/>
    <cellStyle name="Normal 6 4 3 2 6 2" xfId="58521" xr:uid="{00000000-0005-0000-0000-000015AA0000}"/>
    <cellStyle name="Normal 6 4 3 2 6 3" xfId="58522" xr:uid="{00000000-0005-0000-0000-000016AA0000}"/>
    <cellStyle name="Normal 6 4 3 2 7" xfId="31044" xr:uid="{00000000-0005-0000-0000-000017AA0000}"/>
    <cellStyle name="Normal 6 4 3 2 7 2" xfId="58523" xr:uid="{00000000-0005-0000-0000-000018AA0000}"/>
    <cellStyle name="Normal 6 4 3 2 8" xfId="31045" xr:uid="{00000000-0005-0000-0000-000019AA0000}"/>
    <cellStyle name="Normal 6 4 3 2 9" xfId="31046" xr:uid="{00000000-0005-0000-0000-00001AAA0000}"/>
    <cellStyle name="Normal 6 4 3 3" xfId="31047" xr:uid="{00000000-0005-0000-0000-00001BAA0000}"/>
    <cellStyle name="Normal 6 4 3 3 2" xfId="31048" xr:uid="{00000000-0005-0000-0000-00001CAA0000}"/>
    <cellStyle name="Normal 6 4 3 3 2 2" xfId="31049" xr:uid="{00000000-0005-0000-0000-00001DAA0000}"/>
    <cellStyle name="Normal 6 4 3 3 2 2 2" xfId="31050" xr:uid="{00000000-0005-0000-0000-00001EAA0000}"/>
    <cellStyle name="Normal 6 4 3 3 2 2 2 2" xfId="58524" xr:uid="{00000000-0005-0000-0000-00001FAA0000}"/>
    <cellStyle name="Normal 6 4 3 3 2 2 2 3" xfId="58525" xr:uid="{00000000-0005-0000-0000-000020AA0000}"/>
    <cellStyle name="Normal 6 4 3 3 2 2 3" xfId="31051" xr:uid="{00000000-0005-0000-0000-000021AA0000}"/>
    <cellStyle name="Normal 6 4 3 3 2 2 3 2" xfId="58526" xr:uid="{00000000-0005-0000-0000-000022AA0000}"/>
    <cellStyle name="Normal 6 4 3 3 2 2 4" xfId="31052" xr:uid="{00000000-0005-0000-0000-000023AA0000}"/>
    <cellStyle name="Normal 6 4 3 3 2 2 5" xfId="31053" xr:uid="{00000000-0005-0000-0000-000024AA0000}"/>
    <cellStyle name="Normal 6 4 3 3 2 2 6" xfId="31054" xr:uid="{00000000-0005-0000-0000-000025AA0000}"/>
    <cellStyle name="Normal 6 4 3 3 2 3" xfId="31055" xr:uid="{00000000-0005-0000-0000-000026AA0000}"/>
    <cellStyle name="Normal 6 4 3 3 2 3 2" xfId="58527" xr:uid="{00000000-0005-0000-0000-000027AA0000}"/>
    <cellStyle name="Normal 6 4 3 3 2 3 3" xfId="58528" xr:uid="{00000000-0005-0000-0000-000028AA0000}"/>
    <cellStyle name="Normal 6 4 3 3 2 4" xfId="31056" xr:uid="{00000000-0005-0000-0000-000029AA0000}"/>
    <cellStyle name="Normal 6 4 3 3 2 4 2" xfId="58529" xr:uid="{00000000-0005-0000-0000-00002AAA0000}"/>
    <cellStyle name="Normal 6 4 3 3 2 5" xfId="31057" xr:uid="{00000000-0005-0000-0000-00002BAA0000}"/>
    <cellStyle name="Normal 6 4 3 3 2 6" xfId="31058" xr:uid="{00000000-0005-0000-0000-00002CAA0000}"/>
    <cellStyle name="Normal 6 4 3 3 2 7" xfId="31059" xr:uid="{00000000-0005-0000-0000-00002DAA0000}"/>
    <cellStyle name="Normal 6 4 3 3 3" xfId="31060" xr:uid="{00000000-0005-0000-0000-00002EAA0000}"/>
    <cellStyle name="Normal 6 4 3 3 3 2" xfId="31061" xr:uid="{00000000-0005-0000-0000-00002FAA0000}"/>
    <cellStyle name="Normal 6 4 3 3 3 2 2" xfId="58530" xr:uid="{00000000-0005-0000-0000-000030AA0000}"/>
    <cellStyle name="Normal 6 4 3 3 3 2 3" xfId="58531" xr:uid="{00000000-0005-0000-0000-000031AA0000}"/>
    <cellStyle name="Normal 6 4 3 3 3 3" xfId="31062" xr:uid="{00000000-0005-0000-0000-000032AA0000}"/>
    <cellStyle name="Normal 6 4 3 3 3 3 2" xfId="58532" xr:uid="{00000000-0005-0000-0000-000033AA0000}"/>
    <cellStyle name="Normal 6 4 3 3 3 4" xfId="31063" xr:uid="{00000000-0005-0000-0000-000034AA0000}"/>
    <cellStyle name="Normal 6 4 3 3 3 5" xfId="31064" xr:uid="{00000000-0005-0000-0000-000035AA0000}"/>
    <cellStyle name="Normal 6 4 3 3 3 6" xfId="31065" xr:uid="{00000000-0005-0000-0000-000036AA0000}"/>
    <cellStyle name="Normal 6 4 3 3 4" xfId="31066" xr:uid="{00000000-0005-0000-0000-000037AA0000}"/>
    <cellStyle name="Normal 6 4 3 3 4 2" xfId="58533" xr:uid="{00000000-0005-0000-0000-000038AA0000}"/>
    <cellStyle name="Normal 6 4 3 3 4 3" xfId="58534" xr:uid="{00000000-0005-0000-0000-000039AA0000}"/>
    <cellStyle name="Normal 6 4 3 3 5" xfId="31067" xr:uid="{00000000-0005-0000-0000-00003AAA0000}"/>
    <cellStyle name="Normal 6 4 3 3 5 2" xfId="58535" xr:uid="{00000000-0005-0000-0000-00003BAA0000}"/>
    <cellStyle name="Normal 6 4 3 3 6" xfId="31068" xr:uid="{00000000-0005-0000-0000-00003CAA0000}"/>
    <cellStyle name="Normal 6 4 3 3 7" xfId="31069" xr:uid="{00000000-0005-0000-0000-00003DAA0000}"/>
    <cellStyle name="Normal 6 4 3 3 8" xfId="31070" xr:uid="{00000000-0005-0000-0000-00003EAA0000}"/>
    <cellStyle name="Normal 6 4 3 3 9" xfId="31071" xr:uid="{00000000-0005-0000-0000-00003FAA0000}"/>
    <cellStyle name="Normal 6 4 3 4" xfId="31072" xr:uid="{00000000-0005-0000-0000-000040AA0000}"/>
    <cellStyle name="Normal 6 4 3 4 2" xfId="31073" xr:uid="{00000000-0005-0000-0000-000041AA0000}"/>
    <cellStyle name="Normal 6 4 3 4 2 2" xfId="31074" xr:uid="{00000000-0005-0000-0000-000042AA0000}"/>
    <cellStyle name="Normal 6 4 3 4 2 2 2" xfId="31075" xr:uid="{00000000-0005-0000-0000-000043AA0000}"/>
    <cellStyle name="Normal 6 4 3 4 2 2 2 2" xfId="58536" xr:uid="{00000000-0005-0000-0000-000044AA0000}"/>
    <cellStyle name="Normal 6 4 3 4 2 2 2 3" xfId="58537" xr:uid="{00000000-0005-0000-0000-000045AA0000}"/>
    <cellStyle name="Normal 6 4 3 4 2 2 3" xfId="31076" xr:uid="{00000000-0005-0000-0000-000046AA0000}"/>
    <cellStyle name="Normal 6 4 3 4 2 2 3 2" xfId="58538" xr:uid="{00000000-0005-0000-0000-000047AA0000}"/>
    <cellStyle name="Normal 6 4 3 4 2 2 4" xfId="31077" xr:uid="{00000000-0005-0000-0000-000048AA0000}"/>
    <cellStyle name="Normal 6 4 3 4 2 2 5" xfId="31078" xr:uid="{00000000-0005-0000-0000-000049AA0000}"/>
    <cellStyle name="Normal 6 4 3 4 2 2 6" xfId="31079" xr:uid="{00000000-0005-0000-0000-00004AAA0000}"/>
    <cellStyle name="Normal 6 4 3 4 2 3" xfId="31080" xr:uid="{00000000-0005-0000-0000-00004BAA0000}"/>
    <cellStyle name="Normal 6 4 3 4 2 3 2" xfId="58539" xr:uid="{00000000-0005-0000-0000-00004CAA0000}"/>
    <cellStyle name="Normal 6 4 3 4 2 3 3" xfId="58540" xr:uid="{00000000-0005-0000-0000-00004DAA0000}"/>
    <cellStyle name="Normal 6 4 3 4 2 4" xfId="31081" xr:uid="{00000000-0005-0000-0000-00004EAA0000}"/>
    <cellStyle name="Normal 6 4 3 4 2 4 2" xfId="58541" xr:uid="{00000000-0005-0000-0000-00004FAA0000}"/>
    <cellStyle name="Normal 6 4 3 4 2 5" xfId="31082" xr:uid="{00000000-0005-0000-0000-000050AA0000}"/>
    <cellStyle name="Normal 6 4 3 4 2 6" xfId="31083" xr:uid="{00000000-0005-0000-0000-000051AA0000}"/>
    <cellStyle name="Normal 6 4 3 4 2 7" xfId="31084" xr:uid="{00000000-0005-0000-0000-000052AA0000}"/>
    <cellStyle name="Normal 6 4 3 4 3" xfId="31085" xr:uid="{00000000-0005-0000-0000-000053AA0000}"/>
    <cellStyle name="Normal 6 4 3 4 3 2" xfId="31086" xr:uid="{00000000-0005-0000-0000-000054AA0000}"/>
    <cellStyle name="Normal 6 4 3 4 3 2 2" xfId="58542" xr:uid="{00000000-0005-0000-0000-000055AA0000}"/>
    <cellStyle name="Normal 6 4 3 4 3 2 3" xfId="58543" xr:uid="{00000000-0005-0000-0000-000056AA0000}"/>
    <cellStyle name="Normal 6 4 3 4 3 3" xfId="31087" xr:uid="{00000000-0005-0000-0000-000057AA0000}"/>
    <cellStyle name="Normal 6 4 3 4 3 3 2" xfId="58544" xr:uid="{00000000-0005-0000-0000-000058AA0000}"/>
    <cellStyle name="Normal 6 4 3 4 3 4" xfId="31088" xr:uid="{00000000-0005-0000-0000-000059AA0000}"/>
    <cellStyle name="Normal 6 4 3 4 3 5" xfId="31089" xr:uid="{00000000-0005-0000-0000-00005AAA0000}"/>
    <cellStyle name="Normal 6 4 3 4 3 6" xfId="31090" xr:uid="{00000000-0005-0000-0000-00005BAA0000}"/>
    <cellStyle name="Normal 6 4 3 4 4" xfId="31091" xr:uid="{00000000-0005-0000-0000-00005CAA0000}"/>
    <cellStyle name="Normal 6 4 3 4 4 2" xfId="58545" xr:uid="{00000000-0005-0000-0000-00005DAA0000}"/>
    <cellStyle name="Normal 6 4 3 4 4 3" xfId="58546" xr:uid="{00000000-0005-0000-0000-00005EAA0000}"/>
    <cellStyle name="Normal 6 4 3 4 5" xfId="31092" xr:uid="{00000000-0005-0000-0000-00005FAA0000}"/>
    <cellStyle name="Normal 6 4 3 4 5 2" xfId="58547" xr:uid="{00000000-0005-0000-0000-000060AA0000}"/>
    <cellStyle name="Normal 6 4 3 4 6" xfId="31093" xr:uid="{00000000-0005-0000-0000-000061AA0000}"/>
    <cellStyle name="Normal 6 4 3 4 7" xfId="31094" xr:uid="{00000000-0005-0000-0000-000062AA0000}"/>
    <cellStyle name="Normal 6 4 3 4 8" xfId="31095" xr:uid="{00000000-0005-0000-0000-000063AA0000}"/>
    <cellStyle name="Normal 6 4 3 5" xfId="31096" xr:uid="{00000000-0005-0000-0000-000064AA0000}"/>
    <cellStyle name="Normal 6 4 3 5 2" xfId="31097" xr:uid="{00000000-0005-0000-0000-000065AA0000}"/>
    <cellStyle name="Normal 6 4 3 5 2 2" xfId="31098" xr:uid="{00000000-0005-0000-0000-000066AA0000}"/>
    <cellStyle name="Normal 6 4 3 5 2 2 2" xfId="58548" xr:uid="{00000000-0005-0000-0000-000067AA0000}"/>
    <cellStyle name="Normal 6 4 3 5 2 2 3" xfId="58549" xr:uid="{00000000-0005-0000-0000-000068AA0000}"/>
    <cellStyle name="Normal 6 4 3 5 2 3" xfId="31099" xr:uid="{00000000-0005-0000-0000-000069AA0000}"/>
    <cellStyle name="Normal 6 4 3 5 2 3 2" xfId="58550" xr:uid="{00000000-0005-0000-0000-00006AAA0000}"/>
    <cellStyle name="Normal 6 4 3 5 2 4" xfId="31100" xr:uid="{00000000-0005-0000-0000-00006BAA0000}"/>
    <cellStyle name="Normal 6 4 3 5 2 5" xfId="31101" xr:uid="{00000000-0005-0000-0000-00006CAA0000}"/>
    <cellStyle name="Normal 6 4 3 5 2 6" xfId="31102" xr:uid="{00000000-0005-0000-0000-00006DAA0000}"/>
    <cellStyle name="Normal 6 4 3 5 3" xfId="31103" xr:uid="{00000000-0005-0000-0000-00006EAA0000}"/>
    <cellStyle name="Normal 6 4 3 5 3 2" xfId="58551" xr:uid="{00000000-0005-0000-0000-00006FAA0000}"/>
    <cellStyle name="Normal 6 4 3 5 3 3" xfId="58552" xr:uid="{00000000-0005-0000-0000-000070AA0000}"/>
    <cellStyle name="Normal 6 4 3 5 4" xfId="31104" xr:uid="{00000000-0005-0000-0000-000071AA0000}"/>
    <cellStyle name="Normal 6 4 3 5 4 2" xfId="58553" xr:uid="{00000000-0005-0000-0000-000072AA0000}"/>
    <cellStyle name="Normal 6 4 3 5 5" xfId="31105" xr:uid="{00000000-0005-0000-0000-000073AA0000}"/>
    <cellStyle name="Normal 6 4 3 5 6" xfId="31106" xr:uid="{00000000-0005-0000-0000-000074AA0000}"/>
    <cellStyle name="Normal 6 4 3 5 7" xfId="31107" xr:uid="{00000000-0005-0000-0000-000075AA0000}"/>
    <cellStyle name="Normal 6 4 3 6" xfId="31108" xr:uid="{00000000-0005-0000-0000-000076AA0000}"/>
    <cellStyle name="Normal 6 4 3 6 2" xfId="31109" xr:uid="{00000000-0005-0000-0000-000077AA0000}"/>
    <cellStyle name="Normal 6 4 3 6 2 2" xfId="58554" xr:uid="{00000000-0005-0000-0000-000078AA0000}"/>
    <cellStyle name="Normal 6 4 3 6 2 3" xfId="58555" xr:uid="{00000000-0005-0000-0000-000079AA0000}"/>
    <cellStyle name="Normal 6 4 3 6 3" xfId="31110" xr:uid="{00000000-0005-0000-0000-00007AAA0000}"/>
    <cellStyle name="Normal 6 4 3 6 3 2" xfId="58556" xr:uid="{00000000-0005-0000-0000-00007BAA0000}"/>
    <cellStyle name="Normal 6 4 3 6 4" xfId="31111" xr:uid="{00000000-0005-0000-0000-00007CAA0000}"/>
    <cellStyle name="Normal 6 4 3 6 5" xfId="31112" xr:uid="{00000000-0005-0000-0000-00007DAA0000}"/>
    <cellStyle name="Normal 6 4 3 6 6" xfId="31113" xr:uid="{00000000-0005-0000-0000-00007EAA0000}"/>
    <cellStyle name="Normal 6 4 3 7" xfId="31114" xr:uid="{00000000-0005-0000-0000-00007FAA0000}"/>
    <cellStyle name="Normal 6 4 3 7 2" xfId="58557" xr:uid="{00000000-0005-0000-0000-000080AA0000}"/>
    <cellStyle name="Normal 6 4 3 8" xfId="31115" xr:uid="{00000000-0005-0000-0000-000081AA0000}"/>
    <cellStyle name="Normal 6 4 3 9" xfId="31116" xr:uid="{00000000-0005-0000-0000-000082AA0000}"/>
    <cellStyle name="Normal 6 4 4" xfId="31117" xr:uid="{00000000-0005-0000-0000-000083AA0000}"/>
    <cellStyle name="Normal 6 4 4 10" xfId="31118" xr:uid="{00000000-0005-0000-0000-000084AA0000}"/>
    <cellStyle name="Normal 6 4 4 11" xfId="31119" xr:uid="{00000000-0005-0000-0000-000085AA0000}"/>
    <cellStyle name="Normal 6 4 4 12" xfId="31120" xr:uid="{00000000-0005-0000-0000-000086AA0000}"/>
    <cellStyle name="Normal 6 4 4 13" xfId="31121" xr:uid="{00000000-0005-0000-0000-000087AA0000}"/>
    <cellStyle name="Normal 6 4 4 14" xfId="31122" xr:uid="{00000000-0005-0000-0000-000088AA0000}"/>
    <cellStyle name="Normal 6 4 4 2" xfId="31123" xr:uid="{00000000-0005-0000-0000-000089AA0000}"/>
    <cellStyle name="Normal 6 4 4 2 2" xfId="31124" xr:uid="{00000000-0005-0000-0000-00008AAA0000}"/>
    <cellStyle name="Normal 6 4 4 2 2 2" xfId="31125" xr:uid="{00000000-0005-0000-0000-00008BAA0000}"/>
    <cellStyle name="Normal 6 4 4 2 2 2 2" xfId="31126" xr:uid="{00000000-0005-0000-0000-00008CAA0000}"/>
    <cellStyle name="Normal 6 4 4 2 2 2 2 2" xfId="58558" xr:uid="{00000000-0005-0000-0000-00008DAA0000}"/>
    <cellStyle name="Normal 6 4 4 2 2 2 2 3" xfId="58559" xr:uid="{00000000-0005-0000-0000-00008EAA0000}"/>
    <cellStyle name="Normal 6 4 4 2 2 2 3" xfId="31127" xr:uid="{00000000-0005-0000-0000-00008FAA0000}"/>
    <cellStyle name="Normal 6 4 4 2 2 2 3 2" xfId="58560" xr:uid="{00000000-0005-0000-0000-000090AA0000}"/>
    <cellStyle name="Normal 6 4 4 2 2 2 4" xfId="31128" xr:uid="{00000000-0005-0000-0000-000091AA0000}"/>
    <cellStyle name="Normal 6 4 4 2 2 2 5" xfId="31129" xr:uid="{00000000-0005-0000-0000-000092AA0000}"/>
    <cellStyle name="Normal 6 4 4 2 2 2 6" xfId="31130" xr:uid="{00000000-0005-0000-0000-000093AA0000}"/>
    <cellStyle name="Normal 6 4 4 2 2 3" xfId="31131" xr:uid="{00000000-0005-0000-0000-000094AA0000}"/>
    <cellStyle name="Normal 6 4 4 2 2 3 2" xfId="58561" xr:uid="{00000000-0005-0000-0000-000095AA0000}"/>
    <cellStyle name="Normal 6 4 4 2 2 3 3" xfId="58562" xr:uid="{00000000-0005-0000-0000-000096AA0000}"/>
    <cellStyle name="Normal 6 4 4 2 2 4" xfId="31132" xr:uid="{00000000-0005-0000-0000-000097AA0000}"/>
    <cellStyle name="Normal 6 4 4 2 2 4 2" xfId="58563" xr:uid="{00000000-0005-0000-0000-000098AA0000}"/>
    <cellStyle name="Normal 6 4 4 2 2 5" xfId="31133" xr:uid="{00000000-0005-0000-0000-000099AA0000}"/>
    <cellStyle name="Normal 6 4 4 2 2 6" xfId="31134" xr:uid="{00000000-0005-0000-0000-00009AAA0000}"/>
    <cellStyle name="Normal 6 4 4 2 2 7" xfId="31135" xr:uid="{00000000-0005-0000-0000-00009BAA0000}"/>
    <cellStyle name="Normal 6 4 4 2 3" xfId="31136" xr:uid="{00000000-0005-0000-0000-00009CAA0000}"/>
    <cellStyle name="Normal 6 4 4 2 3 2" xfId="31137" xr:uid="{00000000-0005-0000-0000-00009DAA0000}"/>
    <cellStyle name="Normal 6 4 4 2 3 2 2" xfId="58564" xr:uid="{00000000-0005-0000-0000-00009EAA0000}"/>
    <cellStyle name="Normal 6 4 4 2 3 2 3" xfId="58565" xr:uid="{00000000-0005-0000-0000-00009FAA0000}"/>
    <cellStyle name="Normal 6 4 4 2 3 3" xfId="31138" xr:uid="{00000000-0005-0000-0000-0000A0AA0000}"/>
    <cellStyle name="Normal 6 4 4 2 3 3 2" xfId="58566" xr:uid="{00000000-0005-0000-0000-0000A1AA0000}"/>
    <cellStyle name="Normal 6 4 4 2 3 4" xfId="31139" xr:uid="{00000000-0005-0000-0000-0000A2AA0000}"/>
    <cellStyle name="Normal 6 4 4 2 3 5" xfId="31140" xr:uid="{00000000-0005-0000-0000-0000A3AA0000}"/>
    <cellStyle name="Normal 6 4 4 2 3 6" xfId="31141" xr:uid="{00000000-0005-0000-0000-0000A4AA0000}"/>
    <cellStyle name="Normal 6 4 4 2 4" xfId="31142" xr:uid="{00000000-0005-0000-0000-0000A5AA0000}"/>
    <cellStyle name="Normal 6 4 4 2 4 2" xfId="58567" xr:uid="{00000000-0005-0000-0000-0000A6AA0000}"/>
    <cellStyle name="Normal 6 4 4 2 4 3" xfId="58568" xr:uid="{00000000-0005-0000-0000-0000A7AA0000}"/>
    <cellStyle name="Normal 6 4 4 2 5" xfId="31143" xr:uid="{00000000-0005-0000-0000-0000A8AA0000}"/>
    <cellStyle name="Normal 6 4 4 2 5 2" xfId="58569" xr:uid="{00000000-0005-0000-0000-0000A9AA0000}"/>
    <cellStyle name="Normal 6 4 4 2 6" xfId="31144" xr:uid="{00000000-0005-0000-0000-0000AAAA0000}"/>
    <cellStyle name="Normal 6 4 4 2 7" xfId="31145" xr:uid="{00000000-0005-0000-0000-0000ABAA0000}"/>
    <cellStyle name="Normal 6 4 4 2 8" xfId="31146" xr:uid="{00000000-0005-0000-0000-0000ACAA0000}"/>
    <cellStyle name="Normal 6 4 4 2 9" xfId="31147" xr:uid="{00000000-0005-0000-0000-0000ADAA0000}"/>
    <cellStyle name="Normal 6 4 4 3" xfId="31148" xr:uid="{00000000-0005-0000-0000-0000AEAA0000}"/>
    <cellStyle name="Normal 6 4 4 3 2" xfId="31149" xr:uid="{00000000-0005-0000-0000-0000AFAA0000}"/>
    <cellStyle name="Normal 6 4 4 3 2 2" xfId="31150" xr:uid="{00000000-0005-0000-0000-0000B0AA0000}"/>
    <cellStyle name="Normal 6 4 4 3 2 2 2" xfId="31151" xr:uid="{00000000-0005-0000-0000-0000B1AA0000}"/>
    <cellStyle name="Normal 6 4 4 3 2 2 2 2" xfId="58570" xr:uid="{00000000-0005-0000-0000-0000B2AA0000}"/>
    <cellStyle name="Normal 6 4 4 3 2 2 2 3" xfId="58571" xr:uid="{00000000-0005-0000-0000-0000B3AA0000}"/>
    <cellStyle name="Normal 6 4 4 3 2 2 3" xfId="31152" xr:uid="{00000000-0005-0000-0000-0000B4AA0000}"/>
    <cellStyle name="Normal 6 4 4 3 2 2 3 2" xfId="58572" xr:uid="{00000000-0005-0000-0000-0000B5AA0000}"/>
    <cellStyle name="Normal 6 4 4 3 2 2 4" xfId="31153" xr:uid="{00000000-0005-0000-0000-0000B6AA0000}"/>
    <cellStyle name="Normal 6 4 4 3 2 2 5" xfId="31154" xr:uid="{00000000-0005-0000-0000-0000B7AA0000}"/>
    <cellStyle name="Normal 6 4 4 3 2 2 6" xfId="31155" xr:uid="{00000000-0005-0000-0000-0000B8AA0000}"/>
    <cellStyle name="Normal 6 4 4 3 2 3" xfId="31156" xr:uid="{00000000-0005-0000-0000-0000B9AA0000}"/>
    <cellStyle name="Normal 6 4 4 3 2 3 2" xfId="58573" xr:uid="{00000000-0005-0000-0000-0000BAAA0000}"/>
    <cellStyle name="Normal 6 4 4 3 2 3 3" xfId="58574" xr:uid="{00000000-0005-0000-0000-0000BBAA0000}"/>
    <cellStyle name="Normal 6 4 4 3 2 4" xfId="31157" xr:uid="{00000000-0005-0000-0000-0000BCAA0000}"/>
    <cellStyle name="Normal 6 4 4 3 2 4 2" xfId="58575" xr:uid="{00000000-0005-0000-0000-0000BDAA0000}"/>
    <cellStyle name="Normal 6 4 4 3 2 5" xfId="31158" xr:uid="{00000000-0005-0000-0000-0000BEAA0000}"/>
    <cellStyle name="Normal 6 4 4 3 2 6" xfId="31159" xr:uid="{00000000-0005-0000-0000-0000BFAA0000}"/>
    <cellStyle name="Normal 6 4 4 3 2 7" xfId="31160" xr:uid="{00000000-0005-0000-0000-0000C0AA0000}"/>
    <cellStyle name="Normal 6 4 4 3 3" xfId="31161" xr:uid="{00000000-0005-0000-0000-0000C1AA0000}"/>
    <cellStyle name="Normal 6 4 4 3 3 2" xfId="31162" xr:uid="{00000000-0005-0000-0000-0000C2AA0000}"/>
    <cellStyle name="Normal 6 4 4 3 3 2 2" xfId="58576" xr:uid="{00000000-0005-0000-0000-0000C3AA0000}"/>
    <cellStyle name="Normal 6 4 4 3 3 2 3" xfId="58577" xr:uid="{00000000-0005-0000-0000-0000C4AA0000}"/>
    <cellStyle name="Normal 6 4 4 3 3 3" xfId="31163" xr:uid="{00000000-0005-0000-0000-0000C5AA0000}"/>
    <cellStyle name="Normal 6 4 4 3 3 3 2" xfId="58578" xr:uid="{00000000-0005-0000-0000-0000C6AA0000}"/>
    <cellStyle name="Normal 6 4 4 3 3 4" xfId="31164" xr:uid="{00000000-0005-0000-0000-0000C7AA0000}"/>
    <cellStyle name="Normal 6 4 4 3 3 5" xfId="31165" xr:uid="{00000000-0005-0000-0000-0000C8AA0000}"/>
    <cellStyle name="Normal 6 4 4 3 3 6" xfId="31166" xr:uid="{00000000-0005-0000-0000-0000C9AA0000}"/>
    <cellStyle name="Normal 6 4 4 3 4" xfId="31167" xr:uid="{00000000-0005-0000-0000-0000CAAA0000}"/>
    <cellStyle name="Normal 6 4 4 3 4 2" xfId="58579" xr:uid="{00000000-0005-0000-0000-0000CBAA0000}"/>
    <cellStyle name="Normal 6 4 4 3 4 3" xfId="58580" xr:uid="{00000000-0005-0000-0000-0000CCAA0000}"/>
    <cellStyle name="Normal 6 4 4 3 5" xfId="31168" xr:uid="{00000000-0005-0000-0000-0000CDAA0000}"/>
    <cellStyle name="Normal 6 4 4 3 5 2" xfId="58581" xr:uid="{00000000-0005-0000-0000-0000CEAA0000}"/>
    <cellStyle name="Normal 6 4 4 3 6" xfId="31169" xr:uid="{00000000-0005-0000-0000-0000CFAA0000}"/>
    <cellStyle name="Normal 6 4 4 3 7" xfId="31170" xr:uid="{00000000-0005-0000-0000-0000D0AA0000}"/>
    <cellStyle name="Normal 6 4 4 3 8" xfId="31171" xr:uid="{00000000-0005-0000-0000-0000D1AA0000}"/>
    <cellStyle name="Normal 6 4 4 4" xfId="31172" xr:uid="{00000000-0005-0000-0000-0000D2AA0000}"/>
    <cellStyle name="Normal 6 4 4 4 2" xfId="31173" xr:uid="{00000000-0005-0000-0000-0000D3AA0000}"/>
    <cellStyle name="Normal 6 4 4 4 2 2" xfId="31174" xr:uid="{00000000-0005-0000-0000-0000D4AA0000}"/>
    <cellStyle name="Normal 6 4 4 4 2 2 2" xfId="58582" xr:uid="{00000000-0005-0000-0000-0000D5AA0000}"/>
    <cellStyle name="Normal 6 4 4 4 2 2 3" xfId="58583" xr:uid="{00000000-0005-0000-0000-0000D6AA0000}"/>
    <cellStyle name="Normal 6 4 4 4 2 3" xfId="31175" xr:uid="{00000000-0005-0000-0000-0000D7AA0000}"/>
    <cellStyle name="Normal 6 4 4 4 2 3 2" xfId="58584" xr:uid="{00000000-0005-0000-0000-0000D8AA0000}"/>
    <cellStyle name="Normal 6 4 4 4 2 4" xfId="31176" xr:uid="{00000000-0005-0000-0000-0000D9AA0000}"/>
    <cellStyle name="Normal 6 4 4 4 2 5" xfId="31177" xr:uid="{00000000-0005-0000-0000-0000DAAA0000}"/>
    <cellStyle name="Normal 6 4 4 4 2 6" xfId="31178" xr:uid="{00000000-0005-0000-0000-0000DBAA0000}"/>
    <cellStyle name="Normal 6 4 4 4 3" xfId="31179" xr:uid="{00000000-0005-0000-0000-0000DCAA0000}"/>
    <cellStyle name="Normal 6 4 4 4 3 2" xfId="58585" xr:uid="{00000000-0005-0000-0000-0000DDAA0000}"/>
    <cellStyle name="Normal 6 4 4 4 3 3" xfId="58586" xr:uid="{00000000-0005-0000-0000-0000DEAA0000}"/>
    <cellStyle name="Normal 6 4 4 4 4" xfId="31180" xr:uid="{00000000-0005-0000-0000-0000DFAA0000}"/>
    <cellStyle name="Normal 6 4 4 4 4 2" xfId="58587" xr:uid="{00000000-0005-0000-0000-0000E0AA0000}"/>
    <cellStyle name="Normal 6 4 4 4 5" xfId="31181" xr:uid="{00000000-0005-0000-0000-0000E1AA0000}"/>
    <cellStyle name="Normal 6 4 4 4 6" xfId="31182" xr:uid="{00000000-0005-0000-0000-0000E2AA0000}"/>
    <cellStyle name="Normal 6 4 4 4 7" xfId="31183" xr:uid="{00000000-0005-0000-0000-0000E3AA0000}"/>
    <cellStyle name="Normal 6 4 4 5" xfId="31184" xr:uid="{00000000-0005-0000-0000-0000E4AA0000}"/>
    <cellStyle name="Normal 6 4 4 5 2" xfId="31185" xr:uid="{00000000-0005-0000-0000-0000E5AA0000}"/>
    <cellStyle name="Normal 6 4 4 5 2 2" xfId="58588" xr:uid="{00000000-0005-0000-0000-0000E6AA0000}"/>
    <cellStyle name="Normal 6 4 4 5 2 3" xfId="58589" xr:uid="{00000000-0005-0000-0000-0000E7AA0000}"/>
    <cellStyle name="Normal 6 4 4 5 3" xfId="31186" xr:uid="{00000000-0005-0000-0000-0000E8AA0000}"/>
    <cellStyle name="Normal 6 4 4 5 3 2" xfId="58590" xr:uid="{00000000-0005-0000-0000-0000E9AA0000}"/>
    <cellStyle name="Normal 6 4 4 5 4" xfId="31187" xr:uid="{00000000-0005-0000-0000-0000EAAA0000}"/>
    <cellStyle name="Normal 6 4 4 5 5" xfId="31188" xr:uid="{00000000-0005-0000-0000-0000EBAA0000}"/>
    <cellStyle name="Normal 6 4 4 5 6" xfId="31189" xr:uid="{00000000-0005-0000-0000-0000ECAA0000}"/>
    <cellStyle name="Normal 6 4 4 6" xfId="31190" xr:uid="{00000000-0005-0000-0000-0000EDAA0000}"/>
    <cellStyle name="Normal 6 4 4 6 2" xfId="58591" xr:uid="{00000000-0005-0000-0000-0000EEAA0000}"/>
    <cellStyle name="Normal 6 4 4 6 3" xfId="58592" xr:uid="{00000000-0005-0000-0000-0000EFAA0000}"/>
    <cellStyle name="Normal 6 4 4 7" xfId="31191" xr:uid="{00000000-0005-0000-0000-0000F0AA0000}"/>
    <cellStyle name="Normal 6 4 4 7 2" xfId="58593" xr:uid="{00000000-0005-0000-0000-0000F1AA0000}"/>
    <cellStyle name="Normal 6 4 4 8" xfId="31192" xr:uid="{00000000-0005-0000-0000-0000F2AA0000}"/>
    <cellStyle name="Normal 6 4 4 9" xfId="31193" xr:uid="{00000000-0005-0000-0000-0000F3AA0000}"/>
    <cellStyle name="Normal 6 4 5" xfId="31194" xr:uid="{00000000-0005-0000-0000-0000F4AA0000}"/>
    <cellStyle name="Normal 6 4 5 10" xfId="31195" xr:uid="{00000000-0005-0000-0000-0000F5AA0000}"/>
    <cellStyle name="Normal 6 4 5 11" xfId="31196" xr:uid="{00000000-0005-0000-0000-0000F6AA0000}"/>
    <cellStyle name="Normal 6 4 5 12" xfId="31197" xr:uid="{00000000-0005-0000-0000-0000F7AA0000}"/>
    <cellStyle name="Normal 6 4 5 13" xfId="31198" xr:uid="{00000000-0005-0000-0000-0000F8AA0000}"/>
    <cellStyle name="Normal 6 4 5 14" xfId="31199" xr:uid="{00000000-0005-0000-0000-0000F9AA0000}"/>
    <cellStyle name="Normal 6 4 5 2" xfId="31200" xr:uid="{00000000-0005-0000-0000-0000FAAA0000}"/>
    <cellStyle name="Normal 6 4 5 2 2" xfId="31201" xr:uid="{00000000-0005-0000-0000-0000FBAA0000}"/>
    <cellStyle name="Normal 6 4 5 2 2 2" xfId="31202" xr:uid="{00000000-0005-0000-0000-0000FCAA0000}"/>
    <cellStyle name="Normal 6 4 5 2 2 2 2" xfId="31203" xr:uid="{00000000-0005-0000-0000-0000FDAA0000}"/>
    <cellStyle name="Normal 6 4 5 2 2 2 2 2" xfId="58594" xr:uid="{00000000-0005-0000-0000-0000FEAA0000}"/>
    <cellStyle name="Normal 6 4 5 2 2 2 2 3" xfId="58595" xr:uid="{00000000-0005-0000-0000-0000FFAA0000}"/>
    <cellStyle name="Normal 6 4 5 2 2 2 3" xfId="31204" xr:uid="{00000000-0005-0000-0000-000000AB0000}"/>
    <cellStyle name="Normal 6 4 5 2 2 2 3 2" xfId="58596" xr:uid="{00000000-0005-0000-0000-000001AB0000}"/>
    <cellStyle name="Normal 6 4 5 2 2 2 4" xfId="31205" xr:uid="{00000000-0005-0000-0000-000002AB0000}"/>
    <cellStyle name="Normal 6 4 5 2 2 2 5" xfId="31206" xr:uid="{00000000-0005-0000-0000-000003AB0000}"/>
    <cellStyle name="Normal 6 4 5 2 2 2 6" xfId="31207" xr:uid="{00000000-0005-0000-0000-000004AB0000}"/>
    <cellStyle name="Normal 6 4 5 2 2 3" xfId="31208" xr:uid="{00000000-0005-0000-0000-000005AB0000}"/>
    <cellStyle name="Normal 6 4 5 2 2 3 2" xfId="58597" xr:uid="{00000000-0005-0000-0000-000006AB0000}"/>
    <cellStyle name="Normal 6 4 5 2 2 3 3" xfId="58598" xr:uid="{00000000-0005-0000-0000-000007AB0000}"/>
    <cellStyle name="Normal 6 4 5 2 2 4" xfId="31209" xr:uid="{00000000-0005-0000-0000-000008AB0000}"/>
    <cellStyle name="Normal 6 4 5 2 2 4 2" xfId="58599" xr:uid="{00000000-0005-0000-0000-000009AB0000}"/>
    <cellStyle name="Normal 6 4 5 2 2 5" xfId="31210" xr:uid="{00000000-0005-0000-0000-00000AAB0000}"/>
    <cellStyle name="Normal 6 4 5 2 2 6" xfId="31211" xr:uid="{00000000-0005-0000-0000-00000BAB0000}"/>
    <cellStyle name="Normal 6 4 5 2 2 7" xfId="31212" xr:uid="{00000000-0005-0000-0000-00000CAB0000}"/>
    <cellStyle name="Normal 6 4 5 2 3" xfId="31213" xr:uid="{00000000-0005-0000-0000-00000DAB0000}"/>
    <cellStyle name="Normal 6 4 5 2 3 2" xfId="31214" xr:uid="{00000000-0005-0000-0000-00000EAB0000}"/>
    <cellStyle name="Normal 6 4 5 2 3 2 2" xfId="58600" xr:uid="{00000000-0005-0000-0000-00000FAB0000}"/>
    <cellStyle name="Normal 6 4 5 2 3 2 3" xfId="58601" xr:uid="{00000000-0005-0000-0000-000010AB0000}"/>
    <cellStyle name="Normal 6 4 5 2 3 3" xfId="31215" xr:uid="{00000000-0005-0000-0000-000011AB0000}"/>
    <cellStyle name="Normal 6 4 5 2 3 3 2" xfId="58602" xr:uid="{00000000-0005-0000-0000-000012AB0000}"/>
    <cellStyle name="Normal 6 4 5 2 3 4" xfId="31216" xr:uid="{00000000-0005-0000-0000-000013AB0000}"/>
    <cellStyle name="Normal 6 4 5 2 3 5" xfId="31217" xr:uid="{00000000-0005-0000-0000-000014AB0000}"/>
    <cellStyle name="Normal 6 4 5 2 3 6" xfId="31218" xr:uid="{00000000-0005-0000-0000-000015AB0000}"/>
    <cellStyle name="Normal 6 4 5 2 4" xfId="31219" xr:uid="{00000000-0005-0000-0000-000016AB0000}"/>
    <cellStyle name="Normal 6 4 5 2 4 2" xfId="58603" xr:uid="{00000000-0005-0000-0000-000017AB0000}"/>
    <cellStyle name="Normal 6 4 5 2 4 3" xfId="58604" xr:uid="{00000000-0005-0000-0000-000018AB0000}"/>
    <cellStyle name="Normal 6 4 5 2 5" xfId="31220" xr:uid="{00000000-0005-0000-0000-000019AB0000}"/>
    <cellStyle name="Normal 6 4 5 2 5 2" xfId="58605" xr:uid="{00000000-0005-0000-0000-00001AAB0000}"/>
    <cellStyle name="Normal 6 4 5 2 6" xfId="31221" xr:uid="{00000000-0005-0000-0000-00001BAB0000}"/>
    <cellStyle name="Normal 6 4 5 2 7" xfId="31222" xr:uid="{00000000-0005-0000-0000-00001CAB0000}"/>
    <cellStyle name="Normal 6 4 5 2 8" xfId="31223" xr:uid="{00000000-0005-0000-0000-00001DAB0000}"/>
    <cellStyle name="Normal 6 4 5 2 9" xfId="31224" xr:uid="{00000000-0005-0000-0000-00001EAB0000}"/>
    <cellStyle name="Normal 6 4 5 3" xfId="31225" xr:uid="{00000000-0005-0000-0000-00001FAB0000}"/>
    <cellStyle name="Normal 6 4 5 3 2" xfId="31226" xr:uid="{00000000-0005-0000-0000-000020AB0000}"/>
    <cellStyle name="Normal 6 4 5 3 2 2" xfId="31227" xr:uid="{00000000-0005-0000-0000-000021AB0000}"/>
    <cellStyle name="Normal 6 4 5 3 2 2 2" xfId="31228" xr:uid="{00000000-0005-0000-0000-000022AB0000}"/>
    <cellStyle name="Normal 6 4 5 3 2 2 2 2" xfId="58606" xr:uid="{00000000-0005-0000-0000-000023AB0000}"/>
    <cellStyle name="Normal 6 4 5 3 2 2 2 3" xfId="58607" xr:uid="{00000000-0005-0000-0000-000024AB0000}"/>
    <cellStyle name="Normal 6 4 5 3 2 2 3" xfId="31229" xr:uid="{00000000-0005-0000-0000-000025AB0000}"/>
    <cellStyle name="Normal 6 4 5 3 2 2 3 2" xfId="58608" xr:uid="{00000000-0005-0000-0000-000026AB0000}"/>
    <cellStyle name="Normal 6 4 5 3 2 2 4" xfId="31230" xr:uid="{00000000-0005-0000-0000-000027AB0000}"/>
    <cellStyle name="Normal 6 4 5 3 2 2 5" xfId="31231" xr:uid="{00000000-0005-0000-0000-000028AB0000}"/>
    <cellStyle name="Normal 6 4 5 3 2 2 6" xfId="31232" xr:uid="{00000000-0005-0000-0000-000029AB0000}"/>
    <cellStyle name="Normal 6 4 5 3 2 3" xfId="31233" xr:uid="{00000000-0005-0000-0000-00002AAB0000}"/>
    <cellStyle name="Normal 6 4 5 3 2 3 2" xfId="58609" xr:uid="{00000000-0005-0000-0000-00002BAB0000}"/>
    <cellStyle name="Normal 6 4 5 3 2 3 3" xfId="58610" xr:uid="{00000000-0005-0000-0000-00002CAB0000}"/>
    <cellStyle name="Normal 6 4 5 3 2 4" xfId="31234" xr:uid="{00000000-0005-0000-0000-00002DAB0000}"/>
    <cellStyle name="Normal 6 4 5 3 2 4 2" xfId="58611" xr:uid="{00000000-0005-0000-0000-00002EAB0000}"/>
    <cellStyle name="Normal 6 4 5 3 2 5" xfId="31235" xr:uid="{00000000-0005-0000-0000-00002FAB0000}"/>
    <cellStyle name="Normal 6 4 5 3 2 6" xfId="31236" xr:uid="{00000000-0005-0000-0000-000030AB0000}"/>
    <cellStyle name="Normal 6 4 5 3 2 7" xfId="31237" xr:uid="{00000000-0005-0000-0000-000031AB0000}"/>
    <cellStyle name="Normal 6 4 5 3 3" xfId="31238" xr:uid="{00000000-0005-0000-0000-000032AB0000}"/>
    <cellStyle name="Normal 6 4 5 3 3 2" xfId="31239" xr:uid="{00000000-0005-0000-0000-000033AB0000}"/>
    <cellStyle name="Normal 6 4 5 3 3 2 2" xfId="58612" xr:uid="{00000000-0005-0000-0000-000034AB0000}"/>
    <cellStyle name="Normal 6 4 5 3 3 2 3" xfId="58613" xr:uid="{00000000-0005-0000-0000-000035AB0000}"/>
    <cellStyle name="Normal 6 4 5 3 3 3" xfId="31240" xr:uid="{00000000-0005-0000-0000-000036AB0000}"/>
    <cellStyle name="Normal 6 4 5 3 3 3 2" xfId="58614" xr:uid="{00000000-0005-0000-0000-000037AB0000}"/>
    <cellStyle name="Normal 6 4 5 3 3 4" xfId="31241" xr:uid="{00000000-0005-0000-0000-000038AB0000}"/>
    <cellStyle name="Normal 6 4 5 3 3 5" xfId="31242" xr:uid="{00000000-0005-0000-0000-000039AB0000}"/>
    <cellStyle name="Normal 6 4 5 3 3 6" xfId="31243" xr:uid="{00000000-0005-0000-0000-00003AAB0000}"/>
    <cellStyle name="Normal 6 4 5 3 4" xfId="31244" xr:uid="{00000000-0005-0000-0000-00003BAB0000}"/>
    <cellStyle name="Normal 6 4 5 3 4 2" xfId="58615" xr:uid="{00000000-0005-0000-0000-00003CAB0000}"/>
    <cellStyle name="Normal 6 4 5 3 4 3" xfId="58616" xr:uid="{00000000-0005-0000-0000-00003DAB0000}"/>
    <cellStyle name="Normal 6 4 5 3 5" xfId="31245" xr:uid="{00000000-0005-0000-0000-00003EAB0000}"/>
    <cellStyle name="Normal 6 4 5 3 5 2" xfId="58617" xr:uid="{00000000-0005-0000-0000-00003FAB0000}"/>
    <cellStyle name="Normal 6 4 5 3 6" xfId="31246" xr:uid="{00000000-0005-0000-0000-000040AB0000}"/>
    <cellStyle name="Normal 6 4 5 3 7" xfId="31247" xr:uid="{00000000-0005-0000-0000-000041AB0000}"/>
    <cellStyle name="Normal 6 4 5 3 8" xfId="31248" xr:uid="{00000000-0005-0000-0000-000042AB0000}"/>
    <cellStyle name="Normal 6 4 5 4" xfId="31249" xr:uid="{00000000-0005-0000-0000-000043AB0000}"/>
    <cellStyle name="Normal 6 4 5 4 2" xfId="31250" xr:uid="{00000000-0005-0000-0000-000044AB0000}"/>
    <cellStyle name="Normal 6 4 5 4 2 2" xfId="31251" xr:uid="{00000000-0005-0000-0000-000045AB0000}"/>
    <cellStyle name="Normal 6 4 5 4 2 2 2" xfId="58618" xr:uid="{00000000-0005-0000-0000-000046AB0000}"/>
    <cellStyle name="Normal 6 4 5 4 2 2 3" xfId="58619" xr:uid="{00000000-0005-0000-0000-000047AB0000}"/>
    <cellStyle name="Normal 6 4 5 4 2 3" xfId="31252" xr:uid="{00000000-0005-0000-0000-000048AB0000}"/>
    <cellStyle name="Normal 6 4 5 4 2 3 2" xfId="58620" xr:uid="{00000000-0005-0000-0000-000049AB0000}"/>
    <cellStyle name="Normal 6 4 5 4 2 4" xfId="31253" xr:uid="{00000000-0005-0000-0000-00004AAB0000}"/>
    <cellStyle name="Normal 6 4 5 4 2 5" xfId="31254" xr:uid="{00000000-0005-0000-0000-00004BAB0000}"/>
    <cellStyle name="Normal 6 4 5 4 2 6" xfId="31255" xr:uid="{00000000-0005-0000-0000-00004CAB0000}"/>
    <cellStyle name="Normal 6 4 5 4 3" xfId="31256" xr:uid="{00000000-0005-0000-0000-00004DAB0000}"/>
    <cellStyle name="Normal 6 4 5 4 3 2" xfId="58621" xr:uid="{00000000-0005-0000-0000-00004EAB0000}"/>
    <cellStyle name="Normal 6 4 5 4 3 3" xfId="58622" xr:uid="{00000000-0005-0000-0000-00004FAB0000}"/>
    <cellStyle name="Normal 6 4 5 4 4" xfId="31257" xr:uid="{00000000-0005-0000-0000-000050AB0000}"/>
    <cellStyle name="Normal 6 4 5 4 4 2" xfId="58623" xr:uid="{00000000-0005-0000-0000-000051AB0000}"/>
    <cellStyle name="Normal 6 4 5 4 5" xfId="31258" xr:uid="{00000000-0005-0000-0000-000052AB0000}"/>
    <cellStyle name="Normal 6 4 5 4 6" xfId="31259" xr:uid="{00000000-0005-0000-0000-000053AB0000}"/>
    <cellStyle name="Normal 6 4 5 4 7" xfId="31260" xr:uid="{00000000-0005-0000-0000-000054AB0000}"/>
    <cellStyle name="Normal 6 4 5 5" xfId="31261" xr:uid="{00000000-0005-0000-0000-000055AB0000}"/>
    <cellStyle name="Normal 6 4 5 5 2" xfId="31262" xr:uid="{00000000-0005-0000-0000-000056AB0000}"/>
    <cellStyle name="Normal 6 4 5 5 2 2" xfId="58624" xr:uid="{00000000-0005-0000-0000-000057AB0000}"/>
    <cellStyle name="Normal 6 4 5 5 2 3" xfId="58625" xr:uid="{00000000-0005-0000-0000-000058AB0000}"/>
    <cellStyle name="Normal 6 4 5 5 3" xfId="31263" xr:uid="{00000000-0005-0000-0000-000059AB0000}"/>
    <cellStyle name="Normal 6 4 5 5 3 2" xfId="58626" xr:uid="{00000000-0005-0000-0000-00005AAB0000}"/>
    <cellStyle name="Normal 6 4 5 5 4" xfId="31264" xr:uid="{00000000-0005-0000-0000-00005BAB0000}"/>
    <cellStyle name="Normal 6 4 5 5 5" xfId="31265" xr:uid="{00000000-0005-0000-0000-00005CAB0000}"/>
    <cellStyle name="Normal 6 4 5 5 6" xfId="31266" xr:uid="{00000000-0005-0000-0000-00005DAB0000}"/>
    <cellStyle name="Normal 6 4 5 6" xfId="31267" xr:uid="{00000000-0005-0000-0000-00005EAB0000}"/>
    <cellStyle name="Normal 6 4 5 6 2" xfId="58627" xr:uid="{00000000-0005-0000-0000-00005FAB0000}"/>
    <cellStyle name="Normal 6 4 5 6 3" xfId="58628" xr:uid="{00000000-0005-0000-0000-000060AB0000}"/>
    <cellStyle name="Normal 6 4 5 7" xfId="31268" xr:uid="{00000000-0005-0000-0000-000061AB0000}"/>
    <cellStyle name="Normal 6 4 5 7 2" xfId="58629" xr:uid="{00000000-0005-0000-0000-000062AB0000}"/>
    <cellStyle name="Normal 6 4 5 8" xfId="31269" xr:uid="{00000000-0005-0000-0000-000063AB0000}"/>
    <cellStyle name="Normal 6 4 5 9" xfId="31270" xr:uid="{00000000-0005-0000-0000-000064AB0000}"/>
    <cellStyle name="Normal 6 4 6" xfId="31271" xr:uid="{00000000-0005-0000-0000-000065AB0000}"/>
    <cellStyle name="Normal 6 4 6 10" xfId="31272" xr:uid="{00000000-0005-0000-0000-000066AB0000}"/>
    <cellStyle name="Normal 6 4 6 11" xfId="31273" xr:uid="{00000000-0005-0000-0000-000067AB0000}"/>
    <cellStyle name="Normal 6 4 6 12" xfId="31274" xr:uid="{00000000-0005-0000-0000-000068AB0000}"/>
    <cellStyle name="Normal 6 4 6 13" xfId="31275" xr:uid="{00000000-0005-0000-0000-000069AB0000}"/>
    <cellStyle name="Normal 6 4 6 2" xfId="31276" xr:uid="{00000000-0005-0000-0000-00006AAB0000}"/>
    <cellStyle name="Normal 6 4 6 2 2" xfId="31277" xr:uid="{00000000-0005-0000-0000-00006BAB0000}"/>
    <cellStyle name="Normal 6 4 6 2 2 2" xfId="31278" xr:uid="{00000000-0005-0000-0000-00006CAB0000}"/>
    <cellStyle name="Normal 6 4 6 2 2 2 2" xfId="31279" xr:uid="{00000000-0005-0000-0000-00006DAB0000}"/>
    <cellStyle name="Normal 6 4 6 2 2 2 2 2" xfId="58630" xr:uid="{00000000-0005-0000-0000-00006EAB0000}"/>
    <cellStyle name="Normal 6 4 6 2 2 2 2 3" xfId="58631" xr:uid="{00000000-0005-0000-0000-00006FAB0000}"/>
    <cellStyle name="Normal 6 4 6 2 2 2 3" xfId="31280" xr:uid="{00000000-0005-0000-0000-000070AB0000}"/>
    <cellStyle name="Normal 6 4 6 2 2 2 3 2" xfId="58632" xr:uid="{00000000-0005-0000-0000-000071AB0000}"/>
    <cellStyle name="Normal 6 4 6 2 2 2 4" xfId="31281" xr:uid="{00000000-0005-0000-0000-000072AB0000}"/>
    <cellStyle name="Normal 6 4 6 2 2 2 5" xfId="31282" xr:uid="{00000000-0005-0000-0000-000073AB0000}"/>
    <cellStyle name="Normal 6 4 6 2 2 2 6" xfId="31283" xr:uid="{00000000-0005-0000-0000-000074AB0000}"/>
    <cellStyle name="Normal 6 4 6 2 2 3" xfId="31284" xr:uid="{00000000-0005-0000-0000-000075AB0000}"/>
    <cellStyle name="Normal 6 4 6 2 2 3 2" xfId="58633" xr:uid="{00000000-0005-0000-0000-000076AB0000}"/>
    <cellStyle name="Normal 6 4 6 2 2 3 3" xfId="58634" xr:uid="{00000000-0005-0000-0000-000077AB0000}"/>
    <cellStyle name="Normal 6 4 6 2 2 4" xfId="31285" xr:uid="{00000000-0005-0000-0000-000078AB0000}"/>
    <cellStyle name="Normal 6 4 6 2 2 4 2" xfId="58635" xr:uid="{00000000-0005-0000-0000-000079AB0000}"/>
    <cellStyle name="Normal 6 4 6 2 2 5" xfId="31286" xr:uid="{00000000-0005-0000-0000-00007AAB0000}"/>
    <cellStyle name="Normal 6 4 6 2 2 6" xfId="31287" xr:uid="{00000000-0005-0000-0000-00007BAB0000}"/>
    <cellStyle name="Normal 6 4 6 2 2 7" xfId="31288" xr:uid="{00000000-0005-0000-0000-00007CAB0000}"/>
    <cellStyle name="Normal 6 4 6 2 3" xfId="31289" xr:uid="{00000000-0005-0000-0000-00007DAB0000}"/>
    <cellStyle name="Normal 6 4 6 2 3 2" xfId="31290" xr:uid="{00000000-0005-0000-0000-00007EAB0000}"/>
    <cellStyle name="Normal 6 4 6 2 3 2 2" xfId="58636" xr:uid="{00000000-0005-0000-0000-00007FAB0000}"/>
    <cellStyle name="Normal 6 4 6 2 3 2 3" xfId="58637" xr:uid="{00000000-0005-0000-0000-000080AB0000}"/>
    <cellStyle name="Normal 6 4 6 2 3 3" xfId="31291" xr:uid="{00000000-0005-0000-0000-000081AB0000}"/>
    <cellStyle name="Normal 6 4 6 2 3 3 2" xfId="58638" xr:uid="{00000000-0005-0000-0000-000082AB0000}"/>
    <cellStyle name="Normal 6 4 6 2 3 4" xfId="31292" xr:uid="{00000000-0005-0000-0000-000083AB0000}"/>
    <cellStyle name="Normal 6 4 6 2 3 5" xfId="31293" xr:uid="{00000000-0005-0000-0000-000084AB0000}"/>
    <cellStyle name="Normal 6 4 6 2 3 6" xfId="31294" xr:uid="{00000000-0005-0000-0000-000085AB0000}"/>
    <cellStyle name="Normal 6 4 6 2 4" xfId="31295" xr:uid="{00000000-0005-0000-0000-000086AB0000}"/>
    <cellStyle name="Normal 6 4 6 2 4 2" xfId="58639" xr:uid="{00000000-0005-0000-0000-000087AB0000}"/>
    <cellStyle name="Normal 6 4 6 2 4 3" xfId="58640" xr:uid="{00000000-0005-0000-0000-000088AB0000}"/>
    <cellStyle name="Normal 6 4 6 2 5" xfId="31296" xr:uid="{00000000-0005-0000-0000-000089AB0000}"/>
    <cellStyle name="Normal 6 4 6 2 5 2" xfId="58641" xr:uid="{00000000-0005-0000-0000-00008AAB0000}"/>
    <cellStyle name="Normal 6 4 6 2 6" xfId="31297" xr:uid="{00000000-0005-0000-0000-00008BAB0000}"/>
    <cellStyle name="Normal 6 4 6 2 7" xfId="31298" xr:uid="{00000000-0005-0000-0000-00008CAB0000}"/>
    <cellStyle name="Normal 6 4 6 2 8" xfId="31299" xr:uid="{00000000-0005-0000-0000-00008DAB0000}"/>
    <cellStyle name="Normal 6 4 6 2 9" xfId="31300" xr:uid="{00000000-0005-0000-0000-00008EAB0000}"/>
    <cellStyle name="Normal 6 4 6 3" xfId="31301" xr:uid="{00000000-0005-0000-0000-00008FAB0000}"/>
    <cellStyle name="Normal 6 4 6 3 2" xfId="31302" xr:uid="{00000000-0005-0000-0000-000090AB0000}"/>
    <cellStyle name="Normal 6 4 6 3 2 2" xfId="31303" xr:uid="{00000000-0005-0000-0000-000091AB0000}"/>
    <cellStyle name="Normal 6 4 6 3 2 2 2" xfId="58642" xr:uid="{00000000-0005-0000-0000-000092AB0000}"/>
    <cellStyle name="Normal 6 4 6 3 2 2 3" xfId="58643" xr:uid="{00000000-0005-0000-0000-000093AB0000}"/>
    <cellStyle name="Normal 6 4 6 3 2 3" xfId="31304" xr:uid="{00000000-0005-0000-0000-000094AB0000}"/>
    <cellStyle name="Normal 6 4 6 3 2 3 2" xfId="58644" xr:uid="{00000000-0005-0000-0000-000095AB0000}"/>
    <cellStyle name="Normal 6 4 6 3 2 4" xfId="31305" xr:uid="{00000000-0005-0000-0000-000096AB0000}"/>
    <cellStyle name="Normal 6 4 6 3 2 5" xfId="31306" xr:uid="{00000000-0005-0000-0000-000097AB0000}"/>
    <cellStyle name="Normal 6 4 6 3 2 6" xfId="31307" xr:uid="{00000000-0005-0000-0000-000098AB0000}"/>
    <cellStyle name="Normal 6 4 6 3 3" xfId="31308" xr:uid="{00000000-0005-0000-0000-000099AB0000}"/>
    <cellStyle name="Normal 6 4 6 3 3 2" xfId="58645" xr:uid="{00000000-0005-0000-0000-00009AAB0000}"/>
    <cellStyle name="Normal 6 4 6 3 3 3" xfId="58646" xr:uid="{00000000-0005-0000-0000-00009BAB0000}"/>
    <cellStyle name="Normal 6 4 6 3 4" xfId="31309" xr:uid="{00000000-0005-0000-0000-00009CAB0000}"/>
    <cellStyle name="Normal 6 4 6 3 4 2" xfId="58647" xr:uid="{00000000-0005-0000-0000-00009DAB0000}"/>
    <cellStyle name="Normal 6 4 6 3 5" xfId="31310" xr:uid="{00000000-0005-0000-0000-00009EAB0000}"/>
    <cellStyle name="Normal 6 4 6 3 6" xfId="31311" xr:uid="{00000000-0005-0000-0000-00009FAB0000}"/>
    <cellStyle name="Normal 6 4 6 3 7" xfId="31312" xr:uid="{00000000-0005-0000-0000-0000A0AB0000}"/>
    <cellStyle name="Normal 6 4 6 4" xfId="31313" xr:uid="{00000000-0005-0000-0000-0000A1AB0000}"/>
    <cellStyle name="Normal 6 4 6 4 2" xfId="31314" xr:uid="{00000000-0005-0000-0000-0000A2AB0000}"/>
    <cellStyle name="Normal 6 4 6 4 2 2" xfId="58648" xr:uid="{00000000-0005-0000-0000-0000A3AB0000}"/>
    <cellStyle name="Normal 6 4 6 4 2 3" xfId="58649" xr:uid="{00000000-0005-0000-0000-0000A4AB0000}"/>
    <cellStyle name="Normal 6 4 6 4 3" xfId="31315" xr:uid="{00000000-0005-0000-0000-0000A5AB0000}"/>
    <cellStyle name="Normal 6 4 6 4 3 2" xfId="58650" xr:uid="{00000000-0005-0000-0000-0000A6AB0000}"/>
    <cellStyle name="Normal 6 4 6 4 4" xfId="31316" xr:uid="{00000000-0005-0000-0000-0000A7AB0000}"/>
    <cellStyle name="Normal 6 4 6 4 5" xfId="31317" xr:uid="{00000000-0005-0000-0000-0000A8AB0000}"/>
    <cellStyle name="Normal 6 4 6 4 6" xfId="31318" xr:uid="{00000000-0005-0000-0000-0000A9AB0000}"/>
    <cellStyle name="Normal 6 4 6 5" xfId="31319" xr:uid="{00000000-0005-0000-0000-0000AAAB0000}"/>
    <cellStyle name="Normal 6 4 6 5 2" xfId="58651" xr:uid="{00000000-0005-0000-0000-0000ABAB0000}"/>
    <cellStyle name="Normal 6 4 6 5 3" xfId="58652" xr:uid="{00000000-0005-0000-0000-0000ACAB0000}"/>
    <cellStyle name="Normal 6 4 6 6" xfId="31320" xr:uid="{00000000-0005-0000-0000-0000ADAB0000}"/>
    <cellStyle name="Normal 6 4 6 6 2" xfId="58653" xr:uid="{00000000-0005-0000-0000-0000AEAB0000}"/>
    <cellStyle name="Normal 6 4 6 7" xfId="31321" xr:uid="{00000000-0005-0000-0000-0000AFAB0000}"/>
    <cellStyle name="Normal 6 4 6 8" xfId="31322" xr:uid="{00000000-0005-0000-0000-0000B0AB0000}"/>
    <cellStyle name="Normal 6 4 6 9" xfId="31323" xr:uid="{00000000-0005-0000-0000-0000B1AB0000}"/>
    <cellStyle name="Normal 6 4 7" xfId="31324" xr:uid="{00000000-0005-0000-0000-0000B2AB0000}"/>
    <cellStyle name="Normal 6 4 7 2" xfId="31325" xr:uid="{00000000-0005-0000-0000-0000B3AB0000}"/>
    <cellStyle name="Normal 6 4 7 2 2" xfId="31326" xr:uid="{00000000-0005-0000-0000-0000B4AB0000}"/>
    <cellStyle name="Normal 6 4 7 2 2 2" xfId="31327" xr:uid="{00000000-0005-0000-0000-0000B5AB0000}"/>
    <cellStyle name="Normal 6 4 7 2 2 2 2" xfId="58654" xr:uid="{00000000-0005-0000-0000-0000B6AB0000}"/>
    <cellStyle name="Normal 6 4 7 2 2 2 3" xfId="58655" xr:uid="{00000000-0005-0000-0000-0000B7AB0000}"/>
    <cellStyle name="Normal 6 4 7 2 2 3" xfId="31328" xr:uid="{00000000-0005-0000-0000-0000B8AB0000}"/>
    <cellStyle name="Normal 6 4 7 2 2 3 2" xfId="58656" xr:uid="{00000000-0005-0000-0000-0000B9AB0000}"/>
    <cellStyle name="Normal 6 4 7 2 2 4" xfId="31329" xr:uid="{00000000-0005-0000-0000-0000BAAB0000}"/>
    <cellStyle name="Normal 6 4 7 2 2 5" xfId="31330" xr:uid="{00000000-0005-0000-0000-0000BBAB0000}"/>
    <cellStyle name="Normal 6 4 7 2 2 6" xfId="31331" xr:uid="{00000000-0005-0000-0000-0000BCAB0000}"/>
    <cellStyle name="Normal 6 4 7 2 3" xfId="31332" xr:uid="{00000000-0005-0000-0000-0000BDAB0000}"/>
    <cellStyle name="Normal 6 4 7 2 3 2" xfId="58657" xr:uid="{00000000-0005-0000-0000-0000BEAB0000}"/>
    <cellStyle name="Normal 6 4 7 2 3 3" xfId="58658" xr:uid="{00000000-0005-0000-0000-0000BFAB0000}"/>
    <cellStyle name="Normal 6 4 7 2 4" xfId="31333" xr:uid="{00000000-0005-0000-0000-0000C0AB0000}"/>
    <cellStyle name="Normal 6 4 7 2 4 2" xfId="58659" xr:uid="{00000000-0005-0000-0000-0000C1AB0000}"/>
    <cellStyle name="Normal 6 4 7 2 5" xfId="31334" xr:uid="{00000000-0005-0000-0000-0000C2AB0000}"/>
    <cellStyle name="Normal 6 4 7 2 6" xfId="31335" xr:uid="{00000000-0005-0000-0000-0000C3AB0000}"/>
    <cellStyle name="Normal 6 4 7 2 7" xfId="31336" xr:uid="{00000000-0005-0000-0000-0000C4AB0000}"/>
    <cellStyle name="Normal 6 4 7 3" xfId="31337" xr:uid="{00000000-0005-0000-0000-0000C5AB0000}"/>
    <cellStyle name="Normal 6 4 7 3 2" xfId="31338" xr:uid="{00000000-0005-0000-0000-0000C6AB0000}"/>
    <cellStyle name="Normal 6 4 7 3 2 2" xfId="58660" xr:uid="{00000000-0005-0000-0000-0000C7AB0000}"/>
    <cellStyle name="Normal 6 4 7 3 2 3" xfId="58661" xr:uid="{00000000-0005-0000-0000-0000C8AB0000}"/>
    <cellStyle name="Normal 6 4 7 3 3" xfId="31339" xr:uid="{00000000-0005-0000-0000-0000C9AB0000}"/>
    <cellStyle name="Normal 6 4 7 3 3 2" xfId="58662" xr:uid="{00000000-0005-0000-0000-0000CAAB0000}"/>
    <cellStyle name="Normal 6 4 7 3 4" xfId="31340" xr:uid="{00000000-0005-0000-0000-0000CBAB0000}"/>
    <cellStyle name="Normal 6 4 7 3 5" xfId="31341" xr:uid="{00000000-0005-0000-0000-0000CCAB0000}"/>
    <cellStyle name="Normal 6 4 7 3 6" xfId="31342" xr:uid="{00000000-0005-0000-0000-0000CDAB0000}"/>
    <cellStyle name="Normal 6 4 7 4" xfId="31343" xr:uid="{00000000-0005-0000-0000-0000CEAB0000}"/>
    <cellStyle name="Normal 6 4 7 4 2" xfId="58663" xr:uid="{00000000-0005-0000-0000-0000CFAB0000}"/>
    <cellStyle name="Normal 6 4 7 4 3" xfId="58664" xr:uid="{00000000-0005-0000-0000-0000D0AB0000}"/>
    <cellStyle name="Normal 6 4 7 5" xfId="31344" xr:uid="{00000000-0005-0000-0000-0000D1AB0000}"/>
    <cellStyle name="Normal 6 4 7 5 2" xfId="58665" xr:uid="{00000000-0005-0000-0000-0000D2AB0000}"/>
    <cellStyle name="Normal 6 4 7 6" xfId="31345" xr:uid="{00000000-0005-0000-0000-0000D3AB0000}"/>
    <cellStyle name="Normal 6 4 7 7" xfId="31346" xr:uid="{00000000-0005-0000-0000-0000D4AB0000}"/>
    <cellStyle name="Normal 6 4 7 8" xfId="31347" xr:uid="{00000000-0005-0000-0000-0000D5AB0000}"/>
    <cellStyle name="Normal 6 4 7 9" xfId="31348" xr:uid="{00000000-0005-0000-0000-0000D6AB0000}"/>
    <cellStyle name="Normal 6 4 8" xfId="31349" xr:uid="{00000000-0005-0000-0000-0000D7AB0000}"/>
    <cellStyle name="Normal 6 4 8 2" xfId="31350" xr:uid="{00000000-0005-0000-0000-0000D8AB0000}"/>
    <cellStyle name="Normal 6 4 8 2 2" xfId="31351" xr:uid="{00000000-0005-0000-0000-0000D9AB0000}"/>
    <cellStyle name="Normal 6 4 8 2 2 2" xfId="31352" xr:uid="{00000000-0005-0000-0000-0000DAAB0000}"/>
    <cellStyle name="Normal 6 4 8 2 2 2 2" xfId="58666" xr:uid="{00000000-0005-0000-0000-0000DBAB0000}"/>
    <cellStyle name="Normal 6 4 8 2 2 2 3" xfId="58667" xr:uid="{00000000-0005-0000-0000-0000DCAB0000}"/>
    <cellStyle name="Normal 6 4 8 2 2 3" xfId="31353" xr:uid="{00000000-0005-0000-0000-0000DDAB0000}"/>
    <cellStyle name="Normal 6 4 8 2 2 3 2" xfId="58668" xr:uid="{00000000-0005-0000-0000-0000DEAB0000}"/>
    <cellStyle name="Normal 6 4 8 2 2 4" xfId="31354" xr:uid="{00000000-0005-0000-0000-0000DFAB0000}"/>
    <cellStyle name="Normal 6 4 8 2 2 5" xfId="31355" xr:uid="{00000000-0005-0000-0000-0000E0AB0000}"/>
    <cellStyle name="Normal 6 4 8 2 2 6" xfId="31356" xr:uid="{00000000-0005-0000-0000-0000E1AB0000}"/>
    <cellStyle name="Normal 6 4 8 2 3" xfId="31357" xr:uid="{00000000-0005-0000-0000-0000E2AB0000}"/>
    <cellStyle name="Normal 6 4 8 2 3 2" xfId="58669" xr:uid="{00000000-0005-0000-0000-0000E3AB0000}"/>
    <cellStyle name="Normal 6 4 8 2 3 3" xfId="58670" xr:uid="{00000000-0005-0000-0000-0000E4AB0000}"/>
    <cellStyle name="Normal 6 4 8 2 4" xfId="31358" xr:uid="{00000000-0005-0000-0000-0000E5AB0000}"/>
    <cellStyle name="Normal 6 4 8 2 4 2" xfId="58671" xr:uid="{00000000-0005-0000-0000-0000E6AB0000}"/>
    <cellStyle name="Normal 6 4 8 2 5" xfId="31359" xr:uid="{00000000-0005-0000-0000-0000E7AB0000}"/>
    <cellStyle name="Normal 6 4 8 2 6" xfId="31360" xr:uid="{00000000-0005-0000-0000-0000E8AB0000}"/>
    <cellStyle name="Normal 6 4 8 2 7" xfId="31361" xr:uid="{00000000-0005-0000-0000-0000E9AB0000}"/>
    <cellStyle name="Normal 6 4 8 3" xfId="31362" xr:uid="{00000000-0005-0000-0000-0000EAAB0000}"/>
    <cellStyle name="Normal 6 4 8 3 2" xfId="31363" xr:uid="{00000000-0005-0000-0000-0000EBAB0000}"/>
    <cellStyle name="Normal 6 4 8 3 2 2" xfId="58672" xr:uid="{00000000-0005-0000-0000-0000ECAB0000}"/>
    <cellStyle name="Normal 6 4 8 3 2 3" xfId="58673" xr:uid="{00000000-0005-0000-0000-0000EDAB0000}"/>
    <cellStyle name="Normal 6 4 8 3 3" xfId="31364" xr:uid="{00000000-0005-0000-0000-0000EEAB0000}"/>
    <cellStyle name="Normal 6 4 8 3 3 2" xfId="58674" xr:uid="{00000000-0005-0000-0000-0000EFAB0000}"/>
    <cellStyle name="Normal 6 4 8 3 4" xfId="31365" xr:uid="{00000000-0005-0000-0000-0000F0AB0000}"/>
    <cellStyle name="Normal 6 4 8 3 5" xfId="31366" xr:uid="{00000000-0005-0000-0000-0000F1AB0000}"/>
    <cellStyle name="Normal 6 4 8 3 6" xfId="31367" xr:uid="{00000000-0005-0000-0000-0000F2AB0000}"/>
    <cellStyle name="Normal 6 4 8 4" xfId="31368" xr:uid="{00000000-0005-0000-0000-0000F3AB0000}"/>
    <cellStyle name="Normal 6 4 8 4 2" xfId="58675" xr:uid="{00000000-0005-0000-0000-0000F4AB0000}"/>
    <cellStyle name="Normal 6 4 8 4 3" xfId="58676" xr:uid="{00000000-0005-0000-0000-0000F5AB0000}"/>
    <cellStyle name="Normal 6 4 8 5" xfId="31369" xr:uid="{00000000-0005-0000-0000-0000F6AB0000}"/>
    <cellStyle name="Normal 6 4 8 5 2" xfId="58677" xr:uid="{00000000-0005-0000-0000-0000F7AB0000}"/>
    <cellStyle name="Normal 6 4 8 6" xfId="31370" xr:uid="{00000000-0005-0000-0000-0000F8AB0000}"/>
    <cellStyle name="Normal 6 4 8 7" xfId="31371" xr:uid="{00000000-0005-0000-0000-0000F9AB0000}"/>
    <cellStyle name="Normal 6 4 8 8" xfId="31372" xr:uid="{00000000-0005-0000-0000-0000FAAB0000}"/>
    <cellStyle name="Normal 6 4 9" xfId="31373" xr:uid="{00000000-0005-0000-0000-0000FBAB0000}"/>
    <cellStyle name="Normal 6 4 9 2" xfId="31374" xr:uid="{00000000-0005-0000-0000-0000FCAB0000}"/>
    <cellStyle name="Normal 6 4 9 2 2" xfId="31375" xr:uid="{00000000-0005-0000-0000-0000FDAB0000}"/>
    <cellStyle name="Normal 6 4 9 2 2 2" xfId="31376" xr:uid="{00000000-0005-0000-0000-0000FEAB0000}"/>
    <cellStyle name="Normal 6 4 9 2 2 2 2" xfId="58678" xr:uid="{00000000-0005-0000-0000-0000FFAB0000}"/>
    <cellStyle name="Normal 6 4 9 2 2 2 3" xfId="58679" xr:uid="{00000000-0005-0000-0000-000000AC0000}"/>
    <cellStyle name="Normal 6 4 9 2 2 3" xfId="31377" xr:uid="{00000000-0005-0000-0000-000001AC0000}"/>
    <cellStyle name="Normal 6 4 9 2 2 3 2" xfId="58680" xr:uid="{00000000-0005-0000-0000-000002AC0000}"/>
    <cellStyle name="Normal 6 4 9 2 2 4" xfId="31378" xr:uid="{00000000-0005-0000-0000-000003AC0000}"/>
    <cellStyle name="Normal 6 4 9 2 2 5" xfId="31379" xr:uid="{00000000-0005-0000-0000-000004AC0000}"/>
    <cellStyle name="Normal 6 4 9 2 2 6" xfId="31380" xr:uid="{00000000-0005-0000-0000-000005AC0000}"/>
    <cellStyle name="Normal 6 4 9 2 3" xfId="31381" xr:uid="{00000000-0005-0000-0000-000006AC0000}"/>
    <cellStyle name="Normal 6 4 9 2 3 2" xfId="58681" xr:uid="{00000000-0005-0000-0000-000007AC0000}"/>
    <cellStyle name="Normal 6 4 9 2 3 3" xfId="58682" xr:uid="{00000000-0005-0000-0000-000008AC0000}"/>
    <cellStyle name="Normal 6 4 9 2 4" xfId="31382" xr:uid="{00000000-0005-0000-0000-000009AC0000}"/>
    <cellStyle name="Normal 6 4 9 2 4 2" xfId="58683" xr:uid="{00000000-0005-0000-0000-00000AAC0000}"/>
    <cellStyle name="Normal 6 4 9 2 5" xfId="31383" xr:uid="{00000000-0005-0000-0000-00000BAC0000}"/>
    <cellStyle name="Normal 6 4 9 2 6" xfId="31384" xr:uid="{00000000-0005-0000-0000-00000CAC0000}"/>
    <cellStyle name="Normal 6 4 9 2 7" xfId="31385" xr:uid="{00000000-0005-0000-0000-00000DAC0000}"/>
    <cellStyle name="Normal 6 4 9 3" xfId="31386" xr:uid="{00000000-0005-0000-0000-00000EAC0000}"/>
    <cellStyle name="Normal 6 4 9 3 2" xfId="31387" xr:uid="{00000000-0005-0000-0000-00000FAC0000}"/>
    <cellStyle name="Normal 6 4 9 3 2 2" xfId="58684" xr:uid="{00000000-0005-0000-0000-000010AC0000}"/>
    <cellStyle name="Normal 6 4 9 3 2 3" xfId="58685" xr:uid="{00000000-0005-0000-0000-000011AC0000}"/>
    <cellStyle name="Normal 6 4 9 3 3" xfId="31388" xr:uid="{00000000-0005-0000-0000-000012AC0000}"/>
    <cellStyle name="Normal 6 4 9 3 3 2" xfId="58686" xr:uid="{00000000-0005-0000-0000-000013AC0000}"/>
    <cellStyle name="Normal 6 4 9 3 4" xfId="31389" xr:uid="{00000000-0005-0000-0000-000014AC0000}"/>
    <cellStyle name="Normal 6 4 9 3 5" xfId="31390" xr:uid="{00000000-0005-0000-0000-000015AC0000}"/>
    <cellStyle name="Normal 6 4 9 3 6" xfId="31391" xr:uid="{00000000-0005-0000-0000-000016AC0000}"/>
    <cellStyle name="Normal 6 4 9 4" xfId="31392" xr:uid="{00000000-0005-0000-0000-000017AC0000}"/>
    <cellStyle name="Normal 6 4 9 4 2" xfId="58687" xr:uid="{00000000-0005-0000-0000-000018AC0000}"/>
    <cellStyle name="Normal 6 4 9 4 3" xfId="58688" xr:uid="{00000000-0005-0000-0000-000019AC0000}"/>
    <cellStyle name="Normal 6 4 9 5" xfId="31393" xr:uid="{00000000-0005-0000-0000-00001AAC0000}"/>
    <cellStyle name="Normal 6 4 9 5 2" xfId="58689" xr:uid="{00000000-0005-0000-0000-00001BAC0000}"/>
    <cellStyle name="Normal 6 4 9 6" xfId="31394" xr:uid="{00000000-0005-0000-0000-00001CAC0000}"/>
    <cellStyle name="Normal 6 4 9 7" xfId="31395" xr:uid="{00000000-0005-0000-0000-00001DAC0000}"/>
    <cellStyle name="Normal 6 4 9 8" xfId="31396" xr:uid="{00000000-0005-0000-0000-00001EAC0000}"/>
    <cellStyle name="Normal 6 5" xfId="31397" xr:uid="{00000000-0005-0000-0000-00001FAC0000}"/>
    <cellStyle name="Normal 6 5 10" xfId="31398" xr:uid="{00000000-0005-0000-0000-000020AC0000}"/>
    <cellStyle name="Normal 6 5 11" xfId="31399" xr:uid="{00000000-0005-0000-0000-000021AC0000}"/>
    <cellStyle name="Normal 6 5 12" xfId="31400" xr:uid="{00000000-0005-0000-0000-000022AC0000}"/>
    <cellStyle name="Normal 6 5 13" xfId="31401" xr:uid="{00000000-0005-0000-0000-000023AC0000}"/>
    <cellStyle name="Normal 6 5 14" xfId="31402" xr:uid="{00000000-0005-0000-0000-000024AC0000}"/>
    <cellStyle name="Normal 6 5 15" xfId="31403" xr:uid="{00000000-0005-0000-0000-000025AC0000}"/>
    <cellStyle name="Normal 6 5 2" xfId="31404" xr:uid="{00000000-0005-0000-0000-000026AC0000}"/>
    <cellStyle name="Normal 6 5 2 10" xfId="31405" xr:uid="{00000000-0005-0000-0000-000027AC0000}"/>
    <cellStyle name="Normal 6 5 2 11" xfId="31406" xr:uid="{00000000-0005-0000-0000-000028AC0000}"/>
    <cellStyle name="Normal 6 5 2 12" xfId="31407" xr:uid="{00000000-0005-0000-0000-000029AC0000}"/>
    <cellStyle name="Normal 6 5 2 13" xfId="31408" xr:uid="{00000000-0005-0000-0000-00002AAC0000}"/>
    <cellStyle name="Normal 6 5 2 14" xfId="31409" xr:uid="{00000000-0005-0000-0000-00002BAC0000}"/>
    <cellStyle name="Normal 6 5 2 2" xfId="31410" xr:uid="{00000000-0005-0000-0000-00002CAC0000}"/>
    <cellStyle name="Normal 6 5 2 2 2" xfId="31411" xr:uid="{00000000-0005-0000-0000-00002DAC0000}"/>
    <cellStyle name="Normal 6 5 2 2 2 2" xfId="31412" xr:uid="{00000000-0005-0000-0000-00002EAC0000}"/>
    <cellStyle name="Normal 6 5 2 2 2 2 2" xfId="31413" xr:uid="{00000000-0005-0000-0000-00002FAC0000}"/>
    <cellStyle name="Normal 6 5 2 2 2 2 2 2" xfId="58690" xr:uid="{00000000-0005-0000-0000-000030AC0000}"/>
    <cellStyle name="Normal 6 5 2 2 2 2 2 3" xfId="58691" xr:uid="{00000000-0005-0000-0000-000031AC0000}"/>
    <cellStyle name="Normal 6 5 2 2 2 2 3" xfId="31414" xr:uid="{00000000-0005-0000-0000-000032AC0000}"/>
    <cellStyle name="Normal 6 5 2 2 2 2 3 2" xfId="58692" xr:uid="{00000000-0005-0000-0000-000033AC0000}"/>
    <cellStyle name="Normal 6 5 2 2 2 2 4" xfId="31415" xr:uid="{00000000-0005-0000-0000-000034AC0000}"/>
    <cellStyle name="Normal 6 5 2 2 2 2 5" xfId="31416" xr:uid="{00000000-0005-0000-0000-000035AC0000}"/>
    <cellStyle name="Normal 6 5 2 2 2 2 6" xfId="31417" xr:uid="{00000000-0005-0000-0000-000036AC0000}"/>
    <cellStyle name="Normal 6 5 2 2 2 3" xfId="31418" xr:uid="{00000000-0005-0000-0000-000037AC0000}"/>
    <cellStyle name="Normal 6 5 2 2 2 3 2" xfId="58693" xr:uid="{00000000-0005-0000-0000-000038AC0000}"/>
    <cellStyle name="Normal 6 5 2 2 2 3 3" xfId="58694" xr:uid="{00000000-0005-0000-0000-000039AC0000}"/>
    <cellStyle name="Normal 6 5 2 2 2 4" xfId="31419" xr:uid="{00000000-0005-0000-0000-00003AAC0000}"/>
    <cellStyle name="Normal 6 5 2 2 2 4 2" xfId="58695" xr:uid="{00000000-0005-0000-0000-00003BAC0000}"/>
    <cellStyle name="Normal 6 5 2 2 2 5" xfId="31420" xr:uid="{00000000-0005-0000-0000-00003CAC0000}"/>
    <cellStyle name="Normal 6 5 2 2 2 6" xfId="31421" xr:uid="{00000000-0005-0000-0000-00003DAC0000}"/>
    <cellStyle name="Normal 6 5 2 2 2 7" xfId="31422" xr:uid="{00000000-0005-0000-0000-00003EAC0000}"/>
    <cellStyle name="Normal 6 5 2 2 3" xfId="31423" xr:uid="{00000000-0005-0000-0000-00003FAC0000}"/>
    <cellStyle name="Normal 6 5 2 2 3 2" xfId="31424" xr:uid="{00000000-0005-0000-0000-000040AC0000}"/>
    <cellStyle name="Normal 6 5 2 2 3 2 2" xfId="58696" xr:uid="{00000000-0005-0000-0000-000041AC0000}"/>
    <cellStyle name="Normal 6 5 2 2 3 2 3" xfId="58697" xr:uid="{00000000-0005-0000-0000-000042AC0000}"/>
    <cellStyle name="Normal 6 5 2 2 3 3" xfId="31425" xr:uid="{00000000-0005-0000-0000-000043AC0000}"/>
    <cellStyle name="Normal 6 5 2 2 3 3 2" xfId="58698" xr:uid="{00000000-0005-0000-0000-000044AC0000}"/>
    <cellStyle name="Normal 6 5 2 2 3 4" xfId="31426" xr:uid="{00000000-0005-0000-0000-000045AC0000}"/>
    <cellStyle name="Normal 6 5 2 2 3 5" xfId="31427" xr:uid="{00000000-0005-0000-0000-000046AC0000}"/>
    <cellStyle name="Normal 6 5 2 2 3 6" xfId="31428" xr:uid="{00000000-0005-0000-0000-000047AC0000}"/>
    <cellStyle name="Normal 6 5 2 2 4" xfId="31429" xr:uid="{00000000-0005-0000-0000-000048AC0000}"/>
    <cellStyle name="Normal 6 5 2 2 4 2" xfId="58699" xr:uid="{00000000-0005-0000-0000-000049AC0000}"/>
    <cellStyle name="Normal 6 5 2 2 4 3" xfId="58700" xr:uid="{00000000-0005-0000-0000-00004AAC0000}"/>
    <cellStyle name="Normal 6 5 2 2 5" xfId="31430" xr:uid="{00000000-0005-0000-0000-00004BAC0000}"/>
    <cellStyle name="Normal 6 5 2 2 5 2" xfId="58701" xr:uid="{00000000-0005-0000-0000-00004CAC0000}"/>
    <cellStyle name="Normal 6 5 2 2 6" xfId="31431" xr:uid="{00000000-0005-0000-0000-00004DAC0000}"/>
    <cellStyle name="Normal 6 5 2 2 7" xfId="31432" xr:uid="{00000000-0005-0000-0000-00004EAC0000}"/>
    <cellStyle name="Normal 6 5 2 2 8" xfId="31433" xr:uid="{00000000-0005-0000-0000-00004FAC0000}"/>
    <cellStyle name="Normal 6 5 2 2 9" xfId="31434" xr:uid="{00000000-0005-0000-0000-000050AC0000}"/>
    <cellStyle name="Normal 6 5 2 3" xfId="31435" xr:uid="{00000000-0005-0000-0000-000051AC0000}"/>
    <cellStyle name="Normal 6 5 2 3 2" xfId="31436" xr:uid="{00000000-0005-0000-0000-000052AC0000}"/>
    <cellStyle name="Normal 6 5 2 3 2 2" xfId="31437" xr:uid="{00000000-0005-0000-0000-000053AC0000}"/>
    <cellStyle name="Normal 6 5 2 3 2 2 2" xfId="31438" xr:uid="{00000000-0005-0000-0000-000054AC0000}"/>
    <cellStyle name="Normal 6 5 2 3 2 2 2 2" xfId="58702" xr:uid="{00000000-0005-0000-0000-000055AC0000}"/>
    <cellStyle name="Normal 6 5 2 3 2 2 2 3" xfId="58703" xr:uid="{00000000-0005-0000-0000-000056AC0000}"/>
    <cellStyle name="Normal 6 5 2 3 2 2 3" xfId="31439" xr:uid="{00000000-0005-0000-0000-000057AC0000}"/>
    <cellStyle name="Normal 6 5 2 3 2 2 3 2" xfId="58704" xr:uid="{00000000-0005-0000-0000-000058AC0000}"/>
    <cellStyle name="Normal 6 5 2 3 2 2 4" xfId="31440" xr:uid="{00000000-0005-0000-0000-000059AC0000}"/>
    <cellStyle name="Normal 6 5 2 3 2 2 5" xfId="31441" xr:uid="{00000000-0005-0000-0000-00005AAC0000}"/>
    <cellStyle name="Normal 6 5 2 3 2 2 6" xfId="31442" xr:uid="{00000000-0005-0000-0000-00005BAC0000}"/>
    <cellStyle name="Normal 6 5 2 3 2 3" xfId="31443" xr:uid="{00000000-0005-0000-0000-00005CAC0000}"/>
    <cellStyle name="Normal 6 5 2 3 2 3 2" xfId="58705" xr:uid="{00000000-0005-0000-0000-00005DAC0000}"/>
    <cellStyle name="Normal 6 5 2 3 2 3 3" xfId="58706" xr:uid="{00000000-0005-0000-0000-00005EAC0000}"/>
    <cellStyle name="Normal 6 5 2 3 2 4" xfId="31444" xr:uid="{00000000-0005-0000-0000-00005FAC0000}"/>
    <cellStyle name="Normal 6 5 2 3 2 4 2" xfId="58707" xr:uid="{00000000-0005-0000-0000-000060AC0000}"/>
    <cellStyle name="Normal 6 5 2 3 2 5" xfId="31445" xr:uid="{00000000-0005-0000-0000-000061AC0000}"/>
    <cellStyle name="Normal 6 5 2 3 2 6" xfId="31446" xr:uid="{00000000-0005-0000-0000-000062AC0000}"/>
    <cellStyle name="Normal 6 5 2 3 2 7" xfId="31447" xr:uid="{00000000-0005-0000-0000-000063AC0000}"/>
    <cellStyle name="Normal 6 5 2 3 3" xfId="31448" xr:uid="{00000000-0005-0000-0000-000064AC0000}"/>
    <cellStyle name="Normal 6 5 2 3 3 2" xfId="31449" xr:uid="{00000000-0005-0000-0000-000065AC0000}"/>
    <cellStyle name="Normal 6 5 2 3 3 2 2" xfId="58708" xr:uid="{00000000-0005-0000-0000-000066AC0000}"/>
    <cellStyle name="Normal 6 5 2 3 3 2 3" xfId="58709" xr:uid="{00000000-0005-0000-0000-000067AC0000}"/>
    <cellStyle name="Normal 6 5 2 3 3 3" xfId="31450" xr:uid="{00000000-0005-0000-0000-000068AC0000}"/>
    <cellStyle name="Normal 6 5 2 3 3 3 2" xfId="58710" xr:uid="{00000000-0005-0000-0000-000069AC0000}"/>
    <cellStyle name="Normal 6 5 2 3 3 4" xfId="31451" xr:uid="{00000000-0005-0000-0000-00006AAC0000}"/>
    <cellStyle name="Normal 6 5 2 3 3 5" xfId="31452" xr:uid="{00000000-0005-0000-0000-00006BAC0000}"/>
    <cellStyle name="Normal 6 5 2 3 3 6" xfId="31453" xr:uid="{00000000-0005-0000-0000-00006CAC0000}"/>
    <cellStyle name="Normal 6 5 2 3 4" xfId="31454" xr:uid="{00000000-0005-0000-0000-00006DAC0000}"/>
    <cellStyle name="Normal 6 5 2 3 4 2" xfId="58711" xr:uid="{00000000-0005-0000-0000-00006EAC0000}"/>
    <cellStyle name="Normal 6 5 2 3 4 3" xfId="58712" xr:uid="{00000000-0005-0000-0000-00006FAC0000}"/>
    <cellStyle name="Normal 6 5 2 3 5" xfId="31455" xr:uid="{00000000-0005-0000-0000-000070AC0000}"/>
    <cellStyle name="Normal 6 5 2 3 5 2" xfId="58713" xr:uid="{00000000-0005-0000-0000-000071AC0000}"/>
    <cellStyle name="Normal 6 5 2 3 6" xfId="31456" xr:uid="{00000000-0005-0000-0000-000072AC0000}"/>
    <cellStyle name="Normal 6 5 2 3 7" xfId="31457" xr:uid="{00000000-0005-0000-0000-000073AC0000}"/>
    <cellStyle name="Normal 6 5 2 3 8" xfId="31458" xr:uid="{00000000-0005-0000-0000-000074AC0000}"/>
    <cellStyle name="Normal 6 5 2 4" xfId="31459" xr:uid="{00000000-0005-0000-0000-000075AC0000}"/>
    <cellStyle name="Normal 6 5 2 4 2" xfId="31460" xr:uid="{00000000-0005-0000-0000-000076AC0000}"/>
    <cellStyle name="Normal 6 5 2 4 2 2" xfId="31461" xr:uid="{00000000-0005-0000-0000-000077AC0000}"/>
    <cellStyle name="Normal 6 5 2 4 2 2 2" xfId="58714" xr:uid="{00000000-0005-0000-0000-000078AC0000}"/>
    <cellStyle name="Normal 6 5 2 4 2 2 3" xfId="58715" xr:uid="{00000000-0005-0000-0000-000079AC0000}"/>
    <cellStyle name="Normal 6 5 2 4 2 3" xfId="31462" xr:uid="{00000000-0005-0000-0000-00007AAC0000}"/>
    <cellStyle name="Normal 6 5 2 4 2 3 2" xfId="58716" xr:uid="{00000000-0005-0000-0000-00007BAC0000}"/>
    <cellStyle name="Normal 6 5 2 4 2 4" xfId="31463" xr:uid="{00000000-0005-0000-0000-00007CAC0000}"/>
    <cellStyle name="Normal 6 5 2 4 2 5" xfId="31464" xr:uid="{00000000-0005-0000-0000-00007DAC0000}"/>
    <cellStyle name="Normal 6 5 2 4 2 6" xfId="31465" xr:uid="{00000000-0005-0000-0000-00007EAC0000}"/>
    <cellStyle name="Normal 6 5 2 4 3" xfId="31466" xr:uid="{00000000-0005-0000-0000-00007FAC0000}"/>
    <cellStyle name="Normal 6 5 2 4 3 2" xfId="58717" xr:uid="{00000000-0005-0000-0000-000080AC0000}"/>
    <cellStyle name="Normal 6 5 2 4 3 3" xfId="58718" xr:uid="{00000000-0005-0000-0000-000081AC0000}"/>
    <cellStyle name="Normal 6 5 2 4 4" xfId="31467" xr:uid="{00000000-0005-0000-0000-000082AC0000}"/>
    <cellStyle name="Normal 6 5 2 4 4 2" xfId="58719" xr:uid="{00000000-0005-0000-0000-000083AC0000}"/>
    <cellStyle name="Normal 6 5 2 4 5" xfId="31468" xr:uid="{00000000-0005-0000-0000-000084AC0000}"/>
    <cellStyle name="Normal 6 5 2 4 6" xfId="31469" xr:uid="{00000000-0005-0000-0000-000085AC0000}"/>
    <cellStyle name="Normal 6 5 2 4 7" xfId="31470" xr:uid="{00000000-0005-0000-0000-000086AC0000}"/>
    <cellStyle name="Normal 6 5 2 5" xfId="31471" xr:uid="{00000000-0005-0000-0000-000087AC0000}"/>
    <cellStyle name="Normal 6 5 2 5 2" xfId="31472" xr:uid="{00000000-0005-0000-0000-000088AC0000}"/>
    <cellStyle name="Normal 6 5 2 5 2 2" xfId="58720" xr:uid="{00000000-0005-0000-0000-000089AC0000}"/>
    <cellStyle name="Normal 6 5 2 5 2 3" xfId="58721" xr:uid="{00000000-0005-0000-0000-00008AAC0000}"/>
    <cellStyle name="Normal 6 5 2 5 3" xfId="31473" xr:uid="{00000000-0005-0000-0000-00008BAC0000}"/>
    <cellStyle name="Normal 6 5 2 5 3 2" xfId="58722" xr:uid="{00000000-0005-0000-0000-00008CAC0000}"/>
    <cellStyle name="Normal 6 5 2 5 4" xfId="31474" xr:uid="{00000000-0005-0000-0000-00008DAC0000}"/>
    <cellStyle name="Normal 6 5 2 5 5" xfId="31475" xr:uid="{00000000-0005-0000-0000-00008EAC0000}"/>
    <cellStyle name="Normal 6 5 2 5 6" xfId="31476" xr:uid="{00000000-0005-0000-0000-00008FAC0000}"/>
    <cellStyle name="Normal 6 5 2 6" xfId="31477" xr:uid="{00000000-0005-0000-0000-000090AC0000}"/>
    <cellStyle name="Normal 6 5 2 6 2" xfId="58723" xr:uid="{00000000-0005-0000-0000-000091AC0000}"/>
    <cellStyle name="Normal 6 5 2 6 3" xfId="58724" xr:uid="{00000000-0005-0000-0000-000092AC0000}"/>
    <cellStyle name="Normal 6 5 2 7" xfId="31478" xr:uid="{00000000-0005-0000-0000-000093AC0000}"/>
    <cellStyle name="Normal 6 5 2 7 2" xfId="58725" xr:uid="{00000000-0005-0000-0000-000094AC0000}"/>
    <cellStyle name="Normal 6 5 2 8" xfId="31479" xr:uid="{00000000-0005-0000-0000-000095AC0000}"/>
    <cellStyle name="Normal 6 5 2 8 2" xfId="58726" xr:uid="{00000000-0005-0000-0000-000096AC0000}"/>
    <cellStyle name="Normal 6 5 2 9" xfId="31480" xr:uid="{00000000-0005-0000-0000-000097AC0000}"/>
    <cellStyle name="Normal 6 5 3" xfId="31481" xr:uid="{00000000-0005-0000-0000-000098AC0000}"/>
    <cellStyle name="Normal 6 5 3 2" xfId="31482" xr:uid="{00000000-0005-0000-0000-000099AC0000}"/>
    <cellStyle name="Normal 6 5 3 2 2" xfId="31483" xr:uid="{00000000-0005-0000-0000-00009AAC0000}"/>
    <cellStyle name="Normal 6 5 3 2 2 2" xfId="31484" xr:uid="{00000000-0005-0000-0000-00009BAC0000}"/>
    <cellStyle name="Normal 6 5 3 2 2 2 2" xfId="58727" xr:uid="{00000000-0005-0000-0000-00009CAC0000}"/>
    <cellStyle name="Normal 6 5 3 2 2 2 3" xfId="58728" xr:uid="{00000000-0005-0000-0000-00009DAC0000}"/>
    <cellStyle name="Normal 6 5 3 2 2 3" xfId="31485" xr:uid="{00000000-0005-0000-0000-00009EAC0000}"/>
    <cellStyle name="Normal 6 5 3 2 2 3 2" xfId="58729" xr:uid="{00000000-0005-0000-0000-00009FAC0000}"/>
    <cellStyle name="Normal 6 5 3 2 2 4" xfId="31486" xr:uid="{00000000-0005-0000-0000-0000A0AC0000}"/>
    <cellStyle name="Normal 6 5 3 2 2 5" xfId="31487" xr:uid="{00000000-0005-0000-0000-0000A1AC0000}"/>
    <cellStyle name="Normal 6 5 3 2 2 6" xfId="31488" xr:uid="{00000000-0005-0000-0000-0000A2AC0000}"/>
    <cellStyle name="Normal 6 5 3 2 3" xfId="31489" xr:uid="{00000000-0005-0000-0000-0000A3AC0000}"/>
    <cellStyle name="Normal 6 5 3 2 3 2" xfId="58730" xr:uid="{00000000-0005-0000-0000-0000A4AC0000}"/>
    <cellStyle name="Normal 6 5 3 2 3 3" xfId="58731" xr:uid="{00000000-0005-0000-0000-0000A5AC0000}"/>
    <cellStyle name="Normal 6 5 3 2 4" xfId="31490" xr:uid="{00000000-0005-0000-0000-0000A6AC0000}"/>
    <cellStyle name="Normal 6 5 3 2 4 2" xfId="58732" xr:uid="{00000000-0005-0000-0000-0000A7AC0000}"/>
    <cellStyle name="Normal 6 5 3 2 5" xfId="31491" xr:uid="{00000000-0005-0000-0000-0000A8AC0000}"/>
    <cellStyle name="Normal 6 5 3 2 6" xfId="31492" xr:uid="{00000000-0005-0000-0000-0000A9AC0000}"/>
    <cellStyle name="Normal 6 5 3 2 7" xfId="31493" xr:uid="{00000000-0005-0000-0000-0000AAAC0000}"/>
    <cellStyle name="Normal 6 5 3 3" xfId="31494" xr:uid="{00000000-0005-0000-0000-0000ABAC0000}"/>
    <cellStyle name="Normal 6 5 3 3 2" xfId="31495" xr:uid="{00000000-0005-0000-0000-0000ACAC0000}"/>
    <cellStyle name="Normal 6 5 3 3 2 2" xfId="58733" xr:uid="{00000000-0005-0000-0000-0000ADAC0000}"/>
    <cellStyle name="Normal 6 5 3 3 2 3" xfId="58734" xr:uid="{00000000-0005-0000-0000-0000AEAC0000}"/>
    <cellStyle name="Normal 6 5 3 3 3" xfId="31496" xr:uid="{00000000-0005-0000-0000-0000AFAC0000}"/>
    <cellStyle name="Normal 6 5 3 3 3 2" xfId="58735" xr:uid="{00000000-0005-0000-0000-0000B0AC0000}"/>
    <cellStyle name="Normal 6 5 3 3 4" xfId="31497" xr:uid="{00000000-0005-0000-0000-0000B1AC0000}"/>
    <cellStyle name="Normal 6 5 3 3 5" xfId="31498" xr:uid="{00000000-0005-0000-0000-0000B2AC0000}"/>
    <cellStyle name="Normal 6 5 3 3 6" xfId="31499" xr:uid="{00000000-0005-0000-0000-0000B3AC0000}"/>
    <cellStyle name="Normal 6 5 3 4" xfId="31500" xr:uid="{00000000-0005-0000-0000-0000B4AC0000}"/>
    <cellStyle name="Normal 6 5 3 4 2" xfId="58736" xr:uid="{00000000-0005-0000-0000-0000B5AC0000}"/>
    <cellStyle name="Normal 6 5 3 4 3" xfId="58737" xr:uid="{00000000-0005-0000-0000-0000B6AC0000}"/>
    <cellStyle name="Normal 6 5 3 5" xfId="31501" xr:uid="{00000000-0005-0000-0000-0000B7AC0000}"/>
    <cellStyle name="Normal 6 5 3 5 2" xfId="58738" xr:uid="{00000000-0005-0000-0000-0000B8AC0000}"/>
    <cellStyle name="Normal 6 5 3 6" xfId="31502" xr:uid="{00000000-0005-0000-0000-0000B9AC0000}"/>
    <cellStyle name="Normal 6 5 3 7" xfId="31503" xr:uid="{00000000-0005-0000-0000-0000BAAC0000}"/>
    <cellStyle name="Normal 6 5 3 8" xfId="31504" xr:uid="{00000000-0005-0000-0000-0000BBAC0000}"/>
    <cellStyle name="Normal 6 5 3 9" xfId="31505" xr:uid="{00000000-0005-0000-0000-0000BCAC0000}"/>
    <cellStyle name="Normal 6 5 4" xfId="31506" xr:uid="{00000000-0005-0000-0000-0000BDAC0000}"/>
    <cellStyle name="Normal 6 5 4 2" xfId="31507" xr:uid="{00000000-0005-0000-0000-0000BEAC0000}"/>
    <cellStyle name="Normal 6 5 4 2 2" xfId="31508" xr:uid="{00000000-0005-0000-0000-0000BFAC0000}"/>
    <cellStyle name="Normal 6 5 4 2 2 2" xfId="31509" xr:uid="{00000000-0005-0000-0000-0000C0AC0000}"/>
    <cellStyle name="Normal 6 5 4 2 2 2 2" xfId="58739" xr:uid="{00000000-0005-0000-0000-0000C1AC0000}"/>
    <cellStyle name="Normal 6 5 4 2 2 2 3" xfId="58740" xr:uid="{00000000-0005-0000-0000-0000C2AC0000}"/>
    <cellStyle name="Normal 6 5 4 2 2 3" xfId="31510" xr:uid="{00000000-0005-0000-0000-0000C3AC0000}"/>
    <cellStyle name="Normal 6 5 4 2 2 3 2" xfId="58741" xr:uid="{00000000-0005-0000-0000-0000C4AC0000}"/>
    <cellStyle name="Normal 6 5 4 2 2 4" xfId="31511" xr:uid="{00000000-0005-0000-0000-0000C5AC0000}"/>
    <cellStyle name="Normal 6 5 4 2 2 5" xfId="31512" xr:uid="{00000000-0005-0000-0000-0000C6AC0000}"/>
    <cellStyle name="Normal 6 5 4 2 2 6" xfId="31513" xr:uid="{00000000-0005-0000-0000-0000C7AC0000}"/>
    <cellStyle name="Normal 6 5 4 2 3" xfId="31514" xr:uid="{00000000-0005-0000-0000-0000C8AC0000}"/>
    <cellStyle name="Normal 6 5 4 2 3 2" xfId="58742" xr:uid="{00000000-0005-0000-0000-0000C9AC0000}"/>
    <cellStyle name="Normal 6 5 4 2 3 3" xfId="58743" xr:uid="{00000000-0005-0000-0000-0000CAAC0000}"/>
    <cellStyle name="Normal 6 5 4 2 4" xfId="31515" xr:uid="{00000000-0005-0000-0000-0000CBAC0000}"/>
    <cellStyle name="Normal 6 5 4 2 4 2" xfId="58744" xr:uid="{00000000-0005-0000-0000-0000CCAC0000}"/>
    <cellStyle name="Normal 6 5 4 2 5" xfId="31516" xr:uid="{00000000-0005-0000-0000-0000CDAC0000}"/>
    <cellStyle name="Normal 6 5 4 2 6" xfId="31517" xr:uid="{00000000-0005-0000-0000-0000CEAC0000}"/>
    <cellStyle name="Normal 6 5 4 2 7" xfId="31518" xr:uid="{00000000-0005-0000-0000-0000CFAC0000}"/>
    <cellStyle name="Normal 6 5 4 3" xfId="31519" xr:uid="{00000000-0005-0000-0000-0000D0AC0000}"/>
    <cellStyle name="Normal 6 5 4 3 2" xfId="31520" xr:uid="{00000000-0005-0000-0000-0000D1AC0000}"/>
    <cellStyle name="Normal 6 5 4 3 2 2" xfId="58745" xr:uid="{00000000-0005-0000-0000-0000D2AC0000}"/>
    <cellStyle name="Normal 6 5 4 3 2 3" xfId="58746" xr:uid="{00000000-0005-0000-0000-0000D3AC0000}"/>
    <cellStyle name="Normal 6 5 4 3 3" xfId="31521" xr:uid="{00000000-0005-0000-0000-0000D4AC0000}"/>
    <cellStyle name="Normal 6 5 4 3 3 2" xfId="58747" xr:uid="{00000000-0005-0000-0000-0000D5AC0000}"/>
    <cellStyle name="Normal 6 5 4 3 4" xfId="31522" xr:uid="{00000000-0005-0000-0000-0000D6AC0000}"/>
    <cellStyle name="Normal 6 5 4 3 5" xfId="31523" xr:uid="{00000000-0005-0000-0000-0000D7AC0000}"/>
    <cellStyle name="Normal 6 5 4 3 6" xfId="31524" xr:uid="{00000000-0005-0000-0000-0000D8AC0000}"/>
    <cellStyle name="Normal 6 5 4 4" xfId="31525" xr:uid="{00000000-0005-0000-0000-0000D9AC0000}"/>
    <cellStyle name="Normal 6 5 4 4 2" xfId="58748" xr:uid="{00000000-0005-0000-0000-0000DAAC0000}"/>
    <cellStyle name="Normal 6 5 4 4 3" xfId="58749" xr:uid="{00000000-0005-0000-0000-0000DBAC0000}"/>
    <cellStyle name="Normal 6 5 4 5" xfId="31526" xr:uid="{00000000-0005-0000-0000-0000DCAC0000}"/>
    <cellStyle name="Normal 6 5 4 5 2" xfId="58750" xr:uid="{00000000-0005-0000-0000-0000DDAC0000}"/>
    <cellStyle name="Normal 6 5 4 6" xfId="31527" xr:uid="{00000000-0005-0000-0000-0000DEAC0000}"/>
    <cellStyle name="Normal 6 5 4 7" xfId="31528" xr:uid="{00000000-0005-0000-0000-0000DFAC0000}"/>
    <cellStyle name="Normal 6 5 4 8" xfId="31529" xr:uid="{00000000-0005-0000-0000-0000E0AC0000}"/>
    <cellStyle name="Normal 6 5 5" xfId="31530" xr:uid="{00000000-0005-0000-0000-0000E1AC0000}"/>
    <cellStyle name="Normal 6 5 5 2" xfId="31531" xr:uid="{00000000-0005-0000-0000-0000E2AC0000}"/>
    <cellStyle name="Normal 6 5 5 2 2" xfId="31532" xr:uid="{00000000-0005-0000-0000-0000E3AC0000}"/>
    <cellStyle name="Normal 6 5 5 2 2 2" xfId="58751" xr:uid="{00000000-0005-0000-0000-0000E4AC0000}"/>
    <cellStyle name="Normal 6 5 5 2 2 3" xfId="58752" xr:uid="{00000000-0005-0000-0000-0000E5AC0000}"/>
    <cellStyle name="Normal 6 5 5 2 3" xfId="31533" xr:uid="{00000000-0005-0000-0000-0000E6AC0000}"/>
    <cellStyle name="Normal 6 5 5 2 3 2" xfId="58753" xr:uid="{00000000-0005-0000-0000-0000E7AC0000}"/>
    <cellStyle name="Normal 6 5 5 2 4" xfId="31534" xr:uid="{00000000-0005-0000-0000-0000E8AC0000}"/>
    <cellStyle name="Normal 6 5 5 2 5" xfId="31535" xr:uid="{00000000-0005-0000-0000-0000E9AC0000}"/>
    <cellStyle name="Normal 6 5 5 2 6" xfId="31536" xr:uid="{00000000-0005-0000-0000-0000EAAC0000}"/>
    <cellStyle name="Normal 6 5 5 3" xfId="31537" xr:uid="{00000000-0005-0000-0000-0000EBAC0000}"/>
    <cellStyle name="Normal 6 5 5 3 2" xfId="58754" xr:uid="{00000000-0005-0000-0000-0000ECAC0000}"/>
    <cellStyle name="Normal 6 5 5 3 3" xfId="58755" xr:uid="{00000000-0005-0000-0000-0000EDAC0000}"/>
    <cellStyle name="Normal 6 5 5 4" xfId="31538" xr:uid="{00000000-0005-0000-0000-0000EEAC0000}"/>
    <cellStyle name="Normal 6 5 5 4 2" xfId="58756" xr:uid="{00000000-0005-0000-0000-0000EFAC0000}"/>
    <cellStyle name="Normal 6 5 5 5" xfId="31539" xr:uid="{00000000-0005-0000-0000-0000F0AC0000}"/>
    <cellStyle name="Normal 6 5 5 6" xfId="31540" xr:uid="{00000000-0005-0000-0000-0000F1AC0000}"/>
    <cellStyle name="Normal 6 5 5 7" xfId="31541" xr:uid="{00000000-0005-0000-0000-0000F2AC0000}"/>
    <cellStyle name="Normal 6 5 6" xfId="31542" xr:uid="{00000000-0005-0000-0000-0000F3AC0000}"/>
    <cellStyle name="Normal 6 5 6 2" xfId="31543" xr:uid="{00000000-0005-0000-0000-0000F4AC0000}"/>
    <cellStyle name="Normal 6 5 6 2 2" xfId="58757" xr:uid="{00000000-0005-0000-0000-0000F5AC0000}"/>
    <cellStyle name="Normal 6 5 6 2 3" xfId="58758" xr:uid="{00000000-0005-0000-0000-0000F6AC0000}"/>
    <cellStyle name="Normal 6 5 6 3" xfId="31544" xr:uid="{00000000-0005-0000-0000-0000F7AC0000}"/>
    <cellStyle name="Normal 6 5 6 3 2" xfId="58759" xr:uid="{00000000-0005-0000-0000-0000F8AC0000}"/>
    <cellStyle name="Normal 6 5 6 4" xfId="31545" xr:uid="{00000000-0005-0000-0000-0000F9AC0000}"/>
    <cellStyle name="Normal 6 5 6 5" xfId="31546" xr:uid="{00000000-0005-0000-0000-0000FAAC0000}"/>
    <cellStyle name="Normal 6 5 6 6" xfId="31547" xr:uid="{00000000-0005-0000-0000-0000FBAC0000}"/>
    <cellStyle name="Normal 6 5 7" xfId="31548" xr:uid="{00000000-0005-0000-0000-0000FCAC0000}"/>
    <cellStyle name="Normal 6 5 7 2" xfId="58760" xr:uid="{00000000-0005-0000-0000-0000FDAC0000}"/>
    <cellStyle name="Normal 6 5 7 3" xfId="58761" xr:uid="{00000000-0005-0000-0000-0000FEAC0000}"/>
    <cellStyle name="Normal 6 5 8" xfId="31549" xr:uid="{00000000-0005-0000-0000-0000FFAC0000}"/>
    <cellStyle name="Normal 6 5 8 2" xfId="58762" xr:uid="{00000000-0005-0000-0000-000000AD0000}"/>
    <cellStyle name="Normal 6 5 9" xfId="31550" xr:uid="{00000000-0005-0000-0000-000001AD0000}"/>
    <cellStyle name="Normal 6 5 9 2" xfId="58763" xr:uid="{00000000-0005-0000-0000-000002AD0000}"/>
    <cellStyle name="Normal 6 6" xfId="31551" xr:uid="{00000000-0005-0000-0000-000003AD0000}"/>
    <cellStyle name="Normal 6 6 10" xfId="31552" xr:uid="{00000000-0005-0000-0000-000004AD0000}"/>
    <cellStyle name="Normal 6 6 11" xfId="31553" xr:uid="{00000000-0005-0000-0000-000005AD0000}"/>
    <cellStyle name="Normal 6 6 12" xfId="31554" xr:uid="{00000000-0005-0000-0000-000006AD0000}"/>
    <cellStyle name="Normal 6 6 13" xfId="31555" xr:uid="{00000000-0005-0000-0000-000007AD0000}"/>
    <cellStyle name="Normal 6 6 14" xfId="31556" xr:uid="{00000000-0005-0000-0000-000008AD0000}"/>
    <cellStyle name="Normal 6 6 15" xfId="31557" xr:uid="{00000000-0005-0000-0000-000009AD0000}"/>
    <cellStyle name="Normal 6 6 2" xfId="31558" xr:uid="{00000000-0005-0000-0000-00000AAD0000}"/>
    <cellStyle name="Normal 6 6 2 10" xfId="31559" xr:uid="{00000000-0005-0000-0000-00000BAD0000}"/>
    <cellStyle name="Normal 6 6 2 11" xfId="31560" xr:uid="{00000000-0005-0000-0000-00000CAD0000}"/>
    <cellStyle name="Normal 6 6 2 12" xfId="31561" xr:uid="{00000000-0005-0000-0000-00000DAD0000}"/>
    <cellStyle name="Normal 6 6 2 13" xfId="31562" xr:uid="{00000000-0005-0000-0000-00000EAD0000}"/>
    <cellStyle name="Normal 6 6 2 14" xfId="31563" xr:uid="{00000000-0005-0000-0000-00000FAD0000}"/>
    <cellStyle name="Normal 6 6 2 2" xfId="31564" xr:uid="{00000000-0005-0000-0000-000010AD0000}"/>
    <cellStyle name="Normal 6 6 2 2 2" xfId="31565" xr:uid="{00000000-0005-0000-0000-000011AD0000}"/>
    <cellStyle name="Normal 6 6 2 2 2 2" xfId="31566" xr:uid="{00000000-0005-0000-0000-000012AD0000}"/>
    <cellStyle name="Normal 6 6 2 2 2 2 2" xfId="31567" xr:uid="{00000000-0005-0000-0000-000013AD0000}"/>
    <cellStyle name="Normal 6 6 2 2 2 2 2 2" xfId="58764" xr:uid="{00000000-0005-0000-0000-000014AD0000}"/>
    <cellStyle name="Normal 6 6 2 2 2 2 2 3" xfId="58765" xr:uid="{00000000-0005-0000-0000-000015AD0000}"/>
    <cellStyle name="Normal 6 6 2 2 2 2 3" xfId="31568" xr:uid="{00000000-0005-0000-0000-000016AD0000}"/>
    <cellStyle name="Normal 6 6 2 2 2 2 3 2" xfId="58766" xr:uid="{00000000-0005-0000-0000-000017AD0000}"/>
    <cellStyle name="Normal 6 6 2 2 2 2 4" xfId="31569" xr:uid="{00000000-0005-0000-0000-000018AD0000}"/>
    <cellStyle name="Normal 6 6 2 2 2 2 5" xfId="31570" xr:uid="{00000000-0005-0000-0000-000019AD0000}"/>
    <cellStyle name="Normal 6 6 2 2 2 2 6" xfId="31571" xr:uid="{00000000-0005-0000-0000-00001AAD0000}"/>
    <cellStyle name="Normal 6 6 2 2 2 3" xfId="31572" xr:uid="{00000000-0005-0000-0000-00001BAD0000}"/>
    <cellStyle name="Normal 6 6 2 2 2 3 2" xfId="58767" xr:uid="{00000000-0005-0000-0000-00001CAD0000}"/>
    <cellStyle name="Normal 6 6 2 2 2 3 3" xfId="58768" xr:uid="{00000000-0005-0000-0000-00001DAD0000}"/>
    <cellStyle name="Normal 6 6 2 2 2 4" xfId="31573" xr:uid="{00000000-0005-0000-0000-00001EAD0000}"/>
    <cellStyle name="Normal 6 6 2 2 2 4 2" xfId="58769" xr:uid="{00000000-0005-0000-0000-00001FAD0000}"/>
    <cellStyle name="Normal 6 6 2 2 2 5" xfId="31574" xr:uid="{00000000-0005-0000-0000-000020AD0000}"/>
    <cellStyle name="Normal 6 6 2 2 2 6" xfId="31575" xr:uid="{00000000-0005-0000-0000-000021AD0000}"/>
    <cellStyle name="Normal 6 6 2 2 2 7" xfId="31576" xr:uid="{00000000-0005-0000-0000-000022AD0000}"/>
    <cellStyle name="Normal 6 6 2 2 3" xfId="31577" xr:uid="{00000000-0005-0000-0000-000023AD0000}"/>
    <cellStyle name="Normal 6 6 2 2 3 2" xfId="31578" xr:uid="{00000000-0005-0000-0000-000024AD0000}"/>
    <cellStyle name="Normal 6 6 2 2 3 2 2" xfId="58770" xr:uid="{00000000-0005-0000-0000-000025AD0000}"/>
    <cellStyle name="Normal 6 6 2 2 3 2 3" xfId="58771" xr:uid="{00000000-0005-0000-0000-000026AD0000}"/>
    <cellStyle name="Normal 6 6 2 2 3 3" xfId="31579" xr:uid="{00000000-0005-0000-0000-000027AD0000}"/>
    <cellStyle name="Normal 6 6 2 2 3 3 2" xfId="58772" xr:uid="{00000000-0005-0000-0000-000028AD0000}"/>
    <cellStyle name="Normal 6 6 2 2 3 4" xfId="31580" xr:uid="{00000000-0005-0000-0000-000029AD0000}"/>
    <cellStyle name="Normal 6 6 2 2 3 5" xfId="31581" xr:uid="{00000000-0005-0000-0000-00002AAD0000}"/>
    <cellStyle name="Normal 6 6 2 2 3 6" xfId="31582" xr:uid="{00000000-0005-0000-0000-00002BAD0000}"/>
    <cellStyle name="Normal 6 6 2 2 4" xfId="31583" xr:uid="{00000000-0005-0000-0000-00002CAD0000}"/>
    <cellStyle name="Normal 6 6 2 2 4 2" xfId="58773" xr:uid="{00000000-0005-0000-0000-00002DAD0000}"/>
    <cellStyle name="Normal 6 6 2 2 4 3" xfId="58774" xr:uid="{00000000-0005-0000-0000-00002EAD0000}"/>
    <cellStyle name="Normal 6 6 2 2 5" xfId="31584" xr:uid="{00000000-0005-0000-0000-00002FAD0000}"/>
    <cellStyle name="Normal 6 6 2 2 5 2" xfId="58775" xr:uid="{00000000-0005-0000-0000-000030AD0000}"/>
    <cellStyle name="Normal 6 6 2 2 6" xfId="31585" xr:uid="{00000000-0005-0000-0000-000031AD0000}"/>
    <cellStyle name="Normal 6 6 2 2 7" xfId="31586" xr:uid="{00000000-0005-0000-0000-000032AD0000}"/>
    <cellStyle name="Normal 6 6 2 2 8" xfId="31587" xr:uid="{00000000-0005-0000-0000-000033AD0000}"/>
    <cellStyle name="Normal 6 6 2 2 9" xfId="31588" xr:uid="{00000000-0005-0000-0000-000034AD0000}"/>
    <cellStyle name="Normal 6 6 2 3" xfId="31589" xr:uid="{00000000-0005-0000-0000-000035AD0000}"/>
    <cellStyle name="Normal 6 6 2 3 2" xfId="31590" xr:uid="{00000000-0005-0000-0000-000036AD0000}"/>
    <cellStyle name="Normal 6 6 2 3 2 2" xfId="31591" xr:uid="{00000000-0005-0000-0000-000037AD0000}"/>
    <cellStyle name="Normal 6 6 2 3 2 2 2" xfId="31592" xr:uid="{00000000-0005-0000-0000-000038AD0000}"/>
    <cellStyle name="Normal 6 6 2 3 2 2 2 2" xfId="58776" xr:uid="{00000000-0005-0000-0000-000039AD0000}"/>
    <cellStyle name="Normal 6 6 2 3 2 2 2 3" xfId="58777" xr:uid="{00000000-0005-0000-0000-00003AAD0000}"/>
    <cellStyle name="Normal 6 6 2 3 2 2 3" xfId="31593" xr:uid="{00000000-0005-0000-0000-00003BAD0000}"/>
    <cellStyle name="Normal 6 6 2 3 2 2 3 2" xfId="58778" xr:uid="{00000000-0005-0000-0000-00003CAD0000}"/>
    <cellStyle name="Normal 6 6 2 3 2 2 4" xfId="31594" xr:uid="{00000000-0005-0000-0000-00003DAD0000}"/>
    <cellStyle name="Normal 6 6 2 3 2 2 5" xfId="31595" xr:uid="{00000000-0005-0000-0000-00003EAD0000}"/>
    <cellStyle name="Normal 6 6 2 3 2 2 6" xfId="31596" xr:uid="{00000000-0005-0000-0000-00003FAD0000}"/>
    <cellStyle name="Normal 6 6 2 3 2 3" xfId="31597" xr:uid="{00000000-0005-0000-0000-000040AD0000}"/>
    <cellStyle name="Normal 6 6 2 3 2 3 2" xfId="58779" xr:uid="{00000000-0005-0000-0000-000041AD0000}"/>
    <cellStyle name="Normal 6 6 2 3 2 3 3" xfId="58780" xr:uid="{00000000-0005-0000-0000-000042AD0000}"/>
    <cellStyle name="Normal 6 6 2 3 2 4" xfId="31598" xr:uid="{00000000-0005-0000-0000-000043AD0000}"/>
    <cellStyle name="Normal 6 6 2 3 2 4 2" xfId="58781" xr:uid="{00000000-0005-0000-0000-000044AD0000}"/>
    <cellStyle name="Normal 6 6 2 3 2 5" xfId="31599" xr:uid="{00000000-0005-0000-0000-000045AD0000}"/>
    <cellStyle name="Normal 6 6 2 3 2 6" xfId="31600" xr:uid="{00000000-0005-0000-0000-000046AD0000}"/>
    <cellStyle name="Normal 6 6 2 3 2 7" xfId="31601" xr:uid="{00000000-0005-0000-0000-000047AD0000}"/>
    <cellStyle name="Normal 6 6 2 3 3" xfId="31602" xr:uid="{00000000-0005-0000-0000-000048AD0000}"/>
    <cellStyle name="Normal 6 6 2 3 3 2" xfId="31603" xr:uid="{00000000-0005-0000-0000-000049AD0000}"/>
    <cellStyle name="Normal 6 6 2 3 3 2 2" xfId="58782" xr:uid="{00000000-0005-0000-0000-00004AAD0000}"/>
    <cellStyle name="Normal 6 6 2 3 3 2 3" xfId="58783" xr:uid="{00000000-0005-0000-0000-00004BAD0000}"/>
    <cellStyle name="Normal 6 6 2 3 3 3" xfId="31604" xr:uid="{00000000-0005-0000-0000-00004CAD0000}"/>
    <cellStyle name="Normal 6 6 2 3 3 3 2" xfId="58784" xr:uid="{00000000-0005-0000-0000-00004DAD0000}"/>
    <cellStyle name="Normal 6 6 2 3 3 4" xfId="31605" xr:uid="{00000000-0005-0000-0000-00004EAD0000}"/>
    <cellStyle name="Normal 6 6 2 3 3 5" xfId="31606" xr:uid="{00000000-0005-0000-0000-00004FAD0000}"/>
    <cellStyle name="Normal 6 6 2 3 3 6" xfId="31607" xr:uid="{00000000-0005-0000-0000-000050AD0000}"/>
    <cellStyle name="Normal 6 6 2 3 4" xfId="31608" xr:uid="{00000000-0005-0000-0000-000051AD0000}"/>
    <cellStyle name="Normal 6 6 2 3 4 2" xfId="58785" xr:uid="{00000000-0005-0000-0000-000052AD0000}"/>
    <cellStyle name="Normal 6 6 2 3 4 3" xfId="58786" xr:uid="{00000000-0005-0000-0000-000053AD0000}"/>
    <cellStyle name="Normal 6 6 2 3 5" xfId="31609" xr:uid="{00000000-0005-0000-0000-000054AD0000}"/>
    <cellStyle name="Normal 6 6 2 3 5 2" xfId="58787" xr:uid="{00000000-0005-0000-0000-000055AD0000}"/>
    <cellStyle name="Normal 6 6 2 3 6" xfId="31610" xr:uid="{00000000-0005-0000-0000-000056AD0000}"/>
    <cellStyle name="Normal 6 6 2 3 7" xfId="31611" xr:uid="{00000000-0005-0000-0000-000057AD0000}"/>
    <cellStyle name="Normal 6 6 2 3 8" xfId="31612" xr:uid="{00000000-0005-0000-0000-000058AD0000}"/>
    <cellStyle name="Normal 6 6 2 4" xfId="31613" xr:uid="{00000000-0005-0000-0000-000059AD0000}"/>
    <cellStyle name="Normal 6 6 2 4 2" xfId="31614" xr:uid="{00000000-0005-0000-0000-00005AAD0000}"/>
    <cellStyle name="Normal 6 6 2 4 2 2" xfId="31615" xr:uid="{00000000-0005-0000-0000-00005BAD0000}"/>
    <cellStyle name="Normal 6 6 2 4 2 2 2" xfId="58788" xr:uid="{00000000-0005-0000-0000-00005CAD0000}"/>
    <cellStyle name="Normal 6 6 2 4 2 2 3" xfId="58789" xr:uid="{00000000-0005-0000-0000-00005DAD0000}"/>
    <cellStyle name="Normal 6 6 2 4 2 3" xfId="31616" xr:uid="{00000000-0005-0000-0000-00005EAD0000}"/>
    <cellStyle name="Normal 6 6 2 4 2 3 2" xfId="58790" xr:uid="{00000000-0005-0000-0000-00005FAD0000}"/>
    <cellStyle name="Normal 6 6 2 4 2 4" xfId="31617" xr:uid="{00000000-0005-0000-0000-000060AD0000}"/>
    <cellStyle name="Normal 6 6 2 4 2 5" xfId="31618" xr:uid="{00000000-0005-0000-0000-000061AD0000}"/>
    <cellStyle name="Normal 6 6 2 4 2 6" xfId="31619" xr:uid="{00000000-0005-0000-0000-000062AD0000}"/>
    <cellStyle name="Normal 6 6 2 4 3" xfId="31620" xr:uid="{00000000-0005-0000-0000-000063AD0000}"/>
    <cellStyle name="Normal 6 6 2 4 3 2" xfId="58791" xr:uid="{00000000-0005-0000-0000-000064AD0000}"/>
    <cellStyle name="Normal 6 6 2 4 3 3" xfId="58792" xr:uid="{00000000-0005-0000-0000-000065AD0000}"/>
    <cellStyle name="Normal 6 6 2 4 4" xfId="31621" xr:uid="{00000000-0005-0000-0000-000066AD0000}"/>
    <cellStyle name="Normal 6 6 2 4 4 2" xfId="58793" xr:uid="{00000000-0005-0000-0000-000067AD0000}"/>
    <cellStyle name="Normal 6 6 2 4 5" xfId="31622" xr:uid="{00000000-0005-0000-0000-000068AD0000}"/>
    <cellStyle name="Normal 6 6 2 4 6" xfId="31623" xr:uid="{00000000-0005-0000-0000-000069AD0000}"/>
    <cellStyle name="Normal 6 6 2 4 7" xfId="31624" xr:uid="{00000000-0005-0000-0000-00006AAD0000}"/>
    <cellStyle name="Normal 6 6 2 5" xfId="31625" xr:uid="{00000000-0005-0000-0000-00006BAD0000}"/>
    <cellStyle name="Normal 6 6 2 5 2" xfId="31626" xr:uid="{00000000-0005-0000-0000-00006CAD0000}"/>
    <cellStyle name="Normal 6 6 2 5 2 2" xfId="58794" xr:uid="{00000000-0005-0000-0000-00006DAD0000}"/>
    <cellStyle name="Normal 6 6 2 5 2 3" xfId="58795" xr:uid="{00000000-0005-0000-0000-00006EAD0000}"/>
    <cellStyle name="Normal 6 6 2 5 3" xfId="31627" xr:uid="{00000000-0005-0000-0000-00006FAD0000}"/>
    <cellStyle name="Normal 6 6 2 5 3 2" xfId="58796" xr:uid="{00000000-0005-0000-0000-000070AD0000}"/>
    <cellStyle name="Normal 6 6 2 5 4" xfId="31628" xr:uid="{00000000-0005-0000-0000-000071AD0000}"/>
    <cellStyle name="Normal 6 6 2 5 5" xfId="31629" xr:uid="{00000000-0005-0000-0000-000072AD0000}"/>
    <cellStyle name="Normal 6 6 2 5 6" xfId="31630" xr:uid="{00000000-0005-0000-0000-000073AD0000}"/>
    <cellStyle name="Normal 6 6 2 6" xfId="31631" xr:uid="{00000000-0005-0000-0000-000074AD0000}"/>
    <cellStyle name="Normal 6 6 2 6 2" xfId="58797" xr:uid="{00000000-0005-0000-0000-000075AD0000}"/>
    <cellStyle name="Normal 6 6 2 6 3" xfId="58798" xr:uid="{00000000-0005-0000-0000-000076AD0000}"/>
    <cellStyle name="Normal 6 6 2 7" xfId="31632" xr:uid="{00000000-0005-0000-0000-000077AD0000}"/>
    <cellStyle name="Normal 6 6 2 7 2" xfId="58799" xr:uid="{00000000-0005-0000-0000-000078AD0000}"/>
    <cellStyle name="Normal 6 6 2 8" xfId="31633" xr:uid="{00000000-0005-0000-0000-000079AD0000}"/>
    <cellStyle name="Normal 6 6 2 9" xfId="31634" xr:uid="{00000000-0005-0000-0000-00007AAD0000}"/>
    <cellStyle name="Normal 6 6 3" xfId="31635" xr:uid="{00000000-0005-0000-0000-00007BAD0000}"/>
    <cellStyle name="Normal 6 6 3 2" xfId="31636" xr:uid="{00000000-0005-0000-0000-00007CAD0000}"/>
    <cellStyle name="Normal 6 6 3 2 2" xfId="31637" xr:uid="{00000000-0005-0000-0000-00007DAD0000}"/>
    <cellStyle name="Normal 6 6 3 2 2 2" xfId="31638" xr:uid="{00000000-0005-0000-0000-00007EAD0000}"/>
    <cellStyle name="Normal 6 6 3 2 2 2 2" xfId="58800" xr:uid="{00000000-0005-0000-0000-00007FAD0000}"/>
    <cellStyle name="Normal 6 6 3 2 2 2 3" xfId="58801" xr:uid="{00000000-0005-0000-0000-000080AD0000}"/>
    <cellStyle name="Normal 6 6 3 2 2 3" xfId="31639" xr:uid="{00000000-0005-0000-0000-000081AD0000}"/>
    <cellStyle name="Normal 6 6 3 2 2 3 2" xfId="58802" xr:uid="{00000000-0005-0000-0000-000082AD0000}"/>
    <cellStyle name="Normal 6 6 3 2 2 4" xfId="31640" xr:uid="{00000000-0005-0000-0000-000083AD0000}"/>
    <cellStyle name="Normal 6 6 3 2 2 5" xfId="31641" xr:uid="{00000000-0005-0000-0000-000084AD0000}"/>
    <cellStyle name="Normal 6 6 3 2 2 6" xfId="31642" xr:uid="{00000000-0005-0000-0000-000085AD0000}"/>
    <cellStyle name="Normal 6 6 3 2 3" xfId="31643" xr:uid="{00000000-0005-0000-0000-000086AD0000}"/>
    <cellStyle name="Normal 6 6 3 2 3 2" xfId="58803" xr:uid="{00000000-0005-0000-0000-000087AD0000}"/>
    <cellStyle name="Normal 6 6 3 2 3 3" xfId="58804" xr:uid="{00000000-0005-0000-0000-000088AD0000}"/>
    <cellStyle name="Normal 6 6 3 2 4" xfId="31644" xr:uid="{00000000-0005-0000-0000-000089AD0000}"/>
    <cellStyle name="Normal 6 6 3 2 4 2" xfId="58805" xr:uid="{00000000-0005-0000-0000-00008AAD0000}"/>
    <cellStyle name="Normal 6 6 3 2 5" xfId="31645" xr:uid="{00000000-0005-0000-0000-00008BAD0000}"/>
    <cellStyle name="Normal 6 6 3 2 6" xfId="31646" xr:uid="{00000000-0005-0000-0000-00008CAD0000}"/>
    <cellStyle name="Normal 6 6 3 2 7" xfId="31647" xr:uid="{00000000-0005-0000-0000-00008DAD0000}"/>
    <cellStyle name="Normal 6 6 3 3" xfId="31648" xr:uid="{00000000-0005-0000-0000-00008EAD0000}"/>
    <cellStyle name="Normal 6 6 3 3 2" xfId="31649" xr:uid="{00000000-0005-0000-0000-00008FAD0000}"/>
    <cellStyle name="Normal 6 6 3 3 2 2" xfId="58806" xr:uid="{00000000-0005-0000-0000-000090AD0000}"/>
    <cellStyle name="Normal 6 6 3 3 2 3" xfId="58807" xr:uid="{00000000-0005-0000-0000-000091AD0000}"/>
    <cellStyle name="Normal 6 6 3 3 3" xfId="31650" xr:uid="{00000000-0005-0000-0000-000092AD0000}"/>
    <cellStyle name="Normal 6 6 3 3 3 2" xfId="58808" xr:uid="{00000000-0005-0000-0000-000093AD0000}"/>
    <cellStyle name="Normal 6 6 3 3 4" xfId="31651" xr:uid="{00000000-0005-0000-0000-000094AD0000}"/>
    <cellStyle name="Normal 6 6 3 3 5" xfId="31652" xr:uid="{00000000-0005-0000-0000-000095AD0000}"/>
    <cellStyle name="Normal 6 6 3 3 6" xfId="31653" xr:uid="{00000000-0005-0000-0000-000096AD0000}"/>
    <cellStyle name="Normal 6 6 3 4" xfId="31654" xr:uid="{00000000-0005-0000-0000-000097AD0000}"/>
    <cellStyle name="Normal 6 6 3 4 2" xfId="58809" xr:uid="{00000000-0005-0000-0000-000098AD0000}"/>
    <cellStyle name="Normal 6 6 3 4 3" xfId="58810" xr:uid="{00000000-0005-0000-0000-000099AD0000}"/>
    <cellStyle name="Normal 6 6 3 5" xfId="31655" xr:uid="{00000000-0005-0000-0000-00009AAD0000}"/>
    <cellStyle name="Normal 6 6 3 5 2" xfId="58811" xr:uid="{00000000-0005-0000-0000-00009BAD0000}"/>
    <cellStyle name="Normal 6 6 3 6" xfId="31656" xr:uid="{00000000-0005-0000-0000-00009CAD0000}"/>
    <cellStyle name="Normal 6 6 3 7" xfId="31657" xr:uid="{00000000-0005-0000-0000-00009DAD0000}"/>
    <cellStyle name="Normal 6 6 3 8" xfId="31658" xr:uid="{00000000-0005-0000-0000-00009EAD0000}"/>
    <cellStyle name="Normal 6 6 3 9" xfId="31659" xr:uid="{00000000-0005-0000-0000-00009FAD0000}"/>
    <cellStyle name="Normal 6 6 4" xfId="31660" xr:uid="{00000000-0005-0000-0000-0000A0AD0000}"/>
    <cellStyle name="Normal 6 6 4 2" xfId="31661" xr:uid="{00000000-0005-0000-0000-0000A1AD0000}"/>
    <cellStyle name="Normal 6 6 4 2 2" xfId="31662" xr:uid="{00000000-0005-0000-0000-0000A2AD0000}"/>
    <cellStyle name="Normal 6 6 4 2 2 2" xfId="31663" xr:uid="{00000000-0005-0000-0000-0000A3AD0000}"/>
    <cellStyle name="Normal 6 6 4 2 2 2 2" xfId="58812" xr:uid="{00000000-0005-0000-0000-0000A4AD0000}"/>
    <cellStyle name="Normal 6 6 4 2 2 2 3" xfId="58813" xr:uid="{00000000-0005-0000-0000-0000A5AD0000}"/>
    <cellStyle name="Normal 6 6 4 2 2 3" xfId="31664" xr:uid="{00000000-0005-0000-0000-0000A6AD0000}"/>
    <cellStyle name="Normal 6 6 4 2 2 3 2" xfId="58814" xr:uid="{00000000-0005-0000-0000-0000A7AD0000}"/>
    <cellStyle name="Normal 6 6 4 2 2 4" xfId="31665" xr:uid="{00000000-0005-0000-0000-0000A8AD0000}"/>
    <cellStyle name="Normal 6 6 4 2 2 5" xfId="31666" xr:uid="{00000000-0005-0000-0000-0000A9AD0000}"/>
    <cellStyle name="Normal 6 6 4 2 2 6" xfId="31667" xr:uid="{00000000-0005-0000-0000-0000AAAD0000}"/>
    <cellStyle name="Normal 6 6 4 2 3" xfId="31668" xr:uid="{00000000-0005-0000-0000-0000ABAD0000}"/>
    <cellStyle name="Normal 6 6 4 2 3 2" xfId="58815" xr:uid="{00000000-0005-0000-0000-0000ACAD0000}"/>
    <cellStyle name="Normal 6 6 4 2 3 3" xfId="58816" xr:uid="{00000000-0005-0000-0000-0000ADAD0000}"/>
    <cellStyle name="Normal 6 6 4 2 4" xfId="31669" xr:uid="{00000000-0005-0000-0000-0000AEAD0000}"/>
    <cellStyle name="Normal 6 6 4 2 4 2" xfId="58817" xr:uid="{00000000-0005-0000-0000-0000AFAD0000}"/>
    <cellStyle name="Normal 6 6 4 2 5" xfId="31670" xr:uid="{00000000-0005-0000-0000-0000B0AD0000}"/>
    <cellStyle name="Normal 6 6 4 2 6" xfId="31671" xr:uid="{00000000-0005-0000-0000-0000B1AD0000}"/>
    <cellStyle name="Normal 6 6 4 2 7" xfId="31672" xr:uid="{00000000-0005-0000-0000-0000B2AD0000}"/>
    <cellStyle name="Normal 6 6 4 3" xfId="31673" xr:uid="{00000000-0005-0000-0000-0000B3AD0000}"/>
    <cellStyle name="Normal 6 6 4 3 2" xfId="31674" xr:uid="{00000000-0005-0000-0000-0000B4AD0000}"/>
    <cellStyle name="Normal 6 6 4 3 2 2" xfId="58818" xr:uid="{00000000-0005-0000-0000-0000B5AD0000}"/>
    <cellStyle name="Normal 6 6 4 3 2 3" xfId="58819" xr:uid="{00000000-0005-0000-0000-0000B6AD0000}"/>
    <cellStyle name="Normal 6 6 4 3 3" xfId="31675" xr:uid="{00000000-0005-0000-0000-0000B7AD0000}"/>
    <cellStyle name="Normal 6 6 4 3 3 2" xfId="58820" xr:uid="{00000000-0005-0000-0000-0000B8AD0000}"/>
    <cellStyle name="Normal 6 6 4 3 4" xfId="31676" xr:uid="{00000000-0005-0000-0000-0000B9AD0000}"/>
    <cellStyle name="Normal 6 6 4 3 5" xfId="31677" xr:uid="{00000000-0005-0000-0000-0000BAAD0000}"/>
    <cellStyle name="Normal 6 6 4 3 6" xfId="31678" xr:uid="{00000000-0005-0000-0000-0000BBAD0000}"/>
    <cellStyle name="Normal 6 6 4 4" xfId="31679" xr:uid="{00000000-0005-0000-0000-0000BCAD0000}"/>
    <cellStyle name="Normal 6 6 4 4 2" xfId="58821" xr:uid="{00000000-0005-0000-0000-0000BDAD0000}"/>
    <cellStyle name="Normal 6 6 4 4 3" xfId="58822" xr:uid="{00000000-0005-0000-0000-0000BEAD0000}"/>
    <cellStyle name="Normal 6 6 4 5" xfId="31680" xr:uid="{00000000-0005-0000-0000-0000BFAD0000}"/>
    <cellStyle name="Normal 6 6 4 5 2" xfId="58823" xr:uid="{00000000-0005-0000-0000-0000C0AD0000}"/>
    <cellStyle name="Normal 6 6 4 6" xfId="31681" xr:uid="{00000000-0005-0000-0000-0000C1AD0000}"/>
    <cellStyle name="Normal 6 6 4 7" xfId="31682" xr:uid="{00000000-0005-0000-0000-0000C2AD0000}"/>
    <cellStyle name="Normal 6 6 4 8" xfId="31683" xr:uid="{00000000-0005-0000-0000-0000C3AD0000}"/>
    <cellStyle name="Normal 6 6 5" xfId="31684" xr:uid="{00000000-0005-0000-0000-0000C4AD0000}"/>
    <cellStyle name="Normal 6 6 5 2" xfId="31685" xr:uid="{00000000-0005-0000-0000-0000C5AD0000}"/>
    <cellStyle name="Normal 6 6 5 2 2" xfId="31686" xr:uid="{00000000-0005-0000-0000-0000C6AD0000}"/>
    <cellStyle name="Normal 6 6 5 2 2 2" xfId="58824" xr:uid="{00000000-0005-0000-0000-0000C7AD0000}"/>
    <cellStyle name="Normal 6 6 5 2 2 3" xfId="58825" xr:uid="{00000000-0005-0000-0000-0000C8AD0000}"/>
    <cellStyle name="Normal 6 6 5 2 3" xfId="31687" xr:uid="{00000000-0005-0000-0000-0000C9AD0000}"/>
    <cellStyle name="Normal 6 6 5 2 3 2" xfId="58826" xr:uid="{00000000-0005-0000-0000-0000CAAD0000}"/>
    <cellStyle name="Normal 6 6 5 2 4" xfId="31688" xr:uid="{00000000-0005-0000-0000-0000CBAD0000}"/>
    <cellStyle name="Normal 6 6 5 2 5" xfId="31689" xr:uid="{00000000-0005-0000-0000-0000CCAD0000}"/>
    <cellStyle name="Normal 6 6 5 2 6" xfId="31690" xr:uid="{00000000-0005-0000-0000-0000CDAD0000}"/>
    <cellStyle name="Normal 6 6 5 3" xfId="31691" xr:uid="{00000000-0005-0000-0000-0000CEAD0000}"/>
    <cellStyle name="Normal 6 6 5 3 2" xfId="58827" xr:uid="{00000000-0005-0000-0000-0000CFAD0000}"/>
    <cellStyle name="Normal 6 6 5 3 3" xfId="58828" xr:uid="{00000000-0005-0000-0000-0000D0AD0000}"/>
    <cellStyle name="Normal 6 6 5 4" xfId="31692" xr:uid="{00000000-0005-0000-0000-0000D1AD0000}"/>
    <cellStyle name="Normal 6 6 5 4 2" xfId="58829" xr:uid="{00000000-0005-0000-0000-0000D2AD0000}"/>
    <cellStyle name="Normal 6 6 5 5" xfId="31693" xr:uid="{00000000-0005-0000-0000-0000D3AD0000}"/>
    <cellStyle name="Normal 6 6 5 6" xfId="31694" xr:uid="{00000000-0005-0000-0000-0000D4AD0000}"/>
    <cellStyle name="Normal 6 6 5 7" xfId="31695" xr:uid="{00000000-0005-0000-0000-0000D5AD0000}"/>
    <cellStyle name="Normal 6 6 6" xfId="31696" xr:uid="{00000000-0005-0000-0000-0000D6AD0000}"/>
    <cellStyle name="Normal 6 6 6 2" xfId="31697" xr:uid="{00000000-0005-0000-0000-0000D7AD0000}"/>
    <cellStyle name="Normal 6 6 6 2 2" xfId="58830" xr:uid="{00000000-0005-0000-0000-0000D8AD0000}"/>
    <cellStyle name="Normal 6 6 6 2 3" xfId="58831" xr:uid="{00000000-0005-0000-0000-0000D9AD0000}"/>
    <cellStyle name="Normal 6 6 6 3" xfId="31698" xr:uid="{00000000-0005-0000-0000-0000DAAD0000}"/>
    <cellStyle name="Normal 6 6 6 3 2" xfId="58832" xr:uid="{00000000-0005-0000-0000-0000DBAD0000}"/>
    <cellStyle name="Normal 6 6 6 4" xfId="31699" xr:uid="{00000000-0005-0000-0000-0000DCAD0000}"/>
    <cellStyle name="Normal 6 6 6 5" xfId="31700" xr:uid="{00000000-0005-0000-0000-0000DDAD0000}"/>
    <cellStyle name="Normal 6 6 6 6" xfId="31701" xr:uid="{00000000-0005-0000-0000-0000DEAD0000}"/>
    <cellStyle name="Normal 6 6 7" xfId="31702" xr:uid="{00000000-0005-0000-0000-0000DFAD0000}"/>
    <cellStyle name="Normal 6 6 7 2" xfId="58833" xr:uid="{00000000-0005-0000-0000-0000E0AD0000}"/>
    <cellStyle name="Normal 6 6 7 3" xfId="58834" xr:uid="{00000000-0005-0000-0000-0000E1AD0000}"/>
    <cellStyle name="Normal 6 6 8" xfId="31703" xr:uid="{00000000-0005-0000-0000-0000E2AD0000}"/>
    <cellStyle name="Normal 6 6 8 2" xfId="58835" xr:uid="{00000000-0005-0000-0000-0000E3AD0000}"/>
    <cellStyle name="Normal 6 6 9" xfId="31704" xr:uid="{00000000-0005-0000-0000-0000E4AD0000}"/>
    <cellStyle name="Normal 6 6 9 2" xfId="58836" xr:uid="{00000000-0005-0000-0000-0000E5AD0000}"/>
    <cellStyle name="Normal 6 7" xfId="31705" xr:uid="{00000000-0005-0000-0000-0000E6AD0000}"/>
    <cellStyle name="Normal 6 7 10" xfId="31706" xr:uid="{00000000-0005-0000-0000-0000E7AD0000}"/>
    <cellStyle name="Normal 6 7 11" xfId="31707" xr:uid="{00000000-0005-0000-0000-0000E8AD0000}"/>
    <cellStyle name="Normal 6 7 12" xfId="31708" xr:uid="{00000000-0005-0000-0000-0000E9AD0000}"/>
    <cellStyle name="Normal 6 7 13" xfId="31709" xr:uid="{00000000-0005-0000-0000-0000EAAD0000}"/>
    <cellStyle name="Normal 6 7 14" xfId="31710" xr:uid="{00000000-0005-0000-0000-0000EBAD0000}"/>
    <cellStyle name="Normal 6 7 15" xfId="31711" xr:uid="{00000000-0005-0000-0000-0000ECAD0000}"/>
    <cellStyle name="Normal 6 7 2" xfId="31712" xr:uid="{00000000-0005-0000-0000-0000EDAD0000}"/>
    <cellStyle name="Normal 6 7 2 2" xfId="31713" xr:uid="{00000000-0005-0000-0000-0000EEAD0000}"/>
    <cellStyle name="Normal 6 7 2 2 2" xfId="31714" xr:uid="{00000000-0005-0000-0000-0000EFAD0000}"/>
    <cellStyle name="Normal 6 7 2 2 2 2" xfId="31715" xr:uid="{00000000-0005-0000-0000-0000F0AD0000}"/>
    <cellStyle name="Normal 6 7 2 2 2 2 2" xfId="58837" xr:uid="{00000000-0005-0000-0000-0000F1AD0000}"/>
    <cellStyle name="Normal 6 7 2 2 2 2 3" xfId="58838" xr:uid="{00000000-0005-0000-0000-0000F2AD0000}"/>
    <cellStyle name="Normal 6 7 2 2 2 3" xfId="31716" xr:uid="{00000000-0005-0000-0000-0000F3AD0000}"/>
    <cellStyle name="Normal 6 7 2 2 2 3 2" xfId="58839" xr:uid="{00000000-0005-0000-0000-0000F4AD0000}"/>
    <cellStyle name="Normal 6 7 2 2 2 4" xfId="31717" xr:uid="{00000000-0005-0000-0000-0000F5AD0000}"/>
    <cellStyle name="Normal 6 7 2 2 2 5" xfId="31718" xr:uid="{00000000-0005-0000-0000-0000F6AD0000}"/>
    <cellStyle name="Normal 6 7 2 2 2 6" xfId="31719" xr:uid="{00000000-0005-0000-0000-0000F7AD0000}"/>
    <cellStyle name="Normal 6 7 2 2 3" xfId="31720" xr:uid="{00000000-0005-0000-0000-0000F8AD0000}"/>
    <cellStyle name="Normal 6 7 2 2 3 2" xfId="58840" xr:uid="{00000000-0005-0000-0000-0000F9AD0000}"/>
    <cellStyle name="Normal 6 7 2 2 3 3" xfId="58841" xr:uid="{00000000-0005-0000-0000-0000FAAD0000}"/>
    <cellStyle name="Normal 6 7 2 2 4" xfId="31721" xr:uid="{00000000-0005-0000-0000-0000FBAD0000}"/>
    <cellStyle name="Normal 6 7 2 2 4 2" xfId="58842" xr:uid="{00000000-0005-0000-0000-0000FCAD0000}"/>
    <cellStyle name="Normal 6 7 2 2 5" xfId="31722" xr:uid="{00000000-0005-0000-0000-0000FDAD0000}"/>
    <cellStyle name="Normal 6 7 2 2 6" xfId="31723" xr:uid="{00000000-0005-0000-0000-0000FEAD0000}"/>
    <cellStyle name="Normal 6 7 2 2 7" xfId="31724" xr:uid="{00000000-0005-0000-0000-0000FFAD0000}"/>
    <cellStyle name="Normal 6 7 2 3" xfId="31725" xr:uid="{00000000-0005-0000-0000-000000AE0000}"/>
    <cellStyle name="Normal 6 7 2 3 2" xfId="31726" xr:uid="{00000000-0005-0000-0000-000001AE0000}"/>
    <cellStyle name="Normal 6 7 2 3 2 2" xfId="58843" xr:uid="{00000000-0005-0000-0000-000002AE0000}"/>
    <cellStyle name="Normal 6 7 2 3 2 3" xfId="58844" xr:uid="{00000000-0005-0000-0000-000003AE0000}"/>
    <cellStyle name="Normal 6 7 2 3 3" xfId="31727" xr:uid="{00000000-0005-0000-0000-000004AE0000}"/>
    <cellStyle name="Normal 6 7 2 3 3 2" xfId="58845" xr:uid="{00000000-0005-0000-0000-000005AE0000}"/>
    <cellStyle name="Normal 6 7 2 3 4" xfId="31728" xr:uid="{00000000-0005-0000-0000-000006AE0000}"/>
    <cellStyle name="Normal 6 7 2 3 5" xfId="31729" xr:uid="{00000000-0005-0000-0000-000007AE0000}"/>
    <cellStyle name="Normal 6 7 2 3 6" xfId="31730" xr:uid="{00000000-0005-0000-0000-000008AE0000}"/>
    <cellStyle name="Normal 6 7 2 4" xfId="31731" xr:uid="{00000000-0005-0000-0000-000009AE0000}"/>
    <cellStyle name="Normal 6 7 2 4 2" xfId="58846" xr:uid="{00000000-0005-0000-0000-00000AAE0000}"/>
    <cellStyle name="Normal 6 7 2 4 3" xfId="58847" xr:uid="{00000000-0005-0000-0000-00000BAE0000}"/>
    <cellStyle name="Normal 6 7 2 5" xfId="31732" xr:uid="{00000000-0005-0000-0000-00000CAE0000}"/>
    <cellStyle name="Normal 6 7 2 5 2" xfId="58848" xr:uid="{00000000-0005-0000-0000-00000DAE0000}"/>
    <cellStyle name="Normal 6 7 2 6" xfId="31733" xr:uid="{00000000-0005-0000-0000-00000EAE0000}"/>
    <cellStyle name="Normal 6 7 2 7" xfId="31734" xr:uid="{00000000-0005-0000-0000-00000FAE0000}"/>
    <cellStyle name="Normal 6 7 2 8" xfId="31735" xr:uid="{00000000-0005-0000-0000-000010AE0000}"/>
    <cellStyle name="Normal 6 7 2 9" xfId="31736" xr:uid="{00000000-0005-0000-0000-000011AE0000}"/>
    <cellStyle name="Normal 6 7 3" xfId="31737" xr:uid="{00000000-0005-0000-0000-000012AE0000}"/>
    <cellStyle name="Normal 6 7 3 2" xfId="31738" xr:uid="{00000000-0005-0000-0000-000013AE0000}"/>
    <cellStyle name="Normal 6 7 3 2 2" xfId="31739" xr:uid="{00000000-0005-0000-0000-000014AE0000}"/>
    <cellStyle name="Normal 6 7 3 2 2 2" xfId="31740" xr:uid="{00000000-0005-0000-0000-000015AE0000}"/>
    <cellStyle name="Normal 6 7 3 2 2 2 2" xfId="58849" xr:uid="{00000000-0005-0000-0000-000016AE0000}"/>
    <cellStyle name="Normal 6 7 3 2 2 2 3" xfId="58850" xr:uid="{00000000-0005-0000-0000-000017AE0000}"/>
    <cellStyle name="Normal 6 7 3 2 2 3" xfId="31741" xr:uid="{00000000-0005-0000-0000-000018AE0000}"/>
    <cellStyle name="Normal 6 7 3 2 2 3 2" xfId="58851" xr:uid="{00000000-0005-0000-0000-000019AE0000}"/>
    <cellStyle name="Normal 6 7 3 2 2 4" xfId="31742" xr:uid="{00000000-0005-0000-0000-00001AAE0000}"/>
    <cellStyle name="Normal 6 7 3 2 2 5" xfId="31743" xr:uid="{00000000-0005-0000-0000-00001BAE0000}"/>
    <cellStyle name="Normal 6 7 3 2 2 6" xfId="31744" xr:uid="{00000000-0005-0000-0000-00001CAE0000}"/>
    <cellStyle name="Normal 6 7 3 2 3" xfId="31745" xr:uid="{00000000-0005-0000-0000-00001DAE0000}"/>
    <cellStyle name="Normal 6 7 3 2 3 2" xfId="58852" xr:uid="{00000000-0005-0000-0000-00001EAE0000}"/>
    <cellStyle name="Normal 6 7 3 2 3 3" xfId="58853" xr:uid="{00000000-0005-0000-0000-00001FAE0000}"/>
    <cellStyle name="Normal 6 7 3 2 4" xfId="31746" xr:uid="{00000000-0005-0000-0000-000020AE0000}"/>
    <cellStyle name="Normal 6 7 3 2 4 2" xfId="58854" xr:uid="{00000000-0005-0000-0000-000021AE0000}"/>
    <cellStyle name="Normal 6 7 3 2 5" xfId="31747" xr:uid="{00000000-0005-0000-0000-000022AE0000}"/>
    <cellStyle name="Normal 6 7 3 2 6" xfId="31748" xr:uid="{00000000-0005-0000-0000-000023AE0000}"/>
    <cellStyle name="Normal 6 7 3 2 7" xfId="31749" xr:uid="{00000000-0005-0000-0000-000024AE0000}"/>
    <cellStyle name="Normal 6 7 3 3" xfId="31750" xr:uid="{00000000-0005-0000-0000-000025AE0000}"/>
    <cellStyle name="Normal 6 7 3 3 2" xfId="31751" xr:uid="{00000000-0005-0000-0000-000026AE0000}"/>
    <cellStyle name="Normal 6 7 3 3 2 2" xfId="58855" xr:uid="{00000000-0005-0000-0000-000027AE0000}"/>
    <cellStyle name="Normal 6 7 3 3 2 3" xfId="58856" xr:uid="{00000000-0005-0000-0000-000028AE0000}"/>
    <cellStyle name="Normal 6 7 3 3 3" xfId="31752" xr:uid="{00000000-0005-0000-0000-000029AE0000}"/>
    <cellStyle name="Normal 6 7 3 3 3 2" xfId="58857" xr:uid="{00000000-0005-0000-0000-00002AAE0000}"/>
    <cellStyle name="Normal 6 7 3 3 4" xfId="31753" xr:uid="{00000000-0005-0000-0000-00002BAE0000}"/>
    <cellStyle name="Normal 6 7 3 3 5" xfId="31754" xr:uid="{00000000-0005-0000-0000-00002CAE0000}"/>
    <cellStyle name="Normal 6 7 3 3 6" xfId="31755" xr:uid="{00000000-0005-0000-0000-00002DAE0000}"/>
    <cellStyle name="Normal 6 7 3 4" xfId="31756" xr:uid="{00000000-0005-0000-0000-00002EAE0000}"/>
    <cellStyle name="Normal 6 7 3 4 2" xfId="58858" xr:uid="{00000000-0005-0000-0000-00002FAE0000}"/>
    <cellStyle name="Normal 6 7 3 4 3" xfId="58859" xr:uid="{00000000-0005-0000-0000-000030AE0000}"/>
    <cellStyle name="Normal 6 7 3 5" xfId="31757" xr:uid="{00000000-0005-0000-0000-000031AE0000}"/>
    <cellStyle name="Normal 6 7 3 5 2" xfId="58860" xr:uid="{00000000-0005-0000-0000-000032AE0000}"/>
    <cellStyle name="Normal 6 7 3 6" xfId="31758" xr:uid="{00000000-0005-0000-0000-000033AE0000}"/>
    <cellStyle name="Normal 6 7 3 7" xfId="31759" xr:uid="{00000000-0005-0000-0000-000034AE0000}"/>
    <cellStyle name="Normal 6 7 3 8" xfId="31760" xr:uid="{00000000-0005-0000-0000-000035AE0000}"/>
    <cellStyle name="Normal 6 7 4" xfId="31761" xr:uid="{00000000-0005-0000-0000-000036AE0000}"/>
    <cellStyle name="Normal 6 7 4 2" xfId="31762" xr:uid="{00000000-0005-0000-0000-000037AE0000}"/>
    <cellStyle name="Normal 6 7 4 2 2" xfId="31763" xr:uid="{00000000-0005-0000-0000-000038AE0000}"/>
    <cellStyle name="Normal 6 7 4 2 2 2" xfId="58861" xr:uid="{00000000-0005-0000-0000-000039AE0000}"/>
    <cellStyle name="Normal 6 7 4 2 2 3" xfId="58862" xr:uid="{00000000-0005-0000-0000-00003AAE0000}"/>
    <cellStyle name="Normal 6 7 4 2 3" xfId="31764" xr:uid="{00000000-0005-0000-0000-00003BAE0000}"/>
    <cellStyle name="Normal 6 7 4 2 3 2" xfId="58863" xr:uid="{00000000-0005-0000-0000-00003CAE0000}"/>
    <cellStyle name="Normal 6 7 4 2 4" xfId="31765" xr:uid="{00000000-0005-0000-0000-00003DAE0000}"/>
    <cellStyle name="Normal 6 7 4 2 5" xfId="31766" xr:uid="{00000000-0005-0000-0000-00003EAE0000}"/>
    <cellStyle name="Normal 6 7 4 2 6" xfId="31767" xr:uid="{00000000-0005-0000-0000-00003FAE0000}"/>
    <cellStyle name="Normal 6 7 4 3" xfId="31768" xr:uid="{00000000-0005-0000-0000-000040AE0000}"/>
    <cellStyle name="Normal 6 7 4 3 2" xfId="58864" xr:uid="{00000000-0005-0000-0000-000041AE0000}"/>
    <cellStyle name="Normal 6 7 4 3 3" xfId="58865" xr:uid="{00000000-0005-0000-0000-000042AE0000}"/>
    <cellStyle name="Normal 6 7 4 4" xfId="31769" xr:uid="{00000000-0005-0000-0000-000043AE0000}"/>
    <cellStyle name="Normal 6 7 4 4 2" xfId="58866" xr:uid="{00000000-0005-0000-0000-000044AE0000}"/>
    <cellStyle name="Normal 6 7 4 5" xfId="31770" xr:uid="{00000000-0005-0000-0000-000045AE0000}"/>
    <cellStyle name="Normal 6 7 4 6" xfId="31771" xr:uid="{00000000-0005-0000-0000-000046AE0000}"/>
    <cellStyle name="Normal 6 7 4 7" xfId="31772" xr:uid="{00000000-0005-0000-0000-000047AE0000}"/>
    <cellStyle name="Normal 6 7 5" xfId="31773" xr:uid="{00000000-0005-0000-0000-000048AE0000}"/>
    <cellStyle name="Normal 6 7 5 2" xfId="31774" xr:uid="{00000000-0005-0000-0000-000049AE0000}"/>
    <cellStyle name="Normal 6 7 5 2 2" xfId="58867" xr:uid="{00000000-0005-0000-0000-00004AAE0000}"/>
    <cellStyle name="Normal 6 7 5 2 3" xfId="58868" xr:uid="{00000000-0005-0000-0000-00004BAE0000}"/>
    <cellStyle name="Normal 6 7 5 3" xfId="31775" xr:uid="{00000000-0005-0000-0000-00004CAE0000}"/>
    <cellStyle name="Normal 6 7 5 3 2" xfId="58869" xr:uid="{00000000-0005-0000-0000-00004DAE0000}"/>
    <cellStyle name="Normal 6 7 5 4" xfId="31776" xr:uid="{00000000-0005-0000-0000-00004EAE0000}"/>
    <cellStyle name="Normal 6 7 5 5" xfId="31777" xr:uid="{00000000-0005-0000-0000-00004FAE0000}"/>
    <cellStyle name="Normal 6 7 5 6" xfId="31778" xr:uid="{00000000-0005-0000-0000-000050AE0000}"/>
    <cellStyle name="Normal 6 7 6" xfId="31779" xr:uid="{00000000-0005-0000-0000-000051AE0000}"/>
    <cellStyle name="Normal 6 7 6 2" xfId="58870" xr:uid="{00000000-0005-0000-0000-000052AE0000}"/>
    <cellStyle name="Normal 6 7 7" xfId="31780" xr:uid="{00000000-0005-0000-0000-000053AE0000}"/>
    <cellStyle name="Normal 6 7 8" xfId="31781" xr:uid="{00000000-0005-0000-0000-000054AE0000}"/>
    <cellStyle name="Normal 6 7 9" xfId="31782" xr:uid="{00000000-0005-0000-0000-000055AE0000}"/>
    <cellStyle name="Normal 6 8" xfId="31783" xr:uid="{00000000-0005-0000-0000-000056AE0000}"/>
    <cellStyle name="Normal 6 8 10" xfId="31784" xr:uid="{00000000-0005-0000-0000-000057AE0000}"/>
    <cellStyle name="Normal 6 8 11" xfId="31785" xr:uid="{00000000-0005-0000-0000-000058AE0000}"/>
    <cellStyle name="Normal 6 8 12" xfId="31786" xr:uid="{00000000-0005-0000-0000-000059AE0000}"/>
    <cellStyle name="Normal 6 8 13" xfId="31787" xr:uid="{00000000-0005-0000-0000-00005AAE0000}"/>
    <cellStyle name="Normal 6 8 14" xfId="31788" xr:uid="{00000000-0005-0000-0000-00005BAE0000}"/>
    <cellStyle name="Normal 6 8 2" xfId="31789" xr:uid="{00000000-0005-0000-0000-00005CAE0000}"/>
    <cellStyle name="Normal 6 8 2 2" xfId="31790" xr:uid="{00000000-0005-0000-0000-00005DAE0000}"/>
    <cellStyle name="Normal 6 8 2 2 2" xfId="31791" xr:uid="{00000000-0005-0000-0000-00005EAE0000}"/>
    <cellStyle name="Normal 6 8 2 2 2 2" xfId="31792" xr:uid="{00000000-0005-0000-0000-00005FAE0000}"/>
    <cellStyle name="Normal 6 8 2 2 2 2 2" xfId="58871" xr:uid="{00000000-0005-0000-0000-000060AE0000}"/>
    <cellStyle name="Normal 6 8 2 2 2 2 3" xfId="58872" xr:uid="{00000000-0005-0000-0000-000061AE0000}"/>
    <cellStyle name="Normal 6 8 2 2 2 3" xfId="31793" xr:uid="{00000000-0005-0000-0000-000062AE0000}"/>
    <cellStyle name="Normal 6 8 2 2 2 3 2" xfId="58873" xr:uid="{00000000-0005-0000-0000-000063AE0000}"/>
    <cellStyle name="Normal 6 8 2 2 2 4" xfId="31794" xr:uid="{00000000-0005-0000-0000-000064AE0000}"/>
    <cellStyle name="Normal 6 8 2 2 2 5" xfId="31795" xr:uid="{00000000-0005-0000-0000-000065AE0000}"/>
    <cellStyle name="Normal 6 8 2 2 2 6" xfId="31796" xr:uid="{00000000-0005-0000-0000-000066AE0000}"/>
    <cellStyle name="Normal 6 8 2 2 3" xfId="31797" xr:uid="{00000000-0005-0000-0000-000067AE0000}"/>
    <cellStyle name="Normal 6 8 2 2 3 2" xfId="58874" xr:uid="{00000000-0005-0000-0000-000068AE0000}"/>
    <cellStyle name="Normal 6 8 2 2 3 3" xfId="58875" xr:uid="{00000000-0005-0000-0000-000069AE0000}"/>
    <cellStyle name="Normal 6 8 2 2 4" xfId="31798" xr:uid="{00000000-0005-0000-0000-00006AAE0000}"/>
    <cellStyle name="Normal 6 8 2 2 4 2" xfId="58876" xr:uid="{00000000-0005-0000-0000-00006BAE0000}"/>
    <cellStyle name="Normal 6 8 2 2 5" xfId="31799" xr:uid="{00000000-0005-0000-0000-00006CAE0000}"/>
    <cellStyle name="Normal 6 8 2 2 6" xfId="31800" xr:uid="{00000000-0005-0000-0000-00006DAE0000}"/>
    <cellStyle name="Normal 6 8 2 2 7" xfId="31801" xr:uid="{00000000-0005-0000-0000-00006EAE0000}"/>
    <cellStyle name="Normal 6 8 2 3" xfId="31802" xr:uid="{00000000-0005-0000-0000-00006FAE0000}"/>
    <cellStyle name="Normal 6 8 2 3 2" xfId="31803" xr:uid="{00000000-0005-0000-0000-000070AE0000}"/>
    <cellStyle name="Normal 6 8 2 3 2 2" xfId="58877" xr:uid="{00000000-0005-0000-0000-000071AE0000}"/>
    <cellStyle name="Normal 6 8 2 3 2 3" xfId="58878" xr:uid="{00000000-0005-0000-0000-000072AE0000}"/>
    <cellStyle name="Normal 6 8 2 3 3" xfId="31804" xr:uid="{00000000-0005-0000-0000-000073AE0000}"/>
    <cellStyle name="Normal 6 8 2 3 3 2" xfId="58879" xr:uid="{00000000-0005-0000-0000-000074AE0000}"/>
    <cellStyle name="Normal 6 8 2 3 4" xfId="31805" xr:uid="{00000000-0005-0000-0000-000075AE0000}"/>
    <cellStyle name="Normal 6 8 2 3 5" xfId="31806" xr:uid="{00000000-0005-0000-0000-000076AE0000}"/>
    <cellStyle name="Normal 6 8 2 3 6" xfId="31807" xr:uid="{00000000-0005-0000-0000-000077AE0000}"/>
    <cellStyle name="Normal 6 8 2 4" xfId="31808" xr:uid="{00000000-0005-0000-0000-000078AE0000}"/>
    <cellStyle name="Normal 6 8 2 4 2" xfId="58880" xr:uid="{00000000-0005-0000-0000-000079AE0000}"/>
    <cellStyle name="Normal 6 8 2 4 3" xfId="58881" xr:uid="{00000000-0005-0000-0000-00007AAE0000}"/>
    <cellStyle name="Normal 6 8 2 5" xfId="31809" xr:uid="{00000000-0005-0000-0000-00007BAE0000}"/>
    <cellStyle name="Normal 6 8 2 5 2" xfId="58882" xr:uid="{00000000-0005-0000-0000-00007CAE0000}"/>
    <cellStyle name="Normal 6 8 2 6" xfId="31810" xr:uid="{00000000-0005-0000-0000-00007DAE0000}"/>
    <cellStyle name="Normal 6 8 2 7" xfId="31811" xr:uid="{00000000-0005-0000-0000-00007EAE0000}"/>
    <cellStyle name="Normal 6 8 2 8" xfId="31812" xr:uid="{00000000-0005-0000-0000-00007FAE0000}"/>
    <cellStyle name="Normal 6 8 2 9" xfId="31813" xr:uid="{00000000-0005-0000-0000-000080AE0000}"/>
    <cellStyle name="Normal 6 8 3" xfId="31814" xr:uid="{00000000-0005-0000-0000-000081AE0000}"/>
    <cellStyle name="Normal 6 8 3 2" xfId="31815" xr:uid="{00000000-0005-0000-0000-000082AE0000}"/>
    <cellStyle name="Normal 6 8 3 2 2" xfId="31816" xr:uid="{00000000-0005-0000-0000-000083AE0000}"/>
    <cellStyle name="Normal 6 8 3 2 2 2" xfId="31817" xr:uid="{00000000-0005-0000-0000-000084AE0000}"/>
    <cellStyle name="Normal 6 8 3 2 2 2 2" xfId="58883" xr:uid="{00000000-0005-0000-0000-000085AE0000}"/>
    <cellStyle name="Normal 6 8 3 2 2 2 3" xfId="58884" xr:uid="{00000000-0005-0000-0000-000086AE0000}"/>
    <cellStyle name="Normal 6 8 3 2 2 3" xfId="31818" xr:uid="{00000000-0005-0000-0000-000087AE0000}"/>
    <cellStyle name="Normal 6 8 3 2 2 3 2" xfId="58885" xr:uid="{00000000-0005-0000-0000-000088AE0000}"/>
    <cellStyle name="Normal 6 8 3 2 2 4" xfId="31819" xr:uid="{00000000-0005-0000-0000-000089AE0000}"/>
    <cellStyle name="Normal 6 8 3 2 2 5" xfId="31820" xr:uid="{00000000-0005-0000-0000-00008AAE0000}"/>
    <cellStyle name="Normal 6 8 3 2 2 6" xfId="31821" xr:uid="{00000000-0005-0000-0000-00008BAE0000}"/>
    <cellStyle name="Normal 6 8 3 2 3" xfId="31822" xr:uid="{00000000-0005-0000-0000-00008CAE0000}"/>
    <cellStyle name="Normal 6 8 3 2 3 2" xfId="58886" xr:uid="{00000000-0005-0000-0000-00008DAE0000}"/>
    <cellStyle name="Normal 6 8 3 2 3 3" xfId="58887" xr:uid="{00000000-0005-0000-0000-00008EAE0000}"/>
    <cellStyle name="Normal 6 8 3 2 4" xfId="31823" xr:uid="{00000000-0005-0000-0000-00008FAE0000}"/>
    <cellStyle name="Normal 6 8 3 2 4 2" xfId="58888" xr:uid="{00000000-0005-0000-0000-000090AE0000}"/>
    <cellStyle name="Normal 6 8 3 2 5" xfId="31824" xr:uid="{00000000-0005-0000-0000-000091AE0000}"/>
    <cellStyle name="Normal 6 8 3 2 6" xfId="31825" xr:uid="{00000000-0005-0000-0000-000092AE0000}"/>
    <cellStyle name="Normal 6 8 3 2 7" xfId="31826" xr:uid="{00000000-0005-0000-0000-000093AE0000}"/>
    <cellStyle name="Normal 6 8 3 3" xfId="31827" xr:uid="{00000000-0005-0000-0000-000094AE0000}"/>
    <cellStyle name="Normal 6 8 3 3 2" xfId="31828" xr:uid="{00000000-0005-0000-0000-000095AE0000}"/>
    <cellStyle name="Normal 6 8 3 3 2 2" xfId="58889" xr:uid="{00000000-0005-0000-0000-000096AE0000}"/>
    <cellStyle name="Normal 6 8 3 3 2 3" xfId="58890" xr:uid="{00000000-0005-0000-0000-000097AE0000}"/>
    <cellStyle name="Normal 6 8 3 3 3" xfId="31829" xr:uid="{00000000-0005-0000-0000-000098AE0000}"/>
    <cellStyle name="Normal 6 8 3 3 3 2" xfId="58891" xr:uid="{00000000-0005-0000-0000-000099AE0000}"/>
    <cellStyle name="Normal 6 8 3 3 4" xfId="31830" xr:uid="{00000000-0005-0000-0000-00009AAE0000}"/>
    <cellStyle name="Normal 6 8 3 3 5" xfId="31831" xr:uid="{00000000-0005-0000-0000-00009BAE0000}"/>
    <cellStyle name="Normal 6 8 3 3 6" xfId="31832" xr:uid="{00000000-0005-0000-0000-00009CAE0000}"/>
    <cellStyle name="Normal 6 8 3 4" xfId="31833" xr:uid="{00000000-0005-0000-0000-00009DAE0000}"/>
    <cellStyle name="Normal 6 8 3 4 2" xfId="58892" xr:uid="{00000000-0005-0000-0000-00009EAE0000}"/>
    <cellStyle name="Normal 6 8 3 4 3" xfId="58893" xr:uid="{00000000-0005-0000-0000-00009FAE0000}"/>
    <cellStyle name="Normal 6 8 3 5" xfId="31834" xr:uid="{00000000-0005-0000-0000-0000A0AE0000}"/>
    <cellStyle name="Normal 6 8 3 5 2" xfId="58894" xr:uid="{00000000-0005-0000-0000-0000A1AE0000}"/>
    <cellStyle name="Normal 6 8 3 6" xfId="31835" xr:uid="{00000000-0005-0000-0000-0000A2AE0000}"/>
    <cellStyle name="Normal 6 8 3 7" xfId="31836" xr:uid="{00000000-0005-0000-0000-0000A3AE0000}"/>
    <cellStyle name="Normal 6 8 3 8" xfId="31837" xr:uid="{00000000-0005-0000-0000-0000A4AE0000}"/>
    <cellStyle name="Normal 6 8 4" xfId="31838" xr:uid="{00000000-0005-0000-0000-0000A5AE0000}"/>
    <cellStyle name="Normal 6 8 4 2" xfId="31839" xr:uid="{00000000-0005-0000-0000-0000A6AE0000}"/>
    <cellStyle name="Normal 6 8 4 2 2" xfId="31840" xr:uid="{00000000-0005-0000-0000-0000A7AE0000}"/>
    <cellStyle name="Normal 6 8 4 2 2 2" xfId="58895" xr:uid="{00000000-0005-0000-0000-0000A8AE0000}"/>
    <cellStyle name="Normal 6 8 4 2 2 3" xfId="58896" xr:uid="{00000000-0005-0000-0000-0000A9AE0000}"/>
    <cellStyle name="Normal 6 8 4 2 3" xfId="31841" xr:uid="{00000000-0005-0000-0000-0000AAAE0000}"/>
    <cellStyle name="Normal 6 8 4 2 3 2" xfId="58897" xr:uid="{00000000-0005-0000-0000-0000ABAE0000}"/>
    <cellStyle name="Normal 6 8 4 2 4" xfId="31842" xr:uid="{00000000-0005-0000-0000-0000ACAE0000}"/>
    <cellStyle name="Normal 6 8 4 2 5" xfId="31843" xr:uid="{00000000-0005-0000-0000-0000ADAE0000}"/>
    <cellStyle name="Normal 6 8 4 2 6" xfId="31844" xr:uid="{00000000-0005-0000-0000-0000AEAE0000}"/>
    <cellStyle name="Normal 6 8 4 3" xfId="31845" xr:uid="{00000000-0005-0000-0000-0000AFAE0000}"/>
    <cellStyle name="Normal 6 8 4 3 2" xfId="58898" xr:uid="{00000000-0005-0000-0000-0000B0AE0000}"/>
    <cellStyle name="Normal 6 8 4 3 3" xfId="58899" xr:uid="{00000000-0005-0000-0000-0000B1AE0000}"/>
    <cellStyle name="Normal 6 8 4 4" xfId="31846" xr:uid="{00000000-0005-0000-0000-0000B2AE0000}"/>
    <cellStyle name="Normal 6 8 4 4 2" xfId="58900" xr:uid="{00000000-0005-0000-0000-0000B3AE0000}"/>
    <cellStyle name="Normal 6 8 4 5" xfId="31847" xr:uid="{00000000-0005-0000-0000-0000B4AE0000}"/>
    <cellStyle name="Normal 6 8 4 6" xfId="31848" xr:uid="{00000000-0005-0000-0000-0000B5AE0000}"/>
    <cellStyle name="Normal 6 8 4 7" xfId="31849" xr:uid="{00000000-0005-0000-0000-0000B6AE0000}"/>
    <cellStyle name="Normal 6 8 5" xfId="31850" xr:uid="{00000000-0005-0000-0000-0000B7AE0000}"/>
    <cellStyle name="Normal 6 8 5 2" xfId="31851" xr:uid="{00000000-0005-0000-0000-0000B8AE0000}"/>
    <cellStyle name="Normal 6 8 5 2 2" xfId="58901" xr:uid="{00000000-0005-0000-0000-0000B9AE0000}"/>
    <cellStyle name="Normal 6 8 5 2 3" xfId="58902" xr:uid="{00000000-0005-0000-0000-0000BAAE0000}"/>
    <cellStyle name="Normal 6 8 5 3" xfId="31852" xr:uid="{00000000-0005-0000-0000-0000BBAE0000}"/>
    <cellStyle name="Normal 6 8 5 3 2" xfId="58903" xr:uid="{00000000-0005-0000-0000-0000BCAE0000}"/>
    <cellStyle name="Normal 6 8 5 4" xfId="31853" xr:uid="{00000000-0005-0000-0000-0000BDAE0000}"/>
    <cellStyle name="Normal 6 8 5 5" xfId="31854" xr:uid="{00000000-0005-0000-0000-0000BEAE0000}"/>
    <cellStyle name="Normal 6 8 5 6" xfId="31855" xr:uid="{00000000-0005-0000-0000-0000BFAE0000}"/>
    <cellStyle name="Normal 6 8 6" xfId="31856" xr:uid="{00000000-0005-0000-0000-0000C0AE0000}"/>
    <cellStyle name="Normal 6 8 6 2" xfId="58904" xr:uid="{00000000-0005-0000-0000-0000C1AE0000}"/>
    <cellStyle name="Normal 6 8 6 3" xfId="58905" xr:uid="{00000000-0005-0000-0000-0000C2AE0000}"/>
    <cellStyle name="Normal 6 8 7" xfId="31857" xr:uid="{00000000-0005-0000-0000-0000C3AE0000}"/>
    <cellStyle name="Normal 6 8 7 2" xfId="58906" xr:uid="{00000000-0005-0000-0000-0000C4AE0000}"/>
    <cellStyle name="Normal 6 8 8" xfId="31858" xr:uid="{00000000-0005-0000-0000-0000C5AE0000}"/>
    <cellStyle name="Normal 6 8 9" xfId="31859" xr:uid="{00000000-0005-0000-0000-0000C6AE0000}"/>
    <cellStyle name="Normal 6 9" xfId="31860" xr:uid="{00000000-0005-0000-0000-0000C7AE0000}"/>
    <cellStyle name="Normal 6 9 10" xfId="31861" xr:uid="{00000000-0005-0000-0000-0000C8AE0000}"/>
    <cellStyle name="Normal 6 9 11" xfId="31862" xr:uid="{00000000-0005-0000-0000-0000C9AE0000}"/>
    <cellStyle name="Normal 6 9 12" xfId="31863" xr:uid="{00000000-0005-0000-0000-0000CAAE0000}"/>
    <cellStyle name="Normal 6 9 13" xfId="31864" xr:uid="{00000000-0005-0000-0000-0000CBAE0000}"/>
    <cellStyle name="Normal 6 9 2" xfId="31865" xr:uid="{00000000-0005-0000-0000-0000CCAE0000}"/>
    <cellStyle name="Normal 6 9 2 2" xfId="31866" xr:uid="{00000000-0005-0000-0000-0000CDAE0000}"/>
    <cellStyle name="Normal 6 9 2 2 2" xfId="31867" xr:uid="{00000000-0005-0000-0000-0000CEAE0000}"/>
    <cellStyle name="Normal 6 9 2 2 2 2" xfId="31868" xr:uid="{00000000-0005-0000-0000-0000CFAE0000}"/>
    <cellStyle name="Normal 6 9 2 2 2 2 2" xfId="58907" xr:uid="{00000000-0005-0000-0000-0000D0AE0000}"/>
    <cellStyle name="Normal 6 9 2 2 2 2 3" xfId="58908" xr:uid="{00000000-0005-0000-0000-0000D1AE0000}"/>
    <cellStyle name="Normal 6 9 2 2 2 3" xfId="31869" xr:uid="{00000000-0005-0000-0000-0000D2AE0000}"/>
    <cellStyle name="Normal 6 9 2 2 2 3 2" xfId="58909" xr:uid="{00000000-0005-0000-0000-0000D3AE0000}"/>
    <cellStyle name="Normal 6 9 2 2 2 4" xfId="31870" xr:uid="{00000000-0005-0000-0000-0000D4AE0000}"/>
    <cellStyle name="Normal 6 9 2 2 2 5" xfId="31871" xr:uid="{00000000-0005-0000-0000-0000D5AE0000}"/>
    <cellStyle name="Normal 6 9 2 2 2 6" xfId="31872" xr:uid="{00000000-0005-0000-0000-0000D6AE0000}"/>
    <cellStyle name="Normal 6 9 2 2 3" xfId="31873" xr:uid="{00000000-0005-0000-0000-0000D7AE0000}"/>
    <cellStyle name="Normal 6 9 2 2 3 2" xfId="58910" xr:uid="{00000000-0005-0000-0000-0000D8AE0000}"/>
    <cellStyle name="Normal 6 9 2 2 3 3" xfId="58911" xr:uid="{00000000-0005-0000-0000-0000D9AE0000}"/>
    <cellStyle name="Normal 6 9 2 2 4" xfId="31874" xr:uid="{00000000-0005-0000-0000-0000DAAE0000}"/>
    <cellStyle name="Normal 6 9 2 2 4 2" xfId="58912" xr:uid="{00000000-0005-0000-0000-0000DBAE0000}"/>
    <cellStyle name="Normal 6 9 2 2 5" xfId="31875" xr:uid="{00000000-0005-0000-0000-0000DCAE0000}"/>
    <cellStyle name="Normal 6 9 2 2 6" xfId="31876" xr:uid="{00000000-0005-0000-0000-0000DDAE0000}"/>
    <cellStyle name="Normal 6 9 2 2 7" xfId="31877" xr:uid="{00000000-0005-0000-0000-0000DEAE0000}"/>
    <cellStyle name="Normal 6 9 2 3" xfId="31878" xr:uid="{00000000-0005-0000-0000-0000DFAE0000}"/>
    <cellStyle name="Normal 6 9 2 3 2" xfId="31879" xr:uid="{00000000-0005-0000-0000-0000E0AE0000}"/>
    <cellStyle name="Normal 6 9 2 3 2 2" xfId="58913" xr:uid="{00000000-0005-0000-0000-0000E1AE0000}"/>
    <cellStyle name="Normal 6 9 2 3 2 3" xfId="58914" xr:uid="{00000000-0005-0000-0000-0000E2AE0000}"/>
    <cellStyle name="Normal 6 9 2 3 3" xfId="31880" xr:uid="{00000000-0005-0000-0000-0000E3AE0000}"/>
    <cellStyle name="Normal 6 9 2 3 3 2" xfId="58915" xr:uid="{00000000-0005-0000-0000-0000E4AE0000}"/>
    <cellStyle name="Normal 6 9 2 3 4" xfId="31881" xr:uid="{00000000-0005-0000-0000-0000E5AE0000}"/>
    <cellStyle name="Normal 6 9 2 3 5" xfId="31882" xr:uid="{00000000-0005-0000-0000-0000E6AE0000}"/>
    <cellStyle name="Normal 6 9 2 3 6" xfId="31883" xr:uid="{00000000-0005-0000-0000-0000E7AE0000}"/>
    <cellStyle name="Normal 6 9 2 4" xfId="31884" xr:uid="{00000000-0005-0000-0000-0000E8AE0000}"/>
    <cellStyle name="Normal 6 9 2 4 2" xfId="58916" xr:uid="{00000000-0005-0000-0000-0000E9AE0000}"/>
    <cellStyle name="Normal 6 9 2 4 3" xfId="58917" xr:uid="{00000000-0005-0000-0000-0000EAAE0000}"/>
    <cellStyle name="Normal 6 9 2 5" xfId="31885" xr:uid="{00000000-0005-0000-0000-0000EBAE0000}"/>
    <cellStyle name="Normal 6 9 2 5 2" xfId="58918" xr:uid="{00000000-0005-0000-0000-0000ECAE0000}"/>
    <cellStyle name="Normal 6 9 2 6" xfId="31886" xr:uid="{00000000-0005-0000-0000-0000EDAE0000}"/>
    <cellStyle name="Normal 6 9 2 7" xfId="31887" xr:uid="{00000000-0005-0000-0000-0000EEAE0000}"/>
    <cellStyle name="Normal 6 9 2 8" xfId="31888" xr:uid="{00000000-0005-0000-0000-0000EFAE0000}"/>
    <cellStyle name="Normal 6 9 2 9" xfId="31889" xr:uid="{00000000-0005-0000-0000-0000F0AE0000}"/>
    <cellStyle name="Normal 6 9 3" xfId="31890" xr:uid="{00000000-0005-0000-0000-0000F1AE0000}"/>
    <cellStyle name="Normal 6 9 3 2" xfId="31891" xr:uid="{00000000-0005-0000-0000-0000F2AE0000}"/>
    <cellStyle name="Normal 6 9 3 2 2" xfId="31892" xr:uid="{00000000-0005-0000-0000-0000F3AE0000}"/>
    <cellStyle name="Normal 6 9 3 2 2 2" xfId="58919" xr:uid="{00000000-0005-0000-0000-0000F4AE0000}"/>
    <cellStyle name="Normal 6 9 3 2 2 3" xfId="58920" xr:uid="{00000000-0005-0000-0000-0000F5AE0000}"/>
    <cellStyle name="Normal 6 9 3 2 3" xfId="31893" xr:uid="{00000000-0005-0000-0000-0000F6AE0000}"/>
    <cellStyle name="Normal 6 9 3 2 3 2" xfId="58921" xr:uid="{00000000-0005-0000-0000-0000F7AE0000}"/>
    <cellStyle name="Normal 6 9 3 2 4" xfId="31894" xr:uid="{00000000-0005-0000-0000-0000F8AE0000}"/>
    <cellStyle name="Normal 6 9 3 2 5" xfId="31895" xr:uid="{00000000-0005-0000-0000-0000F9AE0000}"/>
    <cellStyle name="Normal 6 9 3 2 6" xfId="31896" xr:uid="{00000000-0005-0000-0000-0000FAAE0000}"/>
    <cellStyle name="Normal 6 9 3 3" xfId="31897" xr:uid="{00000000-0005-0000-0000-0000FBAE0000}"/>
    <cellStyle name="Normal 6 9 3 3 2" xfId="58922" xr:uid="{00000000-0005-0000-0000-0000FCAE0000}"/>
    <cellStyle name="Normal 6 9 3 3 3" xfId="58923" xr:uid="{00000000-0005-0000-0000-0000FDAE0000}"/>
    <cellStyle name="Normal 6 9 3 4" xfId="31898" xr:uid="{00000000-0005-0000-0000-0000FEAE0000}"/>
    <cellStyle name="Normal 6 9 3 4 2" xfId="58924" xr:uid="{00000000-0005-0000-0000-0000FFAE0000}"/>
    <cellStyle name="Normal 6 9 3 5" xfId="31899" xr:uid="{00000000-0005-0000-0000-000000AF0000}"/>
    <cellStyle name="Normal 6 9 3 6" xfId="31900" xr:uid="{00000000-0005-0000-0000-000001AF0000}"/>
    <cellStyle name="Normal 6 9 3 7" xfId="31901" xr:uid="{00000000-0005-0000-0000-000002AF0000}"/>
    <cellStyle name="Normal 6 9 4" xfId="31902" xr:uid="{00000000-0005-0000-0000-000003AF0000}"/>
    <cellStyle name="Normal 6 9 4 2" xfId="31903" xr:uid="{00000000-0005-0000-0000-000004AF0000}"/>
    <cellStyle name="Normal 6 9 4 2 2" xfId="58925" xr:uid="{00000000-0005-0000-0000-000005AF0000}"/>
    <cellStyle name="Normal 6 9 4 2 3" xfId="58926" xr:uid="{00000000-0005-0000-0000-000006AF0000}"/>
    <cellStyle name="Normal 6 9 4 3" xfId="31904" xr:uid="{00000000-0005-0000-0000-000007AF0000}"/>
    <cellStyle name="Normal 6 9 4 3 2" xfId="58927" xr:uid="{00000000-0005-0000-0000-000008AF0000}"/>
    <cellStyle name="Normal 6 9 4 4" xfId="31905" xr:uid="{00000000-0005-0000-0000-000009AF0000}"/>
    <cellStyle name="Normal 6 9 4 5" xfId="31906" xr:uid="{00000000-0005-0000-0000-00000AAF0000}"/>
    <cellStyle name="Normal 6 9 4 6" xfId="31907" xr:uid="{00000000-0005-0000-0000-00000BAF0000}"/>
    <cellStyle name="Normal 6 9 5" xfId="31908" xr:uid="{00000000-0005-0000-0000-00000CAF0000}"/>
    <cellStyle name="Normal 6 9 5 2" xfId="58928" xr:uid="{00000000-0005-0000-0000-00000DAF0000}"/>
    <cellStyle name="Normal 6 9 5 3" xfId="58929" xr:uid="{00000000-0005-0000-0000-00000EAF0000}"/>
    <cellStyle name="Normal 6 9 6" xfId="31909" xr:uid="{00000000-0005-0000-0000-00000FAF0000}"/>
    <cellStyle name="Normal 6 9 6 2" xfId="58930" xr:uid="{00000000-0005-0000-0000-000010AF0000}"/>
    <cellStyle name="Normal 6 9 7" xfId="31910" xr:uid="{00000000-0005-0000-0000-000011AF0000}"/>
    <cellStyle name="Normal 6 9 8" xfId="31911" xr:uid="{00000000-0005-0000-0000-000012AF0000}"/>
    <cellStyle name="Normal 6 9 9" xfId="31912" xr:uid="{00000000-0005-0000-0000-000013AF0000}"/>
    <cellStyle name="Normal 60" xfId="31913" xr:uid="{00000000-0005-0000-0000-000014AF0000}"/>
    <cellStyle name="Normal 60 10" xfId="31914" xr:uid="{00000000-0005-0000-0000-000015AF0000}"/>
    <cellStyle name="Normal 60 10 2" xfId="31915" xr:uid="{00000000-0005-0000-0000-000016AF0000}"/>
    <cellStyle name="Normal 60 11" xfId="31916" xr:uid="{00000000-0005-0000-0000-000017AF0000}"/>
    <cellStyle name="Normal 60 11 2" xfId="31917" xr:uid="{00000000-0005-0000-0000-000018AF0000}"/>
    <cellStyle name="Normal 60 12" xfId="31918" xr:uid="{00000000-0005-0000-0000-000019AF0000}"/>
    <cellStyle name="Normal 60 13" xfId="31919" xr:uid="{00000000-0005-0000-0000-00001AAF0000}"/>
    <cellStyle name="Normal 60 2" xfId="31920" xr:uid="{00000000-0005-0000-0000-00001BAF0000}"/>
    <cellStyle name="Normal 60 2 10" xfId="31921" xr:uid="{00000000-0005-0000-0000-00001CAF0000}"/>
    <cellStyle name="Normal 60 2 10 2" xfId="31922" xr:uid="{00000000-0005-0000-0000-00001DAF0000}"/>
    <cellStyle name="Normal 60 2 11" xfId="31923" xr:uid="{00000000-0005-0000-0000-00001EAF0000}"/>
    <cellStyle name="Normal 60 2 12" xfId="31924" xr:uid="{00000000-0005-0000-0000-00001FAF0000}"/>
    <cellStyle name="Normal 60 2 2" xfId="31925" xr:uid="{00000000-0005-0000-0000-000020AF0000}"/>
    <cellStyle name="Normal 60 2 2 2" xfId="31926" xr:uid="{00000000-0005-0000-0000-000021AF0000}"/>
    <cellStyle name="Normal 60 2 2 2 2" xfId="31927" xr:uid="{00000000-0005-0000-0000-000022AF0000}"/>
    <cellStyle name="Normal 60 2 2 2 2 2" xfId="31928" xr:uid="{00000000-0005-0000-0000-000023AF0000}"/>
    <cellStyle name="Normal 60 2 2 2 3" xfId="31929" xr:uid="{00000000-0005-0000-0000-000024AF0000}"/>
    <cellStyle name="Normal 60 2 2 2 3 2" xfId="31930" xr:uid="{00000000-0005-0000-0000-000025AF0000}"/>
    <cellStyle name="Normal 60 2 2 2 4" xfId="31931" xr:uid="{00000000-0005-0000-0000-000026AF0000}"/>
    <cellStyle name="Normal 60 2 2 3" xfId="31932" xr:uid="{00000000-0005-0000-0000-000027AF0000}"/>
    <cellStyle name="Normal 60 2 2 3 2" xfId="31933" xr:uid="{00000000-0005-0000-0000-000028AF0000}"/>
    <cellStyle name="Normal 60 2 2 3 2 2" xfId="31934" xr:uid="{00000000-0005-0000-0000-000029AF0000}"/>
    <cellStyle name="Normal 60 2 2 3 3" xfId="31935" xr:uid="{00000000-0005-0000-0000-00002AAF0000}"/>
    <cellStyle name="Normal 60 2 2 3 3 2" xfId="31936" xr:uid="{00000000-0005-0000-0000-00002BAF0000}"/>
    <cellStyle name="Normal 60 2 2 3 4" xfId="31937" xr:uid="{00000000-0005-0000-0000-00002CAF0000}"/>
    <cellStyle name="Normal 60 2 2 4" xfId="31938" xr:uid="{00000000-0005-0000-0000-00002DAF0000}"/>
    <cellStyle name="Normal 60 2 2 4 2" xfId="31939" xr:uid="{00000000-0005-0000-0000-00002EAF0000}"/>
    <cellStyle name="Normal 60 2 2 5" xfId="31940" xr:uid="{00000000-0005-0000-0000-00002FAF0000}"/>
    <cellStyle name="Normal 60 2 2 5 2" xfId="31941" xr:uid="{00000000-0005-0000-0000-000030AF0000}"/>
    <cellStyle name="Normal 60 2 2 6" xfId="31942" xr:uid="{00000000-0005-0000-0000-000031AF0000}"/>
    <cellStyle name="Normal 60 2 3" xfId="31943" xr:uid="{00000000-0005-0000-0000-000032AF0000}"/>
    <cellStyle name="Normal 60 2 3 2" xfId="31944" xr:uid="{00000000-0005-0000-0000-000033AF0000}"/>
    <cellStyle name="Normal 60 2 3 2 2" xfId="31945" xr:uid="{00000000-0005-0000-0000-000034AF0000}"/>
    <cellStyle name="Normal 60 2 3 3" xfId="31946" xr:uid="{00000000-0005-0000-0000-000035AF0000}"/>
    <cellStyle name="Normal 60 2 3 3 2" xfId="31947" xr:uid="{00000000-0005-0000-0000-000036AF0000}"/>
    <cellStyle name="Normal 60 2 3 4" xfId="31948" xr:uid="{00000000-0005-0000-0000-000037AF0000}"/>
    <cellStyle name="Normal 60 2 4" xfId="31949" xr:uid="{00000000-0005-0000-0000-000038AF0000}"/>
    <cellStyle name="Normal 60 2 4 2" xfId="31950" xr:uid="{00000000-0005-0000-0000-000039AF0000}"/>
    <cellStyle name="Normal 60 2 4 2 2" xfId="31951" xr:uid="{00000000-0005-0000-0000-00003AAF0000}"/>
    <cellStyle name="Normal 60 2 4 3" xfId="31952" xr:uid="{00000000-0005-0000-0000-00003BAF0000}"/>
    <cellStyle name="Normal 60 2 4 3 2" xfId="31953" xr:uid="{00000000-0005-0000-0000-00003CAF0000}"/>
    <cellStyle name="Normal 60 2 4 4" xfId="31954" xr:uid="{00000000-0005-0000-0000-00003DAF0000}"/>
    <cellStyle name="Normal 60 2 5" xfId="31955" xr:uid="{00000000-0005-0000-0000-00003EAF0000}"/>
    <cellStyle name="Normal 60 2 5 2" xfId="31956" xr:uid="{00000000-0005-0000-0000-00003FAF0000}"/>
    <cellStyle name="Normal 60 2 5 2 2" xfId="31957" xr:uid="{00000000-0005-0000-0000-000040AF0000}"/>
    <cellStyle name="Normal 60 2 5 3" xfId="31958" xr:uid="{00000000-0005-0000-0000-000041AF0000}"/>
    <cellStyle name="Normal 60 2 5 3 2" xfId="31959" xr:uid="{00000000-0005-0000-0000-000042AF0000}"/>
    <cellStyle name="Normal 60 2 5 4" xfId="31960" xr:uid="{00000000-0005-0000-0000-000043AF0000}"/>
    <cellStyle name="Normal 60 2 6" xfId="31961" xr:uid="{00000000-0005-0000-0000-000044AF0000}"/>
    <cellStyle name="Normal 60 2 6 2" xfId="31962" xr:uid="{00000000-0005-0000-0000-000045AF0000}"/>
    <cellStyle name="Normal 60 2 6 2 2" xfId="31963" xr:uid="{00000000-0005-0000-0000-000046AF0000}"/>
    <cellStyle name="Normal 60 2 6 3" xfId="31964" xr:uid="{00000000-0005-0000-0000-000047AF0000}"/>
    <cellStyle name="Normal 60 2 6 3 2" xfId="31965" xr:uid="{00000000-0005-0000-0000-000048AF0000}"/>
    <cellStyle name="Normal 60 2 6 4" xfId="31966" xr:uid="{00000000-0005-0000-0000-000049AF0000}"/>
    <cellStyle name="Normal 60 2 7" xfId="31967" xr:uid="{00000000-0005-0000-0000-00004AAF0000}"/>
    <cellStyle name="Normal 60 2 7 2" xfId="31968" xr:uid="{00000000-0005-0000-0000-00004BAF0000}"/>
    <cellStyle name="Normal 60 2 7 2 2" xfId="31969" xr:uid="{00000000-0005-0000-0000-00004CAF0000}"/>
    <cellStyle name="Normal 60 2 7 3" xfId="31970" xr:uid="{00000000-0005-0000-0000-00004DAF0000}"/>
    <cellStyle name="Normal 60 2 7 3 2" xfId="31971" xr:uid="{00000000-0005-0000-0000-00004EAF0000}"/>
    <cellStyle name="Normal 60 2 7 4" xfId="31972" xr:uid="{00000000-0005-0000-0000-00004FAF0000}"/>
    <cellStyle name="Normal 60 2 8" xfId="31973" xr:uid="{00000000-0005-0000-0000-000050AF0000}"/>
    <cellStyle name="Normal 60 2 8 2" xfId="31974" xr:uid="{00000000-0005-0000-0000-000051AF0000}"/>
    <cellStyle name="Normal 60 2 8 2 2" xfId="31975" xr:uid="{00000000-0005-0000-0000-000052AF0000}"/>
    <cellStyle name="Normal 60 2 8 3" xfId="31976" xr:uid="{00000000-0005-0000-0000-000053AF0000}"/>
    <cellStyle name="Normal 60 2 9" xfId="31977" xr:uid="{00000000-0005-0000-0000-000054AF0000}"/>
    <cellStyle name="Normal 60 2 9 2" xfId="31978" xr:uid="{00000000-0005-0000-0000-000055AF0000}"/>
    <cellStyle name="Normal 60 3" xfId="31979" xr:uid="{00000000-0005-0000-0000-000056AF0000}"/>
    <cellStyle name="Normal 60 3 2" xfId="31980" xr:uid="{00000000-0005-0000-0000-000057AF0000}"/>
    <cellStyle name="Normal 60 3 2 2" xfId="31981" xr:uid="{00000000-0005-0000-0000-000058AF0000}"/>
    <cellStyle name="Normal 60 3 2 2 2" xfId="31982" xr:uid="{00000000-0005-0000-0000-000059AF0000}"/>
    <cellStyle name="Normal 60 3 2 3" xfId="31983" xr:uid="{00000000-0005-0000-0000-00005AAF0000}"/>
    <cellStyle name="Normal 60 3 2 3 2" xfId="31984" xr:uid="{00000000-0005-0000-0000-00005BAF0000}"/>
    <cellStyle name="Normal 60 3 2 4" xfId="31985" xr:uid="{00000000-0005-0000-0000-00005CAF0000}"/>
    <cellStyle name="Normal 60 3 3" xfId="31986" xr:uid="{00000000-0005-0000-0000-00005DAF0000}"/>
    <cellStyle name="Normal 60 3 3 2" xfId="31987" xr:uid="{00000000-0005-0000-0000-00005EAF0000}"/>
    <cellStyle name="Normal 60 3 3 2 2" xfId="31988" xr:uid="{00000000-0005-0000-0000-00005FAF0000}"/>
    <cellStyle name="Normal 60 3 3 3" xfId="31989" xr:uid="{00000000-0005-0000-0000-000060AF0000}"/>
    <cellStyle name="Normal 60 3 3 3 2" xfId="31990" xr:uid="{00000000-0005-0000-0000-000061AF0000}"/>
    <cellStyle name="Normal 60 3 3 4" xfId="31991" xr:uid="{00000000-0005-0000-0000-000062AF0000}"/>
    <cellStyle name="Normal 60 3 4" xfId="31992" xr:uid="{00000000-0005-0000-0000-000063AF0000}"/>
    <cellStyle name="Normal 60 3 4 2" xfId="31993" xr:uid="{00000000-0005-0000-0000-000064AF0000}"/>
    <cellStyle name="Normal 60 3 5" xfId="31994" xr:uid="{00000000-0005-0000-0000-000065AF0000}"/>
    <cellStyle name="Normal 60 3 5 2" xfId="31995" xr:uid="{00000000-0005-0000-0000-000066AF0000}"/>
    <cellStyle name="Normal 60 3 6" xfId="31996" xr:uid="{00000000-0005-0000-0000-000067AF0000}"/>
    <cellStyle name="Normal 60 4" xfId="31997" xr:uid="{00000000-0005-0000-0000-000068AF0000}"/>
    <cellStyle name="Normal 60 4 2" xfId="31998" xr:uid="{00000000-0005-0000-0000-000069AF0000}"/>
    <cellStyle name="Normal 60 4 2 2" xfId="31999" xr:uid="{00000000-0005-0000-0000-00006AAF0000}"/>
    <cellStyle name="Normal 60 4 3" xfId="32000" xr:uid="{00000000-0005-0000-0000-00006BAF0000}"/>
    <cellStyle name="Normal 60 4 3 2" xfId="32001" xr:uid="{00000000-0005-0000-0000-00006CAF0000}"/>
    <cellStyle name="Normal 60 4 4" xfId="32002" xr:uid="{00000000-0005-0000-0000-00006DAF0000}"/>
    <cellStyle name="Normal 60 5" xfId="32003" xr:uid="{00000000-0005-0000-0000-00006EAF0000}"/>
    <cellStyle name="Normal 60 5 2" xfId="32004" xr:uid="{00000000-0005-0000-0000-00006FAF0000}"/>
    <cellStyle name="Normal 60 5 2 2" xfId="32005" xr:uid="{00000000-0005-0000-0000-000070AF0000}"/>
    <cellStyle name="Normal 60 5 3" xfId="32006" xr:uid="{00000000-0005-0000-0000-000071AF0000}"/>
    <cellStyle name="Normal 60 5 3 2" xfId="32007" xr:uid="{00000000-0005-0000-0000-000072AF0000}"/>
    <cellStyle name="Normal 60 5 4" xfId="32008" xr:uid="{00000000-0005-0000-0000-000073AF0000}"/>
    <cellStyle name="Normal 60 6" xfId="32009" xr:uid="{00000000-0005-0000-0000-000074AF0000}"/>
    <cellStyle name="Normal 60 6 2" xfId="32010" xr:uid="{00000000-0005-0000-0000-000075AF0000}"/>
    <cellStyle name="Normal 60 6 2 2" xfId="32011" xr:uid="{00000000-0005-0000-0000-000076AF0000}"/>
    <cellStyle name="Normal 60 6 3" xfId="32012" xr:uid="{00000000-0005-0000-0000-000077AF0000}"/>
    <cellStyle name="Normal 60 6 3 2" xfId="32013" xr:uid="{00000000-0005-0000-0000-000078AF0000}"/>
    <cellStyle name="Normal 60 6 4" xfId="32014" xr:uid="{00000000-0005-0000-0000-000079AF0000}"/>
    <cellStyle name="Normal 60 7" xfId="32015" xr:uid="{00000000-0005-0000-0000-00007AAF0000}"/>
    <cellStyle name="Normal 60 7 2" xfId="32016" xr:uid="{00000000-0005-0000-0000-00007BAF0000}"/>
    <cellStyle name="Normal 60 7 2 2" xfId="32017" xr:uid="{00000000-0005-0000-0000-00007CAF0000}"/>
    <cellStyle name="Normal 60 7 3" xfId="32018" xr:uid="{00000000-0005-0000-0000-00007DAF0000}"/>
    <cellStyle name="Normal 60 7 3 2" xfId="32019" xr:uid="{00000000-0005-0000-0000-00007EAF0000}"/>
    <cellStyle name="Normal 60 7 4" xfId="32020" xr:uid="{00000000-0005-0000-0000-00007FAF0000}"/>
    <cellStyle name="Normal 60 8" xfId="32021" xr:uid="{00000000-0005-0000-0000-000080AF0000}"/>
    <cellStyle name="Normal 60 8 2" xfId="32022" xr:uid="{00000000-0005-0000-0000-000081AF0000}"/>
    <cellStyle name="Normal 60 8 2 2" xfId="32023" xr:uid="{00000000-0005-0000-0000-000082AF0000}"/>
    <cellStyle name="Normal 60 8 3" xfId="32024" xr:uid="{00000000-0005-0000-0000-000083AF0000}"/>
    <cellStyle name="Normal 60 8 3 2" xfId="32025" xr:uid="{00000000-0005-0000-0000-000084AF0000}"/>
    <cellStyle name="Normal 60 8 4" xfId="32026" xr:uid="{00000000-0005-0000-0000-000085AF0000}"/>
    <cellStyle name="Normal 60 9" xfId="32027" xr:uid="{00000000-0005-0000-0000-000086AF0000}"/>
    <cellStyle name="Normal 60 9 2" xfId="32028" xr:uid="{00000000-0005-0000-0000-000087AF0000}"/>
    <cellStyle name="Normal 60 9 2 2" xfId="32029" xr:uid="{00000000-0005-0000-0000-000088AF0000}"/>
    <cellStyle name="Normal 60 9 3" xfId="32030" xr:uid="{00000000-0005-0000-0000-000089AF0000}"/>
    <cellStyle name="Normal 61" xfId="32031" xr:uid="{00000000-0005-0000-0000-00008AAF0000}"/>
    <cellStyle name="Normal 61 10" xfId="32032" xr:uid="{00000000-0005-0000-0000-00008BAF0000}"/>
    <cellStyle name="Normal 61 10 2" xfId="32033" xr:uid="{00000000-0005-0000-0000-00008CAF0000}"/>
    <cellStyle name="Normal 61 11" xfId="32034" xr:uid="{00000000-0005-0000-0000-00008DAF0000}"/>
    <cellStyle name="Normal 61 11 2" xfId="32035" xr:uid="{00000000-0005-0000-0000-00008EAF0000}"/>
    <cellStyle name="Normal 61 12" xfId="32036" xr:uid="{00000000-0005-0000-0000-00008FAF0000}"/>
    <cellStyle name="Normal 61 13" xfId="32037" xr:uid="{00000000-0005-0000-0000-000090AF0000}"/>
    <cellStyle name="Normal 61 2" xfId="32038" xr:uid="{00000000-0005-0000-0000-000091AF0000}"/>
    <cellStyle name="Normal 61 2 10" xfId="32039" xr:uid="{00000000-0005-0000-0000-000092AF0000}"/>
    <cellStyle name="Normal 61 2 10 2" xfId="32040" xr:uid="{00000000-0005-0000-0000-000093AF0000}"/>
    <cellStyle name="Normal 61 2 11" xfId="32041" xr:uid="{00000000-0005-0000-0000-000094AF0000}"/>
    <cellStyle name="Normal 61 2 12" xfId="32042" xr:uid="{00000000-0005-0000-0000-000095AF0000}"/>
    <cellStyle name="Normal 61 2 2" xfId="32043" xr:uid="{00000000-0005-0000-0000-000096AF0000}"/>
    <cellStyle name="Normal 61 2 2 2" xfId="32044" xr:uid="{00000000-0005-0000-0000-000097AF0000}"/>
    <cellStyle name="Normal 61 2 2 2 2" xfId="32045" xr:uid="{00000000-0005-0000-0000-000098AF0000}"/>
    <cellStyle name="Normal 61 2 2 2 2 2" xfId="32046" xr:uid="{00000000-0005-0000-0000-000099AF0000}"/>
    <cellStyle name="Normal 61 2 2 2 3" xfId="32047" xr:uid="{00000000-0005-0000-0000-00009AAF0000}"/>
    <cellStyle name="Normal 61 2 2 2 3 2" xfId="32048" xr:uid="{00000000-0005-0000-0000-00009BAF0000}"/>
    <cellStyle name="Normal 61 2 2 2 4" xfId="32049" xr:uid="{00000000-0005-0000-0000-00009CAF0000}"/>
    <cellStyle name="Normal 61 2 2 3" xfId="32050" xr:uid="{00000000-0005-0000-0000-00009DAF0000}"/>
    <cellStyle name="Normal 61 2 2 3 2" xfId="32051" xr:uid="{00000000-0005-0000-0000-00009EAF0000}"/>
    <cellStyle name="Normal 61 2 2 3 2 2" xfId="32052" xr:uid="{00000000-0005-0000-0000-00009FAF0000}"/>
    <cellStyle name="Normal 61 2 2 3 3" xfId="32053" xr:uid="{00000000-0005-0000-0000-0000A0AF0000}"/>
    <cellStyle name="Normal 61 2 2 3 3 2" xfId="32054" xr:uid="{00000000-0005-0000-0000-0000A1AF0000}"/>
    <cellStyle name="Normal 61 2 2 3 4" xfId="32055" xr:uid="{00000000-0005-0000-0000-0000A2AF0000}"/>
    <cellStyle name="Normal 61 2 2 4" xfId="32056" xr:uid="{00000000-0005-0000-0000-0000A3AF0000}"/>
    <cellStyle name="Normal 61 2 2 4 2" xfId="32057" xr:uid="{00000000-0005-0000-0000-0000A4AF0000}"/>
    <cellStyle name="Normal 61 2 2 5" xfId="32058" xr:uid="{00000000-0005-0000-0000-0000A5AF0000}"/>
    <cellStyle name="Normal 61 2 2 5 2" xfId="32059" xr:uid="{00000000-0005-0000-0000-0000A6AF0000}"/>
    <cellStyle name="Normal 61 2 2 6" xfId="32060" xr:uid="{00000000-0005-0000-0000-0000A7AF0000}"/>
    <cellStyle name="Normal 61 2 3" xfId="32061" xr:uid="{00000000-0005-0000-0000-0000A8AF0000}"/>
    <cellStyle name="Normal 61 2 3 2" xfId="32062" xr:uid="{00000000-0005-0000-0000-0000A9AF0000}"/>
    <cellStyle name="Normal 61 2 3 2 2" xfId="32063" xr:uid="{00000000-0005-0000-0000-0000AAAF0000}"/>
    <cellStyle name="Normal 61 2 3 3" xfId="32064" xr:uid="{00000000-0005-0000-0000-0000ABAF0000}"/>
    <cellStyle name="Normal 61 2 3 3 2" xfId="32065" xr:uid="{00000000-0005-0000-0000-0000ACAF0000}"/>
    <cellStyle name="Normal 61 2 3 4" xfId="32066" xr:uid="{00000000-0005-0000-0000-0000ADAF0000}"/>
    <cellStyle name="Normal 61 2 4" xfId="32067" xr:uid="{00000000-0005-0000-0000-0000AEAF0000}"/>
    <cellStyle name="Normal 61 2 4 2" xfId="32068" xr:uid="{00000000-0005-0000-0000-0000AFAF0000}"/>
    <cellStyle name="Normal 61 2 4 2 2" xfId="32069" xr:uid="{00000000-0005-0000-0000-0000B0AF0000}"/>
    <cellStyle name="Normal 61 2 4 3" xfId="32070" xr:uid="{00000000-0005-0000-0000-0000B1AF0000}"/>
    <cellStyle name="Normal 61 2 4 3 2" xfId="32071" xr:uid="{00000000-0005-0000-0000-0000B2AF0000}"/>
    <cellStyle name="Normal 61 2 4 4" xfId="32072" xr:uid="{00000000-0005-0000-0000-0000B3AF0000}"/>
    <cellStyle name="Normal 61 2 5" xfId="32073" xr:uid="{00000000-0005-0000-0000-0000B4AF0000}"/>
    <cellStyle name="Normal 61 2 5 2" xfId="32074" xr:uid="{00000000-0005-0000-0000-0000B5AF0000}"/>
    <cellStyle name="Normal 61 2 5 2 2" xfId="32075" xr:uid="{00000000-0005-0000-0000-0000B6AF0000}"/>
    <cellStyle name="Normal 61 2 5 3" xfId="32076" xr:uid="{00000000-0005-0000-0000-0000B7AF0000}"/>
    <cellStyle name="Normal 61 2 5 3 2" xfId="32077" xr:uid="{00000000-0005-0000-0000-0000B8AF0000}"/>
    <cellStyle name="Normal 61 2 5 4" xfId="32078" xr:uid="{00000000-0005-0000-0000-0000B9AF0000}"/>
    <cellStyle name="Normal 61 2 6" xfId="32079" xr:uid="{00000000-0005-0000-0000-0000BAAF0000}"/>
    <cellStyle name="Normal 61 2 6 2" xfId="32080" xr:uid="{00000000-0005-0000-0000-0000BBAF0000}"/>
    <cellStyle name="Normal 61 2 6 2 2" xfId="32081" xr:uid="{00000000-0005-0000-0000-0000BCAF0000}"/>
    <cellStyle name="Normal 61 2 6 3" xfId="32082" xr:uid="{00000000-0005-0000-0000-0000BDAF0000}"/>
    <cellStyle name="Normal 61 2 6 3 2" xfId="32083" xr:uid="{00000000-0005-0000-0000-0000BEAF0000}"/>
    <cellStyle name="Normal 61 2 6 4" xfId="32084" xr:uid="{00000000-0005-0000-0000-0000BFAF0000}"/>
    <cellStyle name="Normal 61 2 7" xfId="32085" xr:uid="{00000000-0005-0000-0000-0000C0AF0000}"/>
    <cellStyle name="Normal 61 2 7 2" xfId="32086" xr:uid="{00000000-0005-0000-0000-0000C1AF0000}"/>
    <cellStyle name="Normal 61 2 7 2 2" xfId="32087" xr:uid="{00000000-0005-0000-0000-0000C2AF0000}"/>
    <cellStyle name="Normal 61 2 7 3" xfId="32088" xr:uid="{00000000-0005-0000-0000-0000C3AF0000}"/>
    <cellStyle name="Normal 61 2 7 3 2" xfId="32089" xr:uid="{00000000-0005-0000-0000-0000C4AF0000}"/>
    <cellStyle name="Normal 61 2 7 4" xfId="32090" xr:uid="{00000000-0005-0000-0000-0000C5AF0000}"/>
    <cellStyle name="Normal 61 2 8" xfId="32091" xr:uid="{00000000-0005-0000-0000-0000C6AF0000}"/>
    <cellStyle name="Normal 61 2 8 2" xfId="32092" xr:uid="{00000000-0005-0000-0000-0000C7AF0000}"/>
    <cellStyle name="Normal 61 2 8 2 2" xfId="32093" xr:uid="{00000000-0005-0000-0000-0000C8AF0000}"/>
    <cellStyle name="Normal 61 2 8 3" xfId="32094" xr:uid="{00000000-0005-0000-0000-0000C9AF0000}"/>
    <cellStyle name="Normal 61 2 9" xfId="32095" xr:uid="{00000000-0005-0000-0000-0000CAAF0000}"/>
    <cellStyle name="Normal 61 2 9 2" xfId="32096" xr:uid="{00000000-0005-0000-0000-0000CBAF0000}"/>
    <cellStyle name="Normal 61 3" xfId="32097" xr:uid="{00000000-0005-0000-0000-0000CCAF0000}"/>
    <cellStyle name="Normal 61 3 2" xfId="32098" xr:uid="{00000000-0005-0000-0000-0000CDAF0000}"/>
    <cellStyle name="Normal 61 3 2 2" xfId="32099" xr:uid="{00000000-0005-0000-0000-0000CEAF0000}"/>
    <cellStyle name="Normal 61 3 2 2 2" xfId="32100" xr:uid="{00000000-0005-0000-0000-0000CFAF0000}"/>
    <cellStyle name="Normal 61 3 2 3" xfId="32101" xr:uid="{00000000-0005-0000-0000-0000D0AF0000}"/>
    <cellStyle name="Normal 61 3 2 3 2" xfId="32102" xr:uid="{00000000-0005-0000-0000-0000D1AF0000}"/>
    <cellStyle name="Normal 61 3 2 4" xfId="32103" xr:uid="{00000000-0005-0000-0000-0000D2AF0000}"/>
    <cellStyle name="Normal 61 3 3" xfId="32104" xr:uid="{00000000-0005-0000-0000-0000D3AF0000}"/>
    <cellStyle name="Normal 61 3 3 2" xfId="32105" xr:uid="{00000000-0005-0000-0000-0000D4AF0000}"/>
    <cellStyle name="Normal 61 3 3 2 2" xfId="32106" xr:uid="{00000000-0005-0000-0000-0000D5AF0000}"/>
    <cellStyle name="Normal 61 3 3 3" xfId="32107" xr:uid="{00000000-0005-0000-0000-0000D6AF0000}"/>
    <cellStyle name="Normal 61 3 3 3 2" xfId="32108" xr:uid="{00000000-0005-0000-0000-0000D7AF0000}"/>
    <cellStyle name="Normal 61 3 3 4" xfId="32109" xr:uid="{00000000-0005-0000-0000-0000D8AF0000}"/>
    <cellStyle name="Normal 61 3 4" xfId="32110" xr:uid="{00000000-0005-0000-0000-0000D9AF0000}"/>
    <cellStyle name="Normal 61 3 4 2" xfId="32111" xr:uid="{00000000-0005-0000-0000-0000DAAF0000}"/>
    <cellStyle name="Normal 61 3 5" xfId="32112" xr:uid="{00000000-0005-0000-0000-0000DBAF0000}"/>
    <cellStyle name="Normal 61 3 5 2" xfId="32113" xr:uid="{00000000-0005-0000-0000-0000DCAF0000}"/>
    <cellStyle name="Normal 61 3 6" xfId="32114" xr:uid="{00000000-0005-0000-0000-0000DDAF0000}"/>
    <cellStyle name="Normal 61 4" xfId="32115" xr:uid="{00000000-0005-0000-0000-0000DEAF0000}"/>
    <cellStyle name="Normal 61 4 2" xfId="32116" xr:uid="{00000000-0005-0000-0000-0000DFAF0000}"/>
    <cellStyle name="Normal 61 4 2 2" xfId="32117" xr:uid="{00000000-0005-0000-0000-0000E0AF0000}"/>
    <cellStyle name="Normal 61 4 3" xfId="32118" xr:uid="{00000000-0005-0000-0000-0000E1AF0000}"/>
    <cellStyle name="Normal 61 4 3 2" xfId="32119" xr:uid="{00000000-0005-0000-0000-0000E2AF0000}"/>
    <cellStyle name="Normal 61 4 4" xfId="32120" xr:uid="{00000000-0005-0000-0000-0000E3AF0000}"/>
    <cellStyle name="Normal 61 5" xfId="32121" xr:uid="{00000000-0005-0000-0000-0000E4AF0000}"/>
    <cellStyle name="Normal 61 5 2" xfId="32122" xr:uid="{00000000-0005-0000-0000-0000E5AF0000}"/>
    <cellStyle name="Normal 61 5 2 2" xfId="32123" xr:uid="{00000000-0005-0000-0000-0000E6AF0000}"/>
    <cellStyle name="Normal 61 5 3" xfId="32124" xr:uid="{00000000-0005-0000-0000-0000E7AF0000}"/>
    <cellStyle name="Normal 61 5 3 2" xfId="32125" xr:uid="{00000000-0005-0000-0000-0000E8AF0000}"/>
    <cellStyle name="Normal 61 5 4" xfId="32126" xr:uid="{00000000-0005-0000-0000-0000E9AF0000}"/>
    <cellStyle name="Normal 61 6" xfId="32127" xr:uid="{00000000-0005-0000-0000-0000EAAF0000}"/>
    <cellStyle name="Normal 61 6 2" xfId="32128" xr:uid="{00000000-0005-0000-0000-0000EBAF0000}"/>
    <cellStyle name="Normal 61 6 2 2" xfId="32129" xr:uid="{00000000-0005-0000-0000-0000ECAF0000}"/>
    <cellStyle name="Normal 61 6 3" xfId="32130" xr:uid="{00000000-0005-0000-0000-0000EDAF0000}"/>
    <cellStyle name="Normal 61 6 3 2" xfId="32131" xr:uid="{00000000-0005-0000-0000-0000EEAF0000}"/>
    <cellStyle name="Normal 61 6 4" xfId="32132" xr:uid="{00000000-0005-0000-0000-0000EFAF0000}"/>
    <cellStyle name="Normal 61 7" xfId="32133" xr:uid="{00000000-0005-0000-0000-0000F0AF0000}"/>
    <cellStyle name="Normal 61 7 2" xfId="32134" xr:uid="{00000000-0005-0000-0000-0000F1AF0000}"/>
    <cellStyle name="Normal 61 7 2 2" xfId="32135" xr:uid="{00000000-0005-0000-0000-0000F2AF0000}"/>
    <cellStyle name="Normal 61 7 3" xfId="32136" xr:uid="{00000000-0005-0000-0000-0000F3AF0000}"/>
    <cellStyle name="Normal 61 7 3 2" xfId="32137" xr:uid="{00000000-0005-0000-0000-0000F4AF0000}"/>
    <cellStyle name="Normal 61 7 4" xfId="32138" xr:uid="{00000000-0005-0000-0000-0000F5AF0000}"/>
    <cellStyle name="Normal 61 8" xfId="32139" xr:uid="{00000000-0005-0000-0000-0000F6AF0000}"/>
    <cellStyle name="Normal 61 8 2" xfId="32140" xr:uid="{00000000-0005-0000-0000-0000F7AF0000}"/>
    <cellStyle name="Normal 61 8 2 2" xfId="32141" xr:uid="{00000000-0005-0000-0000-0000F8AF0000}"/>
    <cellStyle name="Normal 61 8 3" xfId="32142" xr:uid="{00000000-0005-0000-0000-0000F9AF0000}"/>
    <cellStyle name="Normal 61 8 3 2" xfId="32143" xr:uid="{00000000-0005-0000-0000-0000FAAF0000}"/>
    <cellStyle name="Normal 61 8 4" xfId="32144" xr:uid="{00000000-0005-0000-0000-0000FBAF0000}"/>
    <cellStyle name="Normal 61 9" xfId="32145" xr:uid="{00000000-0005-0000-0000-0000FCAF0000}"/>
    <cellStyle name="Normal 61 9 2" xfId="32146" xr:uid="{00000000-0005-0000-0000-0000FDAF0000}"/>
    <cellStyle name="Normal 61 9 2 2" xfId="32147" xr:uid="{00000000-0005-0000-0000-0000FEAF0000}"/>
    <cellStyle name="Normal 61 9 3" xfId="32148" xr:uid="{00000000-0005-0000-0000-0000FFAF0000}"/>
    <cellStyle name="Normal 62" xfId="32149" xr:uid="{00000000-0005-0000-0000-000000B00000}"/>
    <cellStyle name="Normal 62 10" xfId="32150" xr:uid="{00000000-0005-0000-0000-000001B00000}"/>
    <cellStyle name="Normal 62 10 2" xfId="32151" xr:uid="{00000000-0005-0000-0000-000002B00000}"/>
    <cellStyle name="Normal 62 11" xfId="32152" xr:uid="{00000000-0005-0000-0000-000003B00000}"/>
    <cellStyle name="Normal 62 11 2" xfId="32153" xr:uid="{00000000-0005-0000-0000-000004B00000}"/>
    <cellStyle name="Normal 62 12" xfId="32154" xr:uid="{00000000-0005-0000-0000-000005B00000}"/>
    <cellStyle name="Normal 62 13" xfId="32155" xr:uid="{00000000-0005-0000-0000-000006B00000}"/>
    <cellStyle name="Normal 62 2" xfId="32156" xr:uid="{00000000-0005-0000-0000-000007B00000}"/>
    <cellStyle name="Normal 62 2 10" xfId="32157" xr:uid="{00000000-0005-0000-0000-000008B00000}"/>
    <cellStyle name="Normal 62 2 10 2" xfId="32158" xr:uid="{00000000-0005-0000-0000-000009B00000}"/>
    <cellStyle name="Normal 62 2 11" xfId="32159" xr:uid="{00000000-0005-0000-0000-00000AB00000}"/>
    <cellStyle name="Normal 62 2 2" xfId="32160" xr:uid="{00000000-0005-0000-0000-00000BB00000}"/>
    <cellStyle name="Normal 62 2 2 2" xfId="32161" xr:uid="{00000000-0005-0000-0000-00000CB00000}"/>
    <cellStyle name="Normal 62 2 2 2 2" xfId="32162" xr:uid="{00000000-0005-0000-0000-00000DB00000}"/>
    <cellStyle name="Normal 62 2 2 2 2 2" xfId="32163" xr:uid="{00000000-0005-0000-0000-00000EB00000}"/>
    <cellStyle name="Normal 62 2 2 2 3" xfId="32164" xr:uid="{00000000-0005-0000-0000-00000FB00000}"/>
    <cellStyle name="Normal 62 2 2 2 3 2" xfId="32165" xr:uid="{00000000-0005-0000-0000-000010B00000}"/>
    <cellStyle name="Normal 62 2 2 2 4" xfId="32166" xr:uid="{00000000-0005-0000-0000-000011B00000}"/>
    <cellStyle name="Normal 62 2 2 3" xfId="32167" xr:uid="{00000000-0005-0000-0000-000012B00000}"/>
    <cellStyle name="Normal 62 2 2 3 2" xfId="32168" xr:uid="{00000000-0005-0000-0000-000013B00000}"/>
    <cellStyle name="Normal 62 2 2 3 2 2" xfId="32169" xr:uid="{00000000-0005-0000-0000-000014B00000}"/>
    <cellStyle name="Normal 62 2 2 3 3" xfId="32170" xr:uid="{00000000-0005-0000-0000-000015B00000}"/>
    <cellStyle name="Normal 62 2 2 3 3 2" xfId="32171" xr:uid="{00000000-0005-0000-0000-000016B00000}"/>
    <cellStyle name="Normal 62 2 2 3 4" xfId="32172" xr:uid="{00000000-0005-0000-0000-000017B00000}"/>
    <cellStyle name="Normal 62 2 2 4" xfId="32173" xr:uid="{00000000-0005-0000-0000-000018B00000}"/>
    <cellStyle name="Normal 62 2 2 4 2" xfId="32174" xr:uid="{00000000-0005-0000-0000-000019B00000}"/>
    <cellStyle name="Normal 62 2 2 5" xfId="32175" xr:uid="{00000000-0005-0000-0000-00001AB00000}"/>
    <cellStyle name="Normal 62 2 2 5 2" xfId="32176" xr:uid="{00000000-0005-0000-0000-00001BB00000}"/>
    <cellStyle name="Normal 62 2 2 6" xfId="32177" xr:uid="{00000000-0005-0000-0000-00001CB00000}"/>
    <cellStyle name="Normal 62 2 3" xfId="32178" xr:uid="{00000000-0005-0000-0000-00001DB00000}"/>
    <cellStyle name="Normal 62 2 3 2" xfId="32179" xr:uid="{00000000-0005-0000-0000-00001EB00000}"/>
    <cellStyle name="Normal 62 2 3 2 2" xfId="32180" xr:uid="{00000000-0005-0000-0000-00001FB00000}"/>
    <cellStyle name="Normal 62 2 3 3" xfId="32181" xr:uid="{00000000-0005-0000-0000-000020B00000}"/>
    <cellStyle name="Normal 62 2 3 3 2" xfId="32182" xr:uid="{00000000-0005-0000-0000-000021B00000}"/>
    <cellStyle name="Normal 62 2 3 4" xfId="32183" xr:uid="{00000000-0005-0000-0000-000022B00000}"/>
    <cellStyle name="Normal 62 2 4" xfId="32184" xr:uid="{00000000-0005-0000-0000-000023B00000}"/>
    <cellStyle name="Normal 62 2 4 2" xfId="32185" xr:uid="{00000000-0005-0000-0000-000024B00000}"/>
    <cellStyle name="Normal 62 2 4 2 2" xfId="32186" xr:uid="{00000000-0005-0000-0000-000025B00000}"/>
    <cellStyle name="Normal 62 2 4 3" xfId="32187" xr:uid="{00000000-0005-0000-0000-000026B00000}"/>
    <cellStyle name="Normal 62 2 4 3 2" xfId="32188" xr:uid="{00000000-0005-0000-0000-000027B00000}"/>
    <cellStyle name="Normal 62 2 4 4" xfId="32189" xr:uid="{00000000-0005-0000-0000-000028B00000}"/>
    <cellStyle name="Normal 62 2 5" xfId="32190" xr:uid="{00000000-0005-0000-0000-000029B00000}"/>
    <cellStyle name="Normal 62 2 5 2" xfId="32191" xr:uid="{00000000-0005-0000-0000-00002AB00000}"/>
    <cellStyle name="Normal 62 2 5 2 2" xfId="32192" xr:uid="{00000000-0005-0000-0000-00002BB00000}"/>
    <cellStyle name="Normal 62 2 5 3" xfId="32193" xr:uid="{00000000-0005-0000-0000-00002CB00000}"/>
    <cellStyle name="Normal 62 2 5 3 2" xfId="32194" xr:uid="{00000000-0005-0000-0000-00002DB00000}"/>
    <cellStyle name="Normal 62 2 5 4" xfId="32195" xr:uid="{00000000-0005-0000-0000-00002EB00000}"/>
    <cellStyle name="Normal 62 2 6" xfId="32196" xr:uid="{00000000-0005-0000-0000-00002FB00000}"/>
    <cellStyle name="Normal 62 2 6 2" xfId="32197" xr:uid="{00000000-0005-0000-0000-000030B00000}"/>
    <cellStyle name="Normal 62 2 6 2 2" xfId="32198" xr:uid="{00000000-0005-0000-0000-000031B00000}"/>
    <cellStyle name="Normal 62 2 6 3" xfId="32199" xr:uid="{00000000-0005-0000-0000-000032B00000}"/>
    <cellStyle name="Normal 62 2 6 3 2" xfId="32200" xr:uid="{00000000-0005-0000-0000-000033B00000}"/>
    <cellStyle name="Normal 62 2 6 4" xfId="32201" xr:uid="{00000000-0005-0000-0000-000034B00000}"/>
    <cellStyle name="Normal 62 2 7" xfId="32202" xr:uid="{00000000-0005-0000-0000-000035B00000}"/>
    <cellStyle name="Normal 62 2 7 2" xfId="32203" xr:uid="{00000000-0005-0000-0000-000036B00000}"/>
    <cellStyle name="Normal 62 2 7 2 2" xfId="32204" xr:uid="{00000000-0005-0000-0000-000037B00000}"/>
    <cellStyle name="Normal 62 2 7 3" xfId="32205" xr:uid="{00000000-0005-0000-0000-000038B00000}"/>
    <cellStyle name="Normal 62 2 7 3 2" xfId="32206" xr:uid="{00000000-0005-0000-0000-000039B00000}"/>
    <cellStyle name="Normal 62 2 7 4" xfId="32207" xr:uid="{00000000-0005-0000-0000-00003AB00000}"/>
    <cellStyle name="Normal 62 2 8" xfId="32208" xr:uid="{00000000-0005-0000-0000-00003BB00000}"/>
    <cellStyle name="Normal 62 2 8 2" xfId="32209" xr:uid="{00000000-0005-0000-0000-00003CB00000}"/>
    <cellStyle name="Normal 62 2 8 2 2" xfId="32210" xr:uid="{00000000-0005-0000-0000-00003DB00000}"/>
    <cellStyle name="Normal 62 2 8 3" xfId="32211" xr:uid="{00000000-0005-0000-0000-00003EB00000}"/>
    <cellStyle name="Normal 62 2 9" xfId="32212" xr:uid="{00000000-0005-0000-0000-00003FB00000}"/>
    <cellStyle name="Normal 62 2 9 2" xfId="32213" xr:uid="{00000000-0005-0000-0000-000040B00000}"/>
    <cellStyle name="Normal 62 3" xfId="32214" xr:uid="{00000000-0005-0000-0000-000041B00000}"/>
    <cellStyle name="Normal 62 3 2" xfId="32215" xr:uid="{00000000-0005-0000-0000-000042B00000}"/>
    <cellStyle name="Normal 62 3 2 2" xfId="32216" xr:uid="{00000000-0005-0000-0000-000043B00000}"/>
    <cellStyle name="Normal 62 3 2 2 2" xfId="32217" xr:uid="{00000000-0005-0000-0000-000044B00000}"/>
    <cellStyle name="Normal 62 3 2 3" xfId="32218" xr:uid="{00000000-0005-0000-0000-000045B00000}"/>
    <cellStyle name="Normal 62 3 2 3 2" xfId="32219" xr:uid="{00000000-0005-0000-0000-000046B00000}"/>
    <cellStyle name="Normal 62 3 2 4" xfId="32220" xr:uid="{00000000-0005-0000-0000-000047B00000}"/>
    <cellStyle name="Normal 62 3 3" xfId="32221" xr:uid="{00000000-0005-0000-0000-000048B00000}"/>
    <cellStyle name="Normal 62 3 3 2" xfId="32222" xr:uid="{00000000-0005-0000-0000-000049B00000}"/>
    <cellStyle name="Normal 62 3 3 2 2" xfId="32223" xr:uid="{00000000-0005-0000-0000-00004AB00000}"/>
    <cellStyle name="Normal 62 3 3 3" xfId="32224" xr:uid="{00000000-0005-0000-0000-00004BB00000}"/>
    <cellStyle name="Normal 62 3 3 3 2" xfId="32225" xr:uid="{00000000-0005-0000-0000-00004CB00000}"/>
    <cellStyle name="Normal 62 3 3 4" xfId="32226" xr:uid="{00000000-0005-0000-0000-00004DB00000}"/>
    <cellStyle name="Normal 62 3 4" xfId="32227" xr:uid="{00000000-0005-0000-0000-00004EB00000}"/>
    <cellStyle name="Normal 62 3 4 2" xfId="32228" xr:uid="{00000000-0005-0000-0000-00004FB00000}"/>
    <cellStyle name="Normal 62 3 5" xfId="32229" xr:uid="{00000000-0005-0000-0000-000050B00000}"/>
    <cellStyle name="Normal 62 3 5 2" xfId="32230" xr:uid="{00000000-0005-0000-0000-000051B00000}"/>
    <cellStyle name="Normal 62 3 6" xfId="32231" xr:uid="{00000000-0005-0000-0000-000052B00000}"/>
    <cellStyle name="Normal 62 4" xfId="32232" xr:uid="{00000000-0005-0000-0000-000053B00000}"/>
    <cellStyle name="Normal 62 4 2" xfId="32233" xr:uid="{00000000-0005-0000-0000-000054B00000}"/>
    <cellStyle name="Normal 62 4 2 2" xfId="32234" xr:uid="{00000000-0005-0000-0000-000055B00000}"/>
    <cellStyle name="Normal 62 4 3" xfId="32235" xr:uid="{00000000-0005-0000-0000-000056B00000}"/>
    <cellStyle name="Normal 62 4 3 2" xfId="32236" xr:uid="{00000000-0005-0000-0000-000057B00000}"/>
    <cellStyle name="Normal 62 4 4" xfId="32237" xr:uid="{00000000-0005-0000-0000-000058B00000}"/>
    <cellStyle name="Normal 62 5" xfId="32238" xr:uid="{00000000-0005-0000-0000-000059B00000}"/>
    <cellStyle name="Normal 62 5 2" xfId="32239" xr:uid="{00000000-0005-0000-0000-00005AB00000}"/>
    <cellStyle name="Normal 62 5 2 2" xfId="32240" xr:uid="{00000000-0005-0000-0000-00005BB00000}"/>
    <cellStyle name="Normal 62 5 3" xfId="32241" xr:uid="{00000000-0005-0000-0000-00005CB00000}"/>
    <cellStyle name="Normal 62 5 3 2" xfId="32242" xr:uid="{00000000-0005-0000-0000-00005DB00000}"/>
    <cellStyle name="Normal 62 5 4" xfId="32243" xr:uid="{00000000-0005-0000-0000-00005EB00000}"/>
    <cellStyle name="Normal 62 6" xfId="32244" xr:uid="{00000000-0005-0000-0000-00005FB00000}"/>
    <cellStyle name="Normal 62 6 2" xfId="32245" xr:uid="{00000000-0005-0000-0000-000060B00000}"/>
    <cellStyle name="Normal 62 6 2 2" xfId="32246" xr:uid="{00000000-0005-0000-0000-000061B00000}"/>
    <cellStyle name="Normal 62 6 3" xfId="32247" xr:uid="{00000000-0005-0000-0000-000062B00000}"/>
    <cellStyle name="Normal 62 6 3 2" xfId="32248" xr:uid="{00000000-0005-0000-0000-000063B00000}"/>
    <cellStyle name="Normal 62 6 4" xfId="32249" xr:uid="{00000000-0005-0000-0000-000064B00000}"/>
    <cellStyle name="Normal 62 7" xfId="32250" xr:uid="{00000000-0005-0000-0000-000065B00000}"/>
    <cellStyle name="Normal 62 7 2" xfId="32251" xr:uid="{00000000-0005-0000-0000-000066B00000}"/>
    <cellStyle name="Normal 62 7 2 2" xfId="32252" xr:uid="{00000000-0005-0000-0000-000067B00000}"/>
    <cellStyle name="Normal 62 7 3" xfId="32253" xr:uid="{00000000-0005-0000-0000-000068B00000}"/>
    <cellStyle name="Normal 62 7 3 2" xfId="32254" xr:uid="{00000000-0005-0000-0000-000069B00000}"/>
    <cellStyle name="Normal 62 7 4" xfId="32255" xr:uid="{00000000-0005-0000-0000-00006AB00000}"/>
    <cellStyle name="Normal 62 8" xfId="32256" xr:uid="{00000000-0005-0000-0000-00006BB00000}"/>
    <cellStyle name="Normal 62 8 2" xfId="32257" xr:uid="{00000000-0005-0000-0000-00006CB00000}"/>
    <cellStyle name="Normal 62 8 2 2" xfId="32258" xr:uid="{00000000-0005-0000-0000-00006DB00000}"/>
    <cellStyle name="Normal 62 8 3" xfId="32259" xr:uid="{00000000-0005-0000-0000-00006EB00000}"/>
    <cellStyle name="Normal 62 8 3 2" xfId="32260" xr:uid="{00000000-0005-0000-0000-00006FB00000}"/>
    <cellStyle name="Normal 62 8 4" xfId="32261" xr:uid="{00000000-0005-0000-0000-000070B00000}"/>
    <cellStyle name="Normal 62 9" xfId="32262" xr:uid="{00000000-0005-0000-0000-000071B00000}"/>
    <cellStyle name="Normal 62 9 2" xfId="32263" xr:uid="{00000000-0005-0000-0000-000072B00000}"/>
    <cellStyle name="Normal 62 9 2 2" xfId="32264" xr:uid="{00000000-0005-0000-0000-000073B00000}"/>
    <cellStyle name="Normal 62 9 3" xfId="32265" xr:uid="{00000000-0005-0000-0000-000074B00000}"/>
    <cellStyle name="Normal 63" xfId="32266" xr:uid="{00000000-0005-0000-0000-000075B00000}"/>
    <cellStyle name="Normal 63 10" xfId="32267" xr:uid="{00000000-0005-0000-0000-000076B00000}"/>
    <cellStyle name="Normal 63 10 2" xfId="32268" xr:uid="{00000000-0005-0000-0000-000077B00000}"/>
    <cellStyle name="Normal 63 11" xfId="32269" xr:uid="{00000000-0005-0000-0000-000078B00000}"/>
    <cellStyle name="Normal 63 11 2" xfId="32270" xr:uid="{00000000-0005-0000-0000-000079B00000}"/>
    <cellStyle name="Normal 63 12" xfId="32271" xr:uid="{00000000-0005-0000-0000-00007AB00000}"/>
    <cellStyle name="Normal 63 13" xfId="32272" xr:uid="{00000000-0005-0000-0000-00007BB00000}"/>
    <cellStyle name="Normal 63 2" xfId="32273" xr:uid="{00000000-0005-0000-0000-00007CB00000}"/>
    <cellStyle name="Normal 63 2 10" xfId="32274" xr:uid="{00000000-0005-0000-0000-00007DB00000}"/>
    <cellStyle name="Normal 63 2 10 2" xfId="32275" xr:uid="{00000000-0005-0000-0000-00007EB00000}"/>
    <cellStyle name="Normal 63 2 11" xfId="32276" xr:uid="{00000000-0005-0000-0000-00007FB00000}"/>
    <cellStyle name="Normal 63 2 2" xfId="32277" xr:uid="{00000000-0005-0000-0000-000080B00000}"/>
    <cellStyle name="Normal 63 2 2 2" xfId="32278" xr:uid="{00000000-0005-0000-0000-000081B00000}"/>
    <cellStyle name="Normal 63 2 2 2 2" xfId="32279" xr:uid="{00000000-0005-0000-0000-000082B00000}"/>
    <cellStyle name="Normal 63 2 2 2 2 2" xfId="32280" xr:uid="{00000000-0005-0000-0000-000083B00000}"/>
    <cellStyle name="Normal 63 2 2 2 3" xfId="32281" xr:uid="{00000000-0005-0000-0000-000084B00000}"/>
    <cellStyle name="Normal 63 2 2 2 3 2" xfId="32282" xr:uid="{00000000-0005-0000-0000-000085B00000}"/>
    <cellStyle name="Normal 63 2 2 2 4" xfId="32283" xr:uid="{00000000-0005-0000-0000-000086B00000}"/>
    <cellStyle name="Normal 63 2 2 3" xfId="32284" xr:uid="{00000000-0005-0000-0000-000087B00000}"/>
    <cellStyle name="Normal 63 2 2 3 2" xfId="32285" xr:uid="{00000000-0005-0000-0000-000088B00000}"/>
    <cellStyle name="Normal 63 2 2 3 2 2" xfId="32286" xr:uid="{00000000-0005-0000-0000-000089B00000}"/>
    <cellStyle name="Normal 63 2 2 3 3" xfId="32287" xr:uid="{00000000-0005-0000-0000-00008AB00000}"/>
    <cellStyle name="Normal 63 2 2 3 3 2" xfId="32288" xr:uid="{00000000-0005-0000-0000-00008BB00000}"/>
    <cellStyle name="Normal 63 2 2 3 4" xfId="32289" xr:uid="{00000000-0005-0000-0000-00008CB00000}"/>
    <cellStyle name="Normal 63 2 2 4" xfId="32290" xr:uid="{00000000-0005-0000-0000-00008DB00000}"/>
    <cellStyle name="Normal 63 2 2 4 2" xfId="32291" xr:uid="{00000000-0005-0000-0000-00008EB00000}"/>
    <cellStyle name="Normal 63 2 2 5" xfId="32292" xr:uid="{00000000-0005-0000-0000-00008FB00000}"/>
    <cellStyle name="Normal 63 2 2 5 2" xfId="32293" xr:uid="{00000000-0005-0000-0000-000090B00000}"/>
    <cellStyle name="Normal 63 2 2 6" xfId="32294" xr:uid="{00000000-0005-0000-0000-000091B00000}"/>
    <cellStyle name="Normal 63 2 3" xfId="32295" xr:uid="{00000000-0005-0000-0000-000092B00000}"/>
    <cellStyle name="Normal 63 2 3 2" xfId="32296" xr:uid="{00000000-0005-0000-0000-000093B00000}"/>
    <cellStyle name="Normal 63 2 3 2 2" xfId="32297" xr:uid="{00000000-0005-0000-0000-000094B00000}"/>
    <cellStyle name="Normal 63 2 3 3" xfId="32298" xr:uid="{00000000-0005-0000-0000-000095B00000}"/>
    <cellStyle name="Normal 63 2 3 3 2" xfId="32299" xr:uid="{00000000-0005-0000-0000-000096B00000}"/>
    <cellStyle name="Normal 63 2 3 4" xfId="32300" xr:uid="{00000000-0005-0000-0000-000097B00000}"/>
    <cellStyle name="Normal 63 2 4" xfId="32301" xr:uid="{00000000-0005-0000-0000-000098B00000}"/>
    <cellStyle name="Normal 63 2 4 2" xfId="32302" xr:uid="{00000000-0005-0000-0000-000099B00000}"/>
    <cellStyle name="Normal 63 2 4 2 2" xfId="32303" xr:uid="{00000000-0005-0000-0000-00009AB00000}"/>
    <cellStyle name="Normal 63 2 4 3" xfId="32304" xr:uid="{00000000-0005-0000-0000-00009BB00000}"/>
    <cellStyle name="Normal 63 2 4 3 2" xfId="32305" xr:uid="{00000000-0005-0000-0000-00009CB00000}"/>
    <cellStyle name="Normal 63 2 4 4" xfId="32306" xr:uid="{00000000-0005-0000-0000-00009DB00000}"/>
    <cellStyle name="Normal 63 2 5" xfId="32307" xr:uid="{00000000-0005-0000-0000-00009EB00000}"/>
    <cellStyle name="Normal 63 2 5 2" xfId="32308" xr:uid="{00000000-0005-0000-0000-00009FB00000}"/>
    <cellStyle name="Normal 63 2 5 2 2" xfId="32309" xr:uid="{00000000-0005-0000-0000-0000A0B00000}"/>
    <cellStyle name="Normal 63 2 5 3" xfId="32310" xr:uid="{00000000-0005-0000-0000-0000A1B00000}"/>
    <cellStyle name="Normal 63 2 5 3 2" xfId="32311" xr:uid="{00000000-0005-0000-0000-0000A2B00000}"/>
    <cellStyle name="Normal 63 2 5 4" xfId="32312" xr:uid="{00000000-0005-0000-0000-0000A3B00000}"/>
    <cellStyle name="Normal 63 2 6" xfId="32313" xr:uid="{00000000-0005-0000-0000-0000A4B00000}"/>
    <cellStyle name="Normal 63 2 6 2" xfId="32314" xr:uid="{00000000-0005-0000-0000-0000A5B00000}"/>
    <cellStyle name="Normal 63 2 6 2 2" xfId="32315" xr:uid="{00000000-0005-0000-0000-0000A6B00000}"/>
    <cellStyle name="Normal 63 2 6 3" xfId="32316" xr:uid="{00000000-0005-0000-0000-0000A7B00000}"/>
    <cellStyle name="Normal 63 2 6 3 2" xfId="32317" xr:uid="{00000000-0005-0000-0000-0000A8B00000}"/>
    <cellStyle name="Normal 63 2 6 4" xfId="32318" xr:uid="{00000000-0005-0000-0000-0000A9B00000}"/>
    <cellStyle name="Normal 63 2 7" xfId="32319" xr:uid="{00000000-0005-0000-0000-0000AAB00000}"/>
    <cellStyle name="Normal 63 2 7 2" xfId="32320" xr:uid="{00000000-0005-0000-0000-0000ABB00000}"/>
    <cellStyle name="Normal 63 2 7 2 2" xfId="32321" xr:uid="{00000000-0005-0000-0000-0000ACB00000}"/>
    <cellStyle name="Normal 63 2 7 3" xfId="32322" xr:uid="{00000000-0005-0000-0000-0000ADB00000}"/>
    <cellStyle name="Normal 63 2 7 3 2" xfId="32323" xr:uid="{00000000-0005-0000-0000-0000AEB00000}"/>
    <cellStyle name="Normal 63 2 7 4" xfId="32324" xr:uid="{00000000-0005-0000-0000-0000AFB00000}"/>
    <cellStyle name="Normal 63 2 8" xfId="32325" xr:uid="{00000000-0005-0000-0000-0000B0B00000}"/>
    <cellStyle name="Normal 63 2 8 2" xfId="32326" xr:uid="{00000000-0005-0000-0000-0000B1B00000}"/>
    <cellStyle name="Normal 63 2 8 2 2" xfId="32327" xr:uid="{00000000-0005-0000-0000-0000B2B00000}"/>
    <cellStyle name="Normal 63 2 8 3" xfId="32328" xr:uid="{00000000-0005-0000-0000-0000B3B00000}"/>
    <cellStyle name="Normal 63 2 9" xfId="32329" xr:uid="{00000000-0005-0000-0000-0000B4B00000}"/>
    <cellStyle name="Normal 63 2 9 2" xfId="32330" xr:uid="{00000000-0005-0000-0000-0000B5B00000}"/>
    <cellStyle name="Normal 63 3" xfId="32331" xr:uid="{00000000-0005-0000-0000-0000B6B00000}"/>
    <cellStyle name="Normal 63 3 2" xfId="32332" xr:uid="{00000000-0005-0000-0000-0000B7B00000}"/>
    <cellStyle name="Normal 63 3 2 2" xfId="32333" xr:uid="{00000000-0005-0000-0000-0000B8B00000}"/>
    <cellStyle name="Normal 63 3 2 2 2" xfId="32334" xr:uid="{00000000-0005-0000-0000-0000B9B00000}"/>
    <cellStyle name="Normal 63 3 2 3" xfId="32335" xr:uid="{00000000-0005-0000-0000-0000BAB00000}"/>
    <cellStyle name="Normal 63 3 2 3 2" xfId="32336" xr:uid="{00000000-0005-0000-0000-0000BBB00000}"/>
    <cellStyle name="Normal 63 3 2 4" xfId="32337" xr:uid="{00000000-0005-0000-0000-0000BCB00000}"/>
    <cellStyle name="Normal 63 3 3" xfId="32338" xr:uid="{00000000-0005-0000-0000-0000BDB00000}"/>
    <cellStyle name="Normal 63 3 3 2" xfId="32339" xr:uid="{00000000-0005-0000-0000-0000BEB00000}"/>
    <cellStyle name="Normal 63 3 3 2 2" xfId="32340" xr:uid="{00000000-0005-0000-0000-0000BFB00000}"/>
    <cellStyle name="Normal 63 3 3 3" xfId="32341" xr:uid="{00000000-0005-0000-0000-0000C0B00000}"/>
    <cellStyle name="Normal 63 3 3 3 2" xfId="32342" xr:uid="{00000000-0005-0000-0000-0000C1B00000}"/>
    <cellStyle name="Normal 63 3 3 4" xfId="32343" xr:uid="{00000000-0005-0000-0000-0000C2B00000}"/>
    <cellStyle name="Normal 63 3 4" xfId="32344" xr:uid="{00000000-0005-0000-0000-0000C3B00000}"/>
    <cellStyle name="Normal 63 3 4 2" xfId="32345" xr:uid="{00000000-0005-0000-0000-0000C4B00000}"/>
    <cellStyle name="Normal 63 3 5" xfId="32346" xr:uid="{00000000-0005-0000-0000-0000C5B00000}"/>
    <cellStyle name="Normal 63 3 5 2" xfId="32347" xr:uid="{00000000-0005-0000-0000-0000C6B00000}"/>
    <cellStyle name="Normal 63 3 6" xfId="32348" xr:uid="{00000000-0005-0000-0000-0000C7B00000}"/>
    <cellStyle name="Normal 63 4" xfId="32349" xr:uid="{00000000-0005-0000-0000-0000C8B00000}"/>
    <cellStyle name="Normal 63 4 2" xfId="32350" xr:uid="{00000000-0005-0000-0000-0000C9B00000}"/>
    <cellStyle name="Normal 63 4 2 2" xfId="32351" xr:uid="{00000000-0005-0000-0000-0000CAB00000}"/>
    <cellStyle name="Normal 63 4 3" xfId="32352" xr:uid="{00000000-0005-0000-0000-0000CBB00000}"/>
    <cellStyle name="Normal 63 4 3 2" xfId="32353" xr:uid="{00000000-0005-0000-0000-0000CCB00000}"/>
    <cellStyle name="Normal 63 4 4" xfId="32354" xr:uid="{00000000-0005-0000-0000-0000CDB00000}"/>
    <cellStyle name="Normal 63 5" xfId="32355" xr:uid="{00000000-0005-0000-0000-0000CEB00000}"/>
    <cellStyle name="Normal 63 5 2" xfId="32356" xr:uid="{00000000-0005-0000-0000-0000CFB00000}"/>
    <cellStyle name="Normal 63 5 2 2" xfId="32357" xr:uid="{00000000-0005-0000-0000-0000D0B00000}"/>
    <cellStyle name="Normal 63 5 3" xfId="32358" xr:uid="{00000000-0005-0000-0000-0000D1B00000}"/>
    <cellStyle name="Normal 63 5 3 2" xfId="32359" xr:uid="{00000000-0005-0000-0000-0000D2B00000}"/>
    <cellStyle name="Normal 63 5 4" xfId="32360" xr:uid="{00000000-0005-0000-0000-0000D3B00000}"/>
    <cellStyle name="Normal 63 6" xfId="32361" xr:uid="{00000000-0005-0000-0000-0000D4B00000}"/>
    <cellStyle name="Normal 63 6 2" xfId="32362" xr:uid="{00000000-0005-0000-0000-0000D5B00000}"/>
    <cellStyle name="Normal 63 6 2 2" xfId="32363" xr:uid="{00000000-0005-0000-0000-0000D6B00000}"/>
    <cellStyle name="Normal 63 6 3" xfId="32364" xr:uid="{00000000-0005-0000-0000-0000D7B00000}"/>
    <cellStyle name="Normal 63 6 3 2" xfId="32365" xr:uid="{00000000-0005-0000-0000-0000D8B00000}"/>
    <cellStyle name="Normal 63 6 4" xfId="32366" xr:uid="{00000000-0005-0000-0000-0000D9B00000}"/>
    <cellStyle name="Normal 63 7" xfId="32367" xr:uid="{00000000-0005-0000-0000-0000DAB00000}"/>
    <cellStyle name="Normal 63 7 2" xfId="32368" xr:uid="{00000000-0005-0000-0000-0000DBB00000}"/>
    <cellStyle name="Normal 63 7 2 2" xfId="32369" xr:uid="{00000000-0005-0000-0000-0000DCB00000}"/>
    <cellStyle name="Normal 63 7 3" xfId="32370" xr:uid="{00000000-0005-0000-0000-0000DDB00000}"/>
    <cellStyle name="Normal 63 7 3 2" xfId="32371" xr:uid="{00000000-0005-0000-0000-0000DEB00000}"/>
    <cellStyle name="Normal 63 7 4" xfId="32372" xr:uid="{00000000-0005-0000-0000-0000DFB00000}"/>
    <cellStyle name="Normal 63 8" xfId="32373" xr:uid="{00000000-0005-0000-0000-0000E0B00000}"/>
    <cellStyle name="Normal 63 8 2" xfId="32374" xr:uid="{00000000-0005-0000-0000-0000E1B00000}"/>
    <cellStyle name="Normal 63 8 2 2" xfId="32375" xr:uid="{00000000-0005-0000-0000-0000E2B00000}"/>
    <cellStyle name="Normal 63 8 3" xfId="32376" xr:uid="{00000000-0005-0000-0000-0000E3B00000}"/>
    <cellStyle name="Normal 63 8 3 2" xfId="32377" xr:uid="{00000000-0005-0000-0000-0000E4B00000}"/>
    <cellStyle name="Normal 63 8 4" xfId="32378" xr:uid="{00000000-0005-0000-0000-0000E5B00000}"/>
    <cellStyle name="Normal 63 9" xfId="32379" xr:uid="{00000000-0005-0000-0000-0000E6B00000}"/>
    <cellStyle name="Normal 63 9 2" xfId="32380" xr:uid="{00000000-0005-0000-0000-0000E7B00000}"/>
    <cellStyle name="Normal 63 9 2 2" xfId="32381" xr:uid="{00000000-0005-0000-0000-0000E8B00000}"/>
    <cellStyle name="Normal 63 9 3" xfId="32382" xr:uid="{00000000-0005-0000-0000-0000E9B00000}"/>
    <cellStyle name="Normal 64" xfId="32383" xr:uid="{00000000-0005-0000-0000-0000EAB00000}"/>
    <cellStyle name="Normal 64 10" xfId="32384" xr:uid="{00000000-0005-0000-0000-0000EBB00000}"/>
    <cellStyle name="Normal 64 10 2" xfId="32385" xr:uid="{00000000-0005-0000-0000-0000ECB00000}"/>
    <cellStyle name="Normal 64 11" xfId="32386" xr:uid="{00000000-0005-0000-0000-0000EDB00000}"/>
    <cellStyle name="Normal 64 11 2" xfId="32387" xr:uid="{00000000-0005-0000-0000-0000EEB00000}"/>
    <cellStyle name="Normal 64 12" xfId="32388" xr:uid="{00000000-0005-0000-0000-0000EFB00000}"/>
    <cellStyle name="Normal 64 13" xfId="32389" xr:uid="{00000000-0005-0000-0000-0000F0B00000}"/>
    <cellStyle name="Normal 64 2" xfId="32390" xr:uid="{00000000-0005-0000-0000-0000F1B00000}"/>
    <cellStyle name="Normal 64 2 10" xfId="32391" xr:uid="{00000000-0005-0000-0000-0000F2B00000}"/>
    <cellStyle name="Normal 64 2 10 2" xfId="32392" xr:uid="{00000000-0005-0000-0000-0000F3B00000}"/>
    <cellStyle name="Normal 64 2 11" xfId="32393" xr:uid="{00000000-0005-0000-0000-0000F4B00000}"/>
    <cellStyle name="Normal 64 2 2" xfId="32394" xr:uid="{00000000-0005-0000-0000-0000F5B00000}"/>
    <cellStyle name="Normal 64 2 2 2" xfId="32395" xr:uid="{00000000-0005-0000-0000-0000F6B00000}"/>
    <cellStyle name="Normal 64 2 2 2 2" xfId="32396" xr:uid="{00000000-0005-0000-0000-0000F7B00000}"/>
    <cellStyle name="Normal 64 2 2 2 2 2" xfId="32397" xr:uid="{00000000-0005-0000-0000-0000F8B00000}"/>
    <cellStyle name="Normal 64 2 2 2 3" xfId="32398" xr:uid="{00000000-0005-0000-0000-0000F9B00000}"/>
    <cellStyle name="Normal 64 2 2 2 3 2" xfId="32399" xr:uid="{00000000-0005-0000-0000-0000FAB00000}"/>
    <cellStyle name="Normal 64 2 2 2 4" xfId="32400" xr:uid="{00000000-0005-0000-0000-0000FBB00000}"/>
    <cellStyle name="Normal 64 2 2 3" xfId="32401" xr:uid="{00000000-0005-0000-0000-0000FCB00000}"/>
    <cellStyle name="Normal 64 2 2 3 2" xfId="32402" xr:uid="{00000000-0005-0000-0000-0000FDB00000}"/>
    <cellStyle name="Normal 64 2 2 3 2 2" xfId="32403" xr:uid="{00000000-0005-0000-0000-0000FEB00000}"/>
    <cellStyle name="Normal 64 2 2 3 3" xfId="32404" xr:uid="{00000000-0005-0000-0000-0000FFB00000}"/>
    <cellStyle name="Normal 64 2 2 3 3 2" xfId="32405" xr:uid="{00000000-0005-0000-0000-000000B10000}"/>
    <cellStyle name="Normal 64 2 2 3 4" xfId="32406" xr:uid="{00000000-0005-0000-0000-000001B10000}"/>
    <cellStyle name="Normal 64 2 2 4" xfId="32407" xr:uid="{00000000-0005-0000-0000-000002B10000}"/>
    <cellStyle name="Normal 64 2 2 4 2" xfId="32408" xr:uid="{00000000-0005-0000-0000-000003B10000}"/>
    <cellStyle name="Normal 64 2 2 5" xfId="32409" xr:uid="{00000000-0005-0000-0000-000004B10000}"/>
    <cellStyle name="Normal 64 2 2 5 2" xfId="32410" xr:uid="{00000000-0005-0000-0000-000005B10000}"/>
    <cellStyle name="Normal 64 2 2 6" xfId="32411" xr:uid="{00000000-0005-0000-0000-000006B10000}"/>
    <cellStyle name="Normal 64 2 3" xfId="32412" xr:uid="{00000000-0005-0000-0000-000007B10000}"/>
    <cellStyle name="Normal 64 2 3 2" xfId="32413" xr:uid="{00000000-0005-0000-0000-000008B10000}"/>
    <cellStyle name="Normal 64 2 3 2 2" xfId="32414" xr:uid="{00000000-0005-0000-0000-000009B10000}"/>
    <cellStyle name="Normal 64 2 3 3" xfId="32415" xr:uid="{00000000-0005-0000-0000-00000AB10000}"/>
    <cellStyle name="Normal 64 2 3 3 2" xfId="32416" xr:uid="{00000000-0005-0000-0000-00000BB10000}"/>
    <cellStyle name="Normal 64 2 3 4" xfId="32417" xr:uid="{00000000-0005-0000-0000-00000CB10000}"/>
    <cellStyle name="Normal 64 2 4" xfId="32418" xr:uid="{00000000-0005-0000-0000-00000DB10000}"/>
    <cellStyle name="Normal 64 2 4 2" xfId="32419" xr:uid="{00000000-0005-0000-0000-00000EB10000}"/>
    <cellStyle name="Normal 64 2 4 2 2" xfId="32420" xr:uid="{00000000-0005-0000-0000-00000FB10000}"/>
    <cellStyle name="Normal 64 2 4 3" xfId="32421" xr:uid="{00000000-0005-0000-0000-000010B10000}"/>
    <cellStyle name="Normal 64 2 4 3 2" xfId="32422" xr:uid="{00000000-0005-0000-0000-000011B10000}"/>
    <cellStyle name="Normal 64 2 4 4" xfId="32423" xr:uid="{00000000-0005-0000-0000-000012B10000}"/>
    <cellStyle name="Normal 64 2 5" xfId="32424" xr:uid="{00000000-0005-0000-0000-000013B10000}"/>
    <cellStyle name="Normal 64 2 5 2" xfId="32425" xr:uid="{00000000-0005-0000-0000-000014B10000}"/>
    <cellStyle name="Normal 64 2 5 2 2" xfId="32426" xr:uid="{00000000-0005-0000-0000-000015B10000}"/>
    <cellStyle name="Normal 64 2 5 3" xfId="32427" xr:uid="{00000000-0005-0000-0000-000016B10000}"/>
    <cellStyle name="Normal 64 2 5 3 2" xfId="32428" xr:uid="{00000000-0005-0000-0000-000017B10000}"/>
    <cellStyle name="Normal 64 2 5 4" xfId="32429" xr:uid="{00000000-0005-0000-0000-000018B10000}"/>
    <cellStyle name="Normal 64 2 6" xfId="32430" xr:uid="{00000000-0005-0000-0000-000019B10000}"/>
    <cellStyle name="Normal 64 2 6 2" xfId="32431" xr:uid="{00000000-0005-0000-0000-00001AB10000}"/>
    <cellStyle name="Normal 64 2 6 2 2" xfId="32432" xr:uid="{00000000-0005-0000-0000-00001BB10000}"/>
    <cellStyle name="Normal 64 2 6 3" xfId="32433" xr:uid="{00000000-0005-0000-0000-00001CB10000}"/>
    <cellStyle name="Normal 64 2 6 3 2" xfId="32434" xr:uid="{00000000-0005-0000-0000-00001DB10000}"/>
    <cellStyle name="Normal 64 2 6 4" xfId="32435" xr:uid="{00000000-0005-0000-0000-00001EB10000}"/>
    <cellStyle name="Normal 64 2 7" xfId="32436" xr:uid="{00000000-0005-0000-0000-00001FB10000}"/>
    <cellStyle name="Normal 64 2 7 2" xfId="32437" xr:uid="{00000000-0005-0000-0000-000020B10000}"/>
    <cellStyle name="Normal 64 2 7 2 2" xfId="32438" xr:uid="{00000000-0005-0000-0000-000021B10000}"/>
    <cellStyle name="Normal 64 2 7 3" xfId="32439" xr:uid="{00000000-0005-0000-0000-000022B10000}"/>
    <cellStyle name="Normal 64 2 7 3 2" xfId="32440" xr:uid="{00000000-0005-0000-0000-000023B10000}"/>
    <cellStyle name="Normal 64 2 7 4" xfId="32441" xr:uid="{00000000-0005-0000-0000-000024B10000}"/>
    <cellStyle name="Normal 64 2 8" xfId="32442" xr:uid="{00000000-0005-0000-0000-000025B10000}"/>
    <cellStyle name="Normal 64 2 8 2" xfId="32443" xr:uid="{00000000-0005-0000-0000-000026B10000}"/>
    <cellStyle name="Normal 64 2 8 2 2" xfId="32444" xr:uid="{00000000-0005-0000-0000-000027B10000}"/>
    <cellStyle name="Normal 64 2 8 3" xfId="32445" xr:uid="{00000000-0005-0000-0000-000028B10000}"/>
    <cellStyle name="Normal 64 2 9" xfId="32446" xr:uid="{00000000-0005-0000-0000-000029B10000}"/>
    <cellStyle name="Normal 64 2 9 2" xfId="32447" xr:uid="{00000000-0005-0000-0000-00002AB10000}"/>
    <cellStyle name="Normal 64 3" xfId="32448" xr:uid="{00000000-0005-0000-0000-00002BB10000}"/>
    <cellStyle name="Normal 64 3 2" xfId="32449" xr:uid="{00000000-0005-0000-0000-00002CB10000}"/>
    <cellStyle name="Normal 64 3 2 2" xfId="32450" xr:uid="{00000000-0005-0000-0000-00002DB10000}"/>
    <cellStyle name="Normal 64 3 2 2 2" xfId="32451" xr:uid="{00000000-0005-0000-0000-00002EB10000}"/>
    <cellStyle name="Normal 64 3 2 3" xfId="32452" xr:uid="{00000000-0005-0000-0000-00002FB10000}"/>
    <cellStyle name="Normal 64 3 2 3 2" xfId="32453" xr:uid="{00000000-0005-0000-0000-000030B10000}"/>
    <cellStyle name="Normal 64 3 2 4" xfId="32454" xr:uid="{00000000-0005-0000-0000-000031B10000}"/>
    <cellStyle name="Normal 64 3 3" xfId="32455" xr:uid="{00000000-0005-0000-0000-000032B10000}"/>
    <cellStyle name="Normal 64 3 3 2" xfId="32456" xr:uid="{00000000-0005-0000-0000-000033B10000}"/>
    <cellStyle name="Normal 64 3 3 2 2" xfId="32457" xr:uid="{00000000-0005-0000-0000-000034B10000}"/>
    <cellStyle name="Normal 64 3 3 3" xfId="32458" xr:uid="{00000000-0005-0000-0000-000035B10000}"/>
    <cellStyle name="Normal 64 3 3 3 2" xfId="32459" xr:uid="{00000000-0005-0000-0000-000036B10000}"/>
    <cellStyle name="Normal 64 3 3 4" xfId="32460" xr:uid="{00000000-0005-0000-0000-000037B10000}"/>
    <cellStyle name="Normal 64 3 4" xfId="32461" xr:uid="{00000000-0005-0000-0000-000038B10000}"/>
    <cellStyle name="Normal 64 3 4 2" xfId="32462" xr:uid="{00000000-0005-0000-0000-000039B10000}"/>
    <cellStyle name="Normal 64 3 5" xfId="32463" xr:uid="{00000000-0005-0000-0000-00003AB10000}"/>
    <cellStyle name="Normal 64 3 5 2" xfId="32464" xr:uid="{00000000-0005-0000-0000-00003BB10000}"/>
    <cellStyle name="Normal 64 3 6" xfId="32465" xr:uid="{00000000-0005-0000-0000-00003CB10000}"/>
    <cellStyle name="Normal 64 4" xfId="32466" xr:uid="{00000000-0005-0000-0000-00003DB10000}"/>
    <cellStyle name="Normal 64 4 2" xfId="32467" xr:uid="{00000000-0005-0000-0000-00003EB10000}"/>
    <cellStyle name="Normal 64 4 2 2" xfId="32468" xr:uid="{00000000-0005-0000-0000-00003FB10000}"/>
    <cellStyle name="Normal 64 4 3" xfId="32469" xr:uid="{00000000-0005-0000-0000-000040B10000}"/>
    <cellStyle name="Normal 64 4 3 2" xfId="32470" xr:uid="{00000000-0005-0000-0000-000041B10000}"/>
    <cellStyle name="Normal 64 4 4" xfId="32471" xr:uid="{00000000-0005-0000-0000-000042B10000}"/>
    <cellStyle name="Normal 64 5" xfId="32472" xr:uid="{00000000-0005-0000-0000-000043B10000}"/>
    <cellStyle name="Normal 64 5 2" xfId="32473" xr:uid="{00000000-0005-0000-0000-000044B10000}"/>
    <cellStyle name="Normal 64 5 2 2" xfId="32474" xr:uid="{00000000-0005-0000-0000-000045B10000}"/>
    <cellStyle name="Normal 64 5 3" xfId="32475" xr:uid="{00000000-0005-0000-0000-000046B10000}"/>
    <cellStyle name="Normal 64 5 3 2" xfId="32476" xr:uid="{00000000-0005-0000-0000-000047B10000}"/>
    <cellStyle name="Normal 64 5 4" xfId="32477" xr:uid="{00000000-0005-0000-0000-000048B10000}"/>
    <cellStyle name="Normal 64 6" xfId="32478" xr:uid="{00000000-0005-0000-0000-000049B10000}"/>
    <cellStyle name="Normal 64 6 2" xfId="32479" xr:uid="{00000000-0005-0000-0000-00004AB10000}"/>
    <cellStyle name="Normal 64 6 2 2" xfId="32480" xr:uid="{00000000-0005-0000-0000-00004BB10000}"/>
    <cellStyle name="Normal 64 6 3" xfId="32481" xr:uid="{00000000-0005-0000-0000-00004CB10000}"/>
    <cellStyle name="Normal 64 6 3 2" xfId="32482" xr:uid="{00000000-0005-0000-0000-00004DB10000}"/>
    <cellStyle name="Normal 64 6 4" xfId="32483" xr:uid="{00000000-0005-0000-0000-00004EB10000}"/>
    <cellStyle name="Normal 64 7" xfId="32484" xr:uid="{00000000-0005-0000-0000-00004FB10000}"/>
    <cellStyle name="Normal 64 7 2" xfId="32485" xr:uid="{00000000-0005-0000-0000-000050B10000}"/>
    <cellStyle name="Normal 64 7 2 2" xfId="32486" xr:uid="{00000000-0005-0000-0000-000051B10000}"/>
    <cellStyle name="Normal 64 7 3" xfId="32487" xr:uid="{00000000-0005-0000-0000-000052B10000}"/>
    <cellStyle name="Normal 64 7 3 2" xfId="32488" xr:uid="{00000000-0005-0000-0000-000053B10000}"/>
    <cellStyle name="Normal 64 7 4" xfId="32489" xr:uid="{00000000-0005-0000-0000-000054B10000}"/>
    <cellStyle name="Normal 64 8" xfId="32490" xr:uid="{00000000-0005-0000-0000-000055B10000}"/>
    <cellStyle name="Normal 64 8 2" xfId="32491" xr:uid="{00000000-0005-0000-0000-000056B10000}"/>
    <cellStyle name="Normal 64 8 2 2" xfId="32492" xr:uid="{00000000-0005-0000-0000-000057B10000}"/>
    <cellStyle name="Normal 64 8 3" xfId="32493" xr:uid="{00000000-0005-0000-0000-000058B10000}"/>
    <cellStyle name="Normal 64 8 3 2" xfId="32494" xr:uid="{00000000-0005-0000-0000-000059B10000}"/>
    <cellStyle name="Normal 64 8 4" xfId="32495" xr:uid="{00000000-0005-0000-0000-00005AB10000}"/>
    <cellStyle name="Normal 64 9" xfId="32496" xr:uid="{00000000-0005-0000-0000-00005BB10000}"/>
    <cellStyle name="Normal 64 9 2" xfId="32497" xr:uid="{00000000-0005-0000-0000-00005CB10000}"/>
    <cellStyle name="Normal 64 9 2 2" xfId="32498" xr:uid="{00000000-0005-0000-0000-00005DB10000}"/>
    <cellStyle name="Normal 64 9 3" xfId="32499" xr:uid="{00000000-0005-0000-0000-00005EB10000}"/>
    <cellStyle name="Normal 65" xfId="32500" xr:uid="{00000000-0005-0000-0000-00005FB10000}"/>
    <cellStyle name="Normal 65 10" xfId="32501" xr:uid="{00000000-0005-0000-0000-000060B10000}"/>
    <cellStyle name="Normal 65 10 2" xfId="32502" xr:uid="{00000000-0005-0000-0000-000061B10000}"/>
    <cellStyle name="Normal 65 11" xfId="32503" xr:uid="{00000000-0005-0000-0000-000062B10000}"/>
    <cellStyle name="Normal 65 11 2" xfId="32504" xr:uid="{00000000-0005-0000-0000-000063B10000}"/>
    <cellStyle name="Normal 65 12" xfId="32505" xr:uid="{00000000-0005-0000-0000-000064B10000}"/>
    <cellStyle name="Normal 65 13" xfId="32506" xr:uid="{00000000-0005-0000-0000-000065B10000}"/>
    <cellStyle name="Normal 65 2" xfId="32507" xr:uid="{00000000-0005-0000-0000-000066B10000}"/>
    <cellStyle name="Normal 65 2 10" xfId="32508" xr:uid="{00000000-0005-0000-0000-000067B10000}"/>
    <cellStyle name="Normal 65 2 10 2" xfId="32509" xr:uid="{00000000-0005-0000-0000-000068B10000}"/>
    <cellStyle name="Normal 65 2 11" xfId="32510" xr:uid="{00000000-0005-0000-0000-000069B10000}"/>
    <cellStyle name="Normal 65 2 12" xfId="32511" xr:uid="{00000000-0005-0000-0000-00006AB10000}"/>
    <cellStyle name="Normal 65 2 2" xfId="32512" xr:uid="{00000000-0005-0000-0000-00006BB10000}"/>
    <cellStyle name="Normal 65 2 2 2" xfId="32513" xr:uid="{00000000-0005-0000-0000-00006CB10000}"/>
    <cellStyle name="Normal 65 2 2 2 2" xfId="32514" xr:uid="{00000000-0005-0000-0000-00006DB10000}"/>
    <cellStyle name="Normal 65 2 2 2 2 2" xfId="32515" xr:uid="{00000000-0005-0000-0000-00006EB10000}"/>
    <cellStyle name="Normal 65 2 2 2 3" xfId="32516" xr:uid="{00000000-0005-0000-0000-00006FB10000}"/>
    <cellStyle name="Normal 65 2 2 2 3 2" xfId="32517" xr:uid="{00000000-0005-0000-0000-000070B10000}"/>
    <cellStyle name="Normal 65 2 2 2 4" xfId="32518" xr:uid="{00000000-0005-0000-0000-000071B10000}"/>
    <cellStyle name="Normal 65 2 2 3" xfId="32519" xr:uid="{00000000-0005-0000-0000-000072B10000}"/>
    <cellStyle name="Normal 65 2 2 3 2" xfId="32520" xr:uid="{00000000-0005-0000-0000-000073B10000}"/>
    <cellStyle name="Normal 65 2 2 3 2 2" xfId="32521" xr:uid="{00000000-0005-0000-0000-000074B10000}"/>
    <cellStyle name="Normal 65 2 2 3 3" xfId="32522" xr:uid="{00000000-0005-0000-0000-000075B10000}"/>
    <cellStyle name="Normal 65 2 2 3 3 2" xfId="32523" xr:uid="{00000000-0005-0000-0000-000076B10000}"/>
    <cellStyle name="Normal 65 2 2 3 4" xfId="32524" xr:uid="{00000000-0005-0000-0000-000077B10000}"/>
    <cellStyle name="Normal 65 2 2 4" xfId="32525" xr:uid="{00000000-0005-0000-0000-000078B10000}"/>
    <cellStyle name="Normal 65 2 2 4 2" xfId="32526" xr:uid="{00000000-0005-0000-0000-000079B10000}"/>
    <cellStyle name="Normal 65 2 2 5" xfId="32527" xr:uid="{00000000-0005-0000-0000-00007AB10000}"/>
    <cellStyle name="Normal 65 2 2 5 2" xfId="32528" xr:uid="{00000000-0005-0000-0000-00007BB10000}"/>
    <cellStyle name="Normal 65 2 2 6" xfId="32529" xr:uid="{00000000-0005-0000-0000-00007CB10000}"/>
    <cellStyle name="Normal 65 2 3" xfId="32530" xr:uid="{00000000-0005-0000-0000-00007DB10000}"/>
    <cellStyle name="Normal 65 2 3 2" xfId="32531" xr:uid="{00000000-0005-0000-0000-00007EB10000}"/>
    <cellStyle name="Normal 65 2 3 2 2" xfId="32532" xr:uid="{00000000-0005-0000-0000-00007FB10000}"/>
    <cellStyle name="Normal 65 2 3 3" xfId="32533" xr:uid="{00000000-0005-0000-0000-000080B10000}"/>
    <cellStyle name="Normal 65 2 3 3 2" xfId="32534" xr:uid="{00000000-0005-0000-0000-000081B10000}"/>
    <cellStyle name="Normal 65 2 3 4" xfId="32535" xr:uid="{00000000-0005-0000-0000-000082B10000}"/>
    <cellStyle name="Normal 65 2 4" xfId="32536" xr:uid="{00000000-0005-0000-0000-000083B10000}"/>
    <cellStyle name="Normal 65 2 4 2" xfId="32537" xr:uid="{00000000-0005-0000-0000-000084B10000}"/>
    <cellStyle name="Normal 65 2 4 2 2" xfId="32538" xr:uid="{00000000-0005-0000-0000-000085B10000}"/>
    <cellStyle name="Normal 65 2 4 3" xfId="32539" xr:uid="{00000000-0005-0000-0000-000086B10000}"/>
    <cellStyle name="Normal 65 2 4 3 2" xfId="32540" xr:uid="{00000000-0005-0000-0000-000087B10000}"/>
    <cellStyle name="Normal 65 2 4 4" xfId="32541" xr:uid="{00000000-0005-0000-0000-000088B10000}"/>
    <cellStyle name="Normal 65 2 5" xfId="32542" xr:uid="{00000000-0005-0000-0000-000089B10000}"/>
    <cellStyle name="Normal 65 2 5 2" xfId="32543" xr:uid="{00000000-0005-0000-0000-00008AB10000}"/>
    <cellStyle name="Normal 65 2 5 2 2" xfId="32544" xr:uid="{00000000-0005-0000-0000-00008BB10000}"/>
    <cellStyle name="Normal 65 2 5 3" xfId="32545" xr:uid="{00000000-0005-0000-0000-00008CB10000}"/>
    <cellStyle name="Normal 65 2 5 3 2" xfId="32546" xr:uid="{00000000-0005-0000-0000-00008DB10000}"/>
    <cellStyle name="Normal 65 2 5 4" xfId="32547" xr:uid="{00000000-0005-0000-0000-00008EB10000}"/>
    <cellStyle name="Normal 65 2 6" xfId="32548" xr:uid="{00000000-0005-0000-0000-00008FB10000}"/>
    <cellStyle name="Normal 65 2 6 2" xfId="32549" xr:uid="{00000000-0005-0000-0000-000090B10000}"/>
    <cellStyle name="Normal 65 2 6 2 2" xfId="32550" xr:uid="{00000000-0005-0000-0000-000091B10000}"/>
    <cellStyle name="Normal 65 2 6 3" xfId="32551" xr:uid="{00000000-0005-0000-0000-000092B10000}"/>
    <cellStyle name="Normal 65 2 6 3 2" xfId="32552" xr:uid="{00000000-0005-0000-0000-000093B10000}"/>
    <cellStyle name="Normal 65 2 6 4" xfId="32553" xr:uid="{00000000-0005-0000-0000-000094B10000}"/>
    <cellStyle name="Normal 65 2 7" xfId="32554" xr:uid="{00000000-0005-0000-0000-000095B10000}"/>
    <cellStyle name="Normal 65 2 7 2" xfId="32555" xr:uid="{00000000-0005-0000-0000-000096B10000}"/>
    <cellStyle name="Normal 65 2 7 2 2" xfId="32556" xr:uid="{00000000-0005-0000-0000-000097B10000}"/>
    <cellStyle name="Normal 65 2 7 3" xfId="32557" xr:uid="{00000000-0005-0000-0000-000098B10000}"/>
    <cellStyle name="Normal 65 2 7 3 2" xfId="32558" xr:uid="{00000000-0005-0000-0000-000099B10000}"/>
    <cellStyle name="Normal 65 2 7 4" xfId="32559" xr:uid="{00000000-0005-0000-0000-00009AB10000}"/>
    <cellStyle name="Normal 65 2 8" xfId="32560" xr:uid="{00000000-0005-0000-0000-00009BB10000}"/>
    <cellStyle name="Normal 65 2 8 2" xfId="32561" xr:uid="{00000000-0005-0000-0000-00009CB10000}"/>
    <cellStyle name="Normal 65 2 8 2 2" xfId="32562" xr:uid="{00000000-0005-0000-0000-00009DB10000}"/>
    <cellStyle name="Normal 65 2 8 3" xfId="32563" xr:uid="{00000000-0005-0000-0000-00009EB10000}"/>
    <cellStyle name="Normal 65 2 9" xfId="32564" xr:uid="{00000000-0005-0000-0000-00009FB10000}"/>
    <cellStyle name="Normal 65 2 9 2" xfId="32565" xr:uid="{00000000-0005-0000-0000-0000A0B10000}"/>
    <cellStyle name="Normal 65 3" xfId="32566" xr:uid="{00000000-0005-0000-0000-0000A1B10000}"/>
    <cellStyle name="Normal 65 3 2" xfId="32567" xr:uid="{00000000-0005-0000-0000-0000A2B10000}"/>
    <cellStyle name="Normal 65 3 2 2" xfId="32568" xr:uid="{00000000-0005-0000-0000-0000A3B10000}"/>
    <cellStyle name="Normal 65 3 2 2 2" xfId="32569" xr:uid="{00000000-0005-0000-0000-0000A4B10000}"/>
    <cellStyle name="Normal 65 3 2 3" xfId="32570" xr:uid="{00000000-0005-0000-0000-0000A5B10000}"/>
    <cellStyle name="Normal 65 3 2 3 2" xfId="32571" xr:uid="{00000000-0005-0000-0000-0000A6B10000}"/>
    <cellStyle name="Normal 65 3 2 4" xfId="32572" xr:uid="{00000000-0005-0000-0000-0000A7B10000}"/>
    <cellStyle name="Normal 65 3 3" xfId="32573" xr:uid="{00000000-0005-0000-0000-0000A8B10000}"/>
    <cellStyle name="Normal 65 3 3 2" xfId="32574" xr:uid="{00000000-0005-0000-0000-0000A9B10000}"/>
    <cellStyle name="Normal 65 3 3 2 2" xfId="32575" xr:uid="{00000000-0005-0000-0000-0000AAB10000}"/>
    <cellStyle name="Normal 65 3 3 3" xfId="32576" xr:uid="{00000000-0005-0000-0000-0000ABB10000}"/>
    <cellStyle name="Normal 65 3 3 3 2" xfId="32577" xr:uid="{00000000-0005-0000-0000-0000ACB10000}"/>
    <cellStyle name="Normal 65 3 3 4" xfId="32578" xr:uid="{00000000-0005-0000-0000-0000ADB10000}"/>
    <cellStyle name="Normal 65 3 4" xfId="32579" xr:uid="{00000000-0005-0000-0000-0000AEB10000}"/>
    <cellStyle name="Normal 65 3 4 2" xfId="32580" xr:uid="{00000000-0005-0000-0000-0000AFB10000}"/>
    <cellStyle name="Normal 65 3 5" xfId="32581" xr:uid="{00000000-0005-0000-0000-0000B0B10000}"/>
    <cellStyle name="Normal 65 3 5 2" xfId="32582" xr:uid="{00000000-0005-0000-0000-0000B1B10000}"/>
    <cellStyle name="Normal 65 3 6" xfId="32583" xr:uid="{00000000-0005-0000-0000-0000B2B10000}"/>
    <cellStyle name="Normal 65 4" xfId="32584" xr:uid="{00000000-0005-0000-0000-0000B3B10000}"/>
    <cellStyle name="Normal 65 4 2" xfId="32585" xr:uid="{00000000-0005-0000-0000-0000B4B10000}"/>
    <cellStyle name="Normal 65 4 2 2" xfId="32586" xr:uid="{00000000-0005-0000-0000-0000B5B10000}"/>
    <cellStyle name="Normal 65 4 3" xfId="32587" xr:uid="{00000000-0005-0000-0000-0000B6B10000}"/>
    <cellStyle name="Normal 65 4 3 2" xfId="32588" xr:uid="{00000000-0005-0000-0000-0000B7B10000}"/>
    <cellStyle name="Normal 65 4 4" xfId="32589" xr:uid="{00000000-0005-0000-0000-0000B8B10000}"/>
    <cellStyle name="Normal 65 5" xfId="32590" xr:uid="{00000000-0005-0000-0000-0000B9B10000}"/>
    <cellStyle name="Normal 65 5 2" xfId="32591" xr:uid="{00000000-0005-0000-0000-0000BAB10000}"/>
    <cellStyle name="Normal 65 5 2 2" xfId="32592" xr:uid="{00000000-0005-0000-0000-0000BBB10000}"/>
    <cellStyle name="Normal 65 5 3" xfId="32593" xr:uid="{00000000-0005-0000-0000-0000BCB10000}"/>
    <cellStyle name="Normal 65 5 3 2" xfId="32594" xr:uid="{00000000-0005-0000-0000-0000BDB10000}"/>
    <cellStyle name="Normal 65 5 4" xfId="32595" xr:uid="{00000000-0005-0000-0000-0000BEB10000}"/>
    <cellStyle name="Normal 65 6" xfId="32596" xr:uid="{00000000-0005-0000-0000-0000BFB10000}"/>
    <cellStyle name="Normal 65 6 2" xfId="32597" xr:uid="{00000000-0005-0000-0000-0000C0B10000}"/>
    <cellStyle name="Normal 65 6 2 2" xfId="32598" xr:uid="{00000000-0005-0000-0000-0000C1B10000}"/>
    <cellStyle name="Normal 65 6 3" xfId="32599" xr:uid="{00000000-0005-0000-0000-0000C2B10000}"/>
    <cellStyle name="Normal 65 6 3 2" xfId="32600" xr:uid="{00000000-0005-0000-0000-0000C3B10000}"/>
    <cellStyle name="Normal 65 6 4" xfId="32601" xr:uid="{00000000-0005-0000-0000-0000C4B10000}"/>
    <cellStyle name="Normal 65 7" xfId="32602" xr:uid="{00000000-0005-0000-0000-0000C5B10000}"/>
    <cellStyle name="Normal 65 7 2" xfId="32603" xr:uid="{00000000-0005-0000-0000-0000C6B10000}"/>
    <cellStyle name="Normal 65 7 2 2" xfId="32604" xr:uid="{00000000-0005-0000-0000-0000C7B10000}"/>
    <cellStyle name="Normal 65 7 3" xfId="32605" xr:uid="{00000000-0005-0000-0000-0000C8B10000}"/>
    <cellStyle name="Normal 65 7 3 2" xfId="32606" xr:uid="{00000000-0005-0000-0000-0000C9B10000}"/>
    <cellStyle name="Normal 65 7 4" xfId="32607" xr:uid="{00000000-0005-0000-0000-0000CAB10000}"/>
    <cellStyle name="Normal 65 8" xfId="32608" xr:uid="{00000000-0005-0000-0000-0000CBB10000}"/>
    <cellStyle name="Normal 65 8 2" xfId="32609" xr:uid="{00000000-0005-0000-0000-0000CCB10000}"/>
    <cellStyle name="Normal 65 8 2 2" xfId="32610" xr:uid="{00000000-0005-0000-0000-0000CDB10000}"/>
    <cellStyle name="Normal 65 8 3" xfId="32611" xr:uid="{00000000-0005-0000-0000-0000CEB10000}"/>
    <cellStyle name="Normal 65 8 3 2" xfId="32612" xr:uid="{00000000-0005-0000-0000-0000CFB10000}"/>
    <cellStyle name="Normal 65 8 4" xfId="32613" xr:uid="{00000000-0005-0000-0000-0000D0B10000}"/>
    <cellStyle name="Normal 65 9" xfId="32614" xr:uid="{00000000-0005-0000-0000-0000D1B10000}"/>
    <cellStyle name="Normal 65 9 2" xfId="32615" xr:uid="{00000000-0005-0000-0000-0000D2B10000}"/>
    <cellStyle name="Normal 65 9 2 2" xfId="32616" xr:uid="{00000000-0005-0000-0000-0000D3B10000}"/>
    <cellStyle name="Normal 65 9 3" xfId="32617" xr:uid="{00000000-0005-0000-0000-0000D4B10000}"/>
    <cellStyle name="Normal 66" xfId="32618" xr:uid="{00000000-0005-0000-0000-0000D5B10000}"/>
    <cellStyle name="Normal 66 10" xfId="32619" xr:uid="{00000000-0005-0000-0000-0000D6B10000}"/>
    <cellStyle name="Normal 66 10 2" xfId="32620" xr:uid="{00000000-0005-0000-0000-0000D7B10000}"/>
    <cellStyle name="Normal 66 11" xfId="32621" xr:uid="{00000000-0005-0000-0000-0000D8B10000}"/>
    <cellStyle name="Normal 66 11 2" xfId="32622" xr:uid="{00000000-0005-0000-0000-0000D9B10000}"/>
    <cellStyle name="Normal 66 12" xfId="32623" xr:uid="{00000000-0005-0000-0000-0000DAB10000}"/>
    <cellStyle name="Normal 66 13" xfId="32624" xr:uid="{00000000-0005-0000-0000-0000DBB10000}"/>
    <cellStyle name="Normal 66 2" xfId="32625" xr:uid="{00000000-0005-0000-0000-0000DCB10000}"/>
    <cellStyle name="Normal 66 2 10" xfId="32626" xr:uid="{00000000-0005-0000-0000-0000DDB10000}"/>
    <cellStyle name="Normal 66 2 10 2" xfId="32627" xr:uid="{00000000-0005-0000-0000-0000DEB10000}"/>
    <cellStyle name="Normal 66 2 11" xfId="32628" xr:uid="{00000000-0005-0000-0000-0000DFB10000}"/>
    <cellStyle name="Normal 66 2 2" xfId="32629" xr:uid="{00000000-0005-0000-0000-0000E0B10000}"/>
    <cellStyle name="Normal 66 2 2 2" xfId="32630" xr:uid="{00000000-0005-0000-0000-0000E1B10000}"/>
    <cellStyle name="Normal 66 2 2 2 2" xfId="32631" xr:uid="{00000000-0005-0000-0000-0000E2B10000}"/>
    <cellStyle name="Normal 66 2 2 2 2 2" xfId="32632" xr:uid="{00000000-0005-0000-0000-0000E3B10000}"/>
    <cellStyle name="Normal 66 2 2 2 3" xfId="32633" xr:uid="{00000000-0005-0000-0000-0000E4B10000}"/>
    <cellStyle name="Normal 66 2 2 2 3 2" xfId="32634" xr:uid="{00000000-0005-0000-0000-0000E5B10000}"/>
    <cellStyle name="Normal 66 2 2 2 4" xfId="32635" xr:uid="{00000000-0005-0000-0000-0000E6B10000}"/>
    <cellStyle name="Normal 66 2 2 3" xfId="32636" xr:uid="{00000000-0005-0000-0000-0000E7B10000}"/>
    <cellStyle name="Normal 66 2 2 3 2" xfId="32637" xr:uid="{00000000-0005-0000-0000-0000E8B10000}"/>
    <cellStyle name="Normal 66 2 2 3 2 2" xfId="32638" xr:uid="{00000000-0005-0000-0000-0000E9B10000}"/>
    <cellStyle name="Normal 66 2 2 3 3" xfId="32639" xr:uid="{00000000-0005-0000-0000-0000EAB10000}"/>
    <cellStyle name="Normal 66 2 2 3 3 2" xfId="32640" xr:uid="{00000000-0005-0000-0000-0000EBB10000}"/>
    <cellStyle name="Normal 66 2 2 3 4" xfId="32641" xr:uid="{00000000-0005-0000-0000-0000ECB10000}"/>
    <cellStyle name="Normal 66 2 2 4" xfId="32642" xr:uid="{00000000-0005-0000-0000-0000EDB10000}"/>
    <cellStyle name="Normal 66 2 2 4 2" xfId="32643" xr:uid="{00000000-0005-0000-0000-0000EEB10000}"/>
    <cellStyle name="Normal 66 2 2 5" xfId="32644" xr:uid="{00000000-0005-0000-0000-0000EFB10000}"/>
    <cellStyle name="Normal 66 2 2 5 2" xfId="32645" xr:uid="{00000000-0005-0000-0000-0000F0B10000}"/>
    <cellStyle name="Normal 66 2 2 6" xfId="32646" xr:uid="{00000000-0005-0000-0000-0000F1B10000}"/>
    <cellStyle name="Normal 66 2 3" xfId="32647" xr:uid="{00000000-0005-0000-0000-0000F2B10000}"/>
    <cellStyle name="Normal 66 2 3 2" xfId="32648" xr:uid="{00000000-0005-0000-0000-0000F3B10000}"/>
    <cellStyle name="Normal 66 2 3 2 2" xfId="32649" xr:uid="{00000000-0005-0000-0000-0000F4B10000}"/>
    <cellStyle name="Normal 66 2 3 3" xfId="32650" xr:uid="{00000000-0005-0000-0000-0000F5B10000}"/>
    <cellStyle name="Normal 66 2 3 3 2" xfId="32651" xr:uid="{00000000-0005-0000-0000-0000F6B10000}"/>
    <cellStyle name="Normal 66 2 3 4" xfId="32652" xr:uid="{00000000-0005-0000-0000-0000F7B10000}"/>
    <cellStyle name="Normal 66 2 4" xfId="32653" xr:uid="{00000000-0005-0000-0000-0000F8B10000}"/>
    <cellStyle name="Normal 66 2 4 2" xfId="32654" xr:uid="{00000000-0005-0000-0000-0000F9B10000}"/>
    <cellStyle name="Normal 66 2 4 2 2" xfId="32655" xr:uid="{00000000-0005-0000-0000-0000FAB10000}"/>
    <cellStyle name="Normal 66 2 4 3" xfId="32656" xr:uid="{00000000-0005-0000-0000-0000FBB10000}"/>
    <cellStyle name="Normal 66 2 4 3 2" xfId="32657" xr:uid="{00000000-0005-0000-0000-0000FCB10000}"/>
    <cellStyle name="Normal 66 2 4 4" xfId="32658" xr:uid="{00000000-0005-0000-0000-0000FDB10000}"/>
    <cellStyle name="Normal 66 2 5" xfId="32659" xr:uid="{00000000-0005-0000-0000-0000FEB10000}"/>
    <cellStyle name="Normal 66 2 5 2" xfId="32660" xr:uid="{00000000-0005-0000-0000-0000FFB10000}"/>
    <cellStyle name="Normal 66 2 5 2 2" xfId="32661" xr:uid="{00000000-0005-0000-0000-000000B20000}"/>
    <cellStyle name="Normal 66 2 5 3" xfId="32662" xr:uid="{00000000-0005-0000-0000-000001B20000}"/>
    <cellStyle name="Normal 66 2 5 3 2" xfId="32663" xr:uid="{00000000-0005-0000-0000-000002B20000}"/>
    <cellStyle name="Normal 66 2 5 4" xfId="32664" xr:uid="{00000000-0005-0000-0000-000003B20000}"/>
    <cellStyle name="Normal 66 2 6" xfId="32665" xr:uid="{00000000-0005-0000-0000-000004B20000}"/>
    <cellStyle name="Normal 66 2 6 2" xfId="32666" xr:uid="{00000000-0005-0000-0000-000005B20000}"/>
    <cellStyle name="Normal 66 2 6 2 2" xfId="32667" xr:uid="{00000000-0005-0000-0000-000006B20000}"/>
    <cellStyle name="Normal 66 2 6 3" xfId="32668" xr:uid="{00000000-0005-0000-0000-000007B20000}"/>
    <cellStyle name="Normal 66 2 6 3 2" xfId="32669" xr:uid="{00000000-0005-0000-0000-000008B20000}"/>
    <cellStyle name="Normal 66 2 6 4" xfId="32670" xr:uid="{00000000-0005-0000-0000-000009B20000}"/>
    <cellStyle name="Normal 66 2 7" xfId="32671" xr:uid="{00000000-0005-0000-0000-00000AB20000}"/>
    <cellStyle name="Normal 66 2 7 2" xfId="32672" xr:uid="{00000000-0005-0000-0000-00000BB20000}"/>
    <cellStyle name="Normal 66 2 7 2 2" xfId="32673" xr:uid="{00000000-0005-0000-0000-00000CB20000}"/>
    <cellStyle name="Normal 66 2 7 3" xfId="32674" xr:uid="{00000000-0005-0000-0000-00000DB20000}"/>
    <cellStyle name="Normal 66 2 7 3 2" xfId="32675" xr:uid="{00000000-0005-0000-0000-00000EB20000}"/>
    <cellStyle name="Normal 66 2 7 4" xfId="32676" xr:uid="{00000000-0005-0000-0000-00000FB20000}"/>
    <cellStyle name="Normal 66 2 8" xfId="32677" xr:uid="{00000000-0005-0000-0000-000010B20000}"/>
    <cellStyle name="Normal 66 2 8 2" xfId="32678" xr:uid="{00000000-0005-0000-0000-000011B20000}"/>
    <cellStyle name="Normal 66 2 8 2 2" xfId="32679" xr:uid="{00000000-0005-0000-0000-000012B20000}"/>
    <cellStyle name="Normal 66 2 8 3" xfId="32680" xr:uid="{00000000-0005-0000-0000-000013B20000}"/>
    <cellStyle name="Normal 66 2 9" xfId="32681" xr:uid="{00000000-0005-0000-0000-000014B20000}"/>
    <cellStyle name="Normal 66 2 9 2" xfId="32682" xr:uid="{00000000-0005-0000-0000-000015B20000}"/>
    <cellStyle name="Normal 66 3" xfId="32683" xr:uid="{00000000-0005-0000-0000-000016B20000}"/>
    <cellStyle name="Normal 66 3 2" xfId="32684" xr:uid="{00000000-0005-0000-0000-000017B20000}"/>
    <cellStyle name="Normal 66 3 2 2" xfId="32685" xr:uid="{00000000-0005-0000-0000-000018B20000}"/>
    <cellStyle name="Normal 66 3 2 2 2" xfId="32686" xr:uid="{00000000-0005-0000-0000-000019B20000}"/>
    <cellStyle name="Normal 66 3 2 3" xfId="32687" xr:uid="{00000000-0005-0000-0000-00001AB20000}"/>
    <cellStyle name="Normal 66 3 2 3 2" xfId="32688" xr:uid="{00000000-0005-0000-0000-00001BB20000}"/>
    <cellStyle name="Normal 66 3 2 4" xfId="32689" xr:uid="{00000000-0005-0000-0000-00001CB20000}"/>
    <cellStyle name="Normal 66 3 3" xfId="32690" xr:uid="{00000000-0005-0000-0000-00001DB20000}"/>
    <cellStyle name="Normal 66 3 3 2" xfId="32691" xr:uid="{00000000-0005-0000-0000-00001EB20000}"/>
    <cellStyle name="Normal 66 3 3 2 2" xfId="32692" xr:uid="{00000000-0005-0000-0000-00001FB20000}"/>
    <cellStyle name="Normal 66 3 3 3" xfId="32693" xr:uid="{00000000-0005-0000-0000-000020B20000}"/>
    <cellStyle name="Normal 66 3 3 3 2" xfId="32694" xr:uid="{00000000-0005-0000-0000-000021B20000}"/>
    <cellStyle name="Normal 66 3 3 4" xfId="32695" xr:uid="{00000000-0005-0000-0000-000022B20000}"/>
    <cellStyle name="Normal 66 3 4" xfId="32696" xr:uid="{00000000-0005-0000-0000-000023B20000}"/>
    <cellStyle name="Normal 66 3 4 2" xfId="32697" xr:uid="{00000000-0005-0000-0000-000024B20000}"/>
    <cellStyle name="Normal 66 3 5" xfId="32698" xr:uid="{00000000-0005-0000-0000-000025B20000}"/>
    <cellStyle name="Normal 66 3 5 2" xfId="32699" xr:uid="{00000000-0005-0000-0000-000026B20000}"/>
    <cellStyle name="Normal 66 3 6" xfId="32700" xr:uid="{00000000-0005-0000-0000-000027B20000}"/>
    <cellStyle name="Normal 66 4" xfId="32701" xr:uid="{00000000-0005-0000-0000-000028B20000}"/>
    <cellStyle name="Normal 66 4 2" xfId="32702" xr:uid="{00000000-0005-0000-0000-000029B20000}"/>
    <cellStyle name="Normal 66 4 2 2" xfId="32703" xr:uid="{00000000-0005-0000-0000-00002AB20000}"/>
    <cellStyle name="Normal 66 4 3" xfId="32704" xr:uid="{00000000-0005-0000-0000-00002BB20000}"/>
    <cellStyle name="Normal 66 4 3 2" xfId="32705" xr:uid="{00000000-0005-0000-0000-00002CB20000}"/>
    <cellStyle name="Normal 66 4 4" xfId="32706" xr:uid="{00000000-0005-0000-0000-00002DB20000}"/>
    <cellStyle name="Normal 66 5" xfId="32707" xr:uid="{00000000-0005-0000-0000-00002EB20000}"/>
    <cellStyle name="Normal 66 5 2" xfId="32708" xr:uid="{00000000-0005-0000-0000-00002FB20000}"/>
    <cellStyle name="Normal 66 5 2 2" xfId="32709" xr:uid="{00000000-0005-0000-0000-000030B20000}"/>
    <cellStyle name="Normal 66 5 3" xfId="32710" xr:uid="{00000000-0005-0000-0000-000031B20000}"/>
    <cellStyle name="Normal 66 5 3 2" xfId="32711" xr:uid="{00000000-0005-0000-0000-000032B20000}"/>
    <cellStyle name="Normal 66 5 4" xfId="32712" xr:uid="{00000000-0005-0000-0000-000033B20000}"/>
    <cellStyle name="Normal 66 6" xfId="32713" xr:uid="{00000000-0005-0000-0000-000034B20000}"/>
    <cellStyle name="Normal 66 6 2" xfId="32714" xr:uid="{00000000-0005-0000-0000-000035B20000}"/>
    <cellStyle name="Normal 66 6 2 2" xfId="32715" xr:uid="{00000000-0005-0000-0000-000036B20000}"/>
    <cellStyle name="Normal 66 6 3" xfId="32716" xr:uid="{00000000-0005-0000-0000-000037B20000}"/>
    <cellStyle name="Normal 66 6 3 2" xfId="32717" xr:uid="{00000000-0005-0000-0000-000038B20000}"/>
    <cellStyle name="Normal 66 6 4" xfId="32718" xr:uid="{00000000-0005-0000-0000-000039B20000}"/>
    <cellStyle name="Normal 66 7" xfId="32719" xr:uid="{00000000-0005-0000-0000-00003AB20000}"/>
    <cellStyle name="Normal 66 7 2" xfId="32720" xr:uid="{00000000-0005-0000-0000-00003BB20000}"/>
    <cellStyle name="Normal 66 7 2 2" xfId="32721" xr:uid="{00000000-0005-0000-0000-00003CB20000}"/>
    <cellStyle name="Normal 66 7 3" xfId="32722" xr:uid="{00000000-0005-0000-0000-00003DB20000}"/>
    <cellStyle name="Normal 66 7 3 2" xfId="32723" xr:uid="{00000000-0005-0000-0000-00003EB20000}"/>
    <cellStyle name="Normal 66 7 4" xfId="32724" xr:uid="{00000000-0005-0000-0000-00003FB20000}"/>
    <cellStyle name="Normal 66 8" xfId="32725" xr:uid="{00000000-0005-0000-0000-000040B20000}"/>
    <cellStyle name="Normal 66 8 2" xfId="32726" xr:uid="{00000000-0005-0000-0000-000041B20000}"/>
    <cellStyle name="Normal 66 8 2 2" xfId="32727" xr:uid="{00000000-0005-0000-0000-000042B20000}"/>
    <cellStyle name="Normal 66 8 3" xfId="32728" xr:uid="{00000000-0005-0000-0000-000043B20000}"/>
    <cellStyle name="Normal 66 8 3 2" xfId="32729" xr:uid="{00000000-0005-0000-0000-000044B20000}"/>
    <cellStyle name="Normal 66 8 4" xfId="32730" xr:uid="{00000000-0005-0000-0000-000045B20000}"/>
    <cellStyle name="Normal 66 9" xfId="32731" xr:uid="{00000000-0005-0000-0000-000046B20000}"/>
    <cellStyle name="Normal 66 9 2" xfId="32732" xr:uid="{00000000-0005-0000-0000-000047B20000}"/>
    <cellStyle name="Normal 66 9 2 2" xfId="32733" xr:uid="{00000000-0005-0000-0000-000048B20000}"/>
    <cellStyle name="Normal 66 9 3" xfId="32734" xr:uid="{00000000-0005-0000-0000-000049B20000}"/>
    <cellStyle name="Normal 67" xfId="32735" xr:uid="{00000000-0005-0000-0000-00004AB20000}"/>
    <cellStyle name="Normal 67 10" xfId="32736" xr:uid="{00000000-0005-0000-0000-00004BB20000}"/>
    <cellStyle name="Normal 67 10 2" xfId="32737" xr:uid="{00000000-0005-0000-0000-00004CB20000}"/>
    <cellStyle name="Normal 67 11" xfId="32738" xr:uid="{00000000-0005-0000-0000-00004DB20000}"/>
    <cellStyle name="Normal 67 11 2" xfId="32739" xr:uid="{00000000-0005-0000-0000-00004EB20000}"/>
    <cellStyle name="Normal 67 12" xfId="32740" xr:uid="{00000000-0005-0000-0000-00004FB20000}"/>
    <cellStyle name="Normal 67 13" xfId="32741" xr:uid="{00000000-0005-0000-0000-000050B20000}"/>
    <cellStyle name="Normal 67 2" xfId="32742" xr:uid="{00000000-0005-0000-0000-000051B20000}"/>
    <cellStyle name="Normal 67 2 10" xfId="32743" xr:uid="{00000000-0005-0000-0000-000052B20000}"/>
    <cellStyle name="Normal 67 2 10 2" xfId="32744" xr:uid="{00000000-0005-0000-0000-000053B20000}"/>
    <cellStyle name="Normal 67 2 11" xfId="32745" xr:uid="{00000000-0005-0000-0000-000054B20000}"/>
    <cellStyle name="Normal 67 2 2" xfId="32746" xr:uid="{00000000-0005-0000-0000-000055B20000}"/>
    <cellStyle name="Normal 67 2 2 2" xfId="32747" xr:uid="{00000000-0005-0000-0000-000056B20000}"/>
    <cellStyle name="Normal 67 2 2 2 2" xfId="32748" xr:uid="{00000000-0005-0000-0000-000057B20000}"/>
    <cellStyle name="Normal 67 2 2 2 2 2" xfId="32749" xr:uid="{00000000-0005-0000-0000-000058B20000}"/>
    <cellStyle name="Normal 67 2 2 2 3" xfId="32750" xr:uid="{00000000-0005-0000-0000-000059B20000}"/>
    <cellStyle name="Normal 67 2 2 2 3 2" xfId="32751" xr:uid="{00000000-0005-0000-0000-00005AB20000}"/>
    <cellStyle name="Normal 67 2 2 2 4" xfId="32752" xr:uid="{00000000-0005-0000-0000-00005BB20000}"/>
    <cellStyle name="Normal 67 2 2 3" xfId="32753" xr:uid="{00000000-0005-0000-0000-00005CB20000}"/>
    <cellStyle name="Normal 67 2 2 3 2" xfId="32754" xr:uid="{00000000-0005-0000-0000-00005DB20000}"/>
    <cellStyle name="Normal 67 2 2 3 2 2" xfId="32755" xr:uid="{00000000-0005-0000-0000-00005EB20000}"/>
    <cellStyle name="Normal 67 2 2 3 3" xfId="32756" xr:uid="{00000000-0005-0000-0000-00005FB20000}"/>
    <cellStyle name="Normal 67 2 2 3 3 2" xfId="32757" xr:uid="{00000000-0005-0000-0000-000060B20000}"/>
    <cellStyle name="Normal 67 2 2 3 4" xfId="32758" xr:uid="{00000000-0005-0000-0000-000061B20000}"/>
    <cellStyle name="Normal 67 2 2 4" xfId="32759" xr:uid="{00000000-0005-0000-0000-000062B20000}"/>
    <cellStyle name="Normal 67 2 2 4 2" xfId="32760" xr:uid="{00000000-0005-0000-0000-000063B20000}"/>
    <cellStyle name="Normal 67 2 2 5" xfId="32761" xr:uid="{00000000-0005-0000-0000-000064B20000}"/>
    <cellStyle name="Normal 67 2 2 5 2" xfId="32762" xr:uid="{00000000-0005-0000-0000-000065B20000}"/>
    <cellStyle name="Normal 67 2 2 6" xfId="32763" xr:uid="{00000000-0005-0000-0000-000066B20000}"/>
    <cellStyle name="Normal 67 2 3" xfId="32764" xr:uid="{00000000-0005-0000-0000-000067B20000}"/>
    <cellStyle name="Normal 67 2 3 2" xfId="32765" xr:uid="{00000000-0005-0000-0000-000068B20000}"/>
    <cellStyle name="Normal 67 2 3 2 2" xfId="32766" xr:uid="{00000000-0005-0000-0000-000069B20000}"/>
    <cellStyle name="Normal 67 2 3 3" xfId="32767" xr:uid="{00000000-0005-0000-0000-00006AB20000}"/>
    <cellStyle name="Normal 67 2 3 3 2" xfId="32768" xr:uid="{00000000-0005-0000-0000-00006BB20000}"/>
    <cellStyle name="Normal 67 2 3 4" xfId="32769" xr:uid="{00000000-0005-0000-0000-00006CB20000}"/>
    <cellStyle name="Normal 67 2 4" xfId="32770" xr:uid="{00000000-0005-0000-0000-00006DB20000}"/>
    <cellStyle name="Normal 67 2 4 2" xfId="32771" xr:uid="{00000000-0005-0000-0000-00006EB20000}"/>
    <cellStyle name="Normal 67 2 4 2 2" xfId="32772" xr:uid="{00000000-0005-0000-0000-00006FB20000}"/>
    <cellStyle name="Normal 67 2 4 3" xfId="32773" xr:uid="{00000000-0005-0000-0000-000070B20000}"/>
    <cellStyle name="Normal 67 2 4 3 2" xfId="32774" xr:uid="{00000000-0005-0000-0000-000071B20000}"/>
    <cellStyle name="Normal 67 2 4 4" xfId="32775" xr:uid="{00000000-0005-0000-0000-000072B20000}"/>
    <cellStyle name="Normal 67 2 5" xfId="32776" xr:uid="{00000000-0005-0000-0000-000073B20000}"/>
    <cellStyle name="Normal 67 2 5 2" xfId="32777" xr:uid="{00000000-0005-0000-0000-000074B20000}"/>
    <cellStyle name="Normal 67 2 5 2 2" xfId="32778" xr:uid="{00000000-0005-0000-0000-000075B20000}"/>
    <cellStyle name="Normal 67 2 5 3" xfId="32779" xr:uid="{00000000-0005-0000-0000-000076B20000}"/>
    <cellStyle name="Normal 67 2 5 3 2" xfId="32780" xr:uid="{00000000-0005-0000-0000-000077B20000}"/>
    <cellStyle name="Normal 67 2 5 4" xfId="32781" xr:uid="{00000000-0005-0000-0000-000078B20000}"/>
    <cellStyle name="Normal 67 2 6" xfId="32782" xr:uid="{00000000-0005-0000-0000-000079B20000}"/>
    <cellStyle name="Normal 67 2 6 2" xfId="32783" xr:uid="{00000000-0005-0000-0000-00007AB20000}"/>
    <cellStyle name="Normal 67 2 6 2 2" xfId="32784" xr:uid="{00000000-0005-0000-0000-00007BB20000}"/>
    <cellStyle name="Normal 67 2 6 3" xfId="32785" xr:uid="{00000000-0005-0000-0000-00007CB20000}"/>
    <cellStyle name="Normal 67 2 6 3 2" xfId="32786" xr:uid="{00000000-0005-0000-0000-00007DB20000}"/>
    <cellStyle name="Normal 67 2 6 4" xfId="32787" xr:uid="{00000000-0005-0000-0000-00007EB20000}"/>
    <cellStyle name="Normal 67 2 7" xfId="32788" xr:uid="{00000000-0005-0000-0000-00007FB20000}"/>
    <cellStyle name="Normal 67 2 7 2" xfId="32789" xr:uid="{00000000-0005-0000-0000-000080B20000}"/>
    <cellStyle name="Normal 67 2 7 2 2" xfId="32790" xr:uid="{00000000-0005-0000-0000-000081B20000}"/>
    <cellStyle name="Normal 67 2 7 3" xfId="32791" xr:uid="{00000000-0005-0000-0000-000082B20000}"/>
    <cellStyle name="Normal 67 2 7 3 2" xfId="32792" xr:uid="{00000000-0005-0000-0000-000083B20000}"/>
    <cellStyle name="Normal 67 2 7 4" xfId="32793" xr:uid="{00000000-0005-0000-0000-000084B20000}"/>
    <cellStyle name="Normal 67 2 8" xfId="32794" xr:uid="{00000000-0005-0000-0000-000085B20000}"/>
    <cellStyle name="Normal 67 2 8 2" xfId="32795" xr:uid="{00000000-0005-0000-0000-000086B20000}"/>
    <cellStyle name="Normal 67 2 8 2 2" xfId="32796" xr:uid="{00000000-0005-0000-0000-000087B20000}"/>
    <cellStyle name="Normal 67 2 8 3" xfId="32797" xr:uid="{00000000-0005-0000-0000-000088B20000}"/>
    <cellStyle name="Normal 67 2 9" xfId="32798" xr:uid="{00000000-0005-0000-0000-000089B20000}"/>
    <cellStyle name="Normal 67 2 9 2" xfId="32799" xr:uid="{00000000-0005-0000-0000-00008AB20000}"/>
    <cellStyle name="Normal 67 3" xfId="32800" xr:uid="{00000000-0005-0000-0000-00008BB20000}"/>
    <cellStyle name="Normal 67 3 2" xfId="32801" xr:uid="{00000000-0005-0000-0000-00008CB20000}"/>
    <cellStyle name="Normal 67 3 2 2" xfId="32802" xr:uid="{00000000-0005-0000-0000-00008DB20000}"/>
    <cellStyle name="Normal 67 3 2 2 2" xfId="32803" xr:uid="{00000000-0005-0000-0000-00008EB20000}"/>
    <cellStyle name="Normal 67 3 2 3" xfId="32804" xr:uid="{00000000-0005-0000-0000-00008FB20000}"/>
    <cellStyle name="Normal 67 3 2 3 2" xfId="32805" xr:uid="{00000000-0005-0000-0000-000090B20000}"/>
    <cellStyle name="Normal 67 3 2 4" xfId="32806" xr:uid="{00000000-0005-0000-0000-000091B20000}"/>
    <cellStyle name="Normal 67 3 3" xfId="32807" xr:uid="{00000000-0005-0000-0000-000092B20000}"/>
    <cellStyle name="Normal 67 3 3 2" xfId="32808" xr:uid="{00000000-0005-0000-0000-000093B20000}"/>
    <cellStyle name="Normal 67 3 3 2 2" xfId="32809" xr:uid="{00000000-0005-0000-0000-000094B20000}"/>
    <cellStyle name="Normal 67 3 3 3" xfId="32810" xr:uid="{00000000-0005-0000-0000-000095B20000}"/>
    <cellStyle name="Normal 67 3 3 3 2" xfId="32811" xr:uid="{00000000-0005-0000-0000-000096B20000}"/>
    <cellStyle name="Normal 67 3 3 4" xfId="32812" xr:uid="{00000000-0005-0000-0000-000097B20000}"/>
    <cellStyle name="Normal 67 3 4" xfId="32813" xr:uid="{00000000-0005-0000-0000-000098B20000}"/>
    <cellStyle name="Normal 67 3 4 2" xfId="32814" xr:uid="{00000000-0005-0000-0000-000099B20000}"/>
    <cellStyle name="Normal 67 3 5" xfId="32815" xr:uid="{00000000-0005-0000-0000-00009AB20000}"/>
    <cellStyle name="Normal 67 3 5 2" xfId="32816" xr:uid="{00000000-0005-0000-0000-00009BB20000}"/>
    <cellStyle name="Normal 67 3 6" xfId="32817" xr:uid="{00000000-0005-0000-0000-00009CB20000}"/>
    <cellStyle name="Normal 67 4" xfId="32818" xr:uid="{00000000-0005-0000-0000-00009DB20000}"/>
    <cellStyle name="Normal 67 4 2" xfId="32819" xr:uid="{00000000-0005-0000-0000-00009EB20000}"/>
    <cellStyle name="Normal 67 4 2 2" xfId="32820" xr:uid="{00000000-0005-0000-0000-00009FB20000}"/>
    <cellStyle name="Normal 67 4 3" xfId="32821" xr:uid="{00000000-0005-0000-0000-0000A0B20000}"/>
    <cellStyle name="Normal 67 4 3 2" xfId="32822" xr:uid="{00000000-0005-0000-0000-0000A1B20000}"/>
    <cellStyle name="Normal 67 4 4" xfId="32823" xr:uid="{00000000-0005-0000-0000-0000A2B20000}"/>
    <cellStyle name="Normal 67 5" xfId="32824" xr:uid="{00000000-0005-0000-0000-0000A3B20000}"/>
    <cellStyle name="Normal 67 5 2" xfId="32825" xr:uid="{00000000-0005-0000-0000-0000A4B20000}"/>
    <cellStyle name="Normal 67 5 2 2" xfId="32826" xr:uid="{00000000-0005-0000-0000-0000A5B20000}"/>
    <cellStyle name="Normal 67 5 3" xfId="32827" xr:uid="{00000000-0005-0000-0000-0000A6B20000}"/>
    <cellStyle name="Normal 67 5 3 2" xfId="32828" xr:uid="{00000000-0005-0000-0000-0000A7B20000}"/>
    <cellStyle name="Normal 67 5 4" xfId="32829" xr:uid="{00000000-0005-0000-0000-0000A8B20000}"/>
    <cellStyle name="Normal 67 6" xfId="32830" xr:uid="{00000000-0005-0000-0000-0000A9B20000}"/>
    <cellStyle name="Normal 67 6 2" xfId="32831" xr:uid="{00000000-0005-0000-0000-0000AAB20000}"/>
    <cellStyle name="Normal 67 6 2 2" xfId="32832" xr:uid="{00000000-0005-0000-0000-0000ABB20000}"/>
    <cellStyle name="Normal 67 6 3" xfId="32833" xr:uid="{00000000-0005-0000-0000-0000ACB20000}"/>
    <cellStyle name="Normal 67 6 3 2" xfId="32834" xr:uid="{00000000-0005-0000-0000-0000ADB20000}"/>
    <cellStyle name="Normal 67 6 4" xfId="32835" xr:uid="{00000000-0005-0000-0000-0000AEB20000}"/>
    <cellStyle name="Normal 67 7" xfId="32836" xr:uid="{00000000-0005-0000-0000-0000AFB20000}"/>
    <cellStyle name="Normal 67 7 2" xfId="32837" xr:uid="{00000000-0005-0000-0000-0000B0B20000}"/>
    <cellStyle name="Normal 67 7 2 2" xfId="32838" xr:uid="{00000000-0005-0000-0000-0000B1B20000}"/>
    <cellStyle name="Normal 67 7 3" xfId="32839" xr:uid="{00000000-0005-0000-0000-0000B2B20000}"/>
    <cellStyle name="Normal 67 7 3 2" xfId="32840" xr:uid="{00000000-0005-0000-0000-0000B3B20000}"/>
    <cellStyle name="Normal 67 7 4" xfId="32841" xr:uid="{00000000-0005-0000-0000-0000B4B20000}"/>
    <cellStyle name="Normal 67 8" xfId="32842" xr:uid="{00000000-0005-0000-0000-0000B5B20000}"/>
    <cellStyle name="Normal 67 8 2" xfId="32843" xr:uid="{00000000-0005-0000-0000-0000B6B20000}"/>
    <cellStyle name="Normal 67 8 2 2" xfId="32844" xr:uid="{00000000-0005-0000-0000-0000B7B20000}"/>
    <cellStyle name="Normal 67 8 3" xfId="32845" xr:uid="{00000000-0005-0000-0000-0000B8B20000}"/>
    <cellStyle name="Normal 67 8 3 2" xfId="32846" xr:uid="{00000000-0005-0000-0000-0000B9B20000}"/>
    <cellStyle name="Normal 67 8 4" xfId="32847" xr:uid="{00000000-0005-0000-0000-0000BAB20000}"/>
    <cellStyle name="Normal 67 9" xfId="32848" xr:uid="{00000000-0005-0000-0000-0000BBB20000}"/>
    <cellStyle name="Normal 67 9 2" xfId="32849" xr:uid="{00000000-0005-0000-0000-0000BCB20000}"/>
    <cellStyle name="Normal 67 9 2 2" xfId="32850" xr:uid="{00000000-0005-0000-0000-0000BDB20000}"/>
    <cellStyle name="Normal 67 9 3" xfId="32851" xr:uid="{00000000-0005-0000-0000-0000BEB20000}"/>
    <cellStyle name="Normal 68" xfId="32852" xr:uid="{00000000-0005-0000-0000-0000BFB20000}"/>
    <cellStyle name="Normal 68 10" xfId="32853" xr:uid="{00000000-0005-0000-0000-0000C0B20000}"/>
    <cellStyle name="Normal 68 10 2" xfId="32854" xr:uid="{00000000-0005-0000-0000-0000C1B20000}"/>
    <cellStyle name="Normal 68 11" xfId="32855" xr:uid="{00000000-0005-0000-0000-0000C2B20000}"/>
    <cellStyle name="Normal 68 11 2" xfId="32856" xr:uid="{00000000-0005-0000-0000-0000C3B20000}"/>
    <cellStyle name="Normal 68 12" xfId="32857" xr:uid="{00000000-0005-0000-0000-0000C4B20000}"/>
    <cellStyle name="Normal 68 13" xfId="32858" xr:uid="{00000000-0005-0000-0000-0000C5B20000}"/>
    <cellStyle name="Normal 68 2" xfId="32859" xr:uid="{00000000-0005-0000-0000-0000C6B20000}"/>
    <cellStyle name="Normal 68 2 10" xfId="32860" xr:uid="{00000000-0005-0000-0000-0000C7B20000}"/>
    <cellStyle name="Normal 68 2 10 2" xfId="32861" xr:uid="{00000000-0005-0000-0000-0000C8B20000}"/>
    <cellStyle name="Normal 68 2 11" xfId="32862" xr:uid="{00000000-0005-0000-0000-0000C9B20000}"/>
    <cellStyle name="Normal 68 2 2" xfId="32863" xr:uid="{00000000-0005-0000-0000-0000CAB20000}"/>
    <cellStyle name="Normal 68 2 2 2" xfId="32864" xr:uid="{00000000-0005-0000-0000-0000CBB20000}"/>
    <cellStyle name="Normal 68 2 2 2 2" xfId="32865" xr:uid="{00000000-0005-0000-0000-0000CCB20000}"/>
    <cellStyle name="Normal 68 2 2 2 2 2" xfId="32866" xr:uid="{00000000-0005-0000-0000-0000CDB20000}"/>
    <cellStyle name="Normal 68 2 2 2 3" xfId="32867" xr:uid="{00000000-0005-0000-0000-0000CEB20000}"/>
    <cellStyle name="Normal 68 2 2 2 3 2" xfId="32868" xr:uid="{00000000-0005-0000-0000-0000CFB20000}"/>
    <cellStyle name="Normal 68 2 2 2 4" xfId="32869" xr:uid="{00000000-0005-0000-0000-0000D0B20000}"/>
    <cellStyle name="Normal 68 2 2 3" xfId="32870" xr:uid="{00000000-0005-0000-0000-0000D1B20000}"/>
    <cellStyle name="Normal 68 2 2 3 2" xfId="32871" xr:uid="{00000000-0005-0000-0000-0000D2B20000}"/>
    <cellStyle name="Normal 68 2 2 3 2 2" xfId="32872" xr:uid="{00000000-0005-0000-0000-0000D3B20000}"/>
    <cellStyle name="Normal 68 2 2 3 3" xfId="32873" xr:uid="{00000000-0005-0000-0000-0000D4B20000}"/>
    <cellStyle name="Normal 68 2 2 3 3 2" xfId="32874" xr:uid="{00000000-0005-0000-0000-0000D5B20000}"/>
    <cellStyle name="Normal 68 2 2 3 4" xfId="32875" xr:uid="{00000000-0005-0000-0000-0000D6B20000}"/>
    <cellStyle name="Normal 68 2 2 4" xfId="32876" xr:uid="{00000000-0005-0000-0000-0000D7B20000}"/>
    <cellStyle name="Normal 68 2 2 4 2" xfId="32877" xr:uid="{00000000-0005-0000-0000-0000D8B20000}"/>
    <cellStyle name="Normal 68 2 2 5" xfId="32878" xr:uid="{00000000-0005-0000-0000-0000D9B20000}"/>
    <cellStyle name="Normal 68 2 2 5 2" xfId="32879" xr:uid="{00000000-0005-0000-0000-0000DAB20000}"/>
    <cellStyle name="Normal 68 2 2 6" xfId="32880" xr:uid="{00000000-0005-0000-0000-0000DBB20000}"/>
    <cellStyle name="Normal 68 2 3" xfId="32881" xr:uid="{00000000-0005-0000-0000-0000DCB20000}"/>
    <cellStyle name="Normal 68 2 3 2" xfId="32882" xr:uid="{00000000-0005-0000-0000-0000DDB20000}"/>
    <cellStyle name="Normal 68 2 3 2 2" xfId="32883" xr:uid="{00000000-0005-0000-0000-0000DEB20000}"/>
    <cellStyle name="Normal 68 2 3 3" xfId="32884" xr:uid="{00000000-0005-0000-0000-0000DFB20000}"/>
    <cellStyle name="Normal 68 2 3 3 2" xfId="32885" xr:uid="{00000000-0005-0000-0000-0000E0B20000}"/>
    <cellStyle name="Normal 68 2 3 4" xfId="32886" xr:uid="{00000000-0005-0000-0000-0000E1B20000}"/>
    <cellStyle name="Normal 68 2 4" xfId="32887" xr:uid="{00000000-0005-0000-0000-0000E2B20000}"/>
    <cellStyle name="Normal 68 2 4 2" xfId="32888" xr:uid="{00000000-0005-0000-0000-0000E3B20000}"/>
    <cellStyle name="Normal 68 2 4 2 2" xfId="32889" xr:uid="{00000000-0005-0000-0000-0000E4B20000}"/>
    <cellStyle name="Normal 68 2 4 3" xfId="32890" xr:uid="{00000000-0005-0000-0000-0000E5B20000}"/>
    <cellStyle name="Normal 68 2 4 3 2" xfId="32891" xr:uid="{00000000-0005-0000-0000-0000E6B20000}"/>
    <cellStyle name="Normal 68 2 4 4" xfId="32892" xr:uid="{00000000-0005-0000-0000-0000E7B20000}"/>
    <cellStyle name="Normal 68 2 5" xfId="32893" xr:uid="{00000000-0005-0000-0000-0000E8B20000}"/>
    <cellStyle name="Normal 68 2 5 2" xfId="32894" xr:uid="{00000000-0005-0000-0000-0000E9B20000}"/>
    <cellStyle name="Normal 68 2 5 2 2" xfId="32895" xr:uid="{00000000-0005-0000-0000-0000EAB20000}"/>
    <cellStyle name="Normal 68 2 5 3" xfId="32896" xr:uid="{00000000-0005-0000-0000-0000EBB20000}"/>
    <cellStyle name="Normal 68 2 5 3 2" xfId="32897" xr:uid="{00000000-0005-0000-0000-0000ECB20000}"/>
    <cellStyle name="Normal 68 2 5 4" xfId="32898" xr:uid="{00000000-0005-0000-0000-0000EDB20000}"/>
    <cellStyle name="Normal 68 2 6" xfId="32899" xr:uid="{00000000-0005-0000-0000-0000EEB20000}"/>
    <cellStyle name="Normal 68 2 6 2" xfId="32900" xr:uid="{00000000-0005-0000-0000-0000EFB20000}"/>
    <cellStyle name="Normal 68 2 6 2 2" xfId="32901" xr:uid="{00000000-0005-0000-0000-0000F0B20000}"/>
    <cellStyle name="Normal 68 2 6 3" xfId="32902" xr:uid="{00000000-0005-0000-0000-0000F1B20000}"/>
    <cellStyle name="Normal 68 2 6 3 2" xfId="32903" xr:uid="{00000000-0005-0000-0000-0000F2B20000}"/>
    <cellStyle name="Normal 68 2 6 4" xfId="32904" xr:uid="{00000000-0005-0000-0000-0000F3B20000}"/>
    <cellStyle name="Normal 68 2 7" xfId="32905" xr:uid="{00000000-0005-0000-0000-0000F4B20000}"/>
    <cellStyle name="Normal 68 2 7 2" xfId="32906" xr:uid="{00000000-0005-0000-0000-0000F5B20000}"/>
    <cellStyle name="Normal 68 2 7 2 2" xfId="32907" xr:uid="{00000000-0005-0000-0000-0000F6B20000}"/>
    <cellStyle name="Normal 68 2 7 3" xfId="32908" xr:uid="{00000000-0005-0000-0000-0000F7B20000}"/>
    <cellStyle name="Normal 68 2 7 3 2" xfId="32909" xr:uid="{00000000-0005-0000-0000-0000F8B20000}"/>
    <cellStyle name="Normal 68 2 7 4" xfId="32910" xr:uid="{00000000-0005-0000-0000-0000F9B20000}"/>
    <cellStyle name="Normal 68 2 8" xfId="32911" xr:uid="{00000000-0005-0000-0000-0000FAB20000}"/>
    <cellStyle name="Normal 68 2 8 2" xfId="32912" xr:uid="{00000000-0005-0000-0000-0000FBB20000}"/>
    <cellStyle name="Normal 68 2 8 2 2" xfId="32913" xr:uid="{00000000-0005-0000-0000-0000FCB20000}"/>
    <cellStyle name="Normal 68 2 8 3" xfId="32914" xr:uid="{00000000-0005-0000-0000-0000FDB20000}"/>
    <cellStyle name="Normal 68 2 9" xfId="32915" xr:uid="{00000000-0005-0000-0000-0000FEB20000}"/>
    <cellStyle name="Normal 68 2 9 2" xfId="32916" xr:uid="{00000000-0005-0000-0000-0000FFB20000}"/>
    <cellStyle name="Normal 68 3" xfId="32917" xr:uid="{00000000-0005-0000-0000-000000B30000}"/>
    <cellStyle name="Normal 68 3 2" xfId="32918" xr:uid="{00000000-0005-0000-0000-000001B30000}"/>
    <cellStyle name="Normal 68 3 2 2" xfId="32919" xr:uid="{00000000-0005-0000-0000-000002B30000}"/>
    <cellStyle name="Normal 68 3 2 2 2" xfId="32920" xr:uid="{00000000-0005-0000-0000-000003B30000}"/>
    <cellStyle name="Normal 68 3 2 3" xfId="32921" xr:uid="{00000000-0005-0000-0000-000004B30000}"/>
    <cellStyle name="Normal 68 3 2 3 2" xfId="32922" xr:uid="{00000000-0005-0000-0000-000005B30000}"/>
    <cellStyle name="Normal 68 3 2 4" xfId="32923" xr:uid="{00000000-0005-0000-0000-000006B30000}"/>
    <cellStyle name="Normal 68 3 3" xfId="32924" xr:uid="{00000000-0005-0000-0000-000007B30000}"/>
    <cellStyle name="Normal 68 3 3 2" xfId="32925" xr:uid="{00000000-0005-0000-0000-000008B30000}"/>
    <cellStyle name="Normal 68 3 3 2 2" xfId="32926" xr:uid="{00000000-0005-0000-0000-000009B30000}"/>
    <cellStyle name="Normal 68 3 3 3" xfId="32927" xr:uid="{00000000-0005-0000-0000-00000AB30000}"/>
    <cellStyle name="Normal 68 3 3 3 2" xfId="32928" xr:uid="{00000000-0005-0000-0000-00000BB30000}"/>
    <cellStyle name="Normal 68 3 3 4" xfId="32929" xr:uid="{00000000-0005-0000-0000-00000CB30000}"/>
    <cellStyle name="Normal 68 3 4" xfId="32930" xr:uid="{00000000-0005-0000-0000-00000DB30000}"/>
    <cellStyle name="Normal 68 3 4 2" xfId="32931" xr:uid="{00000000-0005-0000-0000-00000EB30000}"/>
    <cellStyle name="Normal 68 3 5" xfId="32932" xr:uid="{00000000-0005-0000-0000-00000FB30000}"/>
    <cellStyle name="Normal 68 3 5 2" xfId="32933" xr:uid="{00000000-0005-0000-0000-000010B30000}"/>
    <cellStyle name="Normal 68 3 6" xfId="32934" xr:uid="{00000000-0005-0000-0000-000011B30000}"/>
    <cellStyle name="Normal 68 4" xfId="32935" xr:uid="{00000000-0005-0000-0000-000012B30000}"/>
    <cellStyle name="Normal 68 4 2" xfId="32936" xr:uid="{00000000-0005-0000-0000-000013B30000}"/>
    <cellStyle name="Normal 68 4 2 2" xfId="32937" xr:uid="{00000000-0005-0000-0000-000014B30000}"/>
    <cellStyle name="Normal 68 4 3" xfId="32938" xr:uid="{00000000-0005-0000-0000-000015B30000}"/>
    <cellStyle name="Normal 68 4 3 2" xfId="32939" xr:uid="{00000000-0005-0000-0000-000016B30000}"/>
    <cellStyle name="Normal 68 4 4" xfId="32940" xr:uid="{00000000-0005-0000-0000-000017B30000}"/>
    <cellStyle name="Normal 68 5" xfId="32941" xr:uid="{00000000-0005-0000-0000-000018B30000}"/>
    <cellStyle name="Normal 68 5 2" xfId="32942" xr:uid="{00000000-0005-0000-0000-000019B30000}"/>
    <cellStyle name="Normal 68 5 2 2" xfId="32943" xr:uid="{00000000-0005-0000-0000-00001AB30000}"/>
    <cellStyle name="Normal 68 5 3" xfId="32944" xr:uid="{00000000-0005-0000-0000-00001BB30000}"/>
    <cellStyle name="Normal 68 5 3 2" xfId="32945" xr:uid="{00000000-0005-0000-0000-00001CB30000}"/>
    <cellStyle name="Normal 68 5 4" xfId="32946" xr:uid="{00000000-0005-0000-0000-00001DB30000}"/>
    <cellStyle name="Normal 68 6" xfId="32947" xr:uid="{00000000-0005-0000-0000-00001EB30000}"/>
    <cellStyle name="Normal 68 6 2" xfId="32948" xr:uid="{00000000-0005-0000-0000-00001FB30000}"/>
    <cellStyle name="Normal 68 6 2 2" xfId="32949" xr:uid="{00000000-0005-0000-0000-000020B30000}"/>
    <cellStyle name="Normal 68 6 3" xfId="32950" xr:uid="{00000000-0005-0000-0000-000021B30000}"/>
    <cellStyle name="Normal 68 6 3 2" xfId="32951" xr:uid="{00000000-0005-0000-0000-000022B30000}"/>
    <cellStyle name="Normal 68 6 4" xfId="32952" xr:uid="{00000000-0005-0000-0000-000023B30000}"/>
    <cellStyle name="Normal 68 7" xfId="32953" xr:uid="{00000000-0005-0000-0000-000024B30000}"/>
    <cellStyle name="Normal 68 7 2" xfId="32954" xr:uid="{00000000-0005-0000-0000-000025B30000}"/>
    <cellStyle name="Normal 68 7 2 2" xfId="32955" xr:uid="{00000000-0005-0000-0000-000026B30000}"/>
    <cellStyle name="Normal 68 7 3" xfId="32956" xr:uid="{00000000-0005-0000-0000-000027B30000}"/>
    <cellStyle name="Normal 68 7 3 2" xfId="32957" xr:uid="{00000000-0005-0000-0000-000028B30000}"/>
    <cellStyle name="Normal 68 7 4" xfId="32958" xr:uid="{00000000-0005-0000-0000-000029B30000}"/>
    <cellStyle name="Normal 68 8" xfId="32959" xr:uid="{00000000-0005-0000-0000-00002AB30000}"/>
    <cellStyle name="Normal 68 8 2" xfId="32960" xr:uid="{00000000-0005-0000-0000-00002BB30000}"/>
    <cellStyle name="Normal 68 8 2 2" xfId="32961" xr:uid="{00000000-0005-0000-0000-00002CB30000}"/>
    <cellStyle name="Normal 68 8 3" xfId="32962" xr:uid="{00000000-0005-0000-0000-00002DB30000}"/>
    <cellStyle name="Normal 68 8 3 2" xfId="32963" xr:uid="{00000000-0005-0000-0000-00002EB30000}"/>
    <cellStyle name="Normal 68 8 4" xfId="32964" xr:uid="{00000000-0005-0000-0000-00002FB30000}"/>
    <cellStyle name="Normal 68 9" xfId="32965" xr:uid="{00000000-0005-0000-0000-000030B30000}"/>
    <cellStyle name="Normal 68 9 2" xfId="32966" xr:uid="{00000000-0005-0000-0000-000031B30000}"/>
    <cellStyle name="Normal 68 9 2 2" xfId="32967" xr:uid="{00000000-0005-0000-0000-000032B30000}"/>
    <cellStyle name="Normal 68 9 3" xfId="32968" xr:uid="{00000000-0005-0000-0000-000033B30000}"/>
    <cellStyle name="Normal 69" xfId="32969" xr:uid="{00000000-0005-0000-0000-000034B30000}"/>
    <cellStyle name="Normal 69 10" xfId="32970" xr:uid="{00000000-0005-0000-0000-000035B30000}"/>
    <cellStyle name="Normal 69 10 2" xfId="32971" xr:uid="{00000000-0005-0000-0000-000036B30000}"/>
    <cellStyle name="Normal 69 11" xfId="32972" xr:uid="{00000000-0005-0000-0000-000037B30000}"/>
    <cellStyle name="Normal 69 11 2" xfId="32973" xr:uid="{00000000-0005-0000-0000-000038B30000}"/>
    <cellStyle name="Normal 69 12" xfId="32974" xr:uid="{00000000-0005-0000-0000-000039B30000}"/>
    <cellStyle name="Normal 69 13" xfId="32975" xr:uid="{00000000-0005-0000-0000-00003AB30000}"/>
    <cellStyle name="Normal 69 2" xfId="32976" xr:uid="{00000000-0005-0000-0000-00003BB30000}"/>
    <cellStyle name="Normal 69 2 10" xfId="32977" xr:uid="{00000000-0005-0000-0000-00003CB30000}"/>
    <cellStyle name="Normal 69 2 10 2" xfId="32978" xr:uid="{00000000-0005-0000-0000-00003DB30000}"/>
    <cellStyle name="Normal 69 2 11" xfId="32979" xr:uid="{00000000-0005-0000-0000-00003EB30000}"/>
    <cellStyle name="Normal 69 2 2" xfId="32980" xr:uid="{00000000-0005-0000-0000-00003FB30000}"/>
    <cellStyle name="Normal 69 2 2 2" xfId="32981" xr:uid="{00000000-0005-0000-0000-000040B30000}"/>
    <cellStyle name="Normal 69 2 2 2 2" xfId="32982" xr:uid="{00000000-0005-0000-0000-000041B30000}"/>
    <cellStyle name="Normal 69 2 2 2 2 2" xfId="32983" xr:uid="{00000000-0005-0000-0000-000042B30000}"/>
    <cellStyle name="Normal 69 2 2 2 3" xfId="32984" xr:uid="{00000000-0005-0000-0000-000043B30000}"/>
    <cellStyle name="Normal 69 2 2 2 3 2" xfId="32985" xr:uid="{00000000-0005-0000-0000-000044B30000}"/>
    <cellStyle name="Normal 69 2 2 2 4" xfId="32986" xr:uid="{00000000-0005-0000-0000-000045B30000}"/>
    <cellStyle name="Normal 69 2 2 3" xfId="32987" xr:uid="{00000000-0005-0000-0000-000046B30000}"/>
    <cellStyle name="Normal 69 2 2 3 2" xfId="32988" xr:uid="{00000000-0005-0000-0000-000047B30000}"/>
    <cellStyle name="Normal 69 2 2 3 2 2" xfId="32989" xr:uid="{00000000-0005-0000-0000-000048B30000}"/>
    <cellStyle name="Normal 69 2 2 3 3" xfId="32990" xr:uid="{00000000-0005-0000-0000-000049B30000}"/>
    <cellStyle name="Normal 69 2 2 3 3 2" xfId="32991" xr:uid="{00000000-0005-0000-0000-00004AB30000}"/>
    <cellStyle name="Normal 69 2 2 3 4" xfId="32992" xr:uid="{00000000-0005-0000-0000-00004BB30000}"/>
    <cellStyle name="Normal 69 2 2 4" xfId="32993" xr:uid="{00000000-0005-0000-0000-00004CB30000}"/>
    <cellStyle name="Normal 69 2 2 4 2" xfId="32994" xr:uid="{00000000-0005-0000-0000-00004DB30000}"/>
    <cellStyle name="Normal 69 2 2 5" xfId="32995" xr:uid="{00000000-0005-0000-0000-00004EB30000}"/>
    <cellStyle name="Normal 69 2 2 5 2" xfId="32996" xr:uid="{00000000-0005-0000-0000-00004FB30000}"/>
    <cellStyle name="Normal 69 2 2 6" xfId="32997" xr:uid="{00000000-0005-0000-0000-000050B30000}"/>
    <cellStyle name="Normal 69 2 3" xfId="32998" xr:uid="{00000000-0005-0000-0000-000051B30000}"/>
    <cellStyle name="Normal 69 2 3 2" xfId="32999" xr:uid="{00000000-0005-0000-0000-000052B30000}"/>
    <cellStyle name="Normal 69 2 3 2 2" xfId="33000" xr:uid="{00000000-0005-0000-0000-000053B30000}"/>
    <cellStyle name="Normal 69 2 3 3" xfId="33001" xr:uid="{00000000-0005-0000-0000-000054B30000}"/>
    <cellStyle name="Normal 69 2 3 3 2" xfId="33002" xr:uid="{00000000-0005-0000-0000-000055B30000}"/>
    <cellStyle name="Normal 69 2 3 4" xfId="33003" xr:uid="{00000000-0005-0000-0000-000056B30000}"/>
    <cellStyle name="Normal 69 2 4" xfId="33004" xr:uid="{00000000-0005-0000-0000-000057B30000}"/>
    <cellStyle name="Normal 69 2 4 2" xfId="33005" xr:uid="{00000000-0005-0000-0000-000058B30000}"/>
    <cellStyle name="Normal 69 2 4 2 2" xfId="33006" xr:uid="{00000000-0005-0000-0000-000059B30000}"/>
    <cellStyle name="Normal 69 2 4 3" xfId="33007" xr:uid="{00000000-0005-0000-0000-00005AB30000}"/>
    <cellStyle name="Normal 69 2 4 3 2" xfId="33008" xr:uid="{00000000-0005-0000-0000-00005BB30000}"/>
    <cellStyle name="Normal 69 2 4 4" xfId="33009" xr:uid="{00000000-0005-0000-0000-00005CB30000}"/>
    <cellStyle name="Normal 69 2 5" xfId="33010" xr:uid="{00000000-0005-0000-0000-00005DB30000}"/>
    <cellStyle name="Normal 69 2 5 2" xfId="33011" xr:uid="{00000000-0005-0000-0000-00005EB30000}"/>
    <cellStyle name="Normal 69 2 5 2 2" xfId="33012" xr:uid="{00000000-0005-0000-0000-00005FB30000}"/>
    <cellStyle name="Normal 69 2 5 3" xfId="33013" xr:uid="{00000000-0005-0000-0000-000060B30000}"/>
    <cellStyle name="Normal 69 2 5 3 2" xfId="33014" xr:uid="{00000000-0005-0000-0000-000061B30000}"/>
    <cellStyle name="Normal 69 2 5 4" xfId="33015" xr:uid="{00000000-0005-0000-0000-000062B30000}"/>
    <cellStyle name="Normal 69 2 6" xfId="33016" xr:uid="{00000000-0005-0000-0000-000063B30000}"/>
    <cellStyle name="Normal 69 2 6 2" xfId="33017" xr:uid="{00000000-0005-0000-0000-000064B30000}"/>
    <cellStyle name="Normal 69 2 6 2 2" xfId="33018" xr:uid="{00000000-0005-0000-0000-000065B30000}"/>
    <cellStyle name="Normal 69 2 6 3" xfId="33019" xr:uid="{00000000-0005-0000-0000-000066B30000}"/>
    <cellStyle name="Normal 69 2 6 3 2" xfId="33020" xr:uid="{00000000-0005-0000-0000-000067B30000}"/>
    <cellStyle name="Normal 69 2 6 4" xfId="33021" xr:uid="{00000000-0005-0000-0000-000068B30000}"/>
    <cellStyle name="Normal 69 2 7" xfId="33022" xr:uid="{00000000-0005-0000-0000-000069B30000}"/>
    <cellStyle name="Normal 69 2 7 2" xfId="33023" xr:uid="{00000000-0005-0000-0000-00006AB30000}"/>
    <cellStyle name="Normal 69 2 7 2 2" xfId="33024" xr:uid="{00000000-0005-0000-0000-00006BB30000}"/>
    <cellStyle name="Normal 69 2 7 3" xfId="33025" xr:uid="{00000000-0005-0000-0000-00006CB30000}"/>
    <cellStyle name="Normal 69 2 7 3 2" xfId="33026" xr:uid="{00000000-0005-0000-0000-00006DB30000}"/>
    <cellStyle name="Normal 69 2 7 4" xfId="33027" xr:uid="{00000000-0005-0000-0000-00006EB30000}"/>
    <cellStyle name="Normal 69 2 8" xfId="33028" xr:uid="{00000000-0005-0000-0000-00006FB30000}"/>
    <cellStyle name="Normal 69 2 8 2" xfId="33029" xr:uid="{00000000-0005-0000-0000-000070B30000}"/>
    <cellStyle name="Normal 69 2 8 2 2" xfId="33030" xr:uid="{00000000-0005-0000-0000-000071B30000}"/>
    <cellStyle name="Normal 69 2 8 3" xfId="33031" xr:uid="{00000000-0005-0000-0000-000072B30000}"/>
    <cellStyle name="Normal 69 2 9" xfId="33032" xr:uid="{00000000-0005-0000-0000-000073B30000}"/>
    <cellStyle name="Normal 69 2 9 2" xfId="33033" xr:uid="{00000000-0005-0000-0000-000074B30000}"/>
    <cellStyle name="Normal 69 3" xfId="33034" xr:uid="{00000000-0005-0000-0000-000075B30000}"/>
    <cellStyle name="Normal 69 3 2" xfId="33035" xr:uid="{00000000-0005-0000-0000-000076B30000}"/>
    <cellStyle name="Normal 69 3 2 2" xfId="33036" xr:uid="{00000000-0005-0000-0000-000077B30000}"/>
    <cellStyle name="Normal 69 3 2 2 2" xfId="33037" xr:uid="{00000000-0005-0000-0000-000078B30000}"/>
    <cellStyle name="Normal 69 3 2 3" xfId="33038" xr:uid="{00000000-0005-0000-0000-000079B30000}"/>
    <cellStyle name="Normal 69 3 2 3 2" xfId="33039" xr:uid="{00000000-0005-0000-0000-00007AB30000}"/>
    <cellStyle name="Normal 69 3 2 4" xfId="33040" xr:uid="{00000000-0005-0000-0000-00007BB30000}"/>
    <cellStyle name="Normal 69 3 3" xfId="33041" xr:uid="{00000000-0005-0000-0000-00007CB30000}"/>
    <cellStyle name="Normal 69 3 3 2" xfId="33042" xr:uid="{00000000-0005-0000-0000-00007DB30000}"/>
    <cellStyle name="Normal 69 3 3 2 2" xfId="33043" xr:uid="{00000000-0005-0000-0000-00007EB30000}"/>
    <cellStyle name="Normal 69 3 3 3" xfId="33044" xr:uid="{00000000-0005-0000-0000-00007FB30000}"/>
    <cellStyle name="Normal 69 3 3 3 2" xfId="33045" xr:uid="{00000000-0005-0000-0000-000080B30000}"/>
    <cellStyle name="Normal 69 3 3 4" xfId="33046" xr:uid="{00000000-0005-0000-0000-000081B30000}"/>
    <cellStyle name="Normal 69 3 4" xfId="33047" xr:uid="{00000000-0005-0000-0000-000082B30000}"/>
    <cellStyle name="Normal 69 3 4 2" xfId="33048" xr:uid="{00000000-0005-0000-0000-000083B30000}"/>
    <cellStyle name="Normal 69 3 5" xfId="33049" xr:uid="{00000000-0005-0000-0000-000084B30000}"/>
    <cellStyle name="Normal 69 3 5 2" xfId="33050" xr:uid="{00000000-0005-0000-0000-000085B30000}"/>
    <cellStyle name="Normal 69 3 6" xfId="33051" xr:uid="{00000000-0005-0000-0000-000086B30000}"/>
    <cellStyle name="Normal 69 4" xfId="33052" xr:uid="{00000000-0005-0000-0000-000087B30000}"/>
    <cellStyle name="Normal 69 4 2" xfId="33053" xr:uid="{00000000-0005-0000-0000-000088B30000}"/>
    <cellStyle name="Normal 69 4 2 2" xfId="33054" xr:uid="{00000000-0005-0000-0000-000089B30000}"/>
    <cellStyle name="Normal 69 4 3" xfId="33055" xr:uid="{00000000-0005-0000-0000-00008AB30000}"/>
    <cellStyle name="Normal 69 4 3 2" xfId="33056" xr:uid="{00000000-0005-0000-0000-00008BB30000}"/>
    <cellStyle name="Normal 69 4 4" xfId="33057" xr:uid="{00000000-0005-0000-0000-00008CB30000}"/>
    <cellStyle name="Normal 69 5" xfId="33058" xr:uid="{00000000-0005-0000-0000-00008DB30000}"/>
    <cellStyle name="Normal 69 5 2" xfId="33059" xr:uid="{00000000-0005-0000-0000-00008EB30000}"/>
    <cellStyle name="Normal 69 5 2 2" xfId="33060" xr:uid="{00000000-0005-0000-0000-00008FB30000}"/>
    <cellStyle name="Normal 69 5 3" xfId="33061" xr:uid="{00000000-0005-0000-0000-000090B30000}"/>
    <cellStyle name="Normal 69 5 3 2" xfId="33062" xr:uid="{00000000-0005-0000-0000-000091B30000}"/>
    <cellStyle name="Normal 69 5 4" xfId="33063" xr:uid="{00000000-0005-0000-0000-000092B30000}"/>
    <cellStyle name="Normal 69 6" xfId="33064" xr:uid="{00000000-0005-0000-0000-000093B30000}"/>
    <cellStyle name="Normal 69 6 2" xfId="33065" xr:uid="{00000000-0005-0000-0000-000094B30000}"/>
    <cellStyle name="Normal 69 6 2 2" xfId="33066" xr:uid="{00000000-0005-0000-0000-000095B30000}"/>
    <cellStyle name="Normal 69 6 3" xfId="33067" xr:uid="{00000000-0005-0000-0000-000096B30000}"/>
    <cellStyle name="Normal 69 6 3 2" xfId="33068" xr:uid="{00000000-0005-0000-0000-000097B30000}"/>
    <cellStyle name="Normal 69 6 4" xfId="33069" xr:uid="{00000000-0005-0000-0000-000098B30000}"/>
    <cellStyle name="Normal 69 7" xfId="33070" xr:uid="{00000000-0005-0000-0000-000099B30000}"/>
    <cellStyle name="Normal 69 7 2" xfId="33071" xr:uid="{00000000-0005-0000-0000-00009AB30000}"/>
    <cellStyle name="Normal 69 7 2 2" xfId="33072" xr:uid="{00000000-0005-0000-0000-00009BB30000}"/>
    <cellStyle name="Normal 69 7 3" xfId="33073" xr:uid="{00000000-0005-0000-0000-00009CB30000}"/>
    <cellStyle name="Normal 69 7 3 2" xfId="33074" xr:uid="{00000000-0005-0000-0000-00009DB30000}"/>
    <cellStyle name="Normal 69 7 4" xfId="33075" xr:uid="{00000000-0005-0000-0000-00009EB30000}"/>
    <cellStyle name="Normal 69 8" xfId="33076" xr:uid="{00000000-0005-0000-0000-00009FB30000}"/>
    <cellStyle name="Normal 69 8 2" xfId="33077" xr:uid="{00000000-0005-0000-0000-0000A0B30000}"/>
    <cellStyle name="Normal 69 8 2 2" xfId="33078" xr:uid="{00000000-0005-0000-0000-0000A1B30000}"/>
    <cellStyle name="Normal 69 8 3" xfId="33079" xr:uid="{00000000-0005-0000-0000-0000A2B30000}"/>
    <cellStyle name="Normal 69 8 3 2" xfId="33080" xr:uid="{00000000-0005-0000-0000-0000A3B30000}"/>
    <cellStyle name="Normal 69 8 4" xfId="33081" xr:uid="{00000000-0005-0000-0000-0000A4B30000}"/>
    <cellStyle name="Normal 69 9" xfId="33082" xr:uid="{00000000-0005-0000-0000-0000A5B30000}"/>
    <cellStyle name="Normal 69 9 2" xfId="33083" xr:uid="{00000000-0005-0000-0000-0000A6B30000}"/>
    <cellStyle name="Normal 69 9 2 2" xfId="33084" xr:uid="{00000000-0005-0000-0000-0000A7B30000}"/>
    <cellStyle name="Normal 69 9 3" xfId="33085" xr:uid="{00000000-0005-0000-0000-0000A8B30000}"/>
    <cellStyle name="Normal 7" xfId="33086" xr:uid="{00000000-0005-0000-0000-0000A9B30000}"/>
    <cellStyle name="Normal 7 10" xfId="33087" xr:uid="{00000000-0005-0000-0000-0000AAB30000}"/>
    <cellStyle name="Normal 7 10 2" xfId="33088" xr:uid="{00000000-0005-0000-0000-0000ABB30000}"/>
    <cellStyle name="Normal 7 10 2 2" xfId="33089" xr:uid="{00000000-0005-0000-0000-0000ACB30000}"/>
    <cellStyle name="Normal 7 10 2 2 2" xfId="33090" xr:uid="{00000000-0005-0000-0000-0000ADB30000}"/>
    <cellStyle name="Normal 7 10 2 2 2 2" xfId="58931" xr:uid="{00000000-0005-0000-0000-0000AEB30000}"/>
    <cellStyle name="Normal 7 10 2 2 2 3" xfId="58932" xr:uid="{00000000-0005-0000-0000-0000AFB30000}"/>
    <cellStyle name="Normal 7 10 2 2 3" xfId="33091" xr:uid="{00000000-0005-0000-0000-0000B0B30000}"/>
    <cellStyle name="Normal 7 10 2 2 3 2" xfId="58933" xr:uid="{00000000-0005-0000-0000-0000B1B30000}"/>
    <cellStyle name="Normal 7 10 2 2 4" xfId="33092" xr:uid="{00000000-0005-0000-0000-0000B2B30000}"/>
    <cellStyle name="Normal 7 10 2 2 5" xfId="33093" xr:uid="{00000000-0005-0000-0000-0000B3B30000}"/>
    <cellStyle name="Normal 7 10 2 2 6" xfId="33094" xr:uid="{00000000-0005-0000-0000-0000B4B30000}"/>
    <cellStyle name="Normal 7 10 2 3" xfId="33095" xr:uid="{00000000-0005-0000-0000-0000B5B30000}"/>
    <cellStyle name="Normal 7 10 2 3 2" xfId="58934" xr:uid="{00000000-0005-0000-0000-0000B6B30000}"/>
    <cellStyle name="Normal 7 10 2 3 3" xfId="58935" xr:uid="{00000000-0005-0000-0000-0000B7B30000}"/>
    <cellStyle name="Normal 7 10 2 4" xfId="33096" xr:uid="{00000000-0005-0000-0000-0000B8B30000}"/>
    <cellStyle name="Normal 7 10 2 4 2" xfId="58936" xr:uid="{00000000-0005-0000-0000-0000B9B30000}"/>
    <cellStyle name="Normal 7 10 2 5" xfId="33097" xr:uid="{00000000-0005-0000-0000-0000BAB30000}"/>
    <cellStyle name="Normal 7 10 2 6" xfId="33098" xr:uid="{00000000-0005-0000-0000-0000BBB30000}"/>
    <cellStyle name="Normal 7 10 2 7" xfId="33099" xr:uid="{00000000-0005-0000-0000-0000BCB30000}"/>
    <cellStyle name="Normal 7 10 3" xfId="33100" xr:uid="{00000000-0005-0000-0000-0000BDB30000}"/>
    <cellStyle name="Normal 7 10 3 2" xfId="33101" xr:uid="{00000000-0005-0000-0000-0000BEB30000}"/>
    <cellStyle name="Normal 7 10 3 2 2" xfId="58937" xr:uid="{00000000-0005-0000-0000-0000BFB30000}"/>
    <cellStyle name="Normal 7 10 3 2 3" xfId="58938" xr:uid="{00000000-0005-0000-0000-0000C0B30000}"/>
    <cellStyle name="Normal 7 10 3 3" xfId="33102" xr:uid="{00000000-0005-0000-0000-0000C1B30000}"/>
    <cellStyle name="Normal 7 10 3 3 2" xfId="58939" xr:uid="{00000000-0005-0000-0000-0000C2B30000}"/>
    <cellStyle name="Normal 7 10 3 4" xfId="33103" xr:uid="{00000000-0005-0000-0000-0000C3B30000}"/>
    <cellStyle name="Normal 7 10 3 5" xfId="33104" xr:uid="{00000000-0005-0000-0000-0000C4B30000}"/>
    <cellStyle name="Normal 7 10 3 6" xfId="33105" xr:uid="{00000000-0005-0000-0000-0000C5B30000}"/>
    <cellStyle name="Normal 7 10 4" xfId="33106" xr:uid="{00000000-0005-0000-0000-0000C6B30000}"/>
    <cellStyle name="Normal 7 10 4 2" xfId="58940" xr:uid="{00000000-0005-0000-0000-0000C7B30000}"/>
    <cellStyle name="Normal 7 10 4 3" xfId="58941" xr:uid="{00000000-0005-0000-0000-0000C8B30000}"/>
    <cellStyle name="Normal 7 10 5" xfId="33107" xr:uid="{00000000-0005-0000-0000-0000C9B30000}"/>
    <cellStyle name="Normal 7 10 5 2" xfId="58942" xr:uid="{00000000-0005-0000-0000-0000CAB30000}"/>
    <cellStyle name="Normal 7 10 6" xfId="33108" xr:uid="{00000000-0005-0000-0000-0000CBB30000}"/>
    <cellStyle name="Normal 7 10 7" xfId="33109" xr:uid="{00000000-0005-0000-0000-0000CCB30000}"/>
    <cellStyle name="Normal 7 10 8" xfId="33110" xr:uid="{00000000-0005-0000-0000-0000CDB30000}"/>
    <cellStyle name="Normal 7 11" xfId="33111" xr:uid="{00000000-0005-0000-0000-0000CEB30000}"/>
    <cellStyle name="Normal 7 11 2" xfId="33112" xr:uid="{00000000-0005-0000-0000-0000CFB30000}"/>
    <cellStyle name="Normal 7 11 2 2" xfId="33113" xr:uid="{00000000-0005-0000-0000-0000D0B30000}"/>
    <cellStyle name="Normal 7 11 2 2 2" xfId="33114" xr:uid="{00000000-0005-0000-0000-0000D1B30000}"/>
    <cellStyle name="Normal 7 11 2 2 2 2" xfId="58943" xr:uid="{00000000-0005-0000-0000-0000D2B30000}"/>
    <cellStyle name="Normal 7 11 2 2 2 3" xfId="58944" xr:uid="{00000000-0005-0000-0000-0000D3B30000}"/>
    <cellStyle name="Normal 7 11 2 2 3" xfId="33115" xr:uid="{00000000-0005-0000-0000-0000D4B30000}"/>
    <cellStyle name="Normal 7 11 2 2 3 2" xfId="58945" xr:uid="{00000000-0005-0000-0000-0000D5B30000}"/>
    <cellStyle name="Normal 7 11 2 2 4" xfId="33116" xr:uid="{00000000-0005-0000-0000-0000D6B30000}"/>
    <cellStyle name="Normal 7 11 2 2 5" xfId="33117" xr:uid="{00000000-0005-0000-0000-0000D7B30000}"/>
    <cellStyle name="Normal 7 11 2 2 6" xfId="33118" xr:uid="{00000000-0005-0000-0000-0000D8B30000}"/>
    <cellStyle name="Normal 7 11 2 3" xfId="33119" xr:uid="{00000000-0005-0000-0000-0000D9B30000}"/>
    <cellStyle name="Normal 7 11 2 3 2" xfId="58946" xr:uid="{00000000-0005-0000-0000-0000DAB30000}"/>
    <cellStyle name="Normal 7 11 2 3 3" xfId="58947" xr:uid="{00000000-0005-0000-0000-0000DBB30000}"/>
    <cellStyle name="Normal 7 11 2 4" xfId="33120" xr:uid="{00000000-0005-0000-0000-0000DCB30000}"/>
    <cellStyle name="Normal 7 11 2 4 2" xfId="58948" xr:uid="{00000000-0005-0000-0000-0000DDB30000}"/>
    <cellStyle name="Normal 7 11 2 5" xfId="33121" xr:uid="{00000000-0005-0000-0000-0000DEB30000}"/>
    <cellStyle name="Normal 7 11 2 6" xfId="33122" xr:uid="{00000000-0005-0000-0000-0000DFB30000}"/>
    <cellStyle name="Normal 7 11 2 7" xfId="33123" xr:uid="{00000000-0005-0000-0000-0000E0B30000}"/>
    <cellStyle name="Normal 7 11 3" xfId="33124" xr:uid="{00000000-0005-0000-0000-0000E1B30000}"/>
    <cellStyle name="Normal 7 11 3 2" xfId="33125" xr:uid="{00000000-0005-0000-0000-0000E2B30000}"/>
    <cellStyle name="Normal 7 11 3 2 2" xfId="58949" xr:uid="{00000000-0005-0000-0000-0000E3B30000}"/>
    <cellStyle name="Normal 7 11 3 2 3" xfId="58950" xr:uid="{00000000-0005-0000-0000-0000E4B30000}"/>
    <cellStyle name="Normal 7 11 3 3" xfId="33126" xr:uid="{00000000-0005-0000-0000-0000E5B30000}"/>
    <cellStyle name="Normal 7 11 3 3 2" xfId="58951" xr:uid="{00000000-0005-0000-0000-0000E6B30000}"/>
    <cellStyle name="Normal 7 11 3 4" xfId="33127" xr:uid="{00000000-0005-0000-0000-0000E7B30000}"/>
    <cellStyle name="Normal 7 11 3 5" xfId="33128" xr:uid="{00000000-0005-0000-0000-0000E8B30000}"/>
    <cellStyle name="Normal 7 11 3 6" xfId="33129" xr:uid="{00000000-0005-0000-0000-0000E9B30000}"/>
    <cellStyle name="Normal 7 11 4" xfId="33130" xr:uid="{00000000-0005-0000-0000-0000EAB30000}"/>
    <cellStyle name="Normal 7 11 4 2" xfId="58952" xr:uid="{00000000-0005-0000-0000-0000EBB30000}"/>
    <cellStyle name="Normal 7 11 4 3" xfId="58953" xr:uid="{00000000-0005-0000-0000-0000ECB30000}"/>
    <cellStyle name="Normal 7 11 5" xfId="33131" xr:uid="{00000000-0005-0000-0000-0000EDB30000}"/>
    <cellStyle name="Normal 7 11 5 2" xfId="58954" xr:uid="{00000000-0005-0000-0000-0000EEB30000}"/>
    <cellStyle name="Normal 7 11 6" xfId="33132" xr:uid="{00000000-0005-0000-0000-0000EFB30000}"/>
    <cellStyle name="Normal 7 11 7" xfId="33133" xr:uid="{00000000-0005-0000-0000-0000F0B30000}"/>
    <cellStyle name="Normal 7 11 8" xfId="33134" xr:uid="{00000000-0005-0000-0000-0000F1B30000}"/>
    <cellStyle name="Normal 7 12" xfId="33135" xr:uid="{00000000-0005-0000-0000-0000F2B30000}"/>
    <cellStyle name="Normal 7 12 2" xfId="33136" xr:uid="{00000000-0005-0000-0000-0000F3B30000}"/>
    <cellStyle name="Normal 7 12 2 2" xfId="33137" xr:uid="{00000000-0005-0000-0000-0000F4B30000}"/>
    <cellStyle name="Normal 7 12 2 2 2" xfId="58955" xr:uid="{00000000-0005-0000-0000-0000F5B30000}"/>
    <cellStyle name="Normal 7 12 2 2 3" xfId="58956" xr:uid="{00000000-0005-0000-0000-0000F6B30000}"/>
    <cellStyle name="Normal 7 12 2 3" xfId="33138" xr:uid="{00000000-0005-0000-0000-0000F7B30000}"/>
    <cellStyle name="Normal 7 12 2 3 2" xfId="58957" xr:uid="{00000000-0005-0000-0000-0000F8B30000}"/>
    <cellStyle name="Normal 7 12 2 4" xfId="33139" xr:uid="{00000000-0005-0000-0000-0000F9B30000}"/>
    <cellStyle name="Normal 7 12 2 5" xfId="33140" xr:uid="{00000000-0005-0000-0000-0000FAB30000}"/>
    <cellStyle name="Normal 7 12 2 6" xfId="33141" xr:uid="{00000000-0005-0000-0000-0000FBB30000}"/>
    <cellStyle name="Normal 7 12 3" xfId="33142" xr:uid="{00000000-0005-0000-0000-0000FCB30000}"/>
    <cellStyle name="Normal 7 12 3 2" xfId="58958" xr:uid="{00000000-0005-0000-0000-0000FDB30000}"/>
    <cellStyle name="Normal 7 12 3 3" xfId="58959" xr:uid="{00000000-0005-0000-0000-0000FEB30000}"/>
    <cellStyle name="Normal 7 12 4" xfId="33143" xr:uid="{00000000-0005-0000-0000-0000FFB30000}"/>
    <cellStyle name="Normal 7 12 4 2" xfId="58960" xr:uid="{00000000-0005-0000-0000-000000B40000}"/>
    <cellStyle name="Normal 7 12 5" xfId="33144" xr:uid="{00000000-0005-0000-0000-000001B40000}"/>
    <cellStyle name="Normal 7 12 6" xfId="33145" xr:uid="{00000000-0005-0000-0000-000002B40000}"/>
    <cellStyle name="Normal 7 12 7" xfId="33146" xr:uid="{00000000-0005-0000-0000-000003B40000}"/>
    <cellStyle name="Normal 7 13" xfId="33147" xr:uid="{00000000-0005-0000-0000-000004B40000}"/>
    <cellStyle name="Normal 7 13 2" xfId="33148" xr:uid="{00000000-0005-0000-0000-000005B40000}"/>
    <cellStyle name="Normal 7 13 2 2" xfId="58961" xr:uid="{00000000-0005-0000-0000-000006B40000}"/>
    <cellStyle name="Normal 7 13 2 3" xfId="58962" xr:uid="{00000000-0005-0000-0000-000007B40000}"/>
    <cellStyle name="Normal 7 13 3" xfId="33149" xr:uid="{00000000-0005-0000-0000-000008B40000}"/>
    <cellStyle name="Normal 7 13 3 2" xfId="58963" xr:uid="{00000000-0005-0000-0000-000009B40000}"/>
    <cellStyle name="Normal 7 13 4" xfId="33150" xr:uid="{00000000-0005-0000-0000-00000AB40000}"/>
    <cellStyle name="Normal 7 13 5" xfId="33151" xr:uid="{00000000-0005-0000-0000-00000BB40000}"/>
    <cellStyle name="Normal 7 13 6" xfId="33152" xr:uid="{00000000-0005-0000-0000-00000CB40000}"/>
    <cellStyle name="Normal 7 14" xfId="33153" xr:uid="{00000000-0005-0000-0000-00000DB40000}"/>
    <cellStyle name="Normal 7 14 2" xfId="58964" xr:uid="{00000000-0005-0000-0000-00000EB40000}"/>
    <cellStyle name="Normal 7 14 3" xfId="58965" xr:uid="{00000000-0005-0000-0000-00000FB40000}"/>
    <cellStyle name="Normal 7 15" xfId="33154" xr:uid="{00000000-0005-0000-0000-000010B40000}"/>
    <cellStyle name="Normal 7 15 2" xfId="58966" xr:uid="{00000000-0005-0000-0000-000011B40000}"/>
    <cellStyle name="Normal 7 16" xfId="33155" xr:uid="{00000000-0005-0000-0000-000012B40000}"/>
    <cellStyle name="Normal 7 16 2" xfId="58967" xr:uid="{00000000-0005-0000-0000-000013B40000}"/>
    <cellStyle name="Normal 7 17" xfId="33156" xr:uid="{00000000-0005-0000-0000-000014B40000}"/>
    <cellStyle name="Normal 7 18" xfId="33157" xr:uid="{00000000-0005-0000-0000-000015B40000}"/>
    <cellStyle name="Normal 7 19" xfId="33158" xr:uid="{00000000-0005-0000-0000-000016B40000}"/>
    <cellStyle name="Normal 7 2" xfId="33159" xr:uid="{00000000-0005-0000-0000-000017B40000}"/>
    <cellStyle name="Normal 7 2 10" xfId="33160" xr:uid="{00000000-0005-0000-0000-000018B40000}"/>
    <cellStyle name="Normal 7 2 10 2" xfId="33161" xr:uid="{00000000-0005-0000-0000-000019B40000}"/>
    <cellStyle name="Normal 7 2 10 2 2" xfId="33162" xr:uid="{00000000-0005-0000-0000-00001AB40000}"/>
    <cellStyle name="Normal 7 2 10 2 2 2" xfId="58968" xr:uid="{00000000-0005-0000-0000-00001BB40000}"/>
    <cellStyle name="Normal 7 2 10 2 2 3" xfId="58969" xr:uid="{00000000-0005-0000-0000-00001CB40000}"/>
    <cellStyle name="Normal 7 2 10 2 3" xfId="33163" xr:uid="{00000000-0005-0000-0000-00001DB40000}"/>
    <cellStyle name="Normal 7 2 10 2 3 2" xfId="58970" xr:uid="{00000000-0005-0000-0000-00001EB40000}"/>
    <cellStyle name="Normal 7 2 10 2 4" xfId="33164" xr:uid="{00000000-0005-0000-0000-00001FB40000}"/>
    <cellStyle name="Normal 7 2 10 2 5" xfId="33165" xr:uid="{00000000-0005-0000-0000-000020B40000}"/>
    <cellStyle name="Normal 7 2 10 2 6" xfId="33166" xr:uid="{00000000-0005-0000-0000-000021B40000}"/>
    <cellStyle name="Normal 7 2 10 3" xfId="33167" xr:uid="{00000000-0005-0000-0000-000022B40000}"/>
    <cellStyle name="Normal 7 2 10 3 2" xfId="58971" xr:uid="{00000000-0005-0000-0000-000023B40000}"/>
    <cellStyle name="Normal 7 2 10 3 3" xfId="58972" xr:uid="{00000000-0005-0000-0000-000024B40000}"/>
    <cellStyle name="Normal 7 2 10 4" xfId="33168" xr:uid="{00000000-0005-0000-0000-000025B40000}"/>
    <cellStyle name="Normal 7 2 10 4 2" xfId="58973" xr:uid="{00000000-0005-0000-0000-000026B40000}"/>
    <cellStyle name="Normal 7 2 10 5" xfId="33169" xr:uid="{00000000-0005-0000-0000-000027B40000}"/>
    <cellStyle name="Normal 7 2 10 6" xfId="33170" xr:uid="{00000000-0005-0000-0000-000028B40000}"/>
    <cellStyle name="Normal 7 2 10 7" xfId="33171" xr:uid="{00000000-0005-0000-0000-000029B40000}"/>
    <cellStyle name="Normal 7 2 11" xfId="33172" xr:uid="{00000000-0005-0000-0000-00002AB40000}"/>
    <cellStyle name="Normal 7 2 11 2" xfId="33173" xr:uid="{00000000-0005-0000-0000-00002BB40000}"/>
    <cellStyle name="Normal 7 2 11 2 2" xfId="58974" xr:uid="{00000000-0005-0000-0000-00002CB40000}"/>
    <cellStyle name="Normal 7 2 11 2 3" xfId="58975" xr:uid="{00000000-0005-0000-0000-00002DB40000}"/>
    <cellStyle name="Normal 7 2 11 3" xfId="33174" xr:uid="{00000000-0005-0000-0000-00002EB40000}"/>
    <cellStyle name="Normal 7 2 11 3 2" xfId="58976" xr:uid="{00000000-0005-0000-0000-00002FB40000}"/>
    <cellStyle name="Normal 7 2 11 4" xfId="33175" xr:uid="{00000000-0005-0000-0000-000030B40000}"/>
    <cellStyle name="Normal 7 2 11 5" xfId="33176" xr:uid="{00000000-0005-0000-0000-000031B40000}"/>
    <cellStyle name="Normal 7 2 11 6" xfId="33177" xr:uid="{00000000-0005-0000-0000-000032B40000}"/>
    <cellStyle name="Normal 7 2 12" xfId="33178" xr:uid="{00000000-0005-0000-0000-000033B40000}"/>
    <cellStyle name="Normal 7 2 12 2" xfId="58977" xr:uid="{00000000-0005-0000-0000-000034B40000}"/>
    <cellStyle name="Normal 7 2 12 3" xfId="58978" xr:uid="{00000000-0005-0000-0000-000035B40000}"/>
    <cellStyle name="Normal 7 2 13" xfId="33179" xr:uid="{00000000-0005-0000-0000-000036B40000}"/>
    <cellStyle name="Normal 7 2 13 2" xfId="58979" xr:uid="{00000000-0005-0000-0000-000037B40000}"/>
    <cellStyle name="Normal 7 2 14" xfId="33180" xr:uid="{00000000-0005-0000-0000-000038B40000}"/>
    <cellStyle name="Normal 7 2 14 2" xfId="58980" xr:uid="{00000000-0005-0000-0000-000039B40000}"/>
    <cellStyle name="Normal 7 2 15" xfId="33181" xr:uid="{00000000-0005-0000-0000-00003AB40000}"/>
    <cellStyle name="Normal 7 2 16" xfId="33182" xr:uid="{00000000-0005-0000-0000-00003BB40000}"/>
    <cellStyle name="Normal 7 2 17" xfId="33183" xr:uid="{00000000-0005-0000-0000-00003CB40000}"/>
    <cellStyle name="Normal 7 2 18" xfId="33184" xr:uid="{00000000-0005-0000-0000-00003DB40000}"/>
    <cellStyle name="Normal 7 2 19" xfId="33185" xr:uid="{00000000-0005-0000-0000-00003EB40000}"/>
    <cellStyle name="Normal 7 2 2" xfId="33186" xr:uid="{00000000-0005-0000-0000-00003FB40000}"/>
    <cellStyle name="Normal 7 2 2 10" xfId="33187" xr:uid="{00000000-0005-0000-0000-000040B40000}"/>
    <cellStyle name="Normal 7 2 2 11" xfId="33188" xr:uid="{00000000-0005-0000-0000-000041B40000}"/>
    <cellStyle name="Normal 7 2 2 12" xfId="33189" xr:uid="{00000000-0005-0000-0000-000042B40000}"/>
    <cellStyle name="Normal 7 2 2 13" xfId="33190" xr:uid="{00000000-0005-0000-0000-000043B40000}"/>
    <cellStyle name="Normal 7 2 2 14" xfId="33191" xr:uid="{00000000-0005-0000-0000-000044B40000}"/>
    <cellStyle name="Normal 7 2 2 15" xfId="33192" xr:uid="{00000000-0005-0000-0000-000045B40000}"/>
    <cellStyle name="Normal 7 2 2 16" xfId="33193" xr:uid="{00000000-0005-0000-0000-000046B40000}"/>
    <cellStyle name="Normal 7 2 2 2" xfId="33194" xr:uid="{00000000-0005-0000-0000-000047B40000}"/>
    <cellStyle name="Normal 7 2 2 2 10" xfId="33195" xr:uid="{00000000-0005-0000-0000-000048B40000}"/>
    <cellStyle name="Normal 7 2 2 2 11" xfId="33196" xr:uid="{00000000-0005-0000-0000-000049B40000}"/>
    <cellStyle name="Normal 7 2 2 2 12" xfId="33197" xr:uid="{00000000-0005-0000-0000-00004AB40000}"/>
    <cellStyle name="Normal 7 2 2 2 13" xfId="33198" xr:uid="{00000000-0005-0000-0000-00004BB40000}"/>
    <cellStyle name="Normal 7 2 2 2 14" xfId="33199" xr:uid="{00000000-0005-0000-0000-00004CB40000}"/>
    <cellStyle name="Normal 7 2 2 2 2" xfId="33200" xr:uid="{00000000-0005-0000-0000-00004DB40000}"/>
    <cellStyle name="Normal 7 2 2 2 2 2" xfId="33201" xr:uid="{00000000-0005-0000-0000-00004EB40000}"/>
    <cellStyle name="Normal 7 2 2 2 2 2 2" xfId="33202" xr:uid="{00000000-0005-0000-0000-00004FB40000}"/>
    <cellStyle name="Normal 7 2 2 2 2 2 2 2" xfId="33203" xr:uid="{00000000-0005-0000-0000-000050B40000}"/>
    <cellStyle name="Normal 7 2 2 2 2 2 2 2 2" xfId="58981" xr:uid="{00000000-0005-0000-0000-000051B40000}"/>
    <cellStyle name="Normal 7 2 2 2 2 2 2 2 3" xfId="58982" xr:uid="{00000000-0005-0000-0000-000052B40000}"/>
    <cellStyle name="Normal 7 2 2 2 2 2 2 3" xfId="33204" xr:uid="{00000000-0005-0000-0000-000053B40000}"/>
    <cellStyle name="Normal 7 2 2 2 2 2 2 3 2" xfId="58983" xr:uid="{00000000-0005-0000-0000-000054B40000}"/>
    <cellStyle name="Normal 7 2 2 2 2 2 2 4" xfId="33205" xr:uid="{00000000-0005-0000-0000-000055B40000}"/>
    <cellStyle name="Normal 7 2 2 2 2 2 2 5" xfId="33206" xr:uid="{00000000-0005-0000-0000-000056B40000}"/>
    <cellStyle name="Normal 7 2 2 2 2 2 2 6" xfId="33207" xr:uid="{00000000-0005-0000-0000-000057B40000}"/>
    <cellStyle name="Normal 7 2 2 2 2 2 3" xfId="33208" xr:uid="{00000000-0005-0000-0000-000058B40000}"/>
    <cellStyle name="Normal 7 2 2 2 2 2 3 2" xfId="58984" xr:uid="{00000000-0005-0000-0000-000059B40000}"/>
    <cellStyle name="Normal 7 2 2 2 2 2 3 3" xfId="58985" xr:uid="{00000000-0005-0000-0000-00005AB40000}"/>
    <cellStyle name="Normal 7 2 2 2 2 2 4" xfId="33209" xr:uid="{00000000-0005-0000-0000-00005BB40000}"/>
    <cellStyle name="Normal 7 2 2 2 2 2 4 2" xfId="58986" xr:uid="{00000000-0005-0000-0000-00005CB40000}"/>
    <cellStyle name="Normal 7 2 2 2 2 2 5" xfId="33210" xr:uid="{00000000-0005-0000-0000-00005DB40000}"/>
    <cellStyle name="Normal 7 2 2 2 2 2 6" xfId="33211" xr:uid="{00000000-0005-0000-0000-00005EB40000}"/>
    <cellStyle name="Normal 7 2 2 2 2 2 7" xfId="33212" xr:uid="{00000000-0005-0000-0000-00005FB40000}"/>
    <cellStyle name="Normal 7 2 2 2 2 3" xfId="33213" xr:uid="{00000000-0005-0000-0000-000060B40000}"/>
    <cellStyle name="Normal 7 2 2 2 2 3 2" xfId="33214" xr:uid="{00000000-0005-0000-0000-000061B40000}"/>
    <cellStyle name="Normal 7 2 2 2 2 3 2 2" xfId="58987" xr:uid="{00000000-0005-0000-0000-000062B40000}"/>
    <cellStyle name="Normal 7 2 2 2 2 3 2 3" xfId="58988" xr:uid="{00000000-0005-0000-0000-000063B40000}"/>
    <cellStyle name="Normal 7 2 2 2 2 3 3" xfId="33215" xr:uid="{00000000-0005-0000-0000-000064B40000}"/>
    <cellStyle name="Normal 7 2 2 2 2 3 3 2" xfId="58989" xr:uid="{00000000-0005-0000-0000-000065B40000}"/>
    <cellStyle name="Normal 7 2 2 2 2 3 4" xfId="33216" xr:uid="{00000000-0005-0000-0000-000066B40000}"/>
    <cellStyle name="Normal 7 2 2 2 2 3 5" xfId="33217" xr:uid="{00000000-0005-0000-0000-000067B40000}"/>
    <cellStyle name="Normal 7 2 2 2 2 3 6" xfId="33218" xr:uid="{00000000-0005-0000-0000-000068B40000}"/>
    <cellStyle name="Normal 7 2 2 2 2 4" xfId="33219" xr:uid="{00000000-0005-0000-0000-000069B40000}"/>
    <cellStyle name="Normal 7 2 2 2 2 4 2" xfId="58990" xr:uid="{00000000-0005-0000-0000-00006AB40000}"/>
    <cellStyle name="Normal 7 2 2 2 2 4 3" xfId="58991" xr:uid="{00000000-0005-0000-0000-00006BB40000}"/>
    <cellStyle name="Normal 7 2 2 2 2 5" xfId="33220" xr:uid="{00000000-0005-0000-0000-00006CB40000}"/>
    <cellStyle name="Normal 7 2 2 2 2 5 2" xfId="58992" xr:uid="{00000000-0005-0000-0000-00006DB40000}"/>
    <cellStyle name="Normal 7 2 2 2 2 6" xfId="33221" xr:uid="{00000000-0005-0000-0000-00006EB40000}"/>
    <cellStyle name="Normal 7 2 2 2 2 7" xfId="33222" xr:uid="{00000000-0005-0000-0000-00006FB40000}"/>
    <cellStyle name="Normal 7 2 2 2 2 8" xfId="33223" xr:uid="{00000000-0005-0000-0000-000070B40000}"/>
    <cellStyle name="Normal 7 2 2 2 2 9" xfId="33224" xr:uid="{00000000-0005-0000-0000-000071B40000}"/>
    <cellStyle name="Normal 7 2 2 2 3" xfId="33225" xr:uid="{00000000-0005-0000-0000-000072B40000}"/>
    <cellStyle name="Normal 7 2 2 2 3 2" xfId="33226" xr:uid="{00000000-0005-0000-0000-000073B40000}"/>
    <cellStyle name="Normal 7 2 2 2 3 2 2" xfId="33227" xr:uid="{00000000-0005-0000-0000-000074B40000}"/>
    <cellStyle name="Normal 7 2 2 2 3 2 2 2" xfId="33228" xr:uid="{00000000-0005-0000-0000-000075B40000}"/>
    <cellStyle name="Normal 7 2 2 2 3 2 2 2 2" xfId="58993" xr:uid="{00000000-0005-0000-0000-000076B40000}"/>
    <cellStyle name="Normal 7 2 2 2 3 2 2 2 3" xfId="58994" xr:uid="{00000000-0005-0000-0000-000077B40000}"/>
    <cellStyle name="Normal 7 2 2 2 3 2 2 3" xfId="33229" xr:uid="{00000000-0005-0000-0000-000078B40000}"/>
    <cellStyle name="Normal 7 2 2 2 3 2 2 3 2" xfId="58995" xr:uid="{00000000-0005-0000-0000-000079B40000}"/>
    <cellStyle name="Normal 7 2 2 2 3 2 2 4" xfId="33230" xr:uid="{00000000-0005-0000-0000-00007AB40000}"/>
    <cellStyle name="Normal 7 2 2 2 3 2 2 5" xfId="33231" xr:uid="{00000000-0005-0000-0000-00007BB40000}"/>
    <cellStyle name="Normal 7 2 2 2 3 2 2 6" xfId="33232" xr:uid="{00000000-0005-0000-0000-00007CB40000}"/>
    <cellStyle name="Normal 7 2 2 2 3 2 3" xfId="33233" xr:uid="{00000000-0005-0000-0000-00007DB40000}"/>
    <cellStyle name="Normal 7 2 2 2 3 2 3 2" xfId="58996" xr:uid="{00000000-0005-0000-0000-00007EB40000}"/>
    <cellStyle name="Normal 7 2 2 2 3 2 3 3" xfId="58997" xr:uid="{00000000-0005-0000-0000-00007FB40000}"/>
    <cellStyle name="Normal 7 2 2 2 3 2 4" xfId="33234" xr:uid="{00000000-0005-0000-0000-000080B40000}"/>
    <cellStyle name="Normal 7 2 2 2 3 2 4 2" xfId="58998" xr:uid="{00000000-0005-0000-0000-000081B40000}"/>
    <cellStyle name="Normal 7 2 2 2 3 2 5" xfId="33235" xr:uid="{00000000-0005-0000-0000-000082B40000}"/>
    <cellStyle name="Normal 7 2 2 2 3 2 6" xfId="33236" xr:uid="{00000000-0005-0000-0000-000083B40000}"/>
    <cellStyle name="Normal 7 2 2 2 3 2 7" xfId="33237" xr:uid="{00000000-0005-0000-0000-000084B40000}"/>
    <cellStyle name="Normal 7 2 2 2 3 3" xfId="33238" xr:uid="{00000000-0005-0000-0000-000085B40000}"/>
    <cellStyle name="Normal 7 2 2 2 3 3 2" xfId="33239" xr:uid="{00000000-0005-0000-0000-000086B40000}"/>
    <cellStyle name="Normal 7 2 2 2 3 3 2 2" xfId="58999" xr:uid="{00000000-0005-0000-0000-000087B40000}"/>
    <cellStyle name="Normal 7 2 2 2 3 3 2 3" xfId="59000" xr:uid="{00000000-0005-0000-0000-000088B40000}"/>
    <cellStyle name="Normal 7 2 2 2 3 3 3" xfId="33240" xr:uid="{00000000-0005-0000-0000-000089B40000}"/>
    <cellStyle name="Normal 7 2 2 2 3 3 3 2" xfId="59001" xr:uid="{00000000-0005-0000-0000-00008AB40000}"/>
    <cellStyle name="Normal 7 2 2 2 3 3 4" xfId="33241" xr:uid="{00000000-0005-0000-0000-00008BB40000}"/>
    <cellStyle name="Normal 7 2 2 2 3 3 5" xfId="33242" xr:uid="{00000000-0005-0000-0000-00008CB40000}"/>
    <cellStyle name="Normal 7 2 2 2 3 3 6" xfId="33243" xr:uid="{00000000-0005-0000-0000-00008DB40000}"/>
    <cellStyle name="Normal 7 2 2 2 3 4" xfId="33244" xr:uid="{00000000-0005-0000-0000-00008EB40000}"/>
    <cellStyle name="Normal 7 2 2 2 3 4 2" xfId="59002" xr:uid="{00000000-0005-0000-0000-00008FB40000}"/>
    <cellStyle name="Normal 7 2 2 2 3 4 3" xfId="59003" xr:uid="{00000000-0005-0000-0000-000090B40000}"/>
    <cellStyle name="Normal 7 2 2 2 3 5" xfId="33245" xr:uid="{00000000-0005-0000-0000-000091B40000}"/>
    <cellStyle name="Normal 7 2 2 2 3 5 2" xfId="59004" xr:uid="{00000000-0005-0000-0000-000092B40000}"/>
    <cellStyle name="Normal 7 2 2 2 3 6" xfId="33246" xr:uid="{00000000-0005-0000-0000-000093B40000}"/>
    <cellStyle name="Normal 7 2 2 2 3 7" xfId="33247" xr:uid="{00000000-0005-0000-0000-000094B40000}"/>
    <cellStyle name="Normal 7 2 2 2 3 8" xfId="33248" xr:uid="{00000000-0005-0000-0000-000095B40000}"/>
    <cellStyle name="Normal 7 2 2 2 4" xfId="33249" xr:uid="{00000000-0005-0000-0000-000096B40000}"/>
    <cellStyle name="Normal 7 2 2 2 4 2" xfId="33250" xr:uid="{00000000-0005-0000-0000-000097B40000}"/>
    <cellStyle name="Normal 7 2 2 2 4 2 2" xfId="33251" xr:uid="{00000000-0005-0000-0000-000098B40000}"/>
    <cellStyle name="Normal 7 2 2 2 4 2 2 2" xfId="59005" xr:uid="{00000000-0005-0000-0000-000099B40000}"/>
    <cellStyle name="Normal 7 2 2 2 4 2 2 3" xfId="59006" xr:uid="{00000000-0005-0000-0000-00009AB40000}"/>
    <cellStyle name="Normal 7 2 2 2 4 2 3" xfId="33252" xr:uid="{00000000-0005-0000-0000-00009BB40000}"/>
    <cellStyle name="Normal 7 2 2 2 4 2 3 2" xfId="59007" xr:uid="{00000000-0005-0000-0000-00009CB40000}"/>
    <cellStyle name="Normal 7 2 2 2 4 2 4" xfId="33253" xr:uid="{00000000-0005-0000-0000-00009DB40000}"/>
    <cellStyle name="Normal 7 2 2 2 4 2 5" xfId="33254" xr:uid="{00000000-0005-0000-0000-00009EB40000}"/>
    <cellStyle name="Normal 7 2 2 2 4 2 6" xfId="33255" xr:uid="{00000000-0005-0000-0000-00009FB40000}"/>
    <cellStyle name="Normal 7 2 2 2 4 3" xfId="33256" xr:uid="{00000000-0005-0000-0000-0000A0B40000}"/>
    <cellStyle name="Normal 7 2 2 2 4 3 2" xfId="59008" xr:uid="{00000000-0005-0000-0000-0000A1B40000}"/>
    <cellStyle name="Normal 7 2 2 2 4 3 3" xfId="59009" xr:uid="{00000000-0005-0000-0000-0000A2B40000}"/>
    <cellStyle name="Normal 7 2 2 2 4 4" xfId="33257" xr:uid="{00000000-0005-0000-0000-0000A3B40000}"/>
    <cellStyle name="Normal 7 2 2 2 4 4 2" xfId="59010" xr:uid="{00000000-0005-0000-0000-0000A4B40000}"/>
    <cellStyle name="Normal 7 2 2 2 4 5" xfId="33258" xr:uid="{00000000-0005-0000-0000-0000A5B40000}"/>
    <cellStyle name="Normal 7 2 2 2 4 6" xfId="33259" xr:uid="{00000000-0005-0000-0000-0000A6B40000}"/>
    <cellStyle name="Normal 7 2 2 2 4 7" xfId="33260" xr:uid="{00000000-0005-0000-0000-0000A7B40000}"/>
    <cellStyle name="Normal 7 2 2 2 5" xfId="33261" xr:uid="{00000000-0005-0000-0000-0000A8B40000}"/>
    <cellStyle name="Normal 7 2 2 2 5 2" xfId="33262" xr:uid="{00000000-0005-0000-0000-0000A9B40000}"/>
    <cellStyle name="Normal 7 2 2 2 5 2 2" xfId="59011" xr:uid="{00000000-0005-0000-0000-0000AAB40000}"/>
    <cellStyle name="Normal 7 2 2 2 5 2 3" xfId="59012" xr:uid="{00000000-0005-0000-0000-0000ABB40000}"/>
    <cellStyle name="Normal 7 2 2 2 5 3" xfId="33263" xr:uid="{00000000-0005-0000-0000-0000ACB40000}"/>
    <cellStyle name="Normal 7 2 2 2 5 3 2" xfId="59013" xr:uid="{00000000-0005-0000-0000-0000ADB40000}"/>
    <cellStyle name="Normal 7 2 2 2 5 4" xfId="33264" xr:uid="{00000000-0005-0000-0000-0000AEB40000}"/>
    <cellStyle name="Normal 7 2 2 2 5 5" xfId="33265" xr:uid="{00000000-0005-0000-0000-0000AFB40000}"/>
    <cellStyle name="Normal 7 2 2 2 5 6" xfId="33266" xr:uid="{00000000-0005-0000-0000-0000B0B40000}"/>
    <cellStyle name="Normal 7 2 2 2 6" xfId="33267" xr:uid="{00000000-0005-0000-0000-0000B1B40000}"/>
    <cellStyle name="Normal 7 2 2 2 6 2" xfId="59014" xr:uid="{00000000-0005-0000-0000-0000B2B40000}"/>
    <cellStyle name="Normal 7 2 2 2 6 3" xfId="59015" xr:uid="{00000000-0005-0000-0000-0000B3B40000}"/>
    <cellStyle name="Normal 7 2 2 2 7" xfId="33268" xr:uid="{00000000-0005-0000-0000-0000B4B40000}"/>
    <cellStyle name="Normal 7 2 2 2 7 2" xfId="59016" xr:uid="{00000000-0005-0000-0000-0000B5B40000}"/>
    <cellStyle name="Normal 7 2 2 2 8" xfId="33269" xr:uid="{00000000-0005-0000-0000-0000B6B40000}"/>
    <cellStyle name="Normal 7 2 2 2 9" xfId="33270" xr:uid="{00000000-0005-0000-0000-0000B7B40000}"/>
    <cellStyle name="Normal 7 2 2 3" xfId="33271" xr:uid="{00000000-0005-0000-0000-0000B8B40000}"/>
    <cellStyle name="Normal 7 2 2 3 2" xfId="33272" xr:uid="{00000000-0005-0000-0000-0000B9B40000}"/>
    <cellStyle name="Normal 7 2 2 3 2 2" xfId="33273" xr:uid="{00000000-0005-0000-0000-0000BAB40000}"/>
    <cellStyle name="Normal 7 2 2 3 2 2 2" xfId="33274" xr:uid="{00000000-0005-0000-0000-0000BBB40000}"/>
    <cellStyle name="Normal 7 2 2 3 2 2 2 2" xfId="59017" xr:uid="{00000000-0005-0000-0000-0000BCB40000}"/>
    <cellStyle name="Normal 7 2 2 3 2 2 2 3" xfId="59018" xr:uid="{00000000-0005-0000-0000-0000BDB40000}"/>
    <cellStyle name="Normal 7 2 2 3 2 2 3" xfId="33275" xr:uid="{00000000-0005-0000-0000-0000BEB40000}"/>
    <cellStyle name="Normal 7 2 2 3 2 2 3 2" xfId="59019" xr:uid="{00000000-0005-0000-0000-0000BFB40000}"/>
    <cellStyle name="Normal 7 2 2 3 2 2 4" xfId="33276" xr:uid="{00000000-0005-0000-0000-0000C0B40000}"/>
    <cellStyle name="Normal 7 2 2 3 2 2 5" xfId="33277" xr:uid="{00000000-0005-0000-0000-0000C1B40000}"/>
    <cellStyle name="Normal 7 2 2 3 2 2 6" xfId="33278" xr:uid="{00000000-0005-0000-0000-0000C2B40000}"/>
    <cellStyle name="Normal 7 2 2 3 2 3" xfId="33279" xr:uid="{00000000-0005-0000-0000-0000C3B40000}"/>
    <cellStyle name="Normal 7 2 2 3 2 3 2" xfId="59020" xr:uid="{00000000-0005-0000-0000-0000C4B40000}"/>
    <cellStyle name="Normal 7 2 2 3 2 3 3" xfId="59021" xr:uid="{00000000-0005-0000-0000-0000C5B40000}"/>
    <cellStyle name="Normal 7 2 2 3 2 4" xfId="33280" xr:uid="{00000000-0005-0000-0000-0000C6B40000}"/>
    <cellStyle name="Normal 7 2 2 3 2 4 2" xfId="59022" xr:uid="{00000000-0005-0000-0000-0000C7B40000}"/>
    <cellStyle name="Normal 7 2 2 3 2 5" xfId="33281" xr:uid="{00000000-0005-0000-0000-0000C8B40000}"/>
    <cellStyle name="Normal 7 2 2 3 2 6" xfId="33282" xr:uid="{00000000-0005-0000-0000-0000C9B40000}"/>
    <cellStyle name="Normal 7 2 2 3 2 7" xfId="33283" xr:uid="{00000000-0005-0000-0000-0000CAB40000}"/>
    <cellStyle name="Normal 7 2 2 3 3" xfId="33284" xr:uid="{00000000-0005-0000-0000-0000CBB40000}"/>
    <cellStyle name="Normal 7 2 2 3 3 2" xfId="33285" xr:uid="{00000000-0005-0000-0000-0000CCB40000}"/>
    <cellStyle name="Normal 7 2 2 3 3 2 2" xfId="59023" xr:uid="{00000000-0005-0000-0000-0000CDB40000}"/>
    <cellStyle name="Normal 7 2 2 3 3 2 3" xfId="59024" xr:uid="{00000000-0005-0000-0000-0000CEB40000}"/>
    <cellStyle name="Normal 7 2 2 3 3 3" xfId="33286" xr:uid="{00000000-0005-0000-0000-0000CFB40000}"/>
    <cellStyle name="Normal 7 2 2 3 3 3 2" xfId="59025" xr:uid="{00000000-0005-0000-0000-0000D0B40000}"/>
    <cellStyle name="Normal 7 2 2 3 3 4" xfId="33287" xr:uid="{00000000-0005-0000-0000-0000D1B40000}"/>
    <cellStyle name="Normal 7 2 2 3 3 5" xfId="33288" xr:uid="{00000000-0005-0000-0000-0000D2B40000}"/>
    <cellStyle name="Normal 7 2 2 3 3 6" xfId="33289" xr:uid="{00000000-0005-0000-0000-0000D3B40000}"/>
    <cellStyle name="Normal 7 2 2 3 4" xfId="33290" xr:uid="{00000000-0005-0000-0000-0000D4B40000}"/>
    <cellStyle name="Normal 7 2 2 3 4 2" xfId="59026" xr:uid="{00000000-0005-0000-0000-0000D5B40000}"/>
    <cellStyle name="Normal 7 2 2 3 4 3" xfId="59027" xr:uid="{00000000-0005-0000-0000-0000D6B40000}"/>
    <cellStyle name="Normal 7 2 2 3 5" xfId="33291" xr:uid="{00000000-0005-0000-0000-0000D7B40000}"/>
    <cellStyle name="Normal 7 2 2 3 5 2" xfId="59028" xr:uid="{00000000-0005-0000-0000-0000D8B40000}"/>
    <cellStyle name="Normal 7 2 2 3 6" xfId="33292" xr:uid="{00000000-0005-0000-0000-0000D9B40000}"/>
    <cellStyle name="Normal 7 2 2 3 7" xfId="33293" xr:uid="{00000000-0005-0000-0000-0000DAB40000}"/>
    <cellStyle name="Normal 7 2 2 3 8" xfId="33294" xr:uid="{00000000-0005-0000-0000-0000DBB40000}"/>
    <cellStyle name="Normal 7 2 2 3 9" xfId="33295" xr:uid="{00000000-0005-0000-0000-0000DCB40000}"/>
    <cellStyle name="Normal 7 2 2 4" xfId="33296" xr:uid="{00000000-0005-0000-0000-0000DDB40000}"/>
    <cellStyle name="Normal 7 2 2 4 2" xfId="33297" xr:uid="{00000000-0005-0000-0000-0000DEB40000}"/>
    <cellStyle name="Normal 7 2 2 4 2 2" xfId="33298" xr:uid="{00000000-0005-0000-0000-0000DFB40000}"/>
    <cellStyle name="Normal 7 2 2 4 2 2 2" xfId="33299" xr:uid="{00000000-0005-0000-0000-0000E0B40000}"/>
    <cellStyle name="Normal 7 2 2 4 2 2 2 2" xfId="59029" xr:uid="{00000000-0005-0000-0000-0000E1B40000}"/>
    <cellStyle name="Normal 7 2 2 4 2 2 2 3" xfId="59030" xr:uid="{00000000-0005-0000-0000-0000E2B40000}"/>
    <cellStyle name="Normal 7 2 2 4 2 2 3" xfId="33300" xr:uid="{00000000-0005-0000-0000-0000E3B40000}"/>
    <cellStyle name="Normal 7 2 2 4 2 2 3 2" xfId="59031" xr:uid="{00000000-0005-0000-0000-0000E4B40000}"/>
    <cellStyle name="Normal 7 2 2 4 2 2 4" xfId="33301" xr:uid="{00000000-0005-0000-0000-0000E5B40000}"/>
    <cellStyle name="Normal 7 2 2 4 2 2 5" xfId="33302" xr:uid="{00000000-0005-0000-0000-0000E6B40000}"/>
    <cellStyle name="Normal 7 2 2 4 2 2 6" xfId="33303" xr:uid="{00000000-0005-0000-0000-0000E7B40000}"/>
    <cellStyle name="Normal 7 2 2 4 2 3" xfId="33304" xr:uid="{00000000-0005-0000-0000-0000E8B40000}"/>
    <cellStyle name="Normal 7 2 2 4 2 3 2" xfId="59032" xr:uid="{00000000-0005-0000-0000-0000E9B40000}"/>
    <cellStyle name="Normal 7 2 2 4 2 3 3" xfId="59033" xr:uid="{00000000-0005-0000-0000-0000EAB40000}"/>
    <cellStyle name="Normal 7 2 2 4 2 4" xfId="33305" xr:uid="{00000000-0005-0000-0000-0000EBB40000}"/>
    <cellStyle name="Normal 7 2 2 4 2 4 2" xfId="59034" xr:uid="{00000000-0005-0000-0000-0000ECB40000}"/>
    <cellStyle name="Normal 7 2 2 4 2 5" xfId="33306" xr:uid="{00000000-0005-0000-0000-0000EDB40000}"/>
    <cellStyle name="Normal 7 2 2 4 2 6" xfId="33307" xr:uid="{00000000-0005-0000-0000-0000EEB40000}"/>
    <cellStyle name="Normal 7 2 2 4 2 7" xfId="33308" xr:uid="{00000000-0005-0000-0000-0000EFB40000}"/>
    <cellStyle name="Normal 7 2 2 4 3" xfId="33309" xr:uid="{00000000-0005-0000-0000-0000F0B40000}"/>
    <cellStyle name="Normal 7 2 2 4 3 2" xfId="33310" xr:uid="{00000000-0005-0000-0000-0000F1B40000}"/>
    <cellStyle name="Normal 7 2 2 4 3 2 2" xfId="59035" xr:uid="{00000000-0005-0000-0000-0000F2B40000}"/>
    <cellStyle name="Normal 7 2 2 4 3 2 3" xfId="59036" xr:uid="{00000000-0005-0000-0000-0000F3B40000}"/>
    <cellStyle name="Normal 7 2 2 4 3 3" xfId="33311" xr:uid="{00000000-0005-0000-0000-0000F4B40000}"/>
    <cellStyle name="Normal 7 2 2 4 3 3 2" xfId="59037" xr:uid="{00000000-0005-0000-0000-0000F5B40000}"/>
    <cellStyle name="Normal 7 2 2 4 3 4" xfId="33312" xr:uid="{00000000-0005-0000-0000-0000F6B40000}"/>
    <cellStyle name="Normal 7 2 2 4 3 5" xfId="33313" xr:uid="{00000000-0005-0000-0000-0000F7B40000}"/>
    <cellStyle name="Normal 7 2 2 4 3 6" xfId="33314" xr:uid="{00000000-0005-0000-0000-0000F8B40000}"/>
    <cellStyle name="Normal 7 2 2 4 4" xfId="33315" xr:uid="{00000000-0005-0000-0000-0000F9B40000}"/>
    <cellStyle name="Normal 7 2 2 4 4 2" xfId="59038" xr:uid="{00000000-0005-0000-0000-0000FAB40000}"/>
    <cellStyle name="Normal 7 2 2 4 4 3" xfId="59039" xr:uid="{00000000-0005-0000-0000-0000FBB40000}"/>
    <cellStyle name="Normal 7 2 2 4 5" xfId="33316" xr:uid="{00000000-0005-0000-0000-0000FCB40000}"/>
    <cellStyle name="Normal 7 2 2 4 5 2" xfId="59040" xr:uid="{00000000-0005-0000-0000-0000FDB40000}"/>
    <cellStyle name="Normal 7 2 2 4 6" xfId="33317" xr:uid="{00000000-0005-0000-0000-0000FEB40000}"/>
    <cellStyle name="Normal 7 2 2 4 7" xfId="33318" xr:uid="{00000000-0005-0000-0000-0000FFB40000}"/>
    <cellStyle name="Normal 7 2 2 4 8" xfId="33319" xr:uid="{00000000-0005-0000-0000-000000B50000}"/>
    <cellStyle name="Normal 7 2 2 5" xfId="33320" xr:uid="{00000000-0005-0000-0000-000001B50000}"/>
    <cellStyle name="Normal 7 2 2 5 2" xfId="33321" xr:uid="{00000000-0005-0000-0000-000002B50000}"/>
    <cellStyle name="Normal 7 2 2 5 2 2" xfId="33322" xr:uid="{00000000-0005-0000-0000-000003B50000}"/>
    <cellStyle name="Normal 7 2 2 5 2 2 2" xfId="59041" xr:uid="{00000000-0005-0000-0000-000004B50000}"/>
    <cellStyle name="Normal 7 2 2 5 2 2 3" xfId="59042" xr:uid="{00000000-0005-0000-0000-000005B50000}"/>
    <cellStyle name="Normal 7 2 2 5 2 3" xfId="33323" xr:uid="{00000000-0005-0000-0000-000006B50000}"/>
    <cellStyle name="Normal 7 2 2 5 2 3 2" xfId="59043" xr:uid="{00000000-0005-0000-0000-000007B50000}"/>
    <cellStyle name="Normal 7 2 2 5 2 4" xfId="33324" xr:uid="{00000000-0005-0000-0000-000008B50000}"/>
    <cellStyle name="Normal 7 2 2 5 2 5" xfId="33325" xr:uid="{00000000-0005-0000-0000-000009B50000}"/>
    <cellStyle name="Normal 7 2 2 5 2 6" xfId="33326" xr:uid="{00000000-0005-0000-0000-00000AB50000}"/>
    <cellStyle name="Normal 7 2 2 5 3" xfId="33327" xr:uid="{00000000-0005-0000-0000-00000BB50000}"/>
    <cellStyle name="Normal 7 2 2 5 3 2" xfId="59044" xr:uid="{00000000-0005-0000-0000-00000CB50000}"/>
    <cellStyle name="Normal 7 2 2 5 3 3" xfId="59045" xr:uid="{00000000-0005-0000-0000-00000DB50000}"/>
    <cellStyle name="Normal 7 2 2 5 4" xfId="33328" xr:uid="{00000000-0005-0000-0000-00000EB50000}"/>
    <cellStyle name="Normal 7 2 2 5 4 2" xfId="59046" xr:uid="{00000000-0005-0000-0000-00000FB50000}"/>
    <cellStyle name="Normal 7 2 2 5 5" xfId="33329" xr:uid="{00000000-0005-0000-0000-000010B50000}"/>
    <cellStyle name="Normal 7 2 2 5 6" xfId="33330" xr:uid="{00000000-0005-0000-0000-000011B50000}"/>
    <cellStyle name="Normal 7 2 2 5 7" xfId="33331" xr:uid="{00000000-0005-0000-0000-000012B50000}"/>
    <cellStyle name="Normal 7 2 2 6" xfId="33332" xr:uid="{00000000-0005-0000-0000-000013B50000}"/>
    <cellStyle name="Normal 7 2 2 6 2" xfId="33333" xr:uid="{00000000-0005-0000-0000-000014B50000}"/>
    <cellStyle name="Normal 7 2 2 6 2 2" xfId="59047" xr:uid="{00000000-0005-0000-0000-000015B50000}"/>
    <cellStyle name="Normal 7 2 2 6 2 3" xfId="59048" xr:uid="{00000000-0005-0000-0000-000016B50000}"/>
    <cellStyle name="Normal 7 2 2 6 3" xfId="33334" xr:uid="{00000000-0005-0000-0000-000017B50000}"/>
    <cellStyle name="Normal 7 2 2 6 3 2" xfId="59049" xr:uid="{00000000-0005-0000-0000-000018B50000}"/>
    <cellStyle name="Normal 7 2 2 6 4" xfId="33335" xr:uid="{00000000-0005-0000-0000-000019B50000}"/>
    <cellStyle name="Normal 7 2 2 6 5" xfId="33336" xr:uid="{00000000-0005-0000-0000-00001AB50000}"/>
    <cellStyle name="Normal 7 2 2 6 6" xfId="33337" xr:uid="{00000000-0005-0000-0000-00001BB50000}"/>
    <cellStyle name="Normal 7 2 2 7" xfId="33338" xr:uid="{00000000-0005-0000-0000-00001CB50000}"/>
    <cellStyle name="Normal 7 2 2 7 2" xfId="59050" xr:uid="{00000000-0005-0000-0000-00001DB50000}"/>
    <cellStyle name="Normal 7 2 2 7 3" xfId="59051" xr:uid="{00000000-0005-0000-0000-00001EB50000}"/>
    <cellStyle name="Normal 7 2 2 8" xfId="33339" xr:uid="{00000000-0005-0000-0000-00001FB50000}"/>
    <cellStyle name="Normal 7 2 2 8 2" xfId="59052" xr:uid="{00000000-0005-0000-0000-000020B50000}"/>
    <cellStyle name="Normal 7 2 2 9" xfId="33340" xr:uid="{00000000-0005-0000-0000-000021B50000}"/>
    <cellStyle name="Normal 7 2 2 9 2" xfId="59053" xr:uid="{00000000-0005-0000-0000-000022B50000}"/>
    <cellStyle name="Normal 7 2 20" xfId="33341" xr:uid="{00000000-0005-0000-0000-000023B50000}"/>
    <cellStyle name="Normal 7 2 21" xfId="33342" xr:uid="{00000000-0005-0000-0000-000024B50000}"/>
    <cellStyle name="Normal 7 2 3" xfId="33343" xr:uid="{00000000-0005-0000-0000-000025B50000}"/>
    <cellStyle name="Normal 7 2 3 10" xfId="33344" xr:uid="{00000000-0005-0000-0000-000026B50000}"/>
    <cellStyle name="Normal 7 2 3 11" xfId="33345" xr:uid="{00000000-0005-0000-0000-000027B50000}"/>
    <cellStyle name="Normal 7 2 3 12" xfId="33346" xr:uid="{00000000-0005-0000-0000-000028B50000}"/>
    <cellStyle name="Normal 7 2 3 13" xfId="33347" xr:uid="{00000000-0005-0000-0000-000029B50000}"/>
    <cellStyle name="Normal 7 2 3 14" xfId="33348" xr:uid="{00000000-0005-0000-0000-00002AB50000}"/>
    <cellStyle name="Normal 7 2 3 15" xfId="33349" xr:uid="{00000000-0005-0000-0000-00002BB50000}"/>
    <cellStyle name="Normal 7 2 3 16" xfId="33350" xr:uid="{00000000-0005-0000-0000-00002CB50000}"/>
    <cellStyle name="Normal 7 2 3 17" xfId="33351" xr:uid="{00000000-0005-0000-0000-00002DB50000}"/>
    <cellStyle name="Normal 7 2 3 2" xfId="33352" xr:uid="{00000000-0005-0000-0000-00002EB50000}"/>
    <cellStyle name="Normal 7 2 3 2 10" xfId="33353" xr:uid="{00000000-0005-0000-0000-00002FB50000}"/>
    <cellStyle name="Normal 7 2 3 2 11" xfId="33354" xr:uid="{00000000-0005-0000-0000-000030B50000}"/>
    <cellStyle name="Normal 7 2 3 2 12" xfId="33355" xr:uid="{00000000-0005-0000-0000-000031B50000}"/>
    <cellStyle name="Normal 7 2 3 2 13" xfId="33356" xr:uid="{00000000-0005-0000-0000-000032B50000}"/>
    <cellStyle name="Normal 7 2 3 2 14" xfId="33357" xr:uid="{00000000-0005-0000-0000-000033B50000}"/>
    <cellStyle name="Normal 7 2 3 2 2" xfId="33358" xr:uid="{00000000-0005-0000-0000-000034B50000}"/>
    <cellStyle name="Normal 7 2 3 2 2 2" xfId="33359" xr:uid="{00000000-0005-0000-0000-000035B50000}"/>
    <cellStyle name="Normal 7 2 3 2 2 2 2" xfId="33360" xr:uid="{00000000-0005-0000-0000-000036B50000}"/>
    <cellStyle name="Normal 7 2 3 2 2 2 2 2" xfId="33361" xr:uid="{00000000-0005-0000-0000-000037B50000}"/>
    <cellStyle name="Normal 7 2 3 2 2 2 2 2 2" xfId="59054" xr:uid="{00000000-0005-0000-0000-000038B50000}"/>
    <cellStyle name="Normal 7 2 3 2 2 2 2 2 3" xfId="59055" xr:uid="{00000000-0005-0000-0000-000039B50000}"/>
    <cellStyle name="Normal 7 2 3 2 2 2 2 3" xfId="33362" xr:uid="{00000000-0005-0000-0000-00003AB50000}"/>
    <cellStyle name="Normal 7 2 3 2 2 2 2 3 2" xfId="59056" xr:uid="{00000000-0005-0000-0000-00003BB50000}"/>
    <cellStyle name="Normal 7 2 3 2 2 2 2 4" xfId="33363" xr:uid="{00000000-0005-0000-0000-00003CB50000}"/>
    <cellStyle name="Normal 7 2 3 2 2 2 2 5" xfId="33364" xr:uid="{00000000-0005-0000-0000-00003DB50000}"/>
    <cellStyle name="Normal 7 2 3 2 2 2 2 6" xfId="33365" xr:uid="{00000000-0005-0000-0000-00003EB50000}"/>
    <cellStyle name="Normal 7 2 3 2 2 2 3" xfId="33366" xr:uid="{00000000-0005-0000-0000-00003FB50000}"/>
    <cellStyle name="Normal 7 2 3 2 2 2 3 2" xfId="59057" xr:uid="{00000000-0005-0000-0000-000040B50000}"/>
    <cellStyle name="Normal 7 2 3 2 2 2 3 3" xfId="59058" xr:uid="{00000000-0005-0000-0000-000041B50000}"/>
    <cellStyle name="Normal 7 2 3 2 2 2 4" xfId="33367" xr:uid="{00000000-0005-0000-0000-000042B50000}"/>
    <cellStyle name="Normal 7 2 3 2 2 2 4 2" xfId="59059" xr:uid="{00000000-0005-0000-0000-000043B50000}"/>
    <cellStyle name="Normal 7 2 3 2 2 2 5" xfId="33368" xr:uid="{00000000-0005-0000-0000-000044B50000}"/>
    <cellStyle name="Normal 7 2 3 2 2 2 6" xfId="33369" xr:uid="{00000000-0005-0000-0000-000045B50000}"/>
    <cellStyle name="Normal 7 2 3 2 2 2 7" xfId="33370" xr:uid="{00000000-0005-0000-0000-000046B50000}"/>
    <cellStyle name="Normal 7 2 3 2 2 3" xfId="33371" xr:uid="{00000000-0005-0000-0000-000047B50000}"/>
    <cellStyle name="Normal 7 2 3 2 2 3 2" xfId="33372" xr:uid="{00000000-0005-0000-0000-000048B50000}"/>
    <cellStyle name="Normal 7 2 3 2 2 3 2 2" xfId="59060" xr:uid="{00000000-0005-0000-0000-000049B50000}"/>
    <cellStyle name="Normal 7 2 3 2 2 3 2 3" xfId="59061" xr:uid="{00000000-0005-0000-0000-00004AB50000}"/>
    <cellStyle name="Normal 7 2 3 2 2 3 3" xfId="33373" xr:uid="{00000000-0005-0000-0000-00004BB50000}"/>
    <cellStyle name="Normal 7 2 3 2 2 3 3 2" xfId="59062" xr:uid="{00000000-0005-0000-0000-00004CB50000}"/>
    <cellStyle name="Normal 7 2 3 2 2 3 4" xfId="33374" xr:uid="{00000000-0005-0000-0000-00004DB50000}"/>
    <cellStyle name="Normal 7 2 3 2 2 3 5" xfId="33375" xr:uid="{00000000-0005-0000-0000-00004EB50000}"/>
    <cellStyle name="Normal 7 2 3 2 2 3 6" xfId="33376" xr:uid="{00000000-0005-0000-0000-00004FB50000}"/>
    <cellStyle name="Normal 7 2 3 2 2 4" xfId="33377" xr:uid="{00000000-0005-0000-0000-000050B50000}"/>
    <cellStyle name="Normal 7 2 3 2 2 4 2" xfId="59063" xr:uid="{00000000-0005-0000-0000-000051B50000}"/>
    <cellStyle name="Normal 7 2 3 2 2 4 3" xfId="59064" xr:uid="{00000000-0005-0000-0000-000052B50000}"/>
    <cellStyle name="Normal 7 2 3 2 2 5" xfId="33378" xr:uid="{00000000-0005-0000-0000-000053B50000}"/>
    <cellStyle name="Normal 7 2 3 2 2 5 2" xfId="59065" xr:uid="{00000000-0005-0000-0000-000054B50000}"/>
    <cellStyle name="Normal 7 2 3 2 2 6" xfId="33379" xr:uid="{00000000-0005-0000-0000-000055B50000}"/>
    <cellStyle name="Normal 7 2 3 2 2 7" xfId="33380" xr:uid="{00000000-0005-0000-0000-000056B50000}"/>
    <cellStyle name="Normal 7 2 3 2 2 8" xfId="33381" xr:uid="{00000000-0005-0000-0000-000057B50000}"/>
    <cellStyle name="Normal 7 2 3 2 2 9" xfId="33382" xr:uid="{00000000-0005-0000-0000-000058B50000}"/>
    <cellStyle name="Normal 7 2 3 2 3" xfId="33383" xr:uid="{00000000-0005-0000-0000-000059B50000}"/>
    <cellStyle name="Normal 7 2 3 2 3 2" xfId="33384" xr:uid="{00000000-0005-0000-0000-00005AB50000}"/>
    <cellStyle name="Normal 7 2 3 2 3 2 2" xfId="33385" xr:uid="{00000000-0005-0000-0000-00005BB50000}"/>
    <cellStyle name="Normal 7 2 3 2 3 2 2 2" xfId="33386" xr:uid="{00000000-0005-0000-0000-00005CB50000}"/>
    <cellStyle name="Normal 7 2 3 2 3 2 2 2 2" xfId="59066" xr:uid="{00000000-0005-0000-0000-00005DB50000}"/>
    <cellStyle name="Normal 7 2 3 2 3 2 2 2 3" xfId="59067" xr:uid="{00000000-0005-0000-0000-00005EB50000}"/>
    <cellStyle name="Normal 7 2 3 2 3 2 2 3" xfId="33387" xr:uid="{00000000-0005-0000-0000-00005FB50000}"/>
    <cellStyle name="Normal 7 2 3 2 3 2 2 3 2" xfId="59068" xr:uid="{00000000-0005-0000-0000-000060B50000}"/>
    <cellStyle name="Normal 7 2 3 2 3 2 2 4" xfId="33388" xr:uid="{00000000-0005-0000-0000-000061B50000}"/>
    <cellStyle name="Normal 7 2 3 2 3 2 2 5" xfId="33389" xr:uid="{00000000-0005-0000-0000-000062B50000}"/>
    <cellStyle name="Normal 7 2 3 2 3 2 2 6" xfId="33390" xr:uid="{00000000-0005-0000-0000-000063B50000}"/>
    <cellStyle name="Normal 7 2 3 2 3 2 3" xfId="33391" xr:uid="{00000000-0005-0000-0000-000064B50000}"/>
    <cellStyle name="Normal 7 2 3 2 3 2 3 2" xfId="59069" xr:uid="{00000000-0005-0000-0000-000065B50000}"/>
    <cellStyle name="Normal 7 2 3 2 3 2 3 3" xfId="59070" xr:uid="{00000000-0005-0000-0000-000066B50000}"/>
    <cellStyle name="Normal 7 2 3 2 3 2 4" xfId="33392" xr:uid="{00000000-0005-0000-0000-000067B50000}"/>
    <cellStyle name="Normal 7 2 3 2 3 2 4 2" xfId="59071" xr:uid="{00000000-0005-0000-0000-000068B50000}"/>
    <cellStyle name="Normal 7 2 3 2 3 2 5" xfId="33393" xr:uid="{00000000-0005-0000-0000-000069B50000}"/>
    <cellStyle name="Normal 7 2 3 2 3 2 6" xfId="33394" xr:uid="{00000000-0005-0000-0000-00006AB50000}"/>
    <cellStyle name="Normal 7 2 3 2 3 2 7" xfId="33395" xr:uid="{00000000-0005-0000-0000-00006BB50000}"/>
    <cellStyle name="Normal 7 2 3 2 3 3" xfId="33396" xr:uid="{00000000-0005-0000-0000-00006CB50000}"/>
    <cellStyle name="Normal 7 2 3 2 3 3 2" xfId="33397" xr:uid="{00000000-0005-0000-0000-00006DB50000}"/>
    <cellStyle name="Normal 7 2 3 2 3 3 2 2" xfId="59072" xr:uid="{00000000-0005-0000-0000-00006EB50000}"/>
    <cellStyle name="Normal 7 2 3 2 3 3 2 3" xfId="59073" xr:uid="{00000000-0005-0000-0000-00006FB50000}"/>
    <cellStyle name="Normal 7 2 3 2 3 3 3" xfId="33398" xr:uid="{00000000-0005-0000-0000-000070B50000}"/>
    <cellStyle name="Normal 7 2 3 2 3 3 3 2" xfId="59074" xr:uid="{00000000-0005-0000-0000-000071B50000}"/>
    <cellStyle name="Normal 7 2 3 2 3 3 4" xfId="33399" xr:uid="{00000000-0005-0000-0000-000072B50000}"/>
    <cellStyle name="Normal 7 2 3 2 3 3 5" xfId="33400" xr:uid="{00000000-0005-0000-0000-000073B50000}"/>
    <cellStyle name="Normal 7 2 3 2 3 3 6" xfId="33401" xr:uid="{00000000-0005-0000-0000-000074B50000}"/>
    <cellStyle name="Normal 7 2 3 2 3 4" xfId="33402" xr:uid="{00000000-0005-0000-0000-000075B50000}"/>
    <cellStyle name="Normal 7 2 3 2 3 4 2" xfId="59075" xr:uid="{00000000-0005-0000-0000-000076B50000}"/>
    <cellStyle name="Normal 7 2 3 2 3 4 3" xfId="59076" xr:uid="{00000000-0005-0000-0000-000077B50000}"/>
    <cellStyle name="Normal 7 2 3 2 3 5" xfId="33403" xr:uid="{00000000-0005-0000-0000-000078B50000}"/>
    <cellStyle name="Normal 7 2 3 2 3 5 2" xfId="59077" xr:uid="{00000000-0005-0000-0000-000079B50000}"/>
    <cellStyle name="Normal 7 2 3 2 3 6" xfId="33404" xr:uid="{00000000-0005-0000-0000-00007AB50000}"/>
    <cellStyle name="Normal 7 2 3 2 3 7" xfId="33405" xr:uid="{00000000-0005-0000-0000-00007BB50000}"/>
    <cellStyle name="Normal 7 2 3 2 3 8" xfId="33406" xr:uid="{00000000-0005-0000-0000-00007CB50000}"/>
    <cellStyle name="Normal 7 2 3 2 4" xfId="33407" xr:uid="{00000000-0005-0000-0000-00007DB50000}"/>
    <cellStyle name="Normal 7 2 3 2 4 2" xfId="33408" xr:uid="{00000000-0005-0000-0000-00007EB50000}"/>
    <cellStyle name="Normal 7 2 3 2 4 2 2" xfId="33409" xr:uid="{00000000-0005-0000-0000-00007FB50000}"/>
    <cellStyle name="Normal 7 2 3 2 4 2 2 2" xfId="59078" xr:uid="{00000000-0005-0000-0000-000080B50000}"/>
    <cellStyle name="Normal 7 2 3 2 4 2 2 3" xfId="59079" xr:uid="{00000000-0005-0000-0000-000081B50000}"/>
    <cellStyle name="Normal 7 2 3 2 4 2 3" xfId="33410" xr:uid="{00000000-0005-0000-0000-000082B50000}"/>
    <cellStyle name="Normal 7 2 3 2 4 2 3 2" xfId="59080" xr:uid="{00000000-0005-0000-0000-000083B50000}"/>
    <cellStyle name="Normal 7 2 3 2 4 2 4" xfId="33411" xr:uid="{00000000-0005-0000-0000-000084B50000}"/>
    <cellStyle name="Normal 7 2 3 2 4 2 5" xfId="33412" xr:uid="{00000000-0005-0000-0000-000085B50000}"/>
    <cellStyle name="Normal 7 2 3 2 4 2 6" xfId="33413" xr:uid="{00000000-0005-0000-0000-000086B50000}"/>
    <cellStyle name="Normal 7 2 3 2 4 3" xfId="33414" xr:uid="{00000000-0005-0000-0000-000087B50000}"/>
    <cellStyle name="Normal 7 2 3 2 4 3 2" xfId="59081" xr:uid="{00000000-0005-0000-0000-000088B50000}"/>
    <cellStyle name="Normal 7 2 3 2 4 3 3" xfId="59082" xr:uid="{00000000-0005-0000-0000-000089B50000}"/>
    <cellStyle name="Normal 7 2 3 2 4 4" xfId="33415" xr:uid="{00000000-0005-0000-0000-00008AB50000}"/>
    <cellStyle name="Normal 7 2 3 2 4 4 2" xfId="59083" xr:uid="{00000000-0005-0000-0000-00008BB50000}"/>
    <cellStyle name="Normal 7 2 3 2 4 5" xfId="33416" xr:uid="{00000000-0005-0000-0000-00008CB50000}"/>
    <cellStyle name="Normal 7 2 3 2 4 6" xfId="33417" xr:uid="{00000000-0005-0000-0000-00008DB50000}"/>
    <cellStyle name="Normal 7 2 3 2 4 7" xfId="33418" xr:uid="{00000000-0005-0000-0000-00008EB50000}"/>
    <cellStyle name="Normal 7 2 3 2 5" xfId="33419" xr:uid="{00000000-0005-0000-0000-00008FB50000}"/>
    <cellStyle name="Normal 7 2 3 2 5 2" xfId="33420" xr:uid="{00000000-0005-0000-0000-000090B50000}"/>
    <cellStyle name="Normal 7 2 3 2 5 2 2" xfId="59084" xr:uid="{00000000-0005-0000-0000-000091B50000}"/>
    <cellStyle name="Normal 7 2 3 2 5 2 3" xfId="59085" xr:uid="{00000000-0005-0000-0000-000092B50000}"/>
    <cellStyle name="Normal 7 2 3 2 5 3" xfId="33421" xr:uid="{00000000-0005-0000-0000-000093B50000}"/>
    <cellStyle name="Normal 7 2 3 2 5 3 2" xfId="59086" xr:uid="{00000000-0005-0000-0000-000094B50000}"/>
    <cellStyle name="Normal 7 2 3 2 5 4" xfId="33422" xr:uid="{00000000-0005-0000-0000-000095B50000}"/>
    <cellStyle name="Normal 7 2 3 2 5 5" xfId="33423" xr:uid="{00000000-0005-0000-0000-000096B50000}"/>
    <cellStyle name="Normal 7 2 3 2 5 6" xfId="33424" xr:uid="{00000000-0005-0000-0000-000097B50000}"/>
    <cellStyle name="Normal 7 2 3 2 6" xfId="33425" xr:uid="{00000000-0005-0000-0000-000098B50000}"/>
    <cellStyle name="Normal 7 2 3 2 6 2" xfId="59087" xr:uid="{00000000-0005-0000-0000-000099B50000}"/>
    <cellStyle name="Normal 7 2 3 2 6 3" xfId="59088" xr:uid="{00000000-0005-0000-0000-00009AB50000}"/>
    <cellStyle name="Normal 7 2 3 2 7" xfId="33426" xr:uid="{00000000-0005-0000-0000-00009BB50000}"/>
    <cellStyle name="Normal 7 2 3 2 7 2" xfId="59089" xr:uid="{00000000-0005-0000-0000-00009CB50000}"/>
    <cellStyle name="Normal 7 2 3 2 8" xfId="33427" xr:uid="{00000000-0005-0000-0000-00009DB50000}"/>
    <cellStyle name="Normal 7 2 3 2 9" xfId="33428" xr:uid="{00000000-0005-0000-0000-00009EB50000}"/>
    <cellStyle name="Normal 7 2 3 3" xfId="33429" xr:uid="{00000000-0005-0000-0000-00009FB50000}"/>
    <cellStyle name="Normal 7 2 3 3 2" xfId="33430" xr:uid="{00000000-0005-0000-0000-0000A0B50000}"/>
    <cellStyle name="Normal 7 2 3 3 2 2" xfId="33431" xr:uid="{00000000-0005-0000-0000-0000A1B50000}"/>
    <cellStyle name="Normal 7 2 3 3 2 2 2" xfId="33432" xr:uid="{00000000-0005-0000-0000-0000A2B50000}"/>
    <cellStyle name="Normal 7 2 3 3 2 2 2 2" xfId="59090" xr:uid="{00000000-0005-0000-0000-0000A3B50000}"/>
    <cellStyle name="Normal 7 2 3 3 2 2 2 3" xfId="59091" xr:uid="{00000000-0005-0000-0000-0000A4B50000}"/>
    <cellStyle name="Normal 7 2 3 3 2 2 3" xfId="33433" xr:uid="{00000000-0005-0000-0000-0000A5B50000}"/>
    <cellStyle name="Normal 7 2 3 3 2 2 3 2" xfId="59092" xr:uid="{00000000-0005-0000-0000-0000A6B50000}"/>
    <cellStyle name="Normal 7 2 3 3 2 2 4" xfId="33434" xr:uid="{00000000-0005-0000-0000-0000A7B50000}"/>
    <cellStyle name="Normal 7 2 3 3 2 2 5" xfId="33435" xr:uid="{00000000-0005-0000-0000-0000A8B50000}"/>
    <cellStyle name="Normal 7 2 3 3 2 2 6" xfId="33436" xr:uid="{00000000-0005-0000-0000-0000A9B50000}"/>
    <cellStyle name="Normal 7 2 3 3 2 3" xfId="33437" xr:uid="{00000000-0005-0000-0000-0000AAB50000}"/>
    <cellStyle name="Normal 7 2 3 3 2 3 2" xfId="59093" xr:uid="{00000000-0005-0000-0000-0000ABB50000}"/>
    <cellStyle name="Normal 7 2 3 3 2 3 3" xfId="59094" xr:uid="{00000000-0005-0000-0000-0000ACB50000}"/>
    <cellStyle name="Normal 7 2 3 3 2 4" xfId="33438" xr:uid="{00000000-0005-0000-0000-0000ADB50000}"/>
    <cellStyle name="Normal 7 2 3 3 2 4 2" xfId="59095" xr:uid="{00000000-0005-0000-0000-0000AEB50000}"/>
    <cellStyle name="Normal 7 2 3 3 2 5" xfId="33439" xr:uid="{00000000-0005-0000-0000-0000AFB50000}"/>
    <cellStyle name="Normal 7 2 3 3 2 6" xfId="33440" xr:uid="{00000000-0005-0000-0000-0000B0B50000}"/>
    <cellStyle name="Normal 7 2 3 3 2 7" xfId="33441" xr:uid="{00000000-0005-0000-0000-0000B1B50000}"/>
    <cellStyle name="Normal 7 2 3 3 3" xfId="33442" xr:uid="{00000000-0005-0000-0000-0000B2B50000}"/>
    <cellStyle name="Normal 7 2 3 3 3 2" xfId="33443" xr:uid="{00000000-0005-0000-0000-0000B3B50000}"/>
    <cellStyle name="Normal 7 2 3 3 3 2 2" xfId="59096" xr:uid="{00000000-0005-0000-0000-0000B4B50000}"/>
    <cellStyle name="Normal 7 2 3 3 3 2 3" xfId="59097" xr:uid="{00000000-0005-0000-0000-0000B5B50000}"/>
    <cellStyle name="Normal 7 2 3 3 3 3" xfId="33444" xr:uid="{00000000-0005-0000-0000-0000B6B50000}"/>
    <cellStyle name="Normal 7 2 3 3 3 3 2" xfId="59098" xr:uid="{00000000-0005-0000-0000-0000B7B50000}"/>
    <cellStyle name="Normal 7 2 3 3 3 4" xfId="33445" xr:uid="{00000000-0005-0000-0000-0000B8B50000}"/>
    <cellStyle name="Normal 7 2 3 3 3 5" xfId="33446" xr:uid="{00000000-0005-0000-0000-0000B9B50000}"/>
    <cellStyle name="Normal 7 2 3 3 3 6" xfId="33447" xr:uid="{00000000-0005-0000-0000-0000BAB50000}"/>
    <cellStyle name="Normal 7 2 3 3 4" xfId="33448" xr:uid="{00000000-0005-0000-0000-0000BBB50000}"/>
    <cellStyle name="Normal 7 2 3 3 4 2" xfId="59099" xr:uid="{00000000-0005-0000-0000-0000BCB50000}"/>
    <cellStyle name="Normal 7 2 3 3 4 3" xfId="59100" xr:uid="{00000000-0005-0000-0000-0000BDB50000}"/>
    <cellStyle name="Normal 7 2 3 3 5" xfId="33449" xr:uid="{00000000-0005-0000-0000-0000BEB50000}"/>
    <cellStyle name="Normal 7 2 3 3 5 2" xfId="59101" xr:uid="{00000000-0005-0000-0000-0000BFB50000}"/>
    <cellStyle name="Normal 7 2 3 3 6" xfId="33450" xr:uid="{00000000-0005-0000-0000-0000C0B50000}"/>
    <cellStyle name="Normal 7 2 3 3 7" xfId="33451" xr:uid="{00000000-0005-0000-0000-0000C1B50000}"/>
    <cellStyle name="Normal 7 2 3 3 8" xfId="33452" xr:uid="{00000000-0005-0000-0000-0000C2B50000}"/>
    <cellStyle name="Normal 7 2 3 3 9" xfId="33453" xr:uid="{00000000-0005-0000-0000-0000C3B50000}"/>
    <cellStyle name="Normal 7 2 3 4" xfId="33454" xr:uid="{00000000-0005-0000-0000-0000C4B50000}"/>
    <cellStyle name="Normal 7 2 3 4 2" xfId="33455" xr:uid="{00000000-0005-0000-0000-0000C5B50000}"/>
    <cellStyle name="Normal 7 2 3 4 2 2" xfId="33456" xr:uid="{00000000-0005-0000-0000-0000C6B50000}"/>
    <cellStyle name="Normal 7 2 3 4 2 2 2" xfId="33457" xr:uid="{00000000-0005-0000-0000-0000C7B50000}"/>
    <cellStyle name="Normal 7 2 3 4 2 2 2 2" xfId="59102" xr:uid="{00000000-0005-0000-0000-0000C8B50000}"/>
    <cellStyle name="Normal 7 2 3 4 2 2 2 3" xfId="59103" xr:uid="{00000000-0005-0000-0000-0000C9B50000}"/>
    <cellStyle name="Normal 7 2 3 4 2 2 3" xfId="33458" xr:uid="{00000000-0005-0000-0000-0000CAB50000}"/>
    <cellStyle name="Normal 7 2 3 4 2 2 3 2" xfId="59104" xr:uid="{00000000-0005-0000-0000-0000CBB50000}"/>
    <cellStyle name="Normal 7 2 3 4 2 2 4" xfId="33459" xr:uid="{00000000-0005-0000-0000-0000CCB50000}"/>
    <cellStyle name="Normal 7 2 3 4 2 2 5" xfId="33460" xr:uid="{00000000-0005-0000-0000-0000CDB50000}"/>
    <cellStyle name="Normal 7 2 3 4 2 2 6" xfId="33461" xr:uid="{00000000-0005-0000-0000-0000CEB50000}"/>
    <cellStyle name="Normal 7 2 3 4 2 3" xfId="33462" xr:uid="{00000000-0005-0000-0000-0000CFB50000}"/>
    <cellStyle name="Normal 7 2 3 4 2 3 2" xfId="59105" xr:uid="{00000000-0005-0000-0000-0000D0B50000}"/>
    <cellStyle name="Normal 7 2 3 4 2 3 3" xfId="59106" xr:uid="{00000000-0005-0000-0000-0000D1B50000}"/>
    <cellStyle name="Normal 7 2 3 4 2 4" xfId="33463" xr:uid="{00000000-0005-0000-0000-0000D2B50000}"/>
    <cellStyle name="Normal 7 2 3 4 2 4 2" xfId="59107" xr:uid="{00000000-0005-0000-0000-0000D3B50000}"/>
    <cellStyle name="Normal 7 2 3 4 2 5" xfId="33464" xr:uid="{00000000-0005-0000-0000-0000D4B50000}"/>
    <cellStyle name="Normal 7 2 3 4 2 6" xfId="33465" xr:uid="{00000000-0005-0000-0000-0000D5B50000}"/>
    <cellStyle name="Normal 7 2 3 4 2 7" xfId="33466" xr:uid="{00000000-0005-0000-0000-0000D6B50000}"/>
    <cellStyle name="Normal 7 2 3 4 3" xfId="33467" xr:uid="{00000000-0005-0000-0000-0000D7B50000}"/>
    <cellStyle name="Normal 7 2 3 4 3 2" xfId="33468" xr:uid="{00000000-0005-0000-0000-0000D8B50000}"/>
    <cellStyle name="Normal 7 2 3 4 3 2 2" xfId="59108" xr:uid="{00000000-0005-0000-0000-0000D9B50000}"/>
    <cellStyle name="Normal 7 2 3 4 3 2 3" xfId="59109" xr:uid="{00000000-0005-0000-0000-0000DAB50000}"/>
    <cellStyle name="Normal 7 2 3 4 3 3" xfId="33469" xr:uid="{00000000-0005-0000-0000-0000DBB50000}"/>
    <cellStyle name="Normal 7 2 3 4 3 3 2" xfId="59110" xr:uid="{00000000-0005-0000-0000-0000DCB50000}"/>
    <cellStyle name="Normal 7 2 3 4 3 4" xfId="33470" xr:uid="{00000000-0005-0000-0000-0000DDB50000}"/>
    <cellStyle name="Normal 7 2 3 4 3 5" xfId="33471" xr:uid="{00000000-0005-0000-0000-0000DEB50000}"/>
    <cellStyle name="Normal 7 2 3 4 3 6" xfId="33472" xr:uid="{00000000-0005-0000-0000-0000DFB50000}"/>
    <cellStyle name="Normal 7 2 3 4 4" xfId="33473" xr:uid="{00000000-0005-0000-0000-0000E0B50000}"/>
    <cellStyle name="Normal 7 2 3 4 4 2" xfId="59111" xr:uid="{00000000-0005-0000-0000-0000E1B50000}"/>
    <cellStyle name="Normal 7 2 3 4 4 3" xfId="59112" xr:uid="{00000000-0005-0000-0000-0000E2B50000}"/>
    <cellStyle name="Normal 7 2 3 4 5" xfId="33474" xr:uid="{00000000-0005-0000-0000-0000E3B50000}"/>
    <cellStyle name="Normal 7 2 3 4 5 2" xfId="59113" xr:uid="{00000000-0005-0000-0000-0000E4B50000}"/>
    <cellStyle name="Normal 7 2 3 4 6" xfId="33475" xr:uid="{00000000-0005-0000-0000-0000E5B50000}"/>
    <cellStyle name="Normal 7 2 3 4 7" xfId="33476" xr:uid="{00000000-0005-0000-0000-0000E6B50000}"/>
    <cellStyle name="Normal 7 2 3 4 8" xfId="33477" xr:uid="{00000000-0005-0000-0000-0000E7B50000}"/>
    <cellStyle name="Normal 7 2 3 5" xfId="33478" xr:uid="{00000000-0005-0000-0000-0000E8B50000}"/>
    <cellStyle name="Normal 7 2 3 5 2" xfId="33479" xr:uid="{00000000-0005-0000-0000-0000E9B50000}"/>
    <cellStyle name="Normal 7 2 3 5 2 2" xfId="33480" xr:uid="{00000000-0005-0000-0000-0000EAB50000}"/>
    <cellStyle name="Normal 7 2 3 5 2 2 2" xfId="59114" xr:uid="{00000000-0005-0000-0000-0000EBB50000}"/>
    <cellStyle name="Normal 7 2 3 5 2 2 3" xfId="59115" xr:uid="{00000000-0005-0000-0000-0000ECB50000}"/>
    <cellStyle name="Normal 7 2 3 5 2 3" xfId="33481" xr:uid="{00000000-0005-0000-0000-0000EDB50000}"/>
    <cellStyle name="Normal 7 2 3 5 2 3 2" xfId="59116" xr:uid="{00000000-0005-0000-0000-0000EEB50000}"/>
    <cellStyle name="Normal 7 2 3 5 2 4" xfId="33482" xr:uid="{00000000-0005-0000-0000-0000EFB50000}"/>
    <cellStyle name="Normal 7 2 3 5 2 5" xfId="33483" xr:uid="{00000000-0005-0000-0000-0000F0B50000}"/>
    <cellStyle name="Normal 7 2 3 5 2 6" xfId="33484" xr:uid="{00000000-0005-0000-0000-0000F1B50000}"/>
    <cellStyle name="Normal 7 2 3 5 3" xfId="33485" xr:uid="{00000000-0005-0000-0000-0000F2B50000}"/>
    <cellStyle name="Normal 7 2 3 5 3 2" xfId="59117" xr:uid="{00000000-0005-0000-0000-0000F3B50000}"/>
    <cellStyle name="Normal 7 2 3 5 3 3" xfId="59118" xr:uid="{00000000-0005-0000-0000-0000F4B50000}"/>
    <cellStyle name="Normal 7 2 3 5 4" xfId="33486" xr:uid="{00000000-0005-0000-0000-0000F5B50000}"/>
    <cellStyle name="Normal 7 2 3 5 4 2" xfId="59119" xr:uid="{00000000-0005-0000-0000-0000F6B50000}"/>
    <cellStyle name="Normal 7 2 3 5 5" xfId="33487" xr:uid="{00000000-0005-0000-0000-0000F7B50000}"/>
    <cellStyle name="Normal 7 2 3 5 6" xfId="33488" xr:uid="{00000000-0005-0000-0000-0000F8B50000}"/>
    <cellStyle name="Normal 7 2 3 5 7" xfId="33489" xr:uid="{00000000-0005-0000-0000-0000F9B50000}"/>
    <cellStyle name="Normal 7 2 3 6" xfId="33490" xr:uid="{00000000-0005-0000-0000-0000FAB50000}"/>
    <cellStyle name="Normal 7 2 3 6 2" xfId="33491" xr:uid="{00000000-0005-0000-0000-0000FBB50000}"/>
    <cellStyle name="Normal 7 2 3 6 2 2" xfId="59120" xr:uid="{00000000-0005-0000-0000-0000FCB50000}"/>
    <cellStyle name="Normal 7 2 3 6 2 3" xfId="59121" xr:uid="{00000000-0005-0000-0000-0000FDB50000}"/>
    <cellStyle name="Normal 7 2 3 6 3" xfId="33492" xr:uid="{00000000-0005-0000-0000-0000FEB50000}"/>
    <cellStyle name="Normal 7 2 3 6 3 2" xfId="59122" xr:uid="{00000000-0005-0000-0000-0000FFB50000}"/>
    <cellStyle name="Normal 7 2 3 6 4" xfId="33493" xr:uid="{00000000-0005-0000-0000-000000B60000}"/>
    <cellStyle name="Normal 7 2 3 6 5" xfId="33494" xr:uid="{00000000-0005-0000-0000-000001B60000}"/>
    <cellStyle name="Normal 7 2 3 6 6" xfId="33495" xr:uid="{00000000-0005-0000-0000-000002B60000}"/>
    <cellStyle name="Normal 7 2 3 7" xfId="33496" xr:uid="{00000000-0005-0000-0000-000003B60000}"/>
    <cellStyle name="Normal 7 2 3 7 2" xfId="59123" xr:uid="{00000000-0005-0000-0000-000004B60000}"/>
    <cellStyle name="Normal 7 2 3 8" xfId="33497" xr:uid="{00000000-0005-0000-0000-000005B60000}"/>
    <cellStyle name="Normal 7 2 3 9" xfId="33498" xr:uid="{00000000-0005-0000-0000-000006B60000}"/>
    <cellStyle name="Normal 7 2 4" xfId="33499" xr:uid="{00000000-0005-0000-0000-000007B60000}"/>
    <cellStyle name="Normal 7 2 4 10" xfId="33500" xr:uid="{00000000-0005-0000-0000-000008B60000}"/>
    <cellStyle name="Normal 7 2 4 11" xfId="33501" xr:uid="{00000000-0005-0000-0000-000009B60000}"/>
    <cellStyle name="Normal 7 2 4 12" xfId="33502" xr:uid="{00000000-0005-0000-0000-00000AB60000}"/>
    <cellStyle name="Normal 7 2 4 13" xfId="33503" xr:uid="{00000000-0005-0000-0000-00000BB60000}"/>
    <cellStyle name="Normal 7 2 4 14" xfId="33504" xr:uid="{00000000-0005-0000-0000-00000CB60000}"/>
    <cellStyle name="Normal 7 2 4 2" xfId="33505" xr:uid="{00000000-0005-0000-0000-00000DB60000}"/>
    <cellStyle name="Normal 7 2 4 2 2" xfId="33506" xr:uid="{00000000-0005-0000-0000-00000EB60000}"/>
    <cellStyle name="Normal 7 2 4 2 2 2" xfId="33507" xr:uid="{00000000-0005-0000-0000-00000FB60000}"/>
    <cellStyle name="Normal 7 2 4 2 2 2 2" xfId="33508" xr:uid="{00000000-0005-0000-0000-000010B60000}"/>
    <cellStyle name="Normal 7 2 4 2 2 2 2 2" xfId="59124" xr:uid="{00000000-0005-0000-0000-000011B60000}"/>
    <cellStyle name="Normal 7 2 4 2 2 2 2 3" xfId="59125" xr:uid="{00000000-0005-0000-0000-000012B60000}"/>
    <cellStyle name="Normal 7 2 4 2 2 2 3" xfId="33509" xr:uid="{00000000-0005-0000-0000-000013B60000}"/>
    <cellStyle name="Normal 7 2 4 2 2 2 3 2" xfId="59126" xr:uid="{00000000-0005-0000-0000-000014B60000}"/>
    <cellStyle name="Normal 7 2 4 2 2 2 4" xfId="33510" xr:uid="{00000000-0005-0000-0000-000015B60000}"/>
    <cellStyle name="Normal 7 2 4 2 2 2 5" xfId="33511" xr:uid="{00000000-0005-0000-0000-000016B60000}"/>
    <cellStyle name="Normal 7 2 4 2 2 2 6" xfId="33512" xr:uid="{00000000-0005-0000-0000-000017B60000}"/>
    <cellStyle name="Normal 7 2 4 2 2 3" xfId="33513" xr:uid="{00000000-0005-0000-0000-000018B60000}"/>
    <cellStyle name="Normal 7 2 4 2 2 3 2" xfId="59127" xr:uid="{00000000-0005-0000-0000-000019B60000}"/>
    <cellStyle name="Normal 7 2 4 2 2 3 3" xfId="59128" xr:uid="{00000000-0005-0000-0000-00001AB60000}"/>
    <cellStyle name="Normal 7 2 4 2 2 4" xfId="33514" xr:uid="{00000000-0005-0000-0000-00001BB60000}"/>
    <cellStyle name="Normal 7 2 4 2 2 4 2" xfId="59129" xr:uid="{00000000-0005-0000-0000-00001CB60000}"/>
    <cellStyle name="Normal 7 2 4 2 2 5" xfId="33515" xr:uid="{00000000-0005-0000-0000-00001DB60000}"/>
    <cellStyle name="Normal 7 2 4 2 2 6" xfId="33516" xr:uid="{00000000-0005-0000-0000-00001EB60000}"/>
    <cellStyle name="Normal 7 2 4 2 2 7" xfId="33517" xr:uid="{00000000-0005-0000-0000-00001FB60000}"/>
    <cellStyle name="Normal 7 2 4 2 3" xfId="33518" xr:uid="{00000000-0005-0000-0000-000020B60000}"/>
    <cellStyle name="Normal 7 2 4 2 3 2" xfId="33519" xr:uid="{00000000-0005-0000-0000-000021B60000}"/>
    <cellStyle name="Normal 7 2 4 2 3 2 2" xfId="59130" xr:uid="{00000000-0005-0000-0000-000022B60000}"/>
    <cellStyle name="Normal 7 2 4 2 3 2 3" xfId="59131" xr:uid="{00000000-0005-0000-0000-000023B60000}"/>
    <cellStyle name="Normal 7 2 4 2 3 3" xfId="33520" xr:uid="{00000000-0005-0000-0000-000024B60000}"/>
    <cellStyle name="Normal 7 2 4 2 3 3 2" xfId="59132" xr:uid="{00000000-0005-0000-0000-000025B60000}"/>
    <cellStyle name="Normal 7 2 4 2 3 4" xfId="33521" xr:uid="{00000000-0005-0000-0000-000026B60000}"/>
    <cellStyle name="Normal 7 2 4 2 3 5" xfId="33522" xr:uid="{00000000-0005-0000-0000-000027B60000}"/>
    <cellStyle name="Normal 7 2 4 2 3 6" xfId="33523" xr:uid="{00000000-0005-0000-0000-000028B60000}"/>
    <cellStyle name="Normal 7 2 4 2 4" xfId="33524" xr:uid="{00000000-0005-0000-0000-000029B60000}"/>
    <cellStyle name="Normal 7 2 4 2 4 2" xfId="59133" xr:uid="{00000000-0005-0000-0000-00002AB60000}"/>
    <cellStyle name="Normal 7 2 4 2 4 3" xfId="59134" xr:uid="{00000000-0005-0000-0000-00002BB60000}"/>
    <cellStyle name="Normal 7 2 4 2 5" xfId="33525" xr:uid="{00000000-0005-0000-0000-00002CB60000}"/>
    <cellStyle name="Normal 7 2 4 2 5 2" xfId="59135" xr:uid="{00000000-0005-0000-0000-00002DB60000}"/>
    <cellStyle name="Normal 7 2 4 2 6" xfId="33526" xr:uid="{00000000-0005-0000-0000-00002EB60000}"/>
    <cellStyle name="Normal 7 2 4 2 7" xfId="33527" xr:uid="{00000000-0005-0000-0000-00002FB60000}"/>
    <cellStyle name="Normal 7 2 4 2 8" xfId="33528" xr:uid="{00000000-0005-0000-0000-000030B60000}"/>
    <cellStyle name="Normal 7 2 4 2 9" xfId="33529" xr:uid="{00000000-0005-0000-0000-000031B60000}"/>
    <cellStyle name="Normal 7 2 4 3" xfId="33530" xr:uid="{00000000-0005-0000-0000-000032B60000}"/>
    <cellStyle name="Normal 7 2 4 3 2" xfId="33531" xr:uid="{00000000-0005-0000-0000-000033B60000}"/>
    <cellStyle name="Normal 7 2 4 3 2 2" xfId="33532" xr:uid="{00000000-0005-0000-0000-000034B60000}"/>
    <cellStyle name="Normal 7 2 4 3 2 2 2" xfId="33533" xr:uid="{00000000-0005-0000-0000-000035B60000}"/>
    <cellStyle name="Normal 7 2 4 3 2 2 2 2" xfId="59136" xr:uid="{00000000-0005-0000-0000-000036B60000}"/>
    <cellStyle name="Normal 7 2 4 3 2 2 2 3" xfId="59137" xr:uid="{00000000-0005-0000-0000-000037B60000}"/>
    <cellStyle name="Normal 7 2 4 3 2 2 3" xfId="33534" xr:uid="{00000000-0005-0000-0000-000038B60000}"/>
    <cellStyle name="Normal 7 2 4 3 2 2 3 2" xfId="59138" xr:uid="{00000000-0005-0000-0000-000039B60000}"/>
    <cellStyle name="Normal 7 2 4 3 2 2 4" xfId="33535" xr:uid="{00000000-0005-0000-0000-00003AB60000}"/>
    <cellStyle name="Normal 7 2 4 3 2 2 5" xfId="33536" xr:uid="{00000000-0005-0000-0000-00003BB60000}"/>
    <cellStyle name="Normal 7 2 4 3 2 2 6" xfId="33537" xr:uid="{00000000-0005-0000-0000-00003CB60000}"/>
    <cellStyle name="Normal 7 2 4 3 2 3" xfId="33538" xr:uid="{00000000-0005-0000-0000-00003DB60000}"/>
    <cellStyle name="Normal 7 2 4 3 2 3 2" xfId="59139" xr:uid="{00000000-0005-0000-0000-00003EB60000}"/>
    <cellStyle name="Normal 7 2 4 3 2 3 3" xfId="59140" xr:uid="{00000000-0005-0000-0000-00003FB60000}"/>
    <cellStyle name="Normal 7 2 4 3 2 4" xfId="33539" xr:uid="{00000000-0005-0000-0000-000040B60000}"/>
    <cellStyle name="Normal 7 2 4 3 2 4 2" xfId="59141" xr:uid="{00000000-0005-0000-0000-000041B60000}"/>
    <cellStyle name="Normal 7 2 4 3 2 5" xfId="33540" xr:uid="{00000000-0005-0000-0000-000042B60000}"/>
    <cellStyle name="Normal 7 2 4 3 2 6" xfId="33541" xr:uid="{00000000-0005-0000-0000-000043B60000}"/>
    <cellStyle name="Normal 7 2 4 3 2 7" xfId="33542" xr:uid="{00000000-0005-0000-0000-000044B60000}"/>
    <cellStyle name="Normal 7 2 4 3 3" xfId="33543" xr:uid="{00000000-0005-0000-0000-000045B60000}"/>
    <cellStyle name="Normal 7 2 4 3 3 2" xfId="33544" xr:uid="{00000000-0005-0000-0000-000046B60000}"/>
    <cellStyle name="Normal 7 2 4 3 3 2 2" xfId="59142" xr:uid="{00000000-0005-0000-0000-000047B60000}"/>
    <cellStyle name="Normal 7 2 4 3 3 2 3" xfId="59143" xr:uid="{00000000-0005-0000-0000-000048B60000}"/>
    <cellStyle name="Normal 7 2 4 3 3 3" xfId="33545" xr:uid="{00000000-0005-0000-0000-000049B60000}"/>
    <cellStyle name="Normal 7 2 4 3 3 3 2" xfId="59144" xr:uid="{00000000-0005-0000-0000-00004AB60000}"/>
    <cellStyle name="Normal 7 2 4 3 3 4" xfId="33546" xr:uid="{00000000-0005-0000-0000-00004BB60000}"/>
    <cellStyle name="Normal 7 2 4 3 3 5" xfId="33547" xr:uid="{00000000-0005-0000-0000-00004CB60000}"/>
    <cellStyle name="Normal 7 2 4 3 3 6" xfId="33548" xr:uid="{00000000-0005-0000-0000-00004DB60000}"/>
    <cellStyle name="Normal 7 2 4 3 4" xfId="33549" xr:uid="{00000000-0005-0000-0000-00004EB60000}"/>
    <cellStyle name="Normal 7 2 4 3 4 2" xfId="59145" xr:uid="{00000000-0005-0000-0000-00004FB60000}"/>
    <cellStyle name="Normal 7 2 4 3 4 3" xfId="59146" xr:uid="{00000000-0005-0000-0000-000050B60000}"/>
    <cellStyle name="Normal 7 2 4 3 5" xfId="33550" xr:uid="{00000000-0005-0000-0000-000051B60000}"/>
    <cellStyle name="Normal 7 2 4 3 5 2" xfId="59147" xr:uid="{00000000-0005-0000-0000-000052B60000}"/>
    <cellStyle name="Normal 7 2 4 3 6" xfId="33551" xr:uid="{00000000-0005-0000-0000-000053B60000}"/>
    <cellStyle name="Normal 7 2 4 3 7" xfId="33552" xr:uid="{00000000-0005-0000-0000-000054B60000}"/>
    <cellStyle name="Normal 7 2 4 3 8" xfId="33553" xr:uid="{00000000-0005-0000-0000-000055B60000}"/>
    <cellStyle name="Normal 7 2 4 4" xfId="33554" xr:uid="{00000000-0005-0000-0000-000056B60000}"/>
    <cellStyle name="Normal 7 2 4 4 2" xfId="33555" xr:uid="{00000000-0005-0000-0000-000057B60000}"/>
    <cellStyle name="Normal 7 2 4 4 2 2" xfId="33556" xr:uid="{00000000-0005-0000-0000-000058B60000}"/>
    <cellStyle name="Normal 7 2 4 4 2 2 2" xfId="59148" xr:uid="{00000000-0005-0000-0000-000059B60000}"/>
    <cellStyle name="Normal 7 2 4 4 2 2 3" xfId="59149" xr:uid="{00000000-0005-0000-0000-00005AB60000}"/>
    <cellStyle name="Normal 7 2 4 4 2 3" xfId="33557" xr:uid="{00000000-0005-0000-0000-00005BB60000}"/>
    <cellStyle name="Normal 7 2 4 4 2 3 2" xfId="59150" xr:uid="{00000000-0005-0000-0000-00005CB60000}"/>
    <cellStyle name="Normal 7 2 4 4 2 4" xfId="33558" xr:uid="{00000000-0005-0000-0000-00005DB60000}"/>
    <cellStyle name="Normal 7 2 4 4 2 5" xfId="33559" xr:uid="{00000000-0005-0000-0000-00005EB60000}"/>
    <cellStyle name="Normal 7 2 4 4 2 6" xfId="33560" xr:uid="{00000000-0005-0000-0000-00005FB60000}"/>
    <cellStyle name="Normal 7 2 4 4 3" xfId="33561" xr:uid="{00000000-0005-0000-0000-000060B60000}"/>
    <cellStyle name="Normal 7 2 4 4 3 2" xfId="59151" xr:uid="{00000000-0005-0000-0000-000061B60000}"/>
    <cellStyle name="Normal 7 2 4 4 3 3" xfId="59152" xr:uid="{00000000-0005-0000-0000-000062B60000}"/>
    <cellStyle name="Normal 7 2 4 4 4" xfId="33562" xr:uid="{00000000-0005-0000-0000-000063B60000}"/>
    <cellStyle name="Normal 7 2 4 4 4 2" xfId="59153" xr:uid="{00000000-0005-0000-0000-000064B60000}"/>
    <cellStyle name="Normal 7 2 4 4 5" xfId="33563" xr:uid="{00000000-0005-0000-0000-000065B60000}"/>
    <cellStyle name="Normal 7 2 4 4 6" xfId="33564" xr:uid="{00000000-0005-0000-0000-000066B60000}"/>
    <cellStyle name="Normal 7 2 4 4 7" xfId="33565" xr:uid="{00000000-0005-0000-0000-000067B60000}"/>
    <cellStyle name="Normal 7 2 4 5" xfId="33566" xr:uid="{00000000-0005-0000-0000-000068B60000}"/>
    <cellStyle name="Normal 7 2 4 5 2" xfId="33567" xr:uid="{00000000-0005-0000-0000-000069B60000}"/>
    <cellStyle name="Normal 7 2 4 5 2 2" xfId="59154" xr:uid="{00000000-0005-0000-0000-00006AB60000}"/>
    <cellStyle name="Normal 7 2 4 5 2 3" xfId="59155" xr:uid="{00000000-0005-0000-0000-00006BB60000}"/>
    <cellStyle name="Normal 7 2 4 5 3" xfId="33568" xr:uid="{00000000-0005-0000-0000-00006CB60000}"/>
    <cellStyle name="Normal 7 2 4 5 3 2" xfId="59156" xr:uid="{00000000-0005-0000-0000-00006DB60000}"/>
    <cellStyle name="Normal 7 2 4 5 4" xfId="33569" xr:uid="{00000000-0005-0000-0000-00006EB60000}"/>
    <cellStyle name="Normal 7 2 4 5 5" xfId="33570" xr:uid="{00000000-0005-0000-0000-00006FB60000}"/>
    <cellStyle name="Normal 7 2 4 5 6" xfId="33571" xr:uid="{00000000-0005-0000-0000-000070B60000}"/>
    <cellStyle name="Normal 7 2 4 6" xfId="33572" xr:uid="{00000000-0005-0000-0000-000071B60000}"/>
    <cellStyle name="Normal 7 2 4 6 2" xfId="59157" xr:uid="{00000000-0005-0000-0000-000072B60000}"/>
    <cellStyle name="Normal 7 2 4 6 3" xfId="59158" xr:uid="{00000000-0005-0000-0000-000073B60000}"/>
    <cellStyle name="Normal 7 2 4 7" xfId="33573" xr:uid="{00000000-0005-0000-0000-000074B60000}"/>
    <cellStyle name="Normal 7 2 4 7 2" xfId="59159" xr:uid="{00000000-0005-0000-0000-000075B60000}"/>
    <cellStyle name="Normal 7 2 4 8" xfId="33574" xr:uid="{00000000-0005-0000-0000-000076B60000}"/>
    <cellStyle name="Normal 7 2 4 9" xfId="33575" xr:uid="{00000000-0005-0000-0000-000077B60000}"/>
    <cellStyle name="Normal 7 2 5" xfId="33576" xr:uid="{00000000-0005-0000-0000-000078B60000}"/>
    <cellStyle name="Normal 7 2 5 10" xfId="33577" xr:uid="{00000000-0005-0000-0000-000079B60000}"/>
    <cellStyle name="Normal 7 2 5 11" xfId="33578" xr:uid="{00000000-0005-0000-0000-00007AB60000}"/>
    <cellStyle name="Normal 7 2 5 12" xfId="33579" xr:uid="{00000000-0005-0000-0000-00007BB60000}"/>
    <cellStyle name="Normal 7 2 5 13" xfId="33580" xr:uid="{00000000-0005-0000-0000-00007CB60000}"/>
    <cellStyle name="Normal 7 2 5 14" xfId="33581" xr:uid="{00000000-0005-0000-0000-00007DB60000}"/>
    <cellStyle name="Normal 7 2 5 2" xfId="33582" xr:uid="{00000000-0005-0000-0000-00007EB60000}"/>
    <cellStyle name="Normal 7 2 5 2 2" xfId="33583" xr:uid="{00000000-0005-0000-0000-00007FB60000}"/>
    <cellStyle name="Normal 7 2 5 2 2 2" xfId="33584" xr:uid="{00000000-0005-0000-0000-000080B60000}"/>
    <cellStyle name="Normal 7 2 5 2 2 2 2" xfId="33585" xr:uid="{00000000-0005-0000-0000-000081B60000}"/>
    <cellStyle name="Normal 7 2 5 2 2 2 2 2" xfId="59160" xr:uid="{00000000-0005-0000-0000-000082B60000}"/>
    <cellStyle name="Normal 7 2 5 2 2 2 2 3" xfId="59161" xr:uid="{00000000-0005-0000-0000-000083B60000}"/>
    <cellStyle name="Normal 7 2 5 2 2 2 3" xfId="33586" xr:uid="{00000000-0005-0000-0000-000084B60000}"/>
    <cellStyle name="Normal 7 2 5 2 2 2 3 2" xfId="59162" xr:uid="{00000000-0005-0000-0000-000085B60000}"/>
    <cellStyle name="Normal 7 2 5 2 2 2 4" xfId="33587" xr:uid="{00000000-0005-0000-0000-000086B60000}"/>
    <cellStyle name="Normal 7 2 5 2 2 2 5" xfId="33588" xr:uid="{00000000-0005-0000-0000-000087B60000}"/>
    <cellStyle name="Normal 7 2 5 2 2 2 6" xfId="33589" xr:uid="{00000000-0005-0000-0000-000088B60000}"/>
    <cellStyle name="Normal 7 2 5 2 2 3" xfId="33590" xr:uid="{00000000-0005-0000-0000-000089B60000}"/>
    <cellStyle name="Normal 7 2 5 2 2 3 2" xfId="59163" xr:uid="{00000000-0005-0000-0000-00008AB60000}"/>
    <cellStyle name="Normal 7 2 5 2 2 3 3" xfId="59164" xr:uid="{00000000-0005-0000-0000-00008BB60000}"/>
    <cellStyle name="Normal 7 2 5 2 2 4" xfId="33591" xr:uid="{00000000-0005-0000-0000-00008CB60000}"/>
    <cellStyle name="Normal 7 2 5 2 2 4 2" xfId="59165" xr:uid="{00000000-0005-0000-0000-00008DB60000}"/>
    <cellStyle name="Normal 7 2 5 2 2 5" xfId="33592" xr:uid="{00000000-0005-0000-0000-00008EB60000}"/>
    <cellStyle name="Normal 7 2 5 2 2 6" xfId="33593" xr:uid="{00000000-0005-0000-0000-00008FB60000}"/>
    <cellStyle name="Normal 7 2 5 2 2 7" xfId="33594" xr:uid="{00000000-0005-0000-0000-000090B60000}"/>
    <cellStyle name="Normal 7 2 5 2 3" xfId="33595" xr:uid="{00000000-0005-0000-0000-000091B60000}"/>
    <cellStyle name="Normal 7 2 5 2 3 2" xfId="33596" xr:uid="{00000000-0005-0000-0000-000092B60000}"/>
    <cellStyle name="Normal 7 2 5 2 3 2 2" xfId="59166" xr:uid="{00000000-0005-0000-0000-000093B60000}"/>
    <cellStyle name="Normal 7 2 5 2 3 2 3" xfId="59167" xr:uid="{00000000-0005-0000-0000-000094B60000}"/>
    <cellStyle name="Normal 7 2 5 2 3 3" xfId="33597" xr:uid="{00000000-0005-0000-0000-000095B60000}"/>
    <cellStyle name="Normal 7 2 5 2 3 3 2" xfId="59168" xr:uid="{00000000-0005-0000-0000-000096B60000}"/>
    <cellStyle name="Normal 7 2 5 2 3 4" xfId="33598" xr:uid="{00000000-0005-0000-0000-000097B60000}"/>
    <cellStyle name="Normal 7 2 5 2 3 5" xfId="33599" xr:uid="{00000000-0005-0000-0000-000098B60000}"/>
    <cellStyle name="Normal 7 2 5 2 3 6" xfId="33600" xr:uid="{00000000-0005-0000-0000-000099B60000}"/>
    <cellStyle name="Normal 7 2 5 2 4" xfId="33601" xr:uid="{00000000-0005-0000-0000-00009AB60000}"/>
    <cellStyle name="Normal 7 2 5 2 4 2" xfId="59169" xr:uid="{00000000-0005-0000-0000-00009BB60000}"/>
    <cellStyle name="Normal 7 2 5 2 4 3" xfId="59170" xr:uid="{00000000-0005-0000-0000-00009CB60000}"/>
    <cellStyle name="Normal 7 2 5 2 5" xfId="33602" xr:uid="{00000000-0005-0000-0000-00009DB60000}"/>
    <cellStyle name="Normal 7 2 5 2 5 2" xfId="59171" xr:uid="{00000000-0005-0000-0000-00009EB60000}"/>
    <cellStyle name="Normal 7 2 5 2 6" xfId="33603" xr:uid="{00000000-0005-0000-0000-00009FB60000}"/>
    <cellStyle name="Normal 7 2 5 2 7" xfId="33604" xr:uid="{00000000-0005-0000-0000-0000A0B60000}"/>
    <cellStyle name="Normal 7 2 5 2 8" xfId="33605" xr:uid="{00000000-0005-0000-0000-0000A1B60000}"/>
    <cellStyle name="Normal 7 2 5 2 9" xfId="33606" xr:uid="{00000000-0005-0000-0000-0000A2B60000}"/>
    <cellStyle name="Normal 7 2 5 3" xfId="33607" xr:uid="{00000000-0005-0000-0000-0000A3B60000}"/>
    <cellStyle name="Normal 7 2 5 3 2" xfId="33608" xr:uid="{00000000-0005-0000-0000-0000A4B60000}"/>
    <cellStyle name="Normal 7 2 5 3 2 2" xfId="33609" xr:uid="{00000000-0005-0000-0000-0000A5B60000}"/>
    <cellStyle name="Normal 7 2 5 3 2 2 2" xfId="33610" xr:uid="{00000000-0005-0000-0000-0000A6B60000}"/>
    <cellStyle name="Normal 7 2 5 3 2 2 2 2" xfId="59172" xr:uid="{00000000-0005-0000-0000-0000A7B60000}"/>
    <cellStyle name="Normal 7 2 5 3 2 2 2 3" xfId="59173" xr:uid="{00000000-0005-0000-0000-0000A8B60000}"/>
    <cellStyle name="Normal 7 2 5 3 2 2 3" xfId="33611" xr:uid="{00000000-0005-0000-0000-0000A9B60000}"/>
    <cellStyle name="Normal 7 2 5 3 2 2 3 2" xfId="59174" xr:uid="{00000000-0005-0000-0000-0000AAB60000}"/>
    <cellStyle name="Normal 7 2 5 3 2 2 4" xfId="33612" xr:uid="{00000000-0005-0000-0000-0000ABB60000}"/>
    <cellStyle name="Normal 7 2 5 3 2 2 5" xfId="33613" xr:uid="{00000000-0005-0000-0000-0000ACB60000}"/>
    <cellStyle name="Normal 7 2 5 3 2 2 6" xfId="33614" xr:uid="{00000000-0005-0000-0000-0000ADB60000}"/>
    <cellStyle name="Normal 7 2 5 3 2 3" xfId="33615" xr:uid="{00000000-0005-0000-0000-0000AEB60000}"/>
    <cellStyle name="Normal 7 2 5 3 2 3 2" xfId="59175" xr:uid="{00000000-0005-0000-0000-0000AFB60000}"/>
    <cellStyle name="Normal 7 2 5 3 2 3 3" xfId="59176" xr:uid="{00000000-0005-0000-0000-0000B0B60000}"/>
    <cellStyle name="Normal 7 2 5 3 2 4" xfId="33616" xr:uid="{00000000-0005-0000-0000-0000B1B60000}"/>
    <cellStyle name="Normal 7 2 5 3 2 4 2" xfId="59177" xr:uid="{00000000-0005-0000-0000-0000B2B60000}"/>
    <cellStyle name="Normal 7 2 5 3 2 5" xfId="33617" xr:uid="{00000000-0005-0000-0000-0000B3B60000}"/>
    <cellStyle name="Normal 7 2 5 3 2 6" xfId="33618" xr:uid="{00000000-0005-0000-0000-0000B4B60000}"/>
    <cellStyle name="Normal 7 2 5 3 2 7" xfId="33619" xr:uid="{00000000-0005-0000-0000-0000B5B60000}"/>
    <cellStyle name="Normal 7 2 5 3 3" xfId="33620" xr:uid="{00000000-0005-0000-0000-0000B6B60000}"/>
    <cellStyle name="Normal 7 2 5 3 3 2" xfId="33621" xr:uid="{00000000-0005-0000-0000-0000B7B60000}"/>
    <cellStyle name="Normal 7 2 5 3 3 2 2" xfId="59178" xr:uid="{00000000-0005-0000-0000-0000B8B60000}"/>
    <cellStyle name="Normal 7 2 5 3 3 2 3" xfId="59179" xr:uid="{00000000-0005-0000-0000-0000B9B60000}"/>
    <cellStyle name="Normal 7 2 5 3 3 3" xfId="33622" xr:uid="{00000000-0005-0000-0000-0000BAB60000}"/>
    <cellStyle name="Normal 7 2 5 3 3 3 2" xfId="59180" xr:uid="{00000000-0005-0000-0000-0000BBB60000}"/>
    <cellStyle name="Normal 7 2 5 3 3 4" xfId="33623" xr:uid="{00000000-0005-0000-0000-0000BCB60000}"/>
    <cellStyle name="Normal 7 2 5 3 3 5" xfId="33624" xr:uid="{00000000-0005-0000-0000-0000BDB60000}"/>
    <cellStyle name="Normal 7 2 5 3 3 6" xfId="33625" xr:uid="{00000000-0005-0000-0000-0000BEB60000}"/>
    <cellStyle name="Normal 7 2 5 3 4" xfId="33626" xr:uid="{00000000-0005-0000-0000-0000BFB60000}"/>
    <cellStyle name="Normal 7 2 5 3 4 2" xfId="59181" xr:uid="{00000000-0005-0000-0000-0000C0B60000}"/>
    <cellStyle name="Normal 7 2 5 3 4 3" xfId="59182" xr:uid="{00000000-0005-0000-0000-0000C1B60000}"/>
    <cellStyle name="Normal 7 2 5 3 5" xfId="33627" xr:uid="{00000000-0005-0000-0000-0000C2B60000}"/>
    <cellStyle name="Normal 7 2 5 3 5 2" xfId="59183" xr:uid="{00000000-0005-0000-0000-0000C3B60000}"/>
    <cellStyle name="Normal 7 2 5 3 6" xfId="33628" xr:uid="{00000000-0005-0000-0000-0000C4B60000}"/>
    <cellStyle name="Normal 7 2 5 3 7" xfId="33629" xr:uid="{00000000-0005-0000-0000-0000C5B60000}"/>
    <cellStyle name="Normal 7 2 5 3 8" xfId="33630" xr:uid="{00000000-0005-0000-0000-0000C6B60000}"/>
    <cellStyle name="Normal 7 2 5 4" xfId="33631" xr:uid="{00000000-0005-0000-0000-0000C7B60000}"/>
    <cellStyle name="Normal 7 2 5 4 2" xfId="33632" xr:uid="{00000000-0005-0000-0000-0000C8B60000}"/>
    <cellStyle name="Normal 7 2 5 4 2 2" xfId="33633" xr:uid="{00000000-0005-0000-0000-0000C9B60000}"/>
    <cellStyle name="Normal 7 2 5 4 2 2 2" xfId="59184" xr:uid="{00000000-0005-0000-0000-0000CAB60000}"/>
    <cellStyle name="Normal 7 2 5 4 2 2 3" xfId="59185" xr:uid="{00000000-0005-0000-0000-0000CBB60000}"/>
    <cellStyle name="Normal 7 2 5 4 2 3" xfId="33634" xr:uid="{00000000-0005-0000-0000-0000CCB60000}"/>
    <cellStyle name="Normal 7 2 5 4 2 3 2" xfId="59186" xr:uid="{00000000-0005-0000-0000-0000CDB60000}"/>
    <cellStyle name="Normal 7 2 5 4 2 4" xfId="33635" xr:uid="{00000000-0005-0000-0000-0000CEB60000}"/>
    <cellStyle name="Normal 7 2 5 4 2 5" xfId="33636" xr:uid="{00000000-0005-0000-0000-0000CFB60000}"/>
    <cellStyle name="Normal 7 2 5 4 2 6" xfId="33637" xr:uid="{00000000-0005-0000-0000-0000D0B60000}"/>
    <cellStyle name="Normal 7 2 5 4 3" xfId="33638" xr:uid="{00000000-0005-0000-0000-0000D1B60000}"/>
    <cellStyle name="Normal 7 2 5 4 3 2" xfId="59187" xr:uid="{00000000-0005-0000-0000-0000D2B60000}"/>
    <cellStyle name="Normal 7 2 5 4 3 3" xfId="59188" xr:uid="{00000000-0005-0000-0000-0000D3B60000}"/>
    <cellStyle name="Normal 7 2 5 4 4" xfId="33639" xr:uid="{00000000-0005-0000-0000-0000D4B60000}"/>
    <cellStyle name="Normal 7 2 5 4 4 2" xfId="59189" xr:uid="{00000000-0005-0000-0000-0000D5B60000}"/>
    <cellStyle name="Normal 7 2 5 4 5" xfId="33640" xr:uid="{00000000-0005-0000-0000-0000D6B60000}"/>
    <cellStyle name="Normal 7 2 5 4 6" xfId="33641" xr:uid="{00000000-0005-0000-0000-0000D7B60000}"/>
    <cellStyle name="Normal 7 2 5 4 7" xfId="33642" xr:uid="{00000000-0005-0000-0000-0000D8B60000}"/>
    <cellStyle name="Normal 7 2 5 5" xfId="33643" xr:uid="{00000000-0005-0000-0000-0000D9B60000}"/>
    <cellStyle name="Normal 7 2 5 5 2" xfId="33644" xr:uid="{00000000-0005-0000-0000-0000DAB60000}"/>
    <cellStyle name="Normal 7 2 5 5 2 2" xfId="59190" xr:uid="{00000000-0005-0000-0000-0000DBB60000}"/>
    <cellStyle name="Normal 7 2 5 5 2 3" xfId="59191" xr:uid="{00000000-0005-0000-0000-0000DCB60000}"/>
    <cellStyle name="Normal 7 2 5 5 3" xfId="33645" xr:uid="{00000000-0005-0000-0000-0000DDB60000}"/>
    <cellStyle name="Normal 7 2 5 5 3 2" xfId="59192" xr:uid="{00000000-0005-0000-0000-0000DEB60000}"/>
    <cellStyle name="Normal 7 2 5 5 4" xfId="33646" xr:uid="{00000000-0005-0000-0000-0000DFB60000}"/>
    <cellStyle name="Normal 7 2 5 5 5" xfId="33647" xr:uid="{00000000-0005-0000-0000-0000E0B60000}"/>
    <cellStyle name="Normal 7 2 5 5 6" xfId="33648" xr:uid="{00000000-0005-0000-0000-0000E1B60000}"/>
    <cellStyle name="Normal 7 2 5 6" xfId="33649" xr:uid="{00000000-0005-0000-0000-0000E2B60000}"/>
    <cellStyle name="Normal 7 2 5 6 2" xfId="59193" xr:uid="{00000000-0005-0000-0000-0000E3B60000}"/>
    <cellStyle name="Normal 7 2 5 6 3" xfId="59194" xr:uid="{00000000-0005-0000-0000-0000E4B60000}"/>
    <cellStyle name="Normal 7 2 5 7" xfId="33650" xr:uid="{00000000-0005-0000-0000-0000E5B60000}"/>
    <cellStyle name="Normal 7 2 5 7 2" xfId="59195" xr:uid="{00000000-0005-0000-0000-0000E6B60000}"/>
    <cellStyle name="Normal 7 2 5 8" xfId="33651" xr:uid="{00000000-0005-0000-0000-0000E7B60000}"/>
    <cellStyle name="Normal 7 2 5 9" xfId="33652" xr:uid="{00000000-0005-0000-0000-0000E8B60000}"/>
    <cellStyle name="Normal 7 2 6" xfId="33653" xr:uid="{00000000-0005-0000-0000-0000E9B60000}"/>
    <cellStyle name="Normal 7 2 6 10" xfId="33654" xr:uid="{00000000-0005-0000-0000-0000EAB60000}"/>
    <cellStyle name="Normal 7 2 6 11" xfId="33655" xr:uid="{00000000-0005-0000-0000-0000EBB60000}"/>
    <cellStyle name="Normal 7 2 6 12" xfId="33656" xr:uid="{00000000-0005-0000-0000-0000ECB60000}"/>
    <cellStyle name="Normal 7 2 6 13" xfId="33657" xr:uid="{00000000-0005-0000-0000-0000EDB60000}"/>
    <cellStyle name="Normal 7 2 6 2" xfId="33658" xr:uid="{00000000-0005-0000-0000-0000EEB60000}"/>
    <cellStyle name="Normal 7 2 6 2 2" xfId="33659" xr:uid="{00000000-0005-0000-0000-0000EFB60000}"/>
    <cellStyle name="Normal 7 2 6 2 2 2" xfId="33660" xr:uid="{00000000-0005-0000-0000-0000F0B60000}"/>
    <cellStyle name="Normal 7 2 6 2 2 2 2" xfId="33661" xr:uid="{00000000-0005-0000-0000-0000F1B60000}"/>
    <cellStyle name="Normal 7 2 6 2 2 2 2 2" xfId="59196" xr:uid="{00000000-0005-0000-0000-0000F2B60000}"/>
    <cellStyle name="Normal 7 2 6 2 2 2 2 3" xfId="59197" xr:uid="{00000000-0005-0000-0000-0000F3B60000}"/>
    <cellStyle name="Normal 7 2 6 2 2 2 3" xfId="33662" xr:uid="{00000000-0005-0000-0000-0000F4B60000}"/>
    <cellStyle name="Normal 7 2 6 2 2 2 3 2" xfId="59198" xr:uid="{00000000-0005-0000-0000-0000F5B60000}"/>
    <cellStyle name="Normal 7 2 6 2 2 2 4" xfId="33663" xr:uid="{00000000-0005-0000-0000-0000F6B60000}"/>
    <cellStyle name="Normal 7 2 6 2 2 2 5" xfId="33664" xr:uid="{00000000-0005-0000-0000-0000F7B60000}"/>
    <cellStyle name="Normal 7 2 6 2 2 2 6" xfId="33665" xr:uid="{00000000-0005-0000-0000-0000F8B60000}"/>
    <cellStyle name="Normal 7 2 6 2 2 3" xfId="33666" xr:uid="{00000000-0005-0000-0000-0000F9B60000}"/>
    <cellStyle name="Normal 7 2 6 2 2 3 2" xfId="59199" xr:uid="{00000000-0005-0000-0000-0000FAB60000}"/>
    <cellStyle name="Normal 7 2 6 2 2 3 3" xfId="59200" xr:uid="{00000000-0005-0000-0000-0000FBB60000}"/>
    <cellStyle name="Normal 7 2 6 2 2 4" xfId="33667" xr:uid="{00000000-0005-0000-0000-0000FCB60000}"/>
    <cellStyle name="Normal 7 2 6 2 2 4 2" xfId="59201" xr:uid="{00000000-0005-0000-0000-0000FDB60000}"/>
    <cellStyle name="Normal 7 2 6 2 2 5" xfId="33668" xr:uid="{00000000-0005-0000-0000-0000FEB60000}"/>
    <cellStyle name="Normal 7 2 6 2 2 6" xfId="33669" xr:uid="{00000000-0005-0000-0000-0000FFB60000}"/>
    <cellStyle name="Normal 7 2 6 2 2 7" xfId="33670" xr:uid="{00000000-0005-0000-0000-000000B70000}"/>
    <cellStyle name="Normal 7 2 6 2 3" xfId="33671" xr:uid="{00000000-0005-0000-0000-000001B70000}"/>
    <cellStyle name="Normal 7 2 6 2 3 2" xfId="33672" xr:uid="{00000000-0005-0000-0000-000002B70000}"/>
    <cellStyle name="Normal 7 2 6 2 3 2 2" xfId="59202" xr:uid="{00000000-0005-0000-0000-000003B70000}"/>
    <cellStyle name="Normal 7 2 6 2 3 2 3" xfId="59203" xr:uid="{00000000-0005-0000-0000-000004B70000}"/>
    <cellStyle name="Normal 7 2 6 2 3 3" xfId="33673" xr:uid="{00000000-0005-0000-0000-000005B70000}"/>
    <cellStyle name="Normal 7 2 6 2 3 3 2" xfId="59204" xr:uid="{00000000-0005-0000-0000-000006B70000}"/>
    <cellStyle name="Normal 7 2 6 2 3 4" xfId="33674" xr:uid="{00000000-0005-0000-0000-000007B70000}"/>
    <cellStyle name="Normal 7 2 6 2 3 5" xfId="33675" xr:uid="{00000000-0005-0000-0000-000008B70000}"/>
    <cellStyle name="Normal 7 2 6 2 3 6" xfId="33676" xr:uid="{00000000-0005-0000-0000-000009B70000}"/>
    <cellStyle name="Normal 7 2 6 2 4" xfId="33677" xr:uid="{00000000-0005-0000-0000-00000AB70000}"/>
    <cellStyle name="Normal 7 2 6 2 4 2" xfId="59205" xr:uid="{00000000-0005-0000-0000-00000BB70000}"/>
    <cellStyle name="Normal 7 2 6 2 4 3" xfId="59206" xr:uid="{00000000-0005-0000-0000-00000CB70000}"/>
    <cellStyle name="Normal 7 2 6 2 5" xfId="33678" xr:uid="{00000000-0005-0000-0000-00000DB70000}"/>
    <cellStyle name="Normal 7 2 6 2 5 2" xfId="59207" xr:uid="{00000000-0005-0000-0000-00000EB70000}"/>
    <cellStyle name="Normal 7 2 6 2 6" xfId="33679" xr:uid="{00000000-0005-0000-0000-00000FB70000}"/>
    <cellStyle name="Normal 7 2 6 2 7" xfId="33680" xr:uid="{00000000-0005-0000-0000-000010B70000}"/>
    <cellStyle name="Normal 7 2 6 2 8" xfId="33681" xr:uid="{00000000-0005-0000-0000-000011B70000}"/>
    <cellStyle name="Normal 7 2 6 2 9" xfId="33682" xr:uid="{00000000-0005-0000-0000-000012B70000}"/>
    <cellStyle name="Normal 7 2 6 3" xfId="33683" xr:uid="{00000000-0005-0000-0000-000013B70000}"/>
    <cellStyle name="Normal 7 2 6 3 2" xfId="33684" xr:uid="{00000000-0005-0000-0000-000014B70000}"/>
    <cellStyle name="Normal 7 2 6 3 2 2" xfId="33685" xr:uid="{00000000-0005-0000-0000-000015B70000}"/>
    <cellStyle name="Normal 7 2 6 3 2 2 2" xfId="59208" xr:uid="{00000000-0005-0000-0000-000016B70000}"/>
    <cellStyle name="Normal 7 2 6 3 2 2 3" xfId="59209" xr:uid="{00000000-0005-0000-0000-000017B70000}"/>
    <cellStyle name="Normal 7 2 6 3 2 3" xfId="33686" xr:uid="{00000000-0005-0000-0000-000018B70000}"/>
    <cellStyle name="Normal 7 2 6 3 2 3 2" xfId="59210" xr:uid="{00000000-0005-0000-0000-000019B70000}"/>
    <cellStyle name="Normal 7 2 6 3 2 4" xfId="33687" xr:uid="{00000000-0005-0000-0000-00001AB70000}"/>
    <cellStyle name="Normal 7 2 6 3 2 5" xfId="33688" xr:uid="{00000000-0005-0000-0000-00001BB70000}"/>
    <cellStyle name="Normal 7 2 6 3 2 6" xfId="33689" xr:uid="{00000000-0005-0000-0000-00001CB70000}"/>
    <cellStyle name="Normal 7 2 6 3 3" xfId="33690" xr:uid="{00000000-0005-0000-0000-00001DB70000}"/>
    <cellStyle name="Normal 7 2 6 3 3 2" xfId="59211" xr:uid="{00000000-0005-0000-0000-00001EB70000}"/>
    <cellStyle name="Normal 7 2 6 3 3 3" xfId="59212" xr:uid="{00000000-0005-0000-0000-00001FB70000}"/>
    <cellStyle name="Normal 7 2 6 3 4" xfId="33691" xr:uid="{00000000-0005-0000-0000-000020B70000}"/>
    <cellStyle name="Normal 7 2 6 3 4 2" xfId="59213" xr:uid="{00000000-0005-0000-0000-000021B70000}"/>
    <cellStyle name="Normal 7 2 6 3 5" xfId="33692" xr:uid="{00000000-0005-0000-0000-000022B70000}"/>
    <cellStyle name="Normal 7 2 6 3 6" xfId="33693" xr:uid="{00000000-0005-0000-0000-000023B70000}"/>
    <cellStyle name="Normal 7 2 6 3 7" xfId="33694" xr:uid="{00000000-0005-0000-0000-000024B70000}"/>
    <cellStyle name="Normal 7 2 6 4" xfId="33695" xr:uid="{00000000-0005-0000-0000-000025B70000}"/>
    <cellStyle name="Normal 7 2 6 4 2" xfId="33696" xr:uid="{00000000-0005-0000-0000-000026B70000}"/>
    <cellStyle name="Normal 7 2 6 4 2 2" xfId="59214" xr:uid="{00000000-0005-0000-0000-000027B70000}"/>
    <cellStyle name="Normal 7 2 6 4 2 3" xfId="59215" xr:uid="{00000000-0005-0000-0000-000028B70000}"/>
    <cellStyle name="Normal 7 2 6 4 3" xfId="33697" xr:uid="{00000000-0005-0000-0000-000029B70000}"/>
    <cellStyle name="Normal 7 2 6 4 3 2" xfId="59216" xr:uid="{00000000-0005-0000-0000-00002AB70000}"/>
    <cellStyle name="Normal 7 2 6 4 4" xfId="33698" xr:uid="{00000000-0005-0000-0000-00002BB70000}"/>
    <cellStyle name="Normal 7 2 6 4 5" xfId="33699" xr:uid="{00000000-0005-0000-0000-00002CB70000}"/>
    <cellStyle name="Normal 7 2 6 4 6" xfId="33700" xr:uid="{00000000-0005-0000-0000-00002DB70000}"/>
    <cellStyle name="Normal 7 2 6 5" xfId="33701" xr:uid="{00000000-0005-0000-0000-00002EB70000}"/>
    <cellStyle name="Normal 7 2 6 5 2" xfId="59217" xr:uid="{00000000-0005-0000-0000-00002FB70000}"/>
    <cellStyle name="Normal 7 2 6 5 3" xfId="59218" xr:uid="{00000000-0005-0000-0000-000030B70000}"/>
    <cellStyle name="Normal 7 2 6 6" xfId="33702" xr:uid="{00000000-0005-0000-0000-000031B70000}"/>
    <cellStyle name="Normal 7 2 6 6 2" xfId="59219" xr:uid="{00000000-0005-0000-0000-000032B70000}"/>
    <cellStyle name="Normal 7 2 6 7" xfId="33703" xr:uid="{00000000-0005-0000-0000-000033B70000}"/>
    <cellStyle name="Normal 7 2 6 8" xfId="33704" xr:uid="{00000000-0005-0000-0000-000034B70000}"/>
    <cellStyle name="Normal 7 2 6 9" xfId="33705" xr:uid="{00000000-0005-0000-0000-000035B70000}"/>
    <cellStyle name="Normal 7 2 7" xfId="33706" xr:uid="{00000000-0005-0000-0000-000036B70000}"/>
    <cellStyle name="Normal 7 2 7 2" xfId="33707" xr:uid="{00000000-0005-0000-0000-000037B70000}"/>
    <cellStyle name="Normal 7 2 7 2 2" xfId="33708" xr:uid="{00000000-0005-0000-0000-000038B70000}"/>
    <cellStyle name="Normal 7 2 7 2 2 2" xfId="33709" xr:uid="{00000000-0005-0000-0000-000039B70000}"/>
    <cellStyle name="Normal 7 2 7 2 2 2 2" xfId="59220" xr:uid="{00000000-0005-0000-0000-00003AB70000}"/>
    <cellStyle name="Normal 7 2 7 2 2 2 3" xfId="59221" xr:uid="{00000000-0005-0000-0000-00003BB70000}"/>
    <cellStyle name="Normal 7 2 7 2 2 3" xfId="33710" xr:uid="{00000000-0005-0000-0000-00003CB70000}"/>
    <cellStyle name="Normal 7 2 7 2 2 3 2" xfId="59222" xr:uid="{00000000-0005-0000-0000-00003DB70000}"/>
    <cellStyle name="Normal 7 2 7 2 2 4" xfId="33711" xr:uid="{00000000-0005-0000-0000-00003EB70000}"/>
    <cellStyle name="Normal 7 2 7 2 2 5" xfId="33712" xr:uid="{00000000-0005-0000-0000-00003FB70000}"/>
    <cellStyle name="Normal 7 2 7 2 2 6" xfId="33713" xr:uid="{00000000-0005-0000-0000-000040B70000}"/>
    <cellStyle name="Normal 7 2 7 2 3" xfId="33714" xr:uid="{00000000-0005-0000-0000-000041B70000}"/>
    <cellStyle name="Normal 7 2 7 2 3 2" xfId="59223" xr:uid="{00000000-0005-0000-0000-000042B70000}"/>
    <cellStyle name="Normal 7 2 7 2 3 3" xfId="59224" xr:uid="{00000000-0005-0000-0000-000043B70000}"/>
    <cellStyle name="Normal 7 2 7 2 4" xfId="33715" xr:uid="{00000000-0005-0000-0000-000044B70000}"/>
    <cellStyle name="Normal 7 2 7 2 4 2" xfId="59225" xr:uid="{00000000-0005-0000-0000-000045B70000}"/>
    <cellStyle name="Normal 7 2 7 2 5" xfId="33716" xr:uid="{00000000-0005-0000-0000-000046B70000}"/>
    <cellStyle name="Normal 7 2 7 2 6" xfId="33717" xr:uid="{00000000-0005-0000-0000-000047B70000}"/>
    <cellStyle name="Normal 7 2 7 2 7" xfId="33718" xr:uid="{00000000-0005-0000-0000-000048B70000}"/>
    <cellStyle name="Normal 7 2 7 3" xfId="33719" xr:uid="{00000000-0005-0000-0000-000049B70000}"/>
    <cellStyle name="Normal 7 2 7 3 2" xfId="33720" xr:uid="{00000000-0005-0000-0000-00004AB70000}"/>
    <cellStyle name="Normal 7 2 7 3 2 2" xfId="59226" xr:uid="{00000000-0005-0000-0000-00004BB70000}"/>
    <cellStyle name="Normal 7 2 7 3 2 3" xfId="59227" xr:uid="{00000000-0005-0000-0000-00004CB70000}"/>
    <cellStyle name="Normal 7 2 7 3 3" xfId="33721" xr:uid="{00000000-0005-0000-0000-00004DB70000}"/>
    <cellStyle name="Normal 7 2 7 3 3 2" xfId="59228" xr:uid="{00000000-0005-0000-0000-00004EB70000}"/>
    <cellStyle name="Normal 7 2 7 3 4" xfId="33722" xr:uid="{00000000-0005-0000-0000-00004FB70000}"/>
    <cellStyle name="Normal 7 2 7 3 5" xfId="33723" xr:uid="{00000000-0005-0000-0000-000050B70000}"/>
    <cellStyle name="Normal 7 2 7 3 6" xfId="33724" xr:uid="{00000000-0005-0000-0000-000051B70000}"/>
    <cellStyle name="Normal 7 2 7 4" xfId="33725" xr:uid="{00000000-0005-0000-0000-000052B70000}"/>
    <cellStyle name="Normal 7 2 7 4 2" xfId="59229" xr:uid="{00000000-0005-0000-0000-000053B70000}"/>
    <cellStyle name="Normal 7 2 7 4 3" xfId="59230" xr:uid="{00000000-0005-0000-0000-000054B70000}"/>
    <cellStyle name="Normal 7 2 7 5" xfId="33726" xr:uid="{00000000-0005-0000-0000-000055B70000}"/>
    <cellStyle name="Normal 7 2 7 5 2" xfId="59231" xr:uid="{00000000-0005-0000-0000-000056B70000}"/>
    <cellStyle name="Normal 7 2 7 6" xfId="33727" xr:uid="{00000000-0005-0000-0000-000057B70000}"/>
    <cellStyle name="Normal 7 2 7 7" xfId="33728" xr:uid="{00000000-0005-0000-0000-000058B70000}"/>
    <cellStyle name="Normal 7 2 7 8" xfId="33729" xr:uid="{00000000-0005-0000-0000-000059B70000}"/>
    <cellStyle name="Normal 7 2 7 9" xfId="33730" xr:uid="{00000000-0005-0000-0000-00005AB70000}"/>
    <cellStyle name="Normal 7 2 8" xfId="33731" xr:uid="{00000000-0005-0000-0000-00005BB70000}"/>
    <cellStyle name="Normal 7 2 8 2" xfId="33732" xr:uid="{00000000-0005-0000-0000-00005CB70000}"/>
    <cellStyle name="Normal 7 2 8 2 2" xfId="33733" xr:uid="{00000000-0005-0000-0000-00005DB70000}"/>
    <cellStyle name="Normal 7 2 8 2 2 2" xfId="33734" xr:uid="{00000000-0005-0000-0000-00005EB70000}"/>
    <cellStyle name="Normal 7 2 8 2 2 2 2" xfId="59232" xr:uid="{00000000-0005-0000-0000-00005FB70000}"/>
    <cellStyle name="Normal 7 2 8 2 2 2 3" xfId="59233" xr:uid="{00000000-0005-0000-0000-000060B70000}"/>
    <cellStyle name="Normal 7 2 8 2 2 3" xfId="33735" xr:uid="{00000000-0005-0000-0000-000061B70000}"/>
    <cellStyle name="Normal 7 2 8 2 2 3 2" xfId="59234" xr:uid="{00000000-0005-0000-0000-000062B70000}"/>
    <cellStyle name="Normal 7 2 8 2 2 4" xfId="33736" xr:uid="{00000000-0005-0000-0000-000063B70000}"/>
    <cellStyle name="Normal 7 2 8 2 2 5" xfId="33737" xr:uid="{00000000-0005-0000-0000-000064B70000}"/>
    <cellStyle name="Normal 7 2 8 2 2 6" xfId="33738" xr:uid="{00000000-0005-0000-0000-000065B70000}"/>
    <cellStyle name="Normal 7 2 8 2 3" xfId="33739" xr:uid="{00000000-0005-0000-0000-000066B70000}"/>
    <cellStyle name="Normal 7 2 8 2 3 2" xfId="59235" xr:uid="{00000000-0005-0000-0000-000067B70000}"/>
    <cellStyle name="Normal 7 2 8 2 3 3" xfId="59236" xr:uid="{00000000-0005-0000-0000-000068B70000}"/>
    <cellStyle name="Normal 7 2 8 2 4" xfId="33740" xr:uid="{00000000-0005-0000-0000-000069B70000}"/>
    <cellStyle name="Normal 7 2 8 2 4 2" xfId="59237" xr:uid="{00000000-0005-0000-0000-00006AB70000}"/>
    <cellStyle name="Normal 7 2 8 2 5" xfId="33741" xr:uid="{00000000-0005-0000-0000-00006BB70000}"/>
    <cellStyle name="Normal 7 2 8 2 6" xfId="33742" xr:uid="{00000000-0005-0000-0000-00006CB70000}"/>
    <cellStyle name="Normal 7 2 8 2 7" xfId="33743" xr:uid="{00000000-0005-0000-0000-00006DB70000}"/>
    <cellStyle name="Normal 7 2 8 3" xfId="33744" xr:uid="{00000000-0005-0000-0000-00006EB70000}"/>
    <cellStyle name="Normal 7 2 8 3 2" xfId="33745" xr:uid="{00000000-0005-0000-0000-00006FB70000}"/>
    <cellStyle name="Normal 7 2 8 3 2 2" xfId="59238" xr:uid="{00000000-0005-0000-0000-000070B70000}"/>
    <cellStyle name="Normal 7 2 8 3 2 3" xfId="59239" xr:uid="{00000000-0005-0000-0000-000071B70000}"/>
    <cellStyle name="Normal 7 2 8 3 3" xfId="33746" xr:uid="{00000000-0005-0000-0000-000072B70000}"/>
    <cellStyle name="Normal 7 2 8 3 3 2" xfId="59240" xr:uid="{00000000-0005-0000-0000-000073B70000}"/>
    <cellStyle name="Normal 7 2 8 3 4" xfId="33747" xr:uid="{00000000-0005-0000-0000-000074B70000}"/>
    <cellStyle name="Normal 7 2 8 3 5" xfId="33748" xr:uid="{00000000-0005-0000-0000-000075B70000}"/>
    <cellStyle name="Normal 7 2 8 3 6" xfId="33749" xr:uid="{00000000-0005-0000-0000-000076B70000}"/>
    <cellStyle name="Normal 7 2 8 4" xfId="33750" xr:uid="{00000000-0005-0000-0000-000077B70000}"/>
    <cellStyle name="Normal 7 2 8 4 2" xfId="59241" xr:uid="{00000000-0005-0000-0000-000078B70000}"/>
    <cellStyle name="Normal 7 2 8 4 3" xfId="59242" xr:uid="{00000000-0005-0000-0000-000079B70000}"/>
    <cellStyle name="Normal 7 2 8 5" xfId="33751" xr:uid="{00000000-0005-0000-0000-00007AB70000}"/>
    <cellStyle name="Normal 7 2 8 5 2" xfId="59243" xr:uid="{00000000-0005-0000-0000-00007BB70000}"/>
    <cellStyle name="Normal 7 2 8 6" xfId="33752" xr:uid="{00000000-0005-0000-0000-00007CB70000}"/>
    <cellStyle name="Normal 7 2 8 7" xfId="33753" xr:uid="{00000000-0005-0000-0000-00007DB70000}"/>
    <cellStyle name="Normal 7 2 8 8" xfId="33754" xr:uid="{00000000-0005-0000-0000-00007EB70000}"/>
    <cellStyle name="Normal 7 2 9" xfId="33755" xr:uid="{00000000-0005-0000-0000-00007FB70000}"/>
    <cellStyle name="Normal 7 2 9 2" xfId="33756" xr:uid="{00000000-0005-0000-0000-000080B70000}"/>
    <cellStyle name="Normal 7 2 9 2 2" xfId="33757" xr:uid="{00000000-0005-0000-0000-000081B70000}"/>
    <cellStyle name="Normal 7 2 9 2 2 2" xfId="33758" xr:uid="{00000000-0005-0000-0000-000082B70000}"/>
    <cellStyle name="Normal 7 2 9 2 2 2 2" xfId="59244" xr:uid="{00000000-0005-0000-0000-000083B70000}"/>
    <cellStyle name="Normal 7 2 9 2 2 2 3" xfId="59245" xr:uid="{00000000-0005-0000-0000-000084B70000}"/>
    <cellStyle name="Normal 7 2 9 2 2 3" xfId="33759" xr:uid="{00000000-0005-0000-0000-000085B70000}"/>
    <cellStyle name="Normal 7 2 9 2 2 3 2" xfId="59246" xr:uid="{00000000-0005-0000-0000-000086B70000}"/>
    <cellStyle name="Normal 7 2 9 2 2 4" xfId="33760" xr:uid="{00000000-0005-0000-0000-000087B70000}"/>
    <cellStyle name="Normal 7 2 9 2 2 5" xfId="33761" xr:uid="{00000000-0005-0000-0000-000088B70000}"/>
    <cellStyle name="Normal 7 2 9 2 2 6" xfId="33762" xr:uid="{00000000-0005-0000-0000-000089B70000}"/>
    <cellStyle name="Normal 7 2 9 2 3" xfId="33763" xr:uid="{00000000-0005-0000-0000-00008AB70000}"/>
    <cellStyle name="Normal 7 2 9 2 3 2" xfId="59247" xr:uid="{00000000-0005-0000-0000-00008BB70000}"/>
    <cellStyle name="Normal 7 2 9 2 3 3" xfId="59248" xr:uid="{00000000-0005-0000-0000-00008CB70000}"/>
    <cellStyle name="Normal 7 2 9 2 4" xfId="33764" xr:uid="{00000000-0005-0000-0000-00008DB70000}"/>
    <cellStyle name="Normal 7 2 9 2 4 2" xfId="59249" xr:uid="{00000000-0005-0000-0000-00008EB70000}"/>
    <cellStyle name="Normal 7 2 9 2 5" xfId="33765" xr:uid="{00000000-0005-0000-0000-00008FB70000}"/>
    <cellStyle name="Normal 7 2 9 2 6" xfId="33766" xr:uid="{00000000-0005-0000-0000-000090B70000}"/>
    <cellStyle name="Normal 7 2 9 2 7" xfId="33767" xr:uid="{00000000-0005-0000-0000-000091B70000}"/>
    <cellStyle name="Normal 7 2 9 3" xfId="33768" xr:uid="{00000000-0005-0000-0000-000092B70000}"/>
    <cellStyle name="Normal 7 2 9 3 2" xfId="33769" xr:uid="{00000000-0005-0000-0000-000093B70000}"/>
    <cellStyle name="Normal 7 2 9 3 2 2" xfId="59250" xr:uid="{00000000-0005-0000-0000-000094B70000}"/>
    <cellStyle name="Normal 7 2 9 3 2 3" xfId="59251" xr:uid="{00000000-0005-0000-0000-000095B70000}"/>
    <cellStyle name="Normal 7 2 9 3 3" xfId="33770" xr:uid="{00000000-0005-0000-0000-000096B70000}"/>
    <cellStyle name="Normal 7 2 9 3 3 2" xfId="59252" xr:uid="{00000000-0005-0000-0000-000097B70000}"/>
    <cellStyle name="Normal 7 2 9 3 4" xfId="33771" xr:uid="{00000000-0005-0000-0000-000098B70000}"/>
    <cellStyle name="Normal 7 2 9 3 5" xfId="33772" xr:uid="{00000000-0005-0000-0000-000099B70000}"/>
    <cellStyle name="Normal 7 2 9 3 6" xfId="33773" xr:uid="{00000000-0005-0000-0000-00009AB70000}"/>
    <cellStyle name="Normal 7 2 9 4" xfId="33774" xr:uid="{00000000-0005-0000-0000-00009BB70000}"/>
    <cellStyle name="Normal 7 2 9 4 2" xfId="59253" xr:uid="{00000000-0005-0000-0000-00009CB70000}"/>
    <cellStyle name="Normal 7 2 9 4 3" xfId="59254" xr:uid="{00000000-0005-0000-0000-00009DB70000}"/>
    <cellStyle name="Normal 7 2 9 5" xfId="33775" xr:uid="{00000000-0005-0000-0000-00009EB70000}"/>
    <cellStyle name="Normal 7 2 9 5 2" xfId="59255" xr:uid="{00000000-0005-0000-0000-00009FB70000}"/>
    <cellStyle name="Normal 7 2 9 6" xfId="33776" xr:uid="{00000000-0005-0000-0000-0000A0B70000}"/>
    <cellStyle name="Normal 7 2 9 7" xfId="33777" xr:uid="{00000000-0005-0000-0000-0000A1B70000}"/>
    <cellStyle name="Normal 7 2 9 8" xfId="33778" xr:uid="{00000000-0005-0000-0000-0000A2B70000}"/>
    <cellStyle name="Normal 7 20" xfId="33779" xr:uid="{00000000-0005-0000-0000-0000A3B70000}"/>
    <cellStyle name="Normal 7 21" xfId="33780" xr:uid="{00000000-0005-0000-0000-0000A4B70000}"/>
    <cellStyle name="Normal 7 22" xfId="33781" xr:uid="{00000000-0005-0000-0000-0000A5B70000}"/>
    <cellStyle name="Normal 7 3" xfId="33782" xr:uid="{00000000-0005-0000-0000-0000A6B70000}"/>
    <cellStyle name="Normal 7 3 10" xfId="33783" xr:uid="{00000000-0005-0000-0000-0000A7B70000}"/>
    <cellStyle name="Normal 7 3 10 2" xfId="33784" xr:uid="{00000000-0005-0000-0000-0000A8B70000}"/>
    <cellStyle name="Normal 7 3 10 2 2" xfId="33785" xr:uid="{00000000-0005-0000-0000-0000A9B70000}"/>
    <cellStyle name="Normal 7 3 10 2 2 2" xfId="59256" xr:uid="{00000000-0005-0000-0000-0000AAB70000}"/>
    <cellStyle name="Normal 7 3 10 2 2 3" xfId="59257" xr:uid="{00000000-0005-0000-0000-0000ABB70000}"/>
    <cellStyle name="Normal 7 3 10 2 3" xfId="33786" xr:uid="{00000000-0005-0000-0000-0000ACB70000}"/>
    <cellStyle name="Normal 7 3 10 2 3 2" xfId="59258" xr:uid="{00000000-0005-0000-0000-0000ADB70000}"/>
    <cellStyle name="Normal 7 3 10 2 4" xfId="33787" xr:uid="{00000000-0005-0000-0000-0000AEB70000}"/>
    <cellStyle name="Normal 7 3 10 2 5" xfId="33788" xr:uid="{00000000-0005-0000-0000-0000AFB70000}"/>
    <cellStyle name="Normal 7 3 10 2 6" xfId="33789" xr:uid="{00000000-0005-0000-0000-0000B0B70000}"/>
    <cellStyle name="Normal 7 3 10 3" xfId="33790" xr:uid="{00000000-0005-0000-0000-0000B1B70000}"/>
    <cellStyle name="Normal 7 3 10 3 2" xfId="59259" xr:uid="{00000000-0005-0000-0000-0000B2B70000}"/>
    <cellStyle name="Normal 7 3 10 3 3" xfId="59260" xr:uid="{00000000-0005-0000-0000-0000B3B70000}"/>
    <cellStyle name="Normal 7 3 10 4" xfId="33791" xr:uid="{00000000-0005-0000-0000-0000B4B70000}"/>
    <cellStyle name="Normal 7 3 10 4 2" xfId="59261" xr:uid="{00000000-0005-0000-0000-0000B5B70000}"/>
    <cellStyle name="Normal 7 3 10 5" xfId="33792" xr:uid="{00000000-0005-0000-0000-0000B6B70000}"/>
    <cellStyle name="Normal 7 3 10 6" xfId="33793" xr:uid="{00000000-0005-0000-0000-0000B7B70000}"/>
    <cellStyle name="Normal 7 3 10 7" xfId="33794" xr:uid="{00000000-0005-0000-0000-0000B8B70000}"/>
    <cellStyle name="Normal 7 3 11" xfId="33795" xr:uid="{00000000-0005-0000-0000-0000B9B70000}"/>
    <cellStyle name="Normal 7 3 11 2" xfId="33796" xr:uid="{00000000-0005-0000-0000-0000BAB70000}"/>
    <cellStyle name="Normal 7 3 11 2 2" xfId="59262" xr:uid="{00000000-0005-0000-0000-0000BBB70000}"/>
    <cellStyle name="Normal 7 3 11 2 3" xfId="59263" xr:uid="{00000000-0005-0000-0000-0000BCB70000}"/>
    <cellStyle name="Normal 7 3 11 3" xfId="33797" xr:uid="{00000000-0005-0000-0000-0000BDB70000}"/>
    <cellStyle name="Normal 7 3 11 3 2" xfId="59264" xr:uid="{00000000-0005-0000-0000-0000BEB70000}"/>
    <cellStyle name="Normal 7 3 11 4" xfId="33798" xr:uid="{00000000-0005-0000-0000-0000BFB70000}"/>
    <cellStyle name="Normal 7 3 11 5" xfId="33799" xr:uid="{00000000-0005-0000-0000-0000C0B70000}"/>
    <cellStyle name="Normal 7 3 11 6" xfId="33800" xr:uid="{00000000-0005-0000-0000-0000C1B70000}"/>
    <cellStyle name="Normal 7 3 12" xfId="33801" xr:uid="{00000000-0005-0000-0000-0000C2B70000}"/>
    <cellStyle name="Normal 7 3 12 2" xfId="59265" xr:uid="{00000000-0005-0000-0000-0000C3B70000}"/>
    <cellStyle name="Normal 7 3 12 3" xfId="59266" xr:uid="{00000000-0005-0000-0000-0000C4B70000}"/>
    <cellStyle name="Normal 7 3 13" xfId="33802" xr:uid="{00000000-0005-0000-0000-0000C5B70000}"/>
    <cellStyle name="Normal 7 3 13 2" xfId="59267" xr:uid="{00000000-0005-0000-0000-0000C6B70000}"/>
    <cellStyle name="Normal 7 3 14" xfId="33803" xr:uid="{00000000-0005-0000-0000-0000C7B70000}"/>
    <cellStyle name="Normal 7 3 14 2" xfId="59268" xr:uid="{00000000-0005-0000-0000-0000C8B70000}"/>
    <cellStyle name="Normal 7 3 15" xfId="33804" xr:uid="{00000000-0005-0000-0000-0000C9B70000}"/>
    <cellStyle name="Normal 7 3 16" xfId="33805" xr:uid="{00000000-0005-0000-0000-0000CAB70000}"/>
    <cellStyle name="Normal 7 3 17" xfId="33806" xr:uid="{00000000-0005-0000-0000-0000CBB70000}"/>
    <cellStyle name="Normal 7 3 18" xfId="33807" xr:uid="{00000000-0005-0000-0000-0000CCB70000}"/>
    <cellStyle name="Normal 7 3 19" xfId="33808" xr:uid="{00000000-0005-0000-0000-0000CDB70000}"/>
    <cellStyle name="Normal 7 3 2" xfId="33809" xr:uid="{00000000-0005-0000-0000-0000CEB70000}"/>
    <cellStyle name="Normal 7 3 2 10" xfId="33810" xr:uid="{00000000-0005-0000-0000-0000CFB70000}"/>
    <cellStyle name="Normal 7 3 2 11" xfId="33811" xr:uid="{00000000-0005-0000-0000-0000D0B70000}"/>
    <cellStyle name="Normal 7 3 2 12" xfId="33812" xr:uid="{00000000-0005-0000-0000-0000D1B70000}"/>
    <cellStyle name="Normal 7 3 2 13" xfId="33813" xr:uid="{00000000-0005-0000-0000-0000D2B70000}"/>
    <cellStyle name="Normal 7 3 2 14" xfId="33814" xr:uid="{00000000-0005-0000-0000-0000D3B70000}"/>
    <cellStyle name="Normal 7 3 2 15" xfId="33815" xr:uid="{00000000-0005-0000-0000-0000D4B70000}"/>
    <cellStyle name="Normal 7 3 2 16" xfId="33816" xr:uid="{00000000-0005-0000-0000-0000D5B70000}"/>
    <cellStyle name="Normal 7 3 2 2" xfId="33817" xr:uid="{00000000-0005-0000-0000-0000D6B70000}"/>
    <cellStyle name="Normal 7 3 2 2 10" xfId="33818" xr:uid="{00000000-0005-0000-0000-0000D7B70000}"/>
    <cellStyle name="Normal 7 3 2 2 11" xfId="33819" xr:uid="{00000000-0005-0000-0000-0000D8B70000}"/>
    <cellStyle name="Normal 7 3 2 2 12" xfId="33820" xr:uid="{00000000-0005-0000-0000-0000D9B70000}"/>
    <cellStyle name="Normal 7 3 2 2 13" xfId="33821" xr:uid="{00000000-0005-0000-0000-0000DAB70000}"/>
    <cellStyle name="Normal 7 3 2 2 14" xfId="33822" xr:uid="{00000000-0005-0000-0000-0000DBB70000}"/>
    <cellStyle name="Normal 7 3 2 2 2" xfId="33823" xr:uid="{00000000-0005-0000-0000-0000DCB70000}"/>
    <cellStyle name="Normal 7 3 2 2 2 2" xfId="33824" xr:uid="{00000000-0005-0000-0000-0000DDB70000}"/>
    <cellStyle name="Normal 7 3 2 2 2 2 2" xfId="33825" xr:uid="{00000000-0005-0000-0000-0000DEB70000}"/>
    <cellStyle name="Normal 7 3 2 2 2 2 2 2" xfId="33826" xr:uid="{00000000-0005-0000-0000-0000DFB70000}"/>
    <cellStyle name="Normal 7 3 2 2 2 2 2 2 2" xfId="59269" xr:uid="{00000000-0005-0000-0000-0000E0B70000}"/>
    <cellStyle name="Normal 7 3 2 2 2 2 2 2 3" xfId="59270" xr:uid="{00000000-0005-0000-0000-0000E1B70000}"/>
    <cellStyle name="Normal 7 3 2 2 2 2 2 3" xfId="33827" xr:uid="{00000000-0005-0000-0000-0000E2B70000}"/>
    <cellStyle name="Normal 7 3 2 2 2 2 2 3 2" xfId="59271" xr:uid="{00000000-0005-0000-0000-0000E3B70000}"/>
    <cellStyle name="Normal 7 3 2 2 2 2 2 4" xfId="33828" xr:uid="{00000000-0005-0000-0000-0000E4B70000}"/>
    <cellStyle name="Normal 7 3 2 2 2 2 2 5" xfId="33829" xr:uid="{00000000-0005-0000-0000-0000E5B70000}"/>
    <cellStyle name="Normal 7 3 2 2 2 2 2 6" xfId="33830" xr:uid="{00000000-0005-0000-0000-0000E6B70000}"/>
    <cellStyle name="Normal 7 3 2 2 2 2 3" xfId="33831" xr:uid="{00000000-0005-0000-0000-0000E7B70000}"/>
    <cellStyle name="Normal 7 3 2 2 2 2 3 2" xfId="59272" xr:uid="{00000000-0005-0000-0000-0000E8B70000}"/>
    <cellStyle name="Normal 7 3 2 2 2 2 3 3" xfId="59273" xr:uid="{00000000-0005-0000-0000-0000E9B70000}"/>
    <cellStyle name="Normal 7 3 2 2 2 2 4" xfId="33832" xr:uid="{00000000-0005-0000-0000-0000EAB70000}"/>
    <cellStyle name="Normal 7 3 2 2 2 2 4 2" xfId="59274" xr:uid="{00000000-0005-0000-0000-0000EBB70000}"/>
    <cellStyle name="Normal 7 3 2 2 2 2 5" xfId="33833" xr:uid="{00000000-0005-0000-0000-0000ECB70000}"/>
    <cellStyle name="Normal 7 3 2 2 2 2 6" xfId="33834" xr:uid="{00000000-0005-0000-0000-0000EDB70000}"/>
    <cellStyle name="Normal 7 3 2 2 2 2 7" xfId="33835" xr:uid="{00000000-0005-0000-0000-0000EEB70000}"/>
    <cellStyle name="Normal 7 3 2 2 2 3" xfId="33836" xr:uid="{00000000-0005-0000-0000-0000EFB70000}"/>
    <cellStyle name="Normal 7 3 2 2 2 3 2" xfId="33837" xr:uid="{00000000-0005-0000-0000-0000F0B70000}"/>
    <cellStyle name="Normal 7 3 2 2 2 3 2 2" xfId="59275" xr:uid="{00000000-0005-0000-0000-0000F1B70000}"/>
    <cellStyle name="Normal 7 3 2 2 2 3 2 3" xfId="59276" xr:uid="{00000000-0005-0000-0000-0000F2B70000}"/>
    <cellStyle name="Normal 7 3 2 2 2 3 3" xfId="33838" xr:uid="{00000000-0005-0000-0000-0000F3B70000}"/>
    <cellStyle name="Normal 7 3 2 2 2 3 3 2" xfId="59277" xr:uid="{00000000-0005-0000-0000-0000F4B70000}"/>
    <cellStyle name="Normal 7 3 2 2 2 3 4" xfId="33839" xr:uid="{00000000-0005-0000-0000-0000F5B70000}"/>
    <cellStyle name="Normal 7 3 2 2 2 3 5" xfId="33840" xr:uid="{00000000-0005-0000-0000-0000F6B70000}"/>
    <cellStyle name="Normal 7 3 2 2 2 3 6" xfId="33841" xr:uid="{00000000-0005-0000-0000-0000F7B70000}"/>
    <cellStyle name="Normal 7 3 2 2 2 4" xfId="33842" xr:uid="{00000000-0005-0000-0000-0000F8B70000}"/>
    <cellStyle name="Normal 7 3 2 2 2 4 2" xfId="59278" xr:uid="{00000000-0005-0000-0000-0000F9B70000}"/>
    <cellStyle name="Normal 7 3 2 2 2 4 3" xfId="59279" xr:uid="{00000000-0005-0000-0000-0000FAB70000}"/>
    <cellStyle name="Normal 7 3 2 2 2 5" xfId="33843" xr:uid="{00000000-0005-0000-0000-0000FBB70000}"/>
    <cellStyle name="Normal 7 3 2 2 2 5 2" xfId="59280" xr:uid="{00000000-0005-0000-0000-0000FCB70000}"/>
    <cellStyle name="Normal 7 3 2 2 2 6" xfId="33844" xr:uid="{00000000-0005-0000-0000-0000FDB70000}"/>
    <cellStyle name="Normal 7 3 2 2 2 7" xfId="33845" xr:uid="{00000000-0005-0000-0000-0000FEB70000}"/>
    <cellStyle name="Normal 7 3 2 2 2 8" xfId="33846" xr:uid="{00000000-0005-0000-0000-0000FFB70000}"/>
    <cellStyle name="Normal 7 3 2 2 2 9" xfId="33847" xr:uid="{00000000-0005-0000-0000-000000B80000}"/>
    <cellStyle name="Normal 7 3 2 2 3" xfId="33848" xr:uid="{00000000-0005-0000-0000-000001B80000}"/>
    <cellStyle name="Normal 7 3 2 2 3 2" xfId="33849" xr:uid="{00000000-0005-0000-0000-000002B80000}"/>
    <cellStyle name="Normal 7 3 2 2 3 2 2" xfId="33850" xr:uid="{00000000-0005-0000-0000-000003B80000}"/>
    <cellStyle name="Normal 7 3 2 2 3 2 2 2" xfId="33851" xr:uid="{00000000-0005-0000-0000-000004B80000}"/>
    <cellStyle name="Normal 7 3 2 2 3 2 2 2 2" xfId="59281" xr:uid="{00000000-0005-0000-0000-000005B80000}"/>
    <cellStyle name="Normal 7 3 2 2 3 2 2 2 3" xfId="59282" xr:uid="{00000000-0005-0000-0000-000006B80000}"/>
    <cellStyle name="Normal 7 3 2 2 3 2 2 3" xfId="33852" xr:uid="{00000000-0005-0000-0000-000007B80000}"/>
    <cellStyle name="Normal 7 3 2 2 3 2 2 3 2" xfId="59283" xr:uid="{00000000-0005-0000-0000-000008B80000}"/>
    <cellStyle name="Normal 7 3 2 2 3 2 2 4" xfId="33853" xr:uid="{00000000-0005-0000-0000-000009B80000}"/>
    <cellStyle name="Normal 7 3 2 2 3 2 2 5" xfId="33854" xr:uid="{00000000-0005-0000-0000-00000AB80000}"/>
    <cellStyle name="Normal 7 3 2 2 3 2 2 6" xfId="33855" xr:uid="{00000000-0005-0000-0000-00000BB80000}"/>
    <cellStyle name="Normal 7 3 2 2 3 2 3" xfId="33856" xr:uid="{00000000-0005-0000-0000-00000CB80000}"/>
    <cellStyle name="Normal 7 3 2 2 3 2 3 2" xfId="59284" xr:uid="{00000000-0005-0000-0000-00000DB80000}"/>
    <cellStyle name="Normal 7 3 2 2 3 2 3 3" xfId="59285" xr:uid="{00000000-0005-0000-0000-00000EB80000}"/>
    <cellStyle name="Normal 7 3 2 2 3 2 4" xfId="33857" xr:uid="{00000000-0005-0000-0000-00000FB80000}"/>
    <cellStyle name="Normal 7 3 2 2 3 2 4 2" xfId="59286" xr:uid="{00000000-0005-0000-0000-000010B80000}"/>
    <cellStyle name="Normal 7 3 2 2 3 2 5" xfId="33858" xr:uid="{00000000-0005-0000-0000-000011B80000}"/>
    <cellStyle name="Normal 7 3 2 2 3 2 6" xfId="33859" xr:uid="{00000000-0005-0000-0000-000012B80000}"/>
    <cellStyle name="Normal 7 3 2 2 3 2 7" xfId="33860" xr:uid="{00000000-0005-0000-0000-000013B80000}"/>
    <cellStyle name="Normal 7 3 2 2 3 3" xfId="33861" xr:uid="{00000000-0005-0000-0000-000014B80000}"/>
    <cellStyle name="Normal 7 3 2 2 3 3 2" xfId="33862" xr:uid="{00000000-0005-0000-0000-000015B80000}"/>
    <cellStyle name="Normal 7 3 2 2 3 3 2 2" xfId="59287" xr:uid="{00000000-0005-0000-0000-000016B80000}"/>
    <cellStyle name="Normal 7 3 2 2 3 3 2 3" xfId="59288" xr:uid="{00000000-0005-0000-0000-000017B80000}"/>
    <cellStyle name="Normal 7 3 2 2 3 3 3" xfId="33863" xr:uid="{00000000-0005-0000-0000-000018B80000}"/>
    <cellStyle name="Normal 7 3 2 2 3 3 3 2" xfId="59289" xr:uid="{00000000-0005-0000-0000-000019B80000}"/>
    <cellStyle name="Normal 7 3 2 2 3 3 4" xfId="33864" xr:uid="{00000000-0005-0000-0000-00001AB80000}"/>
    <cellStyle name="Normal 7 3 2 2 3 3 5" xfId="33865" xr:uid="{00000000-0005-0000-0000-00001BB80000}"/>
    <cellStyle name="Normal 7 3 2 2 3 3 6" xfId="33866" xr:uid="{00000000-0005-0000-0000-00001CB80000}"/>
    <cellStyle name="Normal 7 3 2 2 3 4" xfId="33867" xr:uid="{00000000-0005-0000-0000-00001DB80000}"/>
    <cellStyle name="Normal 7 3 2 2 3 4 2" xfId="59290" xr:uid="{00000000-0005-0000-0000-00001EB80000}"/>
    <cellStyle name="Normal 7 3 2 2 3 4 3" xfId="59291" xr:uid="{00000000-0005-0000-0000-00001FB80000}"/>
    <cellStyle name="Normal 7 3 2 2 3 5" xfId="33868" xr:uid="{00000000-0005-0000-0000-000020B80000}"/>
    <cellStyle name="Normal 7 3 2 2 3 5 2" xfId="59292" xr:uid="{00000000-0005-0000-0000-000021B80000}"/>
    <cellStyle name="Normal 7 3 2 2 3 6" xfId="33869" xr:uid="{00000000-0005-0000-0000-000022B80000}"/>
    <cellStyle name="Normal 7 3 2 2 3 7" xfId="33870" xr:uid="{00000000-0005-0000-0000-000023B80000}"/>
    <cellStyle name="Normal 7 3 2 2 3 8" xfId="33871" xr:uid="{00000000-0005-0000-0000-000024B80000}"/>
    <cellStyle name="Normal 7 3 2 2 4" xfId="33872" xr:uid="{00000000-0005-0000-0000-000025B80000}"/>
    <cellStyle name="Normal 7 3 2 2 4 2" xfId="33873" xr:uid="{00000000-0005-0000-0000-000026B80000}"/>
    <cellStyle name="Normal 7 3 2 2 4 2 2" xfId="33874" xr:uid="{00000000-0005-0000-0000-000027B80000}"/>
    <cellStyle name="Normal 7 3 2 2 4 2 2 2" xfId="59293" xr:uid="{00000000-0005-0000-0000-000028B80000}"/>
    <cellStyle name="Normal 7 3 2 2 4 2 2 3" xfId="59294" xr:uid="{00000000-0005-0000-0000-000029B80000}"/>
    <cellStyle name="Normal 7 3 2 2 4 2 3" xfId="33875" xr:uid="{00000000-0005-0000-0000-00002AB80000}"/>
    <cellStyle name="Normal 7 3 2 2 4 2 3 2" xfId="59295" xr:uid="{00000000-0005-0000-0000-00002BB80000}"/>
    <cellStyle name="Normal 7 3 2 2 4 2 4" xfId="33876" xr:uid="{00000000-0005-0000-0000-00002CB80000}"/>
    <cellStyle name="Normal 7 3 2 2 4 2 5" xfId="33877" xr:uid="{00000000-0005-0000-0000-00002DB80000}"/>
    <cellStyle name="Normal 7 3 2 2 4 2 6" xfId="33878" xr:uid="{00000000-0005-0000-0000-00002EB80000}"/>
    <cellStyle name="Normal 7 3 2 2 4 3" xfId="33879" xr:uid="{00000000-0005-0000-0000-00002FB80000}"/>
    <cellStyle name="Normal 7 3 2 2 4 3 2" xfId="59296" xr:uid="{00000000-0005-0000-0000-000030B80000}"/>
    <cellStyle name="Normal 7 3 2 2 4 3 3" xfId="59297" xr:uid="{00000000-0005-0000-0000-000031B80000}"/>
    <cellStyle name="Normal 7 3 2 2 4 4" xfId="33880" xr:uid="{00000000-0005-0000-0000-000032B80000}"/>
    <cellStyle name="Normal 7 3 2 2 4 4 2" xfId="59298" xr:uid="{00000000-0005-0000-0000-000033B80000}"/>
    <cellStyle name="Normal 7 3 2 2 4 5" xfId="33881" xr:uid="{00000000-0005-0000-0000-000034B80000}"/>
    <cellStyle name="Normal 7 3 2 2 4 6" xfId="33882" xr:uid="{00000000-0005-0000-0000-000035B80000}"/>
    <cellStyle name="Normal 7 3 2 2 4 7" xfId="33883" xr:uid="{00000000-0005-0000-0000-000036B80000}"/>
    <cellStyle name="Normal 7 3 2 2 5" xfId="33884" xr:uid="{00000000-0005-0000-0000-000037B80000}"/>
    <cellStyle name="Normal 7 3 2 2 5 2" xfId="33885" xr:uid="{00000000-0005-0000-0000-000038B80000}"/>
    <cellStyle name="Normal 7 3 2 2 5 2 2" xfId="59299" xr:uid="{00000000-0005-0000-0000-000039B80000}"/>
    <cellStyle name="Normal 7 3 2 2 5 2 3" xfId="59300" xr:uid="{00000000-0005-0000-0000-00003AB80000}"/>
    <cellStyle name="Normal 7 3 2 2 5 3" xfId="33886" xr:uid="{00000000-0005-0000-0000-00003BB80000}"/>
    <cellStyle name="Normal 7 3 2 2 5 3 2" xfId="59301" xr:uid="{00000000-0005-0000-0000-00003CB80000}"/>
    <cellStyle name="Normal 7 3 2 2 5 4" xfId="33887" xr:uid="{00000000-0005-0000-0000-00003DB80000}"/>
    <cellStyle name="Normal 7 3 2 2 5 5" xfId="33888" xr:uid="{00000000-0005-0000-0000-00003EB80000}"/>
    <cellStyle name="Normal 7 3 2 2 5 6" xfId="33889" xr:uid="{00000000-0005-0000-0000-00003FB80000}"/>
    <cellStyle name="Normal 7 3 2 2 6" xfId="33890" xr:uid="{00000000-0005-0000-0000-000040B80000}"/>
    <cellStyle name="Normal 7 3 2 2 6 2" xfId="59302" xr:uid="{00000000-0005-0000-0000-000041B80000}"/>
    <cellStyle name="Normal 7 3 2 2 6 3" xfId="59303" xr:uid="{00000000-0005-0000-0000-000042B80000}"/>
    <cellStyle name="Normal 7 3 2 2 7" xfId="33891" xr:uid="{00000000-0005-0000-0000-000043B80000}"/>
    <cellStyle name="Normal 7 3 2 2 7 2" xfId="59304" xr:uid="{00000000-0005-0000-0000-000044B80000}"/>
    <cellStyle name="Normal 7 3 2 2 8" xfId="33892" xr:uid="{00000000-0005-0000-0000-000045B80000}"/>
    <cellStyle name="Normal 7 3 2 2 9" xfId="33893" xr:uid="{00000000-0005-0000-0000-000046B80000}"/>
    <cellStyle name="Normal 7 3 2 3" xfId="33894" xr:uid="{00000000-0005-0000-0000-000047B80000}"/>
    <cellStyle name="Normal 7 3 2 3 2" xfId="33895" xr:uid="{00000000-0005-0000-0000-000048B80000}"/>
    <cellStyle name="Normal 7 3 2 3 2 2" xfId="33896" xr:uid="{00000000-0005-0000-0000-000049B80000}"/>
    <cellStyle name="Normal 7 3 2 3 2 2 2" xfId="33897" xr:uid="{00000000-0005-0000-0000-00004AB80000}"/>
    <cellStyle name="Normal 7 3 2 3 2 2 2 2" xfId="59305" xr:uid="{00000000-0005-0000-0000-00004BB80000}"/>
    <cellStyle name="Normal 7 3 2 3 2 2 2 3" xfId="59306" xr:uid="{00000000-0005-0000-0000-00004CB80000}"/>
    <cellStyle name="Normal 7 3 2 3 2 2 3" xfId="33898" xr:uid="{00000000-0005-0000-0000-00004DB80000}"/>
    <cellStyle name="Normal 7 3 2 3 2 2 3 2" xfId="59307" xr:uid="{00000000-0005-0000-0000-00004EB80000}"/>
    <cellStyle name="Normal 7 3 2 3 2 2 4" xfId="33899" xr:uid="{00000000-0005-0000-0000-00004FB80000}"/>
    <cellStyle name="Normal 7 3 2 3 2 2 5" xfId="33900" xr:uid="{00000000-0005-0000-0000-000050B80000}"/>
    <cellStyle name="Normal 7 3 2 3 2 2 6" xfId="33901" xr:uid="{00000000-0005-0000-0000-000051B80000}"/>
    <cellStyle name="Normal 7 3 2 3 2 3" xfId="33902" xr:uid="{00000000-0005-0000-0000-000052B80000}"/>
    <cellStyle name="Normal 7 3 2 3 2 3 2" xfId="59308" xr:uid="{00000000-0005-0000-0000-000053B80000}"/>
    <cellStyle name="Normal 7 3 2 3 2 3 3" xfId="59309" xr:uid="{00000000-0005-0000-0000-000054B80000}"/>
    <cellStyle name="Normal 7 3 2 3 2 4" xfId="33903" xr:uid="{00000000-0005-0000-0000-000055B80000}"/>
    <cellStyle name="Normal 7 3 2 3 2 4 2" xfId="59310" xr:uid="{00000000-0005-0000-0000-000056B80000}"/>
    <cellStyle name="Normal 7 3 2 3 2 5" xfId="33904" xr:uid="{00000000-0005-0000-0000-000057B80000}"/>
    <cellStyle name="Normal 7 3 2 3 2 6" xfId="33905" xr:uid="{00000000-0005-0000-0000-000058B80000}"/>
    <cellStyle name="Normal 7 3 2 3 2 7" xfId="33906" xr:uid="{00000000-0005-0000-0000-000059B80000}"/>
    <cellStyle name="Normal 7 3 2 3 3" xfId="33907" xr:uid="{00000000-0005-0000-0000-00005AB80000}"/>
    <cellStyle name="Normal 7 3 2 3 3 2" xfId="33908" xr:uid="{00000000-0005-0000-0000-00005BB80000}"/>
    <cellStyle name="Normal 7 3 2 3 3 2 2" xfId="59311" xr:uid="{00000000-0005-0000-0000-00005CB80000}"/>
    <cellStyle name="Normal 7 3 2 3 3 2 3" xfId="59312" xr:uid="{00000000-0005-0000-0000-00005DB80000}"/>
    <cellStyle name="Normal 7 3 2 3 3 3" xfId="33909" xr:uid="{00000000-0005-0000-0000-00005EB80000}"/>
    <cellStyle name="Normal 7 3 2 3 3 3 2" xfId="59313" xr:uid="{00000000-0005-0000-0000-00005FB80000}"/>
    <cellStyle name="Normal 7 3 2 3 3 4" xfId="33910" xr:uid="{00000000-0005-0000-0000-000060B80000}"/>
    <cellStyle name="Normal 7 3 2 3 3 5" xfId="33911" xr:uid="{00000000-0005-0000-0000-000061B80000}"/>
    <cellStyle name="Normal 7 3 2 3 3 6" xfId="33912" xr:uid="{00000000-0005-0000-0000-000062B80000}"/>
    <cellStyle name="Normal 7 3 2 3 4" xfId="33913" xr:uid="{00000000-0005-0000-0000-000063B80000}"/>
    <cellStyle name="Normal 7 3 2 3 4 2" xfId="59314" xr:uid="{00000000-0005-0000-0000-000064B80000}"/>
    <cellStyle name="Normal 7 3 2 3 4 3" xfId="59315" xr:uid="{00000000-0005-0000-0000-000065B80000}"/>
    <cellStyle name="Normal 7 3 2 3 5" xfId="33914" xr:uid="{00000000-0005-0000-0000-000066B80000}"/>
    <cellStyle name="Normal 7 3 2 3 5 2" xfId="59316" xr:uid="{00000000-0005-0000-0000-000067B80000}"/>
    <cellStyle name="Normal 7 3 2 3 6" xfId="33915" xr:uid="{00000000-0005-0000-0000-000068B80000}"/>
    <cellStyle name="Normal 7 3 2 3 7" xfId="33916" xr:uid="{00000000-0005-0000-0000-000069B80000}"/>
    <cellStyle name="Normal 7 3 2 3 8" xfId="33917" xr:uid="{00000000-0005-0000-0000-00006AB80000}"/>
    <cellStyle name="Normal 7 3 2 3 9" xfId="33918" xr:uid="{00000000-0005-0000-0000-00006BB80000}"/>
    <cellStyle name="Normal 7 3 2 4" xfId="33919" xr:uid="{00000000-0005-0000-0000-00006CB80000}"/>
    <cellStyle name="Normal 7 3 2 4 2" xfId="33920" xr:uid="{00000000-0005-0000-0000-00006DB80000}"/>
    <cellStyle name="Normal 7 3 2 4 2 2" xfId="33921" xr:uid="{00000000-0005-0000-0000-00006EB80000}"/>
    <cellStyle name="Normal 7 3 2 4 2 2 2" xfId="33922" xr:uid="{00000000-0005-0000-0000-00006FB80000}"/>
    <cellStyle name="Normal 7 3 2 4 2 2 2 2" xfId="59317" xr:uid="{00000000-0005-0000-0000-000070B80000}"/>
    <cellStyle name="Normal 7 3 2 4 2 2 2 3" xfId="59318" xr:uid="{00000000-0005-0000-0000-000071B80000}"/>
    <cellStyle name="Normal 7 3 2 4 2 2 3" xfId="33923" xr:uid="{00000000-0005-0000-0000-000072B80000}"/>
    <cellStyle name="Normal 7 3 2 4 2 2 3 2" xfId="59319" xr:uid="{00000000-0005-0000-0000-000073B80000}"/>
    <cellStyle name="Normal 7 3 2 4 2 2 4" xfId="33924" xr:uid="{00000000-0005-0000-0000-000074B80000}"/>
    <cellStyle name="Normal 7 3 2 4 2 2 5" xfId="33925" xr:uid="{00000000-0005-0000-0000-000075B80000}"/>
    <cellStyle name="Normal 7 3 2 4 2 2 6" xfId="33926" xr:uid="{00000000-0005-0000-0000-000076B80000}"/>
    <cellStyle name="Normal 7 3 2 4 2 3" xfId="33927" xr:uid="{00000000-0005-0000-0000-000077B80000}"/>
    <cellStyle name="Normal 7 3 2 4 2 3 2" xfId="59320" xr:uid="{00000000-0005-0000-0000-000078B80000}"/>
    <cellStyle name="Normal 7 3 2 4 2 3 3" xfId="59321" xr:uid="{00000000-0005-0000-0000-000079B80000}"/>
    <cellStyle name="Normal 7 3 2 4 2 4" xfId="33928" xr:uid="{00000000-0005-0000-0000-00007AB80000}"/>
    <cellStyle name="Normal 7 3 2 4 2 4 2" xfId="59322" xr:uid="{00000000-0005-0000-0000-00007BB80000}"/>
    <cellStyle name="Normal 7 3 2 4 2 5" xfId="33929" xr:uid="{00000000-0005-0000-0000-00007CB80000}"/>
    <cellStyle name="Normal 7 3 2 4 2 6" xfId="33930" xr:uid="{00000000-0005-0000-0000-00007DB80000}"/>
    <cellStyle name="Normal 7 3 2 4 2 7" xfId="33931" xr:uid="{00000000-0005-0000-0000-00007EB80000}"/>
    <cellStyle name="Normal 7 3 2 4 3" xfId="33932" xr:uid="{00000000-0005-0000-0000-00007FB80000}"/>
    <cellStyle name="Normal 7 3 2 4 3 2" xfId="33933" xr:uid="{00000000-0005-0000-0000-000080B80000}"/>
    <cellStyle name="Normal 7 3 2 4 3 2 2" xfId="59323" xr:uid="{00000000-0005-0000-0000-000081B80000}"/>
    <cellStyle name="Normal 7 3 2 4 3 2 3" xfId="59324" xr:uid="{00000000-0005-0000-0000-000082B80000}"/>
    <cellStyle name="Normal 7 3 2 4 3 3" xfId="33934" xr:uid="{00000000-0005-0000-0000-000083B80000}"/>
    <cellStyle name="Normal 7 3 2 4 3 3 2" xfId="59325" xr:uid="{00000000-0005-0000-0000-000084B80000}"/>
    <cellStyle name="Normal 7 3 2 4 3 4" xfId="33935" xr:uid="{00000000-0005-0000-0000-000085B80000}"/>
    <cellStyle name="Normal 7 3 2 4 3 5" xfId="33936" xr:uid="{00000000-0005-0000-0000-000086B80000}"/>
    <cellStyle name="Normal 7 3 2 4 3 6" xfId="33937" xr:uid="{00000000-0005-0000-0000-000087B80000}"/>
    <cellStyle name="Normal 7 3 2 4 4" xfId="33938" xr:uid="{00000000-0005-0000-0000-000088B80000}"/>
    <cellStyle name="Normal 7 3 2 4 4 2" xfId="59326" xr:uid="{00000000-0005-0000-0000-000089B80000}"/>
    <cellStyle name="Normal 7 3 2 4 4 3" xfId="59327" xr:uid="{00000000-0005-0000-0000-00008AB80000}"/>
    <cellStyle name="Normal 7 3 2 4 5" xfId="33939" xr:uid="{00000000-0005-0000-0000-00008BB80000}"/>
    <cellStyle name="Normal 7 3 2 4 5 2" xfId="59328" xr:uid="{00000000-0005-0000-0000-00008CB80000}"/>
    <cellStyle name="Normal 7 3 2 4 6" xfId="33940" xr:uid="{00000000-0005-0000-0000-00008DB80000}"/>
    <cellStyle name="Normal 7 3 2 4 7" xfId="33941" xr:uid="{00000000-0005-0000-0000-00008EB80000}"/>
    <cellStyle name="Normal 7 3 2 4 8" xfId="33942" xr:uid="{00000000-0005-0000-0000-00008FB80000}"/>
    <cellStyle name="Normal 7 3 2 5" xfId="33943" xr:uid="{00000000-0005-0000-0000-000090B80000}"/>
    <cellStyle name="Normal 7 3 2 5 2" xfId="33944" xr:uid="{00000000-0005-0000-0000-000091B80000}"/>
    <cellStyle name="Normal 7 3 2 5 2 2" xfId="33945" xr:uid="{00000000-0005-0000-0000-000092B80000}"/>
    <cellStyle name="Normal 7 3 2 5 2 2 2" xfId="59329" xr:uid="{00000000-0005-0000-0000-000093B80000}"/>
    <cellStyle name="Normal 7 3 2 5 2 2 3" xfId="59330" xr:uid="{00000000-0005-0000-0000-000094B80000}"/>
    <cellStyle name="Normal 7 3 2 5 2 3" xfId="33946" xr:uid="{00000000-0005-0000-0000-000095B80000}"/>
    <cellStyle name="Normal 7 3 2 5 2 3 2" xfId="59331" xr:uid="{00000000-0005-0000-0000-000096B80000}"/>
    <cellStyle name="Normal 7 3 2 5 2 4" xfId="33947" xr:uid="{00000000-0005-0000-0000-000097B80000}"/>
    <cellStyle name="Normal 7 3 2 5 2 5" xfId="33948" xr:uid="{00000000-0005-0000-0000-000098B80000}"/>
    <cellStyle name="Normal 7 3 2 5 2 6" xfId="33949" xr:uid="{00000000-0005-0000-0000-000099B80000}"/>
    <cellStyle name="Normal 7 3 2 5 3" xfId="33950" xr:uid="{00000000-0005-0000-0000-00009AB80000}"/>
    <cellStyle name="Normal 7 3 2 5 3 2" xfId="59332" xr:uid="{00000000-0005-0000-0000-00009BB80000}"/>
    <cellStyle name="Normal 7 3 2 5 3 3" xfId="59333" xr:uid="{00000000-0005-0000-0000-00009CB80000}"/>
    <cellStyle name="Normal 7 3 2 5 4" xfId="33951" xr:uid="{00000000-0005-0000-0000-00009DB80000}"/>
    <cellStyle name="Normal 7 3 2 5 4 2" xfId="59334" xr:uid="{00000000-0005-0000-0000-00009EB80000}"/>
    <cellStyle name="Normal 7 3 2 5 5" xfId="33952" xr:uid="{00000000-0005-0000-0000-00009FB80000}"/>
    <cellStyle name="Normal 7 3 2 5 6" xfId="33953" xr:uid="{00000000-0005-0000-0000-0000A0B80000}"/>
    <cellStyle name="Normal 7 3 2 5 7" xfId="33954" xr:uid="{00000000-0005-0000-0000-0000A1B80000}"/>
    <cellStyle name="Normal 7 3 2 6" xfId="33955" xr:uid="{00000000-0005-0000-0000-0000A2B80000}"/>
    <cellStyle name="Normal 7 3 2 6 2" xfId="33956" xr:uid="{00000000-0005-0000-0000-0000A3B80000}"/>
    <cellStyle name="Normal 7 3 2 6 2 2" xfId="59335" xr:uid="{00000000-0005-0000-0000-0000A4B80000}"/>
    <cellStyle name="Normal 7 3 2 6 2 3" xfId="59336" xr:uid="{00000000-0005-0000-0000-0000A5B80000}"/>
    <cellStyle name="Normal 7 3 2 6 3" xfId="33957" xr:uid="{00000000-0005-0000-0000-0000A6B80000}"/>
    <cellStyle name="Normal 7 3 2 6 3 2" xfId="59337" xr:uid="{00000000-0005-0000-0000-0000A7B80000}"/>
    <cellStyle name="Normal 7 3 2 6 4" xfId="33958" xr:uid="{00000000-0005-0000-0000-0000A8B80000}"/>
    <cellStyle name="Normal 7 3 2 6 5" xfId="33959" xr:uid="{00000000-0005-0000-0000-0000A9B80000}"/>
    <cellStyle name="Normal 7 3 2 6 6" xfId="33960" xr:uid="{00000000-0005-0000-0000-0000AAB80000}"/>
    <cellStyle name="Normal 7 3 2 7" xfId="33961" xr:uid="{00000000-0005-0000-0000-0000ABB80000}"/>
    <cellStyle name="Normal 7 3 2 7 2" xfId="59338" xr:uid="{00000000-0005-0000-0000-0000ACB80000}"/>
    <cellStyle name="Normal 7 3 2 7 3" xfId="59339" xr:uid="{00000000-0005-0000-0000-0000ADB80000}"/>
    <cellStyle name="Normal 7 3 2 8" xfId="33962" xr:uid="{00000000-0005-0000-0000-0000AEB80000}"/>
    <cellStyle name="Normal 7 3 2 8 2" xfId="59340" xr:uid="{00000000-0005-0000-0000-0000AFB80000}"/>
    <cellStyle name="Normal 7 3 2 9" xfId="33963" xr:uid="{00000000-0005-0000-0000-0000B0B80000}"/>
    <cellStyle name="Normal 7 3 2 9 2" xfId="59341" xr:uid="{00000000-0005-0000-0000-0000B1B80000}"/>
    <cellStyle name="Normal 7 3 20" xfId="33964" xr:uid="{00000000-0005-0000-0000-0000B2B80000}"/>
    <cellStyle name="Normal 7 3 3" xfId="33965" xr:uid="{00000000-0005-0000-0000-0000B3B80000}"/>
    <cellStyle name="Normal 7 3 3 10" xfId="33966" xr:uid="{00000000-0005-0000-0000-0000B4B80000}"/>
    <cellStyle name="Normal 7 3 3 11" xfId="33967" xr:uid="{00000000-0005-0000-0000-0000B5B80000}"/>
    <cellStyle name="Normal 7 3 3 12" xfId="33968" xr:uid="{00000000-0005-0000-0000-0000B6B80000}"/>
    <cellStyle name="Normal 7 3 3 13" xfId="33969" xr:uid="{00000000-0005-0000-0000-0000B7B80000}"/>
    <cellStyle name="Normal 7 3 3 14" xfId="33970" xr:uid="{00000000-0005-0000-0000-0000B8B80000}"/>
    <cellStyle name="Normal 7 3 3 15" xfId="33971" xr:uid="{00000000-0005-0000-0000-0000B9B80000}"/>
    <cellStyle name="Normal 7 3 3 2" xfId="33972" xr:uid="{00000000-0005-0000-0000-0000BAB80000}"/>
    <cellStyle name="Normal 7 3 3 2 10" xfId="33973" xr:uid="{00000000-0005-0000-0000-0000BBB80000}"/>
    <cellStyle name="Normal 7 3 3 2 11" xfId="33974" xr:uid="{00000000-0005-0000-0000-0000BCB80000}"/>
    <cellStyle name="Normal 7 3 3 2 12" xfId="33975" xr:uid="{00000000-0005-0000-0000-0000BDB80000}"/>
    <cellStyle name="Normal 7 3 3 2 13" xfId="33976" xr:uid="{00000000-0005-0000-0000-0000BEB80000}"/>
    <cellStyle name="Normal 7 3 3 2 14" xfId="33977" xr:uid="{00000000-0005-0000-0000-0000BFB80000}"/>
    <cellStyle name="Normal 7 3 3 2 2" xfId="33978" xr:uid="{00000000-0005-0000-0000-0000C0B80000}"/>
    <cellStyle name="Normal 7 3 3 2 2 2" xfId="33979" xr:uid="{00000000-0005-0000-0000-0000C1B80000}"/>
    <cellStyle name="Normal 7 3 3 2 2 2 2" xfId="33980" xr:uid="{00000000-0005-0000-0000-0000C2B80000}"/>
    <cellStyle name="Normal 7 3 3 2 2 2 2 2" xfId="33981" xr:uid="{00000000-0005-0000-0000-0000C3B80000}"/>
    <cellStyle name="Normal 7 3 3 2 2 2 2 2 2" xfId="59342" xr:uid="{00000000-0005-0000-0000-0000C4B80000}"/>
    <cellStyle name="Normal 7 3 3 2 2 2 2 2 3" xfId="59343" xr:uid="{00000000-0005-0000-0000-0000C5B80000}"/>
    <cellStyle name="Normal 7 3 3 2 2 2 2 3" xfId="33982" xr:uid="{00000000-0005-0000-0000-0000C6B80000}"/>
    <cellStyle name="Normal 7 3 3 2 2 2 2 3 2" xfId="59344" xr:uid="{00000000-0005-0000-0000-0000C7B80000}"/>
    <cellStyle name="Normal 7 3 3 2 2 2 2 4" xfId="33983" xr:uid="{00000000-0005-0000-0000-0000C8B80000}"/>
    <cellStyle name="Normal 7 3 3 2 2 2 2 5" xfId="33984" xr:uid="{00000000-0005-0000-0000-0000C9B80000}"/>
    <cellStyle name="Normal 7 3 3 2 2 2 2 6" xfId="33985" xr:uid="{00000000-0005-0000-0000-0000CAB80000}"/>
    <cellStyle name="Normal 7 3 3 2 2 2 3" xfId="33986" xr:uid="{00000000-0005-0000-0000-0000CBB80000}"/>
    <cellStyle name="Normal 7 3 3 2 2 2 3 2" xfId="59345" xr:uid="{00000000-0005-0000-0000-0000CCB80000}"/>
    <cellStyle name="Normal 7 3 3 2 2 2 3 3" xfId="59346" xr:uid="{00000000-0005-0000-0000-0000CDB80000}"/>
    <cellStyle name="Normal 7 3 3 2 2 2 4" xfId="33987" xr:uid="{00000000-0005-0000-0000-0000CEB80000}"/>
    <cellStyle name="Normal 7 3 3 2 2 2 4 2" xfId="59347" xr:uid="{00000000-0005-0000-0000-0000CFB80000}"/>
    <cellStyle name="Normal 7 3 3 2 2 2 5" xfId="33988" xr:uid="{00000000-0005-0000-0000-0000D0B80000}"/>
    <cellStyle name="Normal 7 3 3 2 2 2 6" xfId="33989" xr:uid="{00000000-0005-0000-0000-0000D1B80000}"/>
    <cellStyle name="Normal 7 3 3 2 2 2 7" xfId="33990" xr:uid="{00000000-0005-0000-0000-0000D2B80000}"/>
    <cellStyle name="Normal 7 3 3 2 2 3" xfId="33991" xr:uid="{00000000-0005-0000-0000-0000D3B80000}"/>
    <cellStyle name="Normal 7 3 3 2 2 3 2" xfId="33992" xr:uid="{00000000-0005-0000-0000-0000D4B80000}"/>
    <cellStyle name="Normal 7 3 3 2 2 3 2 2" xfId="59348" xr:uid="{00000000-0005-0000-0000-0000D5B80000}"/>
    <cellStyle name="Normal 7 3 3 2 2 3 2 3" xfId="59349" xr:uid="{00000000-0005-0000-0000-0000D6B80000}"/>
    <cellStyle name="Normal 7 3 3 2 2 3 3" xfId="33993" xr:uid="{00000000-0005-0000-0000-0000D7B80000}"/>
    <cellStyle name="Normal 7 3 3 2 2 3 3 2" xfId="59350" xr:uid="{00000000-0005-0000-0000-0000D8B80000}"/>
    <cellStyle name="Normal 7 3 3 2 2 3 4" xfId="33994" xr:uid="{00000000-0005-0000-0000-0000D9B80000}"/>
    <cellStyle name="Normal 7 3 3 2 2 3 5" xfId="33995" xr:uid="{00000000-0005-0000-0000-0000DAB80000}"/>
    <cellStyle name="Normal 7 3 3 2 2 3 6" xfId="33996" xr:uid="{00000000-0005-0000-0000-0000DBB80000}"/>
    <cellStyle name="Normal 7 3 3 2 2 4" xfId="33997" xr:uid="{00000000-0005-0000-0000-0000DCB80000}"/>
    <cellStyle name="Normal 7 3 3 2 2 4 2" xfId="59351" xr:uid="{00000000-0005-0000-0000-0000DDB80000}"/>
    <cellStyle name="Normal 7 3 3 2 2 4 3" xfId="59352" xr:uid="{00000000-0005-0000-0000-0000DEB80000}"/>
    <cellStyle name="Normal 7 3 3 2 2 5" xfId="33998" xr:uid="{00000000-0005-0000-0000-0000DFB80000}"/>
    <cellStyle name="Normal 7 3 3 2 2 5 2" xfId="59353" xr:uid="{00000000-0005-0000-0000-0000E0B80000}"/>
    <cellStyle name="Normal 7 3 3 2 2 6" xfId="33999" xr:uid="{00000000-0005-0000-0000-0000E1B80000}"/>
    <cellStyle name="Normal 7 3 3 2 2 7" xfId="34000" xr:uid="{00000000-0005-0000-0000-0000E2B80000}"/>
    <cellStyle name="Normal 7 3 3 2 2 8" xfId="34001" xr:uid="{00000000-0005-0000-0000-0000E3B80000}"/>
    <cellStyle name="Normal 7 3 3 2 2 9" xfId="34002" xr:uid="{00000000-0005-0000-0000-0000E4B80000}"/>
    <cellStyle name="Normal 7 3 3 2 3" xfId="34003" xr:uid="{00000000-0005-0000-0000-0000E5B80000}"/>
    <cellStyle name="Normal 7 3 3 2 3 2" xfId="34004" xr:uid="{00000000-0005-0000-0000-0000E6B80000}"/>
    <cellStyle name="Normal 7 3 3 2 3 2 2" xfId="34005" xr:uid="{00000000-0005-0000-0000-0000E7B80000}"/>
    <cellStyle name="Normal 7 3 3 2 3 2 2 2" xfId="34006" xr:uid="{00000000-0005-0000-0000-0000E8B80000}"/>
    <cellStyle name="Normal 7 3 3 2 3 2 2 2 2" xfId="59354" xr:uid="{00000000-0005-0000-0000-0000E9B80000}"/>
    <cellStyle name="Normal 7 3 3 2 3 2 2 2 3" xfId="59355" xr:uid="{00000000-0005-0000-0000-0000EAB80000}"/>
    <cellStyle name="Normal 7 3 3 2 3 2 2 3" xfId="34007" xr:uid="{00000000-0005-0000-0000-0000EBB80000}"/>
    <cellStyle name="Normal 7 3 3 2 3 2 2 3 2" xfId="59356" xr:uid="{00000000-0005-0000-0000-0000ECB80000}"/>
    <cellStyle name="Normal 7 3 3 2 3 2 2 4" xfId="34008" xr:uid="{00000000-0005-0000-0000-0000EDB80000}"/>
    <cellStyle name="Normal 7 3 3 2 3 2 2 5" xfId="34009" xr:uid="{00000000-0005-0000-0000-0000EEB80000}"/>
    <cellStyle name="Normal 7 3 3 2 3 2 2 6" xfId="34010" xr:uid="{00000000-0005-0000-0000-0000EFB80000}"/>
    <cellStyle name="Normal 7 3 3 2 3 2 3" xfId="34011" xr:uid="{00000000-0005-0000-0000-0000F0B80000}"/>
    <cellStyle name="Normal 7 3 3 2 3 2 3 2" xfId="59357" xr:uid="{00000000-0005-0000-0000-0000F1B80000}"/>
    <cellStyle name="Normal 7 3 3 2 3 2 3 3" xfId="59358" xr:uid="{00000000-0005-0000-0000-0000F2B80000}"/>
    <cellStyle name="Normal 7 3 3 2 3 2 4" xfId="34012" xr:uid="{00000000-0005-0000-0000-0000F3B80000}"/>
    <cellStyle name="Normal 7 3 3 2 3 2 4 2" xfId="59359" xr:uid="{00000000-0005-0000-0000-0000F4B80000}"/>
    <cellStyle name="Normal 7 3 3 2 3 2 5" xfId="34013" xr:uid="{00000000-0005-0000-0000-0000F5B80000}"/>
    <cellStyle name="Normal 7 3 3 2 3 2 6" xfId="34014" xr:uid="{00000000-0005-0000-0000-0000F6B80000}"/>
    <cellStyle name="Normal 7 3 3 2 3 2 7" xfId="34015" xr:uid="{00000000-0005-0000-0000-0000F7B80000}"/>
    <cellStyle name="Normal 7 3 3 2 3 3" xfId="34016" xr:uid="{00000000-0005-0000-0000-0000F8B80000}"/>
    <cellStyle name="Normal 7 3 3 2 3 3 2" xfId="34017" xr:uid="{00000000-0005-0000-0000-0000F9B80000}"/>
    <cellStyle name="Normal 7 3 3 2 3 3 2 2" xfId="59360" xr:uid="{00000000-0005-0000-0000-0000FAB80000}"/>
    <cellStyle name="Normal 7 3 3 2 3 3 2 3" xfId="59361" xr:uid="{00000000-0005-0000-0000-0000FBB80000}"/>
    <cellStyle name="Normal 7 3 3 2 3 3 3" xfId="34018" xr:uid="{00000000-0005-0000-0000-0000FCB80000}"/>
    <cellStyle name="Normal 7 3 3 2 3 3 3 2" xfId="59362" xr:uid="{00000000-0005-0000-0000-0000FDB80000}"/>
    <cellStyle name="Normal 7 3 3 2 3 3 4" xfId="34019" xr:uid="{00000000-0005-0000-0000-0000FEB80000}"/>
    <cellStyle name="Normal 7 3 3 2 3 3 5" xfId="34020" xr:uid="{00000000-0005-0000-0000-0000FFB80000}"/>
    <cellStyle name="Normal 7 3 3 2 3 3 6" xfId="34021" xr:uid="{00000000-0005-0000-0000-000000B90000}"/>
    <cellStyle name="Normal 7 3 3 2 3 4" xfId="34022" xr:uid="{00000000-0005-0000-0000-000001B90000}"/>
    <cellStyle name="Normal 7 3 3 2 3 4 2" xfId="59363" xr:uid="{00000000-0005-0000-0000-000002B90000}"/>
    <cellStyle name="Normal 7 3 3 2 3 4 3" xfId="59364" xr:uid="{00000000-0005-0000-0000-000003B90000}"/>
    <cellStyle name="Normal 7 3 3 2 3 5" xfId="34023" xr:uid="{00000000-0005-0000-0000-000004B90000}"/>
    <cellStyle name="Normal 7 3 3 2 3 5 2" xfId="59365" xr:uid="{00000000-0005-0000-0000-000005B90000}"/>
    <cellStyle name="Normal 7 3 3 2 3 6" xfId="34024" xr:uid="{00000000-0005-0000-0000-000006B90000}"/>
    <cellStyle name="Normal 7 3 3 2 3 7" xfId="34025" xr:uid="{00000000-0005-0000-0000-000007B90000}"/>
    <cellStyle name="Normal 7 3 3 2 3 8" xfId="34026" xr:uid="{00000000-0005-0000-0000-000008B90000}"/>
    <cellStyle name="Normal 7 3 3 2 4" xfId="34027" xr:uid="{00000000-0005-0000-0000-000009B90000}"/>
    <cellStyle name="Normal 7 3 3 2 4 2" xfId="34028" xr:uid="{00000000-0005-0000-0000-00000AB90000}"/>
    <cellStyle name="Normal 7 3 3 2 4 2 2" xfId="34029" xr:uid="{00000000-0005-0000-0000-00000BB90000}"/>
    <cellStyle name="Normal 7 3 3 2 4 2 2 2" xfId="59366" xr:uid="{00000000-0005-0000-0000-00000CB90000}"/>
    <cellStyle name="Normal 7 3 3 2 4 2 2 3" xfId="59367" xr:uid="{00000000-0005-0000-0000-00000DB90000}"/>
    <cellStyle name="Normal 7 3 3 2 4 2 3" xfId="34030" xr:uid="{00000000-0005-0000-0000-00000EB90000}"/>
    <cellStyle name="Normal 7 3 3 2 4 2 3 2" xfId="59368" xr:uid="{00000000-0005-0000-0000-00000FB90000}"/>
    <cellStyle name="Normal 7 3 3 2 4 2 4" xfId="34031" xr:uid="{00000000-0005-0000-0000-000010B90000}"/>
    <cellStyle name="Normal 7 3 3 2 4 2 5" xfId="34032" xr:uid="{00000000-0005-0000-0000-000011B90000}"/>
    <cellStyle name="Normal 7 3 3 2 4 2 6" xfId="34033" xr:uid="{00000000-0005-0000-0000-000012B90000}"/>
    <cellStyle name="Normal 7 3 3 2 4 3" xfId="34034" xr:uid="{00000000-0005-0000-0000-000013B90000}"/>
    <cellStyle name="Normal 7 3 3 2 4 3 2" xfId="59369" xr:uid="{00000000-0005-0000-0000-000014B90000}"/>
    <cellStyle name="Normal 7 3 3 2 4 3 3" xfId="59370" xr:uid="{00000000-0005-0000-0000-000015B90000}"/>
    <cellStyle name="Normal 7 3 3 2 4 4" xfId="34035" xr:uid="{00000000-0005-0000-0000-000016B90000}"/>
    <cellStyle name="Normal 7 3 3 2 4 4 2" xfId="59371" xr:uid="{00000000-0005-0000-0000-000017B90000}"/>
    <cellStyle name="Normal 7 3 3 2 4 5" xfId="34036" xr:uid="{00000000-0005-0000-0000-000018B90000}"/>
    <cellStyle name="Normal 7 3 3 2 4 6" xfId="34037" xr:uid="{00000000-0005-0000-0000-000019B90000}"/>
    <cellStyle name="Normal 7 3 3 2 4 7" xfId="34038" xr:uid="{00000000-0005-0000-0000-00001AB90000}"/>
    <cellStyle name="Normal 7 3 3 2 5" xfId="34039" xr:uid="{00000000-0005-0000-0000-00001BB90000}"/>
    <cellStyle name="Normal 7 3 3 2 5 2" xfId="34040" xr:uid="{00000000-0005-0000-0000-00001CB90000}"/>
    <cellStyle name="Normal 7 3 3 2 5 2 2" xfId="59372" xr:uid="{00000000-0005-0000-0000-00001DB90000}"/>
    <cellStyle name="Normal 7 3 3 2 5 2 3" xfId="59373" xr:uid="{00000000-0005-0000-0000-00001EB90000}"/>
    <cellStyle name="Normal 7 3 3 2 5 3" xfId="34041" xr:uid="{00000000-0005-0000-0000-00001FB90000}"/>
    <cellStyle name="Normal 7 3 3 2 5 3 2" xfId="59374" xr:uid="{00000000-0005-0000-0000-000020B90000}"/>
    <cellStyle name="Normal 7 3 3 2 5 4" xfId="34042" xr:uid="{00000000-0005-0000-0000-000021B90000}"/>
    <cellStyle name="Normal 7 3 3 2 5 5" xfId="34043" xr:uid="{00000000-0005-0000-0000-000022B90000}"/>
    <cellStyle name="Normal 7 3 3 2 5 6" xfId="34044" xr:uid="{00000000-0005-0000-0000-000023B90000}"/>
    <cellStyle name="Normal 7 3 3 2 6" xfId="34045" xr:uid="{00000000-0005-0000-0000-000024B90000}"/>
    <cellStyle name="Normal 7 3 3 2 6 2" xfId="59375" xr:uid="{00000000-0005-0000-0000-000025B90000}"/>
    <cellStyle name="Normal 7 3 3 2 6 3" xfId="59376" xr:uid="{00000000-0005-0000-0000-000026B90000}"/>
    <cellStyle name="Normal 7 3 3 2 7" xfId="34046" xr:uid="{00000000-0005-0000-0000-000027B90000}"/>
    <cellStyle name="Normal 7 3 3 2 7 2" xfId="59377" xr:uid="{00000000-0005-0000-0000-000028B90000}"/>
    <cellStyle name="Normal 7 3 3 2 8" xfId="34047" xr:uid="{00000000-0005-0000-0000-000029B90000}"/>
    <cellStyle name="Normal 7 3 3 2 9" xfId="34048" xr:uid="{00000000-0005-0000-0000-00002AB90000}"/>
    <cellStyle name="Normal 7 3 3 3" xfId="34049" xr:uid="{00000000-0005-0000-0000-00002BB90000}"/>
    <cellStyle name="Normal 7 3 3 3 2" xfId="34050" xr:uid="{00000000-0005-0000-0000-00002CB90000}"/>
    <cellStyle name="Normal 7 3 3 3 2 2" xfId="34051" xr:uid="{00000000-0005-0000-0000-00002DB90000}"/>
    <cellStyle name="Normal 7 3 3 3 2 2 2" xfId="34052" xr:uid="{00000000-0005-0000-0000-00002EB90000}"/>
    <cellStyle name="Normal 7 3 3 3 2 2 2 2" xfId="59378" xr:uid="{00000000-0005-0000-0000-00002FB90000}"/>
    <cellStyle name="Normal 7 3 3 3 2 2 2 3" xfId="59379" xr:uid="{00000000-0005-0000-0000-000030B90000}"/>
    <cellStyle name="Normal 7 3 3 3 2 2 3" xfId="34053" xr:uid="{00000000-0005-0000-0000-000031B90000}"/>
    <cellStyle name="Normal 7 3 3 3 2 2 3 2" xfId="59380" xr:uid="{00000000-0005-0000-0000-000032B90000}"/>
    <cellStyle name="Normal 7 3 3 3 2 2 4" xfId="34054" xr:uid="{00000000-0005-0000-0000-000033B90000}"/>
    <cellStyle name="Normal 7 3 3 3 2 2 5" xfId="34055" xr:uid="{00000000-0005-0000-0000-000034B90000}"/>
    <cellStyle name="Normal 7 3 3 3 2 2 6" xfId="34056" xr:uid="{00000000-0005-0000-0000-000035B90000}"/>
    <cellStyle name="Normal 7 3 3 3 2 3" xfId="34057" xr:uid="{00000000-0005-0000-0000-000036B90000}"/>
    <cellStyle name="Normal 7 3 3 3 2 3 2" xfId="59381" xr:uid="{00000000-0005-0000-0000-000037B90000}"/>
    <cellStyle name="Normal 7 3 3 3 2 3 3" xfId="59382" xr:uid="{00000000-0005-0000-0000-000038B90000}"/>
    <cellStyle name="Normal 7 3 3 3 2 4" xfId="34058" xr:uid="{00000000-0005-0000-0000-000039B90000}"/>
    <cellStyle name="Normal 7 3 3 3 2 4 2" xfId="59383" xr:uid="{00000000-0005-0000-0000-00003AB90000}"/>
    <cellStyle name="Normal 7 3 3 3 2 5" xfId="34059" xr:uid="{00000000-0005-0000-0000-00003BB90000}"/>
    <cellStyle name="Normal 7 3 3 3 2 6" xfId="34060" xr:uid="{00000000-0005-0000-0000-00003CB90000}"/>
    <cellStyle name="Normal 7 3 3 3 2 7" xfId="34061" xr:uid="{00000000-0005-0000-0000-00003DB90000}"/>
    <cellStyle name="Normal 7 3 3 3 3" xfId="34062" xr:uid="{00000000-0005-0000-0000-00003EB90000}"/>
    <cellStyle name="Normal 7 3 3 3 3 2" xfId="34063" xr:uid="{00000000-0005-0000-0000-00003FB90000}"/>
    <cellStyle name="Normal 7 3 3 3 3 2 2" xfId="59384" xr:uid="{00000000-0005-0000-0000-000040B90000}"/>
    <cellStyle name="Normal 7 3 3 3 3 2 3" xfId="59385" xr:uid="{00000000-0005-0000-0000-000041B90000}"/>
    <cellStyle name="Normal 7 3 3 3 3 3" xfId="34064" xr:uid="{00000000-0005-0000-0000-000042B90000}"/>
    <cellStyle name="Normal 7 3 3 3 3 3 2" xfId="59386" xr:uid="{00000000-0005-0000-0000-000043B90000}"/>
    <cellStyle name="Normal 7 3 3 3 3 4" xfId="34065" xr:uid="{00000000-0005-0000-0000-000044B90000}"/>
    <cellStyle name="Normal 7 3 3 3 3 5" xfId="34066" xr:uid="{00000000-0005-0000-0000-000045B90000}"/>
    <cellStyle name="Normal 7 3 3 3 3 6" xfId="34067" xr:uid="{00000000-0005-0000-0000-000046B90000}"/>
    <cellStyle name="Normal 7 3 3 3 4" xfId="34068" xr:uid="{00000000-0005-0000-0000-000047B90000}"/>
    <cellStyle name="Normal 7 3 3 3 4 2" xfId="59387" xr:uid="{00000000-0005-0000-0000-000048B90000}"/>
    <cellStyle name="Normal 7 3 3 3 4 3" xfId="59388" xr:uid="{00000000-0005-0000-0000-000049B90000}"/>
    <cellStyle name="Normal 7 3 3 3 5" xfId="34069" xr:uid="{00000000-0005-0000-0000-00004AB90000}"/>
    <cellStyle name="Normal 7 3 3 3 5 2" xfId="59389" xr:uid="{00000000-0005-0000-0000-00004BB90000}"/>
    <cellStyle name="Normal 7 3 3 3 6" xfId="34070" xr:uid="{00000000-0005-0000-0000-00004CB90000}"/>
    <cellStyle name="Normal 7 3 3 3 7" xfId="34071" xr:uid="{00000000-0005-0000-0000-00004DB90000}"/>
    <cellStyle name="Normal 7 3 3 3 8" xfId="34072" xr:uid="{00000000-0005-0000-0000-00004EB90000}"/>
    <cellStyle name="Normal 7 3 3 3 9" xfId="34073" xr:uid="{00000000-0005-0000-0000-00004FB90000}"/>
    <cellStyle name="Normal 7 3 3 4" xfId="34074" xr:uid="{00000000-0005-0000-0000-000050B90000}"/>
    <cellStyle name="Normal 7 3 3 4 2" xfId="34075" xr:uid="{00000000-0005-0000-0000-000051B90000}"/>
    <cellStyle name="Normal 7 3 3 4 2 2" xfId="34076" xr:uid="{00000000-0005-0000-0000-000052B90000}"/>
    <cellStyle name="Normal 7 3 3 4 2 2 2" xfId="34077" xr:uid="{00000000-0005-0000-0000-000053B90000}"/>
    <cellStyle name="Normal 7 3 3 4 2 2 2 2" xfId="59390" xr:uid="{00000000-0005-0000-0000-000054B90000}"/>
    <cellStyle name="Normal 7 3 3 4 2 2 2 3" xfId="59391" xr:uid="{00000000-0005-0000-0000-000055B90000}"/>
    <cellStyle name="Normal 7 3 3 4 2 2 3" xfId="34078" xr:uid="{00000000-0005-0000-0000-000056B90000}"/>
    <cellStyle name="Normal 7 3 3 4 2 2 3 2" xfId="59392" xr:uid="{00000000-0005-0000-0000-000057B90000}"/>
    <cellStyle name="Normal 7 3 3 4 2 2 4" xfId="34079" xr:uid="{00000000-0005-0000-0000-000058B90000}"/>
    <cellStyle name="Normal 7 3 3 4 2 2 5" xfId="34080" xr:uid="{00000000-0005-0000-0000-000059B90000}"/>
    <cellStyle name="Normal 7 3 3 4 2 2 6" xfId="34081" xr:uid="{00000000-0005-0000-0000-00005AB90000}"/>
    <cellStyle name="Normal 7 3 3 4 2 3" xfId="34082" xr:uid="{00000000-0005-0000-0000-00005BB90000}"/>
    <cellStyle name="Normal 7 3 3 4 2 3 2" xfId="59393" xr:uid="{00000000-0005-0000-0000-00005CB90000}"/>
    <cellStyle name="Normal 7 3 3 4 2 3 3" xfId="59394" xr:uid="{00000000-0005-0000-0000-00005DB90000}"/>
    <cellStyle name="Normal 7 3 3 4 2 4" xfId="34083" xr:uid="{00000000-0005-0000-0000-00005EB90000}"/>
    <cellStyle name="Normal 7 3 3 4 2 4 2" xfId="59395" xr:uid="{00000000-0005-0000-0000-00005FB90000}"/>
    <cellStyle name="Normal 7 3 3 4 2 5" xfId="34084" xr:uid="{00000000-0005-0000-0000-000060B90000}"/>
    <cellStyle name="Normal 7 3 3 4 2 6" xfId="34085" xr:uid="{00000000-0005-0000-0000-000061B90000}"/>
    <cellStyle name="Normal 7 3 3 4 2 7" xfId="34086" xr:uid="{00000000-0005-0000-0000-000062B90000}"/>
    <cellStyle name="Normal 7 3 3 4 3" xfId="34087" xr:uid="{00000000-0005-0000-0000-000063B90000}"/>
    <cellStyle name="Normal 7 3 3 4 3 2" xfId="34088" xr:uid="{00000000-0005-0000-0000-000064B90000}"/>
    <cellStyle name="Normal 7 3 3 4 3 2 2" xfId="59396" xr:uid="{00000000-0005-0000-0000-000065B90000}"/>
    <cellStyle name="Normal 7 3 3 4 3 2 3" xfId="59397" xr:uid="{00000000-0005-0000-0000-000066B90000}"/>
    <cellStyle name="Normal 7 3 3 4 3 3" xfId="34089" xr:uid="{00000000-0005-0000-0000-000067B90000}"/>
    <cellStyle name="Normal 7 3 3 4 3 3 2" xfId="59398" xr:uid="{00000000-0005-0000-0000-000068B90000}"/>
    <cellStyle name="Normal 7 3 3 4 3 4" xfId="34090" xr:uid="{00000000-0005-0000-0000-000069B90000}"/>
    <cellStyle name="Normal 7 3 3 4 3 5" xfId="34091" xr:uid="{00000000-0005-0000-0000-00006AB90000}"/>
    <cellStyle name="Normal 7 3 3 4 3 6" xfId="34092" xr:uid="{00000000-0005-0000-0000-00006BB90000}"/>
    <cellStyle name="Normal 7 3 3 4 4" xfId="34093" xr:uid="{00000000-0005-0000-0000-00006CB90000}"/>
    <cellStyle name="Normal 7 3 3 4 4 2" xfId="59399" xr:uid="{00000000-0005-0000-0000-00006DB90000}"/>
    <cellStyle name="Normal 7 3 3 4 4 3" xfId="59400" xr:uid="{00000000-0005-0000-0000-00006EB90000}"/>
    <cellStyle name="Normal 7 3 3 4 5" xfId="34094" xr:uid="{00000000-0005-0000-0000-00006FB90000}"/>
    <cellStyle name="Normal 7 3 3 4 5 2" xfId="59401" xr:uid="{00000000-0005-0000-0000-000070B90000}"/>
    <cellStyle name="Normal 7 3 3 4 6" xfId="34095" xr:uid="{00000000-0005-0000-0000-000071B90000}"/>
    <cellStyle name="Normal 7 3 3 4 7" xfId="34096" xr:uid="{00000000-0005-0000-0000-000072B90000}"/>
    <cellStyle name="Normal 7 3 3 4 8" xfId="34097" xr:uid="{00000000-0005-0000-0000-000073B90000}"/>
    <cellStyle name="Normal 7 3 3 5" xfId="34098" xr:uid="{00000000-0005-0000-0000-000074B90000}"/>
    <cellStyle name="Normal 7 3 3 5 2" xfId="34099" xr:uid="{00000000-0005-0000-0000-000075B90000}"/>
    <cellStyle name="Normal 7 3 3 5 2 2" xfId="34100" xr:uid="{00000000-0005-0000-0000-000076B90000}"/>
    <cellStyle name="Normal 7 3 3 5 2 2 2" xfId="59402" xr:uid="{00000000-0005-0000-0000-000077B90000}"/>
    <cellStyle name="Normal 7 3 3 5 2 2 3" xfId="59403" xr:uid="{00000000-0005-0000-0000-000078B90000}"/>
    <cellStyle name="Normal 7 3 3 5 2 3" xfId="34101" xr:uid="{00000000-0005-0000-0000-000079B90000}"/>
    <cellStyle name="Normal 7 3 3 5 2 3 2" xfId="59404" xr:uid="{00000000-0005-0000-0000-00007AB90000}"/>
    <cellStyle name="Normal 7 3 3 5 2 4" xfId="34102" xr:uid="{00000000-0005-0000-0000-00007BB90000}"/>
    <cellStyle name="Normal 7 3 3 5 2 5" xfId="34103" xr:uid="{00000000-0005-0000-0000-00007CB90000}"/>
    <cellStyle name="Normal 7 3 3 5 2 6" xfId="34104" xr:uid="{00000000-0005-0000-0000-00007DB90000}"/>
    <cellStyle name="Normal 7 3 3 5 3" xfId="34105" xr:uid="{00000000-0005-0000-0000-00007EB90000}"/>
    <cellStyle name="Normal 7 3 3 5 3 2" xfId="59405" xr:uid="{00000000-0005-0000-0000-00007FB90000}"/>
    <cellStyle name="Normal 7 3 3 5 3 3" xfId="59406" xr:uid="{00000000-0005-0000-0000-000080B90000}"/>
    <cellStyle name="Normal 7 3 3 5 4" xfId="34106" xr:uid="{00000000-0005-0000-0000-000081B90000}"/>
    <cellStyle name="Normal 7 3 3 5 4 2" xfId="59407" xr:uid="{00000000-0005-0000-0000-000082B90000}"/>
    <cellStyle name="Normal 7 3 3 5 5" xfId="34107" xr:uid="{00000000-0005-0000-0000-000083B90000}"/>
    <cellStyle name="Normal 7 3 3 5 6" xfId="34108" xr:uid="{00000000-0005-0000-0000-000084B90000}"/>
    <cellStyle name="Normal 7 3 3 5 7" xfId="34109" xr:uid="{00000000-0005-0000-0000-000085B90000}"/>
    <cellStyle name="Normal 7 3 3 6" xfId="34110" xr:uid="{00000000-0005-0000-0000-000086B90000}"/>
    <cellStyle name="Normal 7 3 3 6 2" xfId="34111" xr:uid="{00000000-0005-0000-0000-000087B90000}"/>
    <cellStyle name="Normal 7 3 3 6 2 2" xfId="59408" xr:uid="{00000000-0005-0000-0000-000088B90000}"/>
    <cellStyle name="Normal 7 3 3 6 2 3" xfId="59409" xr:uid="{00000000-0005-0000-0000-000089B90000}"/>
    <cellStyle name="Normal 7 3 3 6 3" xfId="34112" xr:uid="{00000000-0005-0000-0000-00008AB90000}"/>
    <cellStyle name="Normal 7 3 3 6 3 2" xfId="59410" xr:uid="{00000000-0005-0000-0000-00008BB90000}"/>
    <cellStyle name="Normal 7 3 3 6 4" xfId="34113" xr:uid="{00000000-0005-0000-0000-00008CB90000}"/>
    <cellStyle name="Normal 7 3 3 6 5" xfId="34114" xr:uid="{00000000-0005-0000-0000-00008DB90000}"/>
    <cellStyle name="Normal 7 3 3 6 6" xfId="34115" xr:uid="{00000000-0005-0000-0000-00008EB90000}"/>
    <cellStyle name="Normal 7 3 3 7" xfId="34116" xr:uid="{00000000-0005-0000-0000-00008FB90000}"/>
    <cellStyle name="Normal 7 3 3 7 2" xfId="59411" xr:uid="{00000000-0005-0000-0000-000090B90000}"/>
    <cellStyle name="Normal 7 3 3 7 3" xfId="59412" xr:uid="{00000000-0005-0000-0000-000091B90000}"/>
    <cellStyle name="Normal 7 3 3 8" xfId="34117" xr:uid="{00000000-0005-0000-0000-000092B90000}"/>
    <cellStyle name="Normal 7 3 3 8 2" xfId="59413" xr:uid="{00000000-0005-0000-0000-000093B90000}"/>
    <cellStyle name="Normal 7 3 3 9" xfId="34118" xr:uid="{00000000-0005-0000-0000-000094B90000}"/>
    <cellStyle name="Normal 7 3 4" xfId="34119" xr:uid="{00000000-0005-0000-0000-000095B90000}"/>
    <cellStyle name="Normal 7 3 4 10" xfId="34120" xr:uid="{00000000-0005-0000-0000-000096B90000}"/>
    <cellStyle name="Normal 7 3 4 11" xfId="34121" xr:uid="{00000000-0005-0000-0000-000097B90000}"/>
    <cellStyle name="Normal 7 3 4 12" xfId="34122" xr:uid="{00000000-0005-0000-0000-000098B90000}"/>
    <cellStyle name="Normal 7 3 4 13" xfId="34123" xr:uid="{00000000-0005-0000-0000-000099B90000}"/>
    <cellStyle name="Normal 7 3 4 14" xfId="34124" xr:uid="{00000000-0005-0000-0000-00009AB90000}"/>
    <cellStyle name="Normal 7 3 4 2" xfId="34125" xr:uid="{00000000-0005-0000-0000-00009BB90000}"/>
    <cellStyle name="Normal 7 3 4 2 2" xfId="34126" xr:uid="{00000000-0005-0000-0000-00009CB90000}"/>
    <cellStyle name="Normal 7 3 4 2 2 2" xfId="34127" xr:uid="{00000000-0005-0000-0000-00009DB90000}"/>
    <cellStyle name="Normal 7 3 4 2 2 2 2" xfId="34128" xr:uid="{00000000-0005-0000-0000-00009EB90000}"/>
    <cellStyle name="Normal 7 3 4 2 2 2 2 2" xfId="59414" xr:uid="{00000000-0005-0000-0000-00009FB90000}"/>
    <cellStyle name="Normal 7 3 4 2 2 2 2 3" xfId="59415" xr:uid="{00000000-0005-0000-0000-0000A0B90000}"/>
    <cellStyle name="Normal 7 3 4 2 2 2 3" xfId="34129" xr:uid="{00000000-0005-0000-0000-0000A1B90000}"/>
    <cellStyle name="Normal 7 3 4 2 2 2 3 2" xfId="59416" xr:uid="{00000000-0005-0000-0000-0000A2B90000}"/>
    <cellStyle name="Normal 7 3 4 2 2 2 4" xfId="34130" xr:uid="{00000000-0005-0000-0000-0000A3B90000}"/>
    <cellStyle name="Normal 7 3 4 2 2 2 5" xfId="34131" xr:uid="{00000000-0005-0000-0000-0000A4B90000}"/>
    <cellStyle name="Normal 7 3 4 2 2 2 6" xfId="34132" xr:uid="{00000000-0005-0000-0000-0000A5B90000}"/>
    <cellStyle name="Normal 7 3 4 2 2 3" xfId="34133" xr:uid="{00000000-0005-0000-0000-0000A6B90000}"/>
    <cellStyle name="Normal 7 3 4 2 2 3 2" xfId="59417" xr:uid="{00000000-0005-0000-0000-0000A7B90000}"/>
    <cellStyle name="Normal 7 3 4 2 2 3 3" xfId="59418" xr:uid="{00000000-0005-0000-0000-0000A8B90000}"/>
    <cellStyle name="Normal 7 3 4 2 2 4" xfId="34134" xr:uid="{00000000-0005-0000-0000-0000A9B90000}"/>
    <cellStyle name="Normal 7 3 4 2 2 4 2" xfId="59419" xr:uid="{00000000-0005-0000-0000-0000AAB90000}"/>
    <cellStyle name="Normal 7 3 4 2 2 5" xfId="34135" xr:uid="{00000000-0005-0000-0000-0000ABB90000}"/>
    <cellStyle name="Normal 7 3 4 2 2 6" xfId="34136" xr:uid="{00000000-0005-0000-0000-0000ACB90000}"/>
    <cellStyle name="Normal 7 3 4 2 2 7" xfId="34137" xr:uid="{00000000-0005-0000-0000-0000ADB90000}"/>
    <cellStyle name="Normal 7 3 4 2 3" xfId="34138" xr:uid="{00000000-0005-0000-0000-0000AEB90000}"/>
    <cellStyle name="Normal 7 3 4 2 3 2" xfId="34139" xr:uid="{00000000-0005-0000-0000-0000AFB90000}"/>
    <cellStyle name="Normal 7 3 4 2 3 2 2" xfId="59420" xr:uid="{00000000-0005-0000-0000-0000B0B90000}"/>
    <cellStyle name="Normal 7 3 4 2 3 2 3" xfId="59421" xr:uid="{00000000-0005-0000-0000-0000B1B90000}"/>
    <cellStyle name="Normal 7 3 4 2 3 3" xfId="34140" xr:uid="{00000000-0005-0000-0000-0000B2B90000}"/>
    <cellStyle name="Normal 7 3 4 2 3 3 2" xfId="59422" xr:uid="{00000000-0005-0000-0000-0000B3B90000}"/>
    <cellStyle name="Normal 7 3 4 2 3 4" xfId="34141" xr:uid="{00000000-0005-0000-0000-0000B4B90000}"/>
    <cellStyle name="Normal 7 3 4 2 3 5" xfId="34142" xr:uid="{00000000-0005-0000-0000-0000B5B90000}"/>
    <cellStyle name="Normal 7 3 4 2 3 6" xfId="34143" xr:uid="{00000000-0005-0000-0000-0000B6B90000}"/>
    <cellStyle name="Normal 7 3 4 2 4" xfId="34144" xr:uid="{00000000-0005-0000-0000-0000B7B90000}"/>
    <cellStyle name="Normal 7 3 4 2 4 2" xfId="59423" xr:uid="{00000000-0005-0000-0000-0000B8B90000}"/>
    <cellStyle name="Normal 7 3 4 2 4 3" xfId="59424" xr:uid="{00000000-0005-0000-0000-0000B9B90000}"/>
    <cellStyle name="Normal 7 3 4 2 5" xfId="34145" xr:uid="{00000000-0005-0000-0000-0000BAB90000}"/>
    <cellStyle name="Normal 7 3 4 2 5 2" xfId="59425" xr:uid="{00000000-0005-0000-0000-0000BBB90000}"/>
    <cellStyle name="Normal 7 3 4 2 6" xfId="34146" xr:uid="{00000000-0005-0000-0000-0000BCB90000}"/>
    <cellStyle name="Normal 7 3 4 2 7" xfId="34147" xr:uid="{00000000-0005-0000-0000-0000BDB90000}"/>
    <cellStyle name="Normal 7 3 4 2 8" xfId="34148" xr:uid="{00000000-0005-0000-0000-0000BEB90000}"/>
    <cellStyle name="Normal 7 3 4 2 9" xfId="34149" xr:uid="{00000000-0005-0000-0000-0000BFB90000}"/>
    <cellStyle name="Normal 7 3 4 3" xfId="34150" xr:uid="{00000000-0005-0000-0000-0000C0B90000}"/>
    <cellStyle name="Normal 7 3 4 3 2" xfId="34151" xr:uid="{00000000-0005-0000-0000-0000C1B90000}"/>
    <cellStyle name="Normal 7 3 4 3 2 2" xfId="34152" xr:uid="{00000000-0005-0000-0000-0000C2B90000}"/>
    <cellStyle name="Normal 7 3 4 3 2 2 2" xfId="34153" xr:uid="{00000000-0005-0000-0000-0000C3B90000}"/>
    <cellStyle name="Normal 7 3 4 3 2 2 2 2" xfId="59426" xr:uid="{00000000-0005-0000-0000-0000C4B90000}"/>
    <cellStyle name="Normal 7 3 4 3 2 2 2 3" xfId="59427" xr:uid="{00000000-0005-0000-0000-0000C5B90000}"/>
    <cellStyle name="Normal 7 3 4 3 2 2 3" xfId="34154" xr:uid="{00000000-0005-0000-0000-0000C6B90000}"/>
    <cellStyle name="Normal 7 3 4 3 2 2 3 2" xfId="59428" xr:uid="{00000000-0005-0000-0000-0000C7B90000}"/>
    <cellStyle name="Normal 7 3 4 3 2 2 4" xfId="34155" xr:uid="{00000000-0005-0000-0000-0000C8B90000}"/>
    <cellStyle name="Normal 7 3 4 3 2 2 5" xfId="34156" xr:uid="{00000000-0005-0000-0000-0000C9B90000}"/>
    <cellStyle name="Normal 7 3 4 3 2 2 6" xfId="34157" xr:uid="{00000000-0005-0000-0000-0000CAB90000}"/>
    <cellStyle name="Normal 7 3 4 3 2 3" xfId="34158" xr:uid="{00000000-0005-0000-0000-0000CBB90000}"/>
    <cellStyle name="Normal 7 3 4 3 2 3 2" xfId="59429" xr:uid="{00000000-0005-0000-0000-0000CCB90000}"/>
    <cellStyle name="Normal 7 3 4 3 2 3 3" xfId="59430" xr:uid="{00000000-0005-0000-0000-0000CDB90000}"/>
    <cellStyle name="Normal 7 3 4 3 2 4" xfId="34159" xr:uid="{00000000-0005-0000-0000-0000CEB90000}"/>
    <cellStyle name="Normal 7 3 4 3 2 4 2" xfId="59431" xr:uid="{00000000-0005-0000-0000-0000CFB90000}"/>
    <cellStyle name="Normal 7 3 4 3 2 5" xfId="34160" xr:uid="{00000000-0005-0000-0000-0000D0B90000}"/>
    <cellStyle name="Normal 7 3 4 3 2 6" xfId="34161" xr:uid="{00000000-0005-0000-0000-0000D1B90000}"/>
    <cellStyle name="Normal 7 3 4 3 2 7" xfId="34162" xr:uid="{00000000-0005-0000-0000-0000D2B90000}"/>
    <cellStyle name="Normal 7 3 4 3 3" xfId="34163" xr:uid="{00000000-0005-0000-0000-0000D3B90000}"/>
    <cellStyle name="Normal 7 3 4 3 3 2" xfId="34164" xr:uid="{00000000-0005-0000-0000-0000D4B90000}"/>
    <cellStyle name="Normal 7 3 4 3 3 2 2" xfId="59432" xr:uid="{00000000-0005-0000-0000-0000D5B90000}"/>
    <cellStyle name="Normal 7 3 4 3 3 2 3" xfId="59433" xr:uid="{00000000-0005-0000-0000-0000D6B90000}"/>
    <cellStyle name="Normal 7 3 4 3 3 3" xfId="34165" xr:uid="{00000000-0005-0000-0000-0000D7B90000}"/>
    <cellStyle name="Normal 7 3 4 3 3 3 2" xfId="59434" xr:uid="{00000000-0005-0000-0000-0000D8B90000}"/>
    <cellStyle name="Normal 7 3 4 3 3 4" xfId="34166" xr:uid="{00000000-0005-0000-0000-0000D9B90000}"/>
    <cellStyle name="Normal 7 3 4 3 3 5" xfId="34167" xr:uid="{00000000-0005-0000-0000-0000DAB90000}"/>
    <cellStyle name="Normal 7 3 4 3 3 6" xfId="34168" xr:uid="{00000000-0005-0000-0000-0000DBB90000}"/>
    <cellStyle name="Normal 7 3 4 3 4" xfId="34169" xr:uid="{00000000-0005-0000-0000-0000DCB90000}"/>
    <cellStyle name="Normal 7 3 4 3 4 2" xfId="59435" xr:uid="{00000000-0005-0000-0000-0000DDB90000}"/>
    <cellStyle name="Normal 7 3 4 3 4 3" xfId="59436" xr:uid="{00000000-0005-0000-0000-0000DEB90000}"/>
    <cellStyle name="Normal 7 3 4 3 5" xfId="34170" xr:uid="{00000000-0005-0000-0000-0000DFB90000}"/>
    <cellStyle name="Normal 7 3 4 3 5 2" xfId="59437" xr:uid="{00000000-0005-0000-0000-0000E0B90000}"/>
    <cellStyle name="Normal 7 3 4 3 6" xfId="34171" xr:uid="{00000000-0005-0000-0000-0000E1B90000}"/>
    <cellStyle name="Normal 7 3 4 3 7" xfId="34172" xr:uid="{00000000-0005-0000-0000-0000E2B90000}"/>
    <cellStyle name="Normal 7 3 4 3 8" xfId="34173" xr:uid="{00000000-0005-0000-0000-0000E3B90000}"/>
    <cellStyle name="Normal 7 3 4 4" xfId="34174" xr:uid="{00000000-0005-0000-0000-0000E4B90000}"/>
    <cellStyle name="Normal 7 3 4 4 2" xfId="34175" xr:uid="{00000000-0005-0000-0000-0000E5B90000}"/>
    <cellStyle name="Normal 7 3 4 4 2 2" xfId="34176" xr:uid="{00000000-0005-0000-0000-0000E6B90000}"/>
    <cellStyle name="Normal 7 3 4 4 2 2 2" xfId="59438" xr:uid="{00000000-0005-0000-0000-0000E7B90000}"/>
    <cellStyle name="Normal 7 3 4 4 2 2 3" xfId="59439" xr:uid="{00000000-0005-0000-0000-0000E8B90000}"/>
    <cellStyle name="Normal 7 3 4 4 2 3" xfId="34177" xr:uid="{00000000-0005-0000-0000-0000E9B90000}"/>
    <cellStyle name="Normal 7 3 4 4 2 3 2" xfId="59440" xr:uid="{00000000-0005-0000-0000-0000EAB90000}"/>
    <cellStyle name="Normal 7 3 4 4 2 4" xfId="34178" xr:uid="{00000000-0005-0000-0000-0000EBB90000}"/>
    <cellStyle name="Normal 7 3 4 4 2 5" xfId="34179" xr:uid="{00000000-0005-0000-0000-0000ECB90000}"/>
    <cellStyle name="Normal 7 3 4 4 2 6" xfId="34180" xr:uid="{00000000-0005-0000-0000-0000EDB90000}"/>
    <cellStyle name="Normal 7 3 4 4 3" xfId="34181" xr:uid="{00000000-0005-0000-0000-0000EEB90000}"/>
    <cellStyle name="Normal 7 3 4 4 3 2" xfId="59441" xr:uid="{00000000-0005-0000-0000-0000EFB90000}"/>
    <cellStyle name="Normal 7 3 4 4 3 3" xfId="59442" xr:uid="{00000000-0005-0000-0000-0000F0B90000}"/>
    <cellStyle name="Normal 7 3 4 4 4" xfId="34182" xr:uid="{00000000-0005-0000-0000-0000F1B90000}"/>
    <cellStyle name="Normal 7 3 4 4 4 2" xfId="59443" xr:uid="{00000000-0005-0000-0000-0000F2B90000}"/>
    <cellStyle name="Normal 7 3 4 4 5" xfId="34183" xr:uid="{00000000-0005-0000-0000-0000F3B90000}"/>
    <cellStyle name="Normal 7 3 4 4 6" xfId="34184" xr:uid="{00000000-0005-0000-0000-0000F4B90000}"/>
    <cellStyle name="Normal 7 3 4 4 7" xfId="34185" xr:uid="{00000000-0005-0000-0000-0000F5B90000}"/>
    <cellStyle name="Normal 7 3 4 5" xfId="34186" xr:uid="{00000000-0005-0000-0000-0000F6B90000}"/>
    <cellStyle name="Normal 7 3 4 5 2" xfId="34187" xr:uid="{00000000-0005-0000-0000-0000F7B90000}"/>
    <cellStyle name="Normal 7 3 4 5 2 2" xfId="59444" xr:uid="{00000000-0005-0000-0000-0000F8B90000}"/>
    <cellStyle name="Normal 7 3 4 5 2 3" xfId="59445" xr:uid="{00000000-0005-0000-0000-0000F9B90000}"/>
    <cellStyle name="Normal 7 3 4 5 3" xfId="34188" xr:uid="{00000000-0005-0000-0000-0000FAB90000}"/>
    <cellStyle name="Normal 7 3 4 5 3 2" xfId="59446" xr:uid="{00000000-0005-0000-0000-0000FBB90000}"/>
    <cellStyle name="Normal 7 3 4 5 4" xfId="34189" xr:uid="{00000000-0005-0000-0000-0000FCB90000}"/>
    <cellStyle name="Normal 7 3 4 5 5" xfId="34190" xr:uid="{00000000-0005-0000-0000-0000FDB90000}"/>
    <cellStyle name="Normal 7 3 4 5 6" xfId="34191" xr:uid="{00000000-0005-0000-0000-0000FEB90000}"/>
    <cellStyle name="Normal 7 3 4 6" xfId="34192" xr:uid="{00000000-0005-0000-0000-0000FFB90000}"/>
    <cellStyle name="Normal 7 3 4 6 2" xfId="59447" xr:uid="{00000000-0005-0000-0000-000000BA0000}"/>
    <cellStyle name="Normal 7 3 4 6 3" xfId="59448" xr:uid="{00000000-0005-0000-0000-000001BA0000}"/>
    <cellStyle name="Normal 7 3 4 7" xfId="34193" xr:uid="{00000000-0005-0000-0000-000002BA0000}"/>
    <cellStyle name="Normal 7 3 4 7 2" xfId="59449" xr:uid="{00000000-0005-0000-0000-000003BA0000}"/>
    <cellStyle name="Normal 7 3 4 8" xfId="34194" xr:uid="{00000000-0005-0000-0000-000004BA0000}"/>
    <cellStyle name="Normal 7 3 4 9" xfId="34195" xr:uid="{00000000-0005-0000-0000-000005BA0000}"/>
    <cellStyle name="Normal 7 3 5" xfId="34196" xr:uid="{00000000-0005-0000-0000-000006BA0000}"/>
    <cellStyle name="Normal 7 3 5 10" xfId="34197" xr:uid="{00000000-0005-0000-0000-000007BA0000}"/>
    <cellStyle name="Normal 7 3 5 11" xfId="34198" xr:uid="{00000000-0005-0000-0000-000008BA0000}"/>
    <cellStyle name="Normal 7 3 5 12" xfId="34199" xr:uid="{00000000-0005-0000-0000-000009BA0000}"/>
    <cellStyle name="Normal 7 3 5 13" xfId="34200" xr:uid="{00000000-0005-0000-0000-00000ABA0000}"/>
    <cellStyle name="Normal 7 3 5 14" xfId="34201" xr:uid="{00000000-0005-0000-0000-00000BBA0000}"/>
    <cellStyle name="Normal 7 3 5 2" xfId="34202" xr:uid="{00000000-0005-0000-0000-00000CBA0000}"/>
    <cellStyle name="Normal 7 3 5 2 2" xfId="34203" xr:uid="{00000000-0005-0000-0000-00000DBA0000}"/>
    <cellStyle name="Normal 7 3 5 2 2 2" xfId="34204" xr:uid="{00000000-0005-0000-0000-00000EBA0000}"/>
    <cellStyle name="Normal 7 3 5 2 2 2 2" xfId="34205" xr:uid="{00000000-0005-0000-0000-00000FBA0000}"/>
    <cellStyle name="Normal 7 3 5 2 2 2 2 2" xfId="59450" xr:uid="{00000000-0005-0000-0000-000010BA0000}"/>
    <cellStyle name="Normal 7 3 5 2 2 2 2 3" xfId="59451" xr:uid="{00000000-0005-0000-0000-000011BA0000}"/>
    <cellStyle name="Normal 7 3 5 2 2 2 3" xfId="34206" xr:uid="{00000000-0005-0000-0000-000012BA0000}"/>
    <cellStyle name="Normal 7 3 5 2 2 2 3 2" xfId="59452" xr:uid="{00000000-0005-0000-0000-000013BA0000}"/>
    <cellStyle name="Normal 7 3 5 2 2 2 4" xfId="34207" xr:uid="{00000000-0005-0000-0000-000014BA0000}"/>
    <cellStyle name="Normal 7 3 5 2 2 2 5" xfId="34208" xr:uid="{00000000-0005-0000-0000-000015BA0000}"/>
    <cellStyle name="Normal 7 3 5 2 2 2 6" xfId="34209" xr:uid="{00000000-0005-0000-0000-000016BA0000}"/>
    <cellStyle name="Normal 7 3 5 2 2 3" xfId="34210" xr:uid="{00000000-0005-0000-0000-000017BA0000}"/>
    <cellStyle name="Normal 7 3 5 2 2 3 2" xfId="59453" xr:uid="{00000000-0005-0000-0000-000018BA0000}"/>
    <cellStyle name="Normal 7 3 5 2 2 3 3" xfId="59454" xr:uid="{00000000-0005-0000-0000-000019BA0000}"/>
    <cellStyle name="Normal 7 3 5 2 2 4" xfId="34211" xr:uid="{00000000-0005-0000-0000-00001ABA0000}"/>
    <cellStyle name="Normal 7 3 5 2 2 4 2" xfId="59455" xr:uid="{00000000-0005-0000-0000-00001BBA0000}"/>
    <cellStyle name="Normal 7 3 5 2 2 5" xfId="34212" xr:uid="{00000000-0005-0000-0000-00001CBA0000}"/>
    <cellStyle name="Normal 7 3 5 2 2 6" xfId="34213" xr:uid="{00000000-0005-0000-0000-00001DBA0000}"/>
    <cellStyle name="Normal 7 3 5 2 2 7" xfId="34214" xr:uid="{00000000-0005-0000-0000-00001EBA0000}"/>
    <cellStyle name="Normal 7 3 5 2 3" xfId="34215" xr:uid="{00000000-0005-0000-0000-00001FBA0000}"/>
    <cellStyle name="Normal 7 3 5 2 3 2" xfId="34216" xr:uid="{00000000-0005-0000-0000-000020BA0000}"/>
    <cellStyle name="Normal 7 3 5 2 3 2 2" xfId="59456" xr:uid="{00000000-0005-0000-0000-000021BA0000}"/>
    <cellStyle name="Normal 7 3 5 2 3 2 3" xfId="59457" xr:uid="{00000000-0005-0000-0000-000022BA0000}"/>
    <cellStyle name="Normal 7 3 5 2 3 3" xfId="34217" xr:uid="{00000000-0005-0000-0000-000023BA0000}"/>
    <cellStyle name="Normal 7 3 5 2 3 3 2" xfId="59458" xr:uid="{00000000-0005-0000-0000-000024BA0000}"/>
    <cellStyle name="Normal 7 3 5 2 3 4" xfId="34218" xr:uid="{00000000-0005-0000-0000-000025BA0000}"/>
    <cellStyle name="Normal 7 3 5 2 3 5" xfId="34219" xr:uid="{00000000-0005-0000-0000-000026BA0000}"/>
    <cellStyle name="Normal 7 3 5 2 3 6" xfId="34220" xr:uid="{00000000-0005-0000-0000-000027BA0000}"/>
    <cellStyle name="Normal 7 3 5 2 4" xfId="34221" xr:uid="{00000000-0005-0000-0000-000028BA0000}"/>
    <cellStyle name="Normal 7 3 5 2 4 2" xfId="59459" xr:uid="{00000000-0005-0000-0000-000029BA0000}"/>
    <cellStyle name="Normal 7 3 5 2 4 3" xfId="59460" xr:uid="{00000000-0005-0000-0000-00002ABA0000}"/>
    <cellStyle name="Normal 7 3 5 2 5" xfId="34222" xr:uid="{00000000-0005-0000-0000-00002BBA0000}"/>
    <cellStyle name="Normal 7 3 5 2 5 2" xfId="59461" xr:uid="{00000000-0005-0000-0000-00002CBA0000}"/>
    <cellStyle name="Normal 7 3 5 2 6" xfId="34223" xr:uid="{00000000-0005-0000-0000-00002DBA0000}"/>
    <cellStyle name="Normal 7 3 5 2 7" xfId="34224" xr:uid="{00000000-0005-0000-0000-00002EBA0000}"/>
    <cellStyle name="Normal 7 3 5 2 8" xfId="34225" xr:uid="{00000000-0005-0000-0000-00002FBA0000}"/>
    <cellStyle name="Normal 7 3 5 2 9" xfId="34226" xr:uid="{00000000-0005-0000-0000-000030BA0000}"/>
    <cellStyle name="Normal 7 3 5 3" xfId="34227" xr:uid="{00000000-0005-0000-0000-000031BA0000}"/>
    <cellStyle name="Normal 7 3 5 3 2" xfId="34228" xr:uid="{00000000-0005-0000-0000-000032BA0000}"/>
    <cellStyle name="Normal 7 3 5 3 2 2" xfId="34229" xr:uid="{00000000-0005-0000-0000-000033BA0000}"/>
    <cellStyle name="Normal 7 3 5 3 2 2 2" xfId="34230" xr:uid="{00000000-0005-0000-0000-000034BA0000}"/>
    <cellStyle name="Normal 7 3 5 3 2 2 2 2" xfId="59462" xr:uid="{00000000-0005-0000-0000-000035BA0000}"/>
    <cellStyle name="Normal 7 3 5 3 2 2 2 3" xfId="59463" xr:uid="{00000000-0005-0000-0000-000036BA0000}"/>
    <cellStyle name="Normal 7 3 5 3 2 2 3" xfId="34231" xr:uid="{00000000-0005-0000-0000-000037BA0000}"/>
    <cellStyle name="Normal 7 3 5 3 2 2 3 2" xfId="59464" xr:uid="{00000000-0005-0000-0000-000038BA0000}"/>
    <cellStyle name="Normal 7 3 5 3 2 2 4" xfId="34232" xr:uid="{00000000-0005-0000-0000-000039BA0000}"/>
    <cellStyle name="Normal 7 3 5 3 2 2 5" xfId="34233" xr:uid="{00000000-0005-0000-0000-00003ABA0000}"/>
    <cellStyle name="Normal 7 3 5 3 2 2 6" xfId="34234" xr:uid="{00000000-0005-0000-0000-00003BBA0000}"/>
    <cellStyle name="Normal 7 3 5 3 2 3" xfId="34235" xr:uid="{00000000-0005-0000-0000-00003CBA0000}"/>
    <cellStyle name="Normal 7 3 5 3 2 3 2" xfId="59465" xr:uid="{00000000-0005-0000-0000-00003DBA0000}"/>
    <cellStyle name="Normal 7 3 5 3 2 3 3" xfId="59466" xr:uid="{00000000-0005-0000-0000-00003EBA0000}"/>
    <cellStyle name="Normal 7 3 5 3 2 4" xfId="34236" xr:uid="{00000000-0005-0000-0000-00003FBA0000}"/>
    <cellStyle name="Normal 7 3 5 3 2 4 2" xfId="59467" xr:uid="{00000000-0005-0000-0000-000040BA0000}"/>
    <cellStyle name="Normal 7 3 5 3 2 5" xfId="34237" xr:uid="{00000000-0005-0000-0000-000041BA0000}"/>
    <cellStyle name="Normal 7 3 5 3 2 6" xfId="34238" xr:uid="{00000000-0005-0000-0000-000042BA0000}"/>
    <cellStyle name="Normal 7 3 5 3 2 7" xfId="34239" xr:uid="{00000000-0005-0000-0000-000043BA0000}"/>
    <cellStyle name="Normal 7 3 5 3 3" xfId="34240" xr:uid="{00000000-0005-0000-0000-000044BA0000}"/>
    <cellStyle name="Normal 7 3 5 3 3 2" xfId="34241" xr:uid="{00000000-0005-0000-0000-000045BA0000}"/>
    <cellStyle name="Normal 7 3 5 3 3 2 2" xfId="59468" xr:uid="{00000000-0005-0000-0000-000046BA0000}"/>
    <cellStyle name="Normal 7 3 5 3 3 2 3" xfId="59469" xr:uid="{00000000-0005-0000-0000-000047BA0000}"/>
    <cellStyle name="Normal 7 3 5 3 3 3" xfId="34242" xr:uid="{00000000-0005-0000-0000-000048BA0000}"/>
    <cellStyle name="Normal 7 3 5 3 3 3 2" xfId="59470" xr:uid="{00000000-0005-0000-0000-000049BA0000}"/>
    <cellStyle name="Normal 7 3 5 3 3 4" xfId="34243" xr:uid="{00000000-0005-0000-0000-00004ABA0000}"/>
    <cellStyle name="Normal 7 3 5 3 3 5" xfId="34244" xr:uid="{00000000-0005-0000-0000-00004BBA0000}"/>
    <cellStyle name="Normal 7 3 5 3 3 6" xfId="34245" xr:uid="{00000000-0005-0000-0000-00004CBA0000}"/>
    <cellStyle name="Normal 7 3 5 3 4" xfId="34246" xr:uid="{00000000-0005-0000-0000-00004DBA0000}"/>
    <cellStyle name="Normal 7 3 5 3 4 2" xfId="59471" xr:uid="{00000000-0005-0000-0000-00004EBA0000}"/>
    <cellStyle name="Normal 7 3 5 3 4 3" xfId="59472" xr:uid="{00000000-0005-0000-0000-00004FBA0000}"/>
    <cellStyle name="Normal 7 3 5 3 5" xfId="34247" xr:uid="{00000000-0005-0000-0000-000050BA0000}"/>
    <cellStyle name="Normal 7 3 5 3 5 2" xfId="59473" xr:uid="{00000000-0005-0000-0000-000051BA0000}"/>
    <cellStyle name="Normal 7 3 5 3 6" xfId="34248" xr:uid="{00000000-0005-0000-0000-000052BA0000}"/>
    <cellStyle name="Normal 7 3 5 3 7" xfId="34249" xr:uid="{00000000-0005-0000-0000-000053BA0000}"/>
    <cellStyle name="Normal 7 3 5 3 8" xfId="34250" xr:uid="{00000000-0005-0000-0000-000054BA0000}"/>
    <cellStyle name="Normal 7 3 5 4" xfId="34251" xr:uid="{00000000-0005-0000-0000-000055BA0000}"/>
    <cellStyle name="Normal 7 3 5 4 2" xfId="34252" xr:uid="{00000000-0005-0000-0000-000056BA0000}"/>
    <cellStyle name="Normal 7 3 5 4 2 2" xfId="34253" xr:uid="{00000000-0005-0000-0000-000057BA0000}"/>
    <cellStyle name="Normal 7 3 5 4 2 2 2" xfId="59474" xr:uid="{00000000-0005-0000-0000-000058BA0000}"/>
    <cellStyle name="Normal 7 3 5 4 2 2 3" xfId="59475" xr:uid="{00000000-0005-0000-0000-000059BA0000}"/>
    <cellStyle name="Normal 7 3 5 4 2 3" xfId="34254" xr:uid="{00000000-0005-0000-0000-00005ABA0000}"/>
    <cellStyle name="Normal 7 3 5 4 2 3 2" xfId="59476" xr:uid="{00000000-0005-0000-0000-00005BBA0000}"/>
    <cellStyle name="Normal 7 3 5 4 2 4" xfId="34255" xr:uid="{00000000-0005-0000-0000-00005CBA0000}"/>
    <cellStyle name="Normal 7 3 5 4 2 5" xfId="34256" xr:uid="{00000000-0005-0000-0000-00005DBA0000}"/>
    <cellStyle name="Normal 7 3 5 4 2 6" xfId="34257" xr:uid="{00000000-0005-0000-0000-00005EBA0000}"/>
    <cellStyle name="Normal 7 3 5 4 3" xfId="34258" xr:uid="{00000000-0005-0000-0000-00005FBA0000}"/>
    <cellStyle name="Normal 7 3 5 4 3 2" xfId="59477" xr:uid="{00000000-0005-0000-0000-000060BA0000}"/>
    <cellStyle name="Normal 7 3 5 4 3 3" xfId="59478" xr:uid="{00000000-0005-0000-0000-000061BA0000}"/>
    <cellStyle name="Normal 7 3 5 4 4" xfId="34259" xr:uid="{00000000-0005-0000-0000-000062BA0000}"/>
    <cellStyle name="Normal 7 3 5 4 4 2" xfId="59479" xr:uid="{00000000-0005-0000-0000-000063BA0000}"/>
    <cellStyle name="Normal 7 3 5 4 5" xfId="34260" xr:uid="{00000000-0005-0000-0000-000064BA0000}"/>
    <cellStyle name="Normal 7 3 5 4 6" xfId="34261" xr:uid="{00000000-0005-0000-0000-000065BA0000}"/>
    <cellStyle name="Normal 7 3 5 4 7" xfId="34262" xr:uid="{00000000-0005-0000-0000-000066BA0000}"/>
    <cellStyle name="Normal 7 3 5 5" xfId="34263" xr:uid="{00000000-0005-0000-0000-000067BA0000}"/>
    <cellStyle name="Normal 7 3 5 5 2" xfId="34264" xr:uid="{00000000-0005-0000-0000-000068BA0000}"/>
    <cellStyle name="Normal 7 3 5 5 2 2" xfId="59480" xr:uid="{00000000-0005-0000-0000-000069BA0000}"/>
    <cellStyle name="Normal 7 3 5 5 2 3" xfId="59481" xr:uid="{00000000-0005-0000-0000-00006ABA0000}"/>
    <cellStyle name="Normal 7 3 5 5 3" xfId="34265" xr:uid="{00000000-0005-0000-0000-00006BBA0000}"/>
    <cellStyle name="Normal 7 3 5 5 3 2" xfId="59482" xr:uid="{00000000-0005-0000-0000-00006CBA0000}"/>
    <cellStyle name="Normal 7 3 5 5 4" xfId="34266" xr:uid="{00000000-0005-0000-0000-00006DBA0000}"/>
    <cellStyle name="Normal 7 3 5 5 5" xfId="34267" xr:uid="{00000000-0005-0000-0000-00006EBA0000}"/>
    <cellStyle name="Normal 7 3 5 5 6" xfId="34268" xr:uid="{00000000-0005-0000-0000-00006FBA0000}"/>
    <cellStyle name="Normal 7 3 5 6" xfId="34269" xr:uid="{00000000-0005-0000-0000-000070BA0000}"/>
    <cellStyle name="Normal 7 3 5 6 2" xfId="59483" xr:uid="{00000000-0005-0000-0000-000071BA0000}"/>
    <cellStyle name="Normal 7 3 5 6 3" xfId="59484" xr:uid="{00000000-0005-0000-0000-000072BA0000}"/>
    <cellStyle name="Normal 7 3 5 7" xfId="34270" xr:uid="{00000000-0005-0000-0000-000073BA0000}"/>
    <cellStyle name="Normal 7 3 5 7 2" xfId="59485" xr:uid="{00000000-0005-0000-0000-000074BA0000}"/>
    <cellStyle name="Normal 7 3 5 8" xfId="34271" xr:uid="{00000000-0005-0000-0000-000075BA0000}"/>
    <cellStyle name="Normal 7 3 5 9" xfId="34272" xr:uid="{00000000-0005-0000-0000-000076BA0000}"/>
    <cellStyle name="Normal 7 3 6" xfId="34273" xr:uid="{00000000-0005-0000-0000-000077BA0000}"/>
    <cellStyle name="Normal 7 3 6 10" xfId="34274" xr:uid="{00000000-0005-0000-0000-000078BA0000}"/>
    <cellStyle name="Normal 7 3 6 11" xfId="34275" xr:uid="{00000000-0005-0000-0000-000079BA0000}"/>
    <cellStyle name="Normal 7 3 6 12" xfId="34276" xr:uid="{00000000-0005-0000-0000-00007ABA0000}"/>
    <cellStyle name="Normal 7 3 6 13" xfId="34277" xr:uid="{00000000-0005-0000-0000-00007BBA0000}"/>
    <cellStyle name="Normal 7 3 6 2" xfId="34278" xr:uid="{00000000-0005-0000-0000-00007CBA0000}"/>
    <cellStyle name="Normal 7 3 6 2 2" xfId="34279" xr:uid="{00000000-0005-0000-0000-00007DBA0000}"/>
    <cellStyle name="Normal 7 3 6 2 2 2" xfId="34280" xr:uid="{00000000-0005-0000-0000-00007EBA0000}"/>
    <cellStyle name="Normal 7 3 6 2 2 2 2" xfId="34281" xr:uid="{00000000-0005-0000-0000-00007FBA0000}"/>
    <cellStyle name="Normal 7 3 6 2 2 2 2 2" xfId="59486" xr:uid="{00000000-0005-0000-0000-000080BA0000}"/>
    <cellStyle name="Normal 7 3 6 2 2 2 2 3" xfId="59487" xr:uid="{00000000-0005-0000-0000-000081BA0000}"/>
    <cellStyle name="Normal 7 3 6 2 2 2 3" xfId="34282" xr:uid="{00000000-0005-0000-0000-000082BA0000}"/>
    <cellStyle name="Normal 7 3 6 2 2 2 3 2" xfId="59488" xr:uid="{00000000-0005-0000-0000-000083BA0000}"/>
    <cellStyle name="Normal 7 3 6 2 2 2 4" xfId="34283" xr:uid="{00000000-0005-0000-0000-000084BA0000}"/>
    <cellStyle name="Normal 7 3 6 2 2 2 5" xfId="34284" xr:uid="{00000000-0005-0000-0000-000085BA0000}"/>
    <cellStyle name="Normal 7 3 6 2 2 2 6" xfId="34285" xr:uid="{00000000-0005-0000-0000-000086BA0000}"/>
    <cellStyle name="Normal 7 3 6 2 2 3" xfId="34286" xr:uid="{00000000-0005-0000-0000-000087BA0000}"/>
    <cellStyle name="Normal 7 3 6 2 2 3 2" xfId="59489" xr:uid="{00000000-0005-0000-0000-000088BA0000}"/>
    <cellStyle name="Normal 7 3 6 2 2 3 3" xfId="59490" xr:uid="{00000000-0005-0000-0000-000089BA0000}"/>
    <cellStyle name="Normal 7 3 6 2 2 4" xfId="34287" xr:uid="{00000000-0005-0000-0000-00008ABA0000}"/>
    <cellStyle name="Normal 7 3 6 2 2 4 2" xfId="59491" xr:uid="{00000000-0005-0000-0000-00008BBA0000}"/>
    <cellStyle name="Normal 7 3 6 2 2 5" xfId="34288" xr:uid="{00000000-0005-0000-0000-00008CBA0000}"/>
    <cellStyle name="Normal 7 3 6 2 2 6" xfId="34289" xr:uid="{00000000-0005-0000-0000-00008DBA0000}"/>
    <cellStyle name="Normal 7 3 6 2 2 7" xfId="34290" xr:uid="{00000000-0005-0000-0000-00008EBA0000}"/>
    <cellStyle name="Normal 7 3 6 2 3" xfId="34291" xr:uid="{00000000-0005-0000-0000-00008FBA0000}"/>
    <cellStyle name="Normal 7 3 6 2 3 2" xfId="34292" xr:uid="{00000000-0005-0000-0000-000090BA0000}"/>
    <cellStyle name="Normal 7 3 6 2 3 2 2" xfId="59492" xr:uid="{00000000-0005-0000-0000-000091BA0000}"/>
    <cellStyle name="Normal 7 3 6 2 3 2 3" xfId="59493" xr:uid="{00000000-0005-0000-0000-000092BA0000}"/>
    <cellStyle name="Normal 7 3 6 2 3 3" xfId="34293" xr:uid="{00000000-0005-0000-0000-000093BA0000}"/>
    <cellStyle name="Normal 7 3 6 2 3 3 2" xfId="59494" xr:uid="{00000000-0005-0000-0000-000094BA0000}"/>
    <cellStyle name="Normal 7 3 6 2 3 4" xfId="34294" xr:uid="{00000000-0005-0000-0000-000095BA0000}"/>
    <cellStyle name="Normal 7 3 6 2 3 5" xfId="34295" xr:uid="{00000000-0005-0000-0000-000096BA0000}"/>
    <cellStyle name="Normal 7 3 6 2 3 6" xfId="34296" xr:uid="{00000000-0005-0000-0000-000097BA0000}"/>
    <cellStyle name="Normal 7 3 6 2 4" xfId="34297" xr:uid="{00000000-0005-0000-0000-000098BA0000}"/>
    <cellStyle name="Normal 7 3 6 2 4 2" xfId="59495" xr:uid="{00000000-0005-0000-0000-000099BA0000}"/>
    <cellStyle name="Normal 7 3 6 2 4 3" xfId="59496" xr:uid="{00000000-0005-0000-0000-00009ABA0000}"/>
    <cellStyle name="Normal 7 3 6 2 5" xfId="34298" xr:uid="{00000000-0005-0000-0000-00009BBA0000}"/>
    <cellStyle name="Normal 7 3 6 2 5 2" xfId="59497" xr:uid="{00000000-0005-0000-0000-00009CBA0000}"/>
    <cellStyle name="Normal 7 3 6 2 6" xfId="34299" xr:uid="{00000000-0005-0000-0000-00009DBA0000}"/>
    <cellStyle name="Normal 7 3 6 2 7" xfId="34300" xr:uid="{00000000-0005-0000-0000-00009EBA0000}"/>
    <cellStyle name="Normal 7 3 6 2 8" xfId="34301" xr:uid="{00000000-0005-0000-0000-00009FBA0000}"/>
    <cellStyle name="Normal 7 3 6 2 9" xfId="34302" xr:uid="{00000000-0005-0000-0000-0000A0BA0000}"/>
    <cellStyle name="Normal 7 3 6 3" xfId="34303" xr:uid="{00000000-0005-0000-0000-0000A1BA0000}"/>
    <cellStyle name="Normal 7 3 6 3 2" xfId="34304" xr:uid="{00000000-0005-0000-0000-0000A2BA0000}"/>
    <cellStyle name="Normal 7 3 6 3 2 2" xfId="34305" xr:uid="{00000000-0005-0000-0000-0000A3BA0000}"/>
    <cellStyle name="Normal 7 3 6 3 2 2 2" xfId="59498" xr:uid="{00000000-0005-0000-0000-0000A4BA0000}"/>
    <cellStyle name="Normal 7 3 6 3 2 2 3" xfId="59499" xr:uid="{00000000-0005-0000-0000-0000A5BA0000}"/>
    <cellStyle name="Normal 7 3 6 3 2 3" xfId="34306" xr:uid="{00000000-0005-0000-0000-0000A6BA0000}"/>
    <cellStyle name="Normal 7 3 6 3 2 3 2" xfId="59500" xr:uid="{00000000-0005-0000-0000-0000A7BA0000}"/>
    <cellStyle name="Normal 7 3 6 3 2 4" xfId="34307" xr:uid="{00000000-0005-0000-0000-0000A8BA0000}"/>
    <cellStyle name="Normal 7 3 6 3 2 5" xfId="34308" xr:uid="{00000000-0005-0000-0000-0000A9BA0000}"/>
    <cellStyle name="Normal 7 3 6 3 2 6" xfId="34309" xr:uid="{00000000-0005-0000-0000-0000AABA0000}"/>
    <cellStyle name="Normal 7 3 6 3 3" xfId="34310" xr:uid="{00000000-0005-0000-0000-0000ABBA0000}"/>
    <cellStyle name="Normal 7 3 6 3 3 2" xfId="59501" xr:uid="{00000000-0005-0000-0000-0000ACBA0000}"/>
    <cellStyle name="Normal 7 3 6 3 3 3" xfId="59502" xr:uid="{00000000-0005-0000-0000-0000ADBA0000}"/>
    <cellStyle name="Normal 7 3 6 3 4" xfId="34311" xr:uid="{00000000-0005-0000-0000-0000AEBA0000}"/>
    <cellStyle name="Normal 7 3 6 3 4 2" xfId="59503" xr:uid="{00000000-0005-0000-0000-0000AFBA0000}"/>
    <cellStyle name="Normal 7 3 6 3 5" xfId="34312" xr:uid="{00000000-0005-0000-0000-0000B0BA0000}"/>
    <cellStyle name="Normal 7 3 6 3 6" xfId="34313" xr:uid="{00000000-0005-0000-0000-0000B1BA0000}"/>
    <cellStyle name="Normal 7 3 6 3 7" xfId="34314" xr:uid="{00000000-0005-0000-0000-0000B2BA0000}"/>
    <cellStyle name="Normal 7 3 6 4" xfId="34315" xr:uid="{00000000-0005-0000-0000-0000B3BA0000}"/>
    <cellStyle name="Normal 7 3 6 4 2" xfId="34316" xr:uid="{00000000-0005-0000-0000-0000B4BA0000}"/>
    <cellStyle name="Normal 7 3 6 4 2 2" xfId="59504" xr:uid="{00000000-0005-0000-0000-0000B5BA0000}"/>
    <cellStyle name="Normal 7 3 6 4 2 3" xfId="59505" xr:uid="{00000000-0005-0000-0000-0000B6BA0000}"/>
    <cellStyle name="Normal 7 3 6 4 3" xfId="34317" xr:uid="{00000000-0005-0000-0000-0000B7BA0000}"/>
    <cellStyle name="Normal 7 3 6 4 3 2" xfId="59506" xr:uid="{00000000-0005-0000-0000-0000B8BA0000}"/>
    <cellStyle name="Normal 7 3 6 4 4" xfId="34318" xr:uid="{00000000-0005-0000-0000-0000B9BA0000}"/>
    <cellStyle name="Normal 7 3 6 4 5" xfId="34319" xr:uid="{00000000-0005-0000-0000-0000BABA0000}"/>
    <cellStyle name="Normal 7 3 6 4 6" xfId="34320" xr:uid="{00000000-0005-0000-0000-0000BBBA0000}"/>
    <cellStyle name="Normal 7 3 6 5" xfId="34321" xr:uid="{00000000-0005-0000-0000-0000BCBA0000}"/>
    <cellStyle name="Normal 7 3 6 5 2" xfId="59507" xr:uid="{00000000-0005-0000-0000-0000BDBA0000}"/>
    <cellStyle name="Normal 7 3 6 5 3" xfId="59508" xr:uid="{00000000-0005-0000-0000-0000BEBA0000}"/>
    <cellStyle name="Normal 7 3 6 6" xfId="34322" xr:uid="{00000000-0005-0000-0000-0000BFBA0000}"/>
    <cellStyle name="Normal 7 3 6 6 2" xfId="59509" xr:uid="{00000000-0005-0000-0000-0000C0BA0000}"/>
    <cellStyle name="Normal 7 3 6 7" xfId="34323" xr:uid="{00000000-0005-0000-0000-0000C1BA0000}"/>
    <cellStyle name="Normal 7 3 6 8" xfId="34324" xr:uid="{00000000-0005-0000-0000-0000C2BA0000}"/>
    <cellStyle name="Normal 7 3 6 9" xfId="34325" xr:uid="{00000000-0005-0000-0000-0000C3BA0000}"/>
    <cellStyle name="Normal 7 3 7" xfId="34326" xr:uid="{00000000-0005-0000-0000-0000C4BA0000}"/>
    <cellStyle name="Normal 7 3 7 2" xfId="34327" xr:uid="{00000000-0005-0000-0000-0000C5BA0000}"/>
    <cellStyle name="Normal 7 3 7 2 2" xfId="34328" xr:uid="{00000000-0005-0000-0000-0000C6BA0000}"/>
    <cellStyle name="Normal 7 3 7 2 2 2" xfId="34329" xr:uid="{00000000-0005-0000-0000-0000C7BA0000}"/>
    <cellStyle name="Normal 7 3 7 2 2 2 2" xfId="59510" xr:uid="{00000000-0005-0000-0000-0000C8BA0000}"/>
    <cellStyle name="Normal 7 3 7 2 2 2 3" xfId="59511" xr:uid="{00000000-0005-0000-0000-0000C9BA0000}"/>
    <cellStyle name="Normal 7 3 7 2 2 3" xfId="34330" xr:uid="{00000000-0005-0000-0000-0000CABA0000}"/>
    <cellStyle name="Normal 7 3 7 2 2 3 2" xfId="59512" xr:uid="{00000000-0005-0000-0000-0000CBBA0000}"/>
    <cellStyle name="Normal 7 3 7 2 2 4" xfId="34331" xr:uid="{00000000-0005-0000-0000-0000CCBA0000}"/>
    <cellStyle name="Normal 7 3 7 2 2 5" xfId="34332" xr:uid="{00000000-0005-0000-0000-0000CDBA0000}"/>
    <cellStyle name="Normal 7 3 7 2 2 6" xfId="34333" xr:uid="{00000000-0005-0000-0000-0000CEBA0000}"/>
    <cellStyle name="Normal 7 3 7 2 3" xfId="34334" xr:uid="{00000000-0005-0000-0000-0000CFBA0000}"/>
    <cellStyle name="Normal 7 3 7 2 3 2" xfId="59513" xr:uid="{00000000-0005-0000-0000-0000D0BA0000}"/>
    <cellStyle name="Normal 7 3 7 2 3 3" xfId="59514" xr:uid="{00000000-0005-0000-0000-0000D1BA0000}"/>
    <cellStyle name="Normal 7 3 7 2 4" xfId="34335" xr:uid="{00000000-0005-0000-0000-0000D2BA0000}"/>
    <cellStyle name="Normal 7 3 7 2 4 2" xfId="59515" xr:uid="{00000000-0005-0000-0000-0000D3BA0000}"/>
    <cellStyle name="Normal 7 3 7 2 5" xfId="34336" xr:uid="{00000000-0005-0000-0000-0000D4BA0000}"/>
    <cellStyle name="Normal 7 3 7 2 6" xfId="34337" xr:uid="{00000000-0005-0000-0000-0000D5BA0000}"/>
    <cellStyle name="Normal 7 3 7 2 7" xfId="34338" xr:uid="{00000000-0005-0000-0000-0000D6BA0000}"/>
    <cellStyle name="Normal 7 3 7 3" xfId="34339" xr:uid="{00000000-0005-0000-0000-0000D7BA0000}"/>
    <cellStyle name="Normal 7 3 7 3 2" xfId="34340" xr:uid="{00000000-0005-0000-0000-0000D8BA0000}"/>
    <cellStyle name="Normal 7 3 7 3 2 2" xfId="59516" xr:uid="{00000000-0005-0000-0000-0000D9BA0000}"/>
    <cellStyle name="Normal 7 3 7 3 2 3" xfId="59517" xr:uid="{00000000-0005-0000-0000-0000DABA0000}"/>
    <cellStyle name="Normal 7 3 7 3 3" xfId="34341" xr:uid="{00000000-0005-0000-0000-0000DBBA0000}"/>
    <cellStyle name="Normal 7 3 7 3 3 2" xfId="59518" xr:uid="{00000000-0005-0000-0000-0000DCBA0000}"/>
    <cellStyle name="Normal 7 3 7 3 4" xfId="34342" xr:uid="{00000000-0005-0000-0000-0000DDBA0000}"/>
    <cellStyle name="Normal 7 3 7 3 5" xfId="34343" xr:uid="{00000000-0005-0000-0000-0000DEBA0000}"/>
    <cellStyle name="Normal 7 3 7 3 6" xfId="34344" xr:uid="{00000000-0005-0000-0000-0000DFBA0000}"/>
    <cellStyle name="Normal 7 3 7 4" xfId="34345" xr:uid="{00000000-0005-0000-0000-0000E0BA0000}"/>
    <cellStyle name="Normal 7 3 7 4 2" xfId="59519" xr:uid="{00000000-0005-0000-0000-0000E1BA0000}"/>
    <cellStyle name="Normal 7 3 7 4 3" xfId="59520" xr:uid="{00000000-0005-0000-0000-0000E2BA0000}"/>
    <cellStyle name="Normal 7 3 7 5" xfId="34346" xr:uid="{00000000-0005-0000-0000-0000E3BA0000}"/>
    <cellStyle name="Normal 7 3 7 5 2" xfId="59521" xr:uid="{00000000-0005-0000-0000-0000E4BA0000}"/>
    <cellStyle name="Normal 7 3 7 6" xfId="34347" xr:uid="{00000000-0005-0000-0000-0000E5BA0000}"/>
    <cellStyle name="Normal 7 3 7 7" xfId="34348" xr:uid="{00000000-0005-0000-0000-0000E6BA0000}"/>
    <cellStyle name="Normal 7 3 7 8" xfId="34349" xr:uid="{00000000-0005-0000-0000-0000E7BA0000}"/>
    <cellStyle name="Normal 7 3 7 9" xfId="34350" xr:uid="{00000000-0005-0000-0000-0000E8BA0000}"/>
    <cellStyle name="Normal 7 3 8" xfId="34351" xr:uid="{00000000-0005-0000-0000-0000E9BA0000}"/>
    <cellStyle name="Normal 7 3 8 2" xfId="34352" xr:uid="{00000000-0005-0000-0000-0000EABA0000}"/>
    <cellStyle name="Normal 7 3 8 2 2" xfId="34353" xr:uid="{00000000-0005-0000-0000-0000EBBA0000}"/>
    <cellStyle name="Normal 7 3 8 2 2 2" xfId="34354" xr:uid="{00000000-0005-0000-0000-0000ECBA0000}"/>
    <cellStyle name="Normal 7 3 8 2 2 2 2" xfId="59522" xr:uid="{00000000-0005-0000-0000-0000EDBA0000}"/>
    <cellStyle name="Normal 7 3 8 2 2 2 3" xfId="59523" xr:uid="{00000000-0005-0000-0000-0000EEBA0000}"/>
    <cellStyle name="Normal 7 3 8 2 2 3" xfId="34355" xr:uid="{00000000-0005-0000-0000-0000EFBA0000}"/>
    <cellStyle name="Normal 7 3 8 2 2 3 2" xfId="59524" xr:uid="{00000000-0005-0000-0000-0000F0BA0000}"/>
    <cellStyle name="Normal 7 3 8 2 2 4" xfId="34356" xr:uid="{00000000-0005-0000-0000-0000F1BA0000}"/>
    <cellStyle name="Normal 7 3 8 2 2 5" xfId="34357" xr:uid="{00000000-0005-0000-0000-0000F2BA0000}"/>
    <cellStyle name="Normal 7 3 8 2 2 6" xfId="34358" xr:uid="{00000000-0005-0000-0000-0000F3BA0000}"/>
    <cellStyle name="Normal 7 3 8 2 3" xfId="34359" xr:uid="{00000000-0005-0000-0000-0000F4BA0000}"/>
    <cellStyle name="Normal 7 3 8 2 3 2" xfId="59525" xr:uid="{00000000-0005-0000-0000-0000F5BA0000}"/>
    <cellStyle name="Normal 7 3 8 2 3 3" xfId="59526" xr:uid="{00000000-0005-0000-0000-0000F6BA0000}"/>
    <cellStyle name="Normal 7 3 8 2 4" xfId="34360" xr:uid="{00000000-0005-0000-0000-0000F7BA0000}"/>
    <cellStyle name="Normal 7 3 8 2 4 2" xfId="59527" xr:uid="{00000000-0005-0000-0000-0000F8BA0000}"/>
    <cellStyle name="Normal 7 3 8 2 5" xfId="34361" xr:uid="{00000000-0005-0000-0000-0000F9BA0000}"/>
    <cellStyle name="Normal 7 3 8 2 6" xfId="34362" xr:uid="{00000000-0005-0000-0000-0000FABA0000}"/>
    <cellStyle name="Normal 7 3 8 2 7" xfId="34363" xr:uid="{00000000-0005-0000-0000-0000FBBA0000}"/>
    <cellStyle name="Normal 7 3 8 3" xfId="34364" xr:uid="{00000000-0005-0000-0000-0000FCBA0000}"/>
    <cellStyle name="Normal 7 3 8 3 2" xfId="34365" xr:uid="{00000000-0005-0000-0000-0000FDBA0000}"/>
    <cellStyle name="Normal 7 3 8 3 2 2" xfId="59528" xr:uid="{00000000-0005-0000-0000-0000FEBA0000}"/>
    <cellStyle name="Normal 7 3 8 3 2 3" xfId="59529" xr:uid="{00000000-0005-0000-0000-0000FFBA0000}"/>
    <cellStyle name="Normal 7 3 8 3 3" xfId="34366" xr:uid="{00000000-0005-0000-0000-000000BB0000}"/>
    <cellStyle name="Normal 7 3 8 3 3 2" xfId="59530" xr:uid="{00000000-0005-0000-0000-000001BB0000}"/>
    <cellStyle name="Normal 7 3 8 3 4" xfId="34367" xr:uid="{00000000-0005-0000-0000-000002BB0000}"/>
    <cellStyle name="Normal 7 3 8 3 5" xfId="34368" xr:uid="{00000000-0005-0000-0000-000003BB0000}"/>
    <cellStyle name="Normal 7 3 8 3 6" xfId="34369" xr:uid="{00000000-0005-0000-0000-000004BB0000}"/>
    <cellStyle name="Normal 7 3 8 4" xfId="34370" xr:uid="{00000000-0005-0000-0000-000005BB0000}"/>
    <cellStyle name="Normal 7 3 8 4 2" xfId="59531" xr:uid="{00000000-0005-0000-0000-000006BB0000}"/>
    <cellStyle name="Normal 7 3 8 4 3" xfId="59532" xr:uid="{00000000-0005-0000-0000-000007BB0000}"/>
    <cellStyle name="Normal 7 3 8 5" xfId="34371" xr:uid="{00000000-0005-0000-0000-000008BB0000}"/>
    <cellStyle name="Normal 7 3 8 5 2" xfId="59533" xr:uid="{00000000-0005-0000-0000-000009BB0000}"/>
    <cellStyle name="Normal 7 3 8 6" xfId="34372" xr:uid="{00000000-0005-0000-0000-00000ABB0000}"/>
    <cellStyle name="Normal 7 3 8 7" xfId="34373" xr:uid="{00000000-0005-0000-0000-00000BBB0000}"/>
    <cellStyle name="Normal 7 3 8 8" xfId="34374" xr:uid="{00000000-0005-0000-0000-00000CBB0000}"/>
    <cellStyle name="Normal 7 3 9" xfId="34375" xr:uid="{00000000-0005-0000-0000-00000DBB0000}"/>
    <cellStyle name="Normal 7 3 9 2" xfId="34376" xr:uid="{00000000-0005-0000-0000-00000EBB0000}"/>
    <cellStyle name="Normal 7 3 9 2 2" xfId="34377" xr:uid="{00000000-0005-0000-0000-00000FBB0000}"/>
    <cellStyle name="Normal 7 3 9 2 2 2" xfId="34378" xr:uid="{00000000-0005-0000-0000-000010BB0000}"/>
    <cellStyle name="Normal 7 3 9 2 2 2 2" xfId="59534" xr:uid="{00000000-0005-0000-0000-000011BB0000}"/>
    <cellStyle name="Normal 7 3 9 2 2 2 3" xfId="59535" xr:uid="{00000000-0005-0000-0000-000012BB0000}"/>
    <cellStyle name="Normal 7 3 9 2 2 3" xfId="34379" xr:uid="{00000000-0005-0000-0000-000013BB0000}"/>
    <cellStyle name="Normal 7 3 9 2 2 3 2" xfId="59536" xr:uid="{00000000-0005-0000-0000-000014BB0000}"/>
    <cellStyle name="Normal 7 3 9 2 2 4" xfId="34380" xr:uid="{00000000-0005-0000-0000-000015BB0000}"/>
    <cellStyle name="Normal 7 3 9 2 2 5" xfId="34381" xr:uid="{00000000-0005-0000-0000-000016BB0000}"/>
    <cellStyle name="Normal 7 3 9 2 2 6" xfId="34382" xr:uid="{00000000-0005-0000-0000-000017BB0000}"/>
    <cellStyle name="Normal 7 3 9 2 3" xfId="34383" xr:uid="{00000000-0005-0000-0000-000018BB0000}"/>
    <cellStyle name="Normal 7 3 9 2 3 2" xfId="59537" xr:uid="{00000000-0005-0000-0000-000019BB0000}"/>
    <cellStyle name="Normal 7 3 9 2 3 3" xfId="59538" xr:uid="{00000000-0005-0000-0000-00001ABB0000}"/>
    <cellStyle name="Normal 7 3 9 2 4" xfId="34384" xr:uid="{00000000-0005-0000-0000-00001BBB0000}"/>
    <cellStyle name="Normal 7 3 9 2 4 2" xfId="59539" xr:uid="{00000000-0005-0000-0000-00001CBB0000}"/>
    <cellStyle name="Normal 7 3 9 2 5" xfId="34385" xr:uid="{00000000-0005-0000-0000-00001DBB0000}"/>
    <cellStyle name="Normal 7 3 9 2 6" xfId="34386" xr:uid="{00000000-0005-0000-0000-00001EBB0000}"/>
    <cellStyle name="Normal 7 3 9 2 7" xfId="34387" xr:uid="{00000000-0005-0000-0000-00001FBB0000}"/>
    <cellStyle name="Normal 7 3 9 3" xfId="34388" xr:uid="{00000000-0005-0000-0000-000020BB0000}"/>
    <cellStyle name="Normal 7 3 9 3 2" xfId="34389" xr:uid="{00000000-0005-0000-0000-000021BB0000}"/>
    <cellStyle name="Normal 7 3 9 3 2 2" xfId="59540" xr:uid="{00000000-0005-0000-0000-000022BB0000}"/>
    <cellStyle name="Normal 7 3 9 3 2 3" xfId="59541" xr:uid="{00000000-0005-0000-0000-000023BB0000}"/>
    <cellStyle name="Normal 7 3 9 3 3" xfId="34390" xr:uid="{00000000-0005-0000-0000-000024BB0000}"/>
    <cellStyle name="Normal 7 3 9 3 3 2" xfId="59542" xr:uid="{00000000-0005-0000-0000-000025BB0000}"/>
    <cellStyle name="Normal 7 3 9 3 4" xfId="34391" xr:uid="{00000000-0005-0000-0000-000026BB0000}"/>
    <cellStyle name="Normal 7 3 9 3 5" xfId="34392" xr:uid="{00000000-0005-0000-0000-000027BB0000}"/>
    <cellStyle name="Normal 7 3 9 3 6" xfId="34393" xr:uid="{00000000-0005-0000-0000-000028BB0000}"/>
    <cellStyle name="Normal 7 3 9 4" xfId="34394" xr:uid="{00000000-0005-0000-0000-000029BB0000}"/>
    <cellStyle name="Normal 7 3 9 4 2" xfId="59543" xr:uid="{00000000-0005-0000-0000-00002ABB0000}"/>
    <cellStyle name="Normal 7 3 9 4 3" xfId="59544" xr:uid="{00000000-0005-0000-0000-00002BBB0000}"/>
    <cellStyle name="Normal 7 3 9 5" xfId="34395" xr:uid="{00000000-0005-0000-0000-00002CBB0000}"/>
    <cellStyle name="Normal 7 3 9 5 2" xfId="59545" xr:uid="{00000000-0005-0000-0000-00002DBB0000}"/>
    <cellStyle name="Normal 7 3 9 6" xfId="34396" xr:uid="{00000000-0005-0000-0000-00002EBB0000}"/>
    <cellStyle name="Normal 7 3 9 7" xfId="34397" xr:uid="{00000000-0005-0000-0000-00002FBB0000}"/>
    <cellStyle name="Normal 7 3 9 8" xfId="34398" xr:uid="{00000000-0005-0000-0000-000030BB0000}"/>
    <cellStyle name="Normal 7 4" xfId="34399" xr:uid="{00000000-0005-0000-0000-000031BB0000}"/>
    <cellStyle name="Normal 7 4 10" xfId="34400" xr:uid="{00000000-0005-0000-0000-000032BB0000}"/>
    <cellStyle name="Normal 7 4 11" xfId="34401" xr:uid="{00000000-0005-0000-0000-000033BB0000}"/>
    <cellStyle name="Normal 7 4 12" xfId="34402" xr:uid="{00000000-0005-0000-0000-000034BB0000}"/>
    <cellStyle name="Normal 7 4 13" xfId="34403" xr:uid="{00000000-0005-0000-0000-000035BB0000}"/>
    <cellStyle name="Normal 7 4 14" xfId="34404" xr:uid="{00000000-0005-0000-0000-000036BB0000}"/>
    <cellStyle name="Normal 7 4 15" xfId="34405" xr:uid="{00000000-0005-0000-0000-000037BB0000}"/>
    <cellStyle name="Normal 7 4 16" xfId="34406" xr:uid="{00000000-0005-0000-0000-000038BB0000}"/>
    <cellStyle name="Normal 7 4 2" xfId="34407" xr:uid="{00000000-0005-0000-0000-000039BB0000}"/>
    <cellStyle name="Normal 7 4 2 10" xfId="34408" xr:uid="{00000000-0005-0000-0000-00003ABB0000}"/>
    <cellStyle name="Normal 7 4 2 11" xfId="34409" xr:uid="{00000000-0005-0000-0000-00003BBB0000}"/>
    <cellStyle name="Normal 7 4 2 12" xfId="34410" xr:uid="{00000000-0005-0000-0000-00003CBB0000}"/>
    <cellStyle name="Normal 7 4 2 13" xfId="34411" xr:uid="{00000000-0005-0000-0000-00003DBB0000}"/>
    <cellStyle name="Normal 7 4 2 14" xfId="34412" xr:uid="{00000000-0005-0000-0000-00003EBB0000}"/>
    <cellStyle name="Normal 7 4 2 2" xfId="34413" xr:uid="{00000000-0005-0000-0000-00003FBB0000}"/>
    <cellStyle name="Normal 7 4 2 2 2" xfId="34414" xr:uid="{00000000-0005-0000-0000-000040BB0000}"/>
    <cellStyle name="Normal 7 4 2 2 2 2" xfId="34415" xr:uid="{00000000-0005-0000-0000-000041BB0000}"/>
    <cellStyle name="Normal 7 4 2 2 2 2 2" xfId="34416" xr:uid="{00000000-0005-0000-0000-000042BB0000}"/>
    <cellStyle name="Normal 7 4 2 2 2 2 2 2" xfId="59546" xr:uid="{00000000-0005-0000-0000-000043BB0000}"/>
    <cellStyle name="Normal 7 4 2 2 2 2 2 3" xfId="59547" xr:uid="{00000000-0005-0000-0000-000044BB0000}"/>
    <cellStyle name="Normal 7 4 2 2 2 2 3" xfId="34417" xr:uid="{00000000-0005-0000-0000-000045BB0000}"/>
    <cellStyle name="Normal 7 4 2 2 2 2 3 2" xfId="59548" xr:uid="{00000000-0005-0000-0000-000046BB0000}"/>
    <cellStyle name="Normal 7 4 2 2 2 2 4" xfId="34418" xr:uid="{00000000-0005-0000-0000-000047BB0000}"/>
    <cellStyle name="Normal 7 4 2 2 2 2 5" xfId="34419" xr:uid="{00000000-0005-0000-0000-000048BB0000}"/>
    <cellStyle name="Normal 7 4 2 2 2 2 6" xfId="34420" xr:uid="{00000000-0005-0000-0000-000049BB0000}"/>
    <cellStyle name="Normal 7 4 2 2 2 3" xfId="34421" xr:uid="{00000000-0005-0000-0000-00004ABB0000}"/>
    <cellStyle name="Normal 7 4 2 2 2 3 2" xfId="59549" xr:uid="{00000000-0005-0000-0000-00004BBB0000}"/>
    <cellStyle name="Normal 7 4 2 2 2 3 3" xfId="59550" xr:uid="{00000000-0005-0000-0000-00004CBB0000}"/>
    <cellStyle name="Normal 7 4 2 2 2 4" xfId="34422" xr:uid="{00000000-0005-0000-0000-00004DBB0000}"/>
    <cellStyle name="Normal 7 4 2 2 2 4 2" xfId="59551" xr:uid="{00000000-0005-0000-0000-00004EBB0000}"/>
    <cellStyle name="Normal 7 4 2 2 2 5" xfId="34423" xr:uid="{00000000-0005-0000-0000-00004FBB0000}"/>
    <cellStyle name="Normal 7 4 2 2 2 6" xfId="34424" xr:uid="{00000000-0005-0000-0000-000050BB0000}"/>
    <cellStyle name="Normal 7 4 2 2 2 7" xfId="34425" xr:uid="{00000000-0005-0000-0000-000051BB0000}"/>
    <cellStyle name="Normal 7 4 2 2 3" xfId="34426" xr:uid="{00000000-0005-0000-0000-000052BB0000}"/>
    <cellStyle name="Normal 7 4 2 2 3 2" xfId="34427" xr:uid="{00000000-0005-0000-0000-000053BB0000}"/>
    <cellStyle name="Normal 7 4 2 2 3 2 2" xfId="59552" xr:uid="{00000000-0005-0000-0000-000054BB0000}"/>
    <cellStyle name="Normal 7 4 2 2 3 2 3" xfId="59553" xr:uid="{00000000-0005-0000-0000-000055BB0000}"/>
    <cellStyle name="Normal 7 4 2 2 3 3" xfId="34428" xr:uid="{00000000-0005-0000-0000-000056BB0000}"/>
    <cellStyle name="Normal 7 4 2 2 3 3 2" xfId="59554" xr:uid="{00000000-0005-0000-0000-000057BB0000}"/>
    <cellStyle name="Normal 7 4 2 2 3 4" xfId="34429" xr:uid="{00000000-0005-0000-0000-000058BB0000}"/>
    <cellStyle name="Normal 7 4 2 2 3 5" xfId="34430" xr:uid="{00000000-0005-0000-0000-000059BB0000}"/>
    <cellStyle name="Normal 7 4 2 2 3 6" xfId="34431" xr:uid="{00000000-0005-0000-0000-00005ABB0000}"/>
    <cellStyle name="Normal 7 4 2 2 4" xfId="34432" xr:uid="{00000000-0005-0000-0000-00005BBB0000}"/>
    <cellStyle name="Normal 7 4 2 2 4 2" xfId="59555" xr:uid="{00000000-0005-0000-0000-00005CBB0000}"/>
    <cellStyle name="Normal 7 4 2 2 4 3" xfId="59556" xr:uid="{00000000-0005-0000-0000-00005DBB0000}"/>
    <cellStyle name="Normal 7 4 2 2 5" xfId="34433" xr:uid="{00000000-0005-0000-0000-00005EBB0000}"/>
    <cellStyle name="Normal 7 4 2 2 5 2" xfId="59557" xr:uid="{00000000-0005-0000-0000-00005FBB0000}"/>
    <cellStyle name="Normal 7 4 2 2 6" xfId="34434" xr:uid="{00000000-0005-0000-0000-000060BB0000}"/>
    <cellStyle name="Normal 7 4 2 2 7" xfId="34435" xr:uid="{00000000-0005-0000-0000-000061BB0000}"/>
    <cellStyle name="Normal 7 4 2 2 8" xfId="34436" xr:uid="{00000000-0005-0000-0000-000062BB0000}"/>
    <cellStyle name="Normal 7 4 2 2 9" xfId="34437" xr:uid="{00000000-0005-0000-0000-000063BB0000}"/>
    <cellStyle name="Normal 7 4 2 3" xfId="34438" xr:uid="{00000000-0005-0000-0000-000064BB0000}"/>
    <cellStyle name="Normal 7 4 2 3 2" xfId="34439" xr:uid="{00000000-0005-0000-0000-000065BB0000}"/>
    <cellStyle name="Normal 7 4 2 3 2 2" xfId="34440" xr:uid="{00000000-0005-0000-0000-000066BB0000}"/>
    <cellStyle name="Normal 7 4 2 3 2 2 2" xfId="34441" xr:uid="{00000000-0005-0000-0000-000067BB0000}"/>
    <cellStyle name="Normal 7 4 2 3 2 2 2 2" xfId="59558" xr:uid="{00000000-0005-0000-0000-000068BB0000}"/>
    <cellStyle name="Normal 7 4 2 3 2 2 2 3" xfId="59559" xr:uid="{00000000-0005-0000-0000-000069BB0000}"/>
    <cellStyle name="Normal 7 4 2 3 2 2 3" xfId="34442" xr:uid="{00000000-0005-0000-0000-00006ABB0000}"/>
    <cellStyle name="Normal 7 4 2 3 2 2 3 2" xfId="59560" xr:uid="{00000000-0005-0000-0000-00006BBB0000}"/>
    <cellStyle name="Normal 7 4 2 3 2 2 4" xfId="34443" xr:uid="{00000000-0005-0000-0000-00006CBB0000}"/>
    <cellStyle name="Normal 7 4 2 3 2 2 5" xfId="34444" xr:uid="{00000000-0005-0000-0000-00006DBB0000}"/>
    <cellStyle name="Normal 7 4 2 3 2 2 6" xfId="34445" xr:uid="{00000000-0005-0000-0000-00006EBB0000}"/>
    <cellStyle name="Normal 7 4 2 3 2 3" xfId="34446" xr:uid="{00000000-0005-0000-0000-00006FBB0000}"/>
    <cellStyle name="Normal 7 4 2 3 2 3 2" xfId="59561" xr:uid="{00000000-0005-0000-0000-000070BB0000}"/>
    <cellStyle name="Normal 7 4 2 3 2 3 3" xfId="59562" xr:uid="{00000000-0005-0000-0000-000071BB0000}"/>
    <cellStyle name="Normal 7 4 2 3 2 4" xfId="34447" xr:uid="{00000000-0005-0000-0000-000072BB0000}"/>
    <cellStyle name="Normal 7 4 2 3 2 4 2" xfId="59563" xr:uid="{00000000-0005-0000-0000-000073BB0000}"/>
    <cellStyle name="Normal 7 4 2 3 2 5" xfId="34448" xr:uid="{00000000-0005-0000-0000-000074BB0000}"/>
    <cellStyle name="Normal 7 4 2 3 2 6" xfId="34449" xr:uid="{00000000-0005-0000-0000-000075BB0000}"/>
    <cellStyle name="Normal 7 4 2 3 2 7" xfId="34450" xr:uid="{00000000-0005-0000-0000-000076BB0000}"/>
    <cellStyle name="Normal 7 4 2 3 3" xfId="34451" xr:uid="{00000000-0005-0000-0000-000077BB0000}"/>
    <cellStyle name="Normal 7 4 2 3 3 2" xfId="34452" xr:uid="{00000000-0005-0000-0000-000078BB0000}"/>
    <cellStyle name="Normal 7 4 2 3 3 2 2" xfId="59564" xr:uid="{00000000-0005-0000-0000-000079BB0000}"/>
    <cellStyle name="Normal 7 4 2 3 3 2 3" xfId="59565" xr:uid="{00000000-0005-0000-0000-00007ABB0000}"/>
    <cellStyle name="Normal 7 4 2 3 3 3" xfId="34453" xr:uid="{00000000-0005-0000-0000-00007BBB0000}"/>
    <cellStyle name="Normal 7 4 2 3 3 3 2" xfId="59566" xr:uid="{00000000-0005-0000-0000-00007CBB0000}"/>
    <cellStyle name="Normal 7 4 2 3 3 4" xfId="34454" xr:uid="{00000000-0005-0000-0000-00007DBB0000}"/>
    <cellStyle name="Normal 7 4 2 3 3 5" xfId="34455" xr:uid="{00000000-0005-0000-0000-00007EBB0000}"/>
    <cellStyle name="Normal 7 4 2 3 3 6" xfId="34456" xr:uid="{00000000-0005-0000-0000-00007FBB0000}"/>
    <cellStyle name="Normal 7 4 2 3 4" xfId="34457" xr:uid="{00000000-0005-0000-0000-000080BB0000}"/>
    <cellStyle name="Normal 7 4 2 3 4 2" xfId="59567" xr:uid="{00000000-0005-0000-0000-000081BB0000}"/>
    <cellStyle name="Normal 7 4 2 3 4 3" xfId="59568" xr:uid="{00000000-0005-0000-0000-000082BB0000}"/>
    <cellStyle name="Normal 7 4 2 3 5" xfId="34458" xr:uid="{00000000-0005-0000-0000-000083BB0000}"/>
    <cellStyle name="Normal 7 4 2 3 5 2" xfId="59569" xr:uid="{00000000-0005-0000-0000-000084BB0000}"/>
    <cellStyle name="Normal 7 4 2 3 6" xfId="34459" xr:uid="{00000000-0005-0000-0000-000085BB0000}"/>
    <cellStyle name="Normal 7 4 2 3 7" xfId="34460" xr:uid="{00000000-0005-0000-0000-000086BB0000}"/>
    <cellStyle name="Normal 7 4 2 3 8" xfId="34461" xr:uid="{00000000-0005-0000-0000-000087BB0000}"/>
    <cellStyle name="Normal 7 4 2 4" xfId="34462" xr:uid="{00000000-0005-0000-0000-000088BB0000}"/>
    <cellStyle name="Normal 7 4 2 4 2" xfId="34463" xr:uid="{00000000-0005-0000-0000-000089BB0000}"/>
    <cellStyle name="Normal 7 4 2 4 2 2" xfId="34464" xr:uid="{00000000-0005-0000-0000-00008ABB0000}"/>
    <cellStyle name="Normal 7 4 2 4 2 2 2" xfId="59570" xr:uid="{00000000-0005-0000-0000-00008BBB0000}"/>
    <cellStyle name="Normal 7 4 2 4 2 2 3" xfId="59571" xr:uid="{00000000-0005-0000-0000-00008CBB0000}"/>
    <cellStyle name="Normal 7 4 2 4 2 3" xfId="34465" xr:uid="{00000000-0005-0000-0000-00008DBB0000}"/>
    <cellStyle name="Normal 7 4 2 4 2 3 2" xfId="59572" xr:uid="{00000000-0005-0000-0000-00008EBB0000}"/>
    <cellStyle name="Normal 7 4 2 4 2 4" xfId="34466" xr:uid="{00000000-0005-0000-0000-00008FBB0000}"/>
    <cellStyle name="Normal 7 4 2 4 2 5" xfId="34467" xr:uid="{00000000-0005-0000-0000-000090BB0000}"/>
    <cellStyle name="Normal 7 4 2 4 2 6" xfId="34468" xr:uid="{00000000-0005-0000-0000-000091BB0000}"/>
    <cellStyle name="Normal 7 4 2 4 3" xfId="34469" xr:uid="{00000000-0005-0000-0000-000092BB0000}"/>
    <cellStyle name="Normal 7 4 2 4 3 2" xfId="59573" xr:uid="{00000000-0005-0000-0000-000093BB0000}"/>
    <cellStyle name="Normal 7 4 2 4 3 3" xfId="59574" xr:uid="{00000000-0005-0000-0000-000094BB0000}"/>
    <cellStyle name="Normal 7 4 2 4 4" xfId="34470" xr:uid="{00000000-0005-0000-0000-000095BB0000}"/>
    <cellStyle name="Normal 7 4 2 4 4 2" xfId="59575" xr:uid="{00000000-0005-0000-0000-000096BB0000}"/>
    <cellStyle name="Normal 7 4 2 4 5" xfId="34471" xr:uid="{00000000-0005-0000-0000-000097BB0000}"/>
    <cellStyle name="Normal 7 4 2 4 6" xfId="34472" xr:uid="{00000000-0005-0000-0000-000098BB0000}"/>
    <cellStyle name="Normal 7 4 2 4 7" xfId="34473" xr:uid="{00000000-0005-0000-0000-000099BB0000}"/>
    <cellStyle name="Normal 7 4 2 5" xfId="34474" xr:uid="{00000000-0005-0000-0000-00009ABB0000}"/>
    <cellStyle name="Normal 7 4 2 5 2" xfId="34475" xr:uid="{00000000-0005-0000-0000-00009BBB0000}"/>
    <cellStyle name="Normal 7 4 2 5 2 2" xfId="59576" xr:uid="{00000000-0005-0000-0000-00009CBB0000}"/>
    <cellStyle name="Normal 7 4 2 5 2 3" xfId="59577" xr:uid="{00000000-0005-0000-0000-00009DBB0000}"/>
    <cellStyle name="Normal 7 4 2 5 3" xfId="34476" xr:uid="{00000000-0005-0000-0000-00009EBB0000}"/>
    <cellStyle name="Normal 7 4 2 5 3 2" xfId="59578" xr:uid="{00000000-0005-0000-0000-00009FBB0000}"/>
    <cellStyle name="Normal 7 4 2 5 4" xfId="34477" xr:uid="{00000000-0005-0000-0000-0000A0BB0000}"/>
    <cellStyle name="Normal 7 4 2 5 5" xfId="34478" xr:uid="{00000000-0005-0000-0000-0000A1BB0000}"/>
    <cellStyle name="Normal 7 4 2 5 6" xfId="34479" xr:uid="{00000000-0005-0000-0000-0000A2BB0000}"/>
    <cellStyle name="Normal 7 4 2 6" xfId="34480" xr:uid="{00000000-0005-0000-0000-0000A3BB0000}"/>
    <cellStyle name="Normal 7 4 2 6 2" xfId="59579" xr:uid="{00000000-0005-0000-0000-0000A4BB0000}"/>
    <cellStyle name="Normal 7 4 2 6 3" xfId="59580" xr:uid="{00000000-0005-0000-0000-0000A5BB0000}"/>
    <cellStyle name="Normal 7 4 2 7" xfId="34481" xr:uid="{00000000-0005-0000-0000-0000A6BB0000}"/>
    <cellStyle name="Normal 7 4 2 7 2" xfId="59581" xr:uid="{00000000-0005-0000-0000-0000A7BB0000}"/>
    <cellStyle name="Normal 7 4 2 8" xfId="34482" xr:uid="{00000000-0005-0000-0000-0000A8BB0000}"/>
    <cellStyle name="Normal 7 4 2 8 2" xfId="59582" xr:uid="{00000000-0005-0000-0000-0000A9BB0000}"/>
    <cellStyle name="Normal 7 4 2 9" xfId="34483" xr:uid="{00000000-0005-0000-0000-0000AABB0000}"/>
    <cellStyle name="Normal 7 4 3" xfId="34484" xr:uid="{00000000-0005-0000-0000-0000ABBB0000}"/>
    <cellStyle name="Normal 7 4 3 2" xfId="34485" xr:uid="{00000000-0005-0000-0000-0000ACBB0000}"/>
    <cellStyle name="Normal 7 4 3 2 2" xfId="34486" xr:uid="{00000000-0005-0000-0000-0000ADBB0000}"/>
    <cellStyle name="Normal 7 4 3 2 2 2" xfId="34487" xr:uid="{00000000-0005-0000-0000-0000AEBB0000}"/>
    <cellStyle name="Normal 7 4 3 2 2 2 2" xfId="59583" xr:uid="{00000000-0005-0000-0000-0000AFBB0000}"/>
    <cellStyle name="Normal 7 4 3 2 2 2 3" xfId="59584" xr:uid="{00000000-0005-0000-0000-0000B0BB0000}"/>
    <cellStyle name="Normal 7 4 3 2 2 3" xfId="34488" xr:uid="{00000000-0005-0000-0000-0000B1BB0000}"/>
    <cellStyle name="Normal 7 4 3 2 2 3 2" xfId="59585" xr:uid="{00000000-0005-0000-0000-0000B2BB0000}"/>
    <cellStyle name="Normal 7 4 3 2 2 4" xfId="34489" xr:uid="{00000000-0005-0000-0000-0000B3BB0000}"/>
    <cellStyle name="Normal 7 4 3 2 2 5" xfId="34490" xr:uid="{00000000-0005-0000-0000-0000B4BB0000}"/>
    <cellStyle name="Normal 7 4 3 2 2 6" xfId="34491" xr:uid="{00000000-0005-0000-0000-0000B5BB0000}"/>
    <cellStyle name="Normal 7 4 3 2 3" xfId="34492" xr:uid="{00000000-0005-0000-0000-0000B6BB0000}"/>
    <cellStyle name="Normal 7 4 3 2 3 2" xfId="59586" xr:uid="{00000000-0005-0000-0000-0000B7BB0000}"/>
    <cellStyle name="Normal 7 4 3 2 3 3" xfId="59587" xr:uid="{00000000-0005-0000-0000-0000B8BB0000}"/>
    <cellStyle name="Normal 7 4 3 2 4" xfId="34493" xr:uid="{00000000-0005-0000-0000-0000B9BB0000}"/>
    <cellStyle name="Normal 7 4 3 2 4 2" xfId="59588" xr:uid="{00000000-0005-0000-0000-0000BABB0000}"/>
    <cellStyle name="Normal 7 4 3 2 5" xfId="34494" xr:uid="{00000000-0005-0000-0000-0000BBBB0000}"/>
    <cellStyle name="Normal 7 4 3 2 6" xfId="34495" xr:uid="{00000000-0005-0000-0000-0000BCBB0000}"/>
    <cellStyle name="Normal 7 4 3 2 7" xfId="34496" xr:uid="{00000000-0005-0000-0000-0000BDBB0000}"/>
    <cellStyle name="Normal 7 4 3 3" xfId="34497" xr:uid="{00000000-0005-0000-0000-0000BEBB0000}"/>
    <cellStyle name="Normal 7 4 3 3 2" xfId="34498" xr:uid="{00000000-0005-0000-0000-0000BFBB0000}"/>
    <cellStyle name="Normal 7 4 3 3 2 2" xfId="59589" xr:uid="{00000000-0005-0000-0000-0000C0BB0000}"/>
    <cellStyle name="Normal 7 4 3 3 2 3" xfId="59590" xr:uid="{00000000-0005-0000-0000-0000C1BB0000}"/>
    <cellStyle name="Normal 7 4 3 3 3" xfId="34499" xr:uid="{00000000-0005-0000-0000-0000C2BB0000}"/>
    <cellStyle name="Normal 7 4 3 3 3 2" xfId="59591" xr:uid="{00000000-0005-0000-0000-0000C3BB0000}"/>
    <cellStyle name="Normal 7 4 3 3 4" xfId="34500" xr:uid="{00000000-0005-0000-0000-0000C4BB0000}"/>
    <cellStyle name="Normal 7 4 3 3 5" xfId="34501" xr:uid="{00000000-0005-0000-0000-0000C5BB0000}"/>
    <cellStyle name="Normal 7 4 3 3 6" xfId="34502" xr:uid="{00000000-0005-0000-0000-0000C6BB0000}"/>
    <cellStyle name="Normal 7 4 3 4" xfId="34503" xr:uid="{00000000-0005-0000-0000-0000C7BB0000}"/>
    <cellStyle name="Normal 7 4 3 4 2" xfId="59592" xr:uid="{00000000-0005-0000-0000-0000C8BB0000}"/>
    <cellStyle name="Normal 7 4 3 4 3" xfId="59593" xr:uid="{00000000-0005-0000-0000-0000C9BB0000}"/>
    <cellStyle name="Normal 7 4 3 5" xfId="34504" xr:uid="{00000000-0005-0000-0000-0000CABB0000}"/>
    <cellStyle name="Normal 7 4 3 5 2" xfId="59594" xr:uid="{00000000-0005-0000-0000-0000CBBB0000}"/>
    <cellStyle name="Normal 7 4 3 6" xfId="34505" xr:uid="{00000000-0005-0000-0000-0000CCBB0000}"/>
    <cellStyle name="Normal 7 4 3 7" xfId="34506" xr:uid="{00000000-0005-0000-0000-0000CDBB0000}"/>
    <cellStyle name="Normal 7 4 3 8" xfId="34507" xr:uid="{00000000-0005-0000-0000-0000CEBB0000}"/>
    <cellStyle name="Normal 7 4 3 9" xfId="34508" xr:uid="{00000000-0005-0000-0000-0000CFBB0000}"/>
    <cellStyle name="Normal 7 4 4" xfId="34509" xr:uid="{00000000-0005-0000-0000-0000D0BB0000}"/>
    <cellStyle name="Normal 7 4 4 2" xfId="34510" xr:uid="{00000000-0005-0000-0000-0000D1BB0000}"/>
    <cellStyle name="Normal 7 4 4 2 2" xfId="34511" xr:uid="{00000000-0005-0000-0000-0000D2BB0000}"/>
    <cellStyle name="Normal 7 4 4 2 2 2" xfId="34512" xr:uid="{00000000-0005-0000-0000-0000D3BB0000}"/>
    <cellStyle name="Normal 7 4 4 2 2 2 2" xfId="59595" xr:uid="{00000000-0005-0000-0000-0000D4BB0000}"/>
    <cellStyle name="Normal 7 4 4 2 2 2 3" xfId="59596" xr:uid="{00000000-0005-0000-0000-0000D5BB0000}"/>
    <cellStyle name="Normal 7 4 4 2 2 3" xfId="34513" xr:uid="{00000000-0005-0000-0000-0000D6BB0000}"/>
    <cellStyle name="Normal 7 4 4 2 2 3 2" xfId="59597" xr:uid="{00000000-0005-0000-0000-0000D7BB0000}"/>
    <cellStyle name="Normal 7 4 4 2 2 4" xfId="34514" xr:uid="{00000000-0005-0000-0000-0000D8BB0000}"/>
    <cellStyle name="Normal 7 4 4 2 2 5" xfId="34515" xr:uid="{00000000-0005-0000-0000-0000D9BB0000}"/>
    <cellStyle name="Normal 7 4 4 2 2 6" xfId="34516" xr:uid="{00000000-0005-0000-0000-0000DABB0000}"/>
    <cellStyle name="Normal 7 4 4 2 3" xfId="34517" xr:uid="{00000000-0005-0000-0000-0000DBBB0000}"/>
    <cellStyle name="Normal 7 4 4 2 3 2" xfId="59598" xr:uid="{00000000-0005-0000-0000-0000DCBB0000}"/>
    <cellStyle name="Normal 7 4 4 2 3 3" xfId="59599" xr:uid="{00000000-0005-0000-0000-0000DDBB0000}"/>
    <cellStyle name="Normal 7 4 4 2 4" xfId="34518" xr:uid="{00000000-0005-0000-0000-0000DEBB0000}"/>
    <cellStyle name="Normal 7 4 4 2 4 2" xfId="59600" xr:uid="{00000000-0005-0000-0000-0000DFBB0000}"/>
    <cellStyle name="Normal 7 4 4 2 5" xfId="34519" xr:uid="{00000000-0005-0000-0000-0000E0BB0000}"/>
    <cellStyle name="Normal 7 4 4 2 6" xfId="34520" xr:uid="{00000000-0005-0000-0000-0000E1BB0000}"/>
    <cellStyle name="Normal 7 4 4 2 7" xfId="34521" xr:uid="{00000000-0005-0000-0000-0000E2BB0000}"/>
    <cellStyle name="Normal 7 4 4 3" xfId="34522" xr:uid="{00000000-0005-0000-0000-0000E3BB0000}"/>
    <cellStyle name="Normal 7 4 4 3 2" xfId="34523" xr:uid="{00000000-0005-0000-0000-0000E4BB0000}"/>
    <cellStyle name="Normal 7 4 4 3 2 2" xfId="59601" xr:uid="{00000000-0005-0000-0000-0000E5BB0000}"/>
    <cellStyle name="Normal 7 4 4 3 2 3" xfId="59602" xr:uid="{00000000-0005-0000-0000-0000E6BB0000}"/>
    <cellStyle name="Normal 7 4 4 3 3" xfId="34524" xr:uid="{00000000-0005-0000-0000-0000E7BB0000}"/>
    <cellStyle name="Normal 7 4 4 3 3 2" xfId="59603" xr:uid="{00000000-0005-0000-0000-0000E8BB0000}"/>
    <cellStyle name="Normal 7 4 4 3 4" xfId="34525" xr:uid="{00000000-0005-0000-0000-0000E9BB0000}"/>
    <cellStyle name="Normal 7 4 4 3 5" xfId="34526" xr:uid="{00000000-0005-0000-0000-0000EABB0000}"/>
    <cellStyle name="Normal 7 4 4 3 6" xfId="34527" xr:uid="{00000000-0005-0000-0000-0000EBBB0000}"/>
    <cellStyle name="Normal 7 4 4 4" xfId="34528" xr:uid="{00000000-0005-0000-0000-0000ECBB0000}"/>
    <cellStyle name="Normal 7 4 4 4 2" xfId="59604" xr:uid="{00000000-0005-0000-0000-0000EDBB0000}"/>
    <cellStyle name="Normal 7 4 4 4 3" xfId="59605" xr:uid="{00000000-0005-0000-0000-0000EEBB0000}"/>
    <cellStyle name="Normal 7 4 4 5" xfId="34529" xr:uid="{00000000-0005-0000-0000-0000EFBB0000}"/>
    <cellStyle name="Normal 7 4 4 5 2" xfId="59606" xr:uid="{00000000-0005-0000-0000-0000F0BB0000}"/>
    <cellStyle name="Normal 7 4 4 6" xfId="34530" xr:uid="{00000000-0005-0000-0000-0000F1BB0000}"/>
    <cellStyle name="Normal 7 4 4 7" xfId="34531" xr:uid="{00000000-0005-0000-0000-0000F2BB0000}"/>
    <cellStyle name="Normal 7 4 4 8" xfId="34532" xr:uid="{00000000-0005-0000-0000-0000F3BB0000}"/>
    <cellStyle name="Normal 7 4 5" xfId="34533" xr:uid="{00000000-0005-0000-0000-0000F4BB0000}"/>
    <cellStyle name="Normal 7 4 5 2" xfId="34534" xr:uid="{00000000-0005-0000-0000-0000F5BB0000}"/>
    <cellStyle name="Normal 7 4 5 2 2" xfId="34535" xr:uid="{00000000-0005-0000-0000-0000F6BB0000}"/>
    <cellStyle name="Normal 7 4 5 2 2 2" xfId="59607" xr:uid="{00000000-0005-0000-0000-0000F7BB0000}"/>
    <cellStyle name="Normal 7 4 5 2 2 3" xfId="59608" xr:uid="{00000000-0005-0000-0000-0000F8BB0000}"/>
    <cellStyle name="Normal 7 4 5 2 3" xfId="34536" xr:uid="{00000000-0005-0000-0000-0000F9BB0000}"/>
    <cellStyle name="Normal 7 4 5 2 3 2" xfId="59609" xr:uid="{00000000-0005-0000-0000-0000FABB0000}"/>
    <cellStyle name="Normal 7 4 5 2 4" xfId="34537" xr:uid="{00000000-0005-0000-0000-0000FBBB0000}"/>
    <cellStyle name="Normal 7 4 5 2 5" xfId="34538" xr:uid="{00000000-0005-0000-0000-0000FCBB0000}"/>
    <cellStyle name="Normal 7 4 5 2 6" xfId="34539" xr:uid="{00000000-0005-0000-0000-0000FDBB0000}"/>
    <cellStyle name="Normal 7 4 5 3" xfId="34540" xr:uid="{00000000-0005-0000-0000-0000FEBB0000}"/>
    <cellStyle name="Normal 7 4 5 3 2" xfId="59610" xr:uid="{00000000-0005-0000-0000-0000FFBB0000}"/>
    <cellStyle name="Normal 7 4 5 3 3" xfId="59611" xr:uid="{00000000-0005-0000-0000-000000BC0000}"/>
    <cellStyle name="Normal 7 4 5 4" xfId="34541" xr:uid="{00000000-0005-0000-0000-000001BC0000}"/>
    <cellStyle name="Normal 7 4 5 4 2" xfId="59612" xr:uid="{00000000-0005-0000-0000-000002BC0000}"/>
    <cellStyle name="Normal 7 4 5 5" xfId="34542" xr:uid="{00000000-0005-0000-0000-000003BC0000}"/>
    <cellStyle name="Normal 7 4 5 6" xfId="34543" xr:uid="{00000000-0005-0000-0000-000004BC0000}"/>
    <cellStyle name="Normal 7 4 5 7" xfId="34544" xr:uid="{00000000-0005-0000-0000-000005BC0000}"/>
    <cellStyle name="Normal 7 4 6" xfId="34545" xr:uid="{00000000-0005-0000-0000-000006BC0000}"/>
    <cellStyle name="Normal 7 4 6 2" xfId="34546" xr:uid="{00000000-0005-0000-0000-000007BC0000}"/>
    <cellStyle name="Normal 7 4 6 2 2" xfId="59613" xr:uid="{00000000-0005-0000-0000-000008BC0000}"/>
    <cellStyle name="Normal 7 4 6 2 3" xfId="59614" xr:uid="{00000000-0005-0000-0000-000009BC0000}"/>
    <cellStyle name="Normal 7 4 6 3" xfId="34547" xr:uid="{00000000-0005-0000-0000-00000ABC0000}"/>
    <cellStyle name="Normal 7 4 6 3 2" xfId="59615" xr:uid="{00000000-0005-0000-0000-00000BBC0000}"/>
    <cellStyle name="Normal 7 4 6 4" xfId="34548" xr:uid="{00000000-0005-0000-0000-00000CBC0000}"/>
    <cellStyle name="Normal 7 4 6 5" xfId="34549" xr:uid="{00000000-0005-0000-0000-00000DBC0000}"/>
    <cellStyle name="Normal 7 4 6 6" xfId="34550" xr:uid="{00000000-0005-0000-0000-00000EBC0000}"/>
    <cellStyle name="Normal 7 4 7" xfId="34551" xr:uid="{00000000-0005-0000-0000-00000FBC0000}"/>
    <cellStyle name="Normal 7 4 7 2" xfId="59616" xr:uid="{00000000-0005-0000-0000-000010BC0000}"/>
    <cellStyle name="Normal 7 4 7 3" xfId="59617" xr:uid="{00000000-0005-0000-0000-000011BC0000}"/>
    <cellStyle name="Normal 7 4 8" xfId="34552" xr:uid="{00000000-0005-0000-0000-000012BC0000}"/>
    <cellStyle name="Normal 7 4 8 2" xfId="59618" xr:uid="{00000000-0005-0000-0000-000013BC0000}"/>
    <cellStyle name="Normal 7 4 9" xfId="34553" xr:uid="{00000000-0005-0000-0000-000014BC0000}"/>
    <cellStyle name="Normal 7 4 9 2" xfId="59619" xr:uid="{00000000-0005-0000-0000-000015BC0000}"/>
    <cellStyle name="Normal 7 5" xfId="34554" xr:uid="{00000000-0005-0000-0000-000016BC0000}"/>
    <cellStyle name="Normal 7 5 10" xfId="34555" xr:uid="{00000000-0005-0000-0000-000017BC0000}"/>
    <cellStyle name="Normal 7 5 11" xfId="34556" xr:uid="{00000000-0005-0000-0000-000018BC0000}"/>
    <cellStyle name="Normal 7 5 12" xfId="34557" xr:uid="{00000000-0005-0000-0000-000019BC0000}"/>
    <cellStyle name="Normal 7 5 13" xfId="34558" xr:uid="{00000000-0005-0000-0000-00001ABC0000}"/>
    <cellStyle name="Normal 7 5 14" xfId="34559" xr:uid="{00000000-0005-0000-0000-00001BBC0000}"/>
    <cellStyle name="Normal 7 5 15" xfId="34560" xr:uid="{00000000-0005-0000-0000-00001CBC0000}"/>
    <cellStyle name="Normal 7 5 16" xfId="34561" xr:uid="{00000000-0005-0000-0000-00001DBC0000}"/>
    <cellStyle name="Normal 7 5 17" xfId="34562" xr:uid="{00000000-0005-0000-0000-00001EBC0000}"/>
    <cellStyle name="Normal 7 5 2" xfId="34563" xr:uid="{00000000-0005-0000-0000-00001FBC0000}"/>
    <cellStyle name="Normal 7 5 2 10" xfId="34564" xr:uid="{00000000-0005-0000-0000-000020BC0000}"/>
    <cellStyle name="Normal 7 5 2 11" xfId="34565" xr:uid="{00000000-0005-0000-0000-000021BC0000}"/>
    <cellStyle name="Normal 7 5 2 12" xfId="34566" xr:uid="{00000000-0005-0000-0000-000022BC0000}"/>
    <cellStyle name="Normal 7 5 2 13" xfId="34567" xr:uid="{00000000-0005-0000-0000-000023BC0000}"/>
    <cellStyle name="Normal 7 5 2 14" xfId="34568" xr:uid="{00000000-0005-0000-0000-000024BC0000}"/>
    <cellStyle name="Normal 7 5 2 2" xfId="34569" xr:uid="{00000000-0005-0000-0000-000025BC0000}"/>
    <cellStyle name="Normal 7 5 2 2 2" xfId="34570" xr:uid="{00000000-0005-0000-0000-000026BC0000}"/>
    <cellStyle name="Normal 7 5 2 2 2 2" xfId="34571" xr:uid="{00000000-0005-0000-0000-000027BC0000}"/>
    <cellStyle name="Normal 7 5 2 2 2 2 2" xfId="34572" xr:uid="{00000000-0005-0000-0000-000028BC0000}"/>
    <cellStyle name="Normal 7 5 2 2 2 2 2 2" xfId="59620" xr:uid="{00000000-0005-0000-0000-000029BC0000}"/>
    <cellStyle name="Normal 7 5 2 2 2 2 2 3" xfId="59621" xr:uid="{00000000-0005-0000-0000-00002ABC0000}"/>
    <cellStyle name="Normal 7 5 2 2 2 2 3" xfId="34573" xr:uid="{00000000-0005-0000-0000-00002BBC0000}"/>
    <cellStyle name="Normal 7 5 2 2 2 2 3 2" xfId="59622" xr:uid="{00000000-0005-0000-0000-00002CBC0000}"/>
    <cellStyle name="Normal 7 5 2 2 2 2 4" xfId="34574" xr:uid="{00000000-0005-0000-0000-00002DBC0000}"/>
    <cellStyle name="Normal 7 5 2 2 2 2 5" xfId="34575" xr:uid="{00000000-0005-0000-0000-00002EBC0000}"/>
    <cellStyle name="Normal 7 5 2 2 2 2 6" xfId="34576" xr:uid="{00000000-0005-0000-0000-00002FBC0000}"/>
    <cellStyle name="Normal 7 5 2 2 2 3" xfId="34577" xr:uid="{00000000-0005-0000-0000-000030BC0000}"/>
    <cellStyle name="Normal 7 5 2 2 2 3 2" xfId="59623" xr:uid="{00000000-0005-0000-0000-000031BC0000}"/>
    <cellStyle name="Normal 7 5 2 2 2 3 3" xfId="59624" xr:uid="{00000000-0005-0000-0000-000032BC0000}"/>
    <cellStyle name="Normal 7 5 2 2 2 4" xfId="34578" xr:uid="{00000000-0005-0000-0000-000033BC0000}"/>
    <cellStyle name="Normal 7 5 2 2 2 4 2" xfId="59625" xr:uid="{00000000-0005-0000-0000-000034BC0000}"/>
    <cellStyle name="Normal 7 5 2 2 2 5" xfId="34579" xr:uid="{00000000-0005-0000-0000-000035BC0000}"/>
    <cellStyle name="Normal 7 5 2 2 2 6" xfId="34580" xr:uid="{00000000-0005-0000-0000-000036BC0000}"/>
    <cellStyle name="Normal 7 5 2 2 2 7" xfId="34581" xr:uid="{00000000-0005-0000-0000-000037BC0000}"/>
    <cellStyle name="Normal 7 5 2 2 3" xfId="34582" xr:uid="{00000000-0005-0000-0000-000038BC0000}"/>
    <cellStyle name="Normal 7 5 2 2 3 2" xfId="34583" xr:uid="{00000000-0005-0000-0000-000039BC0000}"/>
    <cellStyle name="Normal 7 5 2 2 3 2 2" xfId="59626" xr:uid="{00000000-0005-0000-0000-00003ABC0000}"/>
    <cellStyle name="Normal 7 5 2 2 3 2 3" xfId="59627" xr:uid="{00000000-0005-0000-0000-00003BBC0000}"/>
    <cellStyle name="Normal 7 5 2 2 3 3" xfId="34584" xr:uid="{00000000-0005-0000-0000-00003CBC0000}"/>
    <cellStyle name="Normal 7 5 2 2 3 3 2" xfId="59628" xr:uid="{00000000-0005-0000-0000-00003DBC0000}"/>
    <cellStyle name="Normal 7 5 2 2 3 4" xfId="34585" xr:uid="{00000000-0005-0000-0000-00003EBC0000}"/>
    <cellStyle name="Normal 7 5 2 2 3 5" xfId="34586" xr:uid="{00000000-0005-0000-0000-00003FBC0000}"/>
    <cellStyle name="Normal 7 5 2 2 3 6" xfId="34587" xr:uid="{00000000-0005-0000-0000-000040BC0000}"/>
    <cellStyle name="Normal 7 5 2 2 4" xfId="34588" xr:uid="{00000000-0005-0000-0000-000041BC0000}"/>
    <cellStyle name="Normal 7 5 2 2 4 2" xfId="59629" xr:uid="{00000000-0005-0000-0000-000042BC0000}"/>
    <cellStyle name="Normal 7 5 2 2 4 3" xfId="59630" xr:uid="{00000000-0005-0000-0000-000043BC0000}"/>
    <cellStyle name="Normal 7 5 2 2 5" xfId="34589" xr:uid="{00000000-0005-0000-0000-000044BC0000}"/>
    <cellStyle name="Normal 7 5 2 2 5 2" xfId="59631" xr:uid="{00000000-0005-0000-0000-000045BC0000}"/>
    <cellStyle name="Normal 7 5 2 2 6" xfId="34590" xr:uid="{00000000-0005-0000-0000-000046BC0000}"/>
    <cellStyle name="Normal 7 5 2 2 7" xfId="34591" xr:uid="{00000000-0005-0000-0000-000047BC0000}"/>
    <cellStyle name="Normal 7 5 2 2 8" xfId="34592" xr:uid="{00000000-0005-0000-0000-000048BC0000}"/>
    <cellStyle name="Normal 7 5 2 2 9" xfId="34593" xr:uid="{00000000-0005-0000-0000-000049BC0000}"/>
    <cellStyle name="Normal 7 5 2 3" xfId="34594" xr:uid="{00000000-0005-0000-0000-00004ABC0000}"/>
    <cellStyle name="Normal 7 5 2 3 2" xfId="34595" xr:uid="{00000000-0005-0000-0000-00004BBC0000}"/>
    <cellStyle name="Normal 7 5 2 3 2 2" xfId="34596" xr:uid="{00000000-0005-0000-0000-00004CBC0000}"/>
    <cellStyle name="Normal 7 5 2 3 2 2 2" xfId="34597" xr:uid="{00000000-0005-0000-0000-00004DBC0000}"/>
    <cellStyle name="Normal 7 5 2 3 2 2 2 2" xfId="59632" xr:uid="{00000000-0005-0000-0000-00004EBC0000}"/>
    <cellStyle name="Normal 7 5 2 3 2 2 2 3" xfId="59633" xr:uid="{00000000-0005-0000-0000-00004FBC0000}"/>
    <cellStyle name="Normal 7 5 2 3 2 2 3" xfId="34598" xr:uid="{00000000-0005-0000-0000-000050BC0000}"/>
    <cellStyle name="Normal 7 5 2 3 2 2 3 2" xfId="59634" xr:uid="{00000000-0005-0000-0000-000051BC0000}"/>
    <cellStyle name="Normal 7 5 2 3 2 2 4" xfId="34599" xr:uid="{00000000-0005-0000-0000-000052BC0000}"/>
    <cellStyle name="Normal 7 5 2 3 2 2 5" xfId="34600" xr:uid="{00000000-0005-0000-0000-000053BC0000}"/>
    <cellStyle name="Normal 7 5 2 3 2 2 6" xfId="34601" xr:uid="{00000000-0005-0000-0000-000054BC0000}"/>
    <cellStyle name="Normal 7 5 2 3 2 3" xfId="34602" xr:uid="{00000000-0005-0000-0000-000055BC0000}"/>
    <cellStyle name="Normal 7 5 2 3 2 3 2" xfId="59635" xr:uid="{00000000-0005-0000-0000-000056BC0000}"/>
    <cellStyle name="Normal 7 5 2 3 2 3 3" xfId="59636" xr:uid="{00000000-0005-0000-0000-000057BC0000}"/>
    <cellStyle name="Normal 7 5 2 3 2 4" xfId="34603" xr:uid="{00000000-0005-0000-0000-000058BC0000}"/>
    <cellStyle name="Normal 7 5 2 3 2 4 2" xfId="59637" xr:uid="{00000000-0005-0000-0000-000059BC0000}"/>
    <cellStyle name="Normal 7 5 2 3 2 5" xfId="34604" xr:uid="{00000000-0005-0000-0000-00005ABC0000}"/>
    <cellStyle name="Normal 7 5 2 3 2 6" xfId="34605" xr:uid="{00000000-0005-0000-0000-00005BBC0000}"/>
    <cellStyle name="Normal 7 5 2 3 2 7" xfId="34606" xr:uid="{00000000-0005-0000-0000-00005CBC0000}"/>
    <cellStyle name="Normal 7 5 2 3 3" xfId="34607" xr:uid="{00000000-0005-0000-0000-00005DBC0000}"/>
    <cellStyle name="Normal 7 5 2 3 3 2" xfId="34608" xr:uid="{00000000-0005-0000-0000-00005EBC0000}"/>
    <cellStyle name="Normal 7 5 2 3 3 2 2" xfId="59638" xr:uid="{00000000-0005-0000-0000-00005FBC0000}"/>
    <cellStyle name="Normal 7 5 2 3 3 2 3" xfId="59639" xr:uid="{00000000-0005-0000-0000-000060BC0000}"/>
    <cellStyle name="Normal 7 5 2 3 3 3" xfId="34609" xr:uid="{00000000-0005-0000-0000-000061BC0000}"/>
    <cellStyle name="Normal 7 5 2 3 3 3 2" xfId="59640" xr:uid="{00000000-0005-0000-0000-000062BC0000}"/>
    <cellStyle name="Normal 7 5 2 3 3 4" xfId="34610" xr:uid="{00000000-0005-0000-0000-000063BC0000}"/>
    <cellStyle name="Normal 7 5 2 3 3 5" xfId="34611" xr:uid="{00000000-0005-0000-0000-000064BC0000}"/>
    <cellStyle name="Normal 7 5 2 3 3 6" xfId="34612" xr:uid="{00000000-0005-0000-0000-000065BC0000}"/>
    <cellStyle name="Normal 7 5 2 3 4" xfId="34613" xr:uid="{00000000-0005-0000-0000-000066BC0000}"/>
    <cellStyle name="Normal 7 5 2 3 4 2" xfId="59641" xr:uid="{00000000-0005-0000-0000-000067BC0000}"/>
    <cellStyle name="Normal 7 5 2 3 4 3" xfId="59642" xr:uid="{00000000-0005-0000-0000-000068BC0000}"/>
    <cellStyle name="Normal 7 5 2 3 5" xfId="34614" xr:uid="{00000000-0005-0000-0000-000069BC0000}"/>
    <cellStyle name="Normal 7 5 2 3 5 2" xfId="59643" xr:uid="{00000000-0005-0000-0000-00006ABC0000}"/>
    <cellStyle name="Normal 7 5 2 3 6" xfId="34615" xr:uid="{00000000-0005-0000-0000-00006BBC0000}"/>
    <cellStyle name="Normal 7 5 2 3 7" xfId="34616" xr:uid="{00000000-0005-0000-0000-00006CBC0000}"/>
    <cellStyle name="Normal 7 5 2 3 8" xfId="34617" xr:uid="{00000000-0005-0000-0000-00006DBC0000}"/>
    <cellStyle name="Normal 7 5 2 4" xfId="34618" xr:uid="{00000000-0005-0000-0000-00006EBC0000}"/>
    <cellStyle name="Normal 7 5 2 4 2" xfId="34619" xr:uid="{00000000-0005-0000-0000-00006FBC0000}"/>
    <cellStyle name="Normal 7 5 2 4 2 2" xfId="34620" xr:uid="{00000000-0005-0000-0000-000070BC0000}"/>
    <cellStyle name="Normal 7 5 2 4 2 2 2" xfId="59644" xr:uid="{00000000-0005-0000-0000-000071BC0000}"/>
    <cellStyle name="Normal 7 5 2 4 2 2 3" xfId="59645" xr:uid="{00000000-0005-0000-0000-000072BC0000}"/>
    <cellStyle name="Normal 7 5 2 4 2 3" xfId="34621" xr:uid="{00000000-0005-0000-0000-000073BC0000}"/>
    <cellStyle name="Normal 7 5 2 4 2 3 2" xfId="59646" xr:uid="{00000000-0005-0000-0000-000074BC0000}"/>
    <cellStyle name="Normal 7 5 2 4 2 4" xfId="34622" xr:uid="{00000000-0005-0000-0000-000075BC0000}"/>
    <cellStyle name="Normal 7 5 2 4 2 5" xfId="34623" xr:uid="{00000000-0005-0000-0000-000076BC0000}"/>
    <cellStyle name="Normal 7 5 2 4 2 6" xfId="34624" xr:uid="{00000000-0005-0000-0000-000077BC0000}"/>
    <cellStyle name="Normal 7 5 2 4 3" xfId="34625" xr:uid="{00000000-0005-0000-0000-000078BC0000}"/>
    <cellStyle name="Normal 7 5 2 4 3 2" xfId="59647" xr:uid="{00000000-0005-0000-0000-000079BC0000}"/>
    <cellStyle name="Normal 7 5 2 4 3 3" xfId="59648" xr:uid="{00000000-0005-0000-0000-00007ABC0000}"/>
    <cellStyle name="Normal 7 5 2 4 4" xfId="34626" xr:uid="{00000000-0005-0000-0000-00007BBC0000}"/>
    <cellStyle name="Normal 7 5 2 4 4 2" xfId="59649" xr:uid="{00000000-0005-0000-0000-00007CBC0000}"/>
    <cellStyle name="Normal 7 5 2 4 5" xfId="34627" xr:uid="{00000000-0005-0000-0000-00007DBC0000}"/>
    <cellStyle name="Normal 7 5 2 4 6" xfId="34628" xr:uid="{00000000-0005-0000-0000-00007EBC0000}"/>
    <cellStyle name="Normal 7 5 2 4 7" xfId="34629" xr:uid="{00000000-0005-0000-0000-00007FBC0000}"/>
    <cellStyle name="Normal 7 5 2 5" xfId="34630" xr:uid="{00000000-0005-0000-0000-000080BC0000}"/>
    <cellStyle name="Normal 7 5 2 5 2" xfId="34631" xr:uid="{00000000-0005-0000-0000-000081BC0000}"/>
    <cellStyle name="Normal 7 5 2 5 2 2" xfId="59650" xr:uid="{00000000-0005-0000-0000-000082BC0000}"/>
    <cellStyle name="Normal 7 5 2 5 2 3" xfId="59651" xr:uid="{00000000-0005-0000-0000-000083BC0000}"/>
    <cellStyle name="Normal 7 5 2 5 3" xfId="34632" xr:uid="{00000000-0005-0000-0000-000084BC0000}"/>
    <cellStyle name="Normal 7 5 2 5 3 2" xfId="59652" xr:uid="{00000000-0005-0000-0000-000085BC0000}"/>
    <cellStyle name="Normal 7 5 2 5 4" xfId="34633" xr:uid="{00000000-0005-0000-0000-000086BC0000}"/>
    <cellStyle name="Normal 7 5 2 5 5" xfId="34634" xr:uid="{00000000-0005-0000-0000-000087BC0000}"/>
    <cellStyle name="Normal 7 5 2 5 6" xfId="34635" xr:uid="{00000000-0005-0000-0000-000088BC0000}"/>
    <cellStyle name="Normal 7 5 2 6" xfId="34636" xr:uid="{00000000-0005-0000-0000-000089BC0000}"/>
    <cellStyle name="Normal 7 5 2 6 2" xfId="59653" xr:uid="{00000000-0005-0000-0000-00008ABC0000}"/>
    <cellStyle name="Normal 7 5 2 6 3" xfId="59654" xr:uid="{00000000-0005-0000-0000-00008BBC0000}"/>
    <cellStyle name="Normal 7 5 2 7" xfId="34637" xr:uid="{00000000-0005-0000-0000-00008CBC0000}"/>
    <cellStyle name="Normal 7 5 2 7 2" xfId="59655" xr:uid="{00000000-0005-0000-0000-00008DBC0000}"/>
    <cellStyle name="Normal 7 5 2 8" xfId="34638" xr:uid="{00000000-0005-0000-0000-00008EBC0000}"/>
    <cellStyle name="Normal 7 5 2 9" xfId="34639" xr:uid="{00000000-0005-0000-0000-00008FBC0000}"/>
    <cellStyle name="Normal 7 5 3" xfId="34640" xr:uid="{00000000-0005-0000-0000-000090BC0000}"/>
    <cellStyle name="Normal 7 5 3 2" xfId="34641" xr:uid="{00000000-0005-0000-0000-000091BC0000}"/>
    <cellStyle name="Normal 7 5 3 2 2" xfId="34642" xr:uid="{00000000-0005-0000-0000-000092BC0000}"/>
    <cellStyle name="Normal 7 5 3 2 2 2" xfId="34643" xr:uid="{00000000-0005-0000-0000-000093BC0000}"/>
    <cellStyle name="Normal 7 5 3 2 2 2 2" xfId="59656" xr:uid="{00000000-0005-0000-0000-000094BC0000}"/>
    <cellStyle name="Normal 7 5 3 2 2 2 3" xfId="59657" xr:uid="{00000000-0005-0000-0000-000095BC0000}"/>
    <cellStyle name="Normal 7 5 3 2 2 3" xfId="34644" xr:uid="{00000000-0005-0000-0000-000096BC0000}"/>
    <cellStyle name="Normal 7 5 3 2 2 3 2" xfId="59658" xr:uid="{00000000-0005-0000-0000-000097BC0000}"/>
    <cellStyle name="Normal 7 5 3 2 2 4" xfId="34645" xr:uid="{00000000-0005-0000-0000-000098BC0000}"/>
    <cellStyle name="Normal 7 5 3 2 2 5" xfId="34646" xr:uid="{00000000-0005-0000-0000-000099BC0000}"/>
    <cellStyle name="Normal 7 5 3 2 2 6" xfId="34647" xr:uid="{00000000-0005-0000-0000-00009ABC0000}"/>
    <cellStyle name="Normal 7 5 3 2 3" xfId="34648" xr:uid="{00000000-0005-0000-0000-00009BBC0000}"/>
    <cellStyle name="Normal 7 5 3 2 3 2" xfId="59659" xr:uid="{00000000-0005-0000-0000-00009CBC0000}"/>
    <cellStyle name="Normal 7 5 3 2 3 3" xfId="59660" xr:uid="{00000000-0005-0000-0000-00009DBC0000}"/>
    <cellStyle name="Normal 7 5 3 2 4" xfId="34649" xr:uid="{00000000-0005-0000-0000-00009EBC0000}"/>
    <cellStyle name="Normal 7 5 3 2 4 2" xfId="59661" xr:uid="{00000000-0005-0000-0000-00009FBC0000}"/>
    <cellStyle name="Normal 7 5 3 2 5" xfId="34650" xr:uid="{00000000-0005-0000-0000-0000A0BC0000}"/>
    <cellStyle name="Normal 7 5 3 2 6" xfId="34651" xr:uid="{00000000-0005-0000-0000-0000A1BC0000}"/>
    <cellStyle name="Normal 7 5 3 2 7" xfId="34652" xr:uid="{00000000-0005-0000-0000-0000A2BC0000}"/>
    <cellStyle name="Normal 7 5 3 3" xfId="34653" xr:uid="{00000000-0005-0000-0000-0000A3BC0000}"/>
    <cellStyle name="Normal 7 5 3 3 2" xfId="34654" xr:uid="{00000000-0005-0000-0000-0000A4BC0000}"/>
    <cellStyle name="Normal 7 5 3 3 2 2" xfId="59662" xr:uid="{00000000-0005-0000-0000-0000A5BC0000}"/>
    <cellStyle name="Normal 7 5 3 3 2 3" xfId="59663" xr:uid="{00000000-0005-0000-0000-0000A6BC0000}"/>
    <cellStyle name="Normal 7 5 3 3 3" xfId="34655" xr:uid="{00000000-0005-0000-0000-0000A7BC0000}"/>
    <cellStyle name="Normal 7 5 3 3 3 2" xfId="59664" xr:uid="{00000000-0005-0000-0000-0000A8BC0000}"/>
    <cellStyle name="Normal 7 5 3 3 4" xfId="34656" xr:uid="{00000000-0005-0000-0000-0000A9BC0000}"/>
    <cellStyle name="Normal 7 5 3 3 5" xfId="34657" xr:uid="{00000000-0005-0000-0000-0000AABC0000}"/>
    <cellStyle name="Normal 7 5 3 3 6" xfId="34658" xr:uid="{00000000-0005-0000-0000-0000ABBC0000}"/>
    <cellStyle name="Normal 7 5 3 4" xfId="34659" xr:uid="{00000000-0005-0000-0000-0000ACBC0000}"/>
    <cellStyle name="Normal 7 5 3 4 2" xfId="59665" xr:uid="{00000000-0005-0000-0000-0000ADBC0000}"/>
    <cellStyle name="Normal 7 5 3 4 3" xfId="59666" xr:uid="{00000000-0005-0000-0000-0000AEBC0000}"/>
    <cellStyle name="Normal 7 5 3 5" xfId="34660" xr:uid="{00000000-0005-0000-0000-0000AFBC0000}"/>
    <cellStyle name="Normal 7 5 3 5 2" xfId="59667" xr:uid="{00000000-0005-0000-0000-0000B0BC0000}"/>
    <cellStyle name="Normal 7 5 3 6" xfId="34661" xr:uid="{00000000-0005-0000-0000-0000B1BC0000}"/>
    <cellStyle name="Normal 7 5 3 7" xfId="34662" xr:uid="{00000000-0005-0000-0000-0000B2BC0000}"/>
    <cellStyle name="Normal 7 5 3 8" xfId="34663" xr:uid="{00000000-0005-0000-0000-0000B3BC0000}"/>
    <cellStyle name="Normal 7 5 3 9" xfId="34664" xr:uid="{00000000-0005-0000-0000-0000B4BC0000}"/>
    <cellStyle name="Normal 7 5 4" xfId="34665" xr:uid="{00000000-0005-0000-0000-0000B5BC0000}"/>
    <cellStyle name="Normal 7 5 4 2" xfId="34666" xr:uid="{00000000-0005-0000-0000-0000B6BC0000}"/>
    <cellStyle name="Normal 7 5 4 2 2" xfId="34667" xr:uid="{00000000-0005-0000-0000-0000B7BC0000}"/>
    <cellStyle name="Normal 7 5 4 2 2 2" xfId="34668" xr:uid="{00000000-0005-0000-0000-0000B8BC0000}"/>
    <cellStyle name="Normal 7 5 4 2 2 2 2" xfId="59668" xr:uid="{00000000-0005-0000-0000-0000B9BC0000}"/>
    <cellStyle name="Normal 7 5 4 2 2 2 3" xfId="59669" xr:uid="{00000000-0005-0000-0000-0000BABC0000}"/>
    <cellStyle name="Normal 7 5 4 2 2 3" xfId="34669" xr:uid="{00000000-0005-0000-0000-0000BBBC0000}"/>
    <cellStyle name="Normal 7 5 4 2 2 3 2" xfId="59670" xr:uid="{00000000-0005-0000-0000-0000BCBC0000}"/>
    <cellStyle name="Normal 7 5 4 2 2 4" xfId="34670" xr:uid="{00000000-0005-0000-0000-0000BDBC0000}"/>
    <cellStyle name="Normal 7 5 4 2 2 5" xfId="34671" xr:uid="{00000000-0005-0000-0000-0000BEBC0000}"/>
    <cellStyle name="Normal 7 5 4 2 2 6" xfId="34672" xr:uid="{00000000-0005-0000-0000-0000BFBC0000}"/>
    <cellStyle name="Normal 7 5 4 2 3" xfId="34673" xr:uid="{00000000-0005-0000-0000-0000C0BC0000}"/>
    <cellStyle name="Normal 7 5 4 2 3 2" xfId="59671" xr:uid="{00000000-0005-0000-0000-0000C1BC0000}"/>
    <cellStyle name="Normal 7 5 4 2 3 3" xfId="59672" xr:uid="{00000000-0005-0000-0000-0000C2BC0000}"/>
    <cellStyle name="Normal 7 5 4 2 4" xfId="34674" xr:uid="{00000000-0005-0000-0000-0000C3BC0000}"/>
    <cellStyle name="Normal 7 5 4 2 4 2" xfId="59673" xr:uid="{00000000-0005-0000-0000-0000C4BC0000}"/>
    <cellStyle name="Normal 7 5 4 2 5" xfId="34675" xr:uid="{00000000-0005-0000-0000-0000C5BC0000}"/>
    <cellStyle name="Normal 7 5 4 2 6" xfId="34676" xr:uid="{00000000-0005-0000-0000-0000C6BC0000}"/>
    <cellStyle name="Normal 7 5 4 2 7" xfId="34677" xr:uid="{00000000-0005-0000-0000-0000C7BC0000}"/>
    <cellStyle name="Normal 7 5 4 3" xfId="34678" xr:uid="{00000000-0005-0000-0000-0000C8BC0000}"/>
    <cellStyle name="Normal 7 5 4 3 2" xfId="34679" xr:uid="{00000000-0005-0000-0000-0000C9BC0000}"/>
    <cellStyle name="Normal 7 5 4 3 2 2" xfId="59674" xr:uid="{00000000-0005-0000-0000-0000CABC0000}"/>
    <cellStyle name="Normal 7 5 4 3 2 3" xfId="59675" xr:uid="{00000000-0005-0000-0000-0000CBBC0000}"/>
    <cellStyle name="Normal 7 5 4 3 3" xfId="34680" xr:uid="{00000000-0005-0000-0000-0000CCBC0000}"/>
    <cellStyle name="Normal 7 5 4 3 3 2" xfId="59676" xr:uid="{00000000-0005-0000-0000-0000CDBC0000}"/>
    <cellStyle name="Normal 7 5 4 3 4" xfId="34681" xr:uid="{00000000-0005-0000-0000-0000CEBC0000}"/>
    <cellStyle name="Normal 7 5 4 3 5" xfId="34682" xr:uid="{00000000-0005-0000-0000-0000CFBC0000}"/>
    <cellStyle name="Normal 7 5 4 3 6" xfId="34683" xr:uid="{00000000-0005-0000-0000-0000D0BC0000}"/>
    <cellStyle name="Normal 7 5 4 4" xfId="34684" xr:uid="{00000000-0005-0000-0000-0000D1BC0000}"/>
    <cellStyle name="Normal 7 5 4 4 2" xfId="59677" xr:uid="{00000000-0005-0000-0000-0000D2BC0000}"/>
    <cellStyle name="Normal 7 5 4 4 3" xfId="59678" xr:uid="{00000000-0005-0000-0000-0000D3BC0000}"/>
    <cellStyle name="Normal 7 5 4 5" xfId="34685" xr:uid="{00000000-0005-0000-0000-0000D4BC0000}"/>
    <cellStyle name="Normal 7 5 4 5 2" xfId="59679" xr:uid="{00000000-0005-0000-0000-0000D5BC0000}"/>
    <cellStyle name="Normal 7 5 4 6" xfId="34686" xr:uid="{00000000-0005-0000-0000-0000D6BC0000}"/>
    <cellStyle name="Normal 7 5 4 7" xfId="34687" xr:uid="{00000000-0005-0000-0000-0000D7BC0000}"/>
    <cellStyle name="Normal 7 5 4 8" xfId="34688" xr:uid="{00000000-0005-0000-0000-0000D8BC0000}"/>
    <cellStyle name="Normal 7 5 5" xfId="34689" xr:uid="{00000000-0005-0000-0000-0000D9BC0000}"/>
    <cellStyle name="Normal 7 5 5 2" xfId="34690" xr:uid="{00000000-0005-0000-0000-0000DABC0000}"/>
    <cellStyle name="Normal 7 5 5 2 2" xfId="34691" xr:uid="{00000000-0005-0000-0000-0000DBBC0000}"/>
    <cellStyle name="Normal 7 5 5 2 2 2" xfId="59680" xr:uid="{00000000-0005-0000-0000-0000DCBC0000}"/>
    <cellStyle name="Normal 7 5 5 2 2 3" xfId="59681" xr:uid="{00000000-0005-0000-0000-0000DDBC0000}"/>
    <cellStyle name="Normal 7 5 5 2 3" xfId="34692" xr:uid="{00000000-0005-0000-0000-0000DEBC0000}"/>
    <cellStyle name="Normal 7 5 5 2 3 2" xfId="59682" xr:uid="{00000000-0005-0000-0000-0000DFBC0000}"/>
    <cellStyle name="Normal 7 5 5 2 4" xfId="34693" xr:uid="{00000000-0005-0000-0000-0000E0BC0000}"/>
    <cellStyle name="Normal 7 5 5 2 5" xfId="34694" xr:uid="{00000000-0005-0000-0000-0000E1BC0000}"/>
    <cellStyle name="Normal 7 5 5 2 6" xfId="34695" xr:uid="{00000000-0005-0000-0000-0000E2BC0000}"/>
    <cellStyle name="Normal 7 5 5 3" xfId="34696" xr:uid="{00000000-0005-0000-0000-0000E3BC0000}"/>
    <cellStyle name="Normal 7 5 5 3 2" xfId="59683" xr:uid="{00000000-0005-0000-0000-0000E4BC0000}"/>
    <cellStyle name="Normal 7 5 5 3 3" xfId="59684" xr:uid="{00000000-0005-0000-0000-0000E5BC0000}"/>
    <cellStyle name="Normal 7 5 5 4" xfId="34697" xr:uid="{00000000-0005-0000-0000-0000E6BC0000}"/>
    <cellStyle name="Normal 7 5 5 4 2" xfId="59685" xr:uid="{00000000-0005-0000-0000-0000E7BC0000}"/>
    <cellStyle name="Normal 7 5 5 5" xfId="34698" xr:uid="{00000000-0005-0000-0000-0000E8BC0000}"/>
    <cellStyle name="Normal 7 5 5 6" xfId="34699" xr:uid="{00000000-0005-0000-0000-0000E9BC0000}"/>
    <cellStyle name="Normal 7 5 5 7" xfId="34700" xr:uid="{00000000-0005-0000-0000-0000EABC0000}"/>
    <cellStyle name="Normal 7 5 6" xfId="34701" xr:uid="{00000000-0005-0000-0000-0000EBBC0000}"/>
    <cellStyle name="Normal 7 5 6 2" xfId="34702" xr:uid="{00000000-0005-0000-0000-0000ECBC0000}"/>
    <cellStyle name="Normal 7 5 6 2 2" xfId="59686" xr:uid="{00000000-0005-0000-0000-0000EDBC0000}"/>
    <cellStyle name="Normal 7 5 6 2 3" xfId="59687" xr:uid="{00000000-0005-0000-0000-0000EEBC0000}"/>
    <cellStyle name="Normal 7 5 6 3" xfId="34703" xr:uid="{00000000-0005-0000-0000-0000EFBC0000}"/>
    <cellStyle name="Normal 7 5 6 3 2" xfId="59688" xr:uid="{00000000-0005-0000-0000-0000F0BC0000}"/>
    <cellStyle name="Normal 7 5 6 4" xfId="34704" xr:uid="{00000000-0005-0000-0000-0000F1BC0000}"/>
    <cellStyle name="Normal 7 5 6 5" xfId="34705" xr:uid="{00000000-0005-0000-0000-0000F2BC0000}"/>
    <cellStyle name="Normal 7 5 6 6" xfId="34706" xr:uid="{00000000-0005-0000-0000-0000F3BC0000}"/>
    <cellStyle name="Normal 7 5 7" xfId="34707" xr:uid="{00000000-0005-0000-0000-0000F4BC0000}"/>
    <cellStyle name="Normal 7 5 7 2" xfId="59689" xr:uid="{00000000-0005-0000-0000-0000F5BC0000}"/>
    <cellStyle name="Normal 7 5 8" xfId="34708" xr:uid="{00000000-0005-0000-0000-0000F6BC0000}"/>
    <cellStyle name="Normal 7 5 9" xfId="34709" xr:uid="{00000000-0005-0000-0000-0000F7BC0000}"/>
    <cellStyle name="Normal 7 6" xfId="34710" xr:uid="{00000000-0005-0000-0000-0000F8BC0000}"/>
    <cellStyle name="Normal 7 6 10" xfId="34711" xr:uid="{00000000-0005-0000-0000-0000F9BC0000}"/>
    <cellStyle name="Normal 7 6 11" xfId="34712" xr:uid="{00000000-0005-0000-0000-0000FABC0000}"/>
    <cellStyle name="Normal 7 6 12" xfId="34713" xr:uid="{00000000-0005-0000-0000-0000FBBC0000}"/>
    <cellStyle name="Normal 7 6 13" xfId="34714" xr:uid="{00000000-0005-0000-0000-0000FCBC0000}"/>
    <cellStyle name="Normal 7 6 14" xfId="34715" xr:uid="{00000000-0005-0000-0000-0000FDBC0000}"/>
    <cellStyle name="Normal 7 6 15" xfId="34716" xr:uid="{00000000-0005-0000-0000-0000FEBC0000}"/>
    <cellStyle name="Normal 7 6 2" xfId="34717" xr:uid="{00000000-0005-0000-0000-0000FFBC0000}"/>
    <cellStyle name="Normal 7 6 2 2" xfId="34718" xr:uid="{00000000-0005-0000-0000-000000BD0000}"/>
    <cellStyle name="Normal 7 6 2 2 2" xfId="34719" xr:uid="{00000000-0005-0000-0000-000001BD0000}"/>
    <cellStyle name="Normal 7 6 2 2 2 2" xfId="34720" xr:uid="{00000000-0005-0000-0000-000002BD0000}"/>
    <cellStyle name="Normal 7 6 2 2 2 2 2" xfId="59690" xr:uid="{00000000-0005-0000-0000-000003BD0000}"/>
    <cellStyle name="Normal 7 6 2 2 2 2 3" xfId="59691" xr:uid="{00000000-0005-0000-0000-000004BD0000}"/>
    <cellStyle name="Normal 7 6 2 2 2 3" xfId="34721" xr:uid="{00000000-0005-0000-0000-000005BD0000}"/>
    <cellStyle name="Normal 7 6 2 2 2 3 2" xfId="59692" xr:uid="{00000000-0005-0000-0000-000006BD0000}"/>
    <cellStyle name="Normal 7 6 2 2 2 4" xfId="34722" xr:uid="{00000000-0005-0000-0000-000007BD0000}"/>
    <cellStyle name="Normal 7 6 2 2 2 5" xfId="34723" xr:uid="{00000000-0005-0000-0000-000008BD0000}"/>
    <cellStyle name="Normal 7 6 2 2 2 6" xfId="34724" xr:uid="{00000000-0005-0000-0000-000009BD0000}"/>
    <cellStyle name="Normal 7 6 2 2 3" xfId="34725" xr:uid="{00000000-0005-0000-0000-00000ABD0000}"/>
    <cellStyle name="Normal 7 6 2 2 3 2" xfId="59693" xr:uid="{00000000-0005-0000-0000-00000BBD0000}"/>
    <cellStyle name="Normal 7 6 2 2 3 3" xfId="59694" xr:uid="{00000000-0005-0000-0000-00000CBD0000}"/>
    <cellStyle name="Normal 7 6 2 2 4" xfId="34726" xr:uid="{00000000-0005-0000-0000-00000DBD0000}"/>
    <cellStyle name="Normal 7 6 2 2 4 2" xfId="59695" xr:uid="{00000000-0005-0000-0000-00000EBD0000}"/>
    <cellStyle name="Normal 7 6 2 2 5" xfId="34727" xr:uid="{00000000-0005-0000-0000-00000FBD0000}"/>
    <cellStyle name="Normal 7 6 2 2 6" xfId="34728" xr:uid="{00000000-0005-0000-0000-000010BD0000}"/>
    <cellStyle name="Normal 7 6 2 2 7" xfId="34729" xr:uid="{00000000-0005-0000-0000-000011BD0000}"/>
    <cellStyle name="Normal 7 6 2 3" xfId="34730" xr:uid="{00000000-0005-0000-0000-000012BD0000}"/>
    <cellStyle name="Normal 7 6 2 3 2" xfId="34731" xr:uid="{00000000-0005-0000-0000-000013BD0000}"/>
    <cellStyle name="Normal 7 6 2 3 2 2" xfId="59696" xr:uid="{00000000-0005-0000-0000-000014BD0000}"/>
    <cellStyle name="Normal 7 6 2 3 2 3" xfId="59697" xr:uid="{00000000-0005-0000-0000-000015BD0000}"/>
    <cellStyle name="Normal 7 6 2 3 3" xfId="34732" xr:uid="{00000000-0005-0000-0000-000016BD0000}"/>
    <cellStyle name="Normal 7 6 2 3 3 2" xfId="59698" xr:uid="{00000000-0005-0000-0000-000017BD0000}"/>
    <cellStyle name="Normal 7 6 2 3 4" xfId="34733" xr:uid="{00000000-0005-0000-0000-000018BD0000}"/>
    <cellStyle name="Normal 7 6 2 3 5" xfId="34734" xr:uid="{00000000-0005-0000-0000-000019BD0000}"/>
    <cellStyle name="Normal 7 6 2 3 6" xfId="34735" xr:uid="{00000000-0005-0000-0000-00001ABD0000}"/>
    <cellStyle name="Normal 7 6 2 4" xfId="34736" xr:uid="{00000000-0005-0000-0000-00001BBD0000}"/>
    <cellStyle name="Normal 7 6 2 4 2" xfId="59699" xr:uid="{00000000-0005-0000-0000-00001CBD0000}"/>
    <cellStyle name="Normal 7 6 2 4 3" xfId="59700" xr:uid="{00000000-0005-0000-0000-00001DBD0000}"/>
    <cellStyle name="Normal 7 6 2 5" xfId="34737" xr:uid="{00000000-0005-0000-0000-00001EBD0000}"/>
    <cellStyle name="Normal 7 6 2 5 2" xfId="59701" xr:uid="{00000000-0005-0000-0000-00001FBD0000}"/>
    <cellStyle name="Normal 7 6 2 6" xfId="34738" xr:uid="{00000000-0005-0000-0000-000020BD0000}"/>
    <cellStyle name="Normal 7 6 2 7" xfId="34739" xr:uid="{00000000-0005-0000-0000-000021BD0000}"/>
    <cellStyle name="Normal 7 6 2 8" xfId="34740" xr:uid="{00000000-0005-0000-0000-000022BD0000}"/>
    <cellStyle name="Normal 7 6 2 9" xfId="34741" xr:uid="{00000000-0005-0000-0000-000023BD0000}"/>
    <cellStyle name="Normal 7 6 3" xfId="34742" xr:uid="{00000000-0005-0000-0000-000024BD0000}"/>
    <cellStyle name="Normal 7 6 3 2" xfId="34743" xr:uid="{00000000-0005-0000-0000-000025BD0000}"/>
    <cellStyle name="Normal 7 6 3 2 2" xfId="34744" xr:uid="{00000000-0005-0000-0000-000026BD0000}"/>
    <cellStyle name="Normal 7 6 3 2 2 2" xfId="34745" xr:uid="{00000000-0005-0000-0000-000027BD0000}"/>
    <cellStyle name="Normal 7 6 3 2 2 2 2" xfId="59702" xr:uid="{00000000-0005-0000-0000-000028BD0000}"/>
    <cellStyle name="Normal 7 6 3 2 2 2 3" xfId="59703" xr:uid="{00000000-0005-0000-0000-000029BD0000}"/>
    <cellStyle name="Normal 7 6 3 2 2 3" xfId="34746" xr:uid="{00000000-0005-0000-0000-00002ABD0000}"/>
    <cellStyle name="Normal 7 6 3 2 2 3 2" xfId="59704" xr:uid="{00000000-0005-0000-0000-00002BBD0000}"/>
    <cellStyle name="Normal 7 6 3 2 2 4" xfId="34747" xr:uid="{00000000-0005-0000-0000-00002CBD0000}"/>
    <cellStyle name="Normal 7 6 3 2 2 5" xfId="34748" xr:uid="{00000000-0005-0000-0000-00002DBD0000}"/>
    <cellStyle name="Normal 7 6 3 2 2 6" xfId="34749" xr:uid="{00000000-0005-0000-0000-00002EBD0000}"/>
    <cellStyle name="Normal 7 6 3 2 3" xfId="34750" xr:uid="{00000000-0005-0000-0000-00002FBD0000}"/>
    <cellStyle name="Normal 7 6 3 2 3 2" xfId="59705" xr:uid="{00000000-0005-0000-0000-000030BD0000}"/>
    <cellStyle name="Normal 7 6 3 2 3 3" xfId="59706" xr:uid="{00000000-0005-0000-0000-000031BD0000}"/>
    <cellStyle name="Normal 7 6 3 2 4" xfId="34751" xr:uid="{00000000-0005-0000-0000-000032BD0000}"/>
    <cellStyle name="Normal 7 6 3 2 4 2" xfId="59707" xr:uid="{00000000-0005-0000-0000-000033BD0000}"/>
    <cellStyle name="Normal 7 6 3 2 5" xfId="34752" xr:uid="{00000000-0005-0000-0000-000034BD0000}"/>
    <cellStyle name="Normal 7 6 3 2 6" xfId="34753" xr:uid="{00000000-0005-0000-0000-000035BD0000}"/>
    <cellStyle name="Normal 7 6 3 2 7" xfId="34754" xr:uid="{00000000-0005-0000-0000-000036BD0000}"/>
    <cellStyle name="Normal 7 6 3 3" xfId="34755" xr:uid="{00000000-0005-0000-0000-000037BD0000}"/>
    <cellStyle name="Normal 7 6 3 3 2" xfId="34756" xr:uid="{00000000-0005-0000-0000-000038BD0000}"/>
    <cellStyle name="Normal 7 6 3 3 2 2" xfId="59708" xr:uid="{00000000-0005-0000-0000-000039BD0000}"/>
    <cellStyle name="Normal 7 6 3 3 2 3" xfId="59709" xr:uid="{00000000-0005-0000-0000-00003ABD0000}"/>
    <cellStyle name="Normal 7 6 3 3 3" xfId="34757" xr:uid="{00000000-0005-0000-0000-00003BBD0000}"/>
    <cellStyle name="Normal 7 6 3 3 3 2" xfId="59710" xr:uid="{00000000-0005-0000-0000-00003CBD0000}"/>
    <cellStyle name="Normal 7 6 3 3 4" xfId="34758" xr:uid="{00000000-0005-0000-0000-00003DBD0000}"/>
    <cellStyle name="Normal 7 6 3 3 5" xfId="34759" xr:uid="{00000000-0005-0000-0000-00003EBD0000}"/>
    <cellStyle name="Normal 7 6 3 3 6" xfId="34760" xr:uid="{00000000-0005-0000-0000-00003FBD0000}"/>
    <cellStyle name="Normal 7 6 3 4" xfId="34761" xr:uid="{00000000-0005-0000-0000-000040BD0000}"/>
    <cellStyle name="Normal 7 6 3 4 2" xfId="59711" xr:uid="{00000000-0005-0000-0000-000041BD0000}"/>
    <cellStyle name="Normal 7 6 3 4 3" xfId="59712" xr:uid="{00000000-0005-0000-0000-000042BD0000}"/>
    <cellStyle name="Normal 7 6 3 5" xfId="34762" xr:uid="{00000000-0005-0000-0000-000043BD0000}"/>
    <cellStyle name="Normal 7 6 3 5 2" xfId="59713" xr:uid="{00000000-0005-0000-0000-000044BD0000}"/>
    <cellStyle name="Normal 7 6 3 6" xfId="34763" xr:uid="{00000000-0005-0000-0000-000045BD0000}"/>
    <cellStyle name="Normal 7 6 3 7" xfId="34764" xr:uid="{00000000-0005-0000-0000-000046BD0000}"/>
    <cellStyle name="Normal 7 6 3 8" xfId="34765" xr:uid="{00000000-0005-0000-0000-000047BD0000}"/>
    <cellStyle name="Normal 7 6 4" xfId="34766" xr:uid="{00000000-0005-0000-0000-000048BD0000}"/>
    <cellStyle name="Normal 7 6 4 2" xfId="34767" xr:uid="{00000000-0005-0000-0000-000049BD0000}"/>
    <cellStyle name="Normal 7 6 4 2 2" xfId="34768" xr:uid="{00000000-0005-0000-0000-00004ABD0000}"/>
    <cellStyle name="Normal 7 6 4 2 2 2" xfId="59714" xr:uid="{00000000-0005-0000-0000-00004BBD0000}"/>
    <cellStyle name="Normal 7 6 4 2 2 3" xfId="59715" xr:uid="{00000000-0005-0000-0000-00004CBD0000}"/>
    <cellStyle name="Normal 7 6 4 2 3" xfId="34769" xr:uid="{00000000-0005-0000-0000-00004DBD0000}"/>
    <cellStyle name="Normal 7 6 4 2 3 2" xfId="59716" xr:uid="{00000000-0005-0000-0000-00004EBD0000}"/>
    <cellStyle name="Normal 7 6 4 2 4" xfId="34770" xr:uid="{00000000-0005-0000-0000-00004FBD0000}"/>
    <cellStyle name="Normal 7 6 4 2 5" xfId="34771" xr:uid="{00000000-0005-0000-0000-000050BD0000}"/>
    <cellStyle name="Normal 7 6 4 2 6" xfId="34772" xr:uid="{00000000-0005-0000-0000-000051BD0000}"/>
    <cellStyle name="Normal 7 6 4 3" xfId="34773" xr:uid="{00000000-0005-0000-0000-000052BD0000}"/>
    <cellStyle name="Normal 7 6 4 3 2" xfId="59717" xr:uid="{00000000-0005-0000-0000-000053BD0000}"/>
    <cellStyle name="Normal 7 6 4 3 3" xfId="59718" xr:uid="{00000000-0005-0000-0000-000054BD0000}"/>
    <cellStyle name="Normal 7 6 4 4" xfId="34774" xr:uid="{00000000-0005-0000-0000-000055BD0000}"/>
    <cellStyle name="Normal 7 6 4 4 2" xfId="59719" xr:uid="{00000000-0005-0000-0000-000056BD0000}"/>
    <cellStyle name="Normal 7 6 4 5" xfId="34775" xr:uid="{00000000-0005-0000-0000-000057BD0000}"/>
    <cellStyle name="Normal 7 6 4 6" xfId="34776" xr:uid="{00000000-0005-0000-0000-000058BD0000}"/>
    <cellStyle name="Normal 7 6 4 7" xfId="34777" xr:uid="{00000000-0005-0000-0000-000059BD0000}"/>
    <cellStyle name="Normal 7 6 5" xfId="34778" xr:uid="{00000000-0005-0000-0000-00005ABD0000}"/>
    <cellStyle name="Normal 7 6 5 2" xfId="34779" xr:uid="{00000000-0005-0000-0000-00005BBD0000}"/>
    <cellStyle name="Normal 7 6 5 2 2" xfId="59720" xr:uid="{00000000-0005-0000-0000-00005CBD0000}"/>
    <cellStyle name="Normal 7 6 5 2 3" xfId="59721" xr:uid="{00000000-0005-0000-0000-00005DBD0000}"/>
    <cellStyle name="Normal 7 6 5 3" xfId="34780" xr:uid="{00000000-0005-0000-0000-00005EBD0000}"/>
    <cellStyle name="Normal 7 6 5 3 2" xfId="59722" xr:uid="{00000000-0005-0000-0000-00005FBD0000}"/>
    <cellStyle name="Normal 7 6 5 4" xfId="34781" xr:uid="{00000000-0005-0000-0000-000060BD0000}"/>
    <cellStyle name="Normal 7 6 5 5" xfId="34782" xr:uid="{00000000-0005-0000-0000-000061BD0000}"/>
    <cellStyle name="Normal 7 6 5 6" xfId="34783" xr:uid="{00000000-0005-0000-0000-000062BD0000}"/>
    <cellStyle name="Normal 7 6 6" xfId="34784" xr:uid="{00000000-0005-0000-0000-000063BD0000}"/>
    <cellStyle name="Normal 7 6 6 2" xfId="59723" xr:uid="{00000000-0005-0000-0000-000064BD0000}"/>
    <cellStyle name="Normal 7 6 6 3" xfId="59724" xr:uid="{00000000-0005-0000-0000-000065BD0000}"/>
    <cellStyle name="Normal 7 6 7" xfId="34785" xr:uid="{00000000-0005-0000-0000-000066BD0000}"/>
    <cellStyle name="Normal 7 6 7 2" xfId="59725" xr:uid="{00000000-0005-0000-0000-000067BD0000}"/>
    <cellStyle name="Normal 7 6 8" xfId="34786" xr:uid="{00000000-0005-0000-0000-000068BD0000}"/>
    <cellStyle name="Normal 7 6 8 2" xfId="59726" xr:uid="{00000000-0005-0000-0000-000069BD0000}"/>
    <cellStyle name="Normal 7 6 9" xfId="34787" xr:uid="{00000000-0005-0000-0000-00006ABD0000}"/>
    <cellStyle name="Normal 7 7" xfId="34788" xr:uid="{00000000-0005-0000-0000-00006BBD0000}"/>
    <cellStyle name="Normal 7 7 10" xfId="34789" xr:uid="{00000000-0005-0000-0000-00006CBD0000}"/>
    <cellStyle name="Normal 7 7 11" xfId="34790" xr:uid="{00000000-0005-0000-0000-00006DBD0000}"/>
    <cellStyle name="Normal 7 7 12" xfId="34791" xr:uid="{00000000-0005-0000-0000-00006EBD0000}"/>
    <cellStyle name="Normal 7 7 13" xfId="34792" xr:uid="{00000000-0005-0000-0000-00006FBD0000}"/>
    <cellStyle name="Normal 7 7 14" xfId="34793" xr:uid="{00000000-0005-0000-0000-000070BD0000}"/>
    <cellStyle name="Normal 7 7 2" xfId="34794" xr:uid="{00000000-0005-0000-0000-000071BD0000}"/>
    <cellStyle name="Normal 7 7 2 2" xfId="34795" xr:uid="{00000000-0005-0000-0000-000072BD0000}"/>
    <cellStyle name="Normal 7 7 2 2 2" xfId="34796" xr:uid="{00000000-0005-0000-0000-000073BD0000}"/>
    <cellStyle name="Normal 7 7 2 2 2 2" xfId="34797" xr:uid="{00000000-0005-0000-0000-000074BD0000}"/>
    <cellStyle name="Normal 7 7 2 2 2 2 2" xfId="59727" xr:uid="{00000000-0005-0000-0000-000075BD0000}"/>
    <cellStyle name="Normal 7 7 2 2 2 2 3" xfId="59728" xr:uid="{00000000-0005-0000-0000-000076BD0000}"/>
    <cellStyle name="Normal 7 7 2 2 2 3" xfId="34798" xr:uid="{00000000-0005-0000-0000-000077BD0000}"/>
    <cellStyle name="Normal 7 7 2 2 2 3 2" xfId="59729" xr:uid="{00000000-0005-0000-0000-000078BD0000}"/>
    <cellStyle name="Normal 7 7 2 2 2 4" xfId="34799" xr:uid="{00000000-0005-0000-0000-000079BD0000}"/>
    <cellStyle name="Normal 7 7 2 2 2 5" xfId="34800" xr:uid="{00000000-0005-0000-0000-00007ABD0000}"/>
    <cellStyle name="Normal 7 7 2 2 2 6" xfId="34801" xr:uid="{00000000-0005-0000-0000-00007BBD0000}"/>
    <cellStyle name="Normal 7 7 2 2 3" xfId="34802" xr:uid="{00000000-0005-0000-0000-00007CBD0000}"/>
    <cellStyle name="Normal 7 7 2 2 3 2" xfId="59730" xr:uid="{00000000-0005-0000-0000-00007DBD0000}"/>
    <cellStyle name="Normal 7 7 2 2 3 3" xfId="59731" xr:uid="{00000000-0005-0000-0000-00007EBD0000}"/>
    <cellStyle name="Normal 7 7 2 2 4" xfId="34803" xr:uid="{00000000-0005-0000-0000-00007FBD0000}"/>
    <cellStyle name="Normal 7 7 2 2 4 2" xfId="59732" xr:uid="{00000000-0005-0000-0000-000080BD0000}"/>
    <cellStyle name="Normal 7 7 2 2 5" xfId="34804" xr:uid="{00000000-0005-0000-0000-000081BD0000}"/>
    <cellStyle name="Normal 7 7 2 2 6" xfId="34805" xr:uid="{00000000-0005-0000-0000-000082BD0000}"/>
    <cellStyle name="Normal 7 7 2 2 7" xfId="34806" xr:uid="{00000000-0005-0000-0000-000083BD0000}"/>
    <cellStyle name="Normal 7 7 2 3" xfId="34807" xr:uid="{00000000-0005-0000-0000-000084BD0000}"/>
    <cellStyle name="Normal 7 7 2 3 2" xfId="34808" xr:uid="{00000000-0005-0000-0000-000085BD0000}"/>
    <cellStyle name="Normal 7 7 2 3 2 2" xfId="59733" xr:uid="{00000000-0005-0000-0000-000086BD0000}"/>
    <cellStyle name="Normal 7 7 2 3 2 3" xfId="59734" xr:uid="{00000000-0005-0000-0000-000087BD0000}"/>
    <cellStyle name="Normal 7 7 2 3 3" xfId="34809" xr:uid="{00000000-0005-0000-0000-000088BD0000}"/>
    <cellStyle name="Normal 7 7 2 3 3 2" xfId="59735" xr:uid="{00000000-0005-0000-0000-000089BD0000}"/>
    <cellStyle name="Normal 7 7 2 3 4" xfId="34810" xr:uid="{00000000-0005-0000-0000-00008ABD0000}"/>
    <cellStyle name="Normal 7 7 2 3 5" xfId="34811" xr:uid="{00000000-0005-0000-0000-00008BBD0000}"/>
    <cellStyle name="Normal 7 7 2 3 6" xfId="34812" xr:uid="{00000000-0005-0000-0000-00008CBD0000}"/>
    <cellStyle name="Normal 7 7 2 4" xfId="34813" xr:uid="{00000000-0005-0000-0000-00008DBD0000}"/>
    <cellStyle name="Normal 7 7 2 4 2" xfId="59736" xr:uid="{00000000-0005-0000-0000-00008EBD0000}"/>
    <cellStyle name="Normal 7 7 2 4 3" xfId="59737" xr:uid="{00000000-0005-0000-0000-00008FBD0000}"/>
    <cellStyle name="Normal 7 7 2 5" xfId="34814" xr:uid="{00000000-0005-0000-0000-000090BD0000}"/>
    <cellStyle name="Normal 7 7 2 5 2" xfId="59738" xr:uid="{00000000-0005-0000-0000-000091BD0000}"/>
    <cellStyle name="Normal 7 7 2 6" xfId="34815" xr:uid="{00000000-0005-0000-0000-000092BD0000}"/>
    <cellStyle name="Normal 7 7 2 7" xfId="34816" xr:uid="{00000000-0005-0000-0000-000093BD0000}"/>
    <cellStyle name="Normal 7 7 2 8" xfId="34817" xr:uid="{00000000-0005-0000-0000-000094BD0000}"/>
    <cellStyle name="Normal 7 7 2 9" xfId="34818" xr:uid="{00000000-0005-0000-0000-000095BD0000}"/>
    <cellStyle name="Normal 7 7 3" xfId="34819" xr:uid="{00000000-0005-0000-0000-000096BD0000}"/>
    <cellStyle name="Normal 7 7 3 2" xfId="34820" xr:uid="{00000000-0005-0000-0000-000097BD0000}"/>
    <cellStyle name="Normal 7 7 3 2 2" xfId="34821" xr:uid="{00000000-0005-0000-0000-000098BD0000}"/>
    <cellStyle name="Normal 7 7 3 2 2 2" xfId="34822" xr:uid="{00000000-0005-0000-0000-000099BD0000}"/>
    <cellStyle name="Normal 7 7 3 2 2 2 2" xfId="59739" xr:uid="{00000000-0005-0000-0000-00009ABD0000}"/>
    <cellStyle name="Normal 7 7 3 2 2 2 3" xfId="59740" xr:uid="{00000000-0005-0000-0000-00009BBD0000}"/>
    <cellStyle name="Normal 7 7 3 2 2 3" xfId="34823" xr:uid="{00000000-0005-0000-0000-00009CBD0000}"/>
    <cellStyle name="Normal 7 7 3 2 2 3 2" xfId="59741" xr:uid="{00000000-0005-0000-0000-00009DBD0000}"/>
    <cellStyle name="Normal 7 7 3 2 2 4" xfId="34824" xr:uid="{00000000-0005-0000-0000-00009EBD0000}"/>
    <cellStyle name="Normal 7 7 3 2 2 5" xfId="34825" xr:uid="{00000000-0005-0000-0000-00009FBD0000}"/>
    <cellStyle name="Normal 7 7 3 2 2 6" xfId="34826" xr:uid="{00000000-0005-0000-0000-0000A0BD0000}"/>
    <cellStyle name="Normal 7 7 3 2 3" xfId="34827" xr:uid="{00000000-0005-0000-0000-0000A1BD0000}"/>
    <cellStyle name="Normal 7 7 3 2 3 2" xfId="59742" xr:uid="{00000000-0005-0000-0000-0000A2BD0000}"/>
    <cellStyle name="Normal 7 7 3 2 3 3" xfId="59743" xr:uid="{00000000-0005-0000-0000-0000A3BD0000}"/>
    <cellStyle name="Normal 7 7 3 2 4" xfId="34828" xr:uid="{00000000-0005-0000-0000-0000A4BD0000}"/>
    <cellStyle name="Normal 7 7 3 2 4 2" xfId="59744" xr:uid="{00000000-0005-0000-0000-0000A5BD0000}"/>
    <cellStyle name="Normal 7 7 3 2 5" xfId="34829" xr:uid="{00000000-0005-0000-0000-0000A6BD0000}"/>
    <cellStyle name="Normal 7 7 3 2 6" xfId="34830" xr:uid="{00000000-0005-0000-0000-0000A7BD0000}"/>
    <cellStyle name="Normal 7 7 3 2 7" xfId="34831" xr:uid="{00000000-0005-0000-0000-0000A8BD0000}"/>
    <cellStyle name="Normal 7 7 3 3" xfId="34832" xr:uid="{00000000-0005-0000-0000-0000A9BD0000}"/>
    <cellStyle name="Normal 7 7 3 3 2" xfId="34833" xr:uid="{00000000-0005-0000-0000-0000AABD0000}"/>
    <cellStyle name="Normal 7 7 3 3 2 2" xfId="59745" xr:uid="{00000000-0005-0000-0000-0000ABBD0000}"/>
    <cellStyle name="Normal 7 7 3 3 2 3" xfId="59746" xr:uid="{00000000-0005-0000-0000-0000ACBD0000}"/>
    <cellStyle name="Normal 7 7 3 3 3" xfId="34834" xr:uid="{00000000-0005-0000-0000-0000ADBD0000}"/>
    <cellStyle name="Normal 7 7 3 3 3 2" xfId="59747" xr:uid="{00000000-0005-0000-0000-0000AEBD0000}"/>
    <cellStyle name="Normal 7 7 3 3 4" xfId="34835" xr:uid="{00000000-0005-0000-0000-0000AFBD0000}"/>
    <cellStyle name="Normal 7 7 3 3 5" xfId="34836" xr:uid="{00000000-0005-0000-0000-0000B0BD0000}"/>
    <cellStyle name="Normal 7 7 3 3 6" xfId="34837" xr:uid="{00000000-0005-0000-0000-0000B1BD0000}"/>
    <cellStyle name="Normal 7 7 3 4" xfId="34838" xr:uid="{00000000-0005-0000-0000-0000B2BD0000}"/>
    <cellStyle name="Normal 7 7 3 4 2" xfId="59748" xr:uid="{00000000-0005-0000-0000-0000B3BD0000}"/>
    <cellStyle name="Normal 7 7 3 4 3" xfId="59749" xr:uid="{00000000-0005-0000-0000-0000B4BD0000}"/>
    <cellStyle name="Normal 7 7 3 5" xfId="34839" xr:uid="{00000000-0005-0000-0000-0000B5BD0000}"/>
    <cellStyle name="Normal 7 7 3 5 2" xfId="59750" xr:uid="{00000000-0005-0000-0000-0000B6BD0000}"/>
    <cellStyle name="Normal 7 7 3 6" xfId="34840" xr:uid="{00000000-0005-0000-0000-0000B7BD0000}"/>
    <cellStyle name="Normal 7 7 3 7" xfId="34841" xr:uid="{00000000-0005-0000-0000-0000B8BD0000}"/>
    <cellStyle name="Normal 7 7 3 8" xfId="34842" xr:uid="{00000000-0005-0000-0000-0000B9BD0000}"/>
    <cellStyle name="Normal 7 7 4" xfId="34843" xr:uid="{00000000-0005-0000-0000-0000BABD0000}"/>
    <cellStyle name="Normal 7 7 4 2" xfId="34844" xr:uid="{00000000-0005-0000-0000-0000BBBD0000}"/>
    <cellStyle name="Normal 7 7 4 2 2" xfId="34845" xr:uid="{00000000-0005-0000-0000-0000BCBD0000}"/>
    <cellStyle name="Normal 7 7 4 2 2 2" xfId="59751" xr:uid="{00000000-0005-0000-0000-0000BDBD0000}"/>
    <cellStyle name="Normal 7 7 4 2 2 3" xfId="59752" xr:uid="{00000000-0005-0000-0000-0000BEBD0000}"/>
    <cellStyle name="Normal 7 7 4 2 3" xfId="34846" xr:uid="{00000000-0005-0000-0000-0000BFBD0000}"/>
    <cellStyle name="Normal 7 7 4 2 3 2" xfId="59753" xr:uid="{00000000-0005-0000-0000-0000C0BD0000}"/>
    <cellStyle name="Normal 7 7 4 2 4" xfId="34847" xr:uid="{00000000-0005-0000-0000-0000C1BD0000}"/>
    <cellStyle name="Normal 7 7 4 2 5" xfId="34848" xr:uid="{00000000-0005-0000-0000-0000C2BD0000}"/>
    <cellStyle name="Normal 7 7 4 2 6" xfId="34849" xr:uid="{00000000-0005-0000-0000-0000C3BD0000}"/>
    <cellStyle name="Normal 7 7 4 3" xfId="34850" xr:uid="{00000000-0005-0000-0000-0000C4BD0000}"/>
    <cellStyle name="Normal 7 7 4 3 2" xfId="59754" xr:uid="{00000000-0005-0000-0000-0000C5BD0000}"/>
    <cellStyle name="Normal 7 7 4 3 3" xfId="59755" xr:uid="{00000000-0005-0000-0000-0000C6BD0000}"/>
    <cellStyle name="Normal 7 7 4 4" xfId="34851" xr:uid="{00000000-0005-0000-0000-0000C7BD0000}"/>
    <cellStyle name="Normal 7 7 4 4 2" xfId="59756" xr:uid="{00000000-0005-0000-0000-0000C8BD0000}"/>
    <cellStyle name="Normal 7 7 4 5" xfId="34852" xr:uid="{00000000-0005-0000-0000-0000C9BD0000}"/>
    <cellStyle name="Normal 7 7 4 6" xfId="34853" xr:uid="{00000000-0005-0000-0000-0000CABD0000}"/>
    <cellStyle name="Normal 7 7 4 7" xfId="34854" xr:uid="{00000000-0005-0000-0000-0000CBBD0000}"/>
    <cellStyle name="Normal 7 7 5" xfId="34855" xr:uid="{00000000-0005-0000-0000-0000CCBD0000}"/>
    <cellStyle name="Normal 7 7 5 2" xfId="34856" xr:uid="{00000000-0005-0000-0000-0000CDBD0000}"/>
    <cellStyle name="Normal 7 7 5 2 2" xfId="59757" xr:uid="{00000000-0005-0000-0000-0000CEBD0000}"/>
    <cellStyle name="Normal 7 7 5 2 3" xfId="59758" xr:uid="{00000000-0005-0000-0000-0000CFBD0000}"/>
    <cellStyle name="Normal 7 7 5 3" xfId="34857" xr:uid="{00000000-0005-0000-0000-0000D0BD0000}"/>
    <cellStyle name="Normal 7 7 5 3 2" xfId="59759" xr:uid="{00000000-0005-0000-0000-0000D1BD0000}"/>
    <cellStyle name="Normal 7 7 5 4" xfId="34858" xr:uid="{00000000-0005-0000-0000-0000D2BD0000}"/>
    <cellStyle name="Normal 7 7 5 5" xfId="34859" xr:uid="{00000000-0005-0000-0000-0000D3BD0000}"/>
    <cellStyle name="Normal 7 7 5 6" xfId="34860" xr:uid="{00000000-0005-0000-0000-0000D4BD0000}"/>
    <cellStyle name="Normal 7 7 6" xfId="34861" xr:uid="{00000000-0005-0000-0000-0000D5BD0000}"/>
    <cellStyle name="Normal 7 7 6 2" xfId="59760" xr:uid="{00000000-0005-0000-0000-0000D6BD0000}"/>
    <cellStyle name="Normal 7 7 6 3" xfId="59761" xr:uid="{00000000-0005-0000-0000-0000D7BD0000}"/>
    <cellStyle name="Normal 7 7 7" xfId="34862" xr:uid="{00000000-0005-0000-0000-0000D8BD0000}"/>
    <cellStyle name="Normal 7 7 7 2" xfId="59762" xr:uid="{00000000-0005-0000-0000-0000D9BD0000}"/>
    <cellStyle name="Normal 7 7 8" xfId="34863" xr:uid="{00000000-0005-0000-0000-0000DABD0000}"/>
    <cellStyle name="Normal 7 7 9" xfId="34864" xr:uid="{00000000-0005-0000-0000-0000DBBD0000}"/>
    <cellStyle name="Normal 7 8" xfId="34865" xr:uid="{00000000-0005-0000-0000-0000DCBD0000}"/>
    <cellStyle name="Normal 7 8 10" xfId="34866" xr:uid="{00000000-0005-0000-0000-0000DDBD0000}"/>
    <cellStyle name="Normal 7 8 11" xfId="34867" xr:uid="{00000000-0005-0000-0000-0000DEBD0000}"/>
    <cellStyle name="Normal 7 8 12" xfId="34868" xr:uid="{00000000-0005-0000-0000-0000DFBD0000}"/>
    <cellStyle name="Normal 7 8 13" xfId="34869" xr:uid="{00000000-0005-0000-0000-0000E0BD0000}"/>
    <cellStyle name="Normal 7 8 2" xfId="34870" xr:uid="{00000000-0005-0000-0000-0000E1BD0000}"/>
    <cellStyle name="Normal 7 8 2 2" xfId="34871" xr:uid="{00000000-0005-0000-0000-0000E2BD0000}"/>
    <cellStyle name="Normal 7 8 2 2 2" xfId="34872" xr:uid="{00000000-0005-0000-0000-0000E3BD0000}"/>
    <cellStyle name="Normal 7 8 2 2 2 2" xfId="34873" xr:uid="{00000000-0005-0000-0000-0000E4BD0000}"/>
    <cellStyle name="Normal 7 8 2 2 2 2 2" xfId="59763" xr:uid="{00000000-0005-0000-0000-0000E5BD0000}"/>
    <cellStyle name="Normal 7 8 2 2 2 2 3" xfId="59764" xr:uid="{00000000-0005-0000-0000-0000E6BD0000}"/>
    <cellStyle name="Normal 7 8 2 2 2 3" xfId="34874" xr:uid="{00000000-0005-0000-0000-0000E7BD0000}"/>
    <cellStyle name="Normal 7 8 2 2 2 3 2" xfId="59765" xr:uid="{00000000-0005-0000-0000-0000E8BD0000}"/>
    <cellStyle name="Normal 7 8 2 2 2 4" xfId="34875" xr:uid="{00000000-0005-0000-0000-0000E9BD0000}"/>
    <cellStyle name="Normal 7 8 2 2 2 5" xfId="34876" xr:uid="{00000000-0005-0000-0000-0000EABD0000}"/>
    <cellStyle name="Normal 7 8 2 2 2 6" xfId="34877" xr:uid="{00000000-0005-0000-0000-0000EBBD0000}"/>
    <cellStyle name="Normal 7 8 2 2 3" xfId="34878" xr:uid="{00000000-0005-0000-0000-0000ECBD0000}"/>
    <cellStyle name="Normal 7 8 2 2 3 2" xfId="59766" xr:uid="{00000000-0005-0000-0000-0000EDBD0000}"/>
    <cellStyle name="Normal 7 8 2 2 3 3" xfId="59767" xr:uid="{00000000-0005-0000-0000-0000EEBD0000}"/>
    <cellStyle name="Normal 7 8 2 2 4" xfId="34879" xr:uid="{00000000-0005-0000-0000-0000EFBD0000}"/>
    <cellStyle name="Normal 7 8 2 2 4 2" xfId="59768" xr:uid="{00000000-0005-0000-0000-0000F0BD0000}"/>
    <cellStyle name="Normal 7 8 2 2 5" xfId="34880" xr:uid="{00000000-0005-0000-0000-0000F1BD0000}"/>
    <cellStyle name="Normal 7 8 2 2 6" xfId="34881" xr:uid="{00000000-0005-0000-0000-0000F2BD0000}"/>
    <cellStyle name="Normal 7 8 2 2 7" xfId="34882" xr:uid="{00000000-0005-0000-0000-0000F3BD0000}"/>
    <cellStyle name="Normal 7 8 2 3" xfId="34883" xr:uid="{00000000-0005-0000-0000-0000F4BD0000}"/>
    <cellStyle name="Normal 7 8 2 3 2" xfId="34884" xr:uid="{00000000-0005-0000-0000-0000F5BD0000}"/>
    <cellStyle name="Normal 7 8 2 3 2 2" xfId="59769" xr:uid="{00000000-0005-0000-0000-0000F6BD0000}"/>
    <cellStyle name="Normal 7 8 2 3 2 3" xfId="59770" xr:uid="{00000000-0005-0000-0000-0000F7BD0000}"/>
    <cellStyle name="Normal 7 8 2 3 3" xfId="34885" xr:uid="{00000000-0005-0000-0000-0000F8BD0000}"/>
    <cellStyle name="Normal 7 8 2 3 3 2" xfId="59771" xr:uid="{00000000-0005-0000-0000-0000F9BD0000}"/>
    <cellStyle name="Normal 7 8 2 3 4" xfId="34886" xr:uid="{00000000-0005-0000-0000-0000FABD0000}"/>
    <cellStyle name="Normal 7 8 2 3 5" xfId="34887" xr:uid="{00000000-0005-0000-0000-0000FBBD0000}"/>
    <cellStyle name="Normal 7 8 2 3 6" xfId="34888" xr:uid="{00000000-0005-0000-0000-0000FCBD0000}"/>
    <cellStyle name="Normal 7 8 2 4" xfId="34889" xr:uid="{00000000-0005-0000-0000-0000FDBD0000}"/>
    <cellStyle name="Normal 7 8 2 4 2" xfId="59772" xr:uid="{00000000-0005-0000-0000-0000FEBD0000}"/>
    <cellStyle name="Normal 7 8 2 4 3" xfId="59773" xr:uid="{00000000-0005-0000-0000-0000FFBD0000}"/>
    <cellStyle name="Normal 7 8 2 5" xfId="34890" xr:uid="{00000000-0005-0000-0000-000000BE0000}"/>
    <cellStyle name="Normal 7 8 2 5 2" xfId="59774" xr:uid="{00000000-0005-0000-0000-000001BE0000}"/>
    <cellStyle name="Normal 7 8 2 6" xfId="34891" xr:uid="{00000000-0005-0000-0000-000002BE0000}"/>
    <cellStyle name="Normal 7 8 2 7" xfId="34892" xr:uid="{00000000-0005-0000-0000-000003BE0000}"/>
    <cellStyle name="Normal 7 8 2 8" xfId="34893" xr:uid="{00000000-0005-0000-0000-000004BE0000}"/>
    <cellStyle name="Normal 7 8 2 9" xfId="34894" xr:uid="{00000000-0005-0000-0000-000005BE0000}"/>
    <cellStyle name="Normal 7 8 3" xfId="34895" xr:uid="{00000000-0005-0000-0000-000006BE0000}"/>
    <cellStyle name="Normal 7 8 3 2" xfId="34896" xr:uid="{00000000-0005-0000-0000-000007BE0000}"/>
    <cellStyle name="Normal 7 8 3 2 2" xfId="34897" xr:uid="{00000000-0005-0000-0000-000008BE0000}"/>
    <cellStyle name="Normal 7 8 3 2 2 2" xfId="59775" xr:uid="{00000000-0005-0000-0000-000009BE0000}"/>
    <cellStyle name="Normal 7 8 3 2 2 3" xfId="59776" xr:uid="{00000000-0005-0000-0000-00000ABE0000}"/>
    <cellStyle name="Normal 7 8 3 2 3" xfId="34898" xr:uid="{00000000-0005-0000-0000-00000BBE0000}"/>
    <cellStyle name="Normal 7 8 3 2 3 2" xfId="59777" xr:uid="{00000000-0005-0000-0000-00000CBE0000}"/>
    <cellStyle name="Normal 7 8 3 2 4" xfId="34899" xr:uid="{00000000-0005-0000-0000-00000DBE0000}"/>
    <cellStyle name="Normal 7 8 3 2 5" xfId="34900" xr:uid="{00000000-0005-0000-0000-00000EBE0000}"/>
    <cellStyle name="Normal 7 8 3 2 6" xfId="34901" xr:uid="{00000000-0005-0000-0000-00000FBE0000}"/>
    <cellStyle name="Normal 7 8 3 3" xfId="34902" xr:uid="{00000000-0005-0000-0000-000010BE0000}"/>
    <cellStyle name="Normal 7 8 3 3 2" xfId="59778" xr:uid="{00000000-0005-0000-0000-000011BE0000}"/>
    <cellStyle name="Normal 7 8 3 3 3" xfId="59779" xr:uid="{00000000-0005-0000-0000-000012BE0000}"/>
    <cellStyle name="Normal 7 8 3 4" xfId="34903" xr:uid="{00000000-0005-0000-0000-000013BE0000}"/>
    <cellStyle name="Normal 7 8 3 4 2" xfId="59780" xr:uid="{00000000-0005-0000-0000-000014BE0000}"/>
    <cellStyle name="Normal 7 8 3 5" xfId="34904" xr:uid="{00000000-0005-0000-0000-000015BE0000}"/>
    <cellStyle name="Normal 7 8 3 6" xfId="34905" xr:uid="{00000000-0005-0000-0000-000016BE0000}"/>
    <cellStyle name="Normal 7 8 3 7" xfId="34906" xr:uid="{00000000-0005-0000-0000-000017BE0000}"/>
    <cellStyle name="Normal 7 8 4" xfId="34907" xr:uid="{00000000-0005-0000-0000-000018BE0000}"/>
    <cellStyle name="Normal 7 8 4 2" xfId="34908" xr:uid="{00000000-0005-0000-0000-000019BE0000}"/>
    <cellStyle name="Normal 7 8 4 2 2" xfId="59781" xr:uid="{00000000-0005-0000-0000-00001ABE0000}"/>
    <cellStyle name="Normal 7 8 4 2 3" xfId="59782" xr:uid="{00000000-0005-0000-0000-00001BBE0000}"/>
    <cellStyle name="Normal 7 8 4 3" xfId="34909" xr:uid="{00000000-0005-0000-0000-00001CBE0000}"/>
    <cellStyle name="Normal 7 8 4 3 2" xfId="59783" xr:uid="{00000000-0005-0000-0000-00001DBE0000}"/>
    <cellStyle name="Normal 7 8 4 4" xfId="34910" xr:uid="{00000000-0005-0000-0000-00001EBE0000}"/>
    <cellStyle name="Normal 7 8 4 5" xfId="34911" xr:uid="{00000000-0005-0000-0000-00001FBE0000}"/>
    <cellStyle name="Normal 7 8 4 6" xfId="34912" xr:uid="{00000000-0005-0000-0000-000020BE0000}"/>
    <cellStyle name="Normal 7 8 5" xfId="34913" xr:uid="{00000000-0005-0000-0000-000021BE0000}"/>
    <cellStyle name="Normal 7 8 5 2" xfId="59784" xr:uid="{00000000-0005-0000-0000-000022BE0000}"/>
    <cellStyle name="Normal 7 8 5 3" xfId="59785" xr:uid="{00000000-0005-0000-0000-000023BE0000}"/>
    <cellStyle name="Normal 7 8 6" xfId="34914" xr:uid="{00000000-0005-0000-0000-000024BE0000}"/>
    <cellStyle name="Normal 7 8 6 2" xfId="59786" xr:uid="{00000000-0005-0000-0000-000025BE0000}"/>
    <cellStyle name="Normal 7 8 7" xfId="34915" xr:uid="{00000000-0005-0000-0000-000026BE0000}"/>
    <cellStyle name="Normal 7 8 8" xfId="34916" xr:uid="{00000000-0005-0000-0000-000027BE0000}"/>
    <cellStyle name="Normal 7 8 9" xfId="34917" xr:uid="{00000000-0005-0000-0000-000028BE0000}"/>
    <cellStyle name="Normal 7 9" xfId="34918" xr:uid="{00000000-0005-0000-0000-000029BE0000}"/>
    <cellStyle name="Normal 7 9 2" xfId="34919" xr:uid="{00000000-0005-0000-0000-00002ABE0000}"/>
    <cellStyle name="Normal 7 9 2 2" xfId="34920" xr:uid="{00000000-0005-0000-0000-00002BBE0000}"/>
    <cellStyle name="Normal 7 9 2 2 2" xfId="34921" xr:uid="{00000000-0005-0000-0000-00002CBE0000}"/>
    <cellStyle name="Normal 7 9 2 2 2 2" xfId="59787" xr:uid="{00000000-0005-0000-0000-00002DBE0000}"/>
    <cellStyle name="Normal 7 9 2 2 2 3" xfId="59788" xr:uid="{00000000-0005-0000-0000-00002EBE0000}"/>
    <cellStyle name="Normal 7 9 2 2 3" xfId="34922" xr:uid="{00000000-0005-0000-0000-00002FBE0000}"/>
    <cellStyle name="Normal 7 9 2 2 3 2" xfId="59789" xr:uid="{00000000-0005-0000-0000-000030BE0000}"/>
    <cellStyle name="Normal 7 9 2 2 4" xfId="34923" xr:uid="{00000000-0005-0000-0000-000031BE0000}"/>
    <cellStyle name="Normal 7 9 2 2 5" xfId="34924" xr:uid="{00000000-0005-0000-0000-000032BE0000}"/>
    <cellStyle name="Normal 7 9 2 2 6" xfId="34925" xr:uid="{00000000-0005-0000-0000-000033BE0000}"/>
    <cellStyle name="Normal 7 9 2 3" xfId="34926" xr:uid="{00000000-0005-0000-0000-000034BE0000}"/>
    <cellStyle name="Normal 7 9 2 3 2" xfId="59790" xr:uid="{00000000-0005-0000-0000-000035BE0000}"/>
    <cellStyle name="Normal 7 9 2 3 3" xfId="59791" xr:uid="{00000000-0005-0000-0000-000036BE0000}"/>
    <cellStyle name="Normal 7 9 2 4" xfId="34927" xr:uid="{00000000-0005-0000-0000-000037BE0000}"/>
    <cellStyle name="Normal 7 9 2 4 2" xfId="59792" xr:uid="{00000000-0005-0000-0000-000038BE0000}"/>
    <cellStyle name="Normal 7 9 2 5" xfId="34928" xr:uid="{00000000-0005-0000-0000-000039BE0000}"/>
    <cellStyle name="Normal 7 9 2 6" xfId="34929" xr:uid="{00000000-0005-0000-0000-00003ABE0000}"/>
    <cellStyle name="Normal 7 9 2 7" xfId="34930" xr:uid="{00000000-0005-0000-0000-00003BBE0000}"/>
    <cellStyle name="Normal 7 9 3" xfId="34931" xr:uid="{00000000-0005-0000-0000-00003CBE0000}"/>
    <cellStyle name="Normal 7 9 3 2" xfId="34932" xr:uid="{00000000-0005-0000-0000-00003DBE0000}"/>
    <cellStyle name="Normal 7 9 3 2 2" xfId="59793" xr:uid="{00000000-0005-0000-0000-00003EBE0000}"/>
    <cellStyle name="Normal 7 9 3 2 3" xfId="59794" xr:uid="{00000000-0005-0000-0000-00003FBE0000}"/>
    <cellStyle name="Normal 7 9 3 3" xfId="34933" xr:uid="{00000000-0005-0000-0000-000040BE0000}"/>
    <cellStyle name="Normal 7 9 3 3 2" xfId="59795" xr:uid="{00000000-0005-0000-0000-000041BE0000}"/>
    <cellStyle name="Normal 7 9 3 4" xfId="34934" xr:uid="{00000000-0005-0000-0000-000042BE0000}"/>
    <cellStyle name="Normal 7 9 3 5" xfId="34935" xr:uid="{00000000-0005-0000-0000-000043BE0000}"/>
    <cellStyle name="Normal 7 9 3 6" xfId="34936" xr:uid="{00000000-0005-0000-0000-000044BE0000}"/>
    <cellStyle name="Normal 7 9 4" xfId="34937" xr:uid="{00000000-0005-0000-0000-000045BE0000}"/>
    <cellStyle name="Normal 7 9 4 2" xfId="59796" xr:uid="{00000000-0005-0000-0000-000046BE0000}"/>
    <cellStyle name="Normal 7 9 4 3" xfId="59797" xr:uid="{00000000-0005-0000-0000-000047BE0000}"/>
    <cellStyle name="Normal 7 9 5" xfId="34938" xr:uid="{00000000-0005-0000-0000-000048BE0000}"/>
    <cellStyle name="Normal 7 9 5 2" xfId="59798" xr:uid="{00000000-0005-0000-0000-000049BE0000}"/>
    <cellStyle name="Normal 7 9 6" xfId="34939" xr:uid="{00000000-0005-0000-0000-00004ABE0000}"/>
    <cellStyle name="Normal 7 9 7" xfId="34940" xr:uid="{00000000-0005-0000-0000-00004BBE0000}"/>
    <cellStyle name="Normal 7 9 8" xfId="34941" xr:uid="{00000000-0005-0000-0000-00004CBE0000}"/>
    <cellStyle name="Normal 7 9 9" xfId="34942" xr:uid="{00000000-0005-0000-0000-00004DBE0000}"/>
    <cellStyle name="Normal 7_Sheet2" xfId="34943" xr:uid="{00000000-0005-0000-0000-00004EBE0000}"/>
    <cellStyle name="Normal 70" xfId="34944" xr:uid="{00000000-0005-0000-0000-00004FBE0000}"/>
    <cellStyle name="Normal 70 10" xfId="34945" xr:uid="{00000000-0005-0000-0000-000050BE0000}"/>
    <cellStyle name="Normal 70 10 2" xfId="34946" xr:uid="{00000000-0005-0000-0000-000051BE0000}"/>
    <cellStyle name="Normal 70 11" xfId="34947" xr:uid="{00000000-0005-0000-0000-000052BE0000}"/>
    <cellStyle name="Normal 70 11 2" xfId="34948" xr:uid="{00000000-0005-0000-0000-000053BE0000}"/>
    <cellStyle name="Normal 70 12" xfId="34949" xr:uid="{00000000-0005-0000-0000-000054BE0000}"/>
    <cellStyle name="Normal 70 13" xfId="34950" xr:uid="{00000000-0005-0000-0000-000055BE0000}"/>
    <cellStyle name="Normal 70 2" xfId="34951" xr:uid="{00000000-0005-0000-0000-000056BE0000}"/>
    <cellStyle name="Normal 70 2 10" xfId="34952" xr:uid="{00000000-0005-0000-0000-000057BE0000}"/>
    <cellStyle name="Normal 70 2 10 2" xfId="34953" xr:uid="{00000000-0005-0000-0000-000058BE0000}"/>
    <cellStyle name="Normal 70 2 11" xfId="34954" xr:uid="{00000000-0005-0000-0000-000059BE0000}"/>
    <cellStyle name="Normal 70 2 2" xfId="34955" xr:uid="{00000000-0005-0000-0000-00005ABE0000}"/>
    <cellStyle name="Normal 70 2 2 2" xfId="34956" xr:uid="{00000000-0005-0000-0000-00005BBE0000}"/>
    <cellStyle name="Normal 70 2 2 2 2" xfId="34957" xr:uid="{00000000-0005-0000-0000-00005CBE0000}"/>
    <cellStyle name="Normal 70 2 2 2 2 2" xfId="34958" xr:uid="{00000000-0005-0000-0000-00005DBE0000}"/>
    <cellStyle name="Normal 70 2 2 2 3" xfId="34959" xr:uid="{00000000-0005-0000-0000-00005EBE0000}"/>
    <cellStyle name="Normal 70 2 2 2 3 2" xfId="34960" xr:uid="{00000000-0005-0000-0000-00005FBE0000}"/>
    <cellStyle name="Normal 70 2 2 2 4" xfId="34961" xr:uid="{00000000-0005-0000-0000-000060BE0000}"/>
    <cellStyle name="Normal 70 2 2 3" xfId="34962" xr:uid="{00000000-0005-0000-0000-000061BE0000}"/>
    <cellStyle name="Normal 70 2 2 3 2" xfId="34963" xr:uid="{00000000-0005-0000-0000-000062BE0000}"/>
    <cellStyle name="Normal 70 2 2 3 2 2" xfId="34964" xr:uid="{00000000-0005-0000-0000-000063BE0000}"/>
    <cellStyle name="Normal 70 2 2 3 3" xfId="34965" xr:uid="{00000000-0005-0000-0000-000064BE0000}"/>
    <cellStyle name="Normal 70 2 2 3 3 2" xfId="34966" xr:uid="{00000000-0005-0000-0000-000065BE0000}"/>
    <cellStyle name="Normal 70 2 2 3 4" xfId="34967" xr:uid="{00000000-0005-0000-0000-000066BE0000}"/>
    <cellStyle name="Normal 70 2 2 4" xfId="34968" xr:uid="{00000000-0005-0000-0000-000067BE0000}"/>
    <cellStyle name="Normal 70 2 2 4 2" xfId="34969" xr:uid="{00000000-0005-0000-0000-000068BE0000}"/>
    <cellStyle name="Normal 70 2 2 5" xfId="34970" xr:uid="{00000000-0005-0000-0000-000069BE0000}"/>
    <cellStyle name="Normal 70 2 2 5 2" xfId="34971" xr:uid="{00000000-0005-0000-0000-00006ABE0000}"/>
    <cellStyle name="Normal 70 2 2 6" xfId="34972" xr:uid="{00000000-0005-0000-0000-00006BBE0000}"/>
    <cellStyle name="Normal 70 2 3" xfId="34973" xr:uid="{00000000-0005-0000-0000-00006CBE0000}"/>
    <cellStyle name="Normal 70 2 3 2" xfId="34974" xr:uid="{00000000-0005-0000-0000-00006DBE0000}"/>
    <cellStyle name="Normal 70 2 3 2 2" xfId="34975" xr:uid="{00000000-0005-0000-0000-00006EBE0000}"/>
    <cellStyle name="Normal 70 2 3 3" xfId="34976" xr:uid="{00000000-0005-0000-0000-00006FBE0000}"/>
    <cellStyle name="Normal 70 2 3 3 2" xfId="34977" xr:uid="{00000000-0005-0000-0000-000070BE0000}"/>
    <cellStyle name="Normal 70 2 3 4" xfId="34978" xr:uid="{00000000-0005-0000-0000-000071BE0000}"/>
    <cellStyle name="Normal 70 2 4" xfId="34979" xr:uid="{00000000-0005-0000-0000-000072BE0000}"/>
    <cellStyle name="Normal 70 2 4 2" xfId="34980" xr:uid="{00000000-0005-0000-0000-000073BE0000}"/>
    <cellStyle name="Normal 70 2 4 2 2" xfId="34981" xr:uid="{00000000-0005-0000-0000-000074BE0000}"/>
    <cellStyle name="Normal 70 2 4 3" xfId="34982" xr:uid="{00000000-0005-0000-0000-000075BE0000}"/>
    <cellStyle name="Normal 70 2 4 3 2" xfId="34983" xr:uid="{00000000-0005-0000-0000-000076BE0000}"/>
    <cellStyle name="Normal 70 2 4 4" xfId="34984" xr:uid="{00000000-0005-0000-0000-000077BE0000}"/>
    <cellStyle name="Normal 70 2 5" xfId="34985" xr:uid="{00000000-0005-0000-0000-000078BE0000}"/>
    <cellStyle name="Normal 70 2 5 2" xfId="34986" xr:uid="{00000000-0005-0000-0000-000079BE0000}"/>
    <cellStyle name="Normal 70 2 5 2 2" xfId="34987" xr:uid="{00000000-0005-0000-0000-00007ABE0000}"/>
    <cellStyle name="Normal 70 2 5 3" xfId="34988" xr:uid="{00000000-0005-0000-0000-00007BBE0000}"/>
    <cellStyle name="Normal 70 2 5 3 2" xfId="34989" xr:uid="{00000000-0005-0000-0000-00007CBE0000}"/>
    <cellStyle name="Normal 70 2 5 4" xfId="34990" xr:uid="{00000000-0005-0000-0000-00007DBE0000}"/>
    <cellStyle name="Normal 70 2 6" xfId="34991" xr:uid="{00000000-0005-0000-0000-00007EBE0000}"/>
    <cellStyle name="Normal 70 2 6 2" xfId="34992" xr:uid="{00000000-0005-0000-0000-00007FBE0000}"/>
    <cellStyle name="Normal 70 2 6 2 2" xfId="34993" xr:uid="{00000000-0005-0000-0000-000080BE0000}"/>
    <cellStyle name="Normal 70 2 6 3" xfId="34994" xr:uid="{00000000-0005-0000-0000-000081BE0000}"/>
    <cellStyle name="Normal 70 2 6 3 2" xfId="34995" xr:uid="{00000000-0005-0000-0000-000082BE0000}"/>
    <cellStyle name="Normal 70 2 6 4" xfId="34996" xr:uid="{00000000-0005-0000-0000-000083BE0000}"/>
    <cellStyle name="Normal 70 2 7" xfId="34997" xr:uid="{00000000-0005-0000-0000-000084BE0000}"/>
    <cellStyle name="Normal 70 2 7 2" xfId="34998" xr:uid="{00000000-0005-0000-0000-000085BE0000}"/>
    <cellStyle name="Normal 70 2 7 2 2" xfId="34999" xr:uid="{00000000-0005-0000-0000-000086BE0000}"/>
    <cellStyle name="Normal 70 2 7 3" xfId="35000" xr:uid="{00000000-0005-0000-0000-000087BE0000}"/>
    <cellStyle name="Normal 70 2 7 3 2" xfId="35001" xr:uid="{00000000-0005-0000-0000-000088BE0000}"/>
    <cellStyle name="Normal 70 2 7 4" xfId="35002" xr:uid="{00000000-0005-0000-0000-000089BE0000}"/>
    <cellStyle name="Normal 70 2 8" xfId="35003" xr:uid="{00000000-0005-0000-0000-00008ABE0000}"/>
    <cellStyle name="Normal 70 2 8 2" xfId="35004" xr:uid="{00000000-0005-0000-0000-00008BBE0000}"/>
    <cellStyle name="Normal 70 2 8 2 2" xfId="35005" xr:uid="{00000000-0005-0000-0000-00008CBE0000}"/>
    <cellStyle name="Normal 70 2 8 3" xfId="35006" xr:uid="{00000000-0005-0000-0000-00008DBE0000}"/>
    <cellStyle name="Normal 70 2 9" xfId="35007" xr:uid="{00000000-0005-0000-0000-00008EBE0000}"/>
    <cellStyle name="Normal 70 2 9 2" xfId="35008" xr:uid="{00000000-0005-0000-0000-00008FBE0000}"/>
    <cellStyle name="Normal 70 3" xfId="35009" xr:uid="{00000000-0005-0000-0000-000090BE0000}"/>
    <cellStyle name="Normal 70 3 2" xfId="35010" xr:uid="{00000000-0005-0000-0000-000091BE0000}"/>
    <cellStyle name="Normal 70 3 2 2" xfId="35011" xr:uid="{00000000-0005-0000-0000-000092BE0000}"/>
    <cellStyle name="Normal 70 3 2 2 2" xfId="35012" xr:uid="{00000000-0005-0000-0000-000093BE0000}"/>
    <cellStyle name="Normal 70 3 2 3" xfId="35013" xr:uid="{00000000-0005-0000-0000-000094BE0000}"/>
    <cellStyle name="Normal 70 3 2 3 2" xfId="35014" xr:uid="{00000000-0005-0000-0000-000095BE0000}"/>
    <cellStyle name="Normal 70 3 2 4" xfId="35015" xr:uid="{00000000-0005-0000-0000-000096BE0000}"/>
    <cellStyle name="Normal 70 3 3" xfId="35016" xr:uid="{00000000-0005-0000-0000-000097BE0000}"/>
    <cellStyle name="Normal 70 3 3 2" xfId="35017" xr:uid="{00000000-0005-0000-0000-000098BE0000}"/>
    <cellStyle name="Normal 70 3 3 2 2" xfId="35018" xr:uid="{00000000-0005-0000-0000-000099BE0000}"/>
    <cellStyle name="Normal 70 3 3 3" xfId="35019" xr:uid="{00000000-0005-0000-0000-00009ABE0000}"/>
    <cellStyle name="Normal 70 3 3 3 2" xfId="35020" xr:uid="{00000000-0005-0000-0000-00009BBE0000}"/>
    <cellStyle name="Normal 70 3 3 4" xfId="35021" xr:uid="{00000000-0005-0000-0000-00009CBE0000}"/>
    <cellStyle name="Normal 70 3 4" xfId="35022" xr:uid="{00000000-0005-0000-0000-00009DBE0000}"/>
    <cellStyle name="Normal 70 3 4 2" xfId="35023" xr:uid="{00000000-0005-0000-0000-00009EBE0000}"/>
    <cellStyle name="Normal 70 3 5" xfId="35024" xr:uid="{00000000-0005-0000-0000-00009FBE0000}"/>
    <cellStyle name="Normal 70 3 5 2" xfId="35025" xr:uid="{00000000-0005-0000-0000-0000A0BE0000}"/>
    <cellStyle name="Normal 70 3 6" xfId="35026" xr:uid="{00000000-0005-0000-0000-0000A1BE0000}"/>
    <cellStyle name="Normal 70 4" xfId="35027" xr:uid="{00000000-0005-0000-0000-0000A2BE0000}"/>
    <cellStyle name="Normal 70 4 2" xfId="35028" xr:uid="{00000000-0005-0000-0000-0000A3BE0000}"/>
    <cellStyle name="Normal 70 4 2 2" xfId="35029" xr:uid="{00000000-0005-0000-0000-0000A4BE0000}"/>
    <cellStyle name="Normal 70 4 3" xfId="35030" xr:uid="{00000000-0005-0000-0000-0000A5BE0000}"/>
    <cellStyle name="Normal 70 4 3 2" xfId="35031" xr:uid="{00000000-0005-0000-0000-0000A6BE0000}"/>
    <cellStyle name="Normal 70 4 4" xfId="35032" xr:uid="{00000000-0005-0000-0000-0000A7BE0000}"/>
    <cellStyle name="Normal 70 5" xfId="35033" xr:uid="{00000000-0005-0000-0000-0000A8BE0000}"/>
    <cellStyle name="Normal 70 5 2" xfId="35034" xr:uid="{00000000-0005-0000-0000-0000A9BE0000}"/>
    <cellStyle name="Normal 70 5 2 2" xfId="35035" xr:uid="{00000000-0005-0000-0000-0000AABE0000}"/>
    <cellStyle name="Normal 70 5 3" xfId="35036" xr:uid="{00000000-0005-0000-0000-0000ABBE0000}"/>
    <cellStyle name="Normal 70 5 3 2" xfId="35037" xr:uid="{00000000-0005-0000-0000-0000ACBE0000}"/>
    <cellStyle name="Normal 70 5 4" xfId="35038" xr:uid="{00000000-0005-0000-0000-0000ADBE0000}"/>
    <cellStyle name="Normal 70 6" xfId="35039" xr:uid="{00000000-0005-0000-0000-0000AEBE0000}"/>
    <cellStyle name="Normal 70 6 2" xfId="35040" xr:uid="{00000000-0005-0000-0000-0000AFBE0000}"/>
    <cellStyle name="Normal 70 6 2 2" xfId="35041" xr:uid="{00000000-0005-0000-0000-0000B0BE0000}"/>
    <cellStyle name="Normal 70 6 3" xfId="35042" xr:uid="{00000000-0005-0000-0000-0000B1BE0000}"/>
    <cellStyle name="Normal 70 6 3 2" xfId="35043" xr:uid="{00000000-0005-0000-0000-0000B2BE0000}"/>
    <cellStyle name="Normal 70 6 4" xfId="35044" xr:uid="{00000000-0005-0000-0000-0000B3BE0000}"/>
    <cellStyle name="Normal 70 7" xfId="35045" xr:uid="{00000000-0005-0000-0000-0000B4BE0000}"/>
    <cellStyle name="Normal 70 7 2" xfId="35046" xr:uid="{00000000-0005-0000-0000-0000B5BE0000}"/>
    <cellStyle name="Normal 70 7 2 2" xfId="35047" xr:uid="{00000000-0005-0000-0000-0000B6BE0000}"/>
    <cellStyle name="Normal 70 7 3" xfId="35048" xr:uid="{00000000-0005-0000-0000-0000B7BE0000}"/>
    <cellStyle name="Normal 70 7 3 2" xfId="35049" xr:uid="{00000000-0005-0000-0000-0000B8BE0000}"/>
    <cellStyle name="Normal 70 7 4" xfId="35050" xr:uid="{00000000-0005-0000-0000-0000B9BE0000}"/>
    <cellStyle name="Normal 70 8" xfId="35051" xr:uid="{00000000-0005-0000-0000-0000BABE0000}"/>
    <cellStyle name="Normal 70 8 2" xfId="35052" xr:uid="{00000000-0005-0000-0000-0000BBBE0000}"/>
    <cellStyle name="Normal 70 8 2 2" xfId="35053" xr:uid="{00000000-0005-0000-0000-0000BCBE0000}"/>
    <cellStyle name="Normal 70 8 3" xfId="35054" xr:uid="{00000000-0005-0000-0000-0000BDBE0000}"/>
    <cellStyle name="Normal 70 8 3 2" xfId="35055" xr:uid="{00000000-0005-0000-0000-0000BEBE0000}"/>
    <cellStyle name="Normal 70 8 4" xfId="35056" xr:uid="{00000000-0005-0000-0000-0000BFBE0000}"/>
    <cellStyle name="Normal 70 9" xfId="35057" xr:uid="{00000000-0005-0000-0000-0000C0BE0000}"/>
    <cellStyle name="Normal 70 9 2" xfId="35058" xr:uid="{00000000-0005-0000-0000-0000C1BE0000}"/>
    <cellStyle name="Normal 70 9 2 2" xfId="35059" xr:uid="{00000000-0005-0000-0000-0000C2BE0000}"/>
    <cellStyle name="Normal 70 9 3" xfId="35060" xr:uid="{00000000-0005-0000-0000-0000C3BE0000}"/>
    <cellStyle name="Normal 71" xfId="35061" xr:uid="{00000000-0005-0000-0000-0000C4BE0000}"/>
    <cellStyle name="Normal 71 10" xfId="35062" xr:uid="{00000000-0005-0000-0000-0000C5BE0000}"/>
    <cellStyle name="Normal 71 10 2" xfId="35063" xr:uid="{00000000-0005-0000-0000-0000C6BE0000}"/>
    <cellStyle name="Normal 71 11" xfId="35064" xr:uid="{00000000-0005-0000-0000-0000C7BE0000}"/>
    <cellStyle name="Normal 71 11 2" xfId="35065" xr:uid="{00000000-0005-0000-0000-0000C8BE0000}"/>
    <cellStyle name="Normal 71 12" xfId="35066" xr:uid="{00000000-0005-0000-0000-0000C9BE0000}"/>
    <cellStyle name="Normal 71 13" xfId="35067" xr:uid="{00000000-0005-0000-0000-0000CABE0000}"/>
    <cellStyle name="Normal 71 2" xfId="35068" xr:uid="{00000000-0005-0000-0000-0000CBBE0000}"/>
    <cellStyle name="Normal 71 2 10" xfId="35069" xr:uid="{00000000-0005-0000-0000-0000CCBE0000}"/>
    <cellStyle name="Normal 71 2 10 2" xfId="35070" xr:uid="{00000000-0005-0000-0000-0000CDBE0000}"/>
    <cellStyle name="Normal 71 2 11" xfId="35071" xr:uid="{00000000-0005-0000-0000-0000CEBE0000}"/>
    <cellStyle name="Normal 71 2 2" xfId="35072" xr:uid="{00000000-0005-0000-0000-0000CFBE0000}"/>
    <cellStyle name="Normal 71 2 2 2" xfId="35073" xr:uid="{00000000-0005-0000-0000-0000D0BE0000}"/>
    <cellStyle name="Normal 71 2 2 2 2" xfId="35074" xr:uid="{00000000-0005-0000-0000-0000D1BE0000}"/>
    <cellStyle name="Normal 71 2 2 2 2 2" xfId="35075" xr:uid="{00000000-0005-0000-0000-0000D2BE0000}"/>
    <cellStyle name="Normal 71 2 2 2 3" xfId="35076" xr:uid="{00000000-0005-0000-0000-0000D3BE0000}"/>
    <cellStyle name="Normal 71 2 2 2 3 2" xfId="35077" xr:uid="{00000000-0005-0000-0000-0000D4BE0000}"/>
    <cellStyle name="Normal 71 2 2 2 4" xfId="35078" xr:uid="{00000000-0005-0000-0000-0000D5BE0000}"/>
    <cellStyle name="Normal 71 2 2 3" xfId="35079" xr:uid="{00000000-0005-0000-0000-0000D6BE0000}"/>
    <cellStyle name="Normal 71 2 2 3 2" xfId="35080" xr:uid="{00000000-0005-0000-0000-0000D7BE0000}"/>
    <cellStyle name="Normal 71 2 2 3 2 2" xfId="35081" xr:uid="{00000000-0005-0000-0000-0000D8BE0000}"/>
    <cellStyle name="Normal 71 2 2 3 3" xfId="35082" xr:uid="{00000000-0005-0000-0000-0000D9BE0000}"/>
    <cellStyle name="Normal 71 2 2 3 3 2" xfId="35083" xr:uid="{00000000-0005-0000-0000-0000DABE0000}"/>
    <cellStyle name="Normal 71 2 2 3 4" xfId="35084" xr:uid="{00000000-0005-0000-0000-0000DBBE0000}"/>
    <cellStyle name="Normal 71 2 2 4" xfId="35085" xr:uid="{00000000-0005-0000-0000-0000DCBE0000}"/>
    <cellStyle name="Normal 71 2 2 4 2" xfId="35086" xr:uid="{00000000-0005-0000-0000-0000DDBE0000}"/>
    <cellStyle name="Normal 71 2 2 5" xfId="35087" xr:uid="{00000000-0005-0000-0000-0000DEBE0000}"/>
    <cellStyle name="Normal 71 2 2 5 2" xfId="35088" xr:uid="{00000000-0005-0000-0000-0000DFBE0000}"/>
    <cellStyle name="Normal 71 2 2 6" xfId="35089" xr:uid="{00000000-0005-0000-0000-0000E0BE0000}"/>
    <cellStyle name="Normal 71 2 3" xfId="35090" xr:uid="{00000000-0005-0000-0000-0000E1BE0000}"/>
    <cellStyle name="Normal 71 2 3 2" xfId="35091" xr:uid="{00000000-0005-0000-0000-0000E2BE0000}"/>
    <cellStyle name="Normal 71 2 3 2 2" xfId="35092" xr:uid="{00000000-0005-0000-0000-0000E3BE0000}"/>
    <cellStyle name="Normal 71 2 3 3" xfId="35093" xr:uid="{00000000-0005-0000-0000-0000E4BE0000}"/>
    <cellStyle name="Normal 71 2 3 3 2" xfId="35094" xr:uid="{00000000-0005-0000-0000-0000E5BE0000}"/>
    <cellStyle name="Normal 71 2 3 4" xfId="35095" xr:uid="{00000000-0005-0000-0000-0000E6BE0000}"/>
    <cellStyle name="Normal 71 2 4" xfId="35096" xr:uid="{00000000-0005-0000-0000-0000E7BE0000}"/>
    <cellStyle name="Normal 71 2 4 2" xfId="35097" xr:uid="{00000000-0005-0000-0000-0000E8BE0000}"/>
    <cellStyle name="Normal 71 2 4 2 2" xfId="35098" xr:uid="{00000000-0005-0000-0000-0000E9BE0000}"/>
    <cellStyle name="Normal 71 2 4 3" xfId="35099" xr:uid="{00000000-0005-0000-0000-0000EABE0000}"/>
    <cellStyle name="Normal 71 2 4 3 2" xfId="35100" xr:uid="{00000000-0005-0000-0000-0000EBBE0000}"/>
    <cellStyle name="Normal 71 2 4 4" xfId="35101" xr:uid="{00000000-0005-0000-0000-0000ECBE0000}"/>
    <cellStyle name="Normal 71 2 5" xfId="35102" xr:uid="{00000000-0005-0000-0000-0000EDBE0000}"/>
    <cellStyle name="Normal 71 2 5 2" xfId="35103" xr:uid="{00000000-0005-0000-0000-0000EEBE0000}"/>
    <cellStyle name="Normal 71 2 5 2 2" xfId="35104" xr:uid="{00000000-0005-0000-0000-0000EFBE0000}"/>
    <cellStyle name="Normal 71 2 5 3" xfId="35105" xr:uid="{00000000-0005-0000-0000-0000F0BE0000}"/>
    <cellStyle name="Normal 71 2 5 3 2" xfId="35106" xr:uid="{00000000-0005-0000-0000-0000F1BE0000}"/>
    <cellStyle name="Normal 71 2 5 4" xfId="35107" xr:uid="{00000000-0005-0000-0000-0000F2BE0000}"/>
    <cellStyle name="Normal 71 2 6" xfId="35108" xr:uid="{00000000-0005-0000-0000-0000F3BE0000}"/>
    <cellStyle name="Normal 71 2 6 2" xfId="35109" xr:uid="{00000000-0005-0000-0000-0000F4BE0000}"/>
    <cellStyle name="Normal 71 2 6 2 2" xfId="35110" xr:uid="{00000000-0005-0000-0000-0000F5BE0000}"/>
    <cellStyle name="Normal 71 2 6 3" xfId="35111" xr:uid="{00000000-0005-0000-0000-0000F6BE0000}"/>
    <cellStyle name="Normal 71 2 6 3 2" xfId="35112" xr:uid="{00000000-0005-0000-0000-0000F7BE0000}"/>
    <cellStyle name="Normal 71 2 6 4" xfId="35113" xr:uid="{00000000-0005-0000-0000-0000F8BE0000}"/>
    <cellStyle name="Normal 71 2 7" xfId="35114" xr:uid="{00000000-0005-0000-0000-0000F9BE0000}"/>
    <cellStyle name="Normal 71 2 7 2" xfId="35115" xr:uid="{00000000-0005-0000-0000-0000FABE0000}"/>
    <cellStyle name="Normal 71 2 7 2 2" xfId="35116" xr:uid="{00000000-0005-0000-0000-0000FBBE0000}"/>
    <cellStyle name="Normal 71 2 7 3" xfId="35117" xr:uid="{00000000-0005-0000-0000-0000FCBE0000}"/>
    <cellStyle name="Normal 71 2 7 3 2" xfId="35118" xr:uid="{00000000-0005-0000-0000-0000FDBE0000}"/>
    <cellStyle name="Normal 71 2 7 4" xfId="35119" xr:uid="{00000000-0005-0000-0000-0000FEBE0000}"/>
    <cellStyle name="Normal 71 2 8" xfId="35120" xr:uid="{00000000-0005-0000-0000-0000FFBE0000}"/>
    <cellStyle name="Normal 71 2 8 2" xfId="35121" xr:uid="{00000000-0005-0000-0000-000000BF0000}"/>
    <cellStyle name="Normal 71 2 8 2 2" xfId="35122" xr:uid="{00000000-0005-0000-0000-000001BF0000}"/>
    <cellStyle name="Normal 71 2 8 3" xfId="35123" xr:uid="{00000000-0005-0000-0000-000002BF0000}"/>
    <cellStyle name="Normal 71 2 9" xfId="35124" xr:uid="{00000000-0005-0000-0000-000003BF0000}"/>
    <cellStyle name="Normal 71 2 9 2" xfId="35125" xr:uid="{00000000-0005-0000-0000-000004BF0000}"/>
    <cellStyle name="Normal 71 3" xfId="35126" xr:uid="{00000000-0005-0000-0000-000005BF0000}"/>
    <cellStyle name="Normal 71 3 2" xfId="35127" xr:uid="{00000000-0005-0000-0000-000006BF0000}"/>
    <cellStyle name="Normal 71 3 2 2" xfId="35128" xr:uid="{00000000-0005-0000-0000-000007BF0000}"/>
    <cellStyle name="Normal 71 3 2 2 2" xfId="35129" xr:uid="{00000000-0005-0000-0000-000008BF0000}"/>
    <cellStyle name="Normal 71 3 2 3" xfId="35130" xr:uid="{00000000-0005-0000-0000-000009BF0000}"/>
    <cellStyle name="Normal 71 3 2 3 2" xfId="35131" xr:uid="{00000000-0005-0000-0000-00000ABF0000}"/>
    <cellStyle name="Normal 71 3 2 4" xfId="35132" xr:uid="{00000000-0005-0000-0000-00000BBF0000}"/>
    <cellStyle name="Normal 71 3 3" xfId="35133" xr:uid="{00000000-0005-0000-0000-00000CBF0000}"/>
    <cellStyle name="Normal 71 3 3 2" xfId="35134" xr:uid="{00000000-0005-0000-0000-00000DBF0000}"/>
    <cellStyle name="Normal 71 3 3 2 2" xfId="35135" xr:uid="{00000000-0005-0000-0000-00000EBF0000}"/>
    <cellStyle name="Normal 71 3 3 3" xfId="35136" xr:uid="{00000000-0005-0000-0000-00000FBF0000}"/>
    <cellStyle name="Normal 71 3 3 3 2" xfId="35137" xr:uid="{00000000-0005-0000-0000-000010BF0000}"/>
    <cellStyle name="Normal 71 3 3 4" xfId="35138" xr:uid="{00000000-0005-0000-0000-000011BF0000}"/>
    <cellStyle name="Normal 71 3 4" xfId="35139" xr:uid="{00000000-0005-0000-0000-000012BF0000}"/>
    <cellStyle name="Normal 71 3 4 2" xfId="35140" xr:uid="{00000000-0005-0000-0000-000013BF0000}"/>
    <cellStyle name="Normal 71 3 5" xfId="35141" xr:uid="{00000000-0005-0000-0000-000014BF0000}"/>
    <cellStyle name="Normal 71 3 5 2" xfId="35142" xr:uid="{00000000-0005-0000-0000-000015BF0000}"/>
    <cellStyle name="Normal 71 3 6" xfId="35143" xr:uid="{00000000-0005-0000-0000-000016BF0000}"/>
    <cellStyle name="Normal 71 4" xfId="35144" xr:uid="{00000000-0005-0000-0000-000017BF0000}"/>
    <cellStyle name="Normal 71 4 2" xfId="35145" xr:uid="{00000000-0005-0000-0000-000018BF0000}"/>
    <cellStyle name="Normal 71 4 2 2" xfId="35146" xr:uid="{00000000-0005-0000-0000-000019BF0000}"/>
    <cellStyle name="Normal 71 4 3" xfId="35147" xr:uid="{00000000-0005-0000-0000-00001ABF0000}"/>
    <cellStyle name="Normal 71 4 3 2" xfId="35148" xr:uid="{00000000-0005-0000-0000-00001BBF0000}"/>
    <cellStyle name="Normal 71 4 4" xfId="35149" xr:uid="{00000000-0005-0000-0000-00001CBF0000}"/>
    <cellStyle name="Normal 71 5" xfId="35150" xr:uid="{00000000-0005-0000-0000-00001DBF0000}"/>
    <cellStyle name="Normal 71 5 2" xfId="35151" xr:uid="{00000000-0005-0000-0000-00001EBF0000}"/>
    <cellStyle name="Normal 71 5 2 2" xfId="35152" xr:uid="{00000000-0005-0000-0000-00001FBF0000}"/>
    <cellStyle name="Normal 71 5 3" xfId="35153" xr:uid="{00000000-0005-0000-0000-000020BF0000}"/>
    <cellStyle name="Normal 71 5 3 2" xfId="35154" xr:uid="{00000000-0005-0000-0000-000021BF0000}"/>
    <cellStyle name="Normal 71 5 4" xfId="35155" xr:uid="{00000000-0005-0000-0000-000022BF0000}"/>
    <cellStyle name="Normal 71 6" xfId="35156" xr:uid="{00000000-0005-0000-0000-000023BF0000}"/>
    <cellStyle name="Normal 71 6 2" xfId="35157" xr:uid="{00000000-0005-0000-0000-000024BF0000}"/>
    <cellStyle name="Normal 71 6 2 2" xfId="35158" xr:uid="{00000000-0005-0000-0000-000025BF0000}"/>
    <cellStyle name="Normal 71 6 3" xfId="35159" xr:uid="{00000000-0005-0000-0000-000026BF0000}"/>
    <cellStyle name="Normal 71 6 3 2" xfId="35160" xr:uid="{00000000-0005-0000-0000-000027BF0000}"/>
    <cellStyle name="Normal 71 6 4" xfId="35161" xr:uid="{00000000-0005-0000-0000-000028BF0000}"/>
    <cellStyle name="Normal 71 7" xfId="35162" xr:uid="{00000000-0005-0000-0000-000029BF0000}"/>
    <cellStyle name="Normal 71 7 2" xfId="35163" xr:uid="{00000000-0005-0000-0000-00002ABF0000}"/>
    <cellStyle name="Normal 71 7 2 2" xfId="35164" xr:uid="{00000000-0005-0000-0000-00002BBF0000}"/>
    <cellStyle name="Normal 71 7 3" xfId="35165" xr:uid="{00000000-0005-0000-0000-00002CBF0000}"/>
    <cellStyle name="Normal 71 7 3 2" xfId="35166" xr:uid="{00000000-0005-0000-0000-00002DBF0000}"/>
    <cellStyle name="Normal 71 7 4" xfId="35167" xr:uid="{00000000-0005-0000-0000-00002EBF0000}"/>
    <cellStyle name="Normal 71 8" xfId="35168" xr:uid="{00000000-0005-0000-0000-00002FBF0000}"/>
    <cellStyle name="Normal 71 8 2" xfId="35169" xr:uid="{00000000-0005-0000-0000-000030BF0000}"/>
    <cellStyle name="Normal 71 8 2 2" xfId="35170" xr:uid="{00000000-0005-0000-0000-000031BF0000}"/>
    <cellStyle name="Normal 71 8 3" xfId="35171" xr:uid="{00000000-0005-0000-0000-000032BF0000}"/>
    <cellStyle name="Normal 71 8 3 2" xfId="35172" xr:uid="{00000000-0005-0000-0000-000033BF0000}"/>
    <cellStyle name="Normal 71 8 4" xfId="35173" xr:uid="{00000000-0005-0000-0000-000034BF0000}"/>
    <cellStyle name="Normal 71 9" xfId="35174" xr:uid="{00000000-0005-0000-0000-000035BF0000}"/>
    <cellStyle name="Normal 71 9 2" xfId="35175" xr:uid="{00000000-0005-0000-0000-000036BF0000}"/>
    <cellStyle name="Normal 71 9 2 2" xfId="35176" xr:uid="{00000000-0005-0000-0000-000037BF0000}"/>
    <cellStyle name="Normal 71 9 3" xfId="35177" xr:uid="{00000000-0005-0000-0000-000038BF0000}"/>
    <cellStyle name="Normal 72" xfId="35178" xr:uid="{00000000-0005-0000-0000-000039BF0000}"/>
    <cellStyle name="Normal 72 10" xfId="35179" xr:uid="{00000000-0005-0000-0000-00003ABF0000}"/>
    <cellStyle name="Normal 72 10 2" xfId="35180" xr:uid="{00000000-0005-0000-0000-00003BBF0000}"/>
    <cellStyle name="Normal 72 11" xfId="35181" xr:uid="{00000000-0005-0000-0000-00003CBF0000}"/>
    <cellStyle name="Normal 72 11 2" xfId="35182" xr:uid="{00000000-0005-0000-0000-00003DBF0000}"/>
    <cellStyle name="Normal 72 12" xfId="35183" xr:uid="{00000000-0005-0000-0000-00003EBF0000}"/>
    <cellStyle name="Normal 72 13" xfId="35184" xr:uid="{00000000-0005-0000-0000-00003FBF0000}"/>
    <cellStyle name="Normal 72 2" xfId="35185" xr:uid="{00000000-0005-0000-0000-000040BF0000}"/>
    <cellStyle name="Normal 72 2 10" xfId="35186" xr:uid="{00000000-0005-0000-0000-000041BF0000}"/>
    <cellStyle name="Normal 72 2 10 2" xfId="35187" xr:uid="{00000000-0005-0000-0000-000042BF0000}"/>
    <cellStyle name="Normal 72 2 11" xfId="35188" xr:uid="{00000000-0005-0000-0000-000043BF0000}"/>
    <cellStyle name="Normal 72 2 2" xfId="35189" xr:uid="{00000000-0005-0000-0000-000044BF0000}"/>
    <cellStyle name="Normal 72 2 2 2" xfId="35190" xr:uid="{00000000-0005-0000-0000-000045BF0000}"/>
    <cellStyle name="Normal 72 2 2 2 2" xfId="35191" xr:uid="{00000000-0005-0000-0000-000046BF0000}"/>
    <cellStyle name="Normal 72 2 2 2 2 2" xfId="35192" xr:uid="{00000000-0005-0000-0000-000047BF0000}"/>
    <cellStyle name="Normal 72 2 2 2 3" xfId="35193" xr:uid="{00000000-0005-0000-0000-000048BF0000}"/>
    <cellStyle name="Normal 72 2 2 2 3 2" xfId="35194" xr:uid="{00000000-0005-0000-0000-000049BF0000}"/>
    <cellStyle name="Normal 72 2 2 2 4" xfId="35195" xr:uid="{00000000-0005-0000-0000-00004ABF0000}"/>
    <cellStyle name="Normal 72 2 2 3" xfId="35196" xr:uid="{00000000-0005-0000-0000-00004BBF0000}"/>
    <cellStyle name="Normal 72 2 2 3 2" xfId="35197" xr:uid="{00000000-0005-0000-0000-00004CBF0000}"/>
    <cellStyle name="Normal 72 2 2 3 2 2" xfId="35198" xr:uid="{00000000-0005-0000-0000-00004DBF0000}"/>
    <cellStyle name="Normal 72 2 2 3 3" xfId="35199" xr:uid="{00000000-0005-0000-0000-00004EBF0000}"/>
    <cellStyle name="Normal 72 2 2 3 3 2" xfId="35200" xr:uid="{00000000-0005-0000-0000-00004FBF0000}"/>
    <cellStyle name="Normal 72 2 2 3 4" xfId="35201" xr:uid="{00000000-0005-0000-0000-000050BF0000}"/>
    <cellStyle name="Normal 72 2 2 4" xfId="35202" xr:uid="{00000000-0005-0000-0000-000051BF0000}"/>
    <cellStyle name="Normal 72 2 2 4 2" xfId="35203" xr:uid="{00000000-0005-0000-0000-000052BF0000}"/>
    <cellStyle name="Normal 72 2 2 5" xfId="35204" xr:uid="{00000000-0005-0000-0000-000053BF0000}"/>
    <cellStyle name="Normal 72 2 2 5 2" xfId="35205" xr:uid="{00000000-0005-0000-0000-000054BF0000}"/>
    <cellStyle name="Normal 72 2 2 6" xfId="35206" xr:uid="{00000000-0005-0000-0000-000055BF0000}"/>
    <cellStyle name="Normal 72 2 3" xfId="35207" xr:uid="{00000000-0005-0000-0000-000056BF0000}"/>
    <cellStyle name="Normal 72 2 3 2" xfId="35208" xr:uid="{00000000-0005-0000-0000-000057BF0000}"/>
    <cellStyle name="Normal 72 2 3 2 2" xfId="35209" xr:uid="{00000000-0005-0000-0000-000058BF0000}"/>
    <cellStyle name="Normal 72 2 3 3" xfId="35210" xr:uid="{00000000-0005-0000-0000-000059BF0000}"/>
    <cellStyle name="Normal 72 2 3 3 2" xfId="35211" xr:uid="{00000000-0005-0000-0000-00005ABF0000}"/>
    <cellStyle name="Normal 72 2 3 4" xfId="35212" xr:uid="{00000000-0005-0000-0000-00005BBF0000}"/>
    <cellStyle name="Normal 72 2 4" xfId="35213" xr:uid="{00000000-0005-0000-0000-00005CBF0000}"/>
    <cellStyle name="Normal 72 2 4 2" xfId="35214" xr:uid="{00000000-0005-0000-0000-00005DBF0000}"/>
    <cellStyle name="Normal 72 2 4 2 2" xfId="35215" xr:uid="{00000000-0005-0000-0000-00005EBF0000}"/>
    <cellStyle name="Normal 72 2 4 3" xfId="35216" xr:uid="{00000000-0005-0000-0000-00005FBF0000}"/>
    <cellStyle name="Normal 72 2 4 3 2" xfId="35217" xr:uid="{00000000-0005-0000-0000-000060BF0000}"/>
    <cellStyle name="Normal 72 2 4 4" xfId="35218" xr:uid="{00000000-0005-0000-0000-000061BF0000}"/>
    <cellStyle name="Normal 72 2 5" xfId="35219" xr:uid="{00000000-0005-0000-0000-000062BF0000}"/>
    <cellStyle name="Normal 72 2 5 2" xfId="35220" xr:uid="{00000000-0005-0000-0000-000063BF0000}"/>
    <cellStyle name="Normal 72 2 5 2 2" xfId="35221" xr:uid="{00000000-0005-0000-0000-000064BF0000}"/>
    <cellStyle name="Normal 72 2 5 3" xfId="35222" xr:uid="{00000000-0005-0000-0000-000065BF0000}"/>
    <cellStyle name="Normal 72 2 5 3 2" xfId="35223" xr:uid="{00000000-0005-0000-0000-000066BF0000}"/>
    <cellStyle name="Normal 72 2 5 4" xfId="35224" xr:uid="{00000000-0005-0000-0000-000067BF0000}"/>
    <cellStyle name="Normal 72 2 6" xfId="35225" xr:uid="{00000000-0005-0000-0000-000068BF0000}"/>
    <cellStyle name="Normal 72 2 6 2" xfId="35226" xr:uid="{00000000-0005-0000-0000-000069BF0000}"/>
    <cellStyle name="Normal 72 2 6 2 2" xfId="35227" xr:uid="{00000000-0005-0000-0000-00006ABF0000}"/>
    <cellStyle name="Normal 72 2 6 3" xfId="35228" xr:uid="{00000000-0005-0000-0000-00006BBF0000}"/>
    <cellStyle name="Normal 72 2 6 3 2" xfId="35229" xr:uid="{00000000-0005-0000-0000-00006CBF0000}"/>
    <cellStyle name="Normal 72 2 6 4" xfId="35230" xr:uid="{00000000-0005-0000-0000-00006DBF0000}"/>
    <cellStyle name="Normal 72 2 7" xfId="35231" xr:uid="{00000000-0005-0000-0000-00006EBF0000}"/>
    <cellStyle name="Normal 72 2 7 2" xfId="35232" xr:uid="{00000000-0005-0000-0000-00006FBF0000}"/>
    <cellStyle name="Normal 72 2 7 2 2" xfId="35233" xr:uid="{00000000-0005-0000-0000-000070BF0000}"/>
    <cellStyle name="Normal 72 2 7 3" xfId="35234" xr:uid="{00000000-0005-0000-0000-000071BF0000}"/>
    <cellStyle name="Normal 72 2 7 3 2" xfId="35235" xr:uid="{00000000-0005-0000-0000-000072BF0000}"/>
    <cellStyle name="Normal 72 2 7 4" xfId="35236" xr:uid="{00000000-0005-0000-0000-000073BF0000}"/>
    <cellStyle name="Normal 72 2 8" xfId="35237" xr:uid="{00000000-0005-0000-0000-000074BF0000}"/>
    <cellStyle name="Normal 72 2 8 2" xfId="35238" xr:uid="{00000000-0005-0000-0000-000075BF0000}"/>
    <cellStyle name="Normal 72 2 8 2 2" xfId="35239" xr:uid="{00000000-0005-0000-0000-000076BF0000}"/>
    <cellStyle name="Normal 72 2 8 3" xfId="35240" xr:uid="{00000000-0005-0000-0000-000077BF0000}"/>
    <cellStyle name="Normal 72 2 9" xfId="35241" xr:uid="{00000000-0005-0000-0000-000078BF0000}"/>
    <cellStyle name="Normal 72 2 9 2" xfId="35242" xr:uid="{00000000-0005-0000-0000-000079BF0000}"/>
    <cellStyle name="Normal 72 3" xfId="35243" xr:uid="{00000000-0005-0000-0000-00007ABF0000}"/>
    <cellStyle name="Normal 72 3 2" xfId="35244" xr:uid="{00000000-0005-0000-0000-00007BBF0000}"/>
    <cellStyle name="Normal 72 3 2 2" xfId="35245" xr:uid="{00000000-0005-0000-0000-00007CBF0000}"/>
    <cellStyle name="Normal 72 3 2 2 2" xfId="35246" xr:uid="{00000000-0005-0000-0000-00007DBF0000}"/>
    <cellStyle name="Normal 72 3 2 3" xfId="35247" xr:uid="{00000000-0005-0000-0000-00007EBF0000}"/>
    <cellStyle name="Normal 72 3 2 3 2" xfId="35248" xr:uid="{00000000-0005-0000-0000-00007FBF0000}"/>
    <cellStyle name="Normal 72 3 2 4" xfId="35249" xr:uid="{00000000-0005-0000-0000-000080BF0000}"/>
    <cellStyle name="Normal 72 3 3" xfId="35250" xr:uid="{00000000-0005-0000-0000-000081BF0000}"/>
    <cellStyle name="Normal 72 3 3 2" xfId="35251" xr:uid="{00000000-0005-0000-0000-000082BF0000}"/>
    <cellStyle name="Normal 72 3 3 2 2" xfId="35252" xr:uid="{00000000-0005-0000-0000-000083BF0000}"/>
    <cellStyle name="Normal 72 3 3 3" xfId="35253" xr:uid="{00000000-0005-0000-0000-000084BF0000}"/>
    <cellStyle name="Normal 72 3 3 3 2" xfId="35254" xr:uid="{00000000-0005-0000-0000-000085BF0000}"/>
    <cellStyle name="Normal 72 3 3 4" xfId="35255" xr:uid="{00000000-0005-0000-0000-000086BF0000}"/>
    <cellStyle name="Normal 72 3 4" xfId="35256" xr:uid="{00000000-0005-0000-0000-000087BF0000}"/>
    <cellStyle name="Normal 72 3 4 2" xfId="35257" xr:uid="{00000000-0005-0000-0000-000088BF0000}"/>
    <cellStyle name="Normal 72 3 5" xfId="35258" xr:uid="{00000000-0005-0000-0000-000089BF0000}"/>
    <cellStyle name="Normal 72 3 5 2" xfId="35259" xr:uid="{00000000-0005-0000-0000-00008ABF0000}"/>
    <cellStyle name="Normal 72 3 6" xfId="35260" xr:uid="{00000000-0005-0000-0000-00008BBF0000}"/>
    <cellStyle name="Normal 72 4" xfId="35261" xr:uid="{00000000-0005-0000-0000-00008CBF0000}"/>
    <cellStyle name="Normal 72 4 2" xfId="35262" xr:uid="{00000000-0005-0000-0000-00008DBF0000}"/>
    <cellStyle name="Normal 72 4 2 2" xfId="35263" xr:uid="{00000000-0005-0000-0000-00008EBF0000}"/>
    <cellStyle name="Normal 72 4 3" xfId="35264" xr:uid="{00000000-0005-0000-0000-00008FBF0000}"/>
    <cellStyle name="Normal 72 4 3 2" xfId="35265" xr:uid="{00000000-0005-0000-0000-000090BF0000}"/>
    <cellStyle name="Normal 72 4 4" xfId="35266" xr:uid="{00000000-0005-0000-0000-000091BF0000}"/>
    <cellStyle name="Normal 72 5" xfId="35267" xr:uid="{00000000-0005-0000-0000-000092BF0000}"/>
    <cellStyle name="Normal 72 5 2" xfId="35268" xr:uid="{00000000-0005-0000-0000-000093BF0000}"/>
    <cellStyle name="Normal 72 5 2 2" xfId="35269" xr:uid="{00000000-0005-0000-0000-000094BF0000}"/>
    <cellStyle name="Normal 72 5 3" xfId="35270" xr:uid="{00000000-0005-0000-0000-000095BF0000}"/>
    <cellStyle name="Normal 72 5 3 2" xfId="35271" xr:uid="{00000000-0005-0000-0000-000096BF0000}"/>
    <cellStyle name="Normal 72 5 4" xfId="35272" xr:uid="{00000000-0005-0000-0000-000097BF0000}"/>
    <cellStyle name="Normal 72 6" xfId="35273" xr:uid="{00000000-0005-0000-0000-000098BF0000}"/>
    <cellStyle name="Normal 72 6 2" xfId="35274" xr:uid="{00000000-0005-0000-0000-000099BF0000}"/>
    <cellStyle name="Normal 72 6 2 2" xfId="35275" xr:uid="{00000000-0005-0000-0000-00009ABF0000}"/>
    <cellStyle name="Normal 72 6 3" xfId="35276" xr:uid="{00000000-0005-0000-0000-00009BBF0000}"/>
    <cellStyle name="Normal 72 6 3 2" xfId="35277" xr:uid="{00000000-0005-0000-0000-00009CBF0000}"/>
    <cellStyle name="Normal 72 6 4" xfId="35278" xr:uid="{00000000-0005-0000-0000-00009DBF0000}"/>
    <cellStyle name="Normal 72 7" xfId="35279" xr:uid="{00000000-0005-0000-0000-00009EBF0000}"/>
    <cellStyle name="Normal 72 7 2" xfId="35280" xr:uid="{00000000-0005-0000-0000-00009FBF0000}"/>
    <cellStyle name="Normal 72 7 2 2" xfId="35281" xr:uid="{00000000-0005-0000-0000-0000A0BF0000}"/>
    <cellStyle name="Normal 72 7 3" xfId="35282" xr:uid="{00000000-0005-0000-0000-0000A1BF0000}"/>
    <cellStyle name="Normal 72 7 3 2" xfId="35283" xr:uid="{00000000-0005-0000-0000-0000A2BF0000}"/>
    <cellStyle name="Normal 72 7 4" xfId="35284" xr:uid="{00000000-0005-0000-0000-0000A3BF0000}"/>
    <cellStyle name="Normal 72 8" xfId="35285" xr:uid="{00000000-0005-0000-0000-0000A4BF0000}"/>
    <cellStyle name="Normal 72 8 2" xfId="35286" xr:uid="{00000000-0005-0000-0000-0000A5BF0000}"/>
    <cellStyle name="Normal 72 8 2 2" xfId="35287" xr:uid="{00000000-0005-0000-0000-0000A6BF0000}"/>
    <cellStyle name="Normal 72 8 3" xfId="35288" xr:uid="{00000000-0005-0000-0000-0000A7BF0000}"/>
    <cellStyle name="Normal 72 8 3 2" xfId="35289" xr:uid="{00000000-0005-0000-0000-0000A8BF0000}"/>
    <cellStyle name="Normal 72 8 4" xfId="35290" xr:uid="{00000000-0005-0000-0000-0000A9BF0000}"/>
    <cellStyle name="Normal 72 9" xfId="35291" xr:uid="{00000000-0005-0000-0000-0000AABF0000}"/>
    <cellStyle name="Normal 72 9 2" xfId="35292" xr:uid="{00000000-0005-0000-0000-0000ABBF0000}"/>
    <cellStyle name="Normal 72 9 2 2" xfId="35293" xr:uid="{00000000-0005-0000-0000-0000ACBF0000}"/>
    <cellStyle name="Normal 72 9 3" xfId="35294" xr:uid="{00000000-0005-0000-0000-0000ADBF0000}"/>
    <cellStyle name="Normal 73" xfId="35295" xr:uid="{00000000-0005-0000-0000-0000AEBF0000}"/>
    <cellStyle name="Normal 73 10" xfId="35296" xr:uid="{00000000-0005-0000-0000-0000AFBF0000}"/>
    <cellStyle name="Normal 73 10 2" xfId="35297" xr:uid="{00000000-0005-0000-0000-0000B0BF0000}"/>
    <cellStyle name="Normal 73 11" xfId="35298" xr:uid="{00000000-0005-0000-0000-0000B1BF0000}"/>
    <cellStyle name="Normal 73 11 2" xfId="35299" xr:uid="{00000000-0005-0000-0000-0000B2BF0000}"/>
    <cellStyle name="Normal 73 12" xfId="35300" xr:uid="{00000000-0005-0000-0000-0000B3BF0000}"/>
    <cellStyle name="Normal 73 13" xfId="35301" xr:uid="{00000000-0005-0000-0000-0000B4BF0000}"/>
    <cellStyle name="Normal 73 2" xfId="35302" xr:uid="{00000000-0005-0000-0000-0000B5BF0000}"/>
    <cellStyle name="Normal 73 2 10" xfId="35303" xr:uid="{00000000-0005-0000-0000-0000B6BF0000}"/>
    <cellStyle name="Normal 73 2 10 2" xfId="35304" xr:uid="{00000000-0005-0000-0000-0000B7BF0000}"/>
    <cellStyle name="Normal 73 2 11" xfId="35305" xr:uid="{00000000-0005-0000-0000-0000B8BF0000}"/>
    <cellStyle name="Normal 73 2 2" xfId="35306" xr:uid="{00000000-0005-0000-0000-0000B9BF0000}"/>
    <cellStyle name="Normal 73 2 2 2" xfId="35307" xr:uid="{00000000-0005-0000-0000-0000BABF0000}"/>
    <cellStyle name="Normal 73 2 2 2 2" xfId="35308" xr:uid="{00000000-0005-0000-0000-0000BBBF0000}"/>
    <cellStyle name="Normal 73 2 2 2 2 2" xfId="35309" xr:uid="{00000000-0005-0000-0000-0000BCBF0000}"/>
    <cellStyle name="Normal 73 2 2 2 3" xfId="35310" xr:uid="{00000000-0005-0000-0000-0000BDBF0000}"/>
    <cellStyle name="Normal 73 2 2 2 3 2" xfId="35311" xr:uid="{00000000-0005-0000-0000-0000BEBF0000}"/>
    <cellStyle name="Normal 73 2 2 2 4" xfId="35312" xr:uid="{00000000-0005-0000-0000-0000BFBF0000}"/>
    <cellStyle name="Normal 73 2 2 3" xfId="35313" xr:uid="{00000000-0005-0000-0000-0000C0BF0000}"/>
    <cellStyle name="Normal 73 2 2 3 2" xfId="35314" xr:uid="{00000000-0005-0000-0000-0000C1BF0000}"/>
    <cellStyle name="Normal 73 2 2 3 2 2" xfId="35315" xr:uid="{00000000-0005-0000-0000-0000C2BF0000}"/>
    <cellStyle name="Normal 73 2 2 3 3" xfId="35316" xr:uid="{00000000-0005-0000-0000-0000C3BF0000}"/>
    <cellStyle name="Normal 73 2 2 3 3 2" xfId="35317" xr:uid="{00000000-0005-0000-0000-0000C4BF0000}"/>
    <cellStyle name="Normal 73 2 2 3 4" xfId="35318" xr:uid="{00000000-0005-0000-0000-0000C5BF0000}"/>
    <cellStyle name="Normal 73 2 2 4" xfId="35319" xr:uid="{00000000-0005-0000-0000-0000C6BF0000}"/>
    <cellStyle name="Normal 73 2 2 4 2" xfId="35320" xr:uid="{00000000-0005-0000-0000-0000C7BF0000}"/>
    <cellStyle name="Normal 73 2 2 5" xfId="35321" xr:uid="{00000000-0005-0000-0000-0000C8BF0000}"/>
    <cellStyle name="Normal 73 2 2 5 2" xfId="35322" xr:uid="{00000000-0005-0000-0000-0000C9BF0000}"/>
    <cellStyle name="Normal 73 2 2 6" xfId="35323" xr:uid="{00000000-0005-0000-0000-0000CABF0000}"/>
    <cellStyle name="Normal 73 2 3" xfId="35324" xr:uid="{00000000-0005-0000-0000-0000CBBF0000}"/>
    <cellStyle name="Normal 73 2 3 2" xfId="35325" xr:uid="{00000000-0005-0000-0000-0000CCBF0000}"/>
    <cellStyle name="Normal 73 2 3 2 2" xfId="35326" xr:uid="{00000000-0005-0000-0000-0000CDBF0000}"/>
    <cellStyle name="Normal 73 2 3 3" xfId="35327" xr:uid="{00000000-0005-0000-0000-0000CEBF0000}"/>
    <cellStyle name="Normal 73 2 3 3 2" xfId="35328" xr:uid="{00000000-0005-0000-0000-0000CFBF0000}"/>
    <cellStyle name="Normal 73 2 3 4" xfId="35329" xr:uid="{00000000-0005-0000-0000-0000D0BF0000}"/>
    <cellStyle name="Normal 73 2 4" xfId="35330" xr:uid="{00000000-0005-0000-0000-0000D1BF0000}"/>
    <cellStyle name="Normal 73 2 4 2" xfId="35331" xr:uid="{00000000-0005-0000-0000-0000D2BF0000}"/>
    <cellStyle name="Normal 73 2 4 2 2" xfId="35332" xr:uid="{00000000-0005-0000-0000-0000D3BF0000}"/>
    <cellStyle name="Normal 73 2 4 3" xfId="35333" xr:uid="{00000000-0005-0000-0000-0000D4BF0000}"/>
    <cellStyle name="Normal 73 2 4 3 2" xfId="35334" xr:uid="{00000000-0005-0000-0000-0000D5BF0000}"/>
    <cellStyle name="Normal 73 2 4 4" xfId="35335" xr:uid="{00000000-0005-0000-0000-0000D6BF0000}"/>
    <cellStyle name="Normal 73 2 5" xfId="35336" xr:uid="{00000000-0005-0000-0000-0000D7BF0000}"/>
    <cellStyle name="Normal 73 2 5 2" xfId="35337" xr:uid="{00000000-0005-0000-0000-0000D8BF0000}"/>
    <cellStyle name="Normal 73 2 5 2 2" xfId="35338" xr:uid="{00000000-0005-0000-0000-0000D9BF0000}"/>
    <cellStyle name="Normal 73 2 5 3" xfId="35339" xr:uid="{00000000-0005-0000-0000-0000DABF0000}"/>
    <cellStyle name="Normal 73 2 5 3 2" xfId="35340" xr:uid="{00000000-0005-0000-0000-0000DBBF0000}"/>
    <cellStyle name="Normal 73 2 5 4" xfId="35341" xr:uid="{00000000-0005-0000-0000-0000DCBF0000}"/>
    <cellStyle name="Normal 73 2 6" xfId="35342" xr:uid="{00000000-0005-0000-0000-0000DDBF0000}"/>
    <cellStyle name="Normal 73 2 6 2" xfId="35343" xr:uid="{00000000-0005-0000-0000-0000DEBF0000}"/>
    <cellStyle name="Normal 73 2 6 2 2" xfId="35344" xr:uid="{00000000-0005-0000-0000-0000DFBF0000}"/>
    <cellStyle name="Normal 73 2 6 3" xfId="35345" xr:uid="{00000000-0005-0000-0000-0000E0BF0000}"/>
    <cellStyle name="Normal 73 2 6 3 2" xfId="35346" xr:uid="{00000000-0005-0000-0000-0000E1BF0000}"/>
    <cellStyle name="Normal 73 2 6 4" xfId="35347" xr:uid="{00000000-0005-0000-0000-0000E2BF0000}"/>
    <cellStyle name="Normal 73 2 7" xfId="35348" xr:uid="{00000000-0005-0000-0000-0000E3BF0000}"/>
    <cellStyle name="Normal 73 2 7 2" xfId="35349" xr:uid="{00000000-0005-0000-0000-0000E4BF0000}"/>
    <cellStyle name="Normal 73 2 7 2 2" xfId="35350" xr:uid="{00000000-0005-0000-0000-0000E5BF0000}"/>
    <cellStyle name="Normal 73 2 7 3" xfId="35351" xr:uid="{00000000-0005-0000-0000-0000E6BF0000}"/>
    <cellStyle name="Normal 73 2 7 3 2" xfId="35352" xr:uid="{00000000-0005-0000-0000-0000E7BF0000}"/>
    <cellStyle name="Normal 73 2 7 4" xfId="35353" xr:uid="{00000000-0005-0000-0000-0000E8BF0000}"/>
    <cellStyle name="Normal 73 2 8" xfId="35354" xr:uid="{00000000-0005-0000-0000-0000E9BF0000}"/>
    <cellStyle name="Normal 73 2 8 2" xfId="35355" xr:uid="{00000000-0005-0000-0000-0000EABF0000}"/>
    <cellStyle name="Normal 73 2 8 2 2" xfId="35356" xr:uid="{00000000-0005-0000-0000-0000EBBF0000}"/>
    <cellStyle name="Normal 73 2 8 3" xfId="35357" xr:uid="{00000000-0005-0000-0000-0000ECBF0000}"/>
    <cellStyle name="Normal 73 2 9" xfId="35358" xr:uid="{00000000-0005-0000-0000-0000EDBF0000}"/>
    <cellStyle name="Normal 73 2 9 2" xfId="35359" xr:uid="{00000000-0005-0000-0000-0000EEBF0000}"/>
    <cellStyle name="Normal 73 3" xfId="35360" xr:uid="{00000000-0005-0000-0000-0000EFBF0000}"/>
    <cellStyle name="Normal 73 3 2" xfId="35361" xr:uid="{00000000-0005-0000-0000-0000F0BF0000}"/>
    <cellStyle name="Normal 73 3 2 2" xfId="35362" xr:uid="{00000000-0005-0000-0000-0000F1BF0000}"/>
    <cellStyle name="Normal 73 3 2 2 2" xfId="35363" xr:uid="{00000000-0005-0000-0000-0000F2BF0000}"/>
    <cellStyle name="Normal 73 3 2 3" xfId="35364" xr:uid="{00000000-0005-0000-0000-0000F3BF0000}"/>
    <cellStyle name="Normal 73 3 2 3 2" xfId="35365" xr:uid="{00000000-0005-0000-0000-0000F4BF0000}"/>
    <cellStyle name="Normal 73 3 2 4" xfId="35366" xr:uid="{00000000-0005-0000-0000-0000F5BF0000}"/>
    <cellStyle name="Normal 73 3 3" xfId="35367" xr:uid="{00000000-0005-0000-0000-0000F6BF0000}"/>
    <cellStyle name="Normal 73 3 3 2" xfId="35368" xr:uid="{00000000-0005-0000-0000-0000F7BF0000}"/>
    <cellStyle name="Normal 73 3 3 2 2" xfId="35369" xr:uid="{00000000-0005-0000-0000-0000F8BF0000}"/>
    <cellStyle name="Normal 73 3 3 3" xfId="35370" xr:uid="{00000000-0005-0000-0000-0000F9BF0000}"/>
    <cellStyle name="Normal 73 3 3 3 2" xfId="35371" xr:uid="{00000000-0005-0000-0000-0000FABF0000}"/>
    <cellStyle name="Normal 73 3 3 4" xfId="35372" xr:uid="{00000000-0005-0000-0000-0000FBBF0000}"/>
    <cellStyle name="Normal 73 3 4" xfId="35373" xr:uid="{00000000-0005-0000-0000-0000FCBF0000}"/>
    <cellStyle name="Normal 73 3 4 2" xfId="35374" xr:uid="{00000000-0005-0000-0000-0000FDBF0000}"/>
    <cellStyle name="Normal 73 3 5" xfId="35375" xr:uid="{00000000-0005-0000-0000-0000FEBF0000}"/>
    <cellStyle name="Normal 73 3 5 2" xfId="35376" xr:uid="{00000000-0005-0000-0000-0000FFBF0000}"/>
    <cellStyle name="Normal 73 3 6" xfId="35377" xr:uid="{00000000-0005-0000-0000-000000C00000}"/>
    <cellStyle name="Normal 73 4" xfId="35378" xr:uid="{00000000-0005-0000-0000-000001C00000}"/>
    <cellStyle name="Normal 73 4 2" xfId="35379" xr:uid="{00000000-0005-0000-0000-000002C00000}"/>
    <cellStyle name="Normal 73 4 2 2" xfId="35380" xr:uid="{00000000-0005-0000-0000-000003C00000}"/>
    <cellStyle name="Normal 73 4 3" xfId="35381" xr:uid="{00000000-0005-0000-0000-000004C00000}"/>
    <cellStyle name="Normal 73 4 3 2" xfId="35382" xr:uid="{00000000-0005-0000-0000-000005C00000}"/>
    <cellStyle name="Normal 73 4 4" xfId="35383" xr:uid="{00000000-0005-0000-0000-000006C00000}"/>
    <cellStyle name="Normal 73 5" xfId="35384" xr:uid="{00000000-0005-0000-0000-000007C00000}"/>
    <cellStyle name="Normal 73 5 2" xfId="35385" xr:uid="{00000000-0005-0000-0000-000008C00000}"/>
    <cellStyle name="Normal 73 5 2 2" xfId="35386" xr:uid="{00000000-0005-0000-0000-000009C00000}"/>
    <cellStyle name="Normal 73 5 3" xfId="35387" xr:uid="{00000000-0005-0000-0000-00000AC00000}"/>
    <cellStyle name="Normal 73 5 3 2" xfId="35388" xr:uid="{00000000-0005-0000-0000-00000BC00000}"/>
    <cellStyle name="Normal 73 5 4" xfId="35389" xr:uid="{00000000-0005-0000-0000-00000CC00000}"/>
    <cellStyle name="Normal 73 6" xfId="35390" xr:uid="{00000000-0005-0000-0000-00000DC00000}"/>
    <cellStyle name="Normal 73 6 2" xfId="35391" xr:uid="{00000000-0005-0000-0000-00000EC00000}"/>
    <cellStyle name="Normal 73 6 2 2" xfId="35392" xr:uid="{00000000-0005-0000-0000-00000FC00000}"/>
    <cellStyle name="Normal 73 6 3" xfId="35393" xr:uid="{00000000-0005-0000-0000-000010C00000}"/>
    <cellStyle name="Normal 73 6 3 2" xfId="35394" xr:uid="{00000000-0005-0000-0000-000011C00000}"/>
    <cellStyle name="Normal 73 6 4" xfId="35395" xr:uid="{00000000-0005-0000-0000-000012C00000}"/>
    <cellStyle name="Normal 73 7" xfId="35396" xr:uid="{00000000-0005-0000-0000-000013C00000}"/>
    <cellStyle name="Normal 73 7 2" xfId="35397" xr:uid="{00000000-0005-0000-0000-000014C00000}"/>
    <cellStyle name="Normal 73 7 2 2" xfId="35398" xr:uid="{00000000-0005-0000-0000-000015C00000}"/>
    <cellStyle name="Normal 73 7 3" xfId="35399" xr:uid="{00000000-0005-0000-0000-000016C00000}"/>
    <cellStyle name="Normal 73 7 3 2" xfId="35400" xr:uid="{00000000-0005-0000-0000-000017C00000}"/>
    <cellStyle name="Normal 73 7 4" xfId="35401" xr:uid="{00000000-0005-0000-0000-000018C00000}"/>
    <cellStyle name="Normal 73 8" xfId="35402" xr:uid="{00000000-0005-0000-0000-000019C00000}"/>
    <cellStyle name="Normal 73 8 2" xfId="35403" xr:uid="{00000000-0005-0000-0000-00001AC00000}"/>
    <cellStyle name="Normal 73 8 2 2" xfId="35404" xr:uid="{00000000-0005-0000-0000-00001BC00000}"/>
    <cellStyle name="Normal 73 8 3" xfId="35405" xr:uid="{00000000-0005-0000-0000-00001CC00000}"/>
    <cellStyle name="Normal 73 8 3 2" xfId="35406" xr:uid="{00000000-0005-0000-0000-00001DC00000}"/>
    <cellStyle name="Normal 73 8 4" xfId="35407" xr:uid="{00000000-0005-0000-0000-00001EC00000}"/>
    <cellStyle name="Normal 73 9" xfId="35408" xr:uid="{00000000-0005-0000-0000-00001FC00000}"/>
    <cellStyle name="Normal 73 9 2" xfId="35409" xr:uid="{00000000-0005-0000-0000-000020C00000}"/>
    <cellStyle name="Normal 73 9 2 2" xfId="35410" xr:uid="{00000000-0005-0000-0000-000021C00000}"/>
    <cellStyle name="Normal 73 9 3" xfId="35411" xr:uid="{00000000-0005-0000-0000-000022C00000}"/>
    <cellStyle name="Normal 74" xfId="35412" xr:uid="{00000000-0005-0000-0000-000023C00000}"/>
    <cellStyle name="Normal 74 10" xfId="35413" xr:uid="{00000000-0005-0000-0000-000024C00000}"/>
    <cellStyle name="Normal 74 10 2" xfId="35414" xr:uid="{00000000-0005-0000-0000-000025C00000}"/>
    <cellStyle name="Normal 74 11" xfId="35415" xr:uid="{00000000-0005-0000-0000-000026C00000}"/>
    <cellStyle name="Normal 74 11 2" xfId="35416" xr:uid="{00000000-0005-0000-0000-000027C00000}"/>
    <cellStyle name="Normal 74 12" xfId="35417" xr:uid="{00000000-0005-0000-0000-000028C00000}"/>
    <cellStyle name="Normal 74 13" xfId="35418" xr:uid="{00000000-0005-0000-0000-000029C00000}"/>
    <cellStyle name="Normal 74 2" xfId="35419" xr:uid="{00000000-0005-0000-0000-00002AC00000}"/>
    <cellStyle name="Normal 74 2 10" xfId="35420" xr:uid="{00000000-0005-0000-0000-00002BC00000}"/>
    <cellStyle name="Normal 74 2 10 2" xfId="35421" xr:uid="{00000000-0005-0000-0000-00002CC00000}"/>
    <cellStyle name="Normal 74 2 11" xfId="35422" xr:uid="{00000000-0005-0000-0000-00002DC00000}"/>
    <cellStyle name="Normal 74 2 2" xfId="35423" xr:uid="{00000000-0005-0000-0000-00002EC00000}"/>
    <cellStyle name="Normal 74 2 2 2" xfId="35424" xr:uid="{00000000-0005-0000-0000-00002FC00000}"/>
    <cellStyle name="Normal 74 2 2 2 2" xfId="35425" xr:uid="{00000000-0005-0000-0000-000030C00000}"/>
    <cellStyle name="Normal 74 2 2 2 2 2" xfId="35426" xr:uid="{00000000-0005-0000-0000-000031C00000}"/>
    <cellStyle name="Normal 74 2 2 2 3" xfId="35427" xr:uid="{00000000-0005-0000-0000-000032C00000}"/>
    <cellStyle name="Normal 74 2 2 2 3 2" xfId="35428" xr:uid="{00000000-0005-0000-0000-000033C00000}"/>
    <cellStyle name="Normal 74 2 2 2 4" xfId="35429" xr:uid="{00000000-0005-0000-0000-000034C00000}"/>
    <cellStyle name="Normal 74 2 2 3" xfId="35430" xr:uid="{00000000-0005-0000-0000-000035C00000}"/>
    <cellStyle name="Normal 74 2 2 3 2" xfId="35431" xr:uid="{00000000-0005-0000-0000-000036C00000}"/>
    <cellStyle name="Normal 74 2 2 3 2 2" xfId="35432" xr:uid="{00000000-0005-0000-0000-000037C00000}"/>
    <cellStyle name="Normal 74 2 2 3 3" xfId="35433" xr:uid="{00000000-0005-0000-0000-000038C00000}"/>
    <cellStyle name="Normal 74 2 2 3 3 2" xfId="35434" xr:uid="{00000000-0005-0000-0000-000039C00000}"/>
    <cellStyle name="Normal 74 2 2 3 4" xfId="35435" xr:uid="{00000000-0005-0000-0000-00003AC00000}"/>
    <cellStyle name="Normal 74 2 2 4" xfId="35436" xr:uid="{00000000-0005-0000-0000-00003BC00000}"/>
    <cellStyle name="Normal 74 2 2 4 2" xfId="35437" xr:uid="{00000000-0005-0000-0000-00003CC00000}"/>
    <cellStyle name="Normal 74 2 2 5" xfId="35438" xr:uid="{00000000-0005-0000-0000-00003DC00000}"/>
    <cellStyle name="Normal 74 2 2 5 2" xfId="35439" xr:uid="{00000000-0005-0000-0000-00003EC00000}"/>
    <cellStyle name="Normal 74 2 2 6" xfId="35440" xr:uid="{00000000-0005-0000-0000-00003FC00000}"/>
    <cellStyle name="Normal 74 2 3" xfId="35441" xr:uid="{00000000-0005-0000-0000-000040C00000}"/>
    <cellStyle name="Normal 74 2 3 2" xfId="35442" xr:uid="{00000000-0005-0000-0000-000041C00000}"/>
    <cellStyle name="Normal 74 2 3 2 2" xfId="35443" xr:uid="{00000000-0005-0000-0000-000042C00000}"/>
    <cellStyle name="Normal 74 2 3 3" xfId="35444" xr:uid="{00000000-0005-0000-0000-000043C00000}"/>
    <cellStyle name="Normal 74 2 3 3 2" xfId="35445" xr:uid="{00000000-0005-0000-0000-000044C00000}"/>
    <cellStyle name="Normal 74 2 3 4" xfId="35446" xr:uid="{00000000-0005-0000-0000-000045C00000}"/>
    <cellStyle name="Normal 74 2 4" xfId="35447" xr:uid="{00000000-0005-0000-0000-000046C00000}"/>
    <cellStyle name="Normal 74 2 4 2" xfId="35448" xr:uid="{00000000-0005-0000-0000-000047C00000}"/>
    <cellStyle name="Normal 74 2 4 2 2" xfId="35449" xr:uid="{00000000-0005-0000-0000-000048C00000}"/>
    <cellStyle name="Normal 74 2 4 3" xfId="35450" xr:uid="{00000000-0005-0000-0000-000049C00000}"/>
    <cellStyle name="Normal 74 2 4 3 2" xfId="35451" xr:uid="{00000000-0005-0000-0000-00004AC00000}"/>
    <cellStyle name="Normal 74 2 4 4" xfId="35452" xr:uid="{00000000-0005-0000-0000-00004BC00000}"/>
    <cellStyle name="Normal 74 2 5" xfId="35453" xr:uid="{00000000-0005-0000-0000-00004CC00000}"/>
    <cellStyle name="Normal 74 2 5 2" xfId="35454" xr:uid="{00000000-0005-0000-0000-00004DC00000}"/>
    <cellStyle name="Normal 74 2 5 2 2" xfId="35455" xr:uid="{00000000-0005-0000-0000-00004EC00000}"/>
    <cellStyle name="Normal 74 2 5 3" xfId="35456" xr:uid="{00000000-0005-0000-0000-00004FC00000}"/>
    <cellStyle name="Normal 74 2 5 3 2" xfId="35457" xr:uid="{00000000-0005-0000-0000-000050C00000}"/>
    <cellStyle name="Normal 74 2 5 4" xfId="35458" xr:uid="{00000000-0005-0000-0000-000051C00000}"/>
    <cellStyle name="Normal 74 2 6" xfId="35459" xr:uid="{00000000-0005-0000-0000-000052C00000}"/>
    <cellStyle name="Normal 74 2 6 2" xfId="35460" xr:uid="{00000000-0005-0000-0000-000053C00000}"/>
    <cellStyle name="Normal 74 2 6 2 2" xfId="35461" xr:uid="{00000000-0005-0000-0000-000054C00000}"/>
    <cellStyle name="Normal 74 2 6 3" xfId="35462" xr:uid="{00000000-0005-0000-0000-000055C00000}"/>
    <cellStyle name="Normal 74 2 6 3 2" xfId="35463" xr:uid="{00000000-0005-0000-0000-000056C00000}"/>
    <cellStyle name="Normal 74 2 6 4" xfId="35464" xr:uid="{00000000-0005-0000-0000-000057C00000}"/>
    <cellStyle name="Normal 74 2 7" xfId="35465" xr:uid="{00000000-0005-0000-0000-000058C00000}"/>
    <cellStyle name="Normal 74 2 7 2" xfId="35466" xr:uid="{00000000-0005-0000-0000-000059C00000}"/>
    <cellStyle name="Normal 74 2 7 2 2" xfId="35467" xr:uid="{00000000-0005-0000-0000-00005AC00000}"/>
    <cellStyle name="Normal 74 2 7 3" xfId="35468" xr:uid="{00000000-0005-0000-0000-00005BC00000}"/>
    <cellStyle name="Normal 74 2 7 3 2" xfId="35469" xr:uid="{00000000-0005-0000-0000-00005CC00000}"/>
    <cellStyle name="Normal 74 2 7 4" xfId="35470" xr:uid="{00000000-0005-0000-0000-00005DC00000}"/>
    <cellStyle name="Normal 74 2 8" xfId="35471" xr:uid="{00000000-0005-0000-0000-00005EC00000}"/>
    <cellStyle name="Normal 74 2 8 2" xfId="35472" xr:uid="{00000000-0005-0000-0000-00005FC00000}"/>
    <cellStyle name="Normal 74 2 8 2 2" xfId="35473" xr:uid="{00000000-0005-0000-0000-000060C00000}"/>
    <cellStyle name="Normal 74 2 8 3" xfId="35474" xr:uid="{00000000-0005-0000-0000-000061C00000}"/>
    <cellStyle name="Normal 74 2 9" xfId="35475" xr:uid="{00000000-0005-0000-0000-000062C00000}"/>
    <cellStyle name="Normal 74 2 9 2" xfId="35476" xr:uid="{00000000-0005-0000-0000-000063C00000}"/>
    <cellStyle name="Normal 74 3" xfId="35477" xr:uid="{00000000-0005-0000-0000-000064C00000}"/>
    <cellStyle name="Normal 74 3 2" xfId="35478" xr:uid="{00000000-0005-0000-0000-000065C00000}"/>
    <cellStyle name="Normal 74 3 2 2" xfId="35479" xr:uid="{00000000-0005-0000-0000-000066C00000}"/>
    <cellStyle name="Normal 74 3 2 2 2" xfId="35480" xr:uid="{00000000-0005-0000-0000-000067C00000}"/>
    <cellStyle name="Normal 74 3 2 3" xfId="35481" xr:uid="{00000000-0005-0000-0000-000068C00000}"/>
    <cellStyle name="Normal 74 3 2 3 2" xfId="35482" xr:uid="{00000000-0005-0000-0000-000069C00000}"/>
    <cellStyle name="Normal 74 3 2 4" xfId="35483" xr:uid="{00000000-0005-0000-0000-00006AC00000}"/>
    <cellStyle name="Normal 74 3 3" xfId="35484" xr:uid="{00000000-0005-0000-0000-00006BC00000}"/>
    <cellStyle name="Normal 74 3 3 2" xfId="35485" xr:uid="{00000000-0005-0000-0000-00006CC00000}"/>
    <cellStyle name="Normal 74 3 3 2 2" xfId="35486" xr:uid="{00000000-0005-0000-0000-00006DC00000}"/>
    <cellStyle name="Normal 74 3 3 3" xfId="35487" xr:uid="{00000000-0005-0000-0000-00006EC00000}"/>
    <cellStyle name="Normal 74 3 3 3 2" xfId="35488" xr:uid="{00000000-0005-0000-0000-00006FC00000}"/>
    <cellStyle name="Normal 74 3 3 4" xfId="35489" xr:uid="{00000000-0005-0000-0000-000070C00000}"/>
    <cellStyle name="Normal 74 3 4" xfId="35490" xr:uid="{00000000-0005-0000-0000-000071C00000}"/>
    <cellStyle name="Normal 74 3 4 2" xfId="35491" xr:uid="{00000000-0005-0000-0000-000072C00000}"/>
    <cellStyle name="Normal 74 3 5" xfId="35492" xr:uid="{00000000-0005-0000-0000-000073C00000}"/>
    <cellStyle name="Normal 74 3 5 2" xfId="35493" xr:uid="{00000000-0005-0000-0000-000074C00000}"/>
    <cellStyle name="Normal 74 3 6" xfId="35494" xr:uid="{00000000-0005-0000-0000-000075C00000}"/>
    <cellStyle name="Normal 74 4" xfId="35495" xr:uid="{00000000-0005-0000-0000-000076C00000}"/>
    <cellStyle name="Normal 74 4 2" xfId="35496" xr:uid="{00000000-0005-0000-0000-000077C00000}"/>
    <cellStyle name="Normal 74 4 2 2" xfId="35497" xr:uid="{00000000-0005-0000-0000-000078C00000}"/>
    <cellStyle name="Normal 74 4 3" xfId="35498" xr:uid="{00000000-0005-0000-0000-000079C00000}"/>
    <cellStyle name="Normal 74 4 3 2" xfId="35499" xr:uid="{00000000-0005-0000-0000-00007AC00000}"/>
    <cellStyle name="Normal 74 4 4" xfId="35500" xr:uid="{00000000-0005-0000-0000-00007BC00000}"/>
    <cellStyle name="Normal 74 5" xfId="35501" xr:uid="{00000000-0005-0000-0000-00007CC00000}"/>
    <cellStyle name="Normal 74 5 2" xfId="35502" xr:uid="{00000000-0005-0000-0000-00007DC00000}"/>
    <cellStyle name="Normal 74 5 2 2" xfId="35503" xr:uid="{00000000-0005-0000-0000-00007EC00000}"/>
    <cellStyle name="Normal 74 5 3" xfId="35504" xr:uid="{00000000-0005-0000-0000-00007FC00000}"/>
    <cellStyle name="Normal 74 5 3 2" xfId="35505" xr:uid="{00000000-0005-0000-0000-000080C00000}"/>
    <cellStyle name="Normal 74 5 4" xfId="35506" xr:uid="{00000000-0005-0000-0000-000081C00000}"/>
    <cellStyle name="Normal 74 6" xfId="35507" xr:uid="{00000000-0005-0000-0000-000082C00000}"/>
    <cellStyle name="Normal 74 6 2" xfId="35508" xr:uid="{00000000-0005-0000-0000-000083C00000}"/>
    <cellStyle name="Normal 74 6 2 2" xfId="35509" xr:uid="{00000000-0005-0000-0000-000084C00000}"/>
    <cellStyle name="Normal 74 6 3" xfId="35510" xr:uid="{00000000-0005-0000-0000-000085C00000}"/>
    <cellStyle name="Normal 74 6 3 2" xfId="35511" xr:uid="{00000000-0005-0000-0000-000086C00000}"/>
    <cellStyle name="Normal 74 6 4" xfId="35512" xr:uid="{00000000-0005-0000-0000-000087C00000}"/>
    <cellStyle name="Normal 74 7" xfId="35513" xr:uid="{00000000-0005-0000-0000-000088C00000}"/>
    <cellStyle name="Normal 74 7 2" xfId="35514" xr:uid="{00000000-0005-0000-0000-000089C00000}"/>
    <cellStyle name="Normal 74 7 2 2" xfId="35515" xr:uid="{00000000-0005-0000-0000-00008AC00000}"/>
    <cellStyle name="Normal 74 7 3" xfId="35516" xr:uid="{00000000-0005-0000-0000-00008BC00000}"/>
    <cellStyle name="Normal 74 7 3 2" xfId="35517" xr:uid="{00000000-0005-0000-0000-00008CC00000}"/>
    <cellStyle name="Normal 74 7 4" xfId="35518" xr:uid="{00000000-0005-0000-0000-00008DC00000}"/>
    <cellStyle name="Normal 74 8" xfId="35519" xr:uid="{00000000-0005-0000-0000-00008EC00000}"/>
    <cellStyle name="Normal 74 8 2" xfId="35520" xr:uid="{00000000-0005-0000-0000-00008FC00000}"/>
    <cellStyle name="Normal 74 8 2 2" xfId="35521" xr:uid="{00000000-0005-0000-0000-000090C00000}"/>
    <cellStyle name="Normal 74 8 3" xfId="35522" xr:uid="{00000000-0005-0000-0000-000091C00000}"/>
    <cellStyle name="Normal 74 8 3 2" xfId="35523" xr:uid="{00000000-0005-0000-0000-000092C00000}"/>
    <cellStyle name="Normal 74 8 4" xfId="35524" xr:uid="{00000000-0005-0000-0000-000093C00000}"/>
    <cellStyle name="Normal 74 9" xfId="35525" xr:uid="{00000000-0005-0000-0000-000094C00000}"/>
    <cellStyle name="Normal 74 9 2" xfId="35526" xr:uid="{00000000-0005-0000-0000-000095C00000}"/>
    <cellStyle name="Normal 74 9 2 2" xfId="35527" xr:uid="{00000000-0005-0000-0000-000096C00000}"/>
    <cellStyle name="Normal 74 9 3" xfId="35528" xr:uid="{00000000-0005-0000-0000-000097C00000}"/>
    <cellStyle name="Normal 75" xfId="35529" xr:uid="{00000000-0005-0000-0000-000098C00000}"/>
    <cellStyle name="Normal 75 10" xfId="35530" xr:uid="{00000000-0005-0000-0000-000099C00000}"/>
    <cellStyle name="Normal 75 10 2" xfId="35531" xr:uid="{00000000-0005-0000-0000-00009AC00000}"/>
    <cellStyle name="Normal 75 11" xfId="35532" xr:uid="{00000000-0005-0000-0000-00009BC00000}"/>
    <cellStyle name="Normal 75 11 2" xfId="35533" xr:uid="{00000000-0005-0000-0000-00009CC00000}"/>
    <cellStyle name="Normal 75 12" xfId="35534" xr:uid="{00000000-0005-0000-0000-00009DC00000}"/>
    <cellStyle name="Normal 75 13" xfId="35535" xr:uid="{00000000-0005-0000-0000-00009EC00000}"/>
    <cellStyle name="Normal 75 2" xfId="35536" xr:uid="{00000000-0005-0000-0000-00009FC00000}"/>
    <cellStyle name="Normal 75 2 10" xfId="35537" xr:uid="{00000000-0005-0000-0000-0000A0C00000}"/>
    <cellStyle name="Normal 75 2 10 2" xfId="35538" xr:uid="{00000000-0005-0000-0000-0000A1C00000}"/>
    <cellStyle name="Normal 75 2 11" xfId="35539" xr:uid="{00000000-0005-0000-0000-0000A2C00000}"/>
    <cellStyle name="Normal 75 2 2" xfId="35540" xr:uid="{00000000-0005-0000-0000-0000A3C00000}"/>
    <cellStyle name="Normal 75 2 2 2" xfId="35541" xr:uid="{00000000-0005-0000-0000-0000A4C00000}"/>
    <cellStyle name="Normal 75 2 2 2 2" xfId="35542" xr:uid="{00000000-0005-0000-0000-0000A5C00000}"/>
    <cellStyle name="Normal 75 2 2 2 2 2" xfId="35543" xr:uid="{00000000-0005-0000-0000-0000A6C00000}"/>
    <cellStyle name="Normal 75 2 2 2 3" xfId="35544" xr:uid="{00000000-0005-0000-0000-0000A7C00000}"/>
    <cellStyle name="Normal 75 2 2 2 3 2" xfId="35545" xr:uid="{00000000-0005-0000-0000-0000A8C00000}"/>
    <cellStyle name="Normal 75 2 2 2 4" xfId="35546" xr:uid="{00000000-0005-0000-0000-0000A9C00000}"/>
    <cellStyle name="Normal 75 2 2 3" xfId="35547" xr:uid="{00000000-0005-0000-0000-0000AAC00000}"/>
    <cellStyle name="Normal 75 2 2 3 2" xfId="35548" xr:uid="{00000000-0005-0000-0000-0000ABC00000}"/>
    <cellStyle name="Normal 75 2 2 3 2 2" xfId="35549" xr:uid="{00000000-0005-0000-0000-0000ACC00000}"/>
    <cellStyle name="Normal 75 2 2 3 3" xfId="35550" xr:uid="{00000000-0005-0000-0000-0000ADC00000}"/>
    <cellStyle name="Normal 75 2 2 3 3 2" xfId="35551" xr:uid="{00000000-0005-0000-0000-0000AEC00000}"/>
    <cellStyle name="Normal 75 2 2 3 4" xfId="35552" xr:uid="{00000000-0005-0000-0000-0000AFC00000}"/>
    <cellStyle name="Normal 75 2 2 4" xfId="35553" xr:uid="{00000000-0005-0000-0000-0000B0C00000}"/>
    <cellStyle name="Normal 75 2 2 4 2" xfId="35554" xr:uid="{00000000-0005-0000-0000-0000B1C00000}"/>
    <cellStyle name="Normal 75 2 2 5" xfId="35555" xr:uid="{00000000-0005-0000-0000-0000B2C00000}"/>
    <cellStyle name="Normal 75 2 2 5 2" xfId="35556" xr:uid="{00000000-0005-0000-0000-0000B3C00000}"/>
    <cellStyle name="Normal 75 2 2 6" xfId="35557" xr:uid="{00000000-0005-0000-0000-0000B4C00000}"/>
    <cellStyle name="Normal 75 2 3" xfId="35558" xr:uid="{00000000-0005-0000-0000-0000B5C00000}"/>
    <cellStyle name="Normal 75 2 3 2" xfId="35559" xr:uid="{00000000-0005-0000-0000-0000B6C00000}"/>
    <cellStyle name="Normal 75 2 3 2 2" xfId="35560" xr:uid="{00000000-0005-0000-0000-0000B7C00000}"/>
    <cellStyle name="Normal 75 2 3 3" xfId="35561" xr:uid="{00000000-0005-0000-0000-0000B8C00000}"/>
    <cellStyle name="Normal 75 2 3 3 2" xfId="35562" xr:uid="{00000000-0005-0000-0000-0000B9C00000}"/>
    <cellStyle name="Normal 75 2 3 4" xfId="35563" xr:uid="{00000000-0005-0000-0000-0000BAC00000}"/>
    <cellStyle name="Normal 75 2 4" xfId="35564" xr:uid="{00000000-0005-0000-0000-0000BBC00000}"/>
    <cellStyle name="Normal 75 2 4 2" xfId="35565" xr:uid="{00000000-0005-0000-0000-0000BCC00000}"/>
    <cellStyle name="Normal 75 2 4 2 2" xfId="35566" xr:uid="{00000000-0005-0000-0000-0000BDC00000}"/>
    <cellStyle name="Normal 75 2 4 3" xfId="35567" xr:uid="{00000000-0005-0000-0000-0000BEC00000}"/>
    <cellStyle name="Normal 75 2 4 3 2" xfId="35568" xr:uid="{00000000-0005-0000-0000-0000BFC00000}"/>
    <cellStyle name="Normal 75 2 4 4" xfId="35569" xr:uid="{00000000-0005-0000-0000-0000C0C00000}"/>
    <cellStyle name="Normal 75 2 5" xfId="35570" xr:uid="{00000000-0005-0000-0000-0000C1C00000}"/>
    <cellStyle name="Normal 75 2 5 2" xfId="35571" xr:uid="{00000000-0005-0000-0000-0000C2C00000}"/>
    <cellStyle name="Normal 75 2 5 2 2" xfId="35572" xr:uid="{00000000-0005-0000-0000-0000C3C00000}"/>
    <cellStyle name="Normal 75 2 5 3" xfId="35573" xr:uid="{00000000-0005-0000-0000-0000C4C00000}"/>
    <cellStyle name="Normal 75 2 5 3 2" xfId="35574" xr:uid="{00000000-0005-0000-0000-0000C5C00000}"/>
    <cellStyle name="Normal 75 2 5 4" xfId="35575" xr:uid="{00000000-0005-0000-0000-0000C6C00000}"/>
    <cellStyle name="Normal 75 2 6" xfId="35576" xr:uid="{00000000-0005-0000-0000-0000C7C00000}"/>
    <cellStyle name="Normal 75 2 6 2" xfId="35577" xr:uid="{00000000-0005-0000-0000-0000C8C00000}"/>
    <cellStyle name="Normal 75 2 6 2 2" xfId="35578" xr:uid="{00000000-0005-0000-0000-0000C9C00000}"/>
    <cellStyle name="Normal 75 2 6 3" xfId="35579" xr:uid="{00000000-0005-0000-0000-0000CAC00000}"/>
    <cellStyle name="Normal 75 2 6 3 2" xfId="35580" xr:uid="{00000000-0005-0000-0000-0000CBC00000}"/>
    <cellStyle name="Normal 75 2 6 4" xfId="35581" xr:uid="{00000000-0005-0000-0000-0000CCC00000}"/>
    <cellStyle name="Normal 75 2 7" xfId="35582" xr:uid="{00000000-0005-0000-0000-0000CDC00000}"/>
    <cellStyle name="Normal 75 2 7 2" xfId="35583" xr:uid="{00000000-0005-0000-0000-0000CEC00000}"/>
    <cellStyle name="Normal 75 2 7 2 2" xfId="35584" xr:uid="{00000000-0005-0000-0000-0000CFC00000}"/>
    <cellStyle name="Normal 75 2 7 3" xfId="35585" xr:uid="{00000000-0005-0000-0000-0000D0C00000}"/>
    <cellStyle name="Normal 75 2 7 3 2" xfId="35586" xr:uid="{00000000-0005-0000-0000-0000D1C00000}"/>
    <cellStyle name="Normal 75 2 7 4" xfId="35587" xr:uid="{00000000-0005-0000-0000-0000D2C00000}"/>
    <cellStyle name="Normal 75 2 8" xfId="35588" xr:uid="{00000000-0005-0000-0000-0000D3C00000}"/>
    <cellStyle name="Normal 75 2 8 2" xfId="35589" xr:uid="{00000000-0005-0000-0000-0000D4C00000}"/>
    <cellStyle name="Normal 75 2 8 2 2" xfId="35590" xr:uid="{00000000-0005-0000-0000-0000D5C00000}"/>
    <cellStyle name="Normal 75 2 8 3" xfId="35591" xr:uid="{00000000-0005-0000-0000-0000D6C00000}"/>
    <cellStyle name="Normal 75 2 9" xfId="35592" xr:uid="{00000000-0005-0000-0000-0000D7C00000}"/>
    <cellStyle name="Normal 75 2 9 2" xfId="35593" xr:uid="{00000000-0005-0000-0000-0000D8C00000}"/>
    <cellStyle name="Normal 75 3" xfId="35594" xr:uid="{00000000-0005-0000-0000-0000D9C00000}"/>
    <cellStyle name="Normal 75 3 2" xfId="35595" xr:uid="{00000000-0005-0000-0000-0000DAC00000}"/>
    <cellStyle name="Normal 75 3 2 2" xfId="35596" xr:uid="{00000000-0005-0000-0000-0000DBC00000}"/>
    <cellStyle name="Normal 75 3 2 2 2" xfId="35597" xr:uid="{00000000-0005-0000-0000-0000DCC00000}"/>
    <cellStyle name="Normal 75 3 2 3" xfId="35598" xr:uid="{00000000-0005-0000-0000-0000DDC00000}"/>
    <cellStyle name="Normal 75 3 2 3 2" xfId="35599" xr:uid="{00000000-0005-0000-0000-0000DEC00000}"/>
    <cellStyle name="Normal 75 3 2 4" xfId="35600" xr:uid="{00000000-0005-0000-0000-0000DFC00000}"/>
    <cellStyle name="Normal 75 3 3" xfId="35601" xr:uid="{00000000-0005-0000-0000-0000E0C00000}"/>
    <cellStyle name="Normal 75 3 3 2" xfId="35602" xr:uid="{00000000-0005-0000-0000-0000E1C00000}"/>
    <cellStyle name="Normal 75 3 3 2 2" xfId="35603" xr:uid="{00000000-0005-0000-0000-0000E2C00000}"/>
    <cellStyle name="Normal 75 3 3 3" xfId="35604" xr:uid="{00000000-0005-0000-0000-0000E3C00000}"/>
    <cellStyle name="Normal 75 3 3 3 2" xfId="35605" xr:uid="{00000000-0005-0000-0000-0000E4C00000}"/>
    <cellStyle name="Normal 75 3 3 4" xfId="35606" xr:uid="{00000000-0005-0000-0000-0000E5C00000}"/>
    <cellStyle name="Normal 75 3 4" xfId="35607" xr:uid="{00000000-0005-0000-0000-0000E6C00000}"/>
    <cellStyle name="Normal 75 3 4 2" xfId="35608" xr:uid="{00000000-0005-0000-0000-0000E7C00000}"/>
    <cellStyle name="Normal 75 3 5" xfId="35609" xr:uid="{00000000-0005-0000-0000-0000E8C00000}"/>
    <cellStyle name="Normal 75 3 5 2" xfId="35610" xr:uid="{00000000-0005-0000-0000-0000E9C00000}"/>
    <cellStyle name="Normal 75 3 6" xfId="35611" xr:uid="{00000000-0005-0000-0000-0000EAC00000}"/>
    <cellStyle name="Normal 75 4" xfId="35612" xr:uid="{00000000-0005-0000-0000-0000EBC00000}"/>
    <cellStyle name="Normal 75 4 2" xfId="35613" xr:uid="{00000000-0005-0000-0000-0000ECC00000}"/>
    <cellStyle name="Normal 75 4 2 2" xfId="35614" xr:uid="{00000000-0005-0000-0000-0000EDC00000}"/>
    <cellStyle name="Normal 75 4 3" xfId="35615" xr:uid="{00000000-0005-0000-0000-0000EEC00000}"/>
    <cellStyle name="Normal 75 4 3 2" xfId="35616" xr:uid="{00000000-0005-0000-0000-0000EFC00000}"/>
    <cellStyle name="Normal 75 4 4" xfId="35617" xr:uid="{00000000-0005-0000-0000-0000F0C00000}"/>
    <cellStyle name="Normal 75 5" xfId="35618" xr:uid="{00000000-0005-0000-0000-0000F1C00000}"/>
    <cellStyle name="Normal 75 5 2" xfId="35619" xr:uid="{00000000-0005-0000-0000-0000F2C00000}"/>
    <cellStyle name="Normal 75 5 2 2" xfId="35620" xr:uid="{00000000-0005-0000-0000-0000F3C00000}"/>
    <cellStyle name="Normal 75 5 3" xfId="35621" xr:uid="{00000000-0005-0000-0000-0000F4C00000}"/>
    <cellStyle name="Normal 75 5 3 2" xfId="35622" xr:uid="{00000000-0005-0000-0000-0000F5C00000}"/>
    <cellStyle name="Normal 75 5 4" xfId="35623" xr:uid="{00000000-0005-0000-0000-0000F6C00000}"/>
    <cellStyle name="Normal 75 6" xfId="35624" xr:uid="{00000000-0005-0000-0000-0000F7C00000}"/>
    <cellStyle name="Normal 75 6 2" xfId="35625" xr:uid="{00000000-0005-0000-0000-0000F8C00000}"/>
    <cellStyle name="Normal 75 6 2 2" xfId="35626" xr:uid="{00000000-0005-0000-0000-0000F9C00000}"/>
    <cellStyle name="Normal 75 6 3" xfId="35627" xr:uid="{00000000-0005-0000-0000-0000FAC00000}"/>
    <cellStyle name="Normal 75 6 3 2" xfId="35628" xr:uid="{00000000-0005-0000-0000-0000FBC00000}"/>
    <cellStyle name="Normal 75 6 4" xfId="35629" xr:uid="{00000000-0005-0000-0000-0000FCC00000}"/>
    <cellStyle name="Normal 75 7" xfId="35630" xr:uid="{00000000-0005-0000-0000-0000FDC00000}"/>
    <cellStyle name="Normal 75 7 2" xfId="35631" xr:uid="{00000000-0005-0000-0000-0000FEC00000}"/>
    <cellStyle name="Normal 75 7 2 2" xfId="35632" xr:uid="{00000000-0005-0000-0000-0000FFC00000}"/>
    <cellStyle name="Normal 75 7 3" xfId="35633" xr:uid="{00000000-0005-0000-0000-000000C10000}"/>
    <cellStyle name="Normal 75 7 3 2" xfId="35634" xr:uid="{00000000-0005-0000-0000-000001C10000}"/>
    <cellStyle name="Normal 75 7 4" xfId="35635" xr:uid="{00000000-0005-0000-0000-000002C10000}"/>
    <cellStyle name="Normal 75 8" xfId="35636" xr:uid="{00000000-0005-0000-0000-000003C10000}"/>
    <cellStyle name="Normal 75 8 2" xfId="35637" xr:uid="{00000000-0005-0000-0000-000004C10000}"/>
    <cellStyle name="Normal 75 8 2 2" xfId="35638" xr:uid="{00000000-0005-0000-0000-000005C10000}"/>
    <cellStyle name="Normal 75 8 3" xfId="35639" xr:uid="{00000000-0005-0000-0000-000006C10000}"/>
    <cellStyle name="Normal 75 8 3 2" xfId="35640" xr:uid="{00000000-0005-0000-0000-000007C10000}"/>
    <cellStyle name="Normal 75 8 4" xfId="35641" xr:uid="{00000000-0005-0000-0000-000008C10000}"/>
    <cellStyle name="Normal 75 9" xfId="35642" xr:uid="{00000000-0005-0000-0000-000009C10000}"/>
    <cellStyle name="Normal 75 9 2" xfId="35643" xr:uid="{00000000-0005-0000-0000-00000AC10000}"/>
    <cellStyle name="Normal 75 9 2 2" xfId="35644" xr:uid="{00000000-0005-0000-0000-00000BC10000}"/>
    <cellStyle name="Normal 75 9 3" xfId="35645" xr:uid="{00000000-0005-0000-0000-00000CC10000}"/>
    <cellStyle name="Normal 76" xfId="35646" xr:uid="{00000000-0005-0000-0000-00000DC10000}"/>
    <cellStyle name="Normal 76 10" xfId="35647" xr:uid="{00000000-0005-0000-0000-00000EC10000}"/>
    <cellStyle name="Normal 76 10 2" xfId="35648" xr:uid="{00000000-0005-0000-0000-00000FC10000}"/>
    <cellStyle name="Normal 76 11" xfId="35649" xr:uid="{00000000-0005-0000-0000-000010C10000}"/>
    <cellStyle name="Normal 76 11 2" xfId="35650" xr:uid="{00000000-0005-0000-0000-000011C10000}"/>
    <cellStyle name="Normal 76 12" xfId="35651" xr:uid="{00000000-0005-0000-0000-000012C10000}"/>
    <cellStyle name="Normal 76 13" xfId="35652" xr:uid="{00000000-0005-0000-0000-000013C10000}"/>
    <cellStyle name="Normal 76 2" xfId="35653" xr:uid="{00000000-0005-0000-0000-000014C10000}"/>
    <cellStyle name="Normal 76 2 10" xfId="35654" xr:uid="{00000000-0005-0000-0000-000015C10000}"/>
    <cellStyle name="Normal 76 2 10 2" xfId="35655" xr:uid="{00000000-0005-0000-0000-000016C10000}"/>
    <cellStyle name="Normal 76 2 11" xfId="35656" xr:uid="{00000000-0005-0000-0000-000017C10000}"/>
    <cellStyle name="Normal 76 2 2" xfId="35657" xr:uid="{00000000-0005-0000-0000-000018C10000}"/>
    <cellStyle name="Normal 76 2 2 2" xfId="35658" xr:uid="{00000000-0005-0000-0000-000019C10000}"/>
    <cellStyle name="Normal 76 2 2 2 2" xfId="35659" xr:uid="{00000000-0005-0000-0000-00001AC10000}"/>
    <cellStyle name="Normal 76 2 2 2 2 2" xfId="35660" xr:uid="{00000000-0005-0000-0000-00001BC10000}"/>
    <cellStyle name="Normal 76 2 2 2 3" xfId="35661" xr:uid="{00000000-0005-0000-0000-00001CC10000}"/>
    <cellStyle name="Normal 76 2 2 2 3 2" xfId="35662" xr:uid="{00000000-0005-0000-0000-00001DC10000}"/>
    <cellStyle name="Normal 76 2 2 2 4" xfId="35663" xr:uid="{00000000-0005-0000-0000-00001EC10000}"/>
    <cellStyle name="Normal 76 2 2 3" xfId="35664" xr:uid="{00000000-0005-0000-0000-00001FC10000}"/>
    <cellStyle name="Normal 76 2 2 3 2" xfId="35665" xr:uid="{00000000-0005-0000-0000-000020C10000}"/>
    <cellStyle name="Normal 76 2 2 3 2 2" xfId="35666" xr:uid="{00000000-0005-0000-0000-000021C10000}"/>
    <cellStyle name="Normal 76 2 2 3 3" xfId="35667" xr:uid="{00000000-0005-0000-0000-000022C10000}"/>
    <cellStyle name="Normal 76 2 2 3 3 2" xfId="35668" xr:uid="{00000000-0005-0000-0000-000023C10000}"/>
    <cellStyle name="Normal 76 2 2 3 4" xfId="35669" xr:uid="{00000000-0005-0000-0000-000024C10000}"/>
    <cellStyle name="Normal 76 2 2 4" xfId="35670" xr:uid="{00000000-0005-0000-0000-000025C10000}"/>
    <cellStyle name="Normal 76 2 2 4 2" xfId="35671" xr:uid="{00000000-0005-0000-0000-000026C10000}"/>
    <cellStyle name="Normal 76 2 2 5" xfId="35672" xr:uid="{00000000-0005-0000-0000-000027C10000}"/>
    <cellStyle name="Normal 76 2 2 5 2" xfId="35673" xr:uid="{00000000-0005-0000-0000-000028C10000}"/>
    <cellStyle name="Normal 76 2 2 6" xfId="35674" xr:uid="{00000000-0005-0000-0000-000029C10000}"/>
    <cellStyle name="Normal 76 2 3" xfId="35675" xr:uid="{00000000-0005-0000-0000-00002AC10000}"/>
    <cellStyle name="Normal 76 2 3 2" xfId="35676" xr:uid="{00000000-0005-0000-0000-00002BC10000}"/>
    <cellStyle name="Normal 76 2 3 2 2" xfId="35677" xr:uid="{00000000-0005-0000-0000-00002CC10000}"/>
    <cellStyle name="Normal 76 2 3 3" xfId="35678" xr:uid="{00000000-0005-0000-0000-00002DC10000}"/>
    <cellStyle name="Normal 76 2 3 3 2" xfId="35679" xr:uid="{00000000-0005-0000-0000-00002EC10000}"/>
    <cellStyle name="Normal 76 2 3 4" xfId="35680" xr:uid="{00000000-0005-0000-0000-00002FC10000}"/>
    <cellStyle name="Normal 76 2 4" xfId="35681" xr:uid="{00000000-0005-0000-0000-000030C10000}"/>
    <cellStyle name="Normal 76 2 4 2" xfId="35682" xr:uid="{00000000-0005-0000-0000-000031C10000}"/>
    <cellStyle name="Normal 76 2 4 2 2" xfId="35683" xr:uid="{00000000-0005-0000-0000-000032C10000}"/>
    <cellStyle name="Normal 76 2 4 3" xfId="35684" xr:uid="{00000000-0005-0000-0000-000033C10000}"/>
    <cellStyle name="Normal 76 2 4 3 2" xfId="35685" xr:uid="{00000000-0005-0000-0000-000034C10000}"/>
    <cellStyle name="Normal 76 2 4 4" xfId="35686" xr:uid="{00000000-0005-0000-0000-000035C10000}"/>
    <cellStyle name="Normal 76 2 5" xfId="35687" xr:uid="{00000000-0005-0000-0000-000036C10000}"/>
    <cellStyle name="Normal 76 2 5 2" xfId="35688" xr:uid="{00000000-0005-0000-0000-000037C10000}"/>
    <cellStyle name="Normal 76 2 5 2 2" xfId="35689" xr:uid="{00000000-0005-0000-0000-000038C10000}"/>
    <cellStyle name="Normal 76 2 5 3" xfId="35690" xr:uid="{00000000-0005-0000-0000-000039C10000}"/>
    <cellStyle name="Normal 76 2 5 3 2" xfId="35691" xr:uid="{00000000-0005-0000-0000-00003AC10000}"/>
    <cellStyle name="Normal 76 2 5 4" xfId="35692" xr:uid="{00000000-0005-0000-0000-00003BC10000}"/>
    <cellStyle name="Normal 76 2 6" xfId="35693" xr:uid="{00000000-0005-0000-0000-00003CC10000}"/>
    <cellStyle name="Normal 76 2 6 2" xfId="35694" xr:uid="{00000000-0005-0000-0000-00003DC10000}"/>
    <cellStyle name="Normal 76 2 6 2 2" xfId="35695" xr:uid="{00000000-0005-0000-0000-00003EC10000}"/>
    <cellStyle name="Normal 76 2 6 3" xfId="35696" xr:uid="{00000000-0005-0000-0000-00003FC10000}"/>
    <cellStyle name="Normal 76 2 6 3 2" xfId="35697" xr:uid="{00000000-0005-0000-0000-000040C10000}"/>
    <cellStyle name="Normal 76 2 6 4" xfId="35698" xr:uid="{00000000-0005-0000-0000-000041C10000}"/>
    <cellStyle name="Normal 76 2 7" xfId="35699" xr:uid="{00000000-0005-0000-0000-000042C10000}"/>
    <cellStyle name="Normal 76 2 7 2" xfId="35700" xr:uid="{00000000-0005-0000-0000-000043C10000}"/>
    <cellStyle name="Normal 76 2 7 2 2" xfId="35701" xr:uid="{00000000-0005-0000-0000-000044C10000}"/>
    <cellStyle name="Normal 76 2 7 3" xfId="35702" xr:uid="{00000000-0005-0000-0000-000045C10000}"/>
    <cellStyle name="Normal 76 2 7 3 2" xfId="35703" xr:uid="{00000000-0005-0000-0000-000046C10000}"/>
    <cellStyle name="Normal 76 2 7 4" xfId="35704" xr:uid="{00000000-0005-0000-0000-000047C10000}"/>
    <cellStyle name="Normal 76 2 8" xfId="35705" xr:uid="{00000000-0005-0000-0000-000048C10000}"/>
    <cellStyle name="Normal 76 2 8 2" xfId="35706" xr:uid="{00000000-0005-0000-0000-000049C10000}"/>
    <cellStyle name="Normal 76 2 8 2 2" xfId="35707" xr:uid="{00000000-0005-0000-0000-00004AC10000}"/>
    <cellStyle name="Normal 76 2 8 3" xfId="35708" xr:uid="{00000000-0005-0000-0000-00004BC10000}"/>
    <cellStyle name="Normal 76 2 9" xfId="35709" xr:uid="{00000000-0005-0000-0000-00004CC10000}"/>
    <cellStyle name="Normal 76 2 9 2" xfId="35710" xr:uid="{00000000-0005-0000-0000-00004DC10000}"/>
    <cellStyle name="Normal 76 3" xfId="35711" xr:uid="{00000000-0005-0000-0000-00004EC10000}"/>
    <cellStyle name="Normal 76 3 2" xfId="35712" xr:uid="{00000000-0005-0000-0000-00004FC10000}"/>
    <cellStyle name="Normal 76 3 2 2" xfId="35713" xr:uid="{00000000-0005-0000-0000-000050C10000}"/>
    <cellStyle name="Normal 76 3 2 2 2" xfId="35714" xr:uid="{00000000-0005-0000-0000-000051C10000}"/>
    <cellStyle name="Normal 76 3 2 3" xfId="35715" xr:uid="{00000000-0005-0000-0000-000052C10000}"/>
    <cellStyle name="Normal 76 3 2 3 2" xfId="35716" xr:uid="{00000000-0005-0000-0000-000053C10000}"/>
    <cellStyle name="Normal 76 3 2 4" xfId="35717" xr:uid="{00000000-0005-0000-0000-000054C10000}"/>
    <cellStyle name="Normal 76 3 3" xfId="35718" xr:uid="{00000000-0005-0000-0000-000055C10000}"/>
    <cellStyle name="Normal 76 3 3 2" xfId="35719" xr:uid="{00000000-0005-0000-0000-000056C10000}"/>
    <cellStyle name="Normal 76 3 3 2 2" xfId="35720" xr:uid="{00000000-0005-0000-0000-000057C10000}"/>
    <cellStyle name="Normal 76 3 3 3" xfId="35721" xr:uid="{00000000-0005-0000-0000-000058C10000}"/>
    <cellStyle name="Normal 76 3 3 3 2" xfId="35722" xr:uid="{00000000-0005-0000-0000-000059C10000}"/>
    <cellStyle name="Normal 76 3 3 4" xfId="35723" xr:uid="{00000000-0005-0000-0000-00005AC10000}"/>
    <cellStyle name="Normal 76 3 4" xfId="35724" xr:uid="{00000000-0005-0000-0000-00005BC10000}"/>
    <cellStyle name="Normal 76 3 4 2" xfId="35725" xr:uid="{00000000-0005-0000-0000-00005CC10000}"/>
    <cellStyle name="Normal 76 3 5" xfId="35726" xr:uid="{00000000-0005-0000-0000-00005DC10000}"/>
    <cellStyle name="Normal 76 3 5 2" xfId="35727" xr:uid="{00000000-0005-0000-0000-00005EC10000}"/>
    <cellStyle name="Normal 76 3 6" xfId="35728" xr:uid="{00000000-0005-0000-0000-00005FC10000}"/>
    <cellStyle name="Normal 76 4" xfId="35729" xr:uid="{00000000-0005-0000-0000-000060C10000}"/>
    <cellStyle name="Normal 76 4 2" xfId="35730" xr:uid="{00000000-0005-0000-0000-000061C10000}"/>
    <cellStyle name="Normal 76 4 2 2" xfId="35731" xr:uid="{00000000-0005-0000-0000-000062C10000}"/>
    <cellStyle name="Normal 76 4 3" xfId="35732" xr:uid="{00000000-0005-0000-0000-000063C10000}"/>
    <cellStyle name="Normal 76 4 3 2" xfId="35733" xr:uid="{00000000-0005-0000-0000-000064C10000}"/>
    <cellStyle name="Normal 76 4 4" xfId="35734" xr:uid="{00000000-0005-0000-0000-000065C10000}"/>
    <cellStyle name="Normal 76 5" xfId="35735" xr:uid="{00000000-0005-0000-0000-000066C10000}"/>
    <cellStyle name="Normal 76 5 2" xfId="35736" xr:uid="{00000000-0005-0000-0000-000067C10000}"/>
    <cellStyle name="Normal 76 5 2 2" xfId="35737" xr:uid="{00000000-0005-0000-0000-000068C10000}"/>
    <cellStyle name="Normal 76 5 3" xfId="35738" xr:uid="{00000000-0005-0000-0000-000069C10000}"/>
    <cellStyle name="Normal 76 5 3 2" xfId="35739" xr:uid="{00000000-0005-0000-0000-00006AC10000}"/>
    <cellStyle name="Normal 76 5 4" xfId="35740" xr:uid="{00000000-0005-0000-0000-00006BC10000}"/>
    <cellStyle name="Normal 76 6" xfId="35741" xr:uid="{00000000-0005-0000-0000-00006CC10000}"/>
    <cellStyle name="Normal 76 6 2" xfId="35742" xr:uid="{00000000-0005-0000-0000-00006DC10000}"/>
    <cellStyle name="Normal 76 6 2 2" xfId="35743" xr:uid="{00000000-0005-0000-0000-00006EC10000}"/>
    <cellStyle name="Normal 76 6 3" xfId="35744" xr:uid="{00000000-0005-0000-0000-00006FC10000}"/>
    <cellStyle name="Normal 76 6 3 2" xfId="35745" xr:uid="{00000000-0005-0000-0000-000070C10000}"/>
    <cellStyle name="Normal 76 6 4" xfId="35746" xr:uid="{00000000-0005-0000-0000-000071C10000}"/>
    <cellStyle name="Normal 76 7" xfId="35747" xr:uid="{00000000-0005-0000-0000-000072C10000}"/>
    <cellStyle name="Normal 76 7 2" xfId="35748" xr:uid="{00000000-0005-0000-0000-000073C10000}"/>
    <cellStyle name="Normal 76 7 2 2" xfId="35749" xr:uid="{00000000-0005-0000-0000-000074C10000}"/>
    <cellStyle name="Normal 76 7 3" xfId="35750" xr:uid="{00000000-0005-0000-0000-000075C10000}"/>
    <cellStyle name="Normal 76 7 3 2" xfId="35751" xr:uid="{00000000-0005-0000-0000-000076C10000}"/>
    <cellStyle name="Normal 76 7 4" xfId="35752" xr:uid="{00000000-0005-0000-0000-000077C10000}"/>
    <cellStyle name="Normal 76 8" xfId="35753" xr:uid="{00000000-0005-0000-0000-000078C10000}"/>
    <cellStyle name="Normal 76 8 2" xfId="35754" xr:uid="{00000000-0005-0000-0000-000079C10000}"/>
    <cellStyle name="Normal 76 8 2 2" xfId="35755" xr:uid="{00000000-0005-0000-0000-00007AC10000}"/>
    <cellStyle name="Normal 76 8 3" xfId="35756" xr:uid="{00000000-0005-0000-0000-00007BC10000}"/>
    <cellStyle name="Normal 76 8 3 2" xfId="35757" xr:uid="{00000000-0005-0000-0000-00007CC10000}"/>
    <cellStyle name="Normal 76 8 4" xfId="35758" xr:uid="{00000000-0005-0000-0000-00007DC10000}"/>
    <cellStyle name="Normal 76 9" xfId="35759" xr:uid="{00000000-0005-0000-0000-00007EC10000}"/>
    <cellStyle name="Normal 76 9 2" xfId="35760" xr:uid="{00000000-0005-0000-0000-00007FC10000}"/>
    <cellStyle name="Normal 76 9 2 2" xfId="35761" xr:uid="{00000000-0005-0000-0000-000080C10000}"/>
    <cellStyle name="Normal 76 9 3" xfId="35762" xr:uid="{00000000-0005-0000-0000-000081C10000}"/>
    <cellStyle name="Normal 77" xfId="35763" xr:uid="{00000000-0005-0000-0000-000082C10000}"/>
    <cellStyle name="Normal 77 10" xfId="35764" xr:uid="{00000000-0005-0000-0000-000083C10000}"/>
    <cellStyle name="Normal 77 10 2" xfId="35765" xr:uid="{00000000-0005-0000-0000-000084C10000}"/>
    <cellStyle name="Normal 77 11" xfId="35766" xr:uid="{00000000-0005-0000-0000-000085C10000}"/>
    <cellStyle name="Normal 77 11 2" xfId="35767" xr:uid="{00000000-0005-0000-0000-000086C10000}"/>
    <cellStyle name="Normal 77 12" xfId="35768" xr:uid="{00000000-0005-0000-0000-000087C10000}"/>
    <cellStyle name="Normal 77 13" xfId="35769" xr:uid="{00000000-0005-0000-0000-000088C10000}"/>
    <cellStyle name="Normal 77 2" xfId="35770" xr:uid="{00000000-0005-0000-0000-000089C10000}"/>
    <cellStyle name="Normal 77 2 10" xfId="35771" xr:uid="{00000000-0005-0000-0000-00008AC10000}"/>
    <cellStyle name="Normal 77 2 10 2" xfId="35772" xr:uid="{00000000-0005-0000-0000-00008BC10000}"/>
    <cellStyle name="Normal 77 2 11" xfId="35773" xr:uid="{00000000-0005-0000-0000-00008CC10000}"/>
    <cellStyle name="Normal 77 2 2" xfId="35774" xr:uid="{00000000-0005-0000-0000-00008DC10000}"/>
    <cellStyle name="Normal 77 2 2 2" xfId="35775" xr:uid="{00000000-0005-0000-0000-00008EC10000}"/>
    <cellStyle name="Normal 77 2 2 2 2" xfId="35776" xr:uid="{00000000-0005-0000-0000-00008FC10000}"/>
    <cellStyle name="Normal 77 2 2 2 2 2" xfId="35777" xr:uid="{00000000-0005-0000-0000-000090C10000}"/>
    <cellStyle name="Normal 77 2 2 2 3" xfId="35778" xr:uid="{00000000-0005-0000-0000-000091C10000}"/>
    <cellStyle name="Normal 77 2 2 2 3 2" xfId="35779" xr:uid="{00000000-0005-0000-0000-000092C10000}"/>
    <cellStyle name="Normal 77 2 2 2 4" xfId="35780" xr:uid="{00000000-0005-0000-0000-000093C10000}"/>
    <cellStyle name="Normal 77 2 2 3" xfId="35781" xr:uid="{00000000-0005-0000-0000-000094C10000}"/>
    <cellStyle name="Normal 77 2 2 3 2" xfId="35782" xr:uid="{00000000-0005-0000-0000-000095C10000}"/>
    <cellStyle name="Normal 77 2 2 3 2 2" xfId="35783" xr:uid="{00000000-0005-0000-0000-000096C10000}"/>
    <cellStyle name="Normal 77 2 2 3 3" xfId="35784" xr:uid="{00000000-0005-0000-0000-000097C10000}"/>
    <cellStyle name="Normal 77 2 2 3 3 2" xfId="35785" xr:uid="{00000000-0005-0000-0000-000098C10000}"/>
    <cellStyle name="Normal 77 2 2 3 4" xfId="35786" xr:uid="{00000000-0005-0000-0000-000099C10000}"/>
    <cellStyle name="Normal 77 2 2 4" xfId="35787" xr:uid="{00000000-0005-0000-0000-00009AC10000}"/>
    <cellStyle name="Normal 77 2 2 4 2" xfId="35788" xr:uid="{00000000-0005-0000-0000-00009BC10000}"/>
    <cellStyle name="Normal 77 2 2 5" xfId="35789" xr:uid="{00000000-0005-0000-0000-00009CC10000}"/>
    <cellStyle name="Normal 77 2 2 5 2" xfId="35790" xr:uid="{00000000-0005-0000-0000-00009DC10000}"/>
    <cellStyle name="Normal 77 2 2 6" xfId="35791" xr:uid="{00000000-0005-0000-0000-00009EC10000}"/>
    <cellStyle name="Normal 77 2 3" xfId="35792" xr:uid="{00000000-0005-0000-0000-00009FC10000}"/>
    <cellStyle name="Normal 77 2 3 2" xfId="35793" xr:uid="{00000000-0005-0000-0000-0000A0C10000}"/>
    <cellStyle name="Normal 77 2 3 2 2" xfId="35794" xr:uid="{00000000-0005-0000-0000-0000A1C10000}"/>
    <cellStyle name="Normal 77 2 3 3" xfId="35795" xr:uid="{00000000-0005-0000-0000-0000A2C10000}"/>
    <cellStyle name="Normal 77 2 3 3 2" xfId="35796" xr:uid="{00000000-0005-0000-0000-0000A3C10000}"/>
    <cellStyle name="Normal 77 2 3 4" xfId="35797" xr:uid="{00000000-0005-0000-0000-0000A4C10000}"/>
    <cellStyle name="Normal 77 2 4" xfId="35798" xr:uid="{00000000-0005-0000-0000-0000A5C10000}"/>
    <cellStyle name="Normal 77 2 4 2" xfId="35799" xr:uid="{00000000-0005-0000-0000-0000A6C10000}"/>
    <cellStyle name="Normal 77 2 4 2 2" xfId="35800" xr:uid="{00000000-0005-0000-0000-0000A7C10000}"/>
    <cellStyle name="Normal 77 2 4 3" xfId="35801" xr:uid="{00000000-0005-0000-0000-0000A8C10000}"/>
    <cellStyle name="Normal 77 2 4 3 2" xfId="35802" xr:uid="{00000000-0005-0000-0000-0000A9C10000}"/>
    <cellStyle name="Normal 77 2 4 4" xfId="35803" xr:uid="{00000000-0005-0000-0000-0000AAC10000}"/>
    <cellStyle name="Normal 77 2 5" xfId="35804" xr:uid="{00000000-0005-0000-0000-0000ABC10000}"/>
    <cellStyle name="Normal 77 2 5 2" xfId="35805" xr:uid="{00000000-0005-0000-0000-0000ACC10000}"/>
    <cellStyle name="Normal 77 2 5 2 2" xfId="35806" xr:uid="{00000000-0005-0000-0000-0000ADC10000}"/>
    <cellStyle name="Normal 77 2 5 3" xfId="35807" xr:uid="{00000000-0005-0000-0000-0000AEC10000}"/>
    <cellStyle name="Normal 77 2 5 3 2" xfId="35808" xr:uid="{00000000-0005-0000-0000-0000AFC10000}"/>
    <cellStyle name="Normal 77 2 5 4" xfId="35809" xr:uid="{00000000-0005-0000-0000-0000B0C10000}"/>
    <cellStyle name="Normal 77 2 6" xfId="35810" xr:uid="{00000000-0005-0000-0000-0000B1C10000}"/>
    <cellStyle name="Normal 77 2 6 2" xfId="35811" xr:uid="{00000000-0005-0000-0000-0000B2C10000}"/>
    <cellStyle name="Normal 77 2 6 2 2" xfId="35812" xr:uid="{00000000-0005-0000-0000-0000B3C10000}"/>
    <cellStyle name="Normal 77 2 6 3" xfId="35813" xr:uid="{00000000-0005-0000-0000-0000B4C10000}"/>
    <cellStyle name="Normal 77 2 6 3 2" xfId="35814" xr:uid="{00000000-0005-0000-0000-0000B5C10000}"/>
    <cellStyle name="Normal 77 2 6 4" xfId="35815" xr:uid="{00000000-0005-0000-0000-0000B6C10000}"/>
    <cellStyle name="Normal 77 2 7" xfId="35816" xr:uid="{00000000-0005-0000-0000-0000B7C10000}"/>
    <cellStyle name="Normal 77 2 7 2" xfId="35817" xr:uid="{00000000-0005-0000-0000-0000B8C10000}"/>
    <cellStyle name="Normal 77 2 7 2 2" xfId="35818" xr:uid="{00000000-0005-0000-0000-0000B9C10000}"/>
    <cellStyle name="Normal 77 2 7 3" xfId="35819" xr:uid="{00000000-0005-0000-0000-0000BAC10000}"/>
    <cellStyle name="Normal 77 2 7 3 2" xfId="35820" xr:uid="{00000000-0005-0000-0000-0000BBC10000}"/>
    <cellStyle name="Normal 77 2 7 4" xfId="35821" xr:uid="{00000000-0005-0000-0000-0000BCC10000}"/>
    <cellStyle name="Normal 77 2 8" xfId="35822" xr:uid="{00000000-0005-0000-0000-0000BDC10000}"/>
    <cellStyle name="Normal 77 2 8 2" xfId="35823" xr:uid="{00000000-0005-0000-0000-0000BEC10000}"/>
    <cellStyle name="Normal 77 2 8 2 2" xfId="35824" xr:uid="{00000000-0005-0000-0000-0000BFC10000}"/>
    <cellStyle name="Normal 77 2 8 3" xfId="35825" xr:uid="{00000000-0005-0000-0000-0000C0C10000}"/>
    <cellStyle name="Normal 77 2 9" xfId="35826" xr:uid="{00000000-0005-0000-0000-0000C1C10000}"/>
    <cellStyle name="Normal 77 2 9 2" xfId="35827" xr:uid="{00000000-0005-0000-0000-0000C2C10000}"/>
    <cellStyle name="Normal 77 3" xfId="35828" xr:uid="{00000000-0005-0000-0000-0000C3C10000}"/>
    <cellStyle name="Normal 77 3 2" xfId="35829" xr:uid="{00000000-0005-0000-0000-0000C4C10000}"/>
    <cellStyle name="Normal 77 3 2 2" xfId="35830" xr:uid="{00000000-0005-0000-0000-0000C5C10000}"/>
    <cellStyle name="Normal 77 3 2 2 2" xfId="35831" xr:uid="{00000000-0005-0000-0000-0000C6C10000}"/>
    <cellStyle name="Normal 77 3 2 3" xfId="35832" xr:uid="{00000000-0005-0000-0000-0000C7C10000}"/>
    <cellStyle name="Normal 77 3 2 3 2" xfId="35833" xr:uid="{00000000-0005-0000-0000-0000C8C10000}"/>
    <cellStyle name="Normal 77 3 2 4" xfId="35834" xr:uid="{00000000-0005-0000-0000-0000C9C10000}"/>
    <cellStyle name="Normal 77 3 3" xfId="35835" xr:uid="{00000000-0005-0000-0000-0000CAC10000}"/>
    <cellStyle name="Normal 77 3 3 2" xfId="35836" xr:uid="{00000000-0005-0000-0000-0000CBC10000}"/>
    <cellStyle name="Normal 77 3 3 2 2" xfId="35837" xr:uid="{00000000-0005-0000-0000-0000CCC10000}"/>
    <cellStyle name="Normal 77 3 3 3" xfId="35838" xr:uid="{00000000-0005-0000-0000-0000CDC10000}"/>
    <cellStyle name="Normal 77 3 3 3 2" xfId="35839" xr:uid="{00000000-0005-0000-0000-0000CEC10000}"/>
    <cellStyle name="Normal 77 3 3 4" xfId="35840" xr:uid="{00000000-0005-0000-0000-0000CFC10000}"/>
    <cellStyle name="Normal 77 3 4" xfId="35841" xr:uid="{00000000-0005-0000-0000-0000D0C10000}"/>
    <cellStyle name="Normal 77 3 4 2" xfId="35842" xr:uid="{00000000-0005-0000-0000-0000D1C10000}"/>
    <cellStyle name="Normal 77 3 5" xfId="35843" xr:uid="{00000000-0005-0000-0000-0000D2C10000}"/>
    <cellStyle name="Normal 77 3 5 2" xfId="35844" xr:uid="{00000000-0005-0000-0000-0000D3C10000}"/>
    <cellStyle name="Normal 77 3 6" xfId="35845" xr:uid="{00000000-0005-0000-0000-0000D4C10000}"/>
    <cellStyle name="Normal 77 4" xfId="35846" xr:uid="{00000000-0005-0000-0000-0000D5C10000}"/>
    <cellStyle name="Normal 77 4 2" xfId="35847" xr:uid="{00000000-0005-0000-0000-0000D6C10000}"/>
    <cellStyle name="Normal 77 4 2 2" xfId="35848" xr:uid="{00000000-0005-0000-0000-0000D7C10000}"/>
    <cellStyle name="Normal 77 4 3" xfId="35849" xr:uid="{00000000-0005-0000-0000-0000D8C10000}"/>
    <cellStyle name="Normal 77 4 3 2" xfId="35850" xr:uid="{00000000-0005-0000-0000-0000D9C10000}"/>
    <cellStyle name="Normal 77 4 4" xfId="35851" xr:uid="{00000000-0005-0000-0000-0000DAC10000}"/>
    <cellStyle name="Normal 77 5" xfId="35852" xr:uid="{00000000-0005-0000-0000-0000DBC10000}"/>
    <cellStyle name="Normal 77 5 2" xfId="35853" xr:uid="{00000000-0005-0000-0000-0000DCC10000}"/>
    <cellStyle name="Normal 77 5 2 2" xfId="35854" xr:uid="{00000000-0005-0000-0000-0000DDC10000}"/>
    <cellStyle name="Normal 77 5 3" xfId="35855" xr:uid="{00000000-0005-0000-0000-0000DEC10000}"/>
    <cellStyle name="Normal 77 5 3 2" xfId="35856" xr:uid="{00000000-0005-0000-0000-0000DFC10000}"/>
    <cellStyle name="Normal 77 5 4" xfId="35857" xr:uid="{00000000-0005-0000-0000-0000E0C10000}"/>
    <cellStyle name="Normal 77 6" xfId="35858" xr:uid="{00000000-0005-0000-0000-0000E1C10000}"/>
    <cellStyle name="Normal 77 6 2" xfId="35859" xr:uid="{00000000-0005-0000-0000-0000E2C10000}"/>
    <cellStyle name="Normal 77 6 2 2" xfId="35860" xr:uid="{00000000-0005-0000-0000-0000E3C10000}"/>
    <cellStyle name="Normal 77 6 3" xfId="35861" xr:uid="{00000000-0005-0000-0000-0000E4C10000}"/>
    <cellStyle name="Normal 77 6 3 2" xfId="35862" xr:uid="{00000000-0005-0000-0000-0000E5C10000}"/>
    <cellStyle name="Normal 77 6 4" xfId="35863" xr:uid="{00000000-0005-0000-0000-0000E6C10000}"/>
    <cellStyle name="Normal 77 7" xfId="35864" xr:uid="{00000000-0005-0000-0000-0000E7C10000}"/>
    <cellStyle name="Normal 77 7 2" xfId="35865" xr:uid="{00000000-0005-0000-0000-0000E8C10000}"/>
    <cellStyle name="Normal 77 7 2 2" xfId="35866" xr:uid="{00000000-0005-0000-0000-0000E9C10000}"/>
    <cellStyle name="Normal 77 7 3" xfId="35867" xr:uid="{00000000-0005-0000-0000-0000EAC10000}"/>
    <cellStyle name="Normal 77 7 3 2" xfId="35868" xr:uid="{00000000-0005-0000-0000-0000EBC10000}"/>
    <cellStyle name="Normal 77 7 4" xfId="35869" xr:uid="{00000000-0005-0000-0000-0000ECC10000}"/>
    <cellStyle name="Normal 77 8" xfId="35870" xr:uid="{00000000-0005-0000-0000-0000EDC10000}"/>
    <cellStyle name="Normal 77 8 2" xfId="35871" xr:uid="{00000000-0005-0000-0000-0000EEC10000}"/>
    <cellStyle name="Normal 77 8 2 2" xfId="35872" xr:uid="{00000000-0005-0000-0000-0000EFC10000}"/>
    <cellStyle name="Normal 77 8 3" xfId="35873" xr:uid="{00000000-0005-0000-0000-0000F0C10000}"/>
    <cellStyle name="Normal 77 8 3 2" xfId="35874" xr:uid="{00000000-0005-0000-0000-0000F1C10000}"/>
    <cellStyle name="Normal 77 8 4" xfId="35875" xr:uid="{00000000-0005-0000-0000-0000F2C10000}"/>
    <cellStyle name="Normal 77 9" xfId="35876" xr:uid="{00000000-0005-0000-0000-0000F3C10000}"/>
    <cellStyle name="Normal 77 9 2" xfId="35877" xr:uid="{00000000-0005-0000-0000-0000F4C10000}"/>
    <cellStyle name="Normal 77 9 2 2" xfId="35878" xr:uid="{00000000-0005-0000-0000-0000F5C10000}"/>
    <cellStyle name="Normal 77 9 3" xfId="35879" xr:uid="{00000000-0005-0000-0000-0000F6C10000}"/>
    <cellStyle name="Normal 78" xfId="35880" xr:uid="{00000000-0005-0000-0000-0000F7C10000}"/>
    <cellStyle name="Normal 78 10" xfId="35881" xr:uid="{00000000-0005-0000-0000-0000F8C10000}"/>
    <cellStyle name="Normal 78 10 2" xfId="35882" xr:uid="{00000000-0005-0000-0000-0000F9C10000}"/>
    <cellStyle name="Normal 78 11" xfId="35883" xr:uid="{00000000-0005-0000-0000-0000FAC10000}"/>
    <cellStyle name="Normal 78 11 2" xfId="35884" xr:uid="{00000000-0005-0000-0000-0000FBC10000}"/>
    <cellStyle name="Normal 78 12" xfId="35885" xr:uid="{00000000-0005-0000-0000-0000FCC10000}"/>
    <cellStyle name="Normal 78 13" xfId="35886" xr:uid="{00000000-0005-0000-0000-0000FDC10000}"/>
    <cellStyle name="Normal 78 2" xfId="35887" xr:uid="{00000000-0005-0000-0000-0000FEC10000}"/>
    <cellStyle name="Normal 78 2 10" xfId="35888" xr:uid="{00000000-0005-0000-0000-0000FFC10000}"/>
    <cellStyle name="Normal 78 2 10 2" xfId="35889" xr:uid="{00000000-0005-0000-0000-000000C20000}"/>
    <cellStyle name="Normal 78 2 11" xfId="35890" xr:uid="{00000000-0005-0000-0000-000001C20000}"/>
    <cellStyle name="Normal 78 2 2" xfId="35891" xr:uid="{00000000-0005-0000-0000-000002C20000}"/>
    <cellStyle name="Normal 78 2 2 2" xfId="35892" xr:uid="{00000000-0005-0000-0000-000003C20000}"/>
    <cellStyle name="Normal 78 2 2 2 2" xfId="35893" xr:uid="{00000000-0005-0000-0000-000004C20000}"/>
    <cellStyle name="Normal 78 2 2 2 2 2" xfId="35894" xr:uid="{00000000-0005-0000-0000-000005C20000}"/>
    <cellStyle name="Normal 78 2 2 2 3" xfId="35895" xr:uid="{00000000-0005-0000-0000-000006C20000}"/>
    <cellStyle name="Normal 78 2 2 2 3 2" xfId="35896" xr:uid="{00000000-0005-0000-0000-000007C20000}"/>
    <cellStyle name="Normal 78 2 2 2 4" xfId="35897" xr:uid="{00000000-0005-0000-0000-000008C20000}"/>
    <cellStyle name="Normal 78 2 2 3" xfId="35898" xr:uid="{00000000-0005-0000-0000-000009C20000}"/>
    <cellStyle name="Normal 78 2 2 3 2" xfId="35899" xr:uid="{00000000-0005-0000-0000-00000AC20000}"/>
    <cellStyle name="Normal 78 2 2 3 2 2" xfId="35900" xr:uid="{00000000-0005-0000-0000-00000BC20000}"/>
    <cellStyle name="Normal 78 2 2 3 3" xfId="35901" xr:uid="{00000000-0005-0000-0000-00000CC20000}"/>
    <cellStyle name="Normal 78 2 2 3 3 2" xfId="35902" xr:uid="{00000000-0005-0000-0000-00000DC20000}"/>
    <cellStyle name="Normal 78 2 2 3 4" xfId="35903" xr:uid="{00000000-0005-0000-0000-00000EC20000}"/>
    <cellStyle name="Normal 78 2 2 4" xfId="35904" xr:uid="{00000000-0005-0000-0000-00000FC20000}"/>
    <cellStyle name="Normal 78 2 2 4 2" xfId="35905" xr:uid="{00000000-0005-0000-0000-000010C20000}"/>
    <cellStyle name="Normal 78 2 2 5" xfId="35906" xr:uid="{00000000-0005-0000-0000-000011C20000}"/>
    <cellStyle name="Normal 78 2 2 5 2" xfId="35907" xr:uid="{00000000-0005-0000-0000-000012C20000}"/>
    <cellStyle name="Normal 78 2 2 6" xfId="35908" xr:uid="{00000000-0005-0000-0000-000013C20000}"/>
    <cellStyle name="Normal 78 2 3" xfId="35909" xr:uid="{00000000-0005-0000-0000-000014C20000}"/>
    <cellStyle name="Normal 78 2 3 2" xfId="35910" xr:uid="{00000000-0005-0000-0000-000015C20000}"/>
    <cellStyle name="Normal 78 2 3 2 2" xfId="35911" xr:uid="{00000000-0005-0000-0000-000016C20000}"/>
    <cellStyle name="Normal 78 2 3 3" xfId="35912" xr:uid="{00000000-0005-0000-0000-000017C20000}"/>
    <cellStyle name="Normal 78 2 3 3 2" xfId="35913" xr:uid="{00000000-0005-0000-0000-000018C20000}"/>
    <cellStyle name="Normal 78 2 3 4" xfId="35914" xr:uid="{00000000-0005-0000-0000-000019C20000}"/>
    <cellStyle name="Normal 78 2 4" xfId="35915" xr:uid="{00000000-0005-0000-0000-00001AC20000}"/>
    <cellStyle name="Normal 78 2 4 2" xfId="35916" xr:uid="{00000000-0005-0000-0000-00001BC20000}"/>
    <cellStyle name="Normal 78 2 4 2 2" xfId="35917" xr:uid="{00000000-0005-0000-0000-00001CC20000}"/>
    <cellStyle name="Normal 78 2 4 3" xfId="35918" xr:uid="{00000000-0005-0000-0000-00001DC20000}"/>
    <cellStyle name="Normal 78 2 4 3 2" xfId="35919" xr:uid="{00000000-0005-0000-0000-00001EC20000}"/>
    <cellStyle name="Normal 78 2 4 4" xfId="35920" xr:uid="{00000000-0005-0000-0000-00001FC20000}"/>
    <cellStyle name="Normal 78 2 5" xfId="35921" xr:uid="{00000000-0005-0000-0000-000020C20000}"/>
    <cellStyle name="Normal 78 2 5 2" xfId="35922" xr:uid="{00000000-0005-0000-0000-000021C20000}"/>
    <cellStyle name="Normal 78 2 5 2 2" xfId="35923" xr:uid="{00000000-0005-0000-0000-000022C20000}"/>
    <cellStyle name="Normal 78 2 5 3" xfId="35924" xr:uid="{00000000-0005-0000-0000-000023C20000}"/>
    <cellStyle name="Normal 78 2 5 3 2" xfId="35925" xr:uid="{00000000-0005-0000-0000-000024C20000}"/>
    <cellStyle name="Normal 78 2 5 4" xfId="35926" xr:uid="{00000000-0005-0000-0000-000025C20000}"/>
    <cellStyle name="Normal 78 2 6" xfId="35927" xr:uid="{00000000-0005-0000-0000-000026C20000}"/>
    <cellStyle name="Normal 78 2 6 2" xfId="35928" xr:uid="{00000000-0005-0000-0000-000027C20000}"/>
    <cellStyle name="Normal 78 2 6 2 2" xfId="35929" xr:uid="{00000000-0005-0000-0000-000028C20000}"/>
    <cellStyle name="Normal 78 2 6 3" xfId="35930" xr:uid="{00000000-0005-0000-0000-000029C20000}"/>
    <cellStyle name="Normal 78 2 6 3 2" xfId="35931" xr:uid="{00000000-0005-0000-0000-00002AC20000}"/>
    <cellStyle name="Normal 78 2 6 4" xfId="35932" xr:uid="{00000000-0005-0000-0000-00002BC20000}"/>
    <cellStyle name="Normal 78 2 7" xfId="35933" xr:uid="{00000000-0005-0000-0000-00002CC20000}"/>
    <cellStyle name="Normal 78 2 7 2" xfId="35934" xr:uid="{00000000-0005-0000-0000-00002DC20000}"/>
    <cellStyle name="Normal 78 2 7 2 2" xfId="35935" xr:uid="{00000000-0005-0000-0000-00002EC20000}"/>
    <cellStyle name="Normal 78 2 7 3" xfId="35936" xr:uid="{00000000-0005-0000-0000-00002FC20000}"/>
    <cellStyle name="Normal 78 2 7 3 2" xfId="35937" xr:uid="{00000000-0005-0000-0000-000030C20000}"/>
    <cellStyle name="Normal 78 2 7 4" xfId="35938" xr:uid="{00000000-0005-0000-0000-000031C20000}"/>
    <cellStyle name="Normal 78 2 8" xfId="35939" xr:uid="{00000000-0005-0000-0000-000032C20000}"/>
    <cellStyle name="Normal 78 2 8 2" xfId="35940" xr:uid="{00000000-0005-0000-0000-000033C20000}"/>
    <cellStyle name="Normal 78 2 8 2 2" xfId="35941" xr:uid="{00000000-0005-0000-0000-000034C20000}"/>
    <cellStyle name="Normal 78 2 8 3" xfId="35942" xr:uid="{00000000-0005-0000-0000-000035C20000}"/>
    <cellStyle name="Normal 78 2 9" xfId="35943" xr:uid="{00000000-0005-0000-0000-000036C20000}"/>
    <cellStyle name="Normal 78 2 9 2" xfId="35944" xr:uid="{00000000-0005-0000-0000-000037C20000}"/>
    <cellStyle name="Normal 78 3" xfId="35945" xr:uid="{00000000-0005-0000-0000-000038C20000}"/>
    <cellStyle name="Normal 78 3 2" xfId="35946" xr:uid="{00000000-0005-0000-0000-000039C20000}"/>
    <cellStyle name="Normal 78 3 2 2" xfId="35947" xr:uid="{00000000-0005-0000-0000-00003AC20000}"/>
    <cellStyle name="Normal 78 3 2 2 2" xfId="35948" xr:uid="{00000000-0005-0000-0000-00003BC20000}"/>
    <cellStyle name="Normal 78 3 2 3" xfId="35949" xr:uid="{00000000-0005-0000-0000-00003CC20000}"/>
    <cellStyle name="Normal 78 3 2 3 2" xfId="35950" xr:uid="{00000000-0005-0000-0000-00003DC20000}"/>
    <cellStyle name="Normal 78 3 2 4" xfId="35951" xr:uid="{00000000-0005-0000-0000-00003EC20000}"/>
    <cellStyle name="Normal 78 3 3" xfId="35952" xr:uid="{00000000-0005-0000-0000-00003FC20000}"/>
    <cellStyle name="Normal 78 3 3 2" xfId="35953" xr:uid="{00000000-0005-0000-0000-000040C20000}"/>
    <cellStyle name="Normal 78 3 3 2 2" xfId="35954" xr:uid="{00000000-0005-0000-0000-000041C20000}"/>
    <cellStyle name="Normal 78 3 3 3" xfId="35955" xr:uid="{00000000-0005-0000-0000-000042C20000}"/>
    <cellStyle name="Normal 78 3 3 3 2" xfId="35956" xr:uid="{00000000-0005-0000-0000-000043C20000}"/>
    <cellStyle name="Normal 78 3 3 4" xfId="35957" xr:uid="{00000000-0005-0000-0000-000044C20000}"/>
    <cellStyle name="Normal 78 3 4" xfId="35958" xr:uid="{00000000-0005-0000-0000-000045C20000}"/>
    <cellStyle name="Normal 78 3 4 2" xfId="35959" xr:uid="{00000000-0005-0000-0000-000046C20000}"/>
    <cellStyle name="Normal 78 3 5" xfId="35960" xr:uid="{00000000-0005-0000-0000-000047C20000}"/>
    <cellStyle name="Normal 78 3 5 2" xfId="35961" xr:uid="{00000000-0005-0000-0000-000048C20000}"/>
    <cellStyle name="Normal 78 3 6" xfId="35962" xr:uid="{00000000-0005-0000-0000-000049C20000}"/>
    <cellStyle name="Normal 78 4" xfId="35963" xr:uid="{00000000-0005-0000-0000-00004AC20000}"/>
    <cellStyle name="Normal 78 4 2" xfId="35964" xr:uid="{00000000-0005-0000-0000-00004BC20000}"/>
    <cellStyle name="Normal 78 4 2 2" xfId="35965" xr:uid="{00000000-0005-0000-0000-00004CC20000}"/>
    <cellStyle name="Normal 78 4 3" xfId="35966" xr:uid="{00000000-0005-0000-0000-00004DC20000}"/>
    <cellStyle name="Normal 78 4 3 2" xfId="35967" xr:uid="{00000000-0005-0000-0000-00004EC20000}"/>
    <cellStyle name="Normal 78 4 4" xfId="35968" xr:uid="{00000000-0005-0000-0000-00004FC20000}"/>
    <cellStyle name="Normal 78 5" xfId="35969" xr:uid="{00000000-0005-0000-0000-000050C20000}"/>
    <cellStyle name="Normal 78 5 2" xfId="35970" xr:uid="{00000000-0005-0000-0000-000051C20000}"/>
    <cellStyle name="Normal 78 5 2 2" xfId="35971" xr:uid="{00000000-0005-0000-0000-000052C20000}"/>
    <cellStyle name="Normal 78 5 3" xfId="35972" xr:uid="{00000000-0005-0000-0000-000053C20000}"/>
    <cellStyle name="Normal 78 5 3 2" xfId="35973" xr:uid="{00000000-0005-0000-0000-000054C20000}"/>
    <cellStyle name="Normal 78 5 4" xfId="35974" xr:uid="{00000000-0005-0000-0000-000055C20000}"/>
    <cellStyle name="Normal 78 6" xfId="35975" xr:uid="{00000000-0005-0000-0000-000056C20000}"/>
    <cellStyle name="Normal 78 6 2" xfId="35976" xr:uid="{00000000-0005-0000-0000-000057C20000}"/>
    <cellStyle name="Normal 78 6 2 2" xfId="35977" xr:uid="{00000000-0005-0000-0000-000058C20000}"/>
    <cellStyle name="Normal 78 6 3" xfId="35978" xr:uid="{00000000-0005-0000-0000-000059C20000}"/>
    <cellStyle name="Normal 78 6 3 2" xfId="35979" xr:uid="{00000000-0005-0000-0000-00005AC20000}"/>
    <cellStyle name="Normal 78 6 4" xfId="35980" xr:uid="{00000000-0005-0000-0000-00005BC20000}"/>
    <cellStyle name="Normal 78 7" xfId="35981" xr:uid="{00000000-0005-0000-0000-00005CC20000}"/>
    <cellStyle name="Normal 78 7 2" xfId="35982" xr:uid="{00000000-0005-0000-0000-00005DC20000}"/>
    <cellStyle name="Normal 78 7 2 2" xfId="35983" xr:uid="{00000000-0005-0000-0000-00005EC20000}"/>
    <cellStyle name="Normal 78 7 3" xfId="35984" xr:uid="{00000000-0005-0000-0000-00005FC20000}"/>
    <cellStyle name="Normal 78 7 3 2" xfId="35985" xr:uid="{00000000-0005-0000-0000-000060C20000}"/>
    <cellStyle name="Normal 78 7 4" xfId="35986" xr:uid="{00000000-0005-0000-0000-000061C20000}"/>
    <cellStyle name="Normal 78 8" xfId="35987" xr:uid="{00000000-0005-0000-0000-000062C20000}"/>
    <cellStyle name="Normal 78 8 2" xfId="35988" xr:uid="{00000000-0005-0000-0000-000063C20000}"/>
    <cellStyle name="Normal 78 8 2 2" xfId="35989" xr:uid="{00000000-0005-0000-0000-000064C20000}"/>
    <cellStyle name="Normal 78 8 3" xfId="35990" xr:uid="{00000000-0005-0000-0000-000065C20000}"/>
    <cellStyle name="Normal 78 8 3 2" xfId="35991" xr:uid="{00000000-0005-0000-0000-000066C20000}"/>
    <cellStyle name="Normal 78 8 4" xfId="35992" xr:uid="{00000000-0005-0000-0000-000067C20000}"/>
    <cellStyle name="Normal 78 9" xfId="35993" xr:uid="{00000000-0005-0000-0000-000068C20000}"/>
    <cellStyle name="Normal 78 9 2" xfId="35994" xr:uid="{00000000-0005-0000-0000-000069C20000}"/>
    <cellStyle name="Normal 78 9 2 2" xfId="35995" xr:uid="{00000000-0005-0000-0000-00006AC20000}"/>
    <cellStyle name="Normal 78 9 3" xfId="35996" xr:uid="{00000000-0005-0000-0000-00006BC20000}"/>
    <cellStyle name="Normal 79" xfId="35997" xr:uid="{00000000-0005-0000-0000-00006CC20000}"/>
    <cellStyle name="Normal 79 10" xfId="35998" xr:uid="{00000000-0005-0000-0000-00006DC20000}"/>
    <cellStyle name="Normal 79 10 2" xfId="35999" xr:uid="{00000000-0005-0000-0000-00006EC20000}"/>
    <cellStyle name="Normal 79 11" xfId="36000" xr:uid="{00000000-0005-0000-0000-00006FC20000}"/>
    <cellStyle name="Normal 79 11 2" xfId="36001" xr:uid="{00000000-0005-0000-0000-000070C20000}"/>
    <cellStyle name="Normal 79 12" xfId="36002" xr:uid="{00000000-0005-0000-0000-000071C20000}"/>
    <cellStyle name="Normal 79 13" xfId="36003" xr:uid="{00000000-0005-0000-0000-000072C20000}"/>
    <cellStyle name="Normal 79 2" xfId="36004" xr:uid="{00000000-0005-0000-0000-000073C20000}"/>
    <cellStyle name="Normal 79 2 10" xfId="36005" xr:uid="{00000000-0005-0000-0000-000074C20000}"/>
    <cellStyle name="Normal 79 2 10 2" xfId="36006" xr:uid="{00000000-0005-0000-0000-000075C20000}"/>
    <cellStyle name="Normal 79 2 11" xfId="36007" xr:uid="{00000000-0005-0000-0000-000076C20000}"/>
    <cellStyle name="Normal 79 2 2" xfId="36008" xr:uid="{00000000-0005-0000-0000-000077C20000}"/>
    <cellStyle name="Normal 79 2 2 2" xfId="36009" xr:uid="{00000000-0005-0000-0000-000078C20000}"/>
    <cellStyle name="Normal 79 2 2 2 2" xfId="36010" xr:uid="{00000000-0005-0000-0000-000079C20000}"/>
    <cellStyle name="Normal 79 2 2 2 2 2" xfId="36011" xr:uid="{00000000-0005-0000-0000-00007AC20000}"/>
    <cellStyle name="Normal 79 2 2 2 3" xfId="36012" xr:uid="{00000000-0005-0000-0000-00007BC20000}"/>
    <cellStyle name="Normal 79 2 2 2 3 2" xfId="36013" xr:uid="{00000000-0005-0000-0000-00007CC20000}"/>
    <cellStyle name="Normal 79 2 2 2 4" xfId="36014" xr:uid="{00000000-0005-0000-0000-00007DC20000}"/>
    <cellStyle name="Normal 79 2 2 3" xfId="36015" xr:uid="{00000000-0005-0000-0000-00007EC20000}"/>
    <cellStyle name="Normal 79 2 2 3 2" xfId="36016" xr:uid="{00000000-0005-0000-0000-00007FC20000}"/>
    <cellStyle name="Normal 79 2 2 3 2 2" xfId="36017" xr:uid="{00000000-0005-0000-0000-000080C20000}"/>
    <cellStyle name="Normal 79 2 2 3 3" xfId="36018" xr:uid="{00000000-0005-0000-0000-000081C20000}"/>
    <cellStyle name="Normal 79 2 2 3 3 2" xfId="36019" xr:uid="{00000000-0005-0000-0000-000082C20000}"/>
    <cellStyle name="Normal 79 2 2 3 4" xfId="36020" xr:uid="{00000000-0005-0000-0000-000083C20000}"/>
    <cellStyle name="Normal 79 2 2 4" xfId="36021" xr:uid="{00000000-0005-0000-0000-000084C20000}"/>
    <cellStyle name="Normal 79 2 2 4 2" xfId="36022" xr:uid="{00000000-0005-0000-0000-000085C20000}"/>
    <cellStyle name="Normal 79 2 2 5" xfId="36023" xr:uid="{00000000-0005-0000-0000-000086C20000}"/>
    <cellStyle name="Normal 79 2 2 5 2" xfId="36024" xr:uid="{00000000-0005-0000-0000-000087C20000}"/>
    <cellStyle name="Normal 79 2 2 6" xfId="36025" xr:uid="{00000000-0005-0000-0000-000088C20000}"/>
    <cellStyle name="Normal 79 2 3" xfId="36026" xr:uid="{00000000-0005-0000-0000-000089C20000}"/>
    <cellStyle name="Normal 79 2 3 2" xfId="36027" xr:uid="{00000000-0005-0000-0000-00008AC20000}"/>
    <cellStyle name="Normal 79 2 3 2 2" xfId="36028" xr:uid="{00000000-0005-0000-0000-00008BC20000}"/>
    <cellStyle name="Normal 79 2 3 3" xfId="36029" xr:uid="{00000000-0005-0000-0000-00008CC20000}"/>
    <cellStyle name="Normal 79 2 3 3 2" xfId="36030" xr:uid="{00000000-0005-0000-0000-00008DC20000}"/>
    <cellStyle name="Normal 79 2 3 4" xfId="36031" xr:uid="{00000000-0005-0000-0000-00008EC20000}"/>
    <cellStyle name="Normal 79 2 4" xfId="36032" xr:uid="{00000000-0005-0000-0000-00008FC20000}"/>
    <cellStyle name="Normal 79 2 4 2" xfId="36033" xr:uid="{00000000-0005-0000-0000-000090C20000}"/>
    <cellStyle name="Normal 79 2 4 2 2" xfId="36034" xr:uid="{00000000-0005-0000-0000-000091C20000}"/>
    <cellStyle name="Normal 79 2 4 3" xfId="36035" xr:uid="{00000000-0005-0000-0000-000092C20000}"/>
    <cellStyle name="Normal 79 2 4 3 2" xfId="36036" xr:uid="{00000000-0005-0000-0000-000093C20000}"/>
    <cellStyle name="Normal 79 2 4 4" xfId="36037" xr:uid="{00000000-0005-0000-0000-000094C20000}"/>
    <cellStyle name="Normal 79 2 5" xfId="36038" xr:uid="{00000000-0005-0000-0000-000095C20000}"/>
    <cellStyle name="Normal 79 2 5 2" xfId="36039" xr:uid="{00000000-0005-0000-0000-000096C20000}"/>
    <cellStyle name="Normal 79 2 5 2 2" xfId="36040" xr:uid="{00000000-0005-0000-0000-000097C20000}"/>
    <cellStyle name="Normal 79 2 5 3" xfId="36041" xr:uid="{00000000-0005-0000-0000-000098C20000}"/>
    <cellStyle name="Normal 79 2 5 3 2" xfId="36042" xr:uid="{00000000-0005-0000-0000-000099C20000}"/>
    <cellStyle name="Normal 79 2 5 4" xfId="36043" xr:uid="{00000000-0005-0000-0000-00009AC20000}"/>
    <cellStyle name="Normal 79 2 6" xfId="36044" xr:uid="{00000000-0005-0000-0000-00009BC20000}"/>
    <cellStyle name="Normal 79 2 6 2" xfId="36045" xr:uid="{00000000-0005-0000-0000-00009CC20000}"/>
    <cellStyle name="Normal 79 2 6 2 2" xfId="36046" xr:uid="{00000000-0005-0000-0000-00009DC20000}"/>
    <cellStyle name="Normal 79 2 6 3" xfId="36047" xr:uid="{00000000-0005-0000-0000-00009EC20000}"/>
    <cellStyle name="Normal 79 2 6 3 2" xfId="36048" xr:uid="{00000000-0005-0000-0000-00009FC20000}"/>
    <cellStyle name="Normal 79 2 6 4" xfId="36049" xr:uid="{00000000-0005-0000-0000-0000A0C20000}"/>
    <cellStyle name="Normal 79 2 7" xfId="36050" xr:uid="{00000000-0005-0000-0000-0000A1C20000}"/>
    <cellStyle name="Normal 79 2 7 2" xfId="36051" xr:uid="{00000000-0005-0000-0000-0000A2C20000}"/>
    <cellStyle name="Normal 79 2 7 2 2" xfId="36052" xr:uid="{00000000-0005-0000-0000-0000A3C20000}"/>
    <cellStyle name="Normal 79 2 7 3" xfId="36053" xr:uid="{00000000-0005-0000-0000-0000A4C20000}"/>
    <cellStyle name="Normal 79 2 7 3 2" xfId="36054" xr:uid="{00000000-0005-0000-0000-0000A5C20000}"/>
    <cellStyle name="Normal 79 2 7 4" xfId="36055" xr:uid="{00000000-0005-0000-0000-0000A6C20000}"/>
    <cellStyle name="Normal 79 2 8" xfId="36056" xr:uid="{00000000-0005-0000-0000-0000A7C20000}"/>
    <cellStyle name="Normal 79 2 8 2" xfId="36057" xr:uid="{00000000-0005-0000-0000-0000A8C20000}"/>
    <cellStyle name="Normal 79 2 8 2 2" xfId="36058" xr:uid="{00000000-0005-0000-0000-0000A9C20000}"/>
    <cellStyle name="Normal 79 2 8 3" xfId="36059" xr:uid="{00000000-0005-0000-0000-0000AAC20000}"/>
    <cellStyle name="Normal 79 2 9" xfId="36060" xr:uid="{00000000-0005-0000-0000-0000ABC20000}"/>
    <cellStyle name="Normal 79 2 9 2" xfId="36061" xr:uid="{00000000-0005-0000-0000-0000ACC20000}"/>
    <cellStyle name="Normal 79 3" xfId="36062" xr:uid="{00000000-0005-0000-0000-0000ADC20000}"/>
    <cellStyle name="Normal 79 3 2" xfId="36063" xr:uid="{00000000-0005-0000-0000-0000AEC20000}"/>
    <cellStyle name="Normal 79 3 2 2" xfId="36064" xr:uid="{00000000-0005-0000-0000-0000AFC20000}"/>
    <cellStyle name="Normal 79 3 2 2 2" xfId="36065" xr:uid="{00000000-0005-0000-0000-0000B0C20000}"/>
    <cellStyle name="Normal 79 3 2 3" xfId="36066" xr:uid="{00000000-0005-0000-0000-0000B1C20000}"/>
    <cellStyle name="Normal 79 3 2 3 2" xfId="36067" xr:uid="{00000000-0005-0000-0000-0000B2C20000}"/>
    <cellStyle name="Normal 79 3 2 4" xfId="36068" xr:uid="{00000000-0005-0000-0000-0000B3C20000}"/>
    <cellStyle name="Normal 79 3 3" xfId="36069" xr:uid="{00000000-0005-0000-0000-0000B4C20000}"/>
    <cellStyle name="Normal 79 3 3 2" xfId="36070" xr:uid="{00000000-0005-0000-0000-0000B5C20000}"/>
    <cellStyle name="Normal 79 3 3 2 2" xfId="36071" xr:uid="{00000000-0005-0000-0000-0000B6C20000}"/>
    <cellStyle name="Normal 79 3 3 3" xfId="36072" xr:uid="{00000000-0005-0000-0000-0000B7C20000}"/>
    <cellStyle name="Normal 79 3 3 3 2" xfId="36073" xr:uid="{00000000-0005-0000-0000-0000B8C20000}"/>
    <cellStyle name="Normal 79 3 3 4" xfId="36074" xr:uid="{00000000-0005-0000-0000-0000B9C20000}"/>
    <cellStyle name="Normal 79 3 4" xfId="36075" xr:uid="{00000000-0005-0000-0000-0000BAC20000}"/>
    <cellStyle name="Normal 79 3 4 2" xfId="36076" xr:uid="{00000000-0005-0000-0000-0000BBC20000}"/>
    <cellStyle name="Normal 79 3 5" xfId="36077" xr:uid="{00000000-0005-0000-0000-0000BCC20000}"/>
    <cellStyle name="Normal 79 3 5 2" xfId="36078" xr:uid="{00000000-0005-0000-0000-0000BDC20000}"/>
    <cellStyle name="Normal 79 3 6" xfId="36079" xr:uid="{00000000-0005-0000-0000-0000BEC20000}"/>
    <cellStyle name="Normal 79 4" xfId="36080" xr:uid="{00000000-0005-0000-0000-0000BFC20000}"/>
    <cellStyle name="Normal 79 4 2" xfId="36081" xr:uid="{00000000-0005-0000-0000-0000C0C20000}"/>
    <cellStyle name="Normal 79 4 2 2" xfId="36082" xr:uid="{00000000-0005-0000-0000-0000C1C20000}"/>
    <cellStyle name="Normal 79 4 3" xfId="36083" xr:uid="{00000000-0005-0000-0000-0000C2C20000}"/>
    <cellStyle name="Normal 79 4 3 2" xfId="36084" xr:uid="{00000000-0005-0000-0000-0000C3C20000}"/>
    <cellStyle name="Normal 79 4 4" xfId="36085" xr:uid="{00000000-0005-0000-0000-0000C4C20000}"/>
    <cellStyle name="Normal 79 5" xfId="36086" xr:uid="{00000000-0005-0000-0000-0000C5C20000}"/>
    <cellStyle name="Normal 79 5 2" xfId="36087" xr:uid="{00000000-0005-0000-0000-0000C6C20000}"/>
    <cellStyle name="Normal 79 5 2 2" xfId="36088" xr:uid="{00000000-0005-0000-0000-0000C7C20000}"/>
    <cellStyle name="Normal 79 5 3" xfId="36089" xr:uid="{00000000-0005-0000-0000-0000C8C20000}"/>
    <cellStyle name="Normal 79 5 3 2" xfId="36090" xr:uid="{00000000-0005-0000-0000-0000C9C20000}"/>
    <cellStyle name="Normal 79 5 4" xfId="36091" xr:uid="{00000000-0005-0000-0000-0000CAC20000}"/>
    <cellStyle name="Normal 79 6" xfId="36092" xr:uid="{00000000-0005-0000-0000-0000CBC20000}"/>
    <cellStyle name="Normal 79 6 2" xfId="36093" xr:uid="{00000000-0005-0000-0000-0000CCC20000}"/>
    <cellStyle name="Normal 79 6 2 2" xfId="36094" xr:uid="{00000000-0005-0000-0000-0000CDC20000}"/>
    <cellStyle name="Normal 79 6 3" xfId="36095" xr:uid="{00000000-0005-0000-0000-0000CEC20000}"/>
    <cellStyle name="Normal 79 6 3 2" xfId="36096" xr:uid="{00000000-0005-0000-0000-0000CFC20000}"/>
    <cellStyle name="Normal 79 6 4" xfId="36097" xr:uid="{00000000-0005-0000-0000-0000D0C20000}"/>
    <cellStyle name="Normal 79 7" xfId="36098" xr:uid="{00000000-0005-0000-0000-0000D1C20000}"/>
    <cellStyle name="Normal 79 7 2" xfId="36099" xr:uid="{00000000-0005-0000-0000-0000D2C20000}"/>
    <cellStyle name="Normal 79 7 2 2" xfId="36100" xr:uid="{00000000-0005-0000-0000-0000D3C20000}"/>
    <cellStyle name="Normal 79 7 3" xfId="36101" xr:uid="{00000000-0005-0000-0000-0000D4C20000}"/>
    <cellStyle name="Normal 79 7 3 2" xfId="36102" xr:uid="{00000000-0005-0000-0000-0000D5C20000}"/>
    <cellStyle name="Normal 79 7 4" xfId="36103" xr:uid="{00000000-0005-0000-0000-0000D6C20000}"/>
    <cellStyle name="Normal 79 8" xfId="36104" xr:uid="{00000000-0005-0000-0000-0000D7C20000}"/>
    <cellStyle name="Normal 79 8 2" xfId="36105" xr:uid="{00000000-0005-0000-0000-0000D8C20000}"/>
    <cellStyle name="Normal 79 8 2 2" xfId="36106" xr:uid="{00000000-0005-0000-0000-0000D9C20000}"/>
    <cellStyle name="Normal 79 8 3" xfId="36107" xr:uid="{00000000-0005-0000-0000-0000DAC20000}"/>
    <cellStyle name="Normal 79 8 3 2" xfId="36108" xr:uid="{00000000-0005-0000-0000-0000DBC20000}"/>
    <cellStyle name="Normal 79 8 4" xfId="36109" xr:uid="{00000000-0005-0000-0000-0000DCC20000}"/>
    <cellStyle name="Normal 79 9" xfId="36110" xr:uid="{00000000-0005-0000-0000-0000DDC20000}"/>
    <cellStyle name="Normal 79 9 2" xfId="36111" xr:uid="{00000000-0005-0000-0000-0000DEC20000}"/>
    <cellStyle name="Normal 79 9 2 2" xfId="36112" xr:uid="{00000000-0005-0000-0000-0000DFC20000}"/>
    <cellStyle name="Normal 79 9 3" xfId="36113" xr:uid="{00000000-0005-0000-0000-0000E0C20000}"/>
    <cellStyle name="Normal 8" xfId="36114" xr:uid="{00000000-0005-0000-0000-0000E1C20000}"/>
    <cellStyle name="Normal 8 10" xfId="36115" xr:uid="{00000000-0005-0000-0000-0000E2C20000}"/>
    <cellStyle name="Normal 8 10 2" xfId="36116" xr:uid="{00000000-0005-0000-0000-0000E3C20000}"/>
    <cellStyle name="Normal 8 10 2 2" xfId="36117" xr:uid="{00000000-0005-0000-0000-0000E4C20000}"/>
    <cellStyle name="Normal 8 10 2 2 2" xfId="36118" xr:uid="{00000000-0005-0000-0000-0000E5C20000}"/>
    <cellStyle name="Normal 8 10 2 2 2 2" xfId="59799" xr:uid="{00000000-0005-0000-0000-0000E6C20000}"/>
    <cellStyle name="Normal 8 10 2 2 2 3" xfId="59800" xr:uid="{00000000-0005-0000-0000-0000E7C20000}"/>
    <cellStyle name="Normal 8 10 2 2 3" xfId="36119" xr:uid="{00000000-0005-0000-0000-0000E8C20000}"/>
    <cellStyle name="Normal 8 10 2 2 3 2" xfId="59801" xr:uid="{00000000-0005-0000-0000-0000E9C20000}"/>
    <cellStyle name="Normal 8 10 2 2 4" xfId="36120" xr:uid="{00000000-0005-0000-0000-0000EAC20000}"/>
    <cellStyle name="Normal 8 10 2 2 5" xfId="36121" xr:uid="{00000000-0005-0000-0000-0000EBC20000}"/>
    <cellStyle name="Normal 8 10 2 2 6" xfId="36122" xr:uid="{00000000-0005-0000-0000-0000ECC20000}"/>
    <cellStyle name="Normal 8 10 2 3" xfId="36123" xr:uid="{00000000-0005-0000-0000-0000EDC20000}"/>
    <cellStyle name="Normal 8 10 2 3 2" xfId="59802" xr:uid="{00000000-0005-0000-0000-0000EEC20000}"/>
    <cellStyle name="Normal 8 10 2 3 3" xfId="59803" xr:uid="{00000000-0005-0000-0000-0000EFC20000}"/>
    <cellStyle name="Normal 8 10 2 4" xfId="36124" xr:uid="{00000000-0005-0000-0000-0000F0C20000}"/>
    <cellStyle name="Normal 8 10 2 4 2" xfId="59804" xr:uid="{00000000-0005-0000-0000-0000F1C20000}"/>
    <cellStyle name="Normal 8 10 2 5" xfId="36125" xr:uid="{00000000-0005-0000-0000-0000F2C20000}"/>
    <cellStyle name="Normal 8 10 2 6" xfId="36126" xr:uid="{00000000-0005-0000-0000-0000F3C20000}"/>
    <cellStyle name="Normal 8 10 2 7" xfId="36127" xr:uid="{00000000-0005-0000-0000-0000F4C20000}"/>
    <cellStyle name="Normal 8 10 3" xfId="36128" xr:uid="{00000000-0005-0000-0000-0000F5C20000}"/>
    <cellStyle name="Normal 8 10 3 2" xfId="36129" xr:uid="{00000000-0005-0000-0000-0000F6C20000}"/>
    <cellStyle name="Normal 8 10 3 2 2" xfId="59805" xr:uid="{00000000-0005-0000-0000-0000F7C20000}"/>
    <cellStyle name="Normal 8 10 3 2 3" xfId="59806" xr:uid="{00000000-0005-0000-0000-0000F8C20000}"/>
    <cellStyle name="Normal 8 10 3 3" xfId="36130" xr:uid="{00000000-0005-0000-0000-0000F9C20000}"/>
    <cellStyle name="Normal 8 10 3 3 2" xfId="59807" xr:uid="{00000000-0005-0000-0000-0000FAC20000}"/>
    <cellStyle name="Normal 8 10 3 4" xfId="36131" xr:uid="{00000000-0005-0000-0000-0000FBC20000}"/>
    <cellStyle name="Normal 8 10 3 5" xfId="36132" xr:uid="{00000000-0005-0000-0000-0000FCC20000}"/>
    <cellStyle name="Normal 8 10 3 6" xfId="36133" xr:uid="{00000000-0005-0000-0000-0000FDC20000}"/>
    <cellStyle name="Normal 8 10 4" xfId="36134" xr:uid="{00000000-0005-0000-0000-0000FEC20000}"/>
    <cellStyle name="Normal 8 10 4 2" xfId="59808" xr:uid="{00000000-0005-0000-0000-0000FFC20000}"/>
    <cellStyle name="Normal 8 10 4 3" xfId="59809" xr:uid="{00000000-0005-0000-0000-000000C30000}"/>
    <cellStyle name="Normal 8 10 5" xfId="36135" xr:uid="{00000000-0005-0000-0000-000001C30000}"/>
    <cellStyle name="Normal 8 10 5 2" xfId="59810" xr:uid="{00000000-0005-0000-0000-000002C30000}"/>
    <cellStyle name="Normal 8 10 6" xfId="36136" xr:uid="{00000000-0005-0000-0000-000003C30000}"/>
    <cellStyle name="Normal 8 10 7" xfId="36137" xr:uid="{00000000-0005-0000-0000-000004C30000}"/>
    <cellStyle name="Normal 8 10 8" xfId="36138" xr:uid="{00000000-0005-0000-0000-000005C30000}"/>
    <cellStyle name="Normal 8 11" xfId="36139" xr:uid="{00000000-0005-0000-0000-000006C30000}"/>
    <cellStyle name="Normal 8 11 2" xfId="36140" xr:uid="{00000000-0005-0000-0000-000007C30000}"/>
    <cellStyle name="Normal 8 11 2 2" xfId="36141" xr:uid="{00000000-0005-0000-0000-000008C30000}"/>
    <cellStyle name="Normal 8 11 2 2 2" xfId="36142" xr:uid="{00000000-0005-0000-0000-000009C30000}"/>
    <cellStyle name="Normal 8 11 2 2 2 2" xfId="59811" xr:uid="{00000000-0005-0000-0000-00000AC30000}"/>
    <cellStyle name="Normal 8 11 2 2 2 3" xfId="59812" xr:uid="{00000000-0005-0000-0000-00000BC30000}"/>
    <cellStyle name="Normal 8 11 2 2 3" xfId="36143" xr:uid="{00000000-0005-0000-0000-00000CC30000}"/>
    <cellStyle name="Normal 8 11 2 2 3 2" xfId="59813" xr:uid="{00000000-0005-0000-0000-00000DC30000}"/>
    <cellStyle name="Normal 8 11 2 2 4" xfId="36144" xr:uid="{00000000-0005-0000-0000-00000EC30000}"/>
    <cellStyle name="Normal 8 11 2 2 5" xfId="36145" xr:uid="{00000000-0005-0000-0000-00000FC30000}"/>
    <cellStyle name="Normal 8 11 2 2 6" xfId="36146" xr:uid="{00000000-0005-0000-0000-000010C30000}"/>
    <cellStyle name="Normal 8 11 2 3" xfId="36147" xr:uid="{00000000-0005-0000-0000-000011C30000}"/>
    <cellStyle name="Normal 8 11 2 3 2" xfId="59814" xr:uid="{00000000-0005-0000-0000-000012C30000}"/>
    <cellStyle name="Normal 8 11 2 3 3" xfId="59815" xr:uid="{00000000-0005-0000-0000-000013C30000}"/>
    <cellStyle name="Normal 8 11 2 4" xfId="36148" xr:uid="{00000000-0005-0000-0000-000014C30000}"/>
    <cellStyle name="Normal 8 11 2 4 2" xfId="59816" xr:uid="{00000000-0005-0000-0000-000015C30000}"/>
    <cellStyle name="Normal 8 11 2 5" xfId="36149" xr:uid="{00000000-0005-0000-0000-000016C30000}"/>
    <cellStyle name="Normal 8 11 2 6" xfId="36150" xr:uid="{00000000-0005-0000-0000-000017C30000}"/>
    <cellStyle name="Normal 8 11 2 7" xfId="36151" xr:uid="{00000000-0005-0000-0000-000018C30000}"/>
    <cellStyle name="Normal 8 11 3" xfId="36152" xr:uid="{00000000-0005-0000-0000-000019C30000}"/>
    <cellStyle name="Normal 8 11 3 2" xfId="36153" xr:uid="{00000000-0005-0000-0000-00001AC30000}"/>
    <cellStyle name="Normal 8 11 3 2 2" xfId="59817" xr:uid="{00000000-0005-0000-0000-00001BC30000}"/>
    <cellStyle name="Normal 8 11 3 2 3" xfId="59818" xr:uid="{00000000-0005-0000-0000-00001CC30000}"/>
    <cellStyle name="Normal 8 11 3 3" xfId="36154" xr:uid="{00000000-0005-0000-0000-00001DC30000}"/>
    <cellStyle name="Normal 8 11 3 3 2" xfId="59819" xr:uid="{00000000-0005-0000-0000-00001EC30000}"/>
    <cellStyle name="Normal 8 11 3 4" xfId="36155" xr:uid="{00000000-0005-0000-0000-00001FC30000}"/>
    <cellStyle name="Normal 8 11 3 5" xfId="36156" xr:uid="{00000000-0005-0000-0000-000020C30000}"/>
    <cellStyle name="Normal 8 11 3 6" xfId="36157" xr:uid="{00000000-0005-0000-0000-000021C30000}"/>
    <cellStyle name="Normal 8 11 4" xfId="36158" xr:uid="{00000000-0005-0000-0000-000022C30000}"/>
    <cellStyle name="Normal 8 11 4 2" xfId="59820" xr:uid="{00000000-0005-0000-0000-000023C30000}"/>
    <cellStyle name="Normal 8 11 4 3" xfId="59821" xr:uid="{00000000-0005-0000-0000-000024C30000}"/>
    <cellStyle name="Normal 8 11 5" xfId="36159" xr:uid="{00000000-0005-0000-0000-000025C30000}"/>
    <cellStyle name="Normal 8 11 5 2" xfId="59822" xr:uid="{00000000-0005-0000-0000-000026C30000}"/>
    <cellStyle name="Normal 8 11 6" xfId="36160" xr:uid="{00000000-0005-0000-0000-000027C30000}"/>
    <cellStyle name="Normal 8 11 7" xfId="36161" xr:uid="{00000000-0005-0000-0000-000028C30000}"/>
    <cellStyle name="Normal 8 11 8" xfId="36162" xr:uid="{00000000-0005-0000-0000-000029C30000}"/>
    <cellStyle name="Normal 8 12" xfId="36163" xr:uid="{00000000-0005-0000-0000-00002AC30000}"/>
    <cellStyle name="Normal 8 12 2" xfId="36164" xr:uid="{00000000-0005-0000-0000-00002BC30000}"/>
    <cellStyle name="Normal 8 12 2 2" xfId="36165" xr:uid="{00000000-0005-0000-0000-00002CC30000}"/>
    <cellStyle name="Normal 8 12 2 2 2" xfId="59823" xr:uid="{00000000-0005-0000-0000-00002DC30000}"/>
    <cellStyle name="Normal 8 12 2 2 3" xfId="59824" xr:uid="{00000000-0005-0000-0000-00002EC30000}"/>
    <cellStyle name="Normal 8 12 2 3" xfId="36166" xr:uid="{00000000-0005-0000-0000-00002FC30000}"/>
    <cellStyle name="Normal 8 12 2 3 2" xfId="59825" xr:uid="{00000000-0005-0000-0000-000030C30000}"/>
    <cellStyle name="Normal 8 12 2 4" xfId="36167" xr:uid="{00000000-0005-0000-0000-000031C30000}"/>
    <cellStyle name="Normal 8 12 2 5" xfId="36168" xr:uid="{00000000-0005-0000-0000-000032C30000}"/>
    <cellStyle name="Normal 8 12 2 6" xfId="36169" xr:uid="{00000000-0005-0000-0000-000033C30000}"/>
    <cellStyle name="Normal 8 12 3" xfId="36170" xr:uid="{00000000-0005-0000-0000-000034C30000}"/>
    <cellStyle name="Normal 8 12 3 2" xfId="59826" xr:uid="{00000000-0005-0000-0000-000035C30000}"/>
    <cellStyle name="Normal 8 12 3 3" xfId="59827" xr:uid="{00000000-0005-0000-0000-000036C30000}"/>
    <cellStyle name="Normal 8 12 4" xfId="36171" xr:uid="{00000000-0005-0000-0000-000037C30000}"/>
    <cellStyle name="Normal 8 12 4 2" xfId="59828" xr:uid="{00000000-0005-0000-0000-000038C30000}"/>
    <cellStyle name="Normal 8 12 5" xfId="36172" xr:uid="{00000000-0005-0000-0000-000039C30000}"/>
    <cellStyle name="Normal 8 12 6" xfId="36173" xr:uid="{00000000-0005-0000-0000-00003AC30000}"/>
    <cellStyle name="Normal 8 12 7" xfId="36174" xr:uid="{00000000-0005-0000-0000-00003BC30000}"/>
    <cellStyle name="Normal 8 13" xfId="36175" xr:uid="{00000000-0005-0000-0000-00003CC30000}"/>
    <cellStyle name="Normal 8 13 2" xfId="36176" xr:uid="{00000000-0005-0000-0000-00003DC30000}"/>
    <cellStyle name="Normal 8 13 2 2" xfId="59829" xr:uid="{00000000-0005-0000-0000-00003EC30000}"/>
    <cellStyle name="Normal 8 13 2 3" xfId="59830" xr:uid="{00000000-0005-0000-0000-00003FC30000}"/>
    <cellStyle name="Normal 8 13 3" xfId="36177" xr:uid="{00000000-0005-0000-0000-000040C30000}"/>
    <cellStyle name="Normal 8 13 3 2" xfId="59831" xr:uid="{00000000-0005-0000-0000-000041C30000}"/>
    <cellStyle name="Normal 8 13 4" xfId="36178" xr:uid="{00000000-0005-0000-0000-000042C30000}"/>
    <cellStyle name="Normal 8 13 5" xfId="36179" xr:uid="{00000000-0005-0000-0000-000043C30000}"/>
    <cellStyle name="Normal 8 13 6" xfId="36180" xr:uid="{00000000-0005-0000-0000-000044C30000}"/>
    <cellStyle name="Normal 8 14" xfId="36181" xr:uid="{00000000-0005-0000-0000-000045C30000}"/>
    <cellStyle name="Normal 8 14 2" xfId="59832" xr:uid="{00000000-0005-0000-0000-000046C30000}"/>
    <cellStyle name="Normal 8 14 3" xfId="59833" xr:uid="{00000000-0005-0000-0000-000047C30000}"/>
    <cellStyle name="Normal 8 15" xfId="36182" xr:uid="{00000000-0005-0000-0000-000048C30000}"/>
    <cellStyle name="Normal 8 15 2" xfId="59834" xr:uid="{00000000-0005-0000-0000-000049C30000}"/>
    <cellStyle name="Normal 8 16" xfId="36183" xr:uid="{00000000-0005-0000-0000-00004AC30000}"/>
    <cellStyle name="Normal 8 16 2" xfId="59835" xr:uid="{00000000-0005-0000-0000-00004BC30000}"/>
    <cellStyle name="Normal 8 17" xfId="36184" xr:uid="{00000000-0005-0000-0000-00004CC30000}"/>
    <cellStyle name="Normal 8 18" xfId="36185" xr:uid="{00000000-0005-0000-0000-00004DC30000}"/>
    <cellStyle name="Normal 8 19" xfId="36186" xr:uid="{00000000-0005-0000-0000-00004EC30000}"/>
    <cellStyle name="Normal 8 2" xfId="36187" xr:uid="{00000000-0005-0000-0000-00004FC30000}"/>
    <cellStyle name="Normal 8 2 10" xfId="36188" xr:uid="{00000000-0005-0000-0000-000050C30000}"/>
    <cellStyle name="Normal 8 2 10 2" xfId="36189" xr:uid="{00000000-0005-0000-0000-000051C30000}"/>
    <cellStyle name="Normal 8 2 10 2 2" xfId="36190" xr:uid="{00000000-0005-0000-0000-000052C30000}"/>
    <cellStyle name="Normal 8 2 10 2 2 2" xfId="59836" xr:uid="{00000000-0005-0000-0000-000053C30000}"/>
    <cellStyle name="Normal 8 2 10 2 2 3" xfId="59837" xr:uid="{00000000-0005-0000-0000-000054C30000}"/>
    <cellStyle name="Normal 8 2 10 2 3" xfId="36191" xr:uid="{00000000-0005-0000-0000-000055C30000}"/>
    <cellStyle name="Normal 8 2 10 2 3 2" xfId="59838" xr:uid="{00000000-0005-0000-0000-000056C30000}"/>
    <cellStyle name="Normal 8 2 10 2 4" xfId="36192" xr:uid="{00000000-0005-0000-0000-000057C30000}"/>
    <cellStyle name="Normal 8 2 10 2 5" xfId="36193" xr:uid="{00000000-0005-0000-0000-000058C30000}"/>
    <cellStyle name="Normal 8 2 10 2 6" xfId="36194" xr:uid="{00000000-0005-0000-0000-000059C30000}"/>
    <cellStyle name="Normal 8 2 10 3" xfId="36195" xr:uid="{00000000-0005-0000-0000-00005AC30000}"/>
    <cellStyle name="Normal 8 2 10 3 2" xfId="59839" xr:uid="{00000000-0005-0000-0000-00005BC30000}"/>
    <cellStyle name="Normal 8 2 10 3 3" xfId="59840" xr:uid="{00000000-0005-0000-0000-00005CC30000}"/>
    <cellStyle name="Normal 8 2 10 4" xfId="36196" xr:uid="{00000000-0005-0000-0000-00005DC30000}"/>
    <cellStyle name="Normal 8 2 10 4 2" xfId="59841" xr:uid="{00000000-0005-0000-0000-00005EC30000}"/>
    <cellStyle name="Normal 8 2 10 5" xfId="36197" xr:uid="{00000000-0005-0000-0000-00005FC30000}"/>
    <cellStyle name="Normal 8 2 10 6" xfId="36198" xr:uid="{00000000-0005-0000-0000-000060C30000}"/>
    <cellStyle name="Normal 8 2 10 7" xfId="36199" xr:uid="{00000000-0005-0000-0000-000061C30000}"/>
    <cellStyle name="Normal 8 2 11" xfId="36200" xr:uid="{00000000-0005-0000-0000-000062C30000}"/>
    <cellStyle name="Normal 8 2 11 2" xfId="36201" xr:uid="{00000000-0005-0000-0000-000063C30000}"/>
    <cellStyle name="Normal 8 2 11 2 2" xfId="59842" xr:uid="{00000000-0005-0000-0000-000064C30000}"/>
    <cellStyle name="Normal 8 2 11 2 3" xfId="59843" xr:uid="{00000000-0005-0000-0000-000065C30000}"/>
    <cellStyle name="Normal 8 2 11 3" xfId="36202" xr:uid="{00000000-0005-0000-0000-000066C30000}"/>
    <cellStyle name="Normal 8 2 11 3 2" xfId="59844" xr:uid="{00000000-0005-0000-0000-000067C30000}"/>
    <cellStyle name="Normal 8 2 11 4" xfId="36203" xr:uid="{00000000-0005-0000-0000-000068C30000}"/>
    <cellStyle name="Normal 8 2 11 5" xfId="36204" xr:uid="{00000000-0005-0000-0000-000069C30000}"/>
    <cellStyle name="Normal 8 2 11 6" xfId="36205" xr:uid="{00000000-0005-0000-0000-00006AC30000}"/>
    <cellStyle name="Normal 8 2 12" xfId="36206" xr:uid="{00000000-0005-0000-0000-00006BC30000}"/>
    <cellStyle name="Normal 8 2 12 2" xfId="59845" xr:uid="{00000000-0005-0000-0000-00006CC30000}"/>
    <cellStyle name="Normal 8 2 12 3" xfId="59846" xr:uid="{00000000-0005-0000-0000-00006DC30000}"/>
    <cellStyle name="Normal 8 2 13" xfId="36207" xr:uid="{00000000-0005-0000-0000-00006EC30000}"/>
    <cellStyle name="Normal 8 2 13 2" xfId="59847" xr:uid="{00000000-0005-0000-0000-00006FC30000}"/>
    <cellStyle name="Normal 8 2 14" xfId="36208" xr:uid="{00000000-0005-0000-0000-000070C30000}"/>
    <cellStyle name="Normal 8 2 14 2" xfId="59848" xr:uid="{00000000-0005-0000-0000-000071C30000}"/>
    <cellStyle name="Normal 8 2 15" xfId="36209" xr:uid="{00000000-0005-0000-0000-000072C30000}"/>
    <cellStyle name="Normal 8 2 16" xfId="36210" xr:uid="{00000000-0005-0000-0000-000073C30000}"/>
    <cellStyle name="Normal 8 2 17" xfId="36211" xr:uid="{00000000-0005-0000-0000-000074C30000}"/>
    <cellStyle name="Normal 8 2 18" xfId="36212" xr:uid="{00000000-0005-0000-0000-000075C30000}"/>
    <cellStyle name="Normal 8 2 19" xfId="36213" xr:uid="{00000000-0005-0000-0000-000076C30000}"/>
    <cellStyle name="Normal 8 2 2" xfId="36214" xr:uid="{00000000-0005-0000-0000-000077C30000}"/>
    <cellStyle name="Normal 8 2 2 10" xfId="36215" xr:uid="{00000000-0005-0000-0000-000078C30000}"/>
    <cellStyle name="Normal 8 2 2 11" xfId="36216" xr:uid="{00000000-0005-0000-0000-000079C30000}"/>
    <cellStyle name="Normal 8 2 2 12" xfId="36217" xr:uid="{00000000-0005-0000-0000-00007AC30000}"/>
    <cellStyle name="Normal 8 2 2 13" xfId="36218" xr:uid="{00000000-0005-0000-0000-00007BC30000}"/>
    <cellStyle name="Normal 8 2 2 14" xfId="36219" xr:uid="{00000000-0005-0000-0000-00007CC30000}"/>
    <cellStyle name="Normal 8 2 2 15" xfId="36220" xr:uid="{00000000-0005-0000-0000-00007DC30000}"/>
    <cellStyle name="Normal 8 2 2 2" xfId="36221" xr:uid="{00000000-0005-0000-0000-00007EC30000}"/>
    <cellStyle name="Normal 8 2 2 2 10" xfId="36222" xr:uid="{00000000-0005-0000-0000-00007FC30000}"/>
    <cellStyle name="Normal 8 2 2 2 11" xfId="36223" xr:uid="{00000000-0005-0000-0000-000080C30000}"/>
    <cellStyle name="Normal 8 2 2 2 12" xfId="36224" xr:uid="{00000000-0005-0000-0000-000081C30000}"/>
    <cellStyle name="Normal 8 2 2 2 13" xfId="36225" xr:uid="{00000000-0005-0000-0000-000082C30000}"/>
    <cellStyle name="Normal 8 2 2 2 14" xfId="36226" xr:uid="{00000000-0005-0000-0000-000083C30000}"/>
    <cellStyle name="Normal 8 2 2 2 2" xfId="36227" xr:uid="{00000000-0005-0000-0000-000084C30000}"/>
    <cellStyle name="Normal 8 2 2 2 2 2" xfId="36228" xr:uid="{00000000-0005-0000-0000-000085C30000}"/>
    <cellStyle name="Normal 8 2 2 2 2 2 2" xfId="36229" xr:uid="{00000000-0005-0000-0000-000086C30000}"/>
    <cellStyle name="Normal 8 2 2 2 2 2 2 2" xfId="36230" xr:uid="{00000000-0005-0000-0000-000087C30000}"/>
    <cellStyle name="Normal 8 2 2 2 2 2 2 2 2" xfId="59849" xr:uid="{00000000-0005-0000-0000-000088C30000}"/>
    <cellStyle name="Normal 8 2 2 2 2 2 2 2 3" xfId="59850" xr:uid="{00000000-0005-0000-0000-000089C30000}"/>
    <cellStyle name="Normal 8 2 2 2 2 2 2 3" xfId="36231" xr:uid="{00000000-0005-0000-0000-00008AC30000}"/>
    <cellStyle name="Normal 8 2 2 2 2 2 2 3 2" xfId="59851" xr:uid="{00000000-0005-0000-0000-00008BC30000}"/>
    <cellStyle name="Normal 8 2 2 2 2 2 2 4" xfId="36232" xr:uid="{00000000-0005-0000-0000-00008CC30000}"/>
    <cellStyle name="Normal 8 2 2 2 2 2 2 5" xfId="36233" xr:uid="{00000000-0005-0000-0000-00008DC30000}"/>
    <cellStyle name="Normal 8 2 2 2 2 2 2 6" xfId="36234" xr:uid="{00000000-0005-0000-0000-00008EC30000}"/>
    <cellStyle name="Normal 8 2 2 2 2 2 3" xfId="36235" xr:uid="{00000000-0005-0000-0000-00008FC30000}"/>
    <cellStyle name="Normal 8 2 2 2 2 2 3 2" xfId="59852" xr:uid="{00000000-0005-0000-0000-000090C30000}"/>
    <cellStyle name="Normal 8 2 2 2 2 2 3 3" xfId="59853" xr:uid="{00000000-0005-0000-0000-000091C30000}"/>
    <cellStyle name="Normal 8 2 2 2 2 2 4" xfId="36236" xr:uid="{00000000-0005-0000-0000-000092C30000}"/>
    <cellStyle name="Normal 8 2 2 2 2 2 4 2" xfId="59854" xr:uid="{00000000-0005-0000-0000-000093C30000}"/>
    <cellStyle name="Normal 8 2 2 2 2 2 5" xfId="36237" xr:uid="{00000000-0005-0000-0000-000094C30000}"/>
    <cellStyle name="Normal 8 2 2 2 2 2 6" xfId="36238" xr:uid="{00000000-0005-0000-0000-000095C30000}"/>
    <cellStyle name="Normal 8 2 2 2 2 2 7" xfId="36239" xr:uid="{00000000-0005-0000-0000-000096C30000}"/>
    <cellStyle name="Normal 8 2 2 2 2 3" xfId="36240" xr:uid="{00000000-0005-0000-0000-000097C30000}"/>
    <cellStyle name="Normal 8 2 2 2 2 3 2" xfId="36241" xr:uid="{00000000-0005-0000-0000-000098C30000}"/>
    <cellStyle name="Normal 8 2 2 2 2 3 2 2" xfId="59855" xr:uid="{00000000-0005-0000-0000-000099C30000}"/>
    <cellStyle name="Normal 8 2 2 2 2 3 2 3" xfId="59856" xr:uid="{00000000-0005-0000-0000-00009AC30000}"/>
    <cellStyle name="Normal 8 2 2 2 2 3 3" xfId="36242" xr:uid="{00000000-0005-0000-0000-00009BC30000}"/>
    <cellStyle name="Normal 8 2 2 2 2 3 3 2" xfId="59857" xr:uid="{00000000-0005-0000-0000-00009CC30000}"/>
    <cellStyle name="Normal 8 2 2 2 2 3 4" xfId="36243" xr:uid="{00000000-0005-0000-0000-00009DC30000}"/>
    <cellStyle name="Normal 8 2 2 2 2 3 5" xfId="36244" xr:uid="{00000000-0005-0000-0000-00009EC30000}"/>
    <cellStyle name="Normal 8 2 2 2 2 3 6" xfId="36245" xr:uid="{00000000-0005-0000-0000-00009FC30000}"/>
    <cellStyle name="Normal 8 2 2 2 2 4" xfId="36246" xr:uid="{00000000-0005-0000-0000-0000A0C30000}"/>
    <cellStyle name="Normal 8 2 2 2 2 4 2" xfId="59858" xr:uid="{00000000-0005-0000-0000-0000A1C30000}"/>
    <cellStyle name="Normal 8 2 2 2 2 4 3" xfId="59859" xr:uid="{00000000-0005-0000-0000-0000A2C30000}"/>
    <cellStyle name="Normal 8 2 2 2 2 5" xfId="36247" xr:uid="{00000000-0005-0000-0000-0000A3C30000}"/>
    <cellStyle name="Normal 8 2 2 2 2 5 2" xfId="59860" xr:uid="{00000000-0005-0000-0000-0000A4C30000}"/>
    <cellStyle name="Normal 8 2 2 2 2 6" xfId="36248" xr:uid="{00000000-0005-0000-0000-0000A5C30000}"/>
    <cellStyle name="Normal 8 2 2 2 2 7" xfId="36249" xr:uid="{00000000-0005-0000-0000-0000A6C30000}"/>
    <cellStyle name="Normal 8 2 2 2 2 8" xfId="36250" xr:uid="{00000000-0005-0000-0000-0000A7C30000}"/>
    <cellStyle name="Normal 8 2 2 2 2 9" xfId="36251" xr:uid="{00000000-0005-0000-0000-0000A8C30000}"/>
    <cellStyle name="Normal 8 2 2 2 3" xfId="36252" xr:uid="{00000000-0005-0000-0000-0000A9C30000}"/>
    <cellStyle name="Normal 8 2 2 2 3 2" xfId="36253" xr:uid="{00000000-0005-0000-0000-0000AAC30000}"/>
    <cellStyle name="Normal 8 2 2 2 3 2 2" xfId="36254" xr:uid="{00000000-0005-0000-0000-0000ABC30000}"/>
    <cellStyle name="Normal 8 2 2 2 3 2 2 2" xfId="36255" xr:uid="{00000000-0005-0000-0000-0000ACC30000}"/>
    <cellStyle name="Normal 8 2 2 2 3 2 2 2 2" xfId="59861" xr:uid="{00000000-0005-0000-0000-0000ADC30000}"/>
    <cellStyle name="Normal 8 2 2 2 3 2 2 2 3" xfId="59862" xr:uid="{00000000-0005-0000-0000-0000AEC30000}"/>
    <cellStyle name="Normal 8 2 2 2 3 2 2 3" xfId="36256" xr:uid="{00000000-0005-0000-0000-0000AFC30000}"/>
    <cellStyle name="Normal 8 2 2 2 3 2 2 3 2" xfId="59863" xr:uid="{00000000-0005-0000-0000-0000B0C30000}"/>
    <cellStyle name="Normal 8 2 2 2 3 2 2 4" xfId="36257" xr:uid="{00000000-0005-0000-0000-0000B1C30000}"/>
    <cellStyle name="Normal 8 2 2 2 3 2 2 5" xfId="36258" xr:uid="{00000000-0005-0000-0000-0000B2C30000}"/>
    <cellStyle name="Normal 8 2 2 2 3 2 2 6" xfId="36259" xr:uid="{00000000-0005-0000-0000-0000B3C30000}"/>
    <cellStyle name="Normal 8 2 2 2 3 2 3" xfId="36260" xr:uid="{00000000-0005-0000-0000-0000B4C30000}"/>
    <cellStyle name="Normal 8 2 2 2 3 2 3 2" xfId="59864" xr:uid="{00000000-0005-0000-0000-0000B5C30000}"/>
    <cellStyle name="Normal 8 2 2 2 3 2 3 3" xfId="59865" xr:uid="{00000000-0005-0000-0000-0000B6C30000}"/>
    <cellStyle name="Normal 8 2 2 2 3 2 4" xfId="36261" xr:uid="{00000000-0005-0000-0000-0000B7C30000}"/>
    <cellStyle name="Normal 8 2 2 2 3 2 4 2" xfId="59866" xr:uid="{00000000-0005-0000-0000-0000B8C30000}"/>
    <cellStyle name="Normal 8 2 2 2 3 2 5" xfId="36262" xr:uid="{00000000-0005-0000-0000-0000B9C30000}"/>
    <cellStyle name="Normal 8 2 2 2 3 2 6" xfId="36263" xr:uid="{00000000-0005-0000-0000-0000BAC30000}"/>
    <cellStyle name="Normal 8 2 2 2 3 2 7" xfId="36264" xr:uid="{00000000-0005-0000-0000-0000BBC30000}"/>
    <cellStyle name="Normal 8 2 2 2 3 3" xfId="36265" xr:uid="{00000000-0005-0000-0000-0000BCC30000}"/>
    <cellStyle name="Normal 8 2 2 2 3 3 2" xfId="36266" xr:uid="{00000000-0005-0000-0000-0000BDC30000}"/>
    <cellStyle name="Normal 8 2 2 2 3 3 2 2" xfId="59867" xr:uid="{00000000-0005-0000-0000-0000BEC30000}"/>
    <cellStyle name="Normal 8 2 2 2 3 3 2 3" xfId="59868" xr:uid="{00000000-0005-0000-0000-0000BFC30000}"/>
    <cellStyle name="Normal 8 2 2 2 3 3 3" xfId="36267" xr:uid="{00000000-0005-0000-0000-0000C0C30000}"/>
    <cellStyle name="Normal 8 2 2 2 3 3 3 2" xfId="59869" xr:uid="{00000000-0005-0000-0000-0000C1C30000}"/>
    <cellStyle name="Normal 8 2 2 2 3 3 4" xfId="36268" xr:uid="{00000000-0005-0000-0000-0000C2C30000}"/>
    <cellStyle name="Normal 8 2 2 2 3 3 5" xfId="36269" xr:uid="{00000000-0005-0000-0000-0000C3C30000}"/>
    <cellStyle name="Normal 8 2 2 2 3 3 6" xfId="36270" xr:uid="{00000000-0005-0000-0000-0000C4C30000}"/>
    <cellStyle name="Normal 8 2 2 2 3 4" xfId="36271" xr:uid="{00000000-0005-0000-0000-0000C5C30000}"/>
    <cellStyle name="Normal 8 2 2 2 3 4 2" xfId="59870" xr:uid="{00000000-0005-0000-0000-0000C6C30000}"/>
    <cellStyle name="Normal 8 2 2 2 3 4 3" xfId="59871" xr:uid="{00000000-0005-0000-0000-0000C7C30000}"/>
    <cellStyle name="Normal 8 2 2 2 3 5" xfId="36272" xr:uid="{00000000-0005-0000-0000-0000C8C30000}"/>
    <cellStyle name="Normal 8 2 2 2 3 5 2" xfId="59872" xr:uid="{00000000-0005-0000-0000-0000C9C30000}"/>
    <cellStyle name="Normal 8 2 2 2 3 6" xfId="36273" xr:uid="{00000000-0005-0000-0000-0000CAC30000}"/>
    <cellStyle name="Normal 8 2 2 2 3 7" xfId="36274" xr:uid="{00000000-0005-0000-0000-0000CBC30000}"/>
    <cellStyle name="Normal 8 2 2 2 3 8" xfId="36275" xr:uid="{00000000-0005-0000-0000-0000CCC30000}"/>
    <cellStyle name="Normal 8 2 2 2 4" xfId="36276" xr:uid="{00000000-0005-0000-0000-0000CDC30000}"/>
    <cellStyle name="Normal 8 2 2 2 4 2" xfId="36277" xr:uid="{00000000-0005-0000-0000-0000CEC30000}"/>
    <cellStyle name="Normal 8 2 2 2 4 2 2" xfId="36278" xr:uid="{00000000-0005-0000-0000-0000CFC30000}"/>
    <cellStyle name="Normal 8 2 2 2 4 2 2 2" xfId="59873" xr:uid="{00000000-0005-0000-0000-0000D0C30000}"/>
    <cellStyle name="Normal 8 2 2 2 4 2 2 3" xfId="59874" xr:uid="{00000000-0005-0000-0000-0000D1C30000}"/>
    <cellStyle name="Normal 8 2 2 2 4 2 3" xfId="36279" xr:uid="{00000000-0005-0000-0000-0000D2C30000}"/>
    <cellStyle name="Normal 8 2 2 2 4 2 3 2" xfId="59875" xr:uid="{00000000-0005-0000-0000-0000D3C30000}"/>
    <cellStyle name="Normal 8 2 2 2 4 2 4" xfId="36280" xr:uid="{00000000-0005-0000-0000-0000D4C30000}"/>
    <cellStyle name="Normal 8 2 2 2 4 2 5" xfId="36281" xr:uid="{00000000-0005-0000-0000-0000D5C30000}"/>
    <cellStyle name="Normal 8 2 2 2 4 2 6" xfId="36282" xr:uid="{00000000-0005-0000-0000-0000D6C30000}"/>
    <cellStyle name="Normal 8 2 2 2 4 3" xfId="36283" xr:uid="{00000000-0005-0000-0000-0000D7C30000}"/>
    <cellStyle name="Normal 8 2 2 2 4 3 2" xfId="59876" xr:uid="{00000000-0005-0000-0000-0000D8C30000}"/>
    <cellStyle name="Normal 8 2 2 2 4 3 3" xfId="59877" xr:uid="{00000000-0005-0000-0000-0000D9C30000}"/>
    <cellStyle name="Normal 8 2 2 2 4 4" xfId="36284" xr:uid="{00000000-0005-0000-0000-0000DAC30000}"/>
    <cellStyle name="Normal 8 2 2 2 4 4 2" xfId="59878" xr:uid="{00000000-0005-0000-0000-0000DBC30000}"/>
    <cellStyle name="Normal 8 2 2 2 4 5" xfId="36285" xr:uid="{00000000-0005-0000-0000-0000DCC30000}"/>
    <cellStyle name="Normal 8 2 2 2 4 6" xfId="36286" xr:uid="{00000000-0005-0000-0000-0000DDC30000}"/>
    <cellStyle name="Normal 8 2 2 2 4 7" xfId="36287" xr:uid="{00000000-0005-0000-0000-0000DEC30000}"/>
    <cellStyle name="Normal 8 2 2 2 5" xfId="36288" xr:uid="{00000000-0005-0000-0000-0000DFC30000}"/>
    <cellStyle name="Normal 8 2 2 2 5 2" xfId="36289" xr:uid="{00000000-0005-0000-0000-0000E0C30000}"/>
    <cellStyle name="Normal 8 2 2 2 5 2 2" xfId="59879" xr:uid="{00000000-0005-0000-0000-0000E1C30000}"/>
    <cellStyle name="Normal 8 2 2 2 5 2 3" xfId="59880" xr:uid="{00000000-0005-0000-0000-0000E2C30000}"/>
    <cellStyle name="Normal 8 2 2 2 5 3" xfId="36290" xr:uid="{00000000-0005-0000-0000-0000E3C30000}"/>
    <cellStyle name="Normal 8 2 2 2 5 3 2" xfId="59881" xr:uid="{00000000-0005-0000-0000-0000E4C30000}"/>
    <cellStyle name="Normal 8 2 2 2 5 4" xfId="36291" xr:uid="{00000000-0005-0000-0000-0000E5C30000}"/>
    <cellStyle name="Normal 8 2 2 2 5 5" xfId="36292" xr:uid="{00000000-0005-0000-0000-0000E6C30000}"/>
    <cellStyle name="Normal 8 2 2 2 5 6" xfId="36293" xr:uid="{00000000-0005-0000-0000-0000E7C30000}"/>
    <cellStyle name="Normal 8 2 2 2 6" xfId="36294" xr:uid="{00000000-0005-0000-0000-0000E8C30000}"/>
    <cellStyle name="Normal 8 2 2 2 6 2" xfId="59882" xr:uid="{00000000-0005-0000-0000-0000E9C30000}"/>
    <cellStyle name="Normal 8 2 2 2 6 3" xfId="59883" xr:uid="{00000000-0005-0000-0000-0000EAC30000}"/>
    <cellStyle name="Normal 8 2 2 2 7" xfId="36295" xr:uid="{00000000-0005-0000-0000-0000EBC30000}"/>
    <cellStyle name="Normal 8 2 2 2 7 2" xfId="59884" xr:uid="{00000000-0005-0000-0000-0000ECC30000}"/>
    <cellStyle name="Normal 8 2 2 2 8" xfId="36296" xr:uid="{00000000-0005-0000-0000-0000EDC30000}"/>
    <cellStyle name="Normal 8 2 2 2 9" xfId="36297" xr:uid="{00000000-0005-0000-0000-0000EEC30000}"/>
    <cellStyle name="Normal 8 2 2 3" xfId="36298" xr:uid="{00000000-0005-0000-0000-0000EFC30000}"/>
    <cellStyle name="Normal 8 2 2 3 2" xfId="36299" xr:uid="{00000000-0005-0000-0000-0000F0C30000}"/>
    <cellStyle name="Normal 8 2 2 3 2 2" xfId="36300" xr:uid="{00000000-0005-0000-0000-0000F1C30000}"/>
    <cellStyle name="Normal 8 2 2 3 2 2 2" xfId="36301" xr:uid="{00000000-0005-0000-0000-0000F2C30000}"/>
    <cellStyle name="Normal 8 2 2 3 2 2 2 2" xfId="59885" xr:uid="{00000000-0005-0000-0000-0000F3C30000}"/>
    <cellStyle name="Normal 8 2 2 3 2 2 2 3" xfId="59886" xr:uid="{00000000-0005-0000-0000-0000F4C30000}"/>
    <cellStyle name="Normal 8 2 2 3 2 2 3" xfId="36302" xr:uid="{00000000-0005-0000-0000-0000F5C30000}"/>
    <cellStyle name="Normal 8 2 2 3 2 2 3 2" xfId="59887" xr:uid="{00000000-0005-0000-0000-0000F6C30000}"/>
    <cellStyle name="Normal 8 2 2 3 2 2 4" xfId="36303" xr:uid="{00000000-0005-0000-0000-0000F7C30000}"/>
    <cellStyle name="Normal 8 2 2 3 2 2 5" xfId="36304" xr:uid="{00000000-0005-0000-0000-0000F8C30000}"/>
    <cellStyle name="Normal 8 2 2 3 2 2 6" xfId="36305" xr:uid="{00000000-0005-0000-0000-0000F9C30000}"/>
    <cellStyle name="Normal 8 2 2 3 2 3" xfId="36306" xr:uid="{00000000-0005-0000-0000-0000FAC30000}"/>
    <cellStyle name="Normal 8 2 2 3 2 3 2" xfId="59888" xr:uid="{00000000-0005-0000-0000-0000FBC30000}"/>
    <cellStyle name="Normal 8 2 2 3 2 3 3" xfId="59889" xr:uid="{00000000-0005-0000-0000-0000FCC30000}"/>
    <cellStyle name="Normal 8 2 2 3 2 4" xfId="36307" xr:uid="{00000000-0005-0000-0000-0000FDC30000}"/>
    <cellStyle name="Normal 8 2 2 3 2 4 2" xfId="59890" xr:uid="{00000000-0005-0000-0000-0000FEC30000}"/>
    <cellStyle name="Normal 8 2 2 3 2 5" xfId="36308" xr:uid="{00000000-0005-0000-0000-0000FFC30000}"/>
    <cellStyle name="Normal 8 2 2 3 2 6" xfId="36309" xr:uid="{00000000-0005-0000-0000-000000C40000}"/>
    <cellStyle name="Normal 8 2 2 3 2 7" xfId="36310" xr:uid="{00000000-0005-0000-0000-000001C40000}"/>
    <cellStyle name="Normal 8 2 2 3 3" xfId="36311" xr:uid="{00000000-0005-0000-0000-000002C40000}"/>
    <cellStyle name="Normal 8 2 2 3 3 2" xfId="36312" xr:uid="{00000000-0005-0000-0000-000003C40000}"/>
    <cellStyle name="Normal 8 2 2 3 3 2 2" xfId="59891" xr:uid="{00000000-0005-0000-0000-000004C40000}"/>
    <cellStyle name="Normal 8 2 2 3 3 2 3" xfId="59892" xr:uid="{00000000-0005-0000-0000-000005C40000}"/>
    <cellStyle name="Normal 8 2 2 3 3 3" xfId="36313" xr:uid="{00000000-0005-0000-0000-000006C40000}"/>
    <cellStyle name="Normal 8 2 2 3 3 3 2" xfId="59893" xr:uid="{00000000-0005-0000-0000-000007C40000}"/>
    <cellStyle name="Normal 8 2 2 3 3 4" xfId="36314" xr:uid="{00000000-0005-0000-0000-000008C40000}"/>
    <cellStyle name="Normal 8 2 2 3 3 5" xfId="36315" xr:uid="{00000000-0005-0000-0000-000009C40000}"/>
    <cellStyle name="Normal 8 2 2 3 3 6" xfId="36316" xr:uid="{00000000-0005-0000-0000-00000AC40000}"/>
    <cellStyle name="Normal 8 2 2 3 4" xfId="36317" xr:uid="{00000000-0005-0000-0000-00000BC40000}"/>
    <cellStyle name="Normal 8 2 2 3 4 2" xfId="59894" xr:uid="{00000000-0005-0000-0000-00000CC40000}"/>
    <cellStyle name="Normal 8 2 2 3 4 3" xfId="59895" xr:uid="{00000000-0005-0000-0000-00000DC40000}"/>
    <cellStyle name="Normal 8 2 2 3 5" xfId="36318" xr:uid="{00000000-0005-0000-0000-00000EC40000}"/>
    <cellStyle name="Normal 8 2 2 3 5 2" xfId="59896" xr:uid="{00000000-0005-0000-0000-00000FC40000}"/>
    <cellStyle name="Normal 8 2 2 3 6" xfId="36319" xr:uid="{00000000-0005-0000-0000-000010C40000}"/>
    <cellStyle name="Normal 8 2 2 3 7" xfId="36320" xr:uid="{00000000-0005-0000-0000-000011C40000}"/>
    <cellStyle name="Normal 8 2 2 3 8" xfId="36321" xr:uid="{00000000-0005-0000-0000-000012C40000}"/>
    <cellStyle name="Normal 8 2 2 3 9" xfId="36322" xr:uid="{00000000-0005-0000-0000-000013C40000}"/>
    <cellStyle name="Normal 8 2 2 4" xfId="36323" xr:uid="{00000000-0005-0000-0000-000014C40000}"/>
    <cellStyle name="Normal 8 2 2 4 2" xfId="36324" xr:uid="{00000000-0005-0000-0000-000015C40000}"/>
    <cellStyle name="Normal 8 2 2 4 2 2" xfId="36325" xr:uid="{00000000-0005-0000-0000-000016C40000}"/>
    <cellStyle name="Normal 8 2 2 4 2 2 2" xfId="36326" xr:uid="{00000000-0005-0000-0000-000017C40000}"/>
    <cellStyle name="Normal 8 2 2 4 2 2 2 2" xfId="59897" xr:uid="{00000000-0005-0000-0000-000018C40000}"/>
    <cellStyle name="Normal 8 2 2 4 2 2 2 3" xfId="59898" xr:uid="{00000000-0005-0000-0000-000019C40000}"/>
    <cellStyle name="Normal 8 2 2 4 2 2 3" xfId="36327" xr:uid="{00000000-0005-0000-0000-00001AC40000}"/>
    <cellStyle name="Normal 8 2 2 4 2 2 3 2" xfId="59899" xr:uid="{00000000-0005-0000-0000-00001BC40000}"/>
    <cellStyle name="Normal 8 2 2 4 2 2 4" xfId="36328" xr:uid="{00000000-0005-0000-0000-00001CC40000}"/>
    <cellStyle name="Normal 8 2 2 4 2 2 5" xfId="36329" xr:uid="{00000000-0005-0000-0000-00001DC40000}"/>
    <cellStyle name="Normal 8 2 2 4 2 2 6" xfId="36330" xr:uid="{00000000-0005-0000-0000-00001EC40000}"/>
    <cellStyle name="Normal 8 2 2 4 2 3" xfId="36331" xr:uid="{00000000-0005-0000-0000-00001FC40000}"/>
    <cellStyle name="Normal 8 2 2 4 2 3 2" xfId="59900" xr:uid="{00000000-0005-0000-0000-000020C40000}"/>
    <cellStyle name="Normal 8 2 2 4 2 3 3" xfId="59901" xr:uid="{00000000-0005-0000-0000-000021C40000}"/>
    <cellStyle name="Normal 8 2 2 4 2 4" xfId="36332" xr:uid="{00000000-0005-0000-0000-000022C40000}"/>
    <cellStyle name="Normal 8 2 2 4 2 4 2" xfId="59902" xr:uid="{00000000-0005-0000-0000-000023C40000}"/>
    <cellStyle name="Normal 8 2 2 4 2 5" xfId="36333" xr:uid="{00000000-0005-0000-0000-000024C40000}"/>
    <cellStyle name="Normal 8 2 2 4 2 6" xfId="36334" xr:uid="{00000000-0005-0000-0000-000025C40000}"/>
    <cellStyle name="Normal 8 2 2 4 2 7" xfId="36335" xr:uid="{00000000-0005-0000-0000-000026C40000}"/>
    <cellStyle name="Normal 8 2 2 4 3" xfId="36336" xr:uid="{00000000-0005-0000-0000-000027C40000}"/>
    <cellStyle name="Normal 8 2 2 4 3 2" xfId="36337" xr:uid="{00000000-0005-0000-0000-000028C40000}"/>
    <cellStyle name="Normal 8 2 2 4 3 2 2" xfId="59903" xr:uid="{00000000-0005-0000-0000-000029C40000}"/>
    <cellStyle name="Normal 8 2 2 4 3 2 3" xfId="59904" xr:uid="{00000000-0005-0000-0000-00002AC40000}"/>
    <cellStyle name="Normal 8 2 2 4 3 3" xfId="36338" xr:uid="{00000000-0005-0000-0000-00002BC40000}"/>
    <cellStyle name="Normal 8 2 2 4 3 3 2" xfId="59905" xr:uid="{00000000-0005-0000-0000-00002CC40000}"/>
    <cellStyle name="Normal 8 2 2 4 3 4" xfId="36339" xr:uid="{00000000-0005-0000-0000-00002DC40000}"/>
    <cellStyle name="Normal 8 2 2 4 3 5" xfId="36340" xr:uid="{00000000-0005-0000-0000-00002EC40000}"/>
    <cellStyle name="Normal 8 2 2 4 3 6" xfId="36341" xr:uid="{00000000-0005-0000-0000-00002FC40000}"/>
    <cellStyle name="Normal 8 2 2 4 4" xfId="36342" xr:uid="{00000000-0005-0000-0000-000030C40000}"/>
    <cellStyle name="Normal 8 2 2 4 4 2" xfId="59906" xr:uid="{00000000-0005-0000-0000-000031C40000}"/>
    <cellStyle name="Normal 8 2 2 4 4 3" xfId="59907" xr:uid="{00000000-0005-0000-0000-000032C40000}"/>
    <cellStyle name="Normal 8 2 2 4 5" xfId="36343" xr:uid="{00000000-0005-0000-0000-000033C40000}"/>
    <cellStyle name="Normal 8 2 2 4 5 2" xfId="59908" xr:uid="{00000000-0005-0000-0000-000034C40000}"/>
    <cellStyle name="Normal 8 2 2 4 6" xfId="36344" xr:uid="{00000000-0005-0000-0000-000035C40000}"/>
    <cellStyle name="Normal 8 2 2 4 7" xfId="36345" xr:uid="{00000000-0005-0000-0000-000036C40000}"/>
    <cellStyle name="Normal 8 2 2 4 8" xfId="36346" xr:uid="{00000000-0005-0000-0000-000037C40000}"/>
    <cellStyle name="Normal 8 2 2 5" xfId="36347" xr:uid="{00000000-0005-0000-0000-000038C40000}"/>
    <cellStyle name="Normal 8 2 2 5 2" xfId="36348" xr:uid="{00000000-0005-0000-0000-000039C40000}"/>
    <cellStyle name="Normal 8 2 2 5 2 2" xfId="36349" xr:uid="{00000000-0005-0000-0000-00003AC40000}"/>
    <cellStyle name="Normal 8 2 2 5 2 2 2" xfId="59909" xr:uid="{00000000-0005-0000-0000-00003BC40000}"/>
    <cellStyle name="Normal 8 2 2 5 2 2 3" xfId="59910" xr:uid="{00000000-0005-0000-0000-00003CC40000}"/>
    <cellStyle name="Normal 8 2 2 5 2 3" xfId="36350" xr:uid="{00000000-0005-0000-0000-00003DC40000}"/>
    <cellStyle name="Normal 8 2 2 5 2 3 2" xfId="59911" xr:uid="{00000000-0005-0000-0000-00003EC40000}"/>
    <cellStyle name="Normal 8 2 2 5 2 4" xfId="36351" xr:uid="{00000000-0005-0000-0000-00003FC40000}"/>
    <cellStyle name="Normal 8 2 2 5 2 5" xfId="36352" xr:uid="{00000000-0005-0000-0000-000040C40000}"/>
    <cellStyle name="Normal 8 2 2 5 2 6" xfId="36353" xr:uid="{00000000-0005-0000-0000-000041C40000}"/>
    <cellStyle name="Normal 8 2 2 5 3" xfId="36354" xr:uid="{00000000-0005-0000-0000-000042C40000}"/>
    <cellStyle name="Normal 8 2 2 5 3 2" xfId="59912" xr:uid="{00000000-0005-0000-0000-000043C40000}"/>
    <cellStyle name="Normal 8 2 2 5 3 3" xfId="59913" xr:uid="{00000000-0005-0000-0000-000044C40000}"/>
    <cellStyle name="Normal 8 2 2 5 4" xfId="36355" xr:uid="{00000000-0005-0000-0000-000045C40000}"/>
    <cellStyle name="Normal 8 2 2 5 4 2" xfId="59914" xr:uid="{00000000-0005-0000-0000-000046C40000}"/>
    <cellStyle name="Normal 8 2 2 5 5" xfId="36356" xr:uid="{00000000-0005-0000-0000-000047C40000}"/>
    <cellStyle name="Normal 8 2 2 5 6" xfId="36357" xr:uid="{00000000-0005-0000-0000-000048C40000}"/>
    <cellStyle name="Normal 8 2 2 5 7" xfId="36358" xr:uid="{00000000-0005-0000-0000-000049C40000}"/>
    <cellStyle name="Normal 8 2 2 6" xfId="36359" xr:uid="{00000000-0005-0000-0000-00004AC40000}"/>
    <cellStyle name="Normal 8 2 2 6 2" xfId="36360" xr:uid="{00000000-0005-0000-0000-00004BC40000}"/>
    <cellStyle name="Normal 8 2 2 6 2 2" xfId="59915" xr:uid="{00000000-0005-0000-0000-00004CC40000}"/>
    <cellStyle name="Normal 8 2 2 6 2 3" xfId="59916" xr:uid="{00000000-0005-0000-0000-00004DC40000}"/>
    <cellStyle name="Normal 8 2 2 6 3" xfId="36361" xr:uid="{00000000-0005-0000-0000-00004EC40000}"/>
    <cellStyle name="Normal 8 2 2 6 3 2" xfId="59917" xr:uid="{00000000-0005-0000-0000-00004FC40000}"/>
    <cellStyle name="Normal 8 2 2 6 4" xfId="36362" xr:uid="{00000000-0005-0000-0000-000050C40000}"/>
    <cellStyle name="Normal 8 2 2 6 5" xfId="36363" xr:uid="{00000000-0005-0000-0000-000051C40000}"/>
    <cellStyle name="Normal 8 2 2 6 6" xfId="36364" xr:uid="{00000000-0005-0000-0000-000052C40000}"/>
    <cellStyle name="Normal 8 2 2 7" xfId="36365" xr:uid="{00000000-0005-0000-0000-000053C40000}"/>
    <cellStyle name="Normal 8 2 2 7 2" xfId="59918" xr:uid="{00000000-0005-0000-0000-000054C40000}"/>
    <cellStyle name="Normal 8 2 2 7 3" xfId="59919" xr:uid="{00000000-0005-0000-0000-000055C40000}"/>
    <cellStyle name="Normal 8 2 2 8" xfId="36366" xr:uid="{00000000-0005-0000-0000-000056C40000}"/>
    <cellStyle name="Normal 8 2 2 8 2" xfId="59920" xr:uid="{00000000-0005-0000-0000-000057C40000}"/>
    <cellStyle name="Normal 8 2 2 9" xfId="36367" xr:uid="{00000000-0005-0000-0000-000058C40000}"/>
    <cellStyle name="Normal 8 2 2 9 2" xfId="59921" xr:uid="{00000000-0005-0000-0000-000059C40000}"/>
    <cellStyle name="Normal 8 2 20" xfId="36368" xr:uid="{00000000-0005-0000-0000-00005AC40000}"/>
    <cellStyle name="Normal 8 2 3" xfId="36369" xr:uid="{00000000-0005-0000-0000-00005BC40000}"/>
    <cellStyle name="Normal 8 2 3 10" xfId="36370" xr:uid="{00000000-0005-0000-0000-00005CC40000}"/>
    <cellStyle name="Normal 8 2 3 11" xfId="36371" xr:uid="{00000000-0005-0000-0000-00005DC40000}"/>
    <cellStyle name="Normal 8 2 3 12" xfId="36372" xr:uid="{00000000-0005-0000-0000-00005EC40000}"/>
    <cellStyle name="Normal 8 2 3 13" xfId="36373" xr:uid="{00000000-0005-0000-0000-00005FC40000}"/>
    <cellStyle name="Normal 8 2 3 14" xfId="36374" xr:uid="{00000000-0005-0000-0000-000060C40000}"/>
    <cellStyle name="Normal 8 2 3 15" xfId="36375" xr:uid="{00000000-0005-0000-0000-000061C40000}"/>
    <cellStyle name="Normal 8 2 3 16" xfId="36376" xr:uid="{00000000-0005-0000-0000-000062C40000}"/>
    <cellStyle name="Normal 8 2 3 2" xfId="36377" xr:uid="{00000000-0005-0000-0000-000063C40000}"/>
    <cellStyle name="Normal 8 2 3 2 10" xfId="36378" xr:uid="{00000000-0005-0000-0000-000064C40000}"/>
    <cellStyle name="Normal 8 2 3 2 11" xfId="36379" xr:uid="{00000000-0005-0000-0000-000065C40000}"/>
    <cellStyle name="Normal 8 2 3 2 12" xfId="36380" xr:uid="{00000000-0005-0000-0000-000066C40000}"/>
    <cellStyle name="Normal 8 2 3 2 13" xfId="36381" xr:uid="{00000000-0005-0000-0000-000067C40000}"/>
    <cellStyle name="Normal 8 2 3 2 14" xfId="36382" xr:uid="{00000000-0005-0000-0000-000068C40000}"/>
    <cellStyle name="Normal 8 2 3 2 2" xfId="36383" xr:uid="{00000000-0005-0000-0000-000069C40000}"/>
    <cellStyle name="Normal 8 2 3 2 2 2" xfId="36384" xr:uid="{00000000-0005-0000-0000-00006AC40000}"/>
    <cellStyle name="Normal 8 2 3 2 2 2 2" xfId="36385" xr:uid="{00000000-0005-0000-0000-00006BC40000}"/>
    <cellStyle name="Normal 8 2 3 2 2 2 2 2" xfId="36386" xr:uid="{00000000-0005-0000-0000-00006CC40000}"/>
    <cellStyle name="Normal 8 2 3 2 2 2 2 2 2" xfId="59922" xr:uid="{00000000-0005-0000-0000-00006DC40000}"/>
    <cellStyle name="Normal 8 2 3 2 2 2 2 2 3" xfId="59923" xr:uid="{00000000-0005-0000-0000-00006EC40000}"/>
    <cellStyle name="Normal 8 2 3 2 2 2 2 3" xfId="36387" xr:uid="{00000000-0005-0000-0000-00006FC40000}"/>
    <cellStyle name="Normal 8 2 3 2 2 2 2 3 2" xfId="59924" xr:uid="{00000000-0005-0000-0000-000070C40000}"/>
    <cellStyle name="Normal 8 2 3 2 2 2 2 4" xfId="36388" xr:uid="{00000000-0005-0000-0000-000071C40000}"/>
    <cellStyle name="Normal 8 2 3 2 2 2 2 5" xfId="36389" xr:uid="{00000000-0005-0000-0000-000072C40000}"/>
    <cellStyle name="Normal 8 2 3 2 2 2 2 6" xfId="36390" xr:uid="{00000000-0005-0000-0000-000073C40000}"/>
    <cellStyle name="Normal 8 2 3 2 2 2 3" xfId="36391" xr:uid="{00000000-0005-0000-0000-000074C40000}"/>
    <cellStyle name="Normal 8 2 3 2 2 2 3 2" xfId="59925" xr:uid="{00000000-0005-0000-0000-000075C40000}"/>
    <cellStyle name="Normal 8 2 3 2 2 2 3 3" xfId="59926" xr:uid="{00000000-0005-0000-0000-000076C40000}"/>
    <cellStyle name="Normal 8 2 3 2 2 2 4" xfId="36392" xr:uid="{00000000-0005-0000-0000-000077C40000}"/>
    <cellStyle name="Normal 8 2 3 2 2 2 4 2" xfId="59927" xr:uid="{00000000-0005-0000-0000-000078C40000}"/>
    <cellStyle name="Normal 8 2 3 2 2 2 5" xfId="36393" xr:uid="{00000000-0005-0000-0000-000079C40000}"/>
    <cellStyle name="Normal 8 2 3 2 2 2 6" xfId="36394" xr:uid="{00000000-0005-0000-0000-00007AC40000}"/>
    <cellStyle name="Normal 8 2 3 2 2 2 7" xfId="36395" xr:uid="{00000000-0005-0000-0000-00007BC40000}"/>
    <cellStyle name="Normal 8 2 3 2 2 3" xfId="36396" xr:uid="{00000000-0005-0000-0000-00007CC40000}"/>
    <cellStyle name="Normal 8 2 3 2 2 3 2" xfId="36397" xr:uid="{00000000-0005-0000-0000-00007DC40000}"/>
    <cellStyle name="Normal 8 2 3 2 2 3 2 2" xfId="59928" xr:uid="{00000000-0005-0000-0000-00007EC40000}"/>
    <cellStyle name="Normal 8 2 3 2 2 3 2 3" xfId="59929" xr:uid="{00000000-0005-0000-0000-00007FC40000}"/>
    <cellStyle name="Normal 8 2 3 2 2 3 3" xfId="36398" xr:uid="{00000000-0005-0000-0000-000080C40000}"/>
    <cellStyle name="Normal 8 2 3 2 2 3 3 2" xfId="59930" xr:uid="{00000000-0005-0000-0000-000081C40000}"/>
    <cellStyle name="Normal 8 2 3 2 2 3 4" xfId="36399" xr:uid="{00000000-0005-0000-0000-000082C40000}"/>
    <cellStyle name="Normal 8 2 3 2 2 3 5" xfId="36400" xr:uid="{00000000-0005-0000-0000-000083C40000}"/>
    <cellStyle name="Normal 8 2 3 2 2 3 6" xfId="36401" xr:uid="{00000000-0005-0000-0000-000084C40000}"/>
    <cellStyle name="Normal 8 2 3 2 2 4" xfId="36402" xr:uid="{00000000-0005-0000-0000-000085C40000}"/>
    <cellStyle name="Normal 8 2 3 2 2 4 2" xfId="59931" xr:uid="{00000000-0005-0000-0000-000086C40000}"/>
    <cellStyle name="Normal 8 2 3 2 2 4 3" xfId="59932" xr:uid="{00000000-0005-0000-0000-000087C40000}"/>
    <cellStyle name="Normal 8 2 3 2 2 5" xfId="36403" xr:uid="{00000000-0005-0000-0000-000088C40000}"/>
    <cellStyle name="Normal 8 2 3 2 2 5 2" xfId="59933" xr:uid="{00000000-0005-0000-0000-000089C40000}"/>
    <cellStyle name="Normal 8 2 3 2 2 6" xfId="36404" xr:uid="{00000000-0005-0000-0000-00008AC40000}"/>
    <cellStyle name="Normal 8 2 3 2 2 7" xfId="36405" xr:uid="{00000000-0005-0000-0000-00008BC40000}"/>
    <cellStyle name="Normal 8 2 3 2 2 8" xfId="36406" xr:uid="{00000000-0005-0000-0000-00008CC40000}"/>
    <cellStyle name="Normal 8 2 3 2 2 9" xfId="36407" xr:uid="{00000000-0005-0000-0000-00008DC40000}"/>
    <cellStyle name="Normal 8 2 3 2 3" xfId="36408" xr:uid="{00000000-0005-0000-0000-00008EC40000}"/>
    <cellStyle name="Normal 8 2 3 2 3 2" xfId="36409" xr:uid="{00000000-0005-0000-0000-00008FC40000}"/>
    <cellStyle name="Normal 8 2 3 2 3 2 2" xfId="36410" xr:uid="{00000000-0005-0000-0000-000090C40000}"/>
    <cellStyle name="Normal 8 2 3 2 3 2 2 2" xfId="36411" xr:uid="{00000000-0005-0000-0000-000091C40000}"/>
    <cellStyle name="Normal 8 2 3 2 3 2 2 2 2" xfId="59934" xr:uid="{00000000-0005-0000-0000-000092C40000}"/>
    <cellStyle name="Normal 8 2 3 2 3 2 2 2 3" xfId="59935" xr:uid="{00000000-0005-0000-0000-000093C40000}"/>
    <cellStyle name="Normal 8 2 3 2 3 2 2 3" xfId="36412" xr:uid="{00000000-0005-0000-0000-000094C40000}"/>
    <cellStyle name="Normal 8 2 3 2 3 2 2 3 2" xfId="59936" xr:uid="{00000000-0005-0000-0000-000095C40000}"/>
    <cellStyle name="Normal 8 2 3 2 3 2 2 4" xfId="36413" xr:uid="{00000000-0005-0000-0000-000096C40000}"/>
    <cellStyle name="Normal 8 2 3 2 3 2 2 5" xfId="36414" xr:uid="{00000000-0005-0000-0000-000097C40000}"/>
    <cellStyle name="Normal 8 2 3 2 3 2 2 6" xfId="36415" xr:uid="{00000000-0005-0000-0000-000098C40000}"/>
    <cellStyle name="Normal 8 2 3 2 3 2 3" xfId="36416" xr:uid="{00000000-0005-0000-0000-000099C40000}"/>
    <cellStyle name="Normal 8 2 3 2 3 2 3 2" xfId="59937" xr:uid="{00000000-0005-0000-0000-00009AC40000}"/>
    <cellStyle name="Normal 8 2 3 2 3 2 3 3" xfId="59938" xr:uid="{00000000-0005-0000-0000-00009BC40000}"/>
    <cellStyle name="Normal 8 2 3 2 3 2 4" xfId="36417" xr:uid="{00000000-0005-0000-0000-00009CC40000}"/>
    <cellStyle name="Normal 8 2 3 2 3 2 4 2" xfId="59939" xr:uid="{00000000-0005-0000-0000-00009DC40000}"/>
    <cellStyle name="Normal 8 2 3 2 3 2 5" xfId="36418" xr:uid="{00000000-0005-0000-0000-00009EC40000}"/>
    <cellStyle name="Normal 8 2 3 2 3 2 6" xfId="36419" xr:uid="{00000000-0005-0000-0000-00009FC40000}"/>
    <cellStyle name="Normal 8 2 3 2 3 2 7" xfId="36420" xr:uid="{00000000-0005-0000-0000-0000A0C40000}"/>
    <cellStyle name="Normal 8 2 3 2 3 3" xfId="36421" xr:uid="{00000000-0005-0000-0000-0000A1C40000}"/>
    <cellStyle name="Normal 8 2 3 2 3 3 2" xfId="36422" xr:uid="{00000000-0005-0000-0000-0000A2C40000}"/>
    <cellStyle name="Normal 8 2 3 2 3 3 2 2" xfId="59940" xr:uid="{00000000-0005-0000-0000-0000A3C40000}"/>
    <cellStyle name="Normal 8 2 3 2 3 3 2 3" xfId="59941" xr:uid="{00000000-0005-0000-0000-0000A4C40000}"/>
    <cellStyle name="Normal 8 2 3 2 3 3 3" xfId="36423" xr:uid="{00000000-0005-0000-0000-0000A5C40000}"/>
    <cellStyle name="Normal 8 2 3 2 3 3 3 2" xfId="59942" xr:uid="{00000000-0005-0000-0000-0000A6C40000}"/>
    <cellStyle name="Normal 8 2 3 2 3 3 4" xfId="36424" xr:uid="{00000000-0005-0000-0000-0000A7C40000}"/>
    <cellStyle name="Normal 8 2 3 2 3 3 5" xfId="36425" xr:uid="{00000000-0005-0000-0000-0000A8C40000}"/>
    <cellStyle name="Normal 8 2 3 2 3 3 6" xfId="36426" xr:uid="{00000000-0005-0000-0000-0000A9C40000}"/>
    <cellStyle name="Normal 8 2 3 2 3 4" xfId="36427" xr:uid="{00000000-0005-0000-0000-0000AAC40000}"/>
    <cellStyle name="Normal 8 2 3 2 3 4 2" xfId="59943" xr:uid="{00000000-0005-0000-0000-0000ABC40000}"/>
    <cellStyle name="Normal 8 2 3 2 3 4 3" xfId="59944" xr:uid="{00000000-0005-0000-0000-0000ACC40000}"/>
    <cellStyle name="Normal 8 2 3 2 3 5" xfId="36428" xr:uid="{00000000-0005-0000-0000-0000ADC40000}"/>
    <cellStyle name="Normal 8 2 3 2 3 5 2" xfId="59945" xr:uid="{00000000-0005-0000-0000-0000AEC40000}"/>
    <cellStyle name="Normal 8 2 3 2 3 6" xfId="36429" xr:uid="{00000000-0005-0000-0000-0000AFC40000}"/>
    <cellStyle name="Normal 8 2 3 2 3 7" xfId="36430" xr:uid="{00000000-0005-0000-0000-0000B0C40000}"/>
    <cellStyle name="Normal 8 2 3 2 3 8" xfId="36431" xr:uid="{00000000-0005-0000-0000-0000B1C40000}"/>
    <cellStyle name="Normal 8 2 3 2 4" xfId="36432" xr:uid="{00000000-0005-0000-0000-0000B2C40000}"/>
    <cellStyle name="Normal 8 2 3 2 4 2" xfId="36433" xr:uid="{00000000-0005-0000-0000-0000B3C40000}"/>
    <cellStyle name="Normal 8 2 3 2 4 2 2" xfId="36434" xr:uid="{00000000-0005-0000-0000-0000B4C40000}"/>
    <cellStyle name="Normal 8 2 3 2 4 2 2 2" xfId="59946" xr:uid="{00000000-0005-0000-0000-0000B5C40000}"/>
    <cellStyle name="Normal 8 2 3 2 4 2 2 3" xfId="59947" xr:uid="{00000000-0005-0000-0000-0000B6C40000}"/>
    <cellStyle name="Normal 8 2 3 2 4 2 3" xfId="36435" xr:uid="{00000000-0005-0000-0000-0000B7C40000}"/>
    <cellStyle name="Normal 8 2 3 2 4 2 3 2" xfId="59948" xr:uid="{00000000-0005-0000-0000-0000B8C40000}"/>
    <cellStyle name="Normal 8 2 3 2 4 2 4" xfId="36436" xr:uid="{00000000-0005-0000-0000-0000B9C40000}"/>
    <cellStyle name="Normal 8 2 3 2 4 2 5" xfId="36437" xr:uid="{00000000-0005-0000-0000-0000BAC40000}"/>
    <cellStyle name="Normal 8 2 3 2 4 2 6" xfId="36438" xr:uid="{00000000-0005-0000-0000-0000BBC40000}"/>
    <cellStyle name="Normal 8 2 3 2 4 3" xfId="36439" xr:uid="{00000000-0005-0000-0000-0000BCC40000}"/>
    <cellStyle name="Normal 8 2 3 2 4 3 2" xfId="59949" xr:uid="{00000000-0005-0000-0000-0000BDC40000}"/>
    <cellStyle name="Normal 8 2 3 2 4 3 3" xfId="59950" xr:uid="{00000000-0005-0000-0000-0000BEC40000}"/>
    <cellStyle name="Normal 8 2 3 2 4 4" xfId="36440" xr:uid="{00000000-0005-0000-0000-0000BFC40000}"/>
    <cellStyle name="Normal 8 2 3 2 4 4 2" xfId="59951" xr:uid="{00000000-0005-0000-0000-0000C0C40000}"/>
    <cellStyle name="Normal 8 2 3 2 4 5" xfId="36441" xr:uid="{00000000-0005-0000-0000-0000C1C40000}"/>
    <cellStyle name="Normal 8 2 3 2 4 6" xfId="36442" xr:uid="{00000000-0005-0000-0000-0000C2C40000}"/>
    <cellStyle name="Normal 8 2 3 2 4 7" xfId="36443" xr:uid="{00000000-0005-0000-0000-0000C3C40000}"/>
    <cellStyle name="Normal 8 2 3 2 5" xfId="36444" xr:uid="{00000000-0005-0000-0000-0000C4C40000}"/>
    <cellStyle name="Normal 8 2 3 2 5 2" xfId="36445" xr:uid="{00000000-0005-0000-0000-0000C5C40000}"/>
    <cellStyle name="Normal 8 2 3 2 5 2 2" xfId="59952" xr:uid="{00000000-0005-0000-0000-0000C6C40000}"/>
    <cellStyle name="Normal 8 2 3 2 5 2 3" xfId="59953" xr:uid="{00000000-0005-0000-0000-0000C7C40000}"/>
    <cellStyle name="Normal 8 2 3 2 5 3" xfId="36446" xr:uid="{00000000-0005-0000-0000-0000C8C40000}"/>
    <cellStyle name="Normal 8 2 3 2 5 3 2" xfId="59954" xr:uid="{00000000-0005-0000-0000-0000C9C40000}"/>
    <cellStyle name="Normal 8 2 3 2 5 4" xfId="36447" xr:uid="{00000000-0005-0000-0000-0000CAC40000}"/>
    <cellStyle name="Normal 8 2 3 2 5 5" xfId="36448" xr:uid="{00000000-0005-0000-0000-0000CBC40000}"/>
    <cellStyle name="Normal 8 2 3 2 5 6" xfId="36449" xr:uid="{00000000-0005-0000-0000-0000CCC40000}"/>
    <cellStyle name="Normal 8 2 3 2 6" xfId="36450" xr:uid="{00000000-0005-0000-0000-0000CDC40000}"/>
    <cellStyle name="Normal 8 2 3 2 6 2" xfId="59955" xr:uid="{00000000-0005-0000-0000-0000CEC40000}"/>
    <cellStyle name="Normal 8 2 3 2 6 3" xfId="59956" xr:uid="{00000000-0005-0000-0000-0000CFC40000}"/>
    <cellStyle name="Normal 8 2 3 2 7" xfId="36451" xr:uid="{00000000-0005-0000-0000-0000D0C40000}"/>
    <cellStyle name="Normal 8 2 3 2 7 2" xfId="59957" xr:uid="{00000000-0005-0000-0000-0000D1C40000}"/>
    <cellStyle name="Normal 8 2 3 2 8" xfId="36452" xr:uid="{00000000-0005-0000-0000-0000D2C40000}"/>
    <cellStyle name="Normal 8 2 3 2 9" xfId="36453" xr:uid="{00000000-0005-0000-0000-0000D3C40000}"/>
    <cellStyle name="Normal 8 2 3 3" xfId="36454" xr:uid="{00000000-0005-0000-0000-0000D4C40000}"/>
    <cellStyle name="Normal 8 2 3 3 2" xfId="36455" xr:uid="{00000000-0005-0000-0000-0000D5C40000}"/>
    <cellStyle name="Normal 8 2 3 3 2 2" xfId="36456" xr:uid="{00000000-0005-0000-0000-0000D6C40000}"/>
    <cellStyle name="Normal 8 2 3 3 2 2 2" xfId="36457" xr:uid="{00000000-0005-0000-0000-0000D7C40000}"/>
    <cellStyle name="Normal 8 2 3 3 2 2 2 2" xfId="59958" xr:uid="{00000000-0005-0000-0000-0000D8C40000}"/>
    <cellStyle name="Normal 8 2 3 3 2 2 2 3" xfId="59959" xr:uid="{00000000-0005-0000-0000-0000D9C40000}"/>
    <cellStyle name="Normal 8 2 3 3 2 2 3" xfId="36458" xr:uid="{00000000-0005-0000-0000-0000DAC40000}"/>
    <cellStyle name="Normal 8 2 3 3 2 2 3 2" xfId="59960" xr:uid="{00000000-0005-0000-0000-0000DBC40000}"/>
    <cellStyle name="Normal 8 2 3 3 2 2 4" xfId="36459" xr:uid="{00000000-0005-0000-0000-0000DCC40000}"/>
    <cellStyle name="Normal 8 2 3 3 2 2 5" xfId="36460" xr:uid="{00000000-0005-0000-0000-0000DDC40000}"/>
    <cellStyle name="Normal 8 2 3 3 2 2 6" xfId="36461" xr:uid="{00000000-0005-0000-0000-0000DEC40000}"/>
    <cellStyle name="Normal 8 2 3 3 2 3" xfId="36462" xr:uid="{00000000-0005-0000-0000-0000DFC40000}"/>
    <cellStyle name="Normal 8 2 3 3 2 3 2" xfId="59961" xr:uid="{00000000-0005-0000-0000-0000E0C40000}"/>
    <cellStyle name="Normal 8 2 3 3 2 3 3" xfId="59962" xr:uid="{00000000-0005-0000-0000-0000E1C40000}"/>
    <cellStyle name="Normal 8 2 3 3 2 4" xfId="36463" xr:uid="{00000000-0005-0000-0000-0000E2C40000}"/>
    <cellStyle name="Normal 8 2 3 3 2 4 2" xfId="59963" xr:uid="{00000000-0005-0000-0000-0000E3C40000}"/>
    <cellStyle name="Normal 8 2 3 3 2 5" xfId="36464" xr:uid="{00000000-0005-0000-0000-0000E4C40000}"/>
    <cellStyle name="Normal 8 2 3 3 2 6" xfId="36465" xr:uid="{00000000-0005-0000-0000-0000E5C40000}"/>
    <cellStyle name="Normal 8 2 3 3 2 7" xfId="36466" xr:uid="{00000000-0005-0000-0000-0000E6C40000}"/>
    <cellStyle name="Normal 8 2 3 3 3" xfId="36467" xr:uid="{00000000-0005-0000-0000-0000E7C40000}"/>
    <cellStyle name="Normal 8 2 3 3 3 2" xfId="36468" xr:uid="{00000000-0005-0000-0000-0000E8C40000}"/>
    <cellStyle name="Normal 8 2 3 3 3 2 2" xfId="59964" xr:uid="{00000000-0005-0000-0000-0000E9C40000}"/>
    <cellStyle name="Normal 8 2 3 3 3 2 3" xfId="59965" xr:uid="{00000000-0005-0000-0000-0000EAC40000}"/>
    <cellStyle name="Normal 8 2 3 3 3 3" xfId="36469" xr:uid="{00000000-0005-0000-0000-0000EBC40000}"/>
    <cellStyle name="Normal 8 2 3 3 3 3 2" xfId="59966" xr:uid="{00000000-0005-0000-0000-0000ECC40000}"/>
    <cellStyle name="Normal 8 2 3 3 3 4" xfId="36470" xr:uid="{00000000-0005-0000-0000-0000EDC40000}"/>
    <cellStyle name="Normal 8 2 3 3 3 5" xfId="36471" xr:uid="{00000000-0005-0000-0000-0000EEC40000}"/>
    <cellStyle name="Normal 8 2 3 3 3 6" xfId="36472" xr:uid="{00000000-0005-0000-0000-0000EFC40000}"/>
    <cellStyle name="Normal 8 2 3 3 4" xfId="36473" xr:uid="{00000000-0005-0000-0000-0000F0C40000}"/>
    <cellStyle name="Normal 8 2 3 3 4 2" xfId="59967" xr:uid="{00000000-0005-0000-0000-0000F1C40000}"/>
    <cellStyle name="Normal 8 2 3 3 4 3" xfId="59968" xr:uid="{00000000-0005-0000-0000-0000F2C40000}"/>
    <cellStyle name="Normal 8 2 3 3 5" xfId="36474" xr:uid="{00000000-0005-0000-0000-0000F3C40000}"/>
    <cellStyle name="Normal 8 2 3 3 5 2" xfId="59969" xr:uid="{00000000-0005-0000-0000-0000F4C40000}"/>
    <cellStyle name="Normal 8 2 3 3 6" xfId="36475" xr:uid="{00000000-0005-0000-0000-0000F5C40000}"/>
    <cellStyle name="Normal 8 2 3 3 7" xfId="36476" xr:uid="{00000000-0005-0000-0000-0000F6C40000}"/>
    <cellStyle name="Normal 8 2 3 3 8" xfId="36477" xr:uid="{00000000-0005-0000-0000-0000F7C40000}"/>
    <cellStyle name="Normal 8 2 3 3 9" xfId="36478" xr:uid="{00000000-0005-0000-0000-0000F8C40000}"/>
    <cellStyle name="Normal 8 2 3 4" xfId="36479" xr:uid="{00000000-0005-0000-0000-0000F9C40000}"/>
    <cellStyle name="Normal 8 2 3 4 2" xfId="36480" xr:uid="{00000000-0005-0000-0000-0000FAC40000}"/>
    <cellStyle name="Normal 8 2 3 4 2 2" xfId="36481" xr:uid="{00000000-0005-0000-0000-0000FBC40000}"/>
    <cellStyle name="Normal 8 2 3 4 2 2 2" xfId="36482" xr:uid="{00000000-0005-0000-0000-0000FCC40000}"/>
    <cellStyle name="Normal 8 2 3 4 2 2 2 2" xfId="59970" xr:uid="{00000000-0005-0000-0000-0000FDC40000}"/>
    <cellStyle name="Normal 8 2 3 4 2 2 2 3" xfId="59971" xr:uid="{00000000-0005-0000-0000-0000FEC40000}"/>
    <cellStyle name="Normal 8 2 3 4 2 2 3" xfId="36483" xr:uid="{00000000-0005-0000-0000-0000FFC40000}"/>
    <cellStyle name="Normal 8 2 3 4 2 2 3 2" xfId="59972" xr:uid="{00000000-0005-0000-0000-000000C50000}"/>
    <cellStyle name="Normal 8 2 3 4 2 2 4" xfId="36484" xr:uid="{00000000-0005-0000-0000-000001C50000}"/>
    <cellStyle name="Normal 8 2 3 4 2 2 5" xfId="36485" xr:uid="{00000000-0005-0000-0000-000002C50000}"/>
    <cellStyle name="Normal 8 2 3 4 2 2 6" xfId="36486" xr:uid="{00000000-0005-0000-0000-000003C50000}"/>
    <cellStyle name="Normal 8 2 3 4 2 3" xfId="36487" xr:uid="{00000000-0005-0000-0000-000004C50000}"/>
    <cellStyle name="Normal 8 2 3 4 2 3 2" xfId="59973" xr:uid="{00000000-0005-0000-0000-000005C50000}"/>
    <cellStyle name="Normal 8 2 3 4 2 3 3" xfId="59974" xr:uid="{00000000-0005-0000-0000-000006C50000}"/>
    <cellStyle name="Normal 8 2 3 4 2 4" xfId="36488" xr:uid="{00000000-0005-0000-0000-000007C50000}"/>
    <cellStyle name="Normal 8 2 3 4 2 4 2" xfId="59975" xr:uid="{00000000-0005-0000-0000-000008C50000}"/>
    <cellStyle name="Normal 8 2 3 4 2 5" xfId="36489" xr:uid="{00000000-0005-0000-0000-000009C50000}"/>
    <cellStyle name="Normal 8 2 3 4 2 6" xfId="36490" xr:uid="{00000000-0005-0000-0000-00000AC50000}"/>
    <cellStyle name="Normal 8 2 3 4 2 7" xfId="36491" xr:uid="{00000000-0005-0000-0000-00000BC50000}"/>
    <cellStyle name="Normal 8 2 3 4 3" xfId="36492" xr:uid="{00000000-0005-0000-0000-00000CC50000}"/>
    <cellStyle name="Normal 8 2 3 4 3 2" xfId="36493" xr:uid="{00000000-0005-0000-0000-00000DC50000}"/>
    <cellStyle name="Normal 8 2 3 4 3 2 2" xfId="59976" xr:uid="{00000000-0005-0000-0000-00000EC50000}"/>
    <cellStyle name="Normal 8 2 3 4 3 2 3" xfId="59977" xr:uid="{00000000-0005-0000-0000-00000FC50000}"/>
    <cellStyle name="Normal 8 2 3 4 3 3" xfId="36494" xr:uid="{00000000-0005-0000-0000-000010C50000}"/>
    <cellStyle name="Normal 8 2 3 4 3 3 2" xfId="59978" xr:uid="{00000000-0005-0000-0000-000011C50000}"/>
    <cellStyle name="Normal 8 2 3 4 3 4" xfId="36495" xr:uid="{00000000-0005-0000-0000-000012C50000}"/>
    <cellStyle name="Normal 8 2 3 4 3 5" xfId="36496" xr:uid="{00000000-0005-0000-0000-000013C50000}"/>
    <cellStyle name="Normal 8 2 3 4 3 6" xfId="36497" xr:uid="{00000000-0005-0000-0000-000014C50000}"/>
    <cellStyle name="Normal 8 2 3 4 4" xfId="36498" xr:uid="{00000000-0005-0000-0000-000015C50000}"/>
    <cellStyle name="Normal 8 2 3 4 4 2" xfId="59979" xr:uid="{00000000-0005-0000-0000-000016C50000}"/>
    <cellStyle name="Normal 8 2 3 4 4 3" xfId="59980" xr:uid="{00000000-0005-0000-0000-000017C50000}"/>
    <cellStyle name="Normal 8 2 3 4 5" xfId="36499" xr:uid="{00000000-0005-0000-0000-000018C50000}"/>
    <cellStyle name="Normal 8 2 3 4 5 2" xfId="59981" xr:uid="{00000000-0005-0000-0000-000019C50000}"/>
    <cellStyle name="Normal 8 2 3 4 6" xfId="36500" xr:uid="{00000000-0005-0000-0000-00001AC50000}"/>
    <cellStyle name="Normal 8 2 3 4 7" xfId="36501" xr:uid="{00000000-0005-0000-0000-00001BC50000}"/>
    <cellStyle name="Normal 8 2 3 4 8" xfId="36502" xr:uid="{00000000-0005-0000-0000-00001CC50000}"/>
    <cellStyle name="Normal 8 2 3 5" xfId="36503" xr:uid="{00000000-0005-0000-0000-00001DC50000}"/>
    <cellStyle name="Normal 8 2 3 5 2" xfId="36504" xr:uid="{00000000-0005-0000-0000-00001EC50000}"/>
    <cellStyle name="Normal 8 2 3 5 2 2" xfId="36505" xr:uid="{00000000-0005-0000-0000-00001FC50000}"/>
    <cellStyle name="Normal 8 2 3 5 2 2 2" xfId="59982" xr:uid="{00000000-0005-0000-0000-000020C50000}"/>
    <cellStyle name="Normal 8 2 3 5 2 2 3" xfId="59983" xr:uid="{00000000-0005-0000-0000-000021C50000}"/>
    <cellStyle name="Normal 8 2 3 5 2 3" xfId="36506" xr:uid="{00000000-0005-0000-0000-000022C50000}"/>
    <cellStyle name="Normal 8 2 3 5 2 3 2" xfId="59984" xr:uid="{00000000-0005-0000-0000-000023C50000}"/>
    <cellStyle name="Normal 8 2 3 5 2 4" xfId="36507" xr:uid="{00000000-0005-0000-0000-000024C50000}"/>
    <cellStyle name="Normal 8 2 3 5 2 5" xfId="36508" xr:uid="{00000000-0005-0000-0000-000025C50000}"/>
    <cellStyle name="Normal 8 2 3 5 2 6" xfId="36509" xr:uid="{00000000-0005-0000-0000-000026C50000}"/>
    <cellStyle name="Normal 8 2 3 5 3" xfId="36510" xr:uid="{00000000-0005-0000-0000-000027C50000}"/>
    <cellStyle name="Normal 8 2 3 5 3 2" xfId="59985" xr:uid="{00000000-0005-0000-0000-000028C50000}"/>
    <cellStyle name="Normal 8 2 3 5 3 3" xfId="59986" xr:uid="{00000000-0005-0000-0000-000029C50000}"/>
    <cellStyle name="Normal 8 2 3 5 4" xfId="36511" xr:uid="{00000000-0005-0000-0000-00002AC50000}"/>
    <cellStyle name="Normal 8 2 3 5 4 2" xfId="59987" xr:uid="{00000000-0005-0000-0000-00002BC50000}"/>
    <cellStyle name="Normal 8 2 3 5 5" xfId="36512" xr:uid="{00000000-0005-0000-0000-00002CC50000}"/>
    <cellStyle name="Normal 8 2 3 5 6" xfId="36513" xr:uid="{00000000-0005-0000-0000-00002DC50000}"/>
    <cellStyle name="Normal 8 2 3 5 7" xfId="36514" xr:uid="{00000000-0005-0000-0000-00002EC50000}"/>
    <cellStyle name="Normal 8 2 3 6" xfId="36515" xr:uid="{00000000-0005-0000-0000-00002FC50000}"/>
    <cellStyle name="Normal 8 2 3 6 2" xfId="36516" xr:uid="{00000000-0005-0000-0000-000030C50000}"/>
    <cellStyle name="Normal 8 2 3 6 2 2" xfId="59988" xr:uid="{00000000-0005-0000-0000-000031C50000}"/>
    <cellStyle name="Normal 8 2 3 6 2 3" xfId="59989" xr:uid="{00000000-0005-0000-0000-000032C50000}"/>
    <cellStyle name="Normal 8 2 3 6 3" xfId="36517" xr:uid="{00000000-0005-0000-0000-000033C50000}"/>
    <cellStyle name="Normal 8 2 3 6 3 2" xfId="59990" xr:uid="{00000000-0005-0000-0000-000034C50000}"/>
    <cellStyle name="Normal 8 2 3 6 4" xfId="36518" xr:uid="{00000000-0005-0000-0000-000035C50000}"/>
    <cellStyle name="Normal 8 2 3 6 5" xfId="36519" xr:uid="{00000000-0005-0000-0000-000036C50000}"/>
    <cellStyle name="Normal 8 2 3 6 6" xfId="36520" xr:uid="{00000000-0005-0000-0000-000037C50000}"/>
    <cellStyle name="Normal 8 2 3 7" xfId="36521" xr:uid="{00000000-0005-0000-0000-000038C50000}"/>
    <cellStyle name="Normal 8 2 3 7 2" xfId="59991" xr:uid="{00000000-0005-0000-0000-000039C50000}"/>
    <cellStyle name="Normal 8 2 3 8" xfId="36522" xr:uid="{00000000-0005-0000-0000-00003AC50000}"/>
    <cellStyle name="Normal 8 2 3 9" xfId="36523" xr:uid="{00000000-0005-0000-0000-00003BC50000}"/>
    <cellStyle name="Normal 8 2 4" xfId="36524" xr:uid="{00000000-0005-0000-0000-00003CC50000}"/>
    <cellStyle name="Normal 8 2 4 10" xfId="36525" xr:uid="{00000000-0005-0000-0000-00003DC50000}"/>
    <cellStyle name="Normal 8 2 4 11" xfId="36526" xr:uid="{00000000-0005-0000-0000-00003EC50000}"/>
    <cellStyle name="Normal 8 2 4 12" xfId="36527" xr:uid="{00000000-0005-0000-0000-00003FC50000}"/>
    <cellStyle name="Normal 8 2 4 13" xfId="36528" xr:uid="{00000000-0005-0000-0000-000040C50000}"/>
    <cellStyle name="Normal 8 2 4 14" xfId="36529" xr:uid="{00000000-0005-0000-0000-000041C50000}"/>
    <cellStyle name="Normal 8 2 4 2" xfId="36530" xr:uid="{00000000-0005-0000-0000-000042C50000}"/>
    <cellStyle name="Normal 8 2 4 2 2" xfId="36531" xr:uid="{00000000-0005-0000-0000-000043C50000}"/>
    <cellStyle name="Normal 8 2 4 2 2 2" xfId="36532" xr:uid="{00000000-0005-0000-0000-000044C50000}"/>
    <cellStyle name="Normal 8 2 4 2 2 2 2" xfId="36533" xr:uid="{00000000-0005-0000-0000-000045C50000}"/>
    <cellStyle name="Normal 8 2 4 2 2 2 2 2" xfId="59992" xr:uid="{00000000-0005-0000-0000-000046C50000}"/>
    <cellStyle name="Normal 8 2 4 2 2 2 2 3" xfId="59993" xr:uid="{00000000-0005-0000-0000-000047C50000}"/>
    <cellStyle name="Normal 8 2 4 2 2 2 3" xfId="36534" xr:uid="{00000000-0005-0000-0000-000048C50000}"/>
    <cellStyle name="Normal 8 2 4 2 2 2 3 2" xfId="59994" xr:uid="{00000000-0005-0000-0000-000049C50000}"/>
    <cellStyle name="Normal 8 2 4 2 2 2 4" xfId="36535" xr:uid="{00000000-0005-0000-0000-00004AC50000}"/>
    <cellStyle name="Normal 8 2 4 2 2 2 5" xfId="36536" xr:uid="{00000000-0005-0000-0000-00004BC50000}"/>
    <cellStyle name="Normal 8 2 4 2 2 2 6" xfId="36537" xr:uid="{00000000-0005-0000-0000-00004CC50000}"/>
    <cellStyle name="Normal 8 2 4 2 2 3" xfId="36538" xr:uid="{00000000-0005-0000-0000-00004DC50000}"/>
    <cellStyle name="Normal 8 2 4 2 2 3 2" xfId="59995" xr:uid="{00000000-0005-0000-0000-00004EC50000}"/>
    <cellStyle name="Normal 8 2 4 2 2 3 3" xfId="59996" xr:uid="{00000000-0005-0000-0000-00004FC50000}"/>
    <cellStyle name="Normal 8 2 4 2 2 4" xfId="36539" xr:uid="{00000000-0005-0000-0000-000050C50000}"/>
    <cellStyle name="Normal 8 2 4 2 2 4 2" xfId="59997" xr:uid="{00000000-0005-0000-0000-000051C50000}"/>
    <cellStyle name="Normal 8 2 4 2 2 5" xfId="36540" xr:uid="{00000000-0005-0000-0000-000052C50000}"/>
    <cellStyle name="Normal 8 2 4 2 2 6" xfId="36541" xr:uid="{00000000-0005-0000-0000-000053C50000}"/>
    <cellStyle name="Normal 8 2 4 2 2 7" xfId="36542" xr:uid="{00000000-0005-0000-0000-000054C50000}"/>
    <cellStyle name="Normal 8 2 4 2 3" xfId="36543" xr:uid="{00000000-0005-0000-0000-000055C50000}"/>
    <cellStyle name="Normal 8 2 4 2 3 2" xfId="36544" xr:uid="{00000000-0005-0000-0000-000056C50000}"/>
    <cellStyle name="Normal 8 2 4 2 3 2 2" xfId="59998" xr:uid="{00000000-0005-0000-0000-000057C50000}"/>
    <cellStyle name="Normal 8 2 4 2 3 2 3" xfId="59999" xr:uid="{00000000-0005-0000-0000-000058C50000}"/>
    <cellStyle name="Normal 8 2 4 2 3 3" xfId="36545" xr:uid="{00000000-0005-0000-0000-000059C50000}"/>
    <cellStyle name="Normal 8 2 4 2 3 3 2" xfId="60000" xr:uid="{00000000-0005-0000-0000-00005AC50000}"/>
    <cellStyle name="Normal 8 2 4 2 3 4" xfId="36546" xr:uid="{00000000-0005-0000-0000-00005BC50000}"/>
    <cellStyle name="Normal 8 2 4 2 3 5" xfId="36547" xr:uid="{00000000-0005-0000-0000-00005CC50000}"/>
    <cellStyle name="Normal 8 2 4 2 3 6" xfId="36548" xr:uid="{00000000-0005-0000-0000-00005DC50000}"/>
    <cellStyle name="Normal 8 2 4 2 4" xfId="36549" xr:uid="{00000000-0005-0000-0000-00005EC50000}"/>
    <cellStyle name="Normal 8 2 4 2 4 2" xfId="60001" xr:uid="{00000000-0005-0000-0000-00005FC50000}"/>
    <cellStyle name="Normal 8 2 4 2 4 3" xfId="60002" xr:uid="{00000000-0005-0000-0000-000060C50000}"/>
    <cellStyle name="Normal 8 2 4 2 5" xfId="36550" xr:uid="{00000000-0005-0000-0000-000061C50000}"/>
    <cellStyle name="Normal 8 2 4 2 5 2" xfId="60003" xr:uid="{00000000-0005-0000-0000-000062C50000}"/>
    <cellStyle name="Normal 8 2 4 2 6" xfId="36551" xr:uid="{00000000-0005-0000-0000-000063C50000}"/>
    <cellStyle name="Normal 8 2 4 2 7" xfId="36552" xr:uid="{00000000-0005-0000-0000-000064C50000}"/>
    <cellStyle name="Normal 8 2 4 2 8" xfId="36553" xr:uid="{00000000-0005-0000-0000-000065C50000}"/>
    <cellStyle name="Normal 8 2 4 2 9" xfId="36554" xr:uid="{00000000-0005-0000-0000-000066C50000}"/>
    <cellStyle name="Normal 8 2 4 3" xfId="36555" xr:uid="{00000000-0005-0000-0000-000067C50000}"/>
    <cellStyle name="Normal 8 2 4 3 2" xfId="36556" xr:uid="{00000000-0005-0000-0000-000068C50000}"/>
    <cellStyle name="Normal 8 2 4 3 2 2" xfId="36557" xr:uid="{00000000-0005-0000-0000-000069C50000}"/>
    <cellStyle name="Normal 8 2 4 3 2 2 2" xfId="36558" xr:uid="{00000000-0005-0000-0000-00006AC50000}"/>
    <cellStyle name="Normal 8 2 4 3 2 2 2 2" xfId="60004" xr:uid="{00000000-0005-0000-0000-00006BC50000}"/>
    <cellStyle name="Normal 8 2 4 3 2 2 2 3" xfId="60005" xr:uid="{00000000-0005-0000-0000-00006CC50000}"/>
    <cellStyle name="Normal 8 2 4 3 2 2 3" xfId="36559" xr:uid="{00000000-0005-0000-0000-00006DC50000}"/>
    <cellStyle name="Normal 8 2 4 3 2 2 3 2" xfId="60006" xr:uid="{00000000-0005-0000-0000-00006EC50000}"/>
    <cellStyle name="Normal 8 2 4 3 2 2 4" xfId="36560" xr:uid="{00000000-0005-0000-0000-00006FC50000}"/>
    <cellStyle name="Normal 8 2 4 3 2 2 5" xfId="36561" xr:uid="{00000000-0005-0000-0000-000070C50000}"/>
    <cellStyle name="Normal 8 2 4 3 2 2 6" xfId="36562" xr:uid="{00000000-0005-0000-0000-000071C50000}"/>
    <cellStyle name="Normal 8 2 4 3 2 3" xfId="36563" xr:uid="{00000000-0005-0000-0000-000072C50000}"/>
    <cellStyle name="Normal 8 2 4 3 2 3 2" xfId="60007" xr:uid="{00000000-0005-0000-0000-000073C50000}"/>
    <cellStyle name="Normal 8 2 4 3 2 3 3" xfId="60008" xr:uid="{00000000-0005-0000-0000-000074C50000}"/>
    <cellStyle name="Normal 8 2 4 3 2 4" xfId="36564" xr:uid="{00000000-0005-0000-0000-000075C50000}"/>
    <cellStyle name="Normal 8 2 4 3 2 4 2" xfId="60009" xr:uid="{00000000-0005-0000-0000-000076C50000}"/>
    <cellStyle name="Normal 8 2 4 3 2 5" xfId="36565" xr:uid="{00000000-0005-0000-0000-000077C50000}"/>
    <cellStyle name="Normal 8 2 4 3 2 6" xfId="36566" xr:uid="{00000000-0005-0000-0000-000078C50000}"/>
    <cellStyle name="Normal 8 2 4 3 2 7" xfId="36567" xr:uid="{00000000-0005-0000-0000-000079C50000}"/>
    <cellStyle name="Normal 8 2 4 3 3" xfId="36568" xr:uid="{00000000-0005-0000-0000-00007AC50000}"/>
    <cellStyle name="Normal 8 2 4 3 3 2" xfId="36569" xr:uid="{00000000-0005-0000-0000-00007BC50000}"/>
    <cellStyle name="Normal 8 2 4 3 3 2 2" xfId="60010" xr:uid="{00000000-0005-0000-0000-00007CC50000}"/>
    <cellStyle name="Normal 8 2 4 3 3 2 3" xfId="60011" xr:uid="{00000000-0005-0000-0000-00007DC50000}"/>
    <cellStyle name="Normal 8 2 4 3 3 3" xfId="36570" xr:uid="{00000000-0005-0000-0000-00007EC50000}"/>
    <cellStyle name="Normal 8 2 4 3 3 3 2" xfId="60012" xr:uid="{00000000-0005-0000-0000-00007FC50000}"/>
    <cellStyle name="Normal 8 2 4 3 3 4" xfId="36571" xr:uid="{00000000-0005-0000-0000-000080C50000}"/>
    <cellStyle name="Normal 8 2 4 3 3 5" xfId="36572" xr:uid="{00000000-0005-0000-0000-000081C50000}"/>
    <cellStyle name="Normal 8 2 4 3 3 6" xfId="36573" xr:uid="{00000000-0005-0000-0000-000082C50000}"/>
    <cellStyle name="Normal 8 2 4 3 4" xfId="36574" xr:uid="{00000000-0005-0000-0000-000083C50000}"/>
    <cellStyle name="Normal 8 2 4 3 4 2" xfId="60013" xr:uid="{00000000-0005-0000-0000-000084C50000}"/>
    <cellStyle name="Normal 8 2 4 3 4 3" xfId="60014" xr:uid="{00000000-0005-0000-0000-000085C50000}"/>
    <cellStyle name="Normal 8 2 4 3 5" xfId="36575" xr:uid="{00000000-0005-0000-0000-000086C50000}"/>
    <cellStyle name="Normal 8 2 4 3 5 2" xfId="60015" xr:uid="{00000000-0005-0000-0000-000087C50000}"/>
    <cellStyle name="Normal 8 2 4 3 6" xfId="36576" xr:uid="{00000000-0005-0000-0000-000088C50000}"/>
    <cellStyle name="Normal 8 2 4 3 7" xfId="36577" xr:uid="{00000000-0005-0000-0000-000089C50000}"/>
    <cellStyle name="Normal 8 2 4 3 8" xfId="36578" xr:uid="{00000000-0005-0000-0000-00008AC50000}"/>
    <cellStyle name="Normal 8 2 4 4" xfId="36579" xr:uid="{00000000-0005-0000-0000-00008BC50000}"/>
    <cellStyle name="Normal 8 2 4 4 2" xfId="36580" xr:uid="{00000000-0005-0000-0000-00008CC50000}"/>
    <cellStyle name="Normal 8 2 4 4 2 2" xfId="36581" xr:uid="{00000000-0005-0000-0000-00008DC50000}"/>
    <cellStyle name="Normal 8 2 4 4 2 2 2" xfId="60016" xr:uid="{00000000-0005-0000-0000-00008EC50000}"/>
    <cellStyle name="Normal 8 2 4 4 2 2 3" xfId="60017" xr:uid="{00000000-0005-0000-0000-00008FC50000}"/>
    <cellStyle name="Normal 8 2 4 4 2 3" xfId="36582" xr:uid="{00000000-0005-0000-0000-000090C50000}"/>
    <cellStyle name="Normal 8 2 4 4 2 3 2" xfId="60018" xr:uid="{00000000-0005-0000-0000-000091C50000}"/>
    <cellStyle name="Normal 8 2 4 4 2 4" xfId="36583" xr:uid="{00000000-0005-0000-0000-000092C50000}"/>
    <cellStyle name="Normal 8 2 4 4 2 5" xfId="36584" xr:uid="{00000000-0005-0000-0000-000093C50000}"/>
    <cellStyle name="Normal 8 2 4 4 2 6" xfId="36585" xr:uid="{00000000-0005-0000-0000-000094C50000}"/>
    <cellStyle name="Normal 8 2 4 4 3" xfId="36586" xr:uid="{00000000-0005-0000-0000-000095C50000}"/>
    <cellStyle name="Normal 8 2 4 4 3 2" xfId="60019" xr:uid="{00000000-0005-0000-0000-000096C50000}"/>
    <cellStyle name="Normal 8 2 4 4 3 3" xfId="60020" xr:uid="{00000000-0005-0000-0000-000097C50000}"/>
    <cellStyle name="Normal 8 2 4 4 4" xfId="36587" xr:uid="{00000000-0005-0000-0000-000098C50000}"/>
    <cellStyle name="Normal 8 2 4 4 4 2" xfId="60021" xr:uid="{00000000-0005-0000-0000-000099C50000}"/>
    <cellStyle name="Normal 8 2 4 4 5" xfId="36588" xr:uid="{00000000-0005-0000-0000-00009AC50000}"/>
    <cellStyle name="Normal 8 2 4 4 6" xfId="36589" xr:uid="{00000000-0005-0000-0000-00009BC50000}"/>
    <cellStyle name="Normal 8 2 4 4 7" xfId="36590" xr:uid="{00000000-0005-0000-0000-00009CC50000}"/>
    <cellStyle name="Normal 8 2 4 5" xfId="36591" xr:uid="{00000000-0005-0000-0000-00009DC50000}"/>
    <cellStyle name="Normal 8 2 4 5 2" xfId="36592" xr:uid="{00000000-0005-0000-0000-00009EC50000}"/>
    <cellStyle name="Normal 8 2 4 5 2 2" xfId="60022" xr:uid="{00000000-0005-0000-0000-00009FC50000}"/>
    <cellStyle name="Normal 8 2 4 5 2 3" xfId="60023" xr:uid="{00000000-0005-0000-0000-0000A0C50000}"/>
    <cellStyle name="Normal 8 2 4 5 3" xfId="36593" xr:uid="{00000000-0005-0000-0000-0000A1C50000}"/>
    <cellStyle name="Normal 8 2 4 5 3 2" xfId="60024" xr:uid="{00000000-0005-0000-0000-0000A2C50000}"/>
    <cellStyle name="Normal 8 2 4 5 4" xfId="36594" xr:uid="{00000000-0005-0000-0000-0000A3C50000}"/>
    <cellStyle name="Normal 8 2 4 5 5" xfId="36595" xr:uid="{00000000-0005-0000-0000-0000A4C50000}"/>
    <cellStyle name="Normal 8 2 4 5 6" xfId="36596" xr:uid="{00000000-0005-0000-0000-0000A5C50000}"/>
    <cellStyle name="Normal 8 2 4 6" xfId="36597" xr:uid="{00000000-0005-0000-0000-0000A6C50000}"/>
    <cellStyle name="Normal 8 2 4 6 2" xfId="60025" xr:uid="{00000000-0005-0000-0000-0000A7C50000}"/>
    <cellStyle name="Normal 8 2 4 6 3" xfId="60026" xr:uid="{00000000-0005-0000-0000-0000A8C50000}"/>
    <cellStyle name="Normal 8 2 4 7" xfId="36598" xr:uid="{00000000-0005-0000-0000-0000A9C50000}"/>
    <cellStyle name="Normal 8 2 4 7 2" xfId="60027" xr:uid="{00000000-0005-0000-0000-0000AAC50000}"/>
    <cellStyle name="Normal 8 2 4 8" xfId="36599" xr:uid="{00000000-0005-0000-0000-0000ABC50000}"/>
    <cellStyle name="Normal 8 2 4 9" xfId="36600" xr:uid="{00000000-0005-0000-0000-0000ACC50000}"/>
    <cellStyle name="Normal 8 2 5" xfId="36601" xr:uid="{00000000-0005-0000-0000-0000ADC50000}"/>
    <cellStyle name="Normal 8 2 5 10" xfId="36602" xr:uid="{00000000-0005-0000-0000-0000AEC50000}"/>
    <cellStyle name="Normal 8 2 5 11" xfId="36603" xr:uid="{00000000-0005-0000-0000-0000AFC50000}"/>
    <cellStyle name="Normal 8 2 5 12" xfId="36604" xr:uid="{00000000-0005-0000-0000-0000B0C50000}"/>
    <cellStyle name="Normal 8 2 5 13" xfId="36605" xr:uid="{00000000-0005-0000-0000-0000B1C50000}"/>
    <cellStyle name="Normal 8 2 5 14" xfId="36606" xr:uid="{00000000-0005-0000-0000-0000B2C50000}"/>
    <cellStyle name="Normal 8 2 5 2" xfId="36607" xr:uid="{00000000-0005-0000-0000-0000B3C50000}"/>
    <cellStyle name="Normal 8 2 5 2 2" xfId="36608" xr:uid="{00000000-0005-0000-0000-0000B4C50000}"/>
    <cellStyle name="Normal 8 2 5 2 2 2" xfId="36609" xr:uid="{00000000-0005-0000-0000-0000B5C50000}"/>
    <cellStyle name="Normal 8 2 5 2 2 2 2" xfId="36610" xr:uid="{00000000-0005-0000-0000-0000B6C50000}"/>
    <cellStyle name="Normal 8 2 5 2 2 2 2 2" xfId="60028" xr:uid="{00000000-0005-0000-0000-0000B7C50000}"/>
    <cellStyle name="Normal 8 2 5 2 2 2 2 3" xfId="60029" xr:uid="{00000000-0005-0000-0000-0000B8C50000}"/>
    <cellStyle name="Normal 8 2 5 2 2 2 3" xfId="36611" xr:uid="{00000000-0005-0000-0000-0000B9C50000}"/>
    <cellStyle name="Normal 8 2 5 2 2 2 3 2" xfId="60030" xr:uid="{00000000-0005-0000-0000-0000BAC50000}"/>
    <cellStyle name="Normal 8 2 5 2 2 2 4" xfId="36612" xr:uid="{00000000-0005-0000-0000-0000BBC50000}"/>
    <cellStyle name="Normal 8 2 5 2 2 2 5" xfId="36613" xr:uid="{00000000-0005-0000-0000-0000BCC50000}"/>
    <cellStyle name="Normal 8 2 5 2 2 2 6" xfId="36614" xr:uid="{00000000-0005-0000-0000-0000BDC50000}"/>
    <cellStyle name="Normal 8 2 5 2 2 3" xfId="36615" xr:uid="{00000000-0005-0000-0000-0000BEC50000}"/>
    <cellStyle name="Normal 8 2 5 2 2 3 2" xfId="60031" xr:uid="{00000000-0005-0000-0000-0000BFC50000}"/>
    <cellStyle name="Normal 8 2 5 2 2 3 3" xfId="60032" xr:uid="{00000000-0005-0000-0000-0000C0C50000}"/>
    <cellStyle name="Normal 8 2 5 2 2 4" xfId="36616" xr:uid="{00000000-0005-0000-0000-0000C1C50000}"/>
    <cellStyle name="Normal 8 2 5 2 2 4 2" xfId="60033" xr:uid="{00000000-0005-0000-0000-0000C2C50000}"/>
    <cellStyle name="Normal 8 2 5 2 2 5" xfId="36617" xr:uid="{00000000-0005-0000-0000-0000C3C50000}"/>
    <cellStyle name="Normal 8 2 5 2 2 6" xfId="36618" xr:uid="{00000000-0005-0000-0000-0000C4C50000}"/>
    <cellStyle name="Normal 8 2 5 2 2 7" xfId="36619" xr:uid="{00000000-0005-0000-0000-0000C5C50000}"/>
    <cellStyle name="Normal 8 2 5 2 3" xfId="36620" xr:uid="{00000000-0005-0000-0000-0000C6C50000}"/>
    <cellStyle name="Normal 8 2 5 2 3 2" xfId="36621" xr:uid="{00000000-0005-0000-0000-0000C7C50000}"/>
    <cellStyle name="Normal 8 2 5 2 3 2 2" xfId="60034" xr:uid="{00000000-0005-0000-0000-0000C8C50000}"/>
    <cellStyle name="Normal 8 2 5 2 3 2 3" xfId="60035" xr:uid="{00000000-0005-0000-0000-0000C9C50000}"/>
    <cellStyle name="Normal 8 2 5 2 3 3" xfId="36622" xr:uid="{00000000-0005-0000-0000-0000CAC50000}"/>
    <cellStyle name="Normal 8 2 5 2 3 3 2" xfId="60036" xr:uid="{00000000-0005-0000-0000-0000CBC50000}"/>
    <cellStyle name="Normal 8 2 5 2 3 4" xfId="36623" xr:uid="{00000000-0005-0000-0000-0000CCC50000}"/>
    <cellStyle name="Normal 8 2 5 2 3 5" xfId="36624" xr:uid="{00000000-0005-0000-0000-0000CDC50000}"/>
    <cellStyle name="Normal 8 2 5 2 3 6" xfId="36625" xr:uid="{00000000-0005-0000-0000-0000CEC50000}"/>
    <cellStyle name="Normal 8 2 5 2 4" xfId="36626" xr:uid="{00000000-0005-0000-0000-0000CFC50000}"/>
    <cellStyle name="Normal 8 2 5 2 4 2" xfId="60037" xr:uid="{00000000-0005-0000-0000-0000D0C50000}"/>
    <cellStyle name="Normal 8 2 5 2 4 3" xfId="60038" xr:uid="{00000000-0005-0000-0000-0000D1C50000}"/>
    <cellStyle name="Normal 8 2 5 2 5" xfId="36627" xr:uid="{00000000-0005-0000-0000-0000D2C50000}"/>
    <cellStyle name="Normal 8 2 5 2 5 2" xfId="60039" xr:uid="{00000000-0005-0000-0000-0000D3C50000}"/>
    <cellStyle name="Normal 8 2 5 2 6" xfId="36628" xr:uid="{00000000-0005-0000-0000-0000D4C50000}"/>
    <cellStyle name="Normal 8 2 5 2 7" xfId="36629" xr:uid="{00000000-0005-0000-0000-0000D5C50000}"/>
    <cellStyle name="Normal 8 2 5 2 8" xfId="36630" xr:uid="{00000000-0005-0000-0000-0000D6C50000}"/>
    <cellStyle name="Normal 8 2 5 2 9" xfId="36631" xr:uid="{00000000-0005-0000-0000-0000D7C50000}"/>
    <cellStyle name="Normal 8 2 5 3" xfId="36632" xr:uid="{00000000-0005-0000-0000-0000D8C50000}"/>
    <cellStyle name="Normal 8 2 5 3 2" xfId="36633" xr:uid="{00000000-0005-0000-0000-0000D9C50000}"/>
    <cellStyle name="Normal 8 2 5 3 2 2" xfId="36634" xr:uid="{00000000-0005-0000-0000-0000DAC50000}"/>
    <cellStyle name="Normal 8 2 5 3 2 2 2" xfId="36635" xr:uid="{00000000-0005-0000-0000-0000DBC50000}"/>
    <cellStyle name="Normal 8 2 5 3 2 2 2 2" xfId="60040" xr:uid="{00000000-0005-0000-0000-0000DCC50000}"/>
    <cellStyle name="Normal 8 2 5 3 2 2 2 3" xfId="60041" xr:uid="{00000000-0005-0000-0000-0000DDC50000}"/>
    <cellStyle name="Normal 8 2 5 3 2 2 3" xfId="36636" xr:uid="{00000000-0005-0000-0000-0000DEC50000}"/>
    <cellStyle name="Normal 8 2 5 3 2 2 3 2" xfId="60042" xr:uid="{00000000-0005-0000-0000-0000DFC50000}"/>
    <cellStyle name="Normal 8 2 5 3 2 2 4" xfId="36637" xr:uid="{00000000-0005-0000-0000-0000E0C50000}"/>
    <cellStyle name="Normal 8 2 5 3 2 2 5" xfId="36638" xr:uid="{00000000-0005-0000-0000-0000E1C50000}"/>
    <cellStyle name="Normal 8 2 5 3 2 2 6" xfId="36639" xr:uid="{00000000-0005-0000-0000-0000E2C50000}"/>
    <cellStyle name="Normal 8 2 5 3 2 3" xfId="36640" xr:uid="{00000000-0005-0000-0000-0000E3C50000}"/>
    <cellStyle name="Normal 8 2 5 3 2 3 2" xfId="60043" xr:uid="{00000000-0005-0000-0000-0000E4C50000}"/>
    <cellStyle name="Normal 8 2 5 3 2 3 3" xfId="60044" xr:uid="{00000000-0005-0000-0000-0000E5C50000}"/>
    <cellStyle name="Normal 8 2 5 3 2 4" xfId="36641" xr:uid="{00000000-0005-0000-0000-0000E6C50000}"/>
    <cellStyle name="Normal 8 2 5 3 2 4 2" xfId="60045" xr:uid="{00000000-0005-0000-0000-0000E7C50000}"/>
    <cellStyle name="Normal 8 2 5 3 2 5" xfId="36642" xr:uid="{00000000-0005-0000-0000-0000E8C50000}"/>
    <cellStyle name="Normal 8 2 5 3 2 6" xfId="36643" xr:uid="{00000000-0005-0000-0000-0000E9C50000}"/>
    <cellStyle name="Normal 8 2 5 3 2 7" xfId="36644" xr:uid="{00000000-0005-0000-0000-0000EAC50000}"/>
    <cellStyle name="Normal 8 2 5 3 3" xfId="36645" xr:uid="{00000000-0005-0000-0000-0000EBC50000}"/>
    <cellStyle name="Normal 8 2 5 3 3 2" xfId="36646" xr:uid="{00000000-0005-0000-0000-0000ECC50000}"/>
    <cellStyle name="Normal 8 2 5 3 3 2 2" xfId="60046" xr:uid="{00000000-0005-0000-0000-0000EDC50000}"/>
    <cellStyle name="Normal 8 2 5 3 3 2 3" xfId="60047" xr:uid="{00000000-0005-0000-0000-0000EEC50000}"/>
    <cellStyle name="Normal 8 2 5 3 3 3" xfId="36647" xr:uid="{00000000-0005-0000-0000-0000EFC50000}"/>
    <cellStyle name="Normal 8 2 5 3 3 3 2" xfId="60048" xr:uid="{00000000-0005-0000-0000-0000F0C50000}"/>
    <cellStyle name="Normal 8 2 5 3 3 4" xfId="36648" xr:uid="{00000000-0005-0000-0000-0000F1C50000}"/>
    <cellStyle name="Normal 8 2 5 3 3 5" xfId="36649" xr:uid="{00000000-0005-0000-0000-0000F2C50000}"/>
    <cellStyle name="Normal 8 2 5 3 3 6" xfId="36650" xr:uid="{00000000-0005-0000-0000-0000F3C50000}"/>
    <cellStyle name="Normal 8 2 5 3 4" xfId="36651" xr:uid="{00000000-0005-0000-0000-0000F4C50000}"/>
    <cellStyle name="Normal 8 2 5 3 4 2" xfId="60049" xr:uid="{00000000-0005-0000-0000-0000F5C50000}"/>
    <cellStyle name="Normal 8 2 5 3 4 3" xfId="60050" xr:uid="{00000000-0005-0000-0000-0000F6C50000}"/>
    <cellStyle name="Normal 8 2 5 3 5" xfId="36652" xr:uid="{00000000-0005-0000-0000-0000F7C50000}"/>
    <cellStyle name="Normal 8 2 5 3 5 2" xfId="60051" xr:uid="{00000000-0005-0000-0000-0000F8C50000}"/>
    <cellStyle name="Normal 8 2 5 3 6" xfId="36653" xr:uid="{00000000-0005-0000-0000-0000F9C50000}"/>
    <cellStyle name="Normal 8 2 5 3 7" xfId="36654" xr:uid="{00000000-0005-0000-0000-0000FAC50000}"/>
    <cellStyle name="Normal 8 2 5 3 8" xfId="36655" xr:uid="{00000000-0005-0000-0000-0000FBC50000}"/>
    <cellStyle name="Normal 8 2 5 4" xfId="36656" xr:uid="{00000000-0005-0000-0000-0000FCC50000}"/>
    <cellStyle name="Normal 8 2 5 4 2" xfId="36657" xr:uid="{00000000-0005-0000-0000-0000FDC50000}"/>
    <cellStyle name="Normal 8 2 5 4 2 2" xfId="36658" xr:uid="{00000000-0005-0000-0000-0000FEC50000}"/>
    <cellStyle name="Normal 8 2 5 4 2 2 2" xfId="60052" xr:uid="{00000000-0005-0000-0000-0000FFC50000}"/>
    <cellStyle name="Normal 8 2 5 4 2 2 3" xfId="60053" xr:uid="{00000000-0005-0000-0000-000000C60000}"/>
    <cellStyle name="Normal 8 2 5 4 2 3" xfId="36659" xr:uid="{00000000-0005-0000-0000-000001C60000}"/>
    <cellStyle name="Normal 8 2 5 4 2 3 2" xfId="60054" xr:uid="{00000000-0005-0000-0000-000002C60000}"/>
    <cellStyle name="Normal 8 2 5 4 2 4" xfId="36660" xr:uid="{00000000-0005-0000-0000-000003C60000}"/>
    <cellStyle name="Normal 8 2 5 4 2 5" xfId="36661" xr:uid="{00000000-0005-0000-0000-000004C60000}"/>
    <cellStyle name="Normal 8 2 5 4 2 6" xfId="36662" xr:uid="{00000000-0005-0000-0000-000005C60000}"/>
    <cellStyle name="Normal 8 2 5 4 3" xfId="36663" xr:uid="{00000000-0005-0000-0000-000006C60000}"/>
    <cellStyle name="Normal 8 2 5 4 3 2" xfId="60055" xr:uid="{00000000-0005-0000-0000-000007C60000}"/>
    <cellStyle name="Normal 8 2 5 4 3 3" xfId="60056" xr:uid="{00000000-0005-0000-0000-000008C60000}"/>
    <cellStyle name="Normal 8 2 5 4 4" xfId="36664" xr:uid="{00000000-0005-0000-0000-000009C60000}"/>
    <cellStyle name="Normal 8 2 5 4 4 2" xfId="60057" xr:uid="{00000000-0005-0000-0000-00000AC60000}"/>
    <cellStyle name="Normal 8 2 5 4 5" xfId="36665" xr:uid="{00000000-0005-0000-0000-00000BC60000}"/>
    <cellStyle name="Normal 8 2 5 4 6" xfId="36666" xr:uid="{00000000-0005-0000-0000-00000CC60000}"/>
    <cellStyle name="Normal 8 2 5 4 7" xfId="36667" xr:uid="{00000000-0005-0000-0000-00000DC60000}"/>
    <cellStyle name="Normal 8 2 5 5" xfId="36668" xr:uid="{00000000-0005-0000-0000-00000EC60000}"/>
    <cellStyle name="Normal 8 2 5 5 2" xfId="36669" xr:uid="{00000000-0005-0000-0000-00000FC60000}"/>
    <cellStyle name="Normal 8 2 5 5 2 2" xfId="60058" xr:uid="{00000000-0005-0000-0000-000010C60000}"/>
    <cellStyle name="Normal 8 2 5 5 2 3" xfId="60059" xr:uid="{00000000-0005-0000-0000-000011C60000}"/>
    <cellStyle name="Normal 8 2 5 5 3" xfId="36670" xr:uid="{00000000-0005-0000-0000-000012C60000}"/>
    <cellStyle name="Normal 8 2 5 5 3 2" xfId="60060" xr:uid="{00000000-0005-0000-0000-000013C60000}"/>
    <cellStyle name="Normal 8 2 5 5 4" xfId="36671" xr:uid="{00000000-0005-0000-0000-000014C60000}"/>
    <cellStyle name="Normal 8 2 5 5 5" xfId="36672" xr:uid="{00000000-0005-0000-0000-000015C60000}"/>
    <cellStyle name="Normal 8 2 5 5 6" xfId="36673" xr:uid="{00000000-0005-0000-0000-000016C60000}"/>
    <cellStyle name="Normal 8 2 5 6" xfId="36674" xr:uid="{00000000-0005-0000-0000-000017C60000}"/>
    <cellStyle name="Normal 8 2 5 6 2" xfId="60061" xr:uid="{00000000-0005-0000-0000-000018C60000}"/>
    <cellStyle name="Normal 8 2 5 6 3" xfId="60062" xr:uid="{00000000-0005-0000-0000-000019C60000}"/>
    <cellStyle name="Normal 8 2 5 7" xfId="36675" xr:uid="{00000000-0005-0000-0000-00001AC60000}"/>
    <cellStyle name="Normal 8 2 5 7 2" xfId="60063" xr:uid="{00000000-0005-0000-0000-00001BC60000}"/>
    <cellStyle name="Normal 8 2 5 8" xfId="36676" xr:uid="{00000000-0005-0000-0000-00001CC60000}"/>
    <cellStyle name="Normal 8 2 5 9" xfId="36677" xr:uid="{00000000-0005-0000-0000-00001DC60000}"/>
    <cellStyle name="Normal 8 2 6" xfId="36678" xr:uid="{00000000-0005-0000-0000-00001EC60000}"/>
    <cellStyle name="Normal 8 2 6 10" xfId="36679" xr:uid="{00000000-0005-0000-0000-00001FC60000}"/>
    <cellStyle name="Normal 8 2 6 11" xfId="36680" xr:uid="{00000000-0005-0000-0000-000020C60000}"/>
    <cellStyle name="Normal 8 2 6 12" xfId="36681" xr:uid="{00000000-0005-0000-0000-000021C60000}"/>
    <cellStyle name="Normal 8 2 6 13" xfId="36682" xr:uid="{00000000-0005-0000-0000-000022C60000}"/>
    <cellStyle name="Normal 8 2 6 2" xfId="36683" xr:uid="{00000000-0005-0000-0000-000023C60000}"/>
    <cellStyle name="Normal 8 2 6 2 2" xfId="36684" xr:uid="{00000000-0005-0000-0000-000024C60000}"/>
    <cellStyle name="Normal 8 2 6 2 2 2" xfId="36685" xr:uid="{00000000-0005-0000-0000-000025C60000}"/>
    <cellStyle name="Normal 8 2 6 2 2 2 2" xfId="36686" xr:uid="{00000000-0005-0000-0000-000026C60000}"/>
    <cellStyle name="Normal 8 2 6 2 2 2 2 2" xfId="60064" xr:uid="{00000000-0005-0000-0000-000027C60000}"/>
    <cellStyle name="Normal 8 2 6 2 2 2 2 3" xfId="60065" xr:uid="{00000000-0005-0000-0000-000028C60000}"/>
    <cellStyle name="Normal 8 2 6 2 2 2 3" xfId="36687" xr:uid="{00000000-0005-0000-0000-000029C60000}"/>
    <cellStyle name="Normal 8 2 6 2 2 2 3 2" xfId="60066" xr:uid="{00000000-0005-0000-0000-00002AC60000}"/>
    <cellStyle name="Normal 8 2 6 2 2 2 4" xfId="36688" xr:uid="{00000000-0005-0000-0000-00002BC60000}"/>
    <cellStyle name="Normal 8 2 6 2 2 2 5" xfId="36689" xr:uid="{00000000-0005-0000-0000-00002CC60000}"/>
    <cellStyle name="Normal 8 2 6 2 2 2 6" xfId="36690" xr:uid="{00000000-0005-0000-0000-00002DC60000}"/>
    <cellStyle name="Normal 8 2 6 2 2 3" xfId="36691" xr:uid="{00000000-0005-0000-0000-00002EC60000}"/>
    <cellStyle name="Normal 8 2 6 2 2 3 2" xfId="60067" xr:uid="{00000000-0005-0000-0000-00002FC60000}"/>
    <cellStyle name="Normal 8 2 6 2 2 3 3" xfId="60068" xr:uid="{00000000-0005-0000-0000-000030C60000}"/>
    <cellStyle name="Normal 8 2 6 2 2 4" xfId="36692" xr:uid="{00000000-0005-0000-0000-000031C60000}"/>
    <cellStyle name="Normal 8 2 6 2 2 4 2" xfId="60069" xr:uid="{00000000-0005-0000-0000-000032C60000}"/>
    <cellStyle name="Normal 8 2 6 2 2 5" xfId="36693" xr:uid="{00000000-0005-0000-0000-000033C60000}"/>
    <cellStyle name="Normal 8 2 6 2 2 6" xfId="36694" xr:uid="{00000000-0005-0000-0000-000034C60000}"/>
    <cellStyle name="Normal 8 2 6 2 2 7" xfId="36695" xr:uid="{00000000-0005-0000-0000-000035C60000}"/>
    <cellStyle name="Normal 8 2 6 2 3" xfId="36696" xr:uid="{00000000-0005-0000-0000-000036C60000}"/>
    <cellStyle name="Normal 8 2 6 2 3 2" xfId="36697" xr:uid="{00000000-0005-0000-0000-000037C60000}"/>
    <cellStyle name="Normal 8 2 6 2 3 2 2" xfId="60070" xr:uid="{00000000-0005-0000-0000-000038C60000}"/>
    <cellStyle name="Normal 8 2 6 2 3 2 3" xfId="60071" xr:uid="{00000000-0005-0000-0000-000039C60000}"/>
    <cellStyle name="Normal 8 2 6 2 3 3" xfId="36698" xr:uid="{00000000-0005-0000-0000-00003AC60000}"/>
    <cellStyle name="Normal 8 2 6 2 3 3 2" xfId="60072" xr:uid="{00000000-0005-0000-0000-00003BC60000}"/>
    <cellStyle name="Normal 8 2 6 2 3 4" xfId="36699" xr:uid="{00000000-0005-0000-0000-00003CC60000}"/>
    <cellStyle name="Normal 8 2 6 2 3 5" xfId="36700" xr:uid="{00000000-0005-0000-0000-00003DC60000}"/>
    <cellStyle name="Normal 8 2 6 2 3 6" xfId="36701" xr:uid="{00000000-0005-0000-0000-00003EC60000}"/>
    <cellStyle name="Normal 8 2 6 2 4" xfId="36702" xr:uid="{00000000-0005-0000-0000-00003FC60000}"/>
    <cellStyle name="Normal 8 2 6 2 4 2" xfId="60073" xr:uid="{00000000-0005-0000-0000-000040C60000}"/>
    <cellStyle name="Normal 8 2 6 2 4 3" xfId="60074" xr:uid="{00000000-0005-0000-0000-000041C60000}"/>
    <cellStyle name="Normal 8 2 6 2 5" xfId="36703" xr:uid="{00000000-0005-0000-0000-000042C60000}"/>
    <cellStyle name="Normal 8 2 6 2 5 2" xfId="60075" xr:uid="{00000000-0005-0000-0000-000043C60000}"/>
    <cellStyle name="Normal 8 2 6 2 6" xfId="36704" xr:uid="{00000000-0005-0000-0000-000044C60000}"/>
    <cellStyle name="Normal 8 2 6 2 7" xfId="36705" xr:uid="{00000000-0005-0000-0000-000045C60000}"/>
    <cellStyle name="Normal 8 2 6 2 8" xfId="36706" xr:uid="{00000000-0005-0000-0000-000046C60000}"/>
    <cellStyle name="Normal 8 2 6 2 9" xfId="36707" xr:uid="{00000000-0005-0000-0000-000047C60000}"/>
    <cellStyle name="Normal 8 2 6 3" xfId="36708" xr:uid="{00000000-0005-0000-0000-000048C60000}"/>
    <cellStyle name="Normal 8 2 6 3 2" xfId="36709" xr:uid="{00000000-0005-0000-0000-000049C60000}"/>
    <cellStyle name="Normal 8 2 6 3 2 2" xfId="36710" xr:uid="{00000000-0005-0000-0000-00004AC60000}"/>
    <cellStyle name="Normal 8 2 6 3 2 2 2" xfId="60076" xr:uid="{00000000-0005-0000-0000-00004BC60000}"/>
    <cellStyle name="Normal 8 2 6 3 2 2 3" xfId="60077" xr:uid="{00000000-0005-0000-0000-00004CC60000}"/>
    <cellStyle name="Normal 8 2 6 3 2 3" xfId="36711" xr:uid="{00000000-0005-0000-0000-00004DC60000}"/>
    <cellStyle name="Normal 8 2 6 3 2 3 2" xfId="60078" xr:uid="{00000000-0005-0000-0000-00004EC60000}"/>
    <cellStyle name="Normal 8 2 6 3 2 4" xfId="36712" xr:uid="{00000000-0005-0000-0000-00004FC60000}"/>
    <cellStyle name="Normal 8 2 6 3 2 5" xfId="36713" xr:uid="{00000000-0005-0000-0000-000050C60000}"/>
    <cellStyle name="Normal 8 2 6 3 2 6" xfId="36714" xr:uid="{00000000-0005-0000-0000-000051C60000}"/>
    <cellStyle name="Normal 8 2 6 3 3" xfId="36715" xr:uid="{00000000-0005-0000-0000-000052C60000}"/>
    <cellStyle name="Normal 8 2 6 3 3 2" xfId="60079" xr:uid="{00000000-0005-0000-0000-000053C60000}"/>
    <cellStyle name="Normal 8 2 6 3 3 3" xfId="60080" xr:uid="{00000000-0005-0000-0000-000054C60000}"/>
    <cellStyle name="Normal 8 2 6 3 4" xfId="36716" xr:uid="{00000000-0005-0000-0000-000055C60000}"/>
    <cellStyle name="Normal 8 2 6 3 4 2" xfId="60081" xr:uid="{00000000-0005-0000-0000-000056C60000}"/>
    <cellStyle name="Normal 8 2 6 3 5" xfId="36717" xr:uid="{00000000-0005-0000-0000-000057C60000}"/>
    <cellStyle name="Normal 8 2 6 3 6" xfId="36718" xr:uid="{00000000-0005-0000-0000-000058C60000}"/>
    <cellStyle name="Normal 8 2 6 3 7" xfId="36719" xr:uid="{00000000-0005-0000-0000-000059C60000}"/>
    <cellStyle name="Normal 8 2 6 4" xfId="36720" xr:uid="{00000000-0005-0000-0000-00005AC60000}"/>
    <cellStyle name="Normal 8 2 6 4 2" xfId="36721" xr:uid="{00000000-0005-0000-0000-00005BC60000}"/>
    <cellStyle name="Normal 8 2 6 4 2 2" xfId="60082" xr:uid="{00000000-0005-0000-0000-00005CC60000}"/>
    <cellStyle name="Normal 8 2 6 4 2 3" xfId="60083" xr:uid="{00000000-0005-0000-0000-00005DC60000}"/>
    <cellStyle name="Normal 8 2 6 4 3" xfId="36722" xr:uid="{00000000-0005-0000-0000-00005EC60000}"/>
    <cellStyle name="Normal 8 2 6 4 3 2" xfId="60084" xr:uid="{00000000-0005-0000-0000-00005FC60000}"/>
    <cellStyle name="Normal 8 2 6 4 4" xfId="36723" xr:uid="{00000000-0005-0000-0000-000060C60000}"/>
    <cellStyle name="Normal 8 2 6 4 5" xfId="36724" xr:uid="{00000000-0005-0000-0000-000061C60000}"/>
    <cellStyle name="Normal 8 2 6 4 6" xfId="36725" xr:uid="{00000000-0005-0000-0000-000062C60000}"/>
    <cellStyle name="Normal 8 2 6 5" xfId="36726" xr:uid="{00000000-0005-0000-0000-000063C60000}"/>
    <cellStyle name="Normal 8 2 6 5 2" xfId="60085" xr:uid="{00000000-0005-0000-0000-000064C60000}"/>
    <cellStyle name="Normal 8 2 6 5 3" xfId="60086" xr:uid="{00000000-0005-0000-0000-000065C60000}"/>
    <cellStyle name="Normal 8 2 6 6" xfId="36727" xr:uid="{00000000-0005-0000-0000-000066C60000}"/>
    <cellStyle name="Normal 8 2 6 6 2" xfId="60087" xr:uid="{00000000-0005-0000-0000-000067C60000}"/>
    <cellStyle name="Normal 8 2 6 7" xfId="36728" xr:uid="{00000000-0005-0000-0000-000068C60000}"/>
    <cellStyle name="Normal 8 2 6 8" xfId="36729" xr:uid="{00000000-0005-0000-0000-000069C60000}"/>
    <cellStyle name="Normal 8 2 6 9" xfId="36730" xr:uid="{00000000-0005-0000-0000-00006AC60000}"/>
    <cellStyle name="Normal 8 2 7" xfId="36731" xr:uid="{00000000-0005-0000-0000-00006BC60000}"/>
    <cellStyle name="Normal 8 2 7 2" xfId="36732" xr:uid="{00000000-0005-0000-0000-00006CC60000}"/>
    <cellStyle name="Normal 8 2 7 2 2" xfId="36733" xr:uid="{00000000-0005-0000-0000-00006DC60000}"/>
    <cellStyle name="Normal 8 2 7 2 2 2" xfId="36734" xr:uid="{00000000-0005-0000-0000-00006EC60000}"/>
    <cellStyle name="Normal 8 2 7 2 2 2 2" xfId="60088" xr:uid="{00000000-0005-0000-0000-00006FC60000}"/>
    <cellStyle name="Normal 8 2 7 2 2 2 3" xfId="60089" xr:uid="{00000000-0005-0000-0000-000070C60000}"/>
    <cellStyle name="Normal 8 2 7 2 2 3" xfId="36735" xr:uid="{00000000-0005-0000-0000-000071C60000}"/>
    <cellStyle name="Normal 8 2 7 2 2 3 2" xfId="60090" xr:uid="{00000000-0005-0000-0000-000072C60000}"/>
    <cellStyle name="Normal 8 2 7 2 2 4" xfId="36736" xr:uid="{00000000-0005-0000-0000-000073C60000}"/>
    <cellStyle name="Normal 8 2 7 2 2 5" xfId="36737" xr:uid="{00000000-0005-0000-0000-000074C60000}"/>
    <cellStyle name="Normal 8 2 7 2 2 6" xfId="36738" xr:uid="{00000000-0005-0000-0000-000075C60000}"/>
    <cellStyle name="Normal 8 2 7 2 3" xfId="36739" xr:uid="{00000000-0005-0000-0000-000076C60000}"/>
    <cellStyle name="Normal 8 2 7 2 3 2" xfId="60091" xr:uid="{00000000-0005-0000-0000-000077C60000}"/>
    <cellStyle name="Normal 8 2 7 2 3 3" xfId="60092" xr:uid="{00000000-0005-0000-0000-000078C60000}"/>
    <cellStyle name="Normal 8 2 7 2 4" xfId="36740" xr:uid="{00000000-0005-0000-0000-000079C60000}"/>
    <cellStyle name="Normal 8 2 7 2 4 2" xfId="60093" xr:uid="{00000000-0005-0000-0000-00007AC60000}"/>
    <cellStyle name="Normal 8 2 7 2 5" xfId="36741" xr:uid="{00000000-0005-0000-0000-00007BC60000}"/>
    <cellStyle name="Normal 8 2 7 2 6" xfId="36742" xr:uid="{00000000-0005-0000-0000-00007CC60000}"/>
    <cellStyle name="Normal 8 2 7 2 7" xfId="36743" xr:uid="{00000000-0005-0000-0000-00007DC60000}"/>
    <cellStyle name="Normal 8 2 7 3" xfId="36744" xr:uid="{00000000-0005-0000-0000-00007EC60000}"/>
    <cellStyle name="Normal 8 2 7 3 2" xfId="36745" xr:uid="{00000000-0005-0000-0000-00007FC60000}"/>
    <cellStyle name="Normal 8 2 7 3 2 2" xfId="60094" xr:uid="{00000000-0005-0000-0000-000080C60000}"/>
    <cellStyle name="Normal 8 2 7 3 2 3" xfId="60095" xr:uid="{00000000-0005-0000-0000-000081C60000}"/>
    <cellStyle name="Normal 8 2 7 3 3" xfId="36746" xr:uid="{00000000-0005-0000-0000-000082C60000}"/>
    <cellStyle name="Normal 8 2 7 3 3 2" xfId="60096" xr:uid="{00000000-0005-0000-0000-000083C60000}"/>
    <cellStyle name="Normal 8 2 7 3 4" xfId="36747" xr:uid="{00000000-0005-0000-0000-000084C60000}"/>
    <cellStyle name="Normal 8 2 7 3 5" xfId="36748" xr:uid="{00000000-0005-0000-0000-000085C60000}"/>
    <cellStyle name="Normal 8 2 7 3 6" xfId="36749" xr:uid="{00000000-0005-0000-0000-000086C60000}"/>
    <cellStyle name="Normal 8 2 7 4" xfId="36750" xr:uid="{00000000-0005-0000-0000-000087C60000}"/>
    <cellStyle name="Normal 8 2 7 4 2" xfId="60097" xr:uid="{00000000-0005-0000-0000-000088C60000}"/>
    <cellStyle name="Normal 8 2 7 4 3" xfId="60098" xr:uid="{00000000-0005-0000-0000-000089C60000}"/>
    <cellStyle name="Normal 8 2 7 5" xfId="36751" xr:uid="{00000000-0005-0000-0000-00008AC60000}"/>
    <cellStyle name="Normal 8 2 7 5 2" xfId="60099" xr:uid="{00000000-0005-0000-0000-00008BC60000}"/>
    <cellStyle name="Normal 8 2 7 6" xfId="36752" xr:uid="{00000000-0005-0000-0000-00008CC60000}"/>
    <cellStyle name="Normal 8 2 7 7" xfId="36753" xr:uid="{00000000-0005-0000-0000-00008DC60000}"/>
    <cellStyle name="Normal 8 2 7 8" xfId="36754" xr:uid="{00000000-0005-0000-0000-00008EC60000}"/>
    <cellStyle name="Normal 8 2 7 9" xfId="36755" xr:uid="{00000000-0005-0000-0000-00008FC60000}"/>
    <cellStyle name="Normal 8 2 8" xfId="36756" xr:uid="{00000000-0005-0000-0000-000090C60000}"/>
    <cellStyle name="Normal 8 2 8 2" xfId="36757" xr:uid="{00000000-0005-0000-0000-000091C60000}"/>
    <cellStyle name="Normal 8 2 8 2 2" xfId="36758" xr:uid="{00000000-0005-0000-0000-000092C60000}"/>
    <cellStyle name="Normal 8 2 8 2 2 2" xfId="36759" xr:uid="{00000000-0005-0000-0000-000093C60000}"/>
    <cellStyle name="Normal 8 2 8 2 2 2 2" xfId="60100" xr:uid="{00000000-0005-0000-0000-000094C60000}"/>
    <cellStyle name="Normal 8 2 8 2 2 2 3" xfId="60101" xr:uid="{00000000-0005-0000-0000-000095C60000}"/>
    <cellStyle name="Normal 8 2 8 2 2 3" xfId="36760" xr:uid="{00000000-0005-0000-0000-000096C60000}"/>
    <cellStyle name="Normal 8 2 8 2 2 3 2" xfId="60102" xr:uid="{00000000-0005-0000-0000-000097C60000}"/>
    <cellStyle name="Normal 8 2 8 2 2 4" xfId="36761" xr:uid="{00000000-0005-0000-0000-000098C60000}"/>
    <cellStyle name="Normal 8 2 8 2 2 5" xfId="36762" xr:uid="{00000000-0005-0000-0000-000099C60000}"/>
    <cellStyle name="Normal 8 2 8 2 2 6" xfId="36763" xr:uid="{00000000-0005-0000-0000-00009AC60000}"/>
    <cellStyle name="Normal 8 2 8 2 3" xfId="36764" xr:uid="{00000000-0005-0000-0000-00009BC60000}"/>
    <cellStyle name="Normal 8 2 8 2 3 2" xfId="60103" xr:uid="{00000000-0005-0000-0000-00009CC60000}"/>
    <cellStyle name="Normal 8 2 8 2 3 3" xfId="60104" xr:uid="{00000000-0005-0000-0000-00009DC60000}"/>
    <cellStyle name="Normal 8 2 8 2 4" xfId="36765" xr:uid="{00000000-0005-0000-0000-00009EC60000}"/>
    <cellStyle name="Normal 8 2 8 2 4 2" xfId="60105" xr:uid="{00000000-0005-0000-0000-00009FC60000}"/>
    <cellStyle name="Normal 8 2 8 2 5" xfId="36766" xr:uid="{00000000-0005-0000-0000-0000A0C60000}"/>
    <cellStyle name="Normal 8 2 8 2 6" xfId="36767" xr:uid="{00000000-0005-0000-0000-0000A1C60000}"/>
    <cellStyle name="Normal 8 2 8 2 7" xfId="36768" xr:uid="{00000000-0005-0000-0000-0000A2C60000}"/>
    <cellStyle name="Normal 8 2 8 3" xfId="36769" xr:uid="{00000000-0005-0000-0000-0000A3C60000}"/>
    <cellStyle name="Normal 8 2 8 3 2" xfId="36770" xr:uid="{00000000-0005-0000-0000-0000A4C60000}"/>
    <cellStyle name="Normal 8 2 8 3 2 2" xfId="60106" xr:uid="{00000000-0005-0000-0000-0000A5C60000}"/>
    <cellStyle name="Normal 8 2 8 3 2 3" xfId="60107" xr:uid="{00000000-0005-0000-0000-0000A6C60000}"/>
    <cellStyle name="Normal 8 2 8 3 3" xfId="36771" xr:uid="{00000000-0005-0000-0000-0000A7C60000}"/>
    <cellStyle name="Normal 8 2 8 3 3 2" xfId="60108" xr:uid="{00000000-0005-0000-0000-0000A8C60000}"/>
    <cellStyle name="Normal 8 2 8 3 4" xfId="36772" xr:uid="{00000000-0005-0000-0000-0000A9C60000}"/>
    <cellStyle name="Normal 8 2 8 3 5" xfId="36773" xr:uid="{00000000-0005-0000-0000-0000AAC60000}"/>
    <cellStyle name="Normal 8 2 8 3 6" xfId="36774" xr:uid="{00000000-0005-0000-0000-0000ABC60000}"/>
    <cellStyle name="Normal 8 2 8 4" xfId="36775" xr:uid="{00000000-0005-0000-0000-0000ACC60000}"/>
    <cellStyle name="Normal 8 2 8 4 2" xfId="60109" xr:uid="{00000000-0005-0000-0000-0000ADC60000}"/>
    <cellStyle name="Normal 8 2 8 4 3" xfId="60110" xr:uid="{00000000-0005-0000-0000-0000AEC60000}"/>
    <cellStyle name="Normal 8 2 8 5" xfId="36776" xr:uid="{00000000-0005-0000-0000-0000AFC60000}"/>
    <cellStyle name="Normal 8 2 8 5 2" xfId="60111" xr:uid="{00000000-0005-0000-0000-0000B0C60000}"/>
    <cellStyle name="Normal 8 2 8 6" xfId="36777" xr:uid="{00000000-0005-0000-0000-0000B1C60000}"/>
    <cellStyle name="Normal 8 2 8 7" xfId="36778" xr:uid="{00000000-0005-0000-0000-0000B2C60000}"/>
    <cellStyle name="Normal 8 2 8 8" xfId="36779" xr:uid="{00000000-0005-0000-0000-0000B3C60000}"/>
    <cellStyle name="Normal 8 2 9" xfId="36780" xr:uid="{00000000-0005-0000-0000-0000B4C60000}"/>
    <cellStyle name="Normal 8 2 9 2" xfId="36781" xr:uid="{00000000-0005-0000-0000-0000B5C60000}"/>
    <cellStyle name="Normal 8 2 9 2 2" xfId="36782" xr:uid="{00000000-0005-0000-0000-0000B6C60000}"/>
    <cellStyle name="Normal 8 2 9 2 2 2" xfId="36783" xr:uid="{00000000-0005-0000-0000-0000B7C60000}"/>
    <cellStyle name="Normal 8 2 9 2 2 2 2" xfId="60112" xr:uid="{00000000-0005-0000-0000-0000B8C60000}"/>
    <cellStyle name="Normal 8 2 9 2 2 2 3" xfId="60113" xr:uid="{00000000-0005-0000-0000-0000B9C60000}"/>
    <cellStyle name="Normal 8 2 9 2 2 3" xfId="36784" xr:uid="{00000000-0005-0000-0000-0000BAC60000}"/>
    <cellStyle name="Normal 8 2 9 2 2 3 2" xfId="60114" xr:uid="{00000000-0005-0000-0000-0000BBC60000}"/>
    <cellStyle name="Normal 8 2 9 2 2 4" xfId="36785" xr:uid="{00000000-0005-0000-0000-0000BCC60000}"/>
    <cellStyle name="Normal 8 2 9 2 2 5" xfId="36786" xr:uid="{00000000-0005-0000-0000-0000BDC60000}"/>
    <cellStyle name="Normal 8 2 9 2 2 6" xfId="36787" xr:uid="{00000000-0005-0000-0000-0000BEC60000}"/>
    <cellStyle name="Normal 8 2 9 2 3" xfId="36788" xr:uid="{00000000-0005-0000-0000-0000BFC60000}"/>
    <cellStyle name="Normal 8 2 9 2 3 2" xfId="60115" xr:uid="{00000000-0005-0000-0000-0000C0C60000}"/>
    <cellStyle name="Normal 8 2 9 2 3 3" xfId="60116" xr:uid="{00000000-0005-0000-0000-0000C1C60000}"/>
    <cellStyle name="Normal 8 2 9 2 4" xfId="36789" xr:uid="{00000000-0005-0000-0000-0000C2C60000}"/>
    <cellStyle name="Normal 8 2 9 2 4 2" xfId="60117" xr:uid="{00000000-0005-0000-0000-0000C3C60000}"/>
    <cellStyle name="Normal 8 2 9 2 5" xfId="36790" xr:uid="{00000000-0005-0000-0000-0000C4C60000}"/>
    <cellStyle name="Normal 8 2 9 2 6" xfId="36791" xr:uid="{00000000-0005-0000-0000-0000C5C60000}"/>
    <cellStyle name="Normal 8 2 9 2 7" xfId="36792" xr:uid="{00000000-0005-0000-0000-0000C6C60000}"/>
    <cellStyle name="Normal 8 2 9 3" xfId="36793" xr:uid="{00000000-0005-0000-0000-0000C7C60000}"/>
    <cellStyle name="Normal 8 2 9 3 2" xfId="36794" xr:uid="{00000000-0005-0000-0000-0000C8C60000}"/>
    <cellStyle name="Normal 8 2 9 3 2 2" xfId="60118" xr:uid="{00000000-0005-0000-0000-0000C9C60000}"/>
    <cellStyle name="Normal 8 2 9 3 2 3" xfId="60119" xr:uid="{00000000-0005-0000-0000-0000CAC60000}"/>
    <cellStyle name="Normal 8 2 9 3 3" xfId="36795" xr:uid="{00000000-0005-0000-0000-0000CBC60000}"/>
    <cellStyle name="Normal 8 2 9 3 3 2" xfId="60120" xr:uid="{00000000-0005-0000-0000-0000CCC60000}"/>
    <cellStyle name="Normal 8 2 9 3 4" xfId="36796" xr:uid="{00000000-0005-0000-0000-0000CDC60000}"/>
    <cellStyle name="Normal 8 2 9 3 5" xfId="36797" xr:uid="{00000000-0005-0000-0000-0000CEC60000}"/>
    <cellStyle name="Normal 8 2 9 3 6" xfId="36798" xr:uid="{00000000-0005-0000-0000-0000CFC60000}"/>
    <cellStyle name="Normal 8 2 9 4" xfId="36799" xr:uid="{00000000-0005-0000-0000-0000D0C60000}"/>
    <cellStyle name="Normal 8 2 9 4 2" xfId="60121" xr:uid="{00000000-0005-0000-0000-0000D1C60000}"/>
    <cellStyle name="Normal 8 2 9 4 3" xfId="60122" xr:uid="{00000000-0005-0000-0000-0000D2C60000}"/>
    <cellStyle name="Normal 8 2 9 5" xfId="36800" xr:uid="{00000000-0005-0000-0000-0000D3C60000}"/>
    <cellStyle name="Normal 8 2 9 5 2" xfId="60123" xr:uid="{00000000-0005-0000-0000-0000D4C60000}"/>
    <cellStyle name="Normal 8 2 9 6" xfId="36801" xr:uid="{00000000-0005-0000-0000-0000D5C60000}"/>
    <cellStyle name="Normal 8 2 9 7" xfId="36802" xr:uid="{00000000-0005-0000-0000-0000D6C60000}"/>
    <cellStyle name="Normal 8 2 9 8" xfId="36803" xr:uid="{00000000-0005-0000-0000-0000D7C60000}"/>
    <cellStyle name="Normal 8 20" xfId="36804" xr:uid="{00000000-0005-0000-0000-0000D8C60000}"/>
    <cellStyle name="Normal 8 21" xfId="36805" xr:uid="{00000000-0005-0000-0000-0000D9C60000}"/>
    <cellStyle name="Normal 8 22" xfId="36806" xr:uid="{00000000-0005-0000-0000-0000DAC60000}"/>
    <cellStyle name="Normal 8 3" xfId="36807" xr:uid="{00000000-0005-0000-0000-0000DBC60000}"/>
    <cellStyle name="Normal 8 3 10" xfId="36808" xr:uid="{00000000-0005-0000-0000-0000DCC60000}"/>
    <cellStyle name="Normal 8 3 10 2" xfId="36809" xr:uid="{00000000-0005-0000-0000-0000DDC60000}"/>
    <cellStyle name="Normal 8 3 10 2 2" xfId="36810" xr:uid="{00000000-0005-0000-0000-0000DEC60000}"/>
    <cellStyle name="Normal 8 3 10 2 2 2" xfId="60124" xr:uid="{00000000-0005-0000-0000-0000DFC60000}"/>
    <cellStyle name="Normal 8 3 10 2 2 3" xfId="60125" xr:uid="{00000000-0005-0000-0000-0000E0C60000}"/>
    <cellStyle name="Normal 8 3 10 2 3" xfId="36811" xr:uid="{00000000-0005-0000-0000-0000E1C60000}"/>
    <cellStyle name="Normal 8 3 10 2 3 2" xfId="60126" xr:uid="{00000000-0005-0000-0000-0000E2C60000}"/>
    <cellStyle name="Normal 8 3 10 2 4" xfId="36812" xr:uid="{00000000-0005-0000-0000-0000E3C60000}"/>
    <cellStyle name="Normal 8 3 10 2 5" xfId="36813" xr:uid="{00000000-0005-0000-0000-0000E4C60000}"/>
    <cellStyle name="Normal 8 3 10 2 6" xfId="36814" xr:uid="{00000000-0005-0000-0000-0000E5C60000}"/>
    <cellStyle name="Normal 8 3 10 3" xfId="36815" xr:uid="{00000000-0005-0000-0000-0000E6C60000}"/>
    <cellStyle name="Normal 8 3 10 3 2" xfId="60127" xr:uid="{00000000-0005-0000-0000-0000E7C60000}"/>
    <cellStyle name="Normal 8 3 10 3 3" xfId="60128" xr:uid="{00000000-0005-0000-0000-0000E8C60000}"/>
    <cellStyle name="Normal 8 3 10 4" xfId="36816" xr:uid="{00000000-0005-0000-0000-0000E9C60000}"/>
    <cellStyle name="Normal 8 3 10 4 2" xfId="60129" xr:uid="{00000000-0005-0000-0000-0000EAC60000}"/>
    <cellStyle name="Normal 8 3 10 5" xfId="36817" xr:uid="{00000000-0005-0000-0000-0000EBC60000}"/>
    <cellStyle name="Normal 8 3 10 6" xfId="36818" xr:uid="{00000000-0005-0000-0000-0000ECC60000}"/>
    <cellStyle name="Normal 8 3 10 7" xfId="36819" xr:uid="{00000000-0005-0000-0000-0000EDC60000}"/>
    <cellStyle name="Normal 8 3 11" xfId="36820" xr:uid="{00000000-0005-0000-0000-0000EEC60000}"/>
    <cellStyle name="Normal 8 3 11 2" xfId="36821" xr:uid="{00000000-0005-0000-0000-0000EFC60000}"/>
    <cellStyle name="Normal 8 3 11 2 2" xfId="60130" xr:uid="{00000000-0005-0000-0000-0000F0C60000}"/>
    <cellStyle name="Normal 8 3 11 2 3" xfId="60131" xr:uid="{00000000-0005-0000-0000-0000F1C60000}"/>
    <cellStyle name="Normal 8 3 11 3" xfId="36822" xr:uid="{00000000-0005-0000-0000-0000F2C60000}"/>
    <cellStyle name="Normal 8 3 11 3 2" xfId="60132" xr:uid="{00000000-0005-0000-0000-0000F3C60000}"/>
    <cellStyle name="Normal 8 3 11 4" xfId="36823" xr:uid="{00000000-0005-0000-0000-0000F4C60000}"/>
    <cellStyle name="Normal 8 3 11 5" xfId="36824" xr:uid="{00000000-0005-0000-0000-0000F5C60000}"/>
    <cellStyle name="Normal 8 3 11 6" xfId="36825" xr:uid="{00000000-0005-0000-0000-0000F6C60000}"/>
    <cellStyle name="Normal 8 3 12" xfId="36826" xr:uid="{00000000-0005-0000-0000-0000F7C60000}"/>
    <cellStyle name="Normal 8 3 12 2" xfId="60133" xr:uid="{00000000-0005-0000-0000-0000F8C60000}"/>
    <cellStyle name="Normal 8 3 12 3" xfId="60134" xr:uid="{00000000-0005-0000-0000-0000F9C60000}"/>
    <cellStyle name="Normal 8 3 13" xfId="36827" xr:uid="{00000000-0005-0000-0000-0000FAC60000}"/>
    <cellStyle name="Normal 8 3 13 2" xfId="60135" xr:uid="{00000000-0005-0000-0000-0000FBC60000}"/>
    <cellStyle name="Normal 8 3 14" xfId="36828" xr:uid="{00000000-0005-0000-0000-0000FCC60000}"/>
    <cellStyle name="Normal 8 3 14 2" xfId="60136" xr:uid="{00000000-0005-0000-0000-0000FDC60000}"/>
    <cellStyle name="Normal 8 3 15" xfId="36829" xr:uid="{00000000-0005-0000-0000-0000FEC60000}"/>
    <cellStyle name="Normal 8 3 16" xfId="36830" xr:uid="{00000000-0005-0000-0000-0000FFC60000}"/>
    <cellStyle name="Normal 8 3 17" xfId="36831" xr:uid="{00000000-0005-0000-0000-000000C70000}"/>
    <cellStyle name="Normal 8 3 18" xfId="36832" xr:uid="{00000000-0005-0000-0000-000001C70000}"/>
    <cellStyle name="Normal 8 3 19" xfId="36833" xr:uid="{00000000-0005-0000-0000-000002C70000}"/>
    <cellStyle name="Normal 8 3 2" xfId="36834" xr:uid="{00000000-0005-0000-0000-000003C70000}"/>
    <cellStyle name="Normal 8 3 2 10" xfId="36835" xr:uid="{00000000-0005-0000-0000-000004C70000}"/>
    <cellStyle name="Normal 8 3 2 11" xfId="36836" xr:uid="{00000000-0005-0000-0000-000005C70000}"/>
    <cellStyle name="Normal 8 3 2 12" xfId="36837" xr:uid="{00000000-0005-0000-0000-000006C70000}"/>
    <cellStyle name="Normal 8 3 2 13" xfId="36838" xr:uid="{00000000-0005-0000-0000-000007C70000}"/>
    <cellStyle name="Normal 8 3 2 14" xfId="36839" xr:uid="{00000000-0005-0000-0000-000008C70000}"/>
    <cellStyle name="Normal 8 3 2 15" xfId="36840" xr:uid="{00000000-0005-0000-0000-000009C70000}"/>
    <cellStyle name="Normal 8 3 2 2" xfId="36841" xr:uid="{00000000-0005-0000-0000-00000AC70000}"/>
    <cellStyle name="Normal 8 3 2 2 10" xfId="36842" xr:uid="{00000000-0005-0000-0000-00000BC70000}"/>
    <cellStyle name="Normal 8 3 2 2 11" xfId="36843" xr:uid="{00000000-0005-0000-0000-00000CC70000}"/>
    <cellStyle name="Normal 8 3 2 2 12" xfId="36844" xr:uid="{00000000-0005-0000-0000-00000DC70000}"/>
    <cellStyle name="Normal 8 3 2 2 13" xfId="36845" xr:uid="{00000000-0005-0000-0000-00000EC70000}"/>
    <cellStyle name="Normal 8 3 2 2 14" xfId="36846" xr:uid="{00000000-0005-0000-0000-00000FC70000}"/>
    <cellStyle name="Normal 8 3 2 2 2" xfId="36847" xr:uid="{00000000-0005-0000-0000-000010C70000}"/>
    <cellStyle name="Normal 8 3 2 2 2 2" xfId="36848" xr:uid="{00000000-0005-0000-0000-000011C70000}"/>
    <cellStyle name="Normal 8 3 2 2 2 2 2" xfId="36849" xr:uid="{00000000-0005-0000-0000-000012C70000}"/>
    <cellStyle name="Normal 8 3 2 2 2 2 2 2" xfId="36850" xr:uid="{00000000-0005-0000-0000-000013C70000}"/>
    <cellStyle name="Normal 8 3 2 2 2 2 2 2 2" xfId="60137" xr:uid="{00000000-0005-0000-0000-000014C70000}"/>
    <cellStyle name="Normal 8 3 2 2 2 2 2 2 3" xfId="60138" xr:uid="{00000000-0005-0000-0000-000015C70000}"/>
    <cellStyle name="Normal 8 3 2 2 2 2 2 3" xfId="36851" xr:uid="{00000000-0005-0000-0000-000016C70000}"/>
    <cellStyle name="Normal 8 3 2 2 2 2 2 3 2" xfId="60139" xr:uid="{00000000-0005-0000-0000-000017C70000}"/>
    <cellStyle name="Normal 8 3 2 2 2 2 2 4" xfId="36852" xr:uid="{00000000-0005-0000-0000-000018C70000}"/>
    <cellStyle name="Normal 8 3 2 2 2 2 2 5" xfId="36853" xr:uid="{00000000-0005-0000-0000-000019C70000}"/>
    <cellStyle name="Normal 8 3 2 2 2 2 2 6" xfId="36854" xr:uid="{00000000-0005-0000-0000-00001AC70000}"/>
    <cellStyle name="Normal 8 3 2 2 2 2 3" xfId="36855" xr:uid="{00000000-0005-0000-0000-00001BC70000}"/>
    <cellStyle name="Normal 8 3 2 2 2 2 3 2" xfId="60140" xr:uid="{00000000-0005-0000-0000-00001CC70000}"/>
    <cellStyle name="Normal 8 3 2 2 2 2 3 3" xfId="60141" xr:uid="{00000000-0005-0000-0000-00001DC70000}"/>
    <cellStyle name="Normal 8 3 2 2 2 2 4" xfId="36856" xr:uid="{00000000-0005-0000-0000-00001EC70000}"/>
    <cellStyle name="Normal 8 3 2 2 2 2 4 2" xfId="60142" xr:uid="{00000000-0005-0000-0000-00001FC70000}"/>
    <cellStyle name="Normal 8 3 2 2 2 2 5" xfId="36857" xr:uid="{00000000-0005-0000-0000-000020C70000}"/>
    <cellStyle name="Normal 8 3 2 2 2 2 6" xfId="36858" xr:uid="{00000000-0005-0000-0000-000021C70000}"/>
    <cellStyle name="Normal 8 3 2 2 2 2 7" xfId="36859" xr:uid="{00000000-0005-0000-0000-000022C70000}"/>
    <cellStyle name="Normal 8 3 2 2 2 3" xfId="36860" xr:uid="{00000000-0005-0000-0000-000023C70000}"/>
    <cellStyle name="Normal 8 3 2 2 2 3 2" xfId="36861" xr:uid="{00000000-0005-0000-0000-000024C70000}"/>
    <cellStyle name="Normal 8 3 2 2 2 3 2 2" xfId="60143" xr:uid="{00000000-0005-0000-0000-000025C70000}"/>
    <cellStyle name="Normal 8 3 2 2 2 3 2 3" xfId="60144" xr:uid="{00000000-0005-0000-0000-000026C70000}"/>
    <cellStyle name="Normal 8 3 2 2 2 3 3" xfId="36862" xr:uid="{00000000-0005-0000-0000-000027C70000}"/>
    <cellStyle name="Normal 8 3 2 2 2 3 3 2" xfId="60145" xr:uid="{00000000-0005-0000-0000-000028C70000}"/>
    <cellStyle name="Normal 8 3 2 2 2 3 4" xfId="36863" xr:uid="{00000000-0005-0000-0000-000029C70000}"/>
    <cellStyle name="Normal 8 3 2 2 2 3 5" xfId="36864" xr:uid="{00000000-0005-0000-0000-00002AC70000}"/>
    <cellStyle name="Normal 8 3 2 2 2 3 6" xfId="36865" xr:uid="{00000000-0005-0000-0000-00002BC70000}"/>
    <cellStyle name="Normal 8 3 2 2 2 4" xfId="36866" xr:uid="{00000000-0005-0000-0000-00002CC70000}"/>
    <cellStyle name="Normal 8 3 2 2 2 4 2" xfId="60146" xr:uid="{00000000-0005-0000-0000-00002DC70000}"/>
    <cellStyle name="Normal 8 3 2 2 2 4 3" xfId="60147" xr:uid="{00000000-0005-0000-0000-00002EC70000}"/>
    <cellStyle name="Normal 8 3 2 2 2 5" xfId="36867" xr:uid="{00000000-0005-0000-0000-00002FC70000}"/>
    <cellStyle name="Normal 8 3 2 2 2 5 2" xfId="60148" xr:uid="{00000000-0005-0000-0000-000030C70000}"/>
    <cellStyle name="Normal 8 3 2 2 2 6" xfId="36868" xr:uid="{00000000-0005-0000-0000-000031C70000}"/>
    <cellStyle name="Normal 8 3 2 2 2 7" xfId="36869" xr:uid="{00000000-0005-0000-0000-000032C70000}"/>
    <cellStyle name="Normal 8 3 2 2 2 8" xfId="36870" xr:uid="{00000000-0005-0000-0000-000033C70000}"/>
    <cellStyle name="Normal 8 3 2 2 2 9" xfId="36871" xr:uid="{00000000-0005-0000-0000-000034C70000}"/>
    <cellStyle name="Normal 8 3 2 2 3" xfId="36872" xr:uid="{00000000-0005-0000-0000-000035C70000}"/>
    <cellStyle name="Normal 8 3 2 2 3 2" xfId="36873" xr:uid="{00000000-0005-0000-0000-000036C70000}"/>
    <cellStyle name="Normal 8 3 2 2 3 2 2" xfId="36874" xr:uid="{00000000-0005-0000-0000-000037C70000}"/>
    <cellStyle name="Normal 8 3 2 2 3 2 2 2" xfId="36875" xr:uid="{00000000-0005-0000-0000-000038C70000}"/>
    <cellStyle name="Normal 8 3 2 2 3 2 2 2 2" xfId="60149" xr:uid="{00000000-0005-0000-0000-000039C70000}"/>
    <cellStyle name="Normal 8 3 2 2 3 2 2 2 3" xfId="60150" xr:uid="{00000000-0005-0000-0000-00003AC70000}"/>
    <cellStyle name="Normal 8 3 2 2 3 2 2 3" xfId="36876" xr:uid="{00000000-0005-0000-0000-00003BC70000}"/>
    <cellStyle name="Normal 8 3 2 2 3 2 2 3 2" xfId="60151" xr:uid="{00000000-0005-0000-0000-00003CC70000}"/>
    <cellStyle name="Normal 8 3 2 2 3 2 2 4" xfId="36877" xr:uid="{00000000-0005-0000-0000-00003DC70000}"/>
    <cellStyle name="Normal 8 3 2 2 3 2 2 5" xfId="36878" xr:uid="{00000000-0005-0000-0000-00003EC70000}"/>
    <cellStyle name="Normal 8 3 2 2 3 2 2 6" xfId="36879" xr:uid="{00000000-0005-0000-0000-00003FC70000}"/>
    <cellStyle name="Normal 8 3 2 2 3 2 3" xfId="36880" xr:uid="{00000000-0005-0000-0000-000040C70000}"/>
    <cellStyle name="Normal 8 3 2 2 3 2 3 2" xfId="60152" xr:uid="{00000000-0005-0000-0000-000041C70000}"/>
    <cellStyle name="Normal 8 3 2 2 3 2 3 3" xfId="60153" xr:uid="{00000000-0005-0000-0000-000042C70000}"/>
    <cellStyle name="Normal 8 3 2 2 3 2 4" xfId="36881" xr:uid="{00000000-0005-0000-0000-000043C70000}"/>
    <cellStyle name="Normal 8 3 2 2 3 2 4 2" xfId="60154" xr:uid="{00000000-0005-0000-0000-000044C70000}"/>
    <cellStyle name="Normal 8 3 2 2 3 2 5" xfId="36882" xr:uid="{00000000-0005-0000-0000-000045C70000}"/>
    <cellStyle name="Normal 8 3 2 2 3 2 6" xfId="36883" xr:uid="{00000000-0005-0000-0000-000046C70000}"/>
    <cellStyle name="Normal 8 3 2 2 3 2 7" xfId="36884" xr:uid="{00000000-0005-0000-0000-000047C70000}"/>
    <cellStyle name="Normal 8 3 2 2 3 3" xfId="36885" xr:uid="{00000000-0005-0000-0000-000048C70000}"/>
    <cellStyle name="Normal 8 3 2 2 3 3 2" xfId="36886" xr:uid="{00000000-0005-0000-0000-000049C70000}"/>
    <cellStyle name="Normal 8 3 2 2 3 3 2 2" xfId="60155" xr:uid="{00000000-0005-0000-0000-00004AC70000}"/>
    <cellStyle name="Normal 8 3 2 2 3 3 2 3" xfId="60156" xr:uid="{00000000-0005-0000-0000-00004BC70000}"/>
    <cellStyle name="Normal 8 3 2 2 3 3 3" xfId="36887" xr:uid="{00000000-0005-0000-0000-00004CC70000}"/>
    <cellStyle name="Normal 8 3 2 2 3 3 3 2" xfId="60157" xr:uid="{00000000-0005-0000-0000-00004DC70000}"/>
    <cellStyle name="Normal 8 3 2 2 3 3 4" xfId="36888" xr:uid="{00000000-0005-0000-0000-00004EC70000}"/>
    <cellStyle name="Normal 8 3 2 2 3 3 5" xfId="36889" xr:uid="{00000000-0005-0000-0000-00004FC70000}"/>
    <cellStyle name="Normal 8 3 2 2 3 3 6" xfId="36890" xr:uid="{00000000-0005-0000-0000-000050C70000}"/>
    <cellStyle name="Normal 8 3 2 2 3 4" xfId="36891" xr:uid="{00000000-0005-0000-0000-000051C70000}"/>
    <cellStyle name="Normal 8 3 2 2 3 4 2" xfId="60158" xr:uid="{00000000-0005-0000-0000-000052C70000}"/>
    <cellStyle name="Normal 8 3 2 2 3 4 3" xfId="60159" xr:uid="{00000000-0005-0000-0000-000053C70000}"/>
    <cellStyle name="Normal 8 3 2 2 3 5" xfId="36892" xr:uid="{00000000-0005-0000-0000-000054C70000}"/>
    <cellStyle name="Normal 8 3 2 2 3 5 2" xfId="60160" xr:uid="{00000000-0005-0000-0000-000055C70000}"/>
    <cellStyle name="Normal 8 3 2 2 3 6" xfId="36893" xr:uid="{00000000-0005-0000-0000-000056C70000}"/>
    <cellStyle name="Normal 8 3 2 2 3 7" xfId="36894" xr:uid="{00000000-0005-0000-0000-000057C70000}"/>
    <cellStyle name="Normal 8 3 2 2 3 8" xfId="36895" xr:uid="{00000000-0005-0000-0000-000058C70000}"/>
    <cellStyle name="Normal 8 3 2 2 4" xfId="36896" xr:uid="{00000000-0005-0000-0000-000059C70000}"/>
    <cellStyle name="Normal 8 3 2 2 4 2" xfId="36897" xr:uid="{00000000-0005-0000-0000-00005AC70000}"/>
    <cellStyle name="Normal 8 3 2 2 4 2 2" xfId="36898" xr:uid="{00000000-0005-0000-0000-00005BC70000}"/>
    <cellStyle name="Normal 8 3 2 2 4 2 2 2" xfId="60161" xr:uid="{00000000-0005-0000-0000-00005CC70000}"/>
    <cellStyle name="Normal 8 3 2 2 4 2 2 3" xfId="60162" xr:uid="{00000000-0005-0000-0000-00005DC70000}"/>
    <cellStyle name="Normal 8 3 2 2 4 2 3" xfId="36899" xr:uid="{00000000-0005-0000-0000-00005EC70000}"/>
    <cellStyle name="Normal 8 3 2 2 4 2 3 2" xfId="60163" xr:uid="{00000000-0005-0000-0000-00005FC70000}"/>
    <cellStyle name="Normal 8 3 2 2 4 2 4" xfId="36900" xr:uid="{00000000-0005-0000-0000-000060C70000}"/>
    <cellStyle name="Normal 8 3 2 2 4 2 5" xfId="36901" xr:uid="{00000000-0005-0000-0000-000061C70000}"/>
    <cellStyle name="Normal 8 3 2 2 4 2 6" xfId="36902" xr:uid="{00000000-0005-0000-0000-000062C70000}"/>
    <cellStyle name="Normal 8 3 2 2 4 3" xfId="36903" xr:uid="{00000000-0005-0000-0000-000063C70000}"/>
    <cellStyle name="Normal 8 3 2 2 4 3 2" xfId="60164" xr:uid="{00000000-0005-0000-0000-000064C70000}"/>
    <cellStyle name="Normal 8 3 2 2 4 3 3" xfId="60165" xr:uid="{00000000-0005-0000-0000-000065C70000}"/>
    <cellStyle name="Normal 8 3 2 2 4 4" xfId="36904" xr:uid="{00000000-0005-0000-0000-000066C70000}"/>
    <cellStyle name="Normal 8 3 2 2 4 4 2" xfId="60166" xr:uid="{00000000-0005-0000-0000-000067C70000}"/>
    <cellStyle name="Normal 8 3 2 2 4 5" xfId="36905" xr:uid="{00000000-0005-0000-0000-000068C70000}"/>
    <cellStyle name="Normal 8 3 2 2 4 6" xfId="36906" xr:uid="{00000000-0005-0000-0000-000069C70000}"/>
    <cellStyle name="Normal 8 3 2 2 4 7" xfId="36907" xr:uid="{00000000-0005-0000-0000-00006AC70000}"/>
    <cellStyle name="Normal 8 3 2 2 5" xfId="36908" xr:uid="{00000000-0005-0000-0000-00006BC70000}"/>
    <cellStyle name="Normal 8 3 2 2 5 2" xfId="36909" xr:uid="{00000000-0005-0000-0000-00006CC70000}"/>
    <cellStyle name="Normal 8 3 2 2 5 2 2" xfId="60167" xr:uid="{00000000-0005-0000-0000-00006DC70000}"/>
    <cellStyle name="Normal 8 3 2 2 5 2 3" xfId="60168" xr:uid="{00000000-0005-0000-0000-00006EC70000}"/>
    <cellStyle name="Normal 8 3 2 2 5 3" xfId="36910" xr:uid="{00000000-0005-0000-0000-00006FC70000}"/>
    <cellStyle name="Normal 8 3 2 2 5 3 2" xfId="60169" xr:uid="{00000000-0005-0000-0000-000070C70000}"/>
    <cellStyle name="Normal 8 3 2 2 5 4" xfId="36911" xr:uid="{00000000-0005-0000-0000-000071C70000}"/>
    <cellStyle name="Normal 8 3 2 2 5 5" xfId="36912" xr:uid="{00000000-0005-0000-0000-000072C70000}"/>
    <cellStyle name="Normal 8 3 2 2 5 6" xfId="36913" xr:uid="{00000000-0005-0000-0000-000073C70000}"/>
    <cellStyle name="Normal 8 3 2 2 6" xfId="36914" xr:uid="{00000000-0005-0000-0000-000074C70000}"/>
    <cellStyle name="Normal 8 3 2 2 6 2" xfId="60170" xr:uid="{00000000-0005-0000-0000-000075C70000}"/>
    <cellStyle name="Normal 8 3 2 2 6 3" xfId="60171" xr:uid="{00000000-0005-0000-0000-000076C70000}"/>
    <cellStyle name="Normal 8 3 2 2 7" xfId="36915" xr:uid="{00000000-0005-0000-0000-000077C70000}"/>
    <cellStyle name="Normal 8 3 2 2 7 2" xfId="60172" xr:uid="{00000000-0005-0000-0000-000078C70000}"/>
    <cellStyle name="Normal 8 3 2 2 8" xfId="36916" xr:uid="{00000000-0005-0000-0000-000079C70000}"/>
    <cellStyle name="Normal 8 3 2 2 9" xfId="36917" xr:uid="{00000000-0005-0000-0000-00007AC70000}"/>
    <cellStyle name="Normal 8 3 2 3" xfId="36918" xr:uid="{00000000-0005-0000-0000-00007BC70000}"/>
    <cellStyle name="Normal 8 3 2 3 2" xfId="36919" xr:uid="{00000000-0005-0000-0000-00007CC70000}"/>
    <cellStyle name="Normal 8 3 2 3 2 2" xfId="36920" xr:uid="{00000000-0005-0000-0000-00007DC70000}"/>
    <cellStyle name="Normal 8 3 2 3 2 2 2" xfId="36921" xr:uid="{00000000-0005-0000-0000-00007EC70000}"/>
    <cellStyle name="Normal 8 3 2 3 2 2 2 2" xfId="60173" xr:uid="{00000000-0005-0000-0000-00007FC70000}"/>
    <cellStyle name="Normal 8 3 2 3 2 2 2 3" xfId="60174" xr:uid="{00000000-0005-0000-0000-000080C70000}"/>
    <cellStyle name="Normal 8 3 2 3 2 2 3" xfId="36922" xr:uid="{00000000-0005-0000-0000-000081C70000}"/>
    <cellStyle name="Normal 8 3 2 3 2 2 3 2" xfId="60175" xr:uid="{00000000-0005-0000-0000-000082C70000}"/>
    <cellStyle name="Normal 8 3 2 3 2 2 4" xfId="36923" xr:uid="{00000000-0005-0000-0000-000083C70000}"/>
    <cellStyle name="Normal 8 3 2 3 2 2 5" xfId="36924" xr:uid="{00000000-0005-0000-0000-000084C70000}"/>
    <cellStyle name="Normal 8 3 2 3 2 2 6" xfId="36925" xr:uid="{00000000-0005-0000-0000-000085C70000}"/>
    <cellStyle name="Normal 8 3 2 3 2 3" xfId="36926" xr:uid="{00000000-0005-0000-0000-000086C70000}"/>
    <cellStyle name="Normal 8 3 2 3 2 3 2" xfId="60176" xr:uid="{00000000-0005-0000-0000-000087C70000}"/>
    <cellStyle name="Normal 8 3 2 3 2 3 3" xfId="60177" xr:uid="{00000000-0005-0000-0000-000088C70000}"/>
    <cellStyle name="Normal 8 3 2 3 2 4" xfId="36927" xr:uid="{00000000-0005-0000-0000-000089C70000}"/>
    <cellStyle name="Normal 8 3 2 3 2 4 2" xfId="60178" xr:uid="{00000000-0005-0000-0000-00008AC70000}"/>
    <cellStyle name="Normal 8 3 2 3 2 5" xfId="36928" xr:uid="{00000000-0005-0000-0000-00008BC70000}"/>
    <cellStyle name="Normal 8 3 2 3 2 6" xfId="36929" xr:uid="{00000000-0005-0000-0000-00008CC70000}"/>
    <cellStyle name="Normal 8 3 2 3 2 7" xfId="36930" xr:uid="{00000000-0005-0000-0000-00008DC70000}"/>
    <cellStyle name="Normal 8 3 2 3 3" xfId="36931" xr:uid="{00000000-0005-0000-0000-00008EC70000}"/>
    <cellStyle name="Normal 8 3 2 3 3 2" xfId="36932" xr:uid="{00000000-0005-0000-0000-00008FC70000}"/>
    <cellStyle name="Normal 8 3 2 3 3 2 2" xfId="60179" xr:uid="{00000000-0005-0000-0000-000090C70000}"/>
    <cellStyle name="Normal 8 3 2 3 3 2 3" xfId="60180" xr:uid="{00000000-0005-0000-0000-000091C70000}"/>
    <cellStyle name="Normal 8 3 2 3 3 3" xfId="36933" xr:uid="{00000000-0005-0000-0000-000092C70000}"/>
    <cellStyle name="Normal 8 3 2 3 3 3 2" xfId="60181" xr:uid="{00000000-0005-0000-0000-000093C70000}"/>
    <cellStyle name="Normal 8 3 2 3 3 4" xfId="36934" xr:uid="{00000000-0005-0000-0000-000094C70000}"/>
    <cellStyle name="Normal 8 3 2 3 3 5" xfId="36935" xr:uid="{00000000-0005-0000-0000-000095C70000}"/>
    <cellStyle name="Normal 8 3 2 3 3 6" xfId="36936" xr:uid="{00000000-0005-0000-0000-000096C70000}"/>
    <cellStyle name="Normal 8 3 2 3 4" xfId="36937" xr:uid="{00000000-0005-0000-0000-000097C70000}"/>
    <cellStyle name="Normal 8 3 2 3 4 2" xfId="60182" xr:uid="{00000000-0005-0000-0000-000098C70000}"/>
    <cellStyle name="Normal 8 3 2 3 4 3" xfId="60183" xr:uid="{00000000-0005-0000-0000-000099C70000}"/>
    <cellStyle name="Normal 8 3 2 3 5" xfId="36938" xr:uid="{00000000-0005-0000-0000-00009AC70000}"/>
    <cellStyle name="Normal 8 3 2 3 5 2" xfId="60184" xr:uid="{00000000-0005-0000-0000-00009BC70000}"/>
    <cellStyle name="Normal 8 3 2 3 6" xfId="36939" xr:uid="{00000000-0005-0000-0000-00009CC70000}"/>
    <cellStyle name="Normal 8 3 2 3 7" xfId="36940" xr:uid="{00000000-0005-0000-0000-00009DC70000}"/>
    <cellStyle name="Normal 8 3 2 3 8" xfId="36941" xr:uid="{00000000-0005-0000-0000-00009EC70000}"/>
    <cellStyle name="Normal 8 3 2 3 9" xfId="36942" xr:uid="{00000000-0005-0000-0000-00009FC70000}"/>
    <cellStyle name="Normal 8 3 2 4" xfId="36943" xr:uid="{00000000-0005-0000-0000-0000A0C70000}"/>
    <cellStyle name="Normal 8 3 2 4 2" xfId="36944" xr:uid="{00000000-0005-0000-0000-0000A1C70000}"/>
    <cellStyle name="Normal 8 3 2 4 2 2" xfId="36945" xr:uid="{00000000-0005-0000-0000-0000A2C70000}"/>
    <cellStyle name="Normal 8 3 2 4 2 2 2" xfId="36946" xr:uid="{00000000-0005-0000-0000-0000A3C70000}"/>
    <cellStyle name="Normal 8 3 2 4 2 2 2 2" xfId="60185" xr:uid="{00000000-0005-0000-0000-0000A4C70000}"/>
    <cellStyle name="Normal 8 3 2 4 2 2 2 3" xfId="60186" xr:uid="{00000000-0005-0000-0000-0000A5C70000}"/>
    <cellStyle name="Normal 8 3 2 4 2 2 3" xfId="36947" xr:uid="{00000000-0005-0000-0000-0000A6C70000}"/>
    <cellStyle name="Normal 8 3 2 4 2 2 3 2" xfId="60187" xr:uid="{00000000-0005-0000-0000-0000A7C70000}"/>
    <cellStyle name="Normal 8 3 2 4 2 2 4" xfId="36948" xr:uid="{00000000-0005-0000-0000-0000A8C70000}"/>
    <cellStyle name="Normal 8 3 2 4 2 2 5" xfId="36949" xr:uid="{00000000-0005-0000-0000-0000A9C70000}"/>
    <cellStyle name="Normal 8 3 2 4 2 2 6" xfId="36950" xr:uid="{00000000-0005-0000-0000-0000AAC70000}"/>
    <cellStyle name="Normal 8 3 2 4 2 3" xfId="36951" xr:uid="{00000000-0005-0000-0000-0000ABC70000}"/>
    <cellStyle name="Normal 8 3 2 4 2 3 2" xfId="60188" xr:uid="{00000000-0005-0000-0000-0000ACC70000}"/>
    <cellStyle name="Normal 8 3 2 4 2 3 3" xfId="60189" xr:uid="{00000000-0005-0000-0000-0000ADC70000}"/>
    <cellStyle name="Normal 8 3 2 4 2 4" xfId="36952" xr:uid="{00000000-0005-0000-0000-0000AEC70000}"/>
    <cellStyle name="Normal 8 3 2 4 2 4 2" xfId="60190" xr:uid="{00000000-0005-0000-0000-0000AFC70000}"/>
    <cellStyle name="Normal 8 3 2 4 2 5" xfId="36953" xr:uid="{00000000-0005-0000-0000-0000B0C70000}"/>
    <cellStyle name="Normal 8 3 2 4 2 6" xfId="36954" xr:uid="{00000000-0005-0000-0000-0000B1C70000}"/>
    <cellStyle name="Normal 8 3 2 4 2 7" xfId="36955" xr:uid="{00000000-0005-0000-0000-0000B2C70000}"/>
    <cellStyle name="Normal 8 3 2 4 3" xfId="36956" xr:uid="{00000000-0005-0000-0000-0000B3C70000}"/>
    <cellStyle name="Normal 8 3 2 4 3 2" xfId="36957" xr:uid="{00000000-0005-0000-0000-0000B4C70000}"/>
    <cellStyle name="Normal 8 3 2 4 3 2 2" xfId="60191" xr:uid="{00000000-0005-0000-0000-0000B5C70000}"/>
    <cellStyle name="Normal 8 3 2 4 3 2 3" xfId="60192" xr:uid="{00000000-0005-0000-0000-0000B6C70000}"/>
    <cellStyle name="Normal 8 3 2 4 3 3" xfId="36958" xr:uid="{00000000-0005-0000-0000-0000B7C70000}"/>
    <cellStyle name="Normal 8 3 2 4 3 3 2" xfId="60193" xr:uid="{00000000-0005-0000-0000-0000B8C70000}"/>
    <cellStyle name="Normal 8 3 2 4 3 4" xfId="36959" xr:uid="{00000000-0005-0000-0000-0000B9C70000}"/>
    <cellStyle name="Normal 8 3 2 4 3 5" xfId="36960" xr:uid="{00000000-0005-0000-0000-0000BAC70000}"/>
    <cellStyle name="Normal 8 3 2 4 3 6" xfId="36961" xr:uid="{00000000-0005-0000-0000-0000BBC70000}"/>
    <cellStyle name="Normal 8 3 2 4 4" xfId="36962" xr:uid="{00000000-0005-0000-0000-0000BCC70000}"/>
    <cellStyle name="Normal 8 3 2 4 4 2" xfId="60194" xr:uid="{00000000-0005-0000-0000-0000BDC70000}"/>
    <cellStyle name="Normal 8 3 2 4 4 3" xfId="60195" xr:uid="{00000000-0005-0000-0000-0000BEC70000}"/>
    <cellStyle name="Normal 8 3 2 4 5" xfId="36963" xr:uid="{00000000-0005-0000-0000-0000BFC70000}"/>
    <cellStyle name="Normal 8 3 2 4 5 2" xfId="60196" xr:uid="{00000000-0005-0000-0000-0000C0C70000}"/>
    <cellStyle name="Normal 8 3 2 4 6" xfId="36964" xr:uid="{00000000-0005-0000-0000-0000C1C70000}"/>
    <cellStyle name="Normal 8 3 2 4 7" xfId="36965" xr:uid="{00000000-0005-0000-0000-0000C2C70000}"/>
    <cellStyle name="Normal 8 3 2 4 8" xfId="36966" xr:uid="{00000000-0005-0000-0000-0000C3C70000}"/>
    <cellStyle name="Normal 8 3 2 5" xfId="36967" xr:uid="{00000000-0005-0000-0000-0000C4C70000}"/>
    <cellStyle name="Normal 8 3 2 5 2" xfId="36968" xr:uid="{00000000-0005-0000-0000-0000C5C70000}"/>
    <cellStyle name="Normal 8 3 2 5 2 2" xfId="36969" xr:uid="{00000000-0005-0000-0000-0000C6C70000}"/>
    <cellStyle name="Normal 8 3 2 5 2 2 2" xfId="60197" xr:uid="{00000000-0005-0000-0000-0000C7C70000}"/>
    <cellStyle name="Normal 8 3 2 5 2 2 3" xfId="60198" xr:uid="{00000000-0005-0000-0000-0000C8C70000}"/>
    <cellStyle name="Normal 8 3 2 5 2 3" xfId="36970" xr:uid="{00000000-0005-0000-0000-0000C9C70000}"/>
    <cellStyle name="Normal 8 3 2 5 2 3 2" xfId="60199" xr:uid="{00000000-0005-0000-0000-0000CAC70000}"/>
    <cellStyle name="Normal 8 3 2 5 2 4" xfId="36971" xr:uid="{00000000-0005-0000-0000-0000CBC70000}"/>
    <cellStyle name="Normal 8 3 2 5 2 5" xfId="36972" xr:uid="{00000000-0005-0000-0000-0000CCC70000}"/>
    <cellStyle name="Normal 8 3 2 5 2 6" xfId="36973" xr:uid="{00000000-0005-0000-0000-0000CDC70000}"/>
    <cellStyle name="Normal 8 3 2 5 3" xfId="36974" xr:uid="{00000000-0005-0000-0000-0000CEC70000}"/>
    <cellStyle name="Normal 8 3 2 5 3 2" xfId="60200" xr:uid="{00000000-0005-0000-0000-0000CFC70000}"/>
    <cellStyle name="Normal 8 3 2 5 3 3" xfId="60201" xr:uid="{00000000-0005-0000-0000-0000D0C70000}"/>
    <cellStyle name="Normal 8 3 2 5 4" xfId="36975" xr:uid="{00000000-0005-0000-0000-0000D1C70000}"/>
    <cellStyle name="Normal 8 3 2 5 4 2" xfId="60202" xr:uid="{00000000-0005-0000-0000-0000D2C70000}"/>
    <cellStyle name="Normal 8 3 2 5 5" xfId="36976" xr:uid="{00000000-0005-0000-0000-0000D3C70000}"/>
    <cellStyle name="Normal 8 3 2 5 6" xfId="36977" xr:uid="{00000000-0005-0000-0000-0000D4C70000}"/>
    <cellStyle name="Normal 8 3 2 5 7" xfId="36978" xr:uid="{00000000-0005-0000-0000-0000D5C70000}"/>
    <cellStyle name="Normal 8 3 2 6" xfId="36979" xr:uid="{00000000-0005-0000-0000-0000D6C70000}"/>
    <cellStyle name="Normal 8 3 2 6 2" xfId="36980" xr:uid="{00000000-0005-0000-0000-0000D7C70000}"/>
    <cellStyle name="Normal 8 3 2 6 2 2" xfId="60203" xr:uid="{00000000-0005-0000-0000-0000D8C70000}"/>
    <cellStyle name="Normal 8 3 2 6 2 3" xfId="60204" xr:uid="{00000000-0005-0000-0000-0000D9C70000}"/>
    <cellStyle name="Normal 8 3 2 6 3" xfId="36981" xr:uid="{00000000-0005-0000-0000-0000DAC70000}"/>
    <cellStyle name="Normal 8 3 2 6 3 2" xfId="60205" xr:uid="{00000000-0005-0000-0000-0000DBC70000}"/>
    <cellStyle name="Normal 8 3 2 6 4" xfId="36982" xr:uid="{00000000-0005-0000-0000-0000DCC70000}"/>
    <cellStyle name="Normal 8 3 2 6 5" xfId="36983" xr:uid="{00000000-0005-0000-0000-0000DDC70000}"/>
    <cellStyle name="Normal 8 3 2 6 6" xfId="36984" xr:uid="{00000000-0005-0000-0000-0000DEC70000}"/>
    <cellStyle name="Normal 8 3 2 7" xfId="36985" xr:uid="{00000000-0005-0000-0000-0000DFC70000}"/>
    <cellStyle name="Normal 8 3 2 7 2" xfId="60206" xr:uid="{00000000-0005-0000-0000-0000E0C70000}"/>
    <cellStyle name="Normal 8 3 2 7 3" xfId="60207" xr:uid="{00000000-0005-0000-0000-0000E1C70000}"/>
    <cellStyle name="Normal 8 3 2 8" xfId="36986" xr:uid="{00000000-0005-0000-0000-0000E2C70000}"/>
    <cellStyle name="Normal 8 3 2 8 2" xfId="60208" xr:uid="{00000000-0005-0000-0000-0000E3C70000}"/>
    <cellStyle name="Normal 8 3 2 9" xfId="36987" xr:uid="{00000000-0005-0000-0000-0000E4C70000}"/>
    <cellStyle name="Normal 8 3 2 9 2" xfId="60209" xr:uid="{00000000-0005-0000-0000-0000E5C70000}"/>
    <cellStyle name="Normal 8 3 20" xfId="36988" xr:uid="{00000000-0005-0000-0000-0000E6C70000}"/>
    <cellStyle name="Normal 8 3 3" xfId="36989" xr:uid="{00000000-0005-0000-0000-0000E7C70000}"/>
    <cellStyle name="Normal 8 3 3 10" xfId="36990" xr:uid="{00000000-0005-0000-0000-0000E8C70000}"/>
    <cellStyle name="Normal 8 3 3 11" xfId="36991" xr:uid="{00000000-0005-0000-0000-0000E9C70000}"/>
    <cellStyle name="Normal 8 3 3 12" xfId="36992" xr:uid="{00000000-0005-0000-0000-0000EAC70000}"/>
    <cellStyle name="Normal 8 3 3 13" xfId="36993" xr:uid="{00000000-0005-0000-0000-0000EBC70000}"/>
    <cellStyle name="Normal 8 3 3 14" xfId="36994" xr:uid="{00000000-0005-0000-0000-0000ECC70000}"/>
    <cellStyle name="Normal 8 3 3 15" xfId="36995" xr:uid="{00000000-0005-0000-0000-0000EDC70000}"/>
    <cellStyle name="Normal 8 3 3 2" xfId="36996" xr:uid="{00000000-0005-0000-0000-0000EEC70000}"/>
    <cellStyle name="Normal 8 3 3 2 10" xfId="36997" xr:uid="{00000000-0005-0000-0000-0000EFC70000}"/>
    <cellStyle name="Normal 8 3 3 2 11" xfId="36998" xr:uid="{00000000-0005-0000-0000-0000F0C70000}"/>
    <cellStyle name="Normal 8 3 3 2 12" xfId="36999" xr:uid="{00000000-0005-0000-0000-0000F1C70000}"/>
    <cellStyle name="Normal 8 3 3 2 13" xfId="37000" xr:uid="{00000000-0005-0000-0000-0000F2C70000}"/>
    <cellStyle name="Normal 8 3 3 2 14" xfId="37001" xr:uid="{00000000-0005-0000-0000-0000F3C70000}"/>
    <cellStyle name="Normal 8 3 3 2 2" xfId="37002" xr:uid="{00000000-0005-0000-0000-0000F4C70000}"/>
    <cellStyle name="Normal 8 3 3 2 2 2" xfId="37003" xr:uid="{00000000-0005-0000-0000-0000F5C70000}"/>
    <cellStyle name="Normal 8 3 3 2 2 2 2" xfId="37004" xr:uid="{00000000-0005-0000-0000-0000F6C70000}"/>
    <cellStyle name="Normal 8 3 3 2 2 2 2 2" xfId="37005" xr:uid="{00000000-0005-0000-0000-0000F7C70000}"/>
    <cellStyle name="Normal 8 3 3 2 2 2 2 2 2" xfId="60210" xr:uid="{00000000-0005-0000-0000-0000F8C70000}"/>
    <cellStyle name="Normal 8 3 3 2 2 2 2 2 3" xfId="60211" xr:uid="{00000000-0005-0000-0000-0000F9C70000}"/>
    <cellStyle name="Normal 8 3 3 2 2 2 2 3" xfId="37006" xr:uid="{00000000-0005-0000-0000-0000FAC70000}"/>
    <cellStyle name="Normal 8 3 3 2 2 2 2 3 2" xfId="60212" xr:uid="{00000000-0005-0000-0000-0000FBC70000}"/>
    <cellStyle name="Normal 8 3 3 2 2 2 2 4" xfId="37007" xr:uid="{00000000-0005-0000-0000-0000FCC70000}"/>
    <cellStyle name="Normal 8 3 3 2 2 2 2 5" xfId="37008" xr:uid="{00000000-0005-0000-0000-0000FDC70000}"/>
    <cellStyle name="Normal 8 3 3 2 2 2 2 6" xfId="37009" xr:uid="{00000000-0005-0000-0000-0000FEC70000}"/>
    <cellStyle name="Normal 8 3 3 2 2 2 3" xfId="37010" xr:uid="{00000000-0005-0000-0000-0000FFC70000}"/>
    <cellStyle name="Normal 8 3 3 2 2 2 3 2" xfId="60213" xr:uid="{00000000-0005-0000-0000-000000C80000}"/>
    <cellStyle name="Normal 8 3 3 2 2 2 3 3" xfId="60214" xr:uid="{00000000-0005-0000-0000-000001C80000}"/>
    <cellStyle name="Normal 8 3 3 2 2 2 4" xfId="37011" xr:uid="{00000000-0005-0000-0000-000002C80000}"/>
    <cellStyle name="Normal 8 3 3 2 2 2 4 2" xfId="60215" xr:uid="{00000000-0005-0000-0000-000003C80000}"/>
    <cellStyle name="Normal 8 3 3 2 2 2 5" xfId="37012" xr:uid="{00000000-0005-0000-0000-000004C80000}"/>
    <cellStyle name="Normal 8 3 3 2 2 2 6" xfId="37013" xr:uid="{00000000-0005-0000-0000-000005C80000}"/>
    <cellStyle name="Normal 8 3 3 2 2 2 7" xfId="37014" xr:uid="{00000000-0005-0000-0000-000006C80000}"/>
    <cellStyle name="Normal 8 3 3 2 2 3" xfId="37015" xr:uid="{00000000-0005-0000-0000-000007C80000}"/>
    <cellStyle name="Normal 8 3 3 2 2 3 2" xfId="37016" xr:uid="{00000000-0005-0000-0000-000008C80000}"/>
    <cellStyle name="Normal 8 3 3 2 2 3 2 2" xfId="60216" xr:uid="{00000000-0005-0000-0000-000009C80000}"/>
    <cellStyle name="Normal 8 3 3 2 2 3 2 3" xfId="60217" xr:uid="{00000000-0005-0000-0000-00000AC80000}"/>
    <cellStyle name="Normal 8 3 3 2 2 3 3" xfId="37017" xr:uid="{00000000-0005-0000-0000-00000BC80000}"/>
    <cellStyle name="Normal 8 3 3 2 2 3 3 2" xfId="60218" xr:uid="{00000000-0005-0000-0000-00000CC80000}"/>
    <cellStyle name="Normal 8 3 3 2 2 3 4" xfId="37018" xr:uid="{00000000-0005-0000-0000-00000DC80000}"/>
    <cellStyle name="Normal 8 3 3 2 2 3 5" xfId="37019" xr:uid="{00000000-0005-0000-0000-00000EC80000}"/>
    <cellStyle name="Normal 8 3 3 2 2 3 6" xfId="37020" xr:uid="{00000000-0005-0000-0000-00000FC80000}"/>
    <cellStyle name="Normal 8 3 3 2 2 4" xfId="37021" xr:uid="{00000000-0005-0000-0000-000010C80000}"/>
    <cellStyle name="Normal 8 3 3 2 2 4 2" xfId="60219" xr:uid="{00000000-0005-0000-0000-000011C80000}"/>
    <cellStyle name="Normal 8 3 3 2 2 4 3" xfId="60220" xr:uid="{00000000-0005-0000-0000-000012C80000}"/>
    <cellStyle name="Normal 8 3 3 2 2 5" xfId="37022" xr:uid="{00000000-0005-0000-0000-000013C80000}"/>
    <cellStyle name="Normal 8 3 3 2 2 5 2" xfId="60221" xr:uid="{00000000-0005-0000-0000-000014C80000}"/>
    <cellStyle name="Normal 8 3 3 2 2 6" xfId="37023" xr:uid="{00000000-0005-0000-0000-000015C80000}"/>
    <cellStyle name="Normal 8 3 3 2 2 7" xfId="37024" xr:uid="{00000000-0005-0000-0000-000016C80000}"/>
    <cellStyle name="Normal 8 3 3 2 2 8" xfId="37025" xr:uid="{00000000-0005-0000-0000-000017C80000}"/>
    <cellStyle name="Normal 8 3 3 2 2 9" xfId="37026" xr:uid="{00000000-0005-0000-0000-000018C80000}"/>
    <cellStyle name="Normal 8 3 3 2 3" xfId="37027" xr:uid="{00000000-0005-0000-0000-000019C80000}"/>
    <cellStyle name="Normal 8 3 3 2 3 2" xfId="37028" xr:uid="{00000000-0005-0000-0000-00001AC80000}"/>
    <cellStyle name="Normal 8 3 3 2 3 2 2" xfId="37029" xr:uid="{00000000-0005-0000-0000-00001BC80000}"/>
    <cellStyle name="Normal 8 3 3 2 3 2 2 2" xfId="37030" xr:uid="{00000000-0005-0000-0000-00001CC80000}"/>
    <cellStyle name="Normal 8 3 3 2 3 2 2 2 2" xfId="60222" xr:uid="{00000000-0005-0000-0000-00001DC80000}"/>
    <cellStyle name="Normal 8 3 3 2 3 2 2 2 3" xfId="60223" xr:uid="{00000000-0005-0000-0000-00001EC80000}"/>
    <cellStyle name="Normal 8 3 3 2 3 2 2 3" xfId="37031" xr:uid="{00000000-0005-0000-0000-00001FC80000}"/>
    <cellStyle name="Normal 8 3 3 2 3 2 2 3 2" xfId="60224" xr:uid="{00000000-0005-0000-0000-000020C80000}"/>
    <cellStyle name="Normal 8 3 3 2 3 2 2 4" xfId="37032" xr:uid="{00000000-0005-0000-0000-000021C80000}"/>
    <cellStyle name="Normal 8 3 3 2 3 2 2 5" xfId="37033" xr:uid="{00000000-0005-0000-0000-000022C80000}"/>
    <cellStyle name="Normal 8 3 3 2 3 2 2 6" xfId="37034" xr:uid="{00000000-0005-0000-0000-000023C80000}"/>
    <cellStyle name="Normal 8 3 3 2 3 2 3" xfId="37035" xr:uid="{00000000-0005-0000-0000-000024C80000}"/>
    <cellStyle name="Normal 8 3 3 2 3 2 3 2" xfId="60225" xr:uid="{00000000-0005-0000-0000-000025C80000}"/>
    <cellStyle name="Normal 8 3 3 2 3 2 3 3" xfId="60226" xr:uid="{00000000-0005-0000-0000-000026C80000}"/>
    <cellStyle name="Normal 8 3 3 2 3 2 4" xfId="37036" xr:uid="{00000000-0005-0000-0000-000027C80000}"/>
    <cellStyle name="Normal 8 3 3 2 3 2 4 2" xfId="60227" xr:uid="{00000000-0005-0000-0000-000028C80000}"/>
    <cellStyle name="Normal 8 3 3 2 3 2 5" xfId="37037" xr:uid="{00000000-0005-0000-0000-000029C80000}"/>
    <cellStyle name="Normal 8 3 3 2 3 2 6" xfId="37038" xr:uid="{00000000-0005-0000-0000-00002AC80000}"/>
    <cellStyle name="Normal 8 3 3 2 3 2 7" xfId="37039" xr:uid="{00000000-0005-0000-0000-00002BC80000}"/>
    <cellStyle name="Normal 8 3 3 2 3 3" xfId="37040" xr:uid="{00000000-0005-0000-0000-00002CC80000}"/>
    <cellStyle name="Normal 8 3 3 2 3 3 2" xfId="37041" xr:uid="{00000000-0005-0000-0000-00002DC80000}"/>
    <cellStyle name="Normal 8 3 3 2 3 3 2 2" xfId="60228" xr:uid="{00000000-0005-0000-0000-00002EC80000}"/>
    <cellStyle name="Normal 8 3 3 2 3 3 2 3" xfId="60229" xr:uid="{00000000-0005-0000-0000-00002FC80000}"/>
    <cellStyle name="Normal 8 3 3 2 3 3 3" xfId="37042" xr:uid="{00000000-0005-0000-0000-000030C80000}"/>
    <cellStyle name="Normal 8 3 3 2 3 3 3 2" xfId="60230" xr:uid="{00000000-0005-0000-0000-000031C80000}"/>
    <cellStyle name="Normal 8 3 3 2 3 3 4" xfId="37043" xr:uid="{00000000-0005-0000-0000-000032C80000}"/>
    <cellStyle name="Normal 8 3 3 2 3 3 5" xfId="37044" xr:uid="{00000000-0005-0000-0000-000033C80000}"/>
    <cellStyle name="Normal 8 3 3 2 3 3 6" xfId="37045" xr:uid="{00000000-0005-0000-0000-000034C80000}"/>
    <cellStyle name="Normal 8 3 3 2 3 4" xfId="37046" xr:uid="{00000000-0005-0000-0000-000035C80000}"/>
    <cellStyle name="Normal 8 3 3 2 3 4 2" xfId="60231" xr:uid="{00000000-0005-0000-0000-000036C80000}"/>
    <cellStyle name="Normal 8 3 3 2 3 4 3" xfId="60232" xr:uid="{00000000-0005-0000-0000-000037C80000}"/>
    <cellStyle name="Normal 8 3 3 2 3 5" xfId="37047" xr:uid="{00000000-0005-0000-0000-000038C80000}"/>
    <cellStyle name="Normal 8 3 3 2 3 5 2" xfId="60233" xr:uid="{00000000-0005-0000-0000-000039C80000}"/>
    <cellStyle name="Normal 8 3 3 2 3 6" xfId="37048" xr:uid="{00000000-0005-0000-0000-00003AC80000}"/>
    <cellStyle name="Normal 8 3 3 2 3 7" xfId="37049" xr:uid="{00000000-0005-0000-0000-00003BC80000}"/>
    <cellStyle name="Normal 8 3 3 2 3 8" xfId="37050" xr:uid="{00000000-0005-0000-0000-00003CC80000}"/>
    <cellStyle name="Normal 8 3 3 2 4" xfId="37051" xr:uid="{00000000-0005-0000-0000-00003DC80000}"/>
    <cellStyle name="Normal 8 3 3 2 4 2" xfId="37052" xr:uid="{00000000-0005-0000-0000-00003EC80000}"/>
    <cellStyle name="Normal 8 3 3 2 4 2 2" xfId="37053" xr:uid="{00000000-0005-0000-0000-00003FC80000}"/>
    <cellStyle name="Normal 8 3 3 2 4 2 2 2" xfId="60234" xr:uid="{00000000-0005-0000-0000-000040C80000}"/>
    <cellStyle name="Normal 8 3 3 2 4 2 2 3" xfId="60235" xr:uid="{00000000-0005-0000-0000-000041C80000}"/>
    <cellStyle name="Normal 8 3 3 2 4 2 3" xfId="37054" xr:uid="{00000000-0005-0000-0000-000042C80000}"/>
    <cellStyle name="Normal 8 3 3 2 4 2 3 2" xfId="60236" xr:uid="{00000000-0005-0000-0000-000043C80000}"/>
    <cellStyle name="Normal 8 3 3 2 4 2 4" xfId="37055" xr:uid="{00000000-0005-0000-0000-000044C80000}"/>
    <cellStyle name="Normal 8 3 3 2 4 2 5" xfId="37056" xr:uid="{00000000-0005-0000-0000-000045C80000}"/>
    <cellStyle name="Normal 8 3 3 2 4 2 6" xfId="37057" xr:uid="{00000000-0005-0000-0000-000046C80000}"/>
    <cellStyle name="Normal 8 3 3 2 4 3" xfId="37058" xr:uid="{00000000-0005-0000-0000-000047C80000}"/>
    <cellStyle name="Normal 8 3 3 2 4 3 2" xfId="60237" xr:uid="{00000000-0005-0000-0000-000048C80000}"/>
    <cellStyle name="Normal 8 3 3 2 4 3 3" xfId="60238" xr:uid="{00000000-0005-0000-0000-000049C80000}"/>
    <cellStyle name="Normal 8 3 3 2 4 4" xfId="37059" xr:uid="{00000000-0005-0000-0000-00004AC80000}"/>
    <cellStyle name="Normal 8 3 3 2 4 4 2" xfId="60239" xr:uid="{00000000-0005-0000-0000-00004BC80000}"/>
    <cellStyle name="Normal 8 3 3 2 4 5" xfId="37060" xr:uid="{00000000-0005-0000-0000-00004CC80000}"/>
    <cellStyle name="Normal 8 3 3 2 4 6" xfId="37061" xr:uid="{00000000-0005-0000-0000-00004DC80000}"/>
    <cellStyle name="Normal 8 3 3 2 4 7" xfId="37062" xr:uid="{00000000-0005-0000-0000-00004EC80000}"/>
    <cellStyle name="Normal 8 3 3 2 5" xfId="37063" xr:uid="{00000000-0005-0000-0000-00004FC80000}"/>
    <cellStyle name="Normal 8 3 3 2 5 2" xfId="37064" xr:uid="{00000000-0005-0000-0000-000050C80000}"/>
    <cellStyle name="Normal 8 3 3 2 5 2 2" xfId="60240" xr:uid="{00000000-0005-0000-0000-000051C80000}"/>
    <cellStyle name="Normal 8 3 3 2 5 2 3" xfId="60241" xr:uid="{00000000-0005-0000-0000-000052C80000}"/>
    <cellStyle name="Normal 8 3 3 2 5 3" xfId="37065" xr:uid="{00000000-0005-0000-0000-000053C80000}"/>
    <cellStyle name="Normal 8 3 3 2 5 3 2" xfId="60242" xr:uid="{00000000-0005-0000-0000-000054C80000}"/>
    <cellStyle name="Normal 8 3 3 2 5 4" xfId="37066" xr:uid="{00000000-0005-0000-0000-000055C80000}"/>
    <cellStyle name="Normal 8 3 3 2 5 5" xfId="37067" xr:uid="{00000000-0005-0000-0000-000056C80000}"/>
    <cellStyle name="Normal 8 3 3 2 5 6" xfId="37068" xr:uid="{00000000-0005-0000-0000-000057C80000}"/>
    <cellStyle name="Normal 8 3 3 2 6" xfId="37069" xr:uid="{00000000-0005-0000-0000-000058C80000}"/>
    <cellStyle name="Normal 8 3 3 2 6 2" xfId="60243" xr:uid="{00000000-0005-0000-0000-000059C80000}"/>
    <cellStyle name="Normal 8 3 3 2 6 3" xfId="60244" xr:uid="{00000000-0005-0000-0000-00005AC80000}"/>
    <cellStyle name="Normal 8 3 3 2 7" xfId="37070" xr:uid="{00000000-0005-0000-0000-00005BC80000}"/>
    <cellStyle name="Normal 8 3 3 2 7 2" xfId="60245" xr:uid="{00000000-0005-0000-0000-00005CC80000}"/>
    <cellStyle name="Normal 8 3 3 2 8" xfId="37071" xr:uid="{00000000-0005-0000-0000-00005DC80000}"/>
    <cellStyle name="Normal 8 3 3 2 9" xfId="37072" xr:uid="{00000000-0005-0000-0000-00005EC80000}"/>
    <cellStyle name="Normal 8 3 3 3" xfId="37073" xr:uid="{00000000-0005-0000-0000-00005FC80000}"/>
    <cellStyle name="Normal 8 3 3 3 2" xfId="37074" xr:uid="{00000000-0005-0000-0000-000060C80000}"/>
    <cellStyle name="Normal 8 3 3 3 2 2" xfId="37075" xr:uid="{00000000-0005-0000-0000-000061C80000}"/>
    <cellStyle name="Normal 8 3 3 3 2 2 2" xfId="37076" xr:uid="{00000000-0005-0000-0000-000062C80000}"/>
    <cellStyle name="Normal 8 3 3 3 2 2 2 2" xfId="60246" xr:uid="{00000000-0005-0000-0000-000063C80000}"/>
    <cellStyle name="Normal 8 3 3 3 2 2 2 3" xfId="60247" xr:uid="{00000000-0005-0000-0000-000064C80000}"/>
    <cellStyle name="Normal 8 3 3 3 2 2 3" xfId="37077" xr:uid="{00000000-0005-0000-0000-000065C80000}"/>
    <cellStyle name="Normal 8 3 3 3 2 2 3 2" xfId="60248" xr:uid="{00000000-0005-0000-0000-000066C80000}"/>
    <cellStyle name="Normal 8 3 3 3 2 2 4" xfId="37078" xr:uid="{00000000-0005-0000-0000-000067C80000}"/>
    <cellStyle name="Normal 8 3 3 3 2 2 5" xfId="37079" xr:uid="{00000000-0005-0000-0000-000068C80000}"/>
    <cellStyle name="Normal 8 3 3 3 2 2 6" xfId="37080" xr:uid="{00000000-0005-0000-0000-000069C80000}"/>
    <cellStyle name="Normal 8 3 3 3 2 3" xfId="37081" xr:uid="{00000000-0005-0000-0000-00006AC80000}"/>
    <cellStyle name="Normal 8 3 3 3 2 3 2" xfId="60249" xr:uid="{00000000-0005-0000-0000-00006BC80000}"/>
    <cellStyle name="Normal 8 3 3 3 2 3 3" xfId="60250" xr:uid="{00000000-0005-0000-0000-00006CC80000}"/>
    <cellStyle name="Normal 8 3 3 3 2 4" xfId="37082" xr:uid="{00000000-0005-0000-0000-00006DC80000}"/>
    <cellStyle name="Normal 8 3 3 3 2 4 2" xfId="60251" xr:uid="{00000000-0005-0000-0000-00006EC80000}"/>
    <cellStyle name="Normal 8 3 3 3 2 5" xfId="37083" xr:uid="{00000000-0005-0000-0000-00006FC80000}"/>
    <cellStyle name="Normal 8 3 3 3 2 6" xfId="37084" xr:uid="{00000000-0005-0000-0000-000070C80000}"/>
    <cellStyle name="Normal 8 3 3 3 2 7" xfId="37085" xr:uid="{00000000-0005-0000-0000-000071C80000}"/>
    <cellStyle name="Normal 8 3 3 3 3" xfId="37086" xr:uid="{00000000-0005-0000-0000-000072C80000}"/>
    <cellStyle name="Normal 8 3 3 3 3 2" xfId="37087" xr:uid="{00000000-0005-0000-0000-000073C80000}"/>
    <cellStyle name="Normal 8 3 3 3 3 2 2" xfId="60252" xr:uid="{00000000-0005-0000-0000-000074C80000}"/>
    <cellStyle name="Normal 8 3 3 3 3 2 3" xfId="60253" xr:uid="{00000000-0005-0000-0000-000075C80000}"/>
    <cellStyle name="Normal 8 3 3 3 3 3" xfId="37088" xr:uid="{00000000-0005-0000-0000-000076C80000}"/>
    <cellStyle name="Normal 8 3 3 3 3 3 2" xfId="60254" xr:uid="{00000000-0005-0000-0000-000077C80000}"/>
    <cellStyle name="Normal 8 3 3 3 3 4" xfId="37089" xr:uid="{00000000-0005-0000-0000-000078C80000}"/>
    <cellStyle name="Normal 8 3 3 3 3 5" xfId="37090" xr:uid="{00000000-0005-0000-0000-000079C80000}"/>
    <cellStyle name="Normal 8 3 3 3 3 6" xfId="37091" xr:uid="{00000000-0005-0000-0000-00007AC80000}"/>
    <cellStyle name="Normal 8 3 3 3 4" xfId="37092" xr:uid="{00000000-0005-0000-0000-00007BC80000}"/>
    <cellStyle name="Normal 8 3 3 3 4 2" xfId="60255" xr:uid="{00000000-0005-0000-0000-00007CC80000}"/>
    <cellStyle name="Normal 8 3 3 3 4 3" xfId="60256" xr:uid="{00000000-0005-0000-0000-00007DC80000}"/>
    <cellStyle name="Normal 8 3 3 3 5" xfId="37093" xr:uid="{00000000-0005-0000-0000-00007EC80000}"/>
    <cellStyle name="Normal 8 3 3 3 5 2" xfId="60257" xr:uid="{00000000-0005-0000-0000-00007FC80000}"/>
    <cellStyle name="Normal 8 3 3 3 6" xfId="37094" xr:uid="{00000000-0005-0000-0000-000080C80000}"/>
    <cellStyle name="Normal 8 3 3 3 7" xfId="37095" xr:uid="{00000000-0005-0000-0000-000081C80000}"/>
    <cellStyle name="Normal 8 3 3 3 8" xfId="37096" xr:uid="{00000000-0005-0000-0000-000082C80000}"/>
    <cellStyle name="Normal 8 3 3 3 9" xfId="37097" xr:uid="{00000000-0005-0000-0000-000083C80000}"/>
    <cellStyle name="Normal 8 3 3 4" xfId="37098" xr:uid="{00000000-0005-0000-0000-000084C80000}"/>
    <cellStyle name="Normal 8 3 3 4 2" xfId="37099" xr:uid="{00000000-0005-0000-0000-000085C80000}"/>
    <cellStyle name="Normal 8 3 3 4 2 2" xfId="37100" xr:uid="{00000000-0005-0000-0000-000086C80000}"/>
    <cellStyle name="Normal 8 3 3 4 2 2 2" xfId="37101" xr:uid="{00000000-0005-0000-0000-000087C80000}"/>
    <cellStyle name="Normal 8 3 3 4 2 2 2 2" xfId="60258" xr:uid="{00000000-0005-0000-0000-000088C80000}"/>
    <cellStyle name="Normal 8 3 3 4 2 2 2 3" xfId="60259" xr:uid="{00000000-0005-0000-0000-000089C80000}"/>
    <cellStyle name="Normal 8 3 3 4 2 2 3" xfId="37102" xr:uid="{00000000-0005-0000-0000-00008AC80000}"/>
    <cellStyle name="Normal 8 3 3 4 2 2 3 2" xfId="60260" xr:uid="{00000000-0005-0000-0000-00008BC80000}"/>
    <cellStyle name="Normal 8 3 3 4 2 2 4" xfId="37103" xr:uid="{00000000-0005-0000-0000-00008CC80000}"/>
    <cellStyle name="Normal 8 3 3 4 2 2 5" xfId="37104" xr:uid="{00000000-0005-0000-0000-00008DC80000}"/>
    <cellStyle name="Normal 8 3 3 4 2 2 6" xfId="37105" xr:uid="{00000000-0005-0000-0000-00008EC80000}"/>
    <cellStyle name="Normal 8 3 3 4 2 3" xfId="37106" xr:uid="{00000000-0005-0000-0000-00008FC80000}"/>
    <cellStyle name="Normal 8 3 3 4 2 3 2" xfId="60261" xr:uid="{00000000-0005-0000-0000-000090C80000}"/>
    <cellStyle name="Normal 8 3 3 4 2 3 3" xfId="60262" xr:uid="{00000000-0005-0000-0000-000091C80000}"/>
    <cellStyle name="Normal 8 3 3 4 2 4" xfId="37107" xr:uid="{00000000-0005-0000-0000-000092C80000}"/>
    <cellStyle name="Normal 8 3 3 4 2 4 2" xfId="60263" xr:uid="{00000000-0005-0000-0000-000093C80000}"/>
    <cellStyle name="Normal 8 3 3 4 2 5" xfId="37108" xr:uid="{00000000-0005-0000-0000-000094C80000}"/>
    <cellStyle name="Normal 8 3 3 4 2 6" xfId="37109" xr:uid="{00000000-0005-0000-0000-000095C80000}"/>
    <cellStyle name="Normal 8 3 3 4 2 7" xfId="37110" xr:uid="{00000000-0005-0000-0000-000096C80000}"/>
    <cellStyle name="Normal 8 3 3 4 3" xfId="37111" xr:uid="{00000000-0005-0000-0000-000097C80000}"/>
    <cellStyle name="Normal 8 3 3 4 3 2" xfId="37112" xr:uid="{00000000-0005-0000-0000-000098C80000}"/>
    <cellStyle name="Normal 8 3 3 4 3 2 2" xfId="60264" xr:uid="{00000000-0005-0000-0000-000099C80000}"/>
    <cellStyle name="Normal 8 3 3 4 3 2 3" xfId="60265" xr:uid="{00000000-0005-0000-0000-00009AC80000}"/>
    <cellStyle name="Normal 8 3 3 4 3 3" xfId="37113" xr:uid="{00000000-0005-0000-0000-00009BC80000}"/>
    <cellStyle name="Normal 8 3 3 4 3 3 2" xfId="60266" xr:uid="{00000000-0005-0000-0000-00009CC80000}"/>
    <cellStyle name="Normal 8 3 3 4 3 4" xfId="37114" xr:uid="{00000000-0005-0000-0000-00009DC80000}"/>
    <cellStyle name="Normal 8 3 3 4 3 5" xfId="37115" xr:uid="{00000000-0005-0000-0000-00009EC80000}"/>
    <cellStyle name="Normal 8 3 3 4 3 6" xfId="37116" xr:uid="{00000000-0005-0000-0000-00009FC80000}"/>
    <cellStyle name="Normal 8 3 3 4 4" xfId="37117" xr:uid="{00000000-0005-0000-0000-0000A0C80000}"/>
    <cellStyle name="Normal 8 3 3 4 4 2" xfId="60267" xr:uid="{00000000-0005-0000-0000-0000A1C80000}"/>
    <cellStyle name="Normal 8 3 3 4 4 3" xfId="60268" xr:uid="{00000000-0005-0000-0000-0000A2C80000}"/>
    <cellStyle name="Normal 8 3 3 4 5" xfId="37118" xr:uid="{00000000-0005-0000-0000-0000A3C80000}"/>
    <cellStyle name="Normal 8 3 3 4 5 2" xfId="60269" xr:uid="{00000000-0005-0000-0000-0000A4C80000}"/>
    <cellStyle name="Normal 8 3 3 4 6" xfId="37119" xr:uid="{00000000-0005-0000-0000-0000A5C80000}"/>
    <cellStyle name="Normal 8 3 3 4 7" xfId="37120" xr:uid="{00000000-0005-0000-0000-0000A6C80000}"/>
    <cellStyle name="Normal 8 3 3 4 8" xfId="37121" xr:uid="{00000000-0005-0000-0000-0000A7C80000}"/>
    <cellStyle name="Normal 8 3 3 5" xfId="37122" xr:uid="{00000000-0005-0000-0000-0000A8C80000}"/>
    <cellStyle name="Normal 8 3 3 5 2" xfId="37123" xr:uid="{00000000-0005-0000-0000-0000A9C80000}"/>
    <cellStyle name="Normal 8 3 3 5 2 2" xfId="37124" xr:uid="{00000000-0005-0000-0000-0000AAC80000}"/>
    <cellStyle name="Normal 8 3 3 5 2 2 2" xfId="60270" xr:uid="{00000000-0005-0000-0000-0000ABC80000}"/>
    <cellStyle name="Normal 8 3 3 5 2 2 3" xfId="60271" xr:uid="{00000000-0005-0000-0000-0000ACC80000}"/>
    <cellStyle name="Normal 8 3 3 5 2 3" xfId="37125" xr:uid="{00000000-0005-0000-0000-0000ADC80000}"/>
    <cellStyle name="Normal 8 3 3 5 2 3 2" xfId="60272" xr:uid="{00000000-0005-0000-0000-0000AEC80000}"/>
    <cellStyle name="Normal 8 3 3 5 2 4" xfId="37126" xr:uid="{00000000-0005-0000-0000-0000AFC80000}"/>
    <cellStyle name="Normal 8 3 3 5 2 5" xfId="37127" xr:uid="{00000000-0005-0000-0000-0000B0C80000}"/>
    <cellStyle name="Normal 8 3 3 5 2 6" xfId="37128" xr:uid="{00000000-0005-0000-0000-0000B1C80000}"/>
    <cellStyle name="Normal 8 3 3 5 3" xfId="37129" xr:uid="{00000000-0005-0000-0000-0000B2C80000}"/>
    <cellStyle name="Normal 8 3 3 5 3 2" xfId="60273" xr:uid="{00000000-0005-0000-0000-0000B3C80000}"/>
    <cellStyle name="Normal 8 3 3 5 3 3" xfId="60274" xr:uid="{00000000-0005-0000-0000-0000B4C80000}"/>
    <cellStyle name="Normal 8 3 3 5 4" xfId="37130" xr:uid="{00000000-0005-0000-0000-0000B5C80000}"/>
    <cellStyle name="Normal 8 3 3 5 4 2" xfId="60275" xr:uid="{00000000-0005-0000-0000-0000B6C80000}"/>
    <cellStyle name="Normal 8 3 3 5 5" xfId="37131" xr:uid="{00000000-0005-0000-0000-0000B7C80000}"/>
    <cellStyle name="Normal 8 3 3 5 6" xfId="37132" xr:uid="{00000000-0005-0000-0000-0000B8C80000}"/>
    <cellStyle name="Normal 8 3 3 5 7" xfId="37133" xr:uid="{00000000-0005-0000-0000-0000B9C80000}"/>
    <cellStyle name="Normal 8 3 3 6" xfId="37134" xr:uid="{00000000-0005-0000-0000-0000BAC80000}"/>
    <cellStyle name="Normal 8 3 3 6 2" xfId="37135" xr:uid="{00000000-0005-0000-0000-0000BBC80000}"/>
    <cellStyle name="Normal 8 3 3 6 2 2" xfId="60276" xr:uid="{00000000-0005-0000-0000-0000BCC80000}"/>
    <cellStyle name="Normal 8 3 3 6 2 3" xfId="60277" xr:uid="{00000000-0005-0000-0000-0000BDC80000}"/>
    <cellStyle name="Normal 8 3 3 6 3" xfId="37136" xr:uid="{00000000-0005-0000-0000-0000BEC80000}"/>
    <cellStyle name="Normal 8 3 3 6 3 2" xfId="60278" xr:uid="{00000000-0005-0000-0000-0000BFC80000}"/>
    <cellStyle name="Normal 8 3 3 6 4" xfId="37137" xr:uid="{00000000-0005-0000-0000-0000C0C80000}"/>
    <cellStyle name="Normal 8 3 3 6 5" xfId="37138" xr:uid="{00000000-0005-0000-0000-0000C1C80000}"/>
    <cellStyle name="Normal 8 3 3 6 6" xfId="37139" xr:uid="{00000000-0005-0000-0000-0000C2C80000}"/>
    <cellStyle name="Normal 8 3 3 7" xfId="37140" xr:uid="{00000000-0005-0000-0000-0000C3C80000}"/>
    <cellStyle name="Normal 8 3 3 7 2" xfId="60279" xr:uid="{00000000-0005-0000-0000-0000C4C80000}"/>
    <cellStyle name="Normal 8 3 3 7 3" xfId="60280" xr:uid="{00000000-0005-0000-0000-0000C5C80000}"/>
    <cellStyle name="Normal 8 3 3 8" xfId="37141" xr:uid="{00000000-0005-0000-0000-0000C6C80000}"/>
    <cellStyle name="Normal 8 3 3 8 2" xfId="60281" xr:uid="{00000000-0005-0000-0000-0000C7C80000}"/>
    <cellStyle name="Normal 8 3 3 9" xfId="37142" xr:uid="{00000000-0005-0000-0000-0000C8C80000}"/>
    <cellStyle name="Normal 8 3 4" xfId="37143" xr:uid="{00000000-0005-0000-0000-0000C9C80000}"/>
    <cellStyle name="Normal 8 3 4 10" xfId="37144" xr:uid="{00000000-0005-0000-0000-0000CAC80000}"/>
    <cellStyle name="Normal 8 3 4 11" xfId="37145" xr:uid="{00000000-0005-0000-0000-0000CBC80000}"/>
    <cellStyle name="Normal 8 3 4 12" xfId="37146" xr:uid="{00000000-0005-0000-0000-0000CCC80000}"/>
    <cellStyle name="Normal 8 3 4 13" xfId="37147" xr:uid="{00000000-0005-0000-0000-0000CDC80000}"/>
    <cellStyle name="Normal 8 3 4 14" xfId="37148" xr:uid="{00000000-0005-0000-0000-0000CEC80000}"/>
    <cellStyle name="Normal 8 3 4 2" xfId="37149" xr:uid="{00000000-0005-0000-0000-0000CFC80000}"/>
    <cellStyle name="Normal 8 3 4 2 2" xfId="37150" xr:uid="{00000000-0005-0000-0000-0000D0C80000}"/>
    <cellStyle name="Normal 8 3 4 2 2 2" xfId="37151" xr:uid="{00000000-0005-0000-0000-0000D1C80000}"/>
    <cellStyle name="Normal 8 3 4 2 2 2 2" xfId="37152" xr:uid="{00000000-0005-0000-0000-0000D2C80000}"/>
    <cellStyle name="Normal 8 3 4 2 2 2 2 2" xfId="60282" xr:uid="{00000000-0005-0000-0000-0000D3C80000}"/>
    <cellStyle name="Normal 8 3 4 2 2 2 2 3" xfId="60283" xr:uid="{00000000-0005-0000-0000-0000D4C80000}"/>
    <cellStyle name="Normal 8 3 4 2 2 2 3" xfId="37153" xr:uid="{00000000-0005-0000-0000-0000D5C80000}"/>
    <cellStyle name="Normal 8 3 4 2 2 2 3 2" xfId="60284" xr:uid="{00000000-0005-0000-0000-0000D6C80000}"/>
    <cellStyle name="Normal 8 3 4 2 2 2 4" xfId="37154" xr:uid="{00000000-0005-0000-0000-0000D7C80000}"/>
    <cellStyle name="Normal 8 3 4 2 2 2 5" xfId="37155" xr:uid="{00000000-0005-0000-0000-0000D8C80000}"/>
    <cellStyle name="Normal 8 3 4 2 2 2 6" xfId="37156" xr:uid="{00000000-0005-0000-0000-0000D9C80000}"/>
    <cellStyle name="Normal 8 3 4 2 2 3" xfId="37157" xr:uid="{00000000-0005-0000-0000-0000DAC80000}"/>
    <cellStyle name="Normal 8 3 4 2 2 3 2" xfId="60285" xr:uid="{00000000-0005-0000-0000-0000DBC80000}"/>
    <cellStyle name="Normal 8 3 4 2 2 3 3" xfId="60286" xr:uid="{00000000-0005-0000-0000-0000DCC80000}"/>
    <cellStyle name="Normal 8 3 4 2 2 4" xfId="37158" xr:uid="{00000000-0005-0000-0000-0000DDC80000}"/>
    <cellStyle name="Normal 8 3 4 2 2 4 2" xfId="60287" xr:uid="{00000000-0005-0000-0000-0000DEC80000}"/>
    <cellStyle name="Normal 8 3 4 2 2 5" xfId="37159" xr:uid="{00000000-0005-0000-0000-0000DFC80000}"/>
    <cellStyle name="Normal 8 3 4 2 2 6" xfId="37160" xr:uid="{00000000-0005-0000-0000-0000E0C80000}"/>
    <cellStyle name="Normal 8 3 4 2 2 7" xfId="37161" xr:uid="{00000000-0005-0000-0000-0000E1C80000}"/>
    <cellStyle name="Normal 8 3 4 2 3" xfId="37162" xr:uid="{00000000-0005-0000-0000-0000E2C80000}"/>
    <cellStyle name="Normal 8 3 4 2 3 2" xfId="37163" xr:uid="{00000000-0005-0000-0000-0000E3C80000}"/>
    <cellStyle name="Normal 8 3 4 2 3 2 2" xfId="60288" xr:uid="{00000000-0005-0000-0000-0000E4C80000}"/>
    <cellStyle name="Normal 8 3 4 2 3 2 3" xfId="60289" xr:uid="{00000000-0005-0000-0000-0000E5C80000}"/>
    <cellStyle name="Normal 8 3 4 2 3 3" xfId="37164" xr:uid="{00000000-0005-0000-0000-0000E6C80000}"/>
    <cellStyle name="Normal 8 3 4 2 3 3 2" xfId="60290" xr:uid="{00000000-0005-0000-0000-0000E7C80000}"/>
    <cellStyle name="Normal 8 3 4 2 3 4" xfId="37165" xr:uid="{00000000-0005-0000-0000-0000E8C80000}"/>
    <cellStyle name="Normal 8 3 4 2 3 5" xfId="37166" xr:uid="{00000000-0005-0000-0000-0000E9C80000}"/>
    <cellStyle name="Normal 8 3 4 2 3 6" xfId="37167" xr:uid="{00000000-0005-0000-0000-0000EAC80000}"/>
    <cellStyle name="Normal 8 3 4 2 4" xfId="37168" xr:uid="{00000000-0005-0000-0000-0000EBC80000}"/>
    <cellStyle name="Normal 8 3 4 2 4 2" xfId="60291" xr:uid="{00000000-0005-0000-0000-0000ECC80000}"/>
    <cellStyle name="Normal 8 3 4 2 4 3" xfId="60292" xr:uid="{00000000-0005-0000-0000-0000EDC80000}"/>
    <cellStyle name="Normal 8 3 4 2 5" xfId="37169" xr:uid="{00000000-0005-0000-0000-0000EEC80000}"/>
    <cellStyle name="Normal 8 3 4 2 5 2" xfId="60293" xr:uid="{00000000-0005-0000-0000-0000EFC80000}"/>
    <cellStyle name="Normal 8 3 4 2 6" xfId="37170" xr:uid="{00000000-0005-0000-0000-0000F0C80000}"/>
    <cellStyle name="Normal 8 3 4 2 7" xfId="37171" xr:uid="{00000000-0005-0000-0000-0000F1C80000}"/>
    <cellStyle name="Normal 8 3 4 2 8" xfId="37172" xr:uid="{00000000-0005-0000-0000-0000F2C80000}"/>
    <cellStyle name="Normal 8 3 4 2 9" xfId="37173" xr:uid="{00000000-0005-0000-0000-0000F3C80000}"/>
    <cellStyle name="Normal 8 3 4 3" xfId="37174" xr:uid="{00000000-0005-0000-0000-0000F4C80000}"/>
    <cellStyle name="Normal 8 3 4 3 2" xfId="37175" xr:uid="{00000000-0005-0000-0000-0000F5C80000}"/>
    <cellStyle name="Normal 8 3 4 3 2 2" xfId="37176" xr:uid="{00000000-0005-0000-0000-0000F6C80000}"/>
    <cellStyle name="Normal 8 3 4 3 2 2 2" xfId="37177" xr:uid="{00000000-0005-0000-0000-0000F7C80000}"/>
    <cellStyle name="Normal 8 3 4 3 2 2 2 2" xfId="60294" xr:uid="{00000000-0005-0000-0000-0000F8C80000}"/>
    <cellStyle name="Normal 8 3 4 3 2 2 2 3" xfId="60295" xr:uid="{00000000-0005-0000-0000-0000F9C80000}"/>
    <cellStyle name="Normal 8 3 4 3 2 2 3" xfId="37178" xr:uid="{00000000-0005-0000-0000-0000FAC80000}"/>
    <cellStyle name="Normal 8 3 4 3 2 2 3 2" xfId="60296" xr:uid="{00000000-0005-0000-0000-0000FBC80000}"/>
    <cellStyle name="Normal 8 3 4 3 2 2 4" xfId="37179" xr:uid="{00000000-0005-0000-0000-0000FCC80000}"/>
    <cellStyle name="Normal 8 3 4 3 2 2 5" xfId="37180" xr:uid="{00000000-0005-0000-0000-0000FDC80000}"/>
    <cellStyle name="Normal 8 3 4 3 2 2 6" xfId="37181" xr:uid="{00000000-0005-0000-0000-0000FEC80000}"/>
    <cellStyle name="Normal 8 3 4 3 2 3" xfId="37182" xr:uid="{00000000-0005-0000-0000-0000FFC80000}"/>
    <cellStyle name="Normal 8 3 4 3 2 3 2" xfId="60297" xr:uid="{00000000-0005-0000-0000-000000C90000}"/>
    <cellStyle name="Normal 8 3 4 3 2 3 3" xfId="60298" xr:uid="{00000000-0005-0000-0000-000001C90000}"/>
    <cellStyle name="Normal 8 3 4 3 2 4" xfId="37183" xr:uid="{00000000-0005-0000-0000-000002C90000}"/>
    <cellStyle name="Normal 8 3 4 3 2 4 2" xfId="60299" xr:uid="{00000000-0005-0000-0000-000003C90000}"/>
    <cellStyle name="Normal 8 3 4 3 2 5" xfId="37184" xr:uid="{00000000-0005-0000-0000-000004C90000}"/>
    <cellStyle name="Normal 8 3 4 3 2 6" xfId="37185" xr:uid="{00000000-0005-0000-0000-000005C90000}"/>
    <cellStyle name="Normal 8 3 4 3 2 7" xfId="37186" xr:uid="{00000000-0005-0000-0000-000006C90000}"/>
    <cellStyle name="Normal 8 3 4 3 3" xfId="37187" xr:uid="{00000000-0005-0000-0000-000007C90000}"/>
    <cellStyle name="Normal 8 3 4 3 3 2" xfId="37188" xr:uid="{00000000-0005-0000-0000-000008C90000}"/>
    <cellStyle name="Normal 8 3 4 3 3 2 2" xfId="60300" xr:uid="{00000000-0005-0000-0000-000009C90000}"/>
    <cellStyle name="Normal 8 3 4 3 3 2 3" xfId="60301" xr:uid="{00000000-0005-0000-0000-00000AC90000}"/>
    <cellStyle name="Normal 8 3 4 3 3 3" xfId="37189" xr:uid="{00000000-0005-0000-0000-00000BC90000}"/>
    <cellStyle name="Normal 8 3 4 3 3 3 2" xfId="60302" xr:uid="{00000000-0005-0000-0000-00000CC90000}"/>
    <cellStyle name="Normal 8 3 4 3 3 4" xfId="37190" xr:uid="{00000000-0005-0000-0000-00000DC90000}"/>
    <cellStyle name="Normal 8 3 4 3 3 5" xfId="37191" xr:uid="{00000000-0005-0000-0000-00000EC90000}"/>
    <cellStyle name="Normal 8 3 4 3 3 6" xfId="37192" xr:uid="{00000000-0005-0000-0000-00000FC90000}"/>
    <cellStyle name="Normal 8 3 4 3 4" xfId="37193" xr:uid="{00000000-0005-0000-0000-000010C90000}"/>
    <cellStyle name="Normal 8 3 4 3 4 2" xfId="60303" xr:uid="{00000000-0005-0000-0000-000011C90000}"/>
    <cellStyle name="Normal 8 3 4 3 4 3" xfId="60304" xr:uid="{00000000-0005-0000-0000-000012C90000}"/>
    <cellStyle name="Normal 8 3 4 3 5" xfId="37194" xr:uid="{00000000-0005-0000-0000-000013C90000}"/>
    <cellStyle name="Normal 8 3 4 3 5 2" xfId="60305" xr:uid="{00000000-0005-0000-0000-000014C90000}"/>
    <cellStyle name="Normal 8 3 4 3 6" xfId="37195" xr:uid="{00000000-0005-0000-0000-000015C90000}"/>
    <cellStyle name="Normal 8 3 4 3 7" xfId="37196" xr:uid="{00000000-0005-0000-0000-000016C90000}"/>
    <cellStyle name="Normal 8 3 4 3 8" xfId="37197" xr:uid="{00000000-0005-0000-0000-000017C90000}"/>
    <cellStyle name="Normal 8 3 4 4" xfId="37198" xr:uid="{00000000-0005-0000-0000-000018C90000}"/>
    <cellStyle name="Normal 8 3 4 4 2" xfId="37199" xr:uid="{00000000-0005-0000-0000-000019C90000}"/>
    <cellStyle name="Normal 8 3 4 4 2 2" xfId="37200" xr:uid="{00000000-0005-0000-0000-00001AC90000}"/>
    <cellStyle name="Normal 8 3 4 4 2 2 2" xfId="60306" xr:uid="{00000000-0005-0000-0000-00001BC90000}"/>
    <cellStyle name="Normal 8 3 4 4 2 2 3" xfId="60307" xr:uid="{00000000-0005-0000-0000-00001CC90000}"/>
    <cellStyle name="Normal 8 3 4 4 2 3" xfId="37201" xr:uid="{00000000-0005-0000-0000-00001DC90000}"/>
    <cellStyle name="Normal 8 3 4 4 2 3 2" xfId="60308" xr:uid="{00000000-0005-0000-0000-00001EC90000}"/>
    <cellStyle name="Normal 8 3 4 4 2 4" xfId="37202" xr:uid="{00000000-0005-0000-0000-00001FC90000}"/>
    <cellStyle name="Normal 8 3 4 4 2 5" xfId="37203" xr:uid="{00000000-0005-0000-0000-000020C90000}"/>
    <cellStyle name="Normal 8 3 4 4 2 6" xfId="37204" xr:uid="{00000000-0005-0000-0000-000021C90000}"/>
    <cellStyle name="Normal 8 3 4 4 3" xfId="37205" xr:uid="{00000000-0005-0000-0000-000022C90000}"/>
    <cellStyle name="Normal 8 3 4 4 3 2" xfId="60309" xr:uid="{00000000-0005-0000-0000-000023C90000}"/>
    <cellStyle name="Normal 8 3 4 4 3 3" xfId="60310" xr:uid="{00000000-0005-0000-0000-000024C90000}"/>
    <cellStyle name="Normal 8 3 4 4 4" xfId="37206" xr:uid="{00000000-0005-0000-0000-000025C90000}"/>
    <cellStyle name="Normal 8 3 4 4 4 2" xfId="60311" xr:uid="{00000000-0005-0000-0000-000026C90000}"/>
    <cellStyle name="Normal 8 3 4 4 5" xfId="37207" xr:uid="{00000000-0005-0000-0000-000027C90000}"/>
    <cellStyle name="Normal 8 3 4 4 6" xfId="37208" xr:uid="{00000000-0005-0000-0000-000028C90000}"/>
    <cellStyle name="Normal 8 3 4 4 7" xfId="37209" xr:uid="{00000000-0005-0000-0000-000029C90000}"/>
    <cellStyle name="Normal 8 3 4 5" xfId="37210" xr:uid="{00000000-0005-0000-0000-00002AC90000}"/>
    <cellStyle name="Normal 8 3 4 5 2" xfId="37211" xr:uid="{00000000-0005-0000-0000-00002BC90000}"/>
    <cellStyle name="Normal 8 3 4 5 2 2" xfId="60312" xr:uid="{00000000-0005-0000-0000-00002CC90000}"/>
    <cellStyle name="Normal 8 3 4 5 2 3" xfId="60313" xr:uid="{00000000-0005-0000-0000-00002DC90000}"/>
    <cellStyle name="Normal 8 3 4 5 3" xfId="37212" xr:uid="{00000000-0005-0000-0000-00002EC90000}"/>
    <cellStyle name="Normal 8 3 4 5 3 2" xfId="60314" xr:uid="{00000000-0005-0000-0000-00002FC90000}"/>
    <cellStyle name="Normal 8 3 4 5 4" xfId="37213" xr:uid="{00000000-0005-0000-0000-000030C90000}"/>
    <cellStyle name="Normal 8 3 4 5 5" xfId="37214" xr:uid="{00000000-0005-0000-0000-000031C90000}"/>
    <cellStyle name="Normal 8 3 4 5 6" xfId="37215" xr:uid="{00000000-0005-0000-0000-000032C90000}"/>
    <cellStyle name="Normal 8 3 4 6" xfId="37216" xr:uid="{00000000-0005-0000-0000-000033C90000}"/>
    <cellStyle name="Normal 8 3 4 6 2" xfId="60315" xr:uid="{00000000-0005-0000-0000-000034C90000}"/>
    <cellStyle name="Normal 8 3 4 6 3" xfId="60316" xr:uid="{00000000-0005-0000-0000-000035C90000}"/>
    <cellStyle name="Normal 8 3 4 7" xfId="37217" xr:uid="{00000000-0005-0000-0000-000036C90000}"/>
    <cellStyle name="Normal 8 3 4 7 2" xfId="60317" xr:uid="{00000000-0005-0000-0000-000037C90000}"/>
    <cellStyle name="Normal 8 3 4 8" xfId="37218" xr:uid="{00000000-0005-0000-0000-000038C90000}"/>
    <cellStyle name="Normal 8 3 4 9" xfId="37219" xr:uid="{00000000-0005-0000-0000-000039C90000}"/>
    <cellStyle name="Normal 8 3 5" xfId="37220" xr:uid="{00000000-0005-0000-0000-00003AC90000}"/>
    <cellStyle name="Normal 8 3 5 10" xfId="37221" xr:uid="{00000000-0005-0000-0000-00003BC90000}"/>
    <cellStyle name="Normal 8 3 5 11" xfId="37222" xr:uid="{00000000-0005-0000-0000-00003CC90000}"/>
    <cellStyle name="Normal 8 3 5 12" xfId="37223" xr:uid="{00000000-0005-0000-0000-00003DC90000}"/>
    <cellStyle name="Normal 8 3 5 13" xfId="37224" xr:uid="{00000000-0005-0000-0000-00003EC90000}"/>
    <cellStyle name="Normal 8 3 5 14" xfId="37225" xr:uid="{00000000-0005-0000-0000-00003FC90000}"/>
    <cellStyle name="Normal 8 3 5 2" xfId="37226" xr:uid="{00000000-0005-0000-0000-000040C90000}"/>
    <cellStyle name="Normal 8 3 5 2 2" xfId="37227" xr:uid="{00000000-0005-0000-0000-000041C90000}"/>
    <cellStyle name="Normal 8 3 5 2 2 2" xfId="37228" xr:uid="{00000000-0005-0000-0000-000042C90000}"/>
    <cellStyle name="Normal 8 3 5 2 2 2 2" xfId="37229" xr:uid="{00000000-0005-0000-0000-000043C90000}"/>
    <cellStyle name="Normal 8 3 5 2 2 2 2 2" xfId="60318" xr:uid="{00000000-0005-0000-0000-000044C90000}"/>
    <cellStyle name="Normal 8 3 5 2 2 2 2 3" xfId="60319" xr:uid="{00000000-0005-0000-0000-000045C90000}"/>
    <cellStyle name="Normal 8 3 5 2 2 2 3" xfId="37230" xr:uid="{00000000-0005-0000-0000-000046C90000}"/>
    <cellStyle name="Normal 8 3 5 2 2 2 3 2" xfId="60320" xr:uid="{00000000-0005-0000-0000-000047C90000}"/>
    <cellStyle name="Normal 8 3 5 2 2 2 4" xfId="37231" xr:uid="{00000000-0005-0000-0000-000048C90000}"/>
    <cellStyle name="Normal 8 3 5 2 2 2 5" xfId="37232" xr:uid="{00000000-0005-0000-0000-000049C90000}"/>
    <cellStyle name="Normal 8 3 5 2 2 2 6" xfId="37233" xr:uid="{00000000-0005-0000-0000-00004AC90000}"/>
    <cellStyle name="Normal 8 3 5 2 2 3" xfId="37234" xr:uid="{00000000-0005-0000-0000-00004BC90000}"/>
    <cellStyle name="Normal 8 3 5 2 2 3 2" xfId="60321" xr:uid="{00000000-0005-0000-0000-00004CC90000}"/>
    <cellStyle name="Normal 8 3 5 2 2 3 3" xfId="60322" xr:uid="{00000000-0005-0000-0000-00004DC90000}"/>
    <cellStyle name="Normal 8 3 5 2 2 4" xfId="37235" xr:uid="{00000000-0005-0000-0000-00004EC90000}"/>
    <cellStyle name="Normal 8 3 5 2 2 4 2" xfId="60323" xr:uid="{00000000-0005-0000-0000-00004FC90000}"/>
    <cellStyle name="Normal 8 3 5 2 2 5" xfId="37236" xr:uid="{00000000-0005-0000-0000-000050C90000}"/>
    <cellStyle name="Normal 8 3 5 2 2 6" xfId="37237" xr:uid="{00000000-0005-0000-0000-000051C90000}"/>
    <cellStyle name="Normal 8 3 5 2 2 7" xfId="37238" xr:uid="{00000000-0005-0000-0000-000052C90000}"/>
    <cellStyle name="Normal 8 3 5 2 3" xfId="37239" xr:uid="{00000000-0005-0000-0000-000053C90000}"/>
    <cellStyle name="Normal 8 3 5 2 3 2" xfId="37240" xr:uid="{00000000-0005-0000-0000-000054C90000}"/>
    <cellStyle name="Normal 8 3 5 2 3 2 2" xfId="60324" xr:uid="{00000000-0005-0000-0000-000055C90000}"/>
    <cellStyle name="Normal 8 3 5 2 3 2 3" xfId="60325" xr:uid="{00000000-0005-0000-0000-000056C90000}"/>
    <cellStyle name="Normal 8 3 5 2 3 3" xfId="37241" xr:uid="{00000000-0005-0000-0000-000057C90000}"/>
    <cellStyle name="Normal 8 3 5 2 3 3 2" xfId="60326" xr:uid="{00000000-0005-0000-0000-000058C90000}"/>
    <cellStyle name="Normal 8 3 5 2 3 4" xfId="37242" xr:uid="{00000000-0005-0000-0000-000059C90000}"/>
    <cellStyle name="Normal 8 3 5 2 3 5" xfId="37243" xr:uid="{00000000-0005-0000-0000-00005AC90000}"/>
    <cellStyle name="Normal 8 3 5 2 3 6" xfId="37244" xr:uid="{00000000-0005-0000-0000-00005BC90000}"/>
    <cellStyle name="Normal 8 3 5 2 4" xfId="37245" xr:uid="{00000000-0005-0000-0000-00005CC90000}"/>
    <cellStyle name="Normal 8 3 5 2 4 2" xfId="60327" xr:uid="{00000000-0005-0000-0000-00005DC90000}"/>
    <cellStyle name="Normal 8 3 5 2 4 3" xfId="60328" xr:uid="{00000000-0005-0000-0000-00005EC90000}"/>
    <cellStyle name="Normal 8 3 5 2 5" xfId="37246" xr:uid="{00000000-0005-0000-0000-00005FC90000}"/>
    <cellStyle name="Normal 8 3 5 2 5 2" xfId="60329" xr:uid="{00000000-0005-0000-0000-000060C90000}"/>
    <cellStyle name="Normal 8 3 5 2 6" xfId="37247" xr:uid="{00000000-0005-0000-0000-000061C90000}"/>
    <cellStyle name="Normal 8 3 5 2 7" xfId="37248" xr:uid="{00000000-0005-0000-0000-000062C90000}"/>
    <cellStyle name="Normal 8 3 5 2 8" xfId="37249" xr:uid="{00000000-0005-0000-0000-000063C90000}"/>
    <cellStyle name="Normal 8 3 5 2 9" xfId="37250" xr:uid="{00000000-0005-0000-0000-000064C90000}"/>
    <cellStyle name="Normal 8 3 5 3" xfId="37251" xr:uid="{00000000-0005-0000-0000-000065C90000}"/>
    <cellStyle name="Normal 8 3 5 3 2" xfId="37252" xr:uid="{00000000-0005-0000-0000-000066C90000}"/>
    <cellStyle name="Normal 8 3 5 3 2 2" xfId="37253" xr:uid="{00000000-0005-0000-0000-000067C90000}"/>
    <cellStyle name="Normal 8 3 5 3 2 2 2" xfId="37254" xr:uid="{00000000-0005-0000-0000-000068C90000}"/>
    <cellStyle name="Normal 8 3 5 3 2 2 2 2" xfId="60330" xr:uid="{00000000-0005-0000-0000-000069C90000}"/>
    <cellStyle name="Normal 8 3 5 3 2 2 2 3" xfId="60331" xr:uid="{00000000-0005-0000-0000-00006AC90000}"/>
    <cellStyle name="Normal 8 3 5 3 2 2 3" xfId="37255" xr:uid="{00000000-0005-0000-0000-00006BC90000}"/>
    <cellStyle name="Normal 8 3 5 3 2 2 3 2" xfId="60332" xr:uid="{00000000-0005-0000-0000-00006CC90000}"/>
    <cellStyle name="Normal 8 3 5 3 2 2 4" xfId="37256" xr:uid="{00000000-0005-0000-0000-00006DC90000}"/>
    <cellStyle name="Normal 8 3 5 3 2 2 5" xfId="37257" xr:uid="{00000000-0005-0000-0000-00006EC90000}"/>
    <cellStyle name="Normal 8 3 5 3 2 2 6" xfId="37258" xr:uid="{00000000-0005-0000-0000-00006FC90000}"/>
    <cellStyle name="Normal 8 3 5 3 2 3" xfId="37259" xr:uid="{00000000-0005-0000-0000-000070C90000}"/>
    <cellStyle name="Normal 8 3 5 3 2 3 2" xfId="60333" xr:uid="{00000000-0005-0000-0000-000071C90000}"/>
    <cellStyle name="Normal 8 3 5 3 2 3 3" xfId="60334" xr:uid="{00000000-0005-0000-0000-000072C90000}"/>
    <cellStyle name="Normal 8 3 5 3 2 4" xfId="37260" xr:uid="{00000000-0005-0000-0000-000073C90000}"/>
    <cellStyle name="Normal 8 3 5 3 2 4 2" xfId="60335" xr:uid="{00000000-0005-0000-0000-000074C90000}"/>
    <cellStyle name="Normal 8 3 5 3 2 5" xfId="37261" xr:uid="{00000000-0005-0000-0000-000075C90000}"/>
    <cellStyle name="Normal 8 3 5 3 2 6" xfId="37262" xr:uid="{00000000-0005-0000-0000-000076C90000}"/>
    <cellStyle name="Normal 8 3 5 3 2 7" xfId="37263" xr:uid="{00000000-0005-0000-0000-000077C90000}"/>
    <cellStyle name="Normal 8 3 5 3 3" xfId="37264" xr:uid="{00000000-0005-0000-0000-000078C90000}"/>
    <cellStyle name="Normal 8 3 5 3 3 2" xfId="37265" xr:uid="{00000000-0005-0000-0000-000079C90000}"/>
    <cellStyle name="Normal 8 3 5 3 3 2 2" xfId="60336" xr:uid="{00000000-0005-0000-0000-00007AC90000}"/>
    <cellStyle name="Normal 8 3 5 3 3 2 3" xfId="60337" xr:uid="{00000000-0005-0000-0000-00007BC90000}"/>
    <cellStyle name="Normal 8 3 5 3 3 3" xfId="37266" xr:uid="{00000000-0005-0000-0000-00007CC90000}"/>
    <cellStyle name="Normal 8 3 5 3 3 3 2" xfId="60338" xr:uid="{00000000-0005-0000-0000-00007DC90000}"/>
    <cellStyle name="Normal 8 3 5 3 3 4" xfId="37267" xr:uid="{00000000-0005-0000-0000-00007EC90000}"/>
    <cellStyle name="Normal 8 3 5 3 3 5" xfId="37268" xr:uid="{00000000-0005-0000-0000-00007FC90000}"/>
    <cellStyle name="Normal 8 3 5 3 3 6" xfId="37269" xr:uid="{00000000-0005-0000-0000-000080C90000}"/>
    <cellStyle name="Normal 8 3 5 3 4" xfId="37270" xr:uid="{00000000-0005-0000-0000-000081C90000}"/>
    <cellStyle name="Normal 8 3 5 3 4 2" xfId="60339" xr:uid="{00000000-0005-0000-0000-000082C90000}"/>
    <cellStyle name="Normal 8 3 5 3 4 3" xfId="60340" xr:uid="{00000000-0005-0000-0000-000083C90000}"/>
    <cellStyle name="Normal 8 3 5 3 5" xfId="37271" xr:uid="{00000000-0005-0000-0000-000084C90000}"/>
    <cellStyle name="Normal 8 3 5 3 5 2" xfId="60341" xr:uid="{00000000-0005-0000-0000-000085C90000}"/>
    <cellStyle name="Normal 8 3 5 3 6" xfId="37272" xr:uid="{00000000-0005-0000-0000-000086C90000}"/>
    <cellStyle name="Normal 8 3 5 3 7" xfId="37273" xr:uid="{00000000-0005-0000-0000-000087C90000}"/>
    <cellStyle name="Normal 8 3 5 3 8" xfId="37274" xr:uid="{00000000-0005-0000-0000-000088C90000}"/>
    <cellStyle name="Normal 8 3 5 4" xfId="37275" xr:uid="{00000000-0005-0000-0000-000089C90000}"/>
    <cellStyle name="Normal 8 3 5 4 2" xfId="37276" xr:uid="{00000000-0005-0000-0000-00008AC90000}"/>
    <cellStyle name="Normal 8 3 5 4 2 2" xfId="37277" xr:uid="{00000000-0005-0000-0000-00008BC90000}"/>
    <cellStyle name="Normal 8 3 5 4 2 2 2" xfId="60342" xr:uid="{00000000-0005-0000-0000-00008CC90000}"/>
    <cellStyle name="Normal 8 3 5 4 2 2 3" xfId="60343" xr:uid="{00000000-0005-0000-0000-00008DC90000}"/>
    <cellStyle name="Normal 8 3 5 4 2 3" xfId="37278" xr:uid="{00000000-0005-0000-0000-00008EC90000}"/>
    <cellStyle name="Normal 8 3 5 4 2 3 2" xfId="60344" xr:uid="{00000000-0005-0000-0000-00008FC90000}"/>
    <cellStyle name="Normal 8 3 5 4 2 4" xfId="37279" xr:uid="{00000000-0005-0000-0000-000090C90000}"/>
    <cellStyle name="Normal 8 3 5 4 2 5" xfId="37280" xr:uid="{00000000-0005-0000-0000-000091C90000}"/>
    <cellStyle name="Normal 8 3 5 4 2 6" xfId="37281" xr:uid="{00000000-0005-0000-0000-000092C90000}"/>
    <cellStyle name="Normal 8 3 5 4 3" xfId="37282" xr:uid="{00000000-0005-0000-0000-000093C90000}"/>
    <cellStyle name="Normal 8 3 5 4 3 2" xfId="60345" xr:uid="{00000000-0005-0000-0000-000094C90000}"/>
    <cellStyle name="Normal 8 3 5 4 3 3" xfId="60346" xr:uid="{00000000-0005-0000-0000-000095C90000}"/>
    <cellStyle name="Normal 8 3 5 4 4" xfId="37283" xr:uid="{00000000-0005-0000-0000-000096C90000}"/>
    <cellStyle name="Normal 8 3 5 4 4 2" xfId="60347" xr:uid="{00000000-0005-0000-0000-000097C90000}"/>
    <cellStyle name="Normal 8 3 5 4 5" xfId="37284" xr:uid="{00000000-0005-0000-0000-000098C90000}"/>
    <cellStyle name="Normal 8 3 5 4 6" xfId="37285" xr:uid="{00000000-0005-0000-0000-000099C90000}"/>
    <cellStyle name="Normal 8 3 5 4 7" xfId="37286" xr:uid="{00000000-0005-0000-0000-00009AC90000}"/>
    <cellStyle name="Normal 8 3 5 5" xfId="37287" xr:uid="{00000000-0005-0000-0000-00009BC90000}"/>
    <cellStyle name="Normal 8 3 5 5 2" xfId="37288" xr:uid="{00000000-0005-0000-0000-00009CC90000}"/>
    <cellStyle name="Normal 8 3 5 5 2 2" xfId="60348" xr:uid="{00000000-0005-0000-0000-00009DC90000}"/>
    <cellStyle name="Normal 8 3 5 5 2 3" xfId="60349" xr:uid="{00000000-0005-0000-0000-00009EC90000}"/>
    <cellStyle name="Normal 8 3 5 5 3" xfId="37289" xr:uid="{00000000-0005-0000-0000-00009FC90000}"/>
    <cellStyle name="Normal 8 3 5 5 3 2" xfId="60350" xr:uid="{00000000-0005-0000-0000-0000A0C90000}"/>
    <cellStyle name="Normal 8 3 5 5 4" xfId="37290" xr:uid="{00000000-0005-0000-0000-0000A1C90000}"/>
    <cellStyle name="Normal 8 3 5 5 5" xfId="37291" xr:uid="{00000000-0005-0000-0000-0000A2C90000}"/>
    <cellStyle name="Normal 8 3 5 5 6" xfId="37292" xr:uid="{00000000-0005-0000-0000-0000A3C90000}"/>
    <cellStyle name="Normal 8 3 5 6" xfId="37293" xr:uid="{00000000-0005-0000-0000-0000A4C90000}"/>
    <cellStyle name="Normal 8 3 5 6 2" xfId="60351" xr:uid="{00000000-0005-0000-0000-0000A5C90000}"/>
    <cellStyle name="Normal 8 3 5 6 3" xfId="60352" xr:uid="{00000000-0005-0000-0000-0000A6C90000}"/>
    <cellStyle name="Normal 8 3 5 7" xfId="37294" xr:uid="{00000000-0005-0000-0000-0000A7C90000}"/>
    <cellStyle name="Normal 8 3 5 7 2" xfId="60353" xr:uid="{00000000-0005-0000-0000-0000A8C90000}"/>
    <cellStyle name="Normal 8 3 5 8" xfId="37295" xr:uid="{00000000-0005-0000-0000-0000A9C90000}"/>
    <cellStyle name="Normal 8 3 5 9" xfId="37296" xr:uid="{00000000-0005-0000-0000-0000AAC90000}"/>
    <cellStyle name="Normal 8 3 6" xfId="37297" xr:uid="{00000000-0005-0000-0000-0000ABC90000}"/>
    <cellStyle name="Normal 8 3 6 10" xfId="37298" xr:uid="{00000000-0005-0000-0000-0000ACC90000}"/>
    <cellStyle name="Normal 8 3 6 11" xfId="37299" xr:uid="{00000000-0005-0000-0000-0000ADC90000}"/>
    <cellStyle name="Normal 8 3 6 12" xfId="37300" xr:uid="{00000000-0005-0000-0000-0000AEC90000}"/>
    <cellStyle name="Normal 8 3 6 13" xfId="37301" xr:uid="{00000000-0005-0000-0000-0000AFC90000}"/>
    <cellStyle name="Normal 8 3 6 2" xfId="37302" xr:uid="{00000000-0005-0000-0000-0000B0C90000}"/>
    <cellStyle name="Normal 8 3 6 2 2" xfId="37303" xr:uid="{00000000-0005-0000-0000-0000B1C90000}"/>
    <cellStyle name="Normal 8 3 6 2 2 2" xfId="37304" xr:uid="{00000000-0005-0000-0000-0000B2C90000}"/>
    <cellStyle name="Normal 8 3 6 2 2 2 2" xfId="37305" xr:uid="{00000000-0005-0000-0000-0000B3C90000}"/>
    <cellStyle name="Normal 8 3 6 2 2 2 2 2" xfId="60354" xr:uid="{00000000-0005-0000-0000-0000B4C90000}"/>
    <cellStyle name="Normal 8 3 6 2 2 2 2 3" xfId="60355" xr:uid="{00000000-0005-0000-0000-0000B5C90000}"/>
    <cellStyle name="Normal 8 3 6 2 2 2 3" xfId="37306" xr:uid="{00000000-0005-0000-0000-0000B6C90000}"/>
    <cellStyle name="Normal 8 3 6 2 2 2 3 2" xfId="60356" xr:uid="{00000000-0005-0000-0000-0000B7C90000}"/>
    <cellStyle name="Normal 8 3 6 2 2 2 4" xfId="37307" xr:uid="{00000000-0005-0000-0000-0000B8C90000}"/>
    <cellStyle name="Normal 8 3 6 2 2 2 5" xfId="37308" xr:uid="{00000000-0005-0000-0000-0000B9C90000}"/>
    <cellStyle name="Normal 8 3 6 2 2 2 6" xfId="37309" xr:uid="{00000000-0005-0000-0000-0000BAC90000}"/>
    <cellStyle name="Normal 8 3 6 2 2 3" xfId="37310" xr:uid="{00000000-0005-0000-0000-0000BBC90000}"/>
    <cellStyle name="Normal 8 3 6 2 2 3 2" xfId="60357" xr:uid="{00000000-0005-0000-0000-0000BCC90000}"/>
    <cellStyle name="Normal 8 3 6 2 2 3 3" xfId="60358" xr:uid="{00000000-0005-0000-0000-0000BDC90000}"/>
    <cellStyle name="Normal 8 3 6 2 2 4" xfId="37311" xr:uid="{00000000-0005-0000-0000-0000BEC90000}"/>
    <cellStyle name="Normal 8 3 6 2 2 4 2" xfId="60359" xr:uid="{00000000-0005-0000-0000-0000BFC90000}"/>
    <cellStyle name="Normal 8 3 6 2 2 5" xfId="37312" xr:uid="{00000000-0005-0000-0000-0000C0C90000}"/>
    <cellStyle name="Normal 8 3 6 2 2 6" xfId="37313" xr:uid="{00000000-0005-0000-0000-0000C1C90000}"/>
    <cellStyle name="Normal 8 3 6 2 2 7" xfId="37314" xr:uid="{00000000-0005-0000-0000-0000C2C90000}"/>
    <cellStyle name="Normal 8 3 6 2 3" xfId="37315" xr:uid="{00000000-0005-0000-0000-0000C3C90000}"/>
    <cellStyle name="Normal 8 3 6 2 3 2" xfId="37316" xr:uid="{00000000-0005-0000-0000-0000C4C90000}"/>
    <cellStyle name="Normal 8 3 6 2 3 2 2" xfId="60360" xr:uid="{00000000-0005-0000-0000-0000C5C90000}"/>
    <cellStyle name="Normal 8 3 6 2 3 2 3" xfId="60361" xr:uid="{00000000-0005-0000-0000-0000C6C90000}"/>
    <cellStyle name="Normal 8 3 6 2 3 3" xfId="37317" xr:uid="{00000000-0005-0000-0000-0000C7C90000}"/>
    <cellStyle name="Normal 8 3 6 2 3 3 2" xfId="60362" xr:uid="{00000000-0005-0000-0000-0000C8C90000}"/>
    <cellStyle name="Normal 8 3 6 2 3 4" xfId="37318" xr:uid="{00000000-0005-0000-0000-0000C9C90000}"/>
    <cellStyle name="Normal 8 3 6 2 3 5" xfId="37319" xr:uid="{00000000-0005-0000-0000-0000CAC90000}"/>
    <cellStyle name="Normal 8 3 6 2 3 6" xfId="37320" xr:uid="{00000000-0005-0000-0000-0000CBC90000}"/>
    <cellStyle name="Normal 8 3 6 2 4" xfId="37321" xr:uid="{00000000-0005-0000-0000-0000CCC90000}"/>
    <cellStyle name="Normal 8 3 6 2 4 2" xfId="60363" xr:uid="{00000000-0005-0000-0000-0000CDC90000}"/>
    <cellStyle name="Normal 8 3 6 2 4 3" xfId="60364" xr:uid="{00000000-0005-0000-0000-0000CEC90000}"/>
    <cellStyle name="Normal 8 3 6 2 5" xfId="37322" xr:uid="{00000000-0005-0000-0000-0000CFC90000}"/>
    <cellStyle name="Normal 8 3 6 2 5 2" xfId="60365" xr:uid="{00000000-0005-0000-0000-0000D0C90000}"/>
    <cellStyle name="Normal 8 3 6 2 6" xfId="37323" xr:uid="{00000000-0005-0000-0000-0000D1C90000}"/>
    <cellStyle name="Normal 8 3 6 2 7" xfId="37324" xr:uid="{00000000-0005-0000-0000-0000D2C90000}"/>
    <cellStyle name="Normal 8 3 6 2 8" xfId="37325" xr:uid="{00000000-0005-0000-0000-0000D3C90000}"/>
    <cellStyle name="Normal 8 3 6 2 9" xfId="37326" xr:uid="{00000000-0005-0000-0000-0000D4C90000}"/>
    <cellStyle name="Normal 8 3 6 3" xfId="37327" xr:uid="{00000000-0005-0000-0000-0000D5C90000}"/>
    <cellStyle name="Normal 8 3 6 3 2" xfId="37328" xr:uid="{00000000-0005-0000-0000-0000D6C90000}"/>
    <cellStyle name="Normal 8 3 6 3 2 2" xfId="37329" xr:uid="{00000000-0005-0000-0000-0000D7C90000}"/>
    <cellStyle name="Normal 8 3 6 3 2 2 2" xfId="60366" xr:uid="{00000000-0005-0000-0000-0000D8C90000}"/>
    <cellStyle name="Normal 8 3 6 3 2 2 3" xfId="60367" xr:uid="{00000000-0005-0000-0000-0000D9C90000}"/>
    <cellStyle name="Normal 8 3 6 3 2 3" xfId="37330" xr:uid="{00000000-0005-0000-0000-0000DAC90000}"/>
    <cellStyle name="Normal 8 3 6 3 2 3 2" xfId="60368" xr:uid="{00000000-0005-0000-0000-0000DBC90000}"/>
    <cellStyle name="Normal 8 3 6 3 2 4" xfId="37331" xr:uid="{00000000-0005-0000-0000-0000DCC90000}"/>
    <cellStyle name="Normal 8 3 6 3 2 5" xfId="37332" xr:uid="{00000000-0005-0000-0000-0000DDC90000}"/>
    <cellStyle name="Normal 8 3 6 3 2 6" xfId="37333" xr:uid="{00000000-0005-0000-0000-0000DEC90000}"/>
    <cellStyle name="Normal 8 3 6 3 3" xfId="37334" xr:uid="{00000000-0005-0000-0000-0000DFC90000}"/>
    <cellStyle name="Normal 8 3 6 3 3 2" xfId="60369" xr:uid="{00000000-0005-0000-0000-0000E0C90000}"/>
    <cellStyle name="Normal 8 3 6 3 3 3" xfId="60370" xr:uid="{00000000-0005-0000-0000-0000E1C90000}"/>
    <cellStyle name="Normal 8 3 6 3 4" xfId="37335" xr:uid="{00000000-0005-0000-0000-0000E2C90000}"/>
    <cellStyle name="Normal 8 3 6 3 4 2" xfId="60371" xr:uid="{00000000-0005-0000-0000-0000E3C90000}"/>
    <cellStyle name="Normal 8 3 6 3 5" xfId="37336" xr:uid="{00000000-0005-0000-0000-0000E4C90000}"/>
    <cellStyle name="Normal 8 3 6 3 6" xfId="37337" xr:uid="{00000000-0005-0000-0000-0000E5C90000}"/>
    <cellStyle name="Normal 8 3 6 3 7" xfId="37338" xr:uid="{00000000-0005-0000-0000-0000E6C90000}"/>
    <cellStyle name="Normal 8 3 6 4" xfId="37339" xr:uid="{00000000-0005-0000-0000-0000E7C90000}"/>
    <cellStyle name="Normal 8 3 6 4 2" xfId="37340" xr:uid="{00000000-0005-0000-0000-0000E8C90000}"/>
    <cellStyle name="Normal 8 3 6 4 2 2" xfId="60372" xr:uid="{00000000-0005-0000-0000-0000E9C90000}"/>
    <cellStyle name="Normal 8 3 6 4 2 3" xfId="60373" xr:uid="{00000000-0005-0000-0000-0000EAC90000}"/>
    <cellStyle name="Normal 8 3 6 4 3" xfId="37341" xr:uid="{00000000-0005-0000-0000-0000EBC90000}"/>
    <cellStyle name="Normal 8 3 6 4 3 2" xfId="60374" xr:uid="{00000000-0005-0000-0000-0000ECC90000}"/>
    <cellStyle name="Normal 8 3 6 4 4" xfId="37342" xr:uid="{00000000-0005-0000-0000-0000EDC90000}"/>
    <cellStyle name="Normal 8 3 6 4 5" xfId="37343" xr:uid="{00000000-0005-0000-0000-0000EEC90000}"/>
    <cellStyle name="Normal 8 3 6 4 6" xfId="37344" xr:uid="{00000000-0005-0000-0000-0000EFC90000}"/>
    <cellStyle name="Normal 8 3 6 5" xfId="37345" xr:uid="{00000000-0005-0000-0000-0000F0C90000}"/>
    <cellStyle name="Normal 8 3 6 5 2" xfId="60375" xr:uid="{00000000-0005-0000-0000-0000F1C90000}"/>
    <cellStyle name="Normal 8 3 6 5 3" xfId="60376" xr:uid="{00000000-0005-0000-0000-0000F2C90000}"/>
    <cellStyle name="Normal 8 3 6 6" xfId="37346" xr:uid="{00000000-0005-0000-0000-0000F3C90000}"/>
    <cellStyle name="Normal 8 3 6 6 2" xfId="60377" xr:uid="{00000000-0005-0000-0000-0000F4C90000}"/>
    <cellStyle name="Normal 8 3 6 7" xfId="37347" xr:uid="{00000000-0005-0000-0000-0000F5C90000}"/>
    <cellStyle name="Normal 8 3 6 8" xfId="37348" xr:uid="{00000000-0005-0000-0000-0000F6C90000}"/>
    <cellStyle name="Normal 8 3 6 9" xfId="37349" xr:uid="{00000000-0005-0000-0000-0000F7C90000}"/>
    <cellStyle name="Normal 8 3 7" xfId="37350" xr:uid="{00000000-0005-0000-0000-0000F8C90000}"/>
    <cellStyle name="Normal 8 3 7 2" xfId="37351" xr:uid="{00000000-0005-0000-0000-0000F9C90000}"/>
    <cellStyle name="Normal 8 3 7 2 2" xfId="37352" xr:uid="{00000000-0005-0000-0000-0000FAC90000}"/>
    <cellStyle name="Normal 8 3 7 2 2 2" xfId="37353" xr:uid="{00000000-0005-0000-0000-0000FBC90000}"/>
    <cellStyle name="Normal 8 3 7 2 2 2 2" xfId="60378" xr:uid="{00000000-0005-0000-0000-0000FCC90000}"/>
    <cellStyle name="Normal 8 3 7 2 2 2 3" xfId="60379" xr:uid="{00000000-0005-0000-0000-0000FDC90000}"/>
    <cellStyle name="Normal 8 3 7 2 2 3" xfId="37354" xr:uid="{00000000-0005-0000-0000-0000FEC90000}"/>
    <cellStyle name="Normal 8 3 7 2 2 3 2" xfId="60380" xr:uid="{00000000-0005-0000-0000-0000FFC90000}"/>
    <cellStyle name="Normal 8 3 7 2 2 4" xfId="37355" xr:uid="{00000000-0005-0000-0000-000000CA0000}"/>
    <cellStyle name="Normal 8 3 7 2 2 5" xfId="37356" xr:uid="{00000000-0005-0000-0000-000001CA0000}"/>
    <cellStyle name="Normal 8 3 7 2 2 6" xfId="37357" xr:uid="{00000000-0005-0000-0000-000002CA0000}"/>
    <cellStyle name="Normal 8 3 7 2 3" xfId="37358" xr:uid="{00000000-0005-0000-0000-000003CA0000}"/>
    <cellStyle name="Normal 8 3 7 2 3 2" xfId="60381" xr:uid="{00000000-0005-0000-0000-000004CA0000}"/>
    <cellStyle name="Normal 8 3 7 2 3 3" xfId="60382" xr:uid="{00000000-0005-0000-0000-000005CA0000}"/>
    <cellStyle name="Normal 8 3 7 2 4" xfId="37359" xr:uid="{00000000-0005-0000-0000-000006CA0000}"/>
    <cellStyle name="Normal 8 3 7 2 4 2" xfId="60383" xr:uid="{00000000-0005-0000-0000-000007CA0000}"/>
    <cellStyle name="Normal 8 3 7 2 5" xfId="37360" xr:uid="{00000000-0005-0000-0000-000008CA0000}"/>
    <cellStyle name="Normal 8 3 7 2 6" xfId="37361" xr:uid="{00000000-0005-0000-0000-000009CA0000}"/>
    <cellStyle name="Normal 8 3 7 2 7" xfId="37362" xr:uid="{00000000-0005-0000-0000-00000ACA0000}"/>
    <cellStyle name="Normal 8 3 7 3" xfId="37363" xr:uid="{00000000-0005-0000-0000-00000BCA0000}"/>
    <cellStyle name="Normal 8 3 7 3 2" xfId="37364" xr:uid="{00000000-0005-0000-0000-00000CCA0000}"/>
    <cellStyle name="Normal 8 3 7 3 2 2" xfId="60384" xr:uid="{00000000-0005-0000-0000-00000DCA0000}"/>
    <cellStyle name="Normal 8 3 7 3 2 3" xfId="60385" xr:uid="{00000000-0005-0000-0000-00000ECA0000}"/>
    <cellStyle name="Normal 8 3 7 3 3" xfId="37365" xr:uid="{00000000-0005-0000-0000-00000FCA0000}"/>
    <cellStyle name="Normal 8 3 7 3 3 2" xfId="60386" xr:uid="{00000000-0005-0000-0000-000010CA0000}"/>
    <cellStyle name="Normal 8 3 7 3 4" xfId="37366" xr:uid="{00000000-0005-0000-0000-000011CA0000}"/>
    <cellStyle name="Normal 8 3 7 3 5" xfId="37367" xr:uid="{00000000-0005-0000-0000-000012CA0000}"/>
    <cellStyle name="Normal 8 3 7 3 6" xfId="37368" xr:uid="{00000000-0005-0000-0000-000013CA0000}"/>
    <cellStyle name="Normal 8 3 7 4" xfId="37369" xr:uid="{00000000-0005-0000-0000-000014CA0000}"/>
    <cellStyle name="Normal 8 3 7 4 2" xfId="60387" xr:uid="{00000000-0005-0000-0000-000015CA0000}"/>
    <cellStyle name="Normal 8 3 7 4 3" xfId="60388" xr:uid="{00000000-0005-0000-0000-000016CA0000}"/>
    <cellStyle name="Normal 8 3 7 5" xfId="37370" xr:uid="{00000000-0005-0000-0000-000017CA0000}"/>
    <cellStyle name="Normal 8 3 7 5 2" xfId="60389" xr:uid="{00000000-0005-0000-0000-000018CA0000}"/>
    <cellStyle name="Normal 8 3 7 6" xfId="37371" xr:uid="{00000000-0005-0000-0000-000019CA0000}"/>
    <cellStyle name="Normal 8 3 7 7" xfId="37372" xr:uid="{00000000-0005-0000-0000-00001ACA0000}"/>
    <cellStyle name="Normal 8 3 7 8" xfId="37373" xr:uid="{00000000-0005-0000-0000-00001BCA0000}"/>
    <cellStyle name="Normal 8 3 7 9" xfId="37374" xr:uid="{00000000-0005-0000-0000-00001CCA0000}"/>
    <cellStyle name="Normal 8 3 8" xfId="37375" xr:uid="{00000000-0005-0000-0000-00001DCA0000}"/>
    <cellStyle name="Normal 8 3 8 2" xfId="37376" xr:uid="{00000000-0005-0000-0000-00001ECA0000}"/>
    <cellStyle name="Normal 8 3 8 2 2" xfId="37377" xr:uid="{00000000-0005-0000-0000-00001FCA0000}"/>
    <cellStyle name="Normal 8 3 8 2 2 2" xfId="37378" xr:uid="{00000000-0005-0000-0000-000020CA0000}"/>
    <cellStyle name="Normal 8 3 8 2 2 2 2" xfId="60390" xr:uid="{00000000-0005-0000-0000-000021CA0000}"/>
    <cellStyle name="Normal 8 3 8 2 2 2 3" xfId="60391" xr:uid="{00000000-0005-0000-0000-000022CA0000}"/>
    <cellStyle name="Normal 8 3 8 2 2 3" xfId="37379" xr:uid="{00000000-0005-0000-0000-000023CA0000}"/>
    <cellStyle name="Normal 8 3 8 2 2 3 2" xfId="60392" xr:uid="{00000000-0005-0000-0000-000024CA0000}"/>
    <cellStyle name="Normal 8 3 8 2 2 4" xfId="37380" xr:uid="{00000000-0005-0000-0000-000025CA0000}"/>
    <cellStyle name="Normal 8 3 8 2 2 5" xfId="37381" xr:uid="{00000000-0005-0000-0000-000026CA0000}"/>
    <cellStyle name="Normal 8 3 8 2 2 6" xfId="37382" xr:uid="{00000000-0005-0000-0000-000027CA0000}"/>
    <cellStyle name="Normal 8 3 8 2 3" xfId="37383" xr:uid="{00000000-0005-0000-0000-000028CA0000}"/>
    <cellStyle name="Normal 8 3 8 2 3 2" xfId="60393" xr:uid="{00000000-0005-0000-0000-000029CA0000}"/>
    <cellStyle name="Normal 8 3 8 2 3 3" xfId="60394" xr:uid="{00000000-0005-0000-0000-00002ACA0000}"/>
    <cellStyle name="Normal 8 3 8 2 4" xfId="37384" xr:uid="{00000000-0005-0000-0000-00002BCA0000}"/>
    <cellStyle name="Normal 8 3 8 2 4 2" xfId="60395" xr:uid="{00000000-0005-0000-0000-00002CCA0000}"/>
    <cellStyle name="Normal 8 3 8 2 5" xfId="37385" xr:uid="{00000000-0005-0000-0000-00002DCA0000}"/>
    <cellStyle name="Normal 8 3 8 2 6" xfId="37386" xr:uid="{00000000-0005-0000-0000-00002ECA0000}"/>
    <cellStyle name="Normal 8 3 8 2 7" xfId="37387" xr:uid="{00000000-0005-0000-0000-00002FCA0000}"/>
    <cellStyle name="Normal 8 3 8 3" xfId="37388" xr:uid="{00000000-0005-0000-0000-000030CA0000}"/>
    <cellStyle name="Normal 8 3 8 3 2" xfId="37389" xr:uid="{00000000-0005-0000-0000-000031CA0000}"/>
    <cellStyle name="Normal 8 3 8 3 2 2" xfId="60396" xr:uid="{00000000-0005-0000-0000-000032CA0000}"/>
    <cellStyle name="Normal 8 3 8 3 2 3" xfId="60397" xr:uid="{00000000-0005-0000-0000-000033CA0000}"/>
    <cellStyle name="Normal 8 3 8 3 3" xfId="37390" xr:uid="{00000000-0005-0000-0000-000034CA0000}"/>
    <cellStyle name="Normal 8 3 8 3 3 2" xfId="60398" xr:uid="{00000000-0005-0000-0000-000035CA0000}"/>
    <cellStyle name="Normal 8 3 8 3 4" xfId="37391" xr:uid="{00000000-0005-0000-0000-000036CA0000}"/>
    <cellStyle name="Normal 8 3 8 3 5" xfId="37392" xr:uid="{00000000-0005-0000-0000-000037CA0000}"/>
    <cellStyle name="Normal 8 3 8 3 6" xfId="37393" xr:uid="{00000000-0005-0000-0000-000038CA0000}"/>
    <cellStyle name="Normal 8 3 8 4" xfId="37394" xr:uid="{00000000-0005-0000-0000-000039CA0000}"/>
    <cellStyle name="Normal 8 3 8 4 2" xfId="60399" xr:uid="{00000000-0005-0000-0000-00003ACA0000}"/>
    <cellStyle name="Normal 8 3 8 4 3" xfId="60400" xr:uid="{00000000-0005-0000-0000-00003BCA0000}"/>
    <cellStyle name="Normal 8 3 8 5" xfId="37395" xr:uid="{00000000-0005-0000-0000-00003CCA0000}"/>
    <cellStyle name="Normal 8 3 8 5 2" xfId="60401" xr:uid="{00000000-0005-0000-0000-00003DCA0000}"/>
    <cellStyle name="Normal 8 3 8 6" xfId="37396" xr:uid="{00000000-0005-0000-0000-00003ECA0000}"/>
    <cellStyle name="Normal 8 3 8 7" xfId="37397" xr:uid="{00000000-0005-0000-0000-00003FCA0000}"/>
    <cellStyle name="Normal 8 3 8 8" xfId="37398" xr:uid="{00000000-0005-0000-0000-000040CA0000}"/>
    <cellStyle name="Normal 8 3 9" xfId="37399" xr:uid="{00000000-0005-0000-0000-000041CA0000}"/>
    <cellStyle name="Normal 8 3 9 2" xfId="37400" xr:uid="{00000000-0005-0000-0000-000042CA0000}"/>
    <cellStyle name="Normal 8 3 9 2 2" xfId="37401" xr:uid="{00000000-0005-0000-0000-000043CA0000}"/>
    <cellStyle name="Normal 8 3 9 2 2 2" xfId="37402" xr:uid="{00000000-0005-0000-0000-000044CA0000}"/>
    <cellStyle name="Normal 8 3 9 2 2 2 2" xfId="60402" xr:uid="{00000000-0005-0000-0000-000045CA0000}"/>
    <cellStyle name="Normal 8 3 9 2 2 2 3" xfId="60403" xr:uid="{00000000-0005-0000-0000-000046CA0000}"/>
    <cellStyle name="Normal 8 3 9 2 2 3" xfId="37403" xr:uid="{00000000-0005-0000-0000-000047CA0000}"/>
    <cellStyle name="Normal 8 3 9 2 2 3 2" xfId="60404" xr:uid="{00000000-0005-0000-0000-000048CA0000}"/>
    <cellStyle name="Normal 8 3 9 2 2 4" xfId="37404" xr:uid="{00000000-0005-0000-0000-000049CA0000}"/>
    <cellStyle name="Normal 8 3 9 2 2 5" xfId="37405" xr:uid="{00000000-0005-0000-0000-00004ACA0000}"/>
    <cellStyle name="Normal 8 3 9 2 2 6" xfId="37406" xr:uid="{00000000-0005-0000-0000-00004BCA0000}"/>
    <cellStyle name="Normal 8 3 9 2 3" xfId="37407" xr:uid="{00000000-0005-0000-0000-00004CCA0000}"/>
    <cellStyle name="Normal 8 3 9 2 3 2" xfId="60405" xr:uid="{00000000-0005-0000-0000-00004DCA0000}"/>
    <cellStyle name="Normal 8 3 9 2 3 3" xfId="60406" xr:uid="{00000000-0005-0000-0000-00004ECA0000}"/>
    <cellStyle name="Normal 8 3 9 2 4" xfId="37408" xr:uid="{00000000-0005-0000-0000-00004FCA0000}"/>
    <cellStyle name="Normal 8 3 9 2 4 2" xfId="60407" xr:uid="{00000000-0005-0000-0000-000050CA0000}"/>
    <cellStyle name="Normal 8 3 9 2 5" xfId="37409" xr:uid="{00000000-0005-0000-0000-000051CA0000}"/>
    <cellStyle name="Normal 8 3 9 2 6" xfId="37410" xr:uid="{00000000-0005-0000-0000-000052CA0000}"/>
    <cellStyle name="Normal 8 3 9 2 7" xfId="37411" xr:uid="{00000000-0005-0000-0000-000053CA0000}"/>
    <cellStyle name="Normal 8 3 9 3" xfId="37412" xr:uid="{00000000-0005-0000-0000-000054CA0000}"/>
    <cellStyle name="Normal 8 3 9 3 2" xfId="37413" xr:uid="{00000000-0005-0000-0000-000055CA0000}"/>
    <cellStyle name="Normal 8 3 9 3 2 2" xfId="60408" xr:uid="{00000000-0005-0000-0000-000056CA0000}"/>
    <cellStyle name="Normal 8 3 9 3 2 3" xfId="60409" xr:uid="{00000000-0005-0000-0000-000057CA0000}"/>
    <cellStyle name="Normal 8 3 9 3 3" xfId="37414" xr:uid="{00000000-0005-0000-0000-000058CA0000}"/>
    <cellStyle name="Normal 8 3 9 3 3 2" xfId="60410" xr:uid="{00000000-0005-0000-0000-000059CA0000}"/>
    <cellStyle name="Normal 8 3 9 3 4" xfId="37415" xr:uid="{00000000-0005-0000-0000-00005ACA0000}"/>
    <cellStyle name="Normal 8 3 9 3 5" xfId="37416" xr:uid="{00000000-0005-0000-0000-00005BCA0000}"/>
    <cellStyle name="Normal 8 3 9 3 6" xfId="37417" xr:uid="{00000000-0005-0000-0000-00005CCA0000}"/>
    <cellStyle name="Normal 8 3 9 4" xfId="37418" xr:uid="{00000000-0005-0000-0000-00005DCA0000}"/>
    <cellStyle name="Normal 8 3 9 4 2" xfId="60411" xr:uid="{00000000-0005-0000-0000-00005ECA0000}"/>
    <cellStyle name="Normal 8 3 9 4 3" xfId="60412" xr:uid="{00000000-0005-0000-0000-00005FCA0000}"/>
    <cellStyle name="Normal 8 3 9 5" xfId="37419" xr:uid="{00000000-0005-0000-0000-000060CA0000}"/>
    <cellStyle name="Normal 8 3 9 5 2" xfId="60413" xr:uid="{00000000-0005-0000-0000-000061CA0000}"/>
    <cellStyle name="Normal 8 3 9 6" xfId="37420" xr:uid="{00000000-0005-0000-0000-000062CA0000}"/>
    <cellStyle name="Normal 8 3 9 7" xfId="37421" xr:uid="{00000000-0005-0000-0000-000063CA0000}"/>
    <cellStyle name="Normal 8 3 9 8" xfId="37422" xr:uid="{00000000-0005-0000-0000-000064CA0000}"/>
    <cellStyle name="Normal 8 4" xfId="37423" xr:uid="{00000000-0005-0000-0000-000065CA0000}"/>
    <cellStyle name="Normal 8 4 10" xfId="37424" xr:uid="{00000000-0005-0000-0000-000066CA0000}"/>
    <cellStyle name="Normal 8 4 11" xfId="37425" xr:uid="{00000000-0005-0000-0000-000067CA0000}"/>
    <cellStyle name="Normal 8 4 12" xfId="37426" xr:uid="{00000000-0005-0000-0000-000068CA0000}"/>
    <cellStyle name="Normal 8 4 13" xfId="37427" xr:uid="{00000000-0005-0000-0000-000069CA0000}"/>
    <cellStyle name="Normal 8 4 14" xfId="37428" xr:uid="{00000000-0005-0000-0000-00006ACA0000}"/>
    <cellStyle name="Normal 8 4 15" xfId="37429" xr:uid="{00000000-0005-0000-0000-00006BCA0000}"/>
    <cellStyle name="Normal 8 4 2" xfId="37430" xr:uid="{00000000-0005-0000-0000-00006CCA0000}"/>
    <cellStyle name="Normal 8 4 2 10" xfId="37431" xr:uid="{00000000-0005-0000-0000-00006DCA0000}"/>
    <cellStyle name="Normal 8 4 2 11" xfId="37432" xr:uid="{00000000-0005-0000-0000-00006ECA0000}"/>
    <cellStyle name="Normal 8 4 2 12" xfId="37433" xr:uid="{00000000-0005-0000-0000-00006FCA0000}"/>
    <cellStyle name="Normal 8 4 2 13" xfId="37434" xr:uid="{00000000-0005-0000-0000-000070CA0000}"/>
    <cellStyle name="Normal 8 4 2 14" xfId="37435" xr:uid="{00000000-0005-0000-0000-000071CA0000}"/>
    <cellStyle name="Normal 8 4 2 2" xfId="37436" xr:uid="{00000000-0005-0000-0000-000072CA0000}"/>
    <cellStyle name="Normal 8 4 2 2 2" xfId="37437" xr:uid="{00000000-0005-0000-0000-000073CA0000}"/>
    <cellStyle name="Normal 8 4 2 2 2 2" xfId="37438" xr:uid="{00000000-0005-0000-0000-000074CA0000}"/>
    <cellStyle name="Normal 8 4 2 2 2 2 2" xfId="37439" xr:uid="{00000000-0005-0000-0000-000075CA0000}"/>
    <cellStyle name="Normal 8 4 2 2 2 2 2 2" xfId="60414" xr:uid="{00000000-0005-0000-0000-000076CA0000}"/>
    <cellStyle name="Normal 8 4 2 2 2 2 2 3" xfId="60415" xr:uid="{00000000-0005-0000-0000-000077CA0000}"/>
    <cellStyle name="Normal 8 4 2 2 2 2 3" xfId="37440" xr:uid="{00000000-0005-0000-0000-000078CA0000}"/>
    <cellStyle name="Normal 8 4 2 2 2 2 3 2" xfId="60416" xr:uid="{00000000-0005-0000-0000-000079CA0000}"/>
    <cellStyle name="Normal 8 4 2 2 2 2 4" xfId="37441" xr:uid="{00000000-0005-0000-0000-00007ACA0000}"/>
    <cellStyle name="Normal 8 4 2 2 2 2 5" xfId="37442" xr:uid="{00000000-0005-0000-0000-00007BCA0000}"/>
    <cellStyle name="Normal 8 4 2 2 2 2 6" xfId="37443" xr:uid="{00000000-0005-0000-0000-00007CCA0000}"/>
    <cellStyle name="Normal 8 4 2 2 2 3" xfId="37444" xr:uid="{00000000-0005-0000-0000-00007DCA0000}"/>
    <cellStyle name="Normal 8 4 2 2 2 3 2" xfId="60417" xr:uid="{00000000-0005-0000-0000-00007ECA0000}"/>
    <cellStyle name="Normal 8 4 2 2 2 3 3" xfId="60418" xr:uid="{00000000-0005-0000-0000-00007FCA0000}"/>
    <cellStyle name="Normal 8 4 2 2 2 4" xfId="37445" xr:uid="{00000000-0005-0000-0000-000080CA0000}"/>
    <cellStyle name="Normal 8 4 2 2 2 4 2" xfId="60419" xr:uid="{00000000-0005-0000-0000-000081CA0000}"/>
    <cellStyle name="Normal 8 4 2 2 2 5" xfId="37446" xr:uid="{00000000-0005-0000-0000-000082CA0000}"/>
    <cellStyle name="Normal 8 4 2 2 2 6" xfId="37447" xr:uid="{00000000-0005-0000-0000-000083CA0000}"/>
    <cellStyle name="Normal 8 4 2 2 2 7" xfId="37448" xr:uid="{00000000-0005-0000-0000-000084CA0000}"/>
    <cellStyle name="Normal 8 4 2 2 3" xfId="37449" xr:uid="{00000000-0005-0000-0000-000085CA0000}"/>
    <cellStyle name="Normal 8 4 2 2 3 2" xfId="37450" xr:uid="{00000000-0005-0000-0000-000086CA0000}"/>
    <cellStyle name="Normal 8 4 2 2 3 2 2" xfId="60420" xr:uid="{00000000-0005-0000-0000-000087CA0000}"/>
    <cellStyle name="Normal 8 4 2 2 3 2 3" xfId="60421" xr:uid="{00000000-0005-0000-0000-000088CA0000}"/>
    <cellStyle name="Normal 8 4 2 2 3 3" xfId="37451" xr:uid="{00000000-0005-0000-0000-000089CA0000}"/>
    <cellStyle name="Normal 8 4 2 2 3 3 2" xfId="60422" xr:uid="{00000000-0005-0000-0000-00008ACA0000}"/>
    <cellStyle name="Normal 8 4 2 2 3 4" xfId="37452" xr:uid="{00000000-0005-0000-0000-00008BCA0000}"/>
    <cellStyle name="Normal 8 4 2 2 3 5" xfId="37453" xr:uid="{00000000-0005-0000-0000-00008CCA0000}"/>
    <cellStyle name="Normal 8 4 2 2 3 6" xfId="37454" xr:uid="{00000000-0005-0000-0000-00008DCA0000}"/>
    <cellStyle name="Normal 8 4 2 2 4" xfId="37455" xr:uid="{00000000-0005-0000-0000-00008ECA0000}"/>
    <cellStyle name="Normal 8 4 2 2 4 2" xfId="60423" xr:uid="{00000000-0005-0000-0000-00008FCA0000}"/>
    <cellStyle name="Normal 8 4 2 2 4 3" xfId="60424" xr:uid="{00000000-0005-0000-0000-000090CA0000}"/>
    <cellStyle name="Normal 8 4 2 2 5" xfId="37456" xr:uid="{00000000-0005-0000-0000-000091CA0000}"/>
    <cellStyle name="Normal 8 4 2 2 5 2" xfId="60425" xr:uid="{00000000-0005-0000-0000-000092CA0000}"/>
    <cellStyle name="Normal 8 4 2 2 6" xfId="37457" xr:uid="{00000000-0005-0000-0000-000093CA0000}"/>
    <cellStyle name="Normal 8 4 2 2 7" xfId="37458" xr:uid="{00000000-0005-0000-0000-000094CA0000}"/>
    <cellStyle name="Normal 8 4 2 2 8" xfId="37459" xr:uid="{00000000-0005-0000-0000-000095CA0000}"/>
    <cellStyle name="Normal 8 4 2 2 9" xfId="37460" xr:uid="{00000000-0005-0000-0000-000096CA0000}"/>
    <cellStyle name="Normal 8 4 2 3" xfId="37461" xr:uid="{00000000-0005-0000-0000-000097CA0000}"/>
    <cellStyle name="Normal 8 4 2 3 2" xfId="37462" xr:uid="{00000000-0005-0000-0000-000098CA0000}"/>
    <cellStyle name="Normal 8 4 2 3 2 2" xfId="37463" xr:uid="{00000000-0005-0000-0000-000099CA0000}"/>
    <cellStyle name="Normal 8 4 2 3 2 2 2" xfId="37464" xr:uid="{00000000-0005-0000-0000-00009ACA0000}"/>
    <cellStyle name="Normal 8 4 2 3 2 2 2 2" xfId="60426" xr:uid="{00000000-0005-0000-0000-00009BCA0000}"/>
    <cellStyle name="Normal 8 4 2 3 2 2 2 3" xfId="60427" xr:uid="{00000000-0005-0000-0000-00009CCA0000}"/>
    <cellStyle name="Normal 8 4 2 3 2 2 3" xfId="37465" xr:uid="{00000000-0005-0000-0000-00009DCA0000}"/>
    <cellStyle name="Normal 8 4 2 3 2 2 3 2" xfId="60428" xr:uid="{00000000-0005-0000-0000-00009ECA0000}"/>
    <cellStyle name="Normal 8 4 2 3 2 2 4" xfId="37466" xr:uid="{00000000-0005-0000-0000-00009FCA0000}"/>
    <cellStyle name="Normal 8 4 2 3 2 2 5" xfId="37467" xr:uid="{00000000-0005-0000-0000-0000A0CA0000}"/>
    <cellStyle name="Normal 8 4 2 3 2 2 6" xfId="37468" xr:uid="{00000000-0005-0000-0000-0000A1CA0000}"/>
    <cellStyle name="Normal 8 4 2 3 2 3" xfId="37469" xr:uid="{00000000-0005-0000-0000-0000A2CA0000}"/>
    <cellStyle name="Normal 8 4 2 3 2 3 2" xfId="60429" xr:uid="{00000000-0005-0000-0000-0000A3CA0000}"/>
    <cellStyle name="Normal 8 4 2 3 2 3 3" xfId="60430" xr:uid="{00000000-0005-0000-0000-0000A4CA0000}"/>
    <cellStyle name="Normal 8 4 2 3 2 4" xfId="37470" xr:uid="{00000000-0005-0000-0000-0000A5CA0000}"/>
    <cellStyle name="Normal 8 4 2 3 2 4 2" xfId="60431" xr:uid="{00000000-0005-0000-0000-0000A6CA0000}"/>
    <cellStyle name="Normal 8 4 2 3 2 5" xfId="37471" xr:uid="{00000000-0005-0000-0000-0000A7CA0000}"/>
    <cellStyle name="Normal 8 4 2 3 2 6" xfId="37472" xr:uid="{00000000-0005-0000-0000-0000A8CA0000}"/>
    <cellStyle name="Normal 8 4 2 3 2 7" xfId="37473" xr:uid="{00000000-0005-0000-0000-0000A9CA0000}"/>
    <cellStyle name="Normal 8 4 2 3 3" xfId="37474" xr:uid="{00000000-0005-0000-0000-0000AACA0000}"/>
    <cellStyle name="Normal 8 4 2 3 3 2" xfId="37475" xr:uid="{00000000-0005-0000-0000-0000ABCA0000}"/>
    <cellStyle name="Normal 8 4 2 3 3 2 2" xfId="60432" xr:uid="{00000000-0005-0000-0000-0000ACCA0000}"/>
    <cellStyle name="Normal 8 4 2 3 3 2 3" xfId="60433" xr:uid="{00000000-0005-0000-0000-0000ADCA0000}"/>
    <cellStyle name="Normal 8 4 2 3 3 3" xfId="37476" xr:uid="{00000000-0005-0000-0000-0000AECA0000}"/>
    <cellStyle name="Normal 8 4 2 3 3 3 2" xfId="60434" xr:uid="{00000000-0005-0000-0000-0000AFCA0000}"/>
    <cellStyle name="Normal 8 4 2 3 3 4" xfId="37477" xr:uid="{00000000-0005-0000-0000-0000B0CA0000}"/>
    <cellStyle name="Normal 8 4 2 3 3 5" xfId="37478" xr:uid="{00000000-0005-0000-0000-0000B1CA0000}"/>
    <cellStyle name="Normal 8 4 2 3 3 6" xfId="37479" xr:uid="{00000000-0005-0000-0000-0000B2CA0000}"/>
    <cellStyle name="Normal 8 4 2 3 4" xfId="37480" xr:uid="{00000000-0005-0000-0000-0000B3CA0000}"/>
    <cellStyle name="Normal 8 4 2 3 4 2" xfId="60435" xr:uid="{00000000-0005-0000-0000-0000B4CA0000}"/>
    <cellStyle name="Normal 8 4 2 3 4 3" xfId="60436" xr:uid="{00000000-0005-0000-0000-0000B5CA0000}"/>
    <cellStyle name="Normal 8 4 2 3 5" xfId="37481" xr:uid="{00000000-0005-0000-0000-0000B6CA0000}"/>
    <cellStyle name="Normal 8 4 2 3 5 2" xfId="60437" xr:uid="{00000000-0005-0000-0000-0000B7CA0000}"/>
    <cellStyle name="Normal 8 4 2 3 6" xfId="37482" xr:uid="{00000000-0005-0000-0000-0000B8CA0000}"/>
    <cellStyle name="Normal 8 4 2 3 7" xfId="37483" xr:uid="{00000000-0005-0000-0000-0000B9CA0000}"/>
    <cellStyle name="Normal 8 4 2 3 8" xfId="37484" xr:uid="{00000000-0005-0000-0000-0000BACA0000}"/>
    <cellStyle name="Normal 8 4 2 4" xfId="37485" xr:uid="{00000000-0005-0000-0000-0000BBCA0000}"/>
    <cellStyle name="Normal 8 4 2 4 2" xfId="37486" xr:uid="{00000000-0005-0000-0000-0000BCCA0000}"/>
    <cellStyle name="Normal 8 4 2 4 2 2" xfId="37487" xr:uid="{00000000-0005-0000-0000-0000BDCA0000}"/>
    <cellStyle name="Normal 8 4 2 4 2 2 2" xfId="60438" xr:uid="{00000000-0005-0000-0000-0000BECA0000}"/>
    <cellStyle name="Normal 8 4 2 4 2 2 3" xfId="60439" xr:uid="{00000000-0005-0000-0000-0000BFCA0000}"/>
    <cellStyle name="Normal 8 4 2 4 2 3" xfId="37488" xr:uid="{00000000-0005-0000-0000-0000C0CA0000}"/>
    <cellStyle name="Normal 8 4 2 4 2 3 2" xfId="60440" xr:uid="{00000000-0005-0000-0000-0000C1CA0000}"/>
    <cellStyle name="Normal 8 4 2 4 2 4" xfId="37489" xr:uid="{00000000-0005-0000-0000-0000C2CA0000}"/>
    <cellStyle name="Normal 8 4 2 4 2 5" xfId="37490" xr:uid="{00000000-0005-0000-0000-0000C3CA0000}"/>
    <cellStyle name="Normal 8 4 2 4 2 6" xfId="37491" xr:uid="{00000000-0005-0000-0000-0000C4CA0000}"/>
    <cellStyle name="Normal 8 4 2 4 3" xfId="37492" xr:uid="{00000000-0005-0000-0000-0000C5CA0000}"/>
    <cellStyle name="Normal 8 4 2 4 3 2" xfId="60441" xr:uid="{00000000-0005-0000-0000-0000C6CA0000}"/>
    <cellStyle name="Normal 8 4 2 4 3 3" xfId="60442" xr:uid="{00000000-0005-0000-0000-0000C7CA0000}"/>
    <cellStyle name="Normal 8 4 2 4 4" xfId="37493" xr:uid="{00000000-0005-0000-0000-0000C8CA0000}"/>
    <cellStyle name="Normal 8 4 2 4 4 2" xfId="60443" xr:uid="{00000000-0005-0000-0000-0000C9CA0000}"/>
    <cellStyle name="Normal 8 4 2 4 5" xfId="37494" xr:uid="{00000000-0005-0000-0000-0000CACA0000}"/>
    <cellStyle name="Normal 8 4 2 4 6" xfId="37495" xr:uid="{00000000-0005-0000-0000-0000CBCA0000}"/>
    <cellStyle name="Normal 8 4 2 4 7" xfId="37496" xr:uid="{00000000-0005-0000-0000-0000CCCA0000}"/>
    <cellStyle name="Normal 8 4 2 5" xfId="37497" xr:uid="{00000000-0005-0000-0000-0000CDCA0000}"/>
    <cellStyle name="Normal 8 4 2 5 2" xfId="37498" xr:uid="{00000000-0005-0000-0000-0000CECA0000}"/>
    <cellStyle name="Normal 8 4 2 5 2 2" xfId="60444" xr:uid="{00000000-0005-0000-0000-0000CFCA0000}"/>
    <cellStyle name="Normal 8 4 2 5 2 3" xfId="60445" xr:uid="{00000000-0005-0000-0000-0000D0CA0000}"/>
    <cellStyle name="Normal 8 4 2 5 3" xfId="37499" xr:uid="{00000000-0005-0000-0000-0000D1CA0000}"/>
    <cellStyle name="Normal 8 4 2 5 3 2" xfId="60446" xr:uid="{00000000-0005-0000-0000-0000D2CA0000}"/>
    <cellStyle name="Normal 8 4 2 5 4" xfId="37500" xr:uid="{00000000-0005-0000-0000-0000D3CA0000}"/>
    <cellStyle name="Normal 8 4 2 5 5" xfId="37501" xr:uid="{00000000-0005-0000-0000-0000D4CA0000}"/>
    <cellStyle name="Normal 8 4 2 5 6" xfId="37502" xr:uid="{00000000-0005-0000-0000-0000D5CA0000}"/>
    <cellStyle name="Normal 8 4 2 6" xfId="37503" xr:uid="{00000000-0005-0000-0000-0000D6CA0000}"/>
    <cellStyle name="Normal 8 4 2 6 2" xfId="60447" xr:uid="{00000000-0005-0000-0000-0000D7CA0000}"/>
    <cellStyle name="Normal 8 4 2 6 3" xfId="60448" xr:uid="{00000000-0005-0000-0000-0000D8CA0000}"/>
    <cellStyle name="Normal 8 4 2 7" xfId="37504" xr:uid="{00000000-0005-0000-0000-0000D9CA0000}"/>
    <cellStyle name="Normal 8 4 2 7 2" xfId="60449" xr:uid="{00000000-0005-0000-0000-0000DACA0000}"/>
    <cellStyle name="Normal 8 4 2 8" xfId="37505" xr:uid="{00000000-0005-0000-0000-0000DBCA0000}"/>
    <cellStyle name="Normal 8 4 2 8 2" xfId="60450" xr:uid="{00000000-0005-0000-0000-0000DCCA0000}"/>
    <cellStyle name="Normal 8 4 2 9" xfId="37506" xr:uid="{00000000-0005-0000-0000-0000DDCA0000}"/>
    <cellStyle name="Normal 8 4 3" xfId="37507" xr:uid="{00000000-0005-0000-0000-0000DECA0000}"/>
    <cellStyle name="Normal 8 4 3 2" xfId="37508" xr:uid="{00000000-0005-0000-0000-0000DFCA0000}"/>
    <cellStyle name="Normal 8 4 3 2 2" xfId="37509" xr:uid="{00000000-0005-0000-0000-0000E0CA0000}"/>
    <cellStyle name="Normal 8 4 3 2 2 2" xfId="37510" xr:uid="{00000000-0005-0000-0000-0000E1CA0000}"/>
    <cellStyle name="Normal 8 4 3 2 2 2 2" xfId="60451" xr:uid="{00000000-0005-0000-0000-0000E2CA0000}"/>
    <cellStyle name="Normal 8 4 3 2 2 2 3" xfId="60452" xr:uid="{00000000-0005-0000-0000-0000E3CA0000}"/>
    <cellStyle name="Normal 8 4 3 2 2 3" xfId="37511" xr:uid="{00000000-0005-0000-0000-0000E4CA0000}"/>
    <cellStyle name="Normal 8 4 3 2 2 3 2" xfId="60453" xr:uid="{00000000-0005-0000-0000-0000E5CA0000}"/>
    <cellStyle name="Normal 8 4 3 2 2 4" xfId="37512" xr:uid="{00000000-0005-0000-0000-0000E6CA0000}"/>
    <cellStyle name="Normal 8 4 3 2 2 5" xfId="37513" xr:uid="{00000000-0005-0000-0000-0000E7CA0000}"/>
    <cellStyle name="Normal 8 4 3 2 2 6" xfId="37514" xr:uid="{00000000-0005-0000-0000-0000E8CA0000}"/>
    <cellStyle name="Normal 8 4 3 2 3" xfId="37515" xr:uid="{00000000-0005-0000-0000-0000E9CA0000}"/>
    <cellStyle name="Normal 8 4 3 2 3 2" xfId="60454" xr:uid="{00000000-0005-0000-0000-0000EACA0000}"/>
    <cellStyle name="Normal 8 4 3 2 3 3" xfId="60455" xr:uid="{00000000-0005-0000-0000-0000EBCA0000}"/>
    <cellStyle name="Normal 8 4 3 2 4" xfId="37516" xr:uid="{00000000-0005-0000-0000-0000ECCA0000}"/>
    <cellStyle name="Normal 8 4 3 2 4 2" xfId="60456" xr:uid="{00000000-0005-0000-0000-0000EDCA0000}"/>
    <cellStyle name="Normal 8 4 3 2 5" xfId="37517" xr:uid="{00000000-0005-0000-0000-0000EECA0000}"/>
    <cellStyle name="Normal 8 4 3 2 6" xfId="37518" xr:uid="{00000000-0005-0000-0000-0000EFCA0000}"/>
    <cellStyle name="Normal 8 4 3 2 7" xfId="37519" xr:uid="{00000000-0005-0000-0000-0000F0CA0000}"/>
    <cellStyle name="Normal 8 4 3 3" xfId="37520" xr:uid="{00000000-0005-0000-0000-0000F1CA0000}"/>
    <cellStyle name="Normal 8 4 3 3 2" xfId="37521" xr:uid="{00000000-0005-0000-0000-0000F2CA0000}"/>
    <cellStyle name="Normal 8 4 3 3 2 2" xfId="60457" xr:uid="{00000000-0005-0000-0000-0000F3CA0000}"/>
    <cellStyle name="Normal 8 4 3 3 2 3" xfId="60458" xr:uid="{00000000-0005-0000-0000-0000F4CA0000}"/>
    <cellStyle name="Normal 8 4 3 3 3" xfId="37522" xr:uid="{00000000-0005-0000-0000-0000F5CA0000}"/>
    <cellStyle name="Normal 8 4 3 3 3 2" xfId="60459" xr:uid="{00000000-0005-0000-0000-0000F6CA0000}"/>
    <cellStyle name="Normal 8 4 3 3 4" xfId="37523" xr:uid="{00000000-0005-0000-0000-0000F7CA0000}"/>
    <cellStyle name="Normal 8 4 3 3 5" xfId="37524" xr:uid="{00000000-0005-0000-0000-0000F8CA0000}"/>
    <cellStyle name="Normal 8 4 3 3 6" xfId="37525" xr:uid="{00000000-0005-0000-0000-0000F9CA0000}"/>
    <cellStyle name="Normal 8 4 3 4" xfId="37526" xr:uid="{00000000-0005-0000-0000-0000FACA0000}"/>
    <cellStyle name="Normal 8 4 3 4 2" xfId="60460" xr:uid="{00000000-0005-0000-0000-0000FBCA0000}"/>
    <cellStyle name="Normal 8 4 3 4 3" xfId="60461" xr:uid="{00000000-0005-0000-0000-0000FCCA0000}"/>
    <cellStyle name="Normal 8 4 3 5" xfId="37527" xr:uid="{00000000-0005-0000-0000-0000FDCA0000}"/>
    <cellStyle name="Normal 8 4 3 5 2" xfId="60462" xr:uid="{00000000-0005-0000-0000-0000FECA0000}"/>
    <cellStyle name="Normal 8 4 3 6" xfId="37528" xr:uid="{00000000-0005-0000-0000-0000FFCA0000}"/>
    <cellStyle name="Normal 8 4 3 7" xfId="37529" xr:uid="{00000000-0005-0000-0000-000000CB0000}"/>
    <cellStyle name="Normal 8 4 3 8" xfId="37530" xr:uid="{00000000-0005-0000-0000-000001CB0000}"/>
    <cellStyle name="Normal 8 4 3 9" xfId="37531" xr:uid="{00000000-0005-0000-0000-000002CB0000}"/>
    <cellStyle name="Normal 8 4 4" xfId="37532" xr:uid="{00000000-0005-0000-0000-000003CB0000}"/>
    <cellStyle name="Normal 8 4 4 2" xfId="37533" xr:uid="{00000000-0005-0000-0000-000004CB0000}"/>
    <cellStyle name="Normal 8 4 4 2 2" xfId="37534" xr:uid="{00000000-0005-0000-0000-000005CB0000}"/>
    <cellStyle name="Normal 8 4 4 2 2 2" xfId="37535" xr:uid="{00000000-0005-0000-0000-000006CB0000}"/>
    <cellStyle name="Normal 8 4 4 2 2 2 2" xfId="60463" xr:uid="{00000000-0005-0000-0000-000007CB0000}"/>
    <cellStyle name="Normal 8 4 4 2 2 2 3" xfId="60464" xr:uid="{00000000-0005-0000-0000-000008CB0000}"/>
    <cellStyle name="Normal 8 4 4 2 2 3" xfId="37536" xr:uid="{00000000-0005-0000-0000-000009CB0000}"/>
    <cellStyle name="Normal 8 4 4 2 2 3 2" xfId="60465" xr:uid="{00000000-0005-0000-0000-00000ACB0000}"/>
    <cellStyle name="Normal 8 4 4 2 2 4" xfId="37537" xr:uid="{00000000-0005-0000-0000-00000BCB0000}"/>
    <cellStyle name="Normal 8 4 4 2 2 5" xfId="37538" xr:uid="{00000000-0005-0000-0000-00000CCB0000}"/>
    <cellStyle name="Normal 8 4 4 2 2 6" xfId="37539" xr:uid="{00000000-0005-0000-0000-00000DCB0000}"/>
    <cellStyle name="Normal 8 4 4 2 3" xfId="37540" xr:uid="{00000000-0005-0000-0000-00000ECB0000}"/>
    <cellStyle name="Normal 8 4 4 2 3 2" xfId="60466" xr:uid="{00000000-0005-0000-0000-00000FCB0000}"/>
    <cellStyle name="Normal 8 4 4 2 3 3" xfId="60467" xr:uid="{00000000-0005-0000-0000-000010CB0000}"/>
    <cellStyle name="Normal 8 4 4 2 4" xfId="37541" xr:uid="{00000000-0005-0000-0000-000011CB0000}"/>
    <cellStyle name="Normal 8 4 4 2 4 2" xfId="60468" xr:uid="{00000000-0005-0000-0000-000012CB0000}"/>
    <cellStyle name="Normal 8 4 4 2 5" xfId="37542" xr:uid="{00000000-0005-0000-0000-000013CB0000}"/>
    <cellStyle name="Normal 8 4 4 2 6" xfId="37543" xr:uid="{00000000-0005-0000-0000-000014CB0000}"/>
    <cellStyle name="Normal 8 4 4 2 7" xfId="37544" xr:uid="{00000000-0005-0000-0000-000015CB0000}"/>
    <cellStyle name="Normal 8 4 4 3" xfId="37545" xr:uid="{00000000-0005-0000-0000-000016CB0000}"/>
    <cellStyle name="Normal 8 4 4 3 2" xfId="37546" xr:uid="{00000000-0005-0000-0000-000017CB0000}"/>
    <cellStyle name="Normal 8 4 4 3 2 2" xfId="60469" xr:uid="{00000000-0005-0000-0000-000018CB0000}"/>
    <cellStyle name="Normal 8 4 4 3 2 3" xfId="60470" xr:uid="{00000000-0005-0000-0000-000019CB0000}"/>
    <cellStyle name="Normal 8 4 4 3 3" xfId="37547" xr:uid="{00000000-0005-0000-0000-00001ACB0000}"/>
    <cellStyle name="Normal 8 4 4 3 3 2" xfId="60471" xr:uid="{00000000-0005-0000-0000-00001BCB0000}"/>
    <cellStyle name="Normal 8 4 4 3 4" xfId="37548" xr:uid="{00000000-0005-0000-0000-00001CCB0000}"/>
    <cellStyle name="Normal 8 4 4 3 5" xfId="37549" xr:uid="{00000000-0005-0000-0000-00001DCB0000}"/>
    <cellStyle name="Normal 8 4 4 3 6" xfId="37550" xr:uid="{00000000-0005-0000-0000-00001ECB0000}"/>
    <cellStyle name="Normal 8 4 4 4" xfId="37551" xr:uid="{00000000-0005-0000-0000-00001FCB0000}"/>
    <cellStyle name="Normal 8 4 4 4 2" xfId="60472" xr:uid="{00000000-0005-0000-0000-000020CB0000}"/>
    <cellStyle name="Normal 8 4 4 4 3" xfId="60473" xr:uid="{00000000-0005-0000-0000-000021CB0000}"/>
    <cellStyle name="Normal 8 4 4 5" xfId="37552" xr:uid="{00000000-0005-0000-0000-000022CB0000}"/>
    <cellStyle name="Normal 8 4 4 5 2" xfId="60474" xr:uid="{00000000-0005-0000-0000-000023CB0000}"/>
    <cellStyle name="Normal 8 4 4 6" xfId="37553" xr:uid="{00000000-0005-0000-0000-000024CB0000}"/>
    <cellStyle name="Normal 8 4 4 7" xfId="37554" xr:uid="{00000000-0005-0000-0000-000025CB0000}"/>
    <cellStyle name="Normal 8 4 4 8" xfId="37555" xr:uid="{00000000-0005-0000-0000-000026CB0000}"/>
    <cellStyle name="Normal 8 4 5" xfId="37556" xr:uid="{00000000-0005-0000-0000-000027CB0000}"/>
    <cellStyle name="Normal 8 4 5 2" xfId="37557" xr:uid="{00000000-0005-0000-0000-000028CB0000}"/>
    <cellStyle name="Normal 8 4 5 2 2" xfId="37558" xr:uid="{00000000-0005-0000-0000-000029CB0000}"/>
    <cellStyle name="Normal 8 4 5 2 2 2" xfId="60475" xr:uid="{00000000-0005-0000-0000-00002ACB0000}"/>
    <cellStyle name="Normal 8 4 5 2 2 3" xfId="60476" xr:uid="{00000000-0005-0000-0000-00002BCB0000}"/>
    <cellStyle name="Normal 8 4 5 2 3" xfId="37559" xr:uid="{00000000-0005-0000-0000-00002CCB0000}"/>
    <cellStyle name="Normal 8 4 5 2 3 2" xfId="60477" xr:uid="{00000000-0005-0000-0000-00002DCB0000}"/>
    <cellStyle name="Normal 8 4 5 2 4" xfId="37560" xr:uid="{00000000-0005-0000-0000-00002ECB0000}"/>
    <cellStyle name="Normal 8 4 5 2 5" xfId="37561" xr:uid="{00000000-0005-0000-0000-00002FCB0000}"/>
    <cellStyle name="Normal 8 4 5 2 6" xfId="37562" xr:uid="{00000000-0005-0000-0000-000030CB0000}"/>
    <cellStyle name="Normal 8 4 5 3" xfId="37563" xr:uid="{00000000-0005-0000-0000-000031CB0000}"/>
    <cellStyle name="Normal 8 4 5 3 2" xfId="60478" xr:uid="{00000000-0005-0000-0000-000032CB0000}"/>
    <cellStyle name="Normal 8 4 5 3 3" xfId="60479" xr:uid="{00000000-0005-0000-0000-000033CB0000}"/>
    <cellStyle name="Normal 8 4 5 4" xfId="37564" xr:uid="{00000000-0005-0000-0000-000034CB0000}"/>
    <cellStyle name="Normal 8 4 5 4 2" xfId="60480" xr:uid="{00000000-0005-0000-0000-000035CB0000}"/>
    <cellStyle name="Normal 8 4 5 5" xfId="37565" xr:uid="{00000000-0005-0000-0000-000036CB0000}"/>
    <cellStyle name="Normal 8 4 5 6" xfId="37566" xr:uid="{00000000-0005-0000-0000-000037CB0000}"/>
    <cellStyle name="Normal 8 4 5 7" xfId="37567" xr:uid="{00000000-0005-0000-0000-000038CB0000}"/>
    <cellStyle name="Normal 8 4 6" xfId="37568" xr:uid="{00000000-0005-0000-0000-000039CB0000}"/>
    <cellStyle name="Normal 8 4 6 2" xfId="37569" xr:uid="{00000000-0005-0000-0000-00003ACB0000}"/>
    <cellStyle name="Normal 8 4 6 2 2" xfId="60481" xr:uid="{00000000-0005-0000-0000-00003BCB0000}"/>
    <cellStyle name="Normal 8 4 6 2 3" xfId="60482" xr:uid="{00000000-0005-0000-0000-00003CCB0000}"/>
    <cellStyle name="Normal 8 4 6 3" xfId="37570" xr:uid="{00000000-0005-0000-0000-00003DCB0000}"/>
    <cellStyle name="Normal 8 4 6 3 2" xfId="60483" xr:uid="{00000000-0005-0000-0000-00003ECB0000}"/>
    <cellStyle name="Normal 8 4 6 4" xfId="37571" xr:uid="{00000000-0005-0000-0000-00003FCB0000}"/>
    <cellStyle name="Normal 8 4 6 5" xfId="37572" xr:uid="{00000000-0005-0000-0000-000040CB0000}"/>
    <cellStyle name="Normal 8 4 6 6" xfId="37573" xr:uid="{00000000-0005-0000-0000-000041CB0000}"/>
    <cellStyle name="Normal 8 4 7" xfId="37574" xr:uid="{00000000-0005-0000-0000-000042CB0000}"/>
    <cellStyle name="Normal 8 4 7 2" xfId="60484" xr:uid="{00000000-0005-0000-0000-000043CB0000}"/>
    <cellStyle name="Normal 8 4 7 3" xfId="60485" xr:uid="{00000000-0005-0000-0000-000044CB0000}"/>
    <cellStyle name="Normal 8 4 8" xfId="37575" xr:uid="{00000000-0005-0000-0000-000045CB0000}"/>
    <cellStyle name="Normal 8 4 8 2" xfId="60486" xr:uid="{00000000-0005-0000-0000-000046CB0000}"/>
    <cellStyle name="Normal 8 4 9" xfId="37576" xr:uid="{00000000-0005-0000-0000-000047CB0000}"/>
    <cellStyle name="Normal 8 4 9 2" xfId="60487" xr:uid="{00000000-0005-0000-0000-000048CB0000}"/>
    <cellStyle name="Normal 8 5" xfId="37577" xr:uid="{00000000-0005-0000-0000-000049CB0000}"/>
    <cellStyle name="Normal 8 5 10" xfId="37578" xr:uid="{00000000-0005-0000-0000-00004ACB0000}"/>
    <cellStyle name="Normal 8 5 11" xfId="37579" xr:uid="{00000000-0005-0000-0000-00004BCB0000}"/>
    <cellStyle name="Normal 8 5 12" xfId="37580" xr:uid="{00000000-0005-0000-0000-00004CCB0000}"/>
    <cellStyle name="Normal 8 5 13" xfId="37581" xr:uid="{00000000-0005-0000-0000-00004DCB0000}"/>
    <cellStyle name="Normal 8 5 14" xfId="37582" xr:uid="{00000000-0005-0000-0000-00004ECB0000}"/>
    <cellStyle name="Normal 8 5 15" xfId="37583" xr:uid="{00000000-0005-0000-0000-00004FCB0000}"/>
    <cellStyle name="Normal 8 5 2" xfId="37584" xr:uid="{00000000-0005-0000-0000-000050CB0000}"/>
    <cellStyle name="Normal 8 5 2 10" xfId="37585" xr:uid="{00000000-0005-0000-0000-000051CB0000}"/>
    <cellStyle name="Normal 8 5 2 11" xfId="37586" xr:uid="{00000000-0005-0000-0000-000052CB0000}"/>
    <cellStyle name="Normal 8 5 2 12" xfId="37587" xr:uid="{00000000-0005-0000-0000-000053CB0000}"/>
    <cellStyle name="Normal 8 5 2 13" xfId="37588" xr:uid="{00000000-0005-0000-0000-000054CB0000}"/>
    <cellStyle name="Normal 8 5 2 14" xfId="37589" xr:uid="{00000000-0005-0000-0000-000055CB0000}"/>
    <cellStyle name="Normal 8 5 2 2" xfId="37590" xr:uid="{00000000-0005-0000-0000-000056CB0000}"/>
    <cellStyle name="Normal 8 5 2 2 2" xfId="37591" xr:uid="{00000000-0005-0000-0000-000057CB0000}"/>
    <cellStyle name="Normal 8 5 2 2 2 2" xfId="37592" xr:uid="{00000000-0005-0000-0000-000058CB0000}"/>
    <cellStyle name="Normal 8 5 2 2 2 2 2" xfId="37593" xr:uid="{00000000-0005-0000-0000-000059CB0000}"/>
    <cellStyle name="Normal 8 5 2 2 2 2 2 2" xfId="60488" xr:uid="{00000000-0005-0000-0000-00005ACB0000}"/>
    <cellStyle name="Normal 8 5 2 2 2 2 2 3" xfId="60489" xr:uid="{00000000-0005-0000-0000-00005BCB0000}"/>
    <cellStyle name="Normal 8 5 2 2 2 2 3" xfId="37594" xr:uid="{00000000-0005-0000-0000-00005CCB0000}"/>
    <cellStyle name="Normal 8 5 2 2 2 2 3 2" xfId="60490" xr:uid="{00000000-0005-0000-0000-00005DCB0000}"/>
    <cellStyle name="Normal 8 5 2 2 2 2 4" xfId="37595" xr:uid="{00000000-0005-0000-0000-00005ECB0000}"/>
    <cellStyle name="Normal 8 5 2 2 2 2 5" xfId="37596" xr:uid="{00000000-0005-0000-0000-00005FCB0000}"/>
    <cellStyle name="Normal 8 5 2 2 2 2 6" xfId="37597" xr:uid="{00000000-0005-0000-0000-000060CB0000}"/>
    <cellStyle name="Normal 8 5 2 2 2 3" xfId="37598" xr:uid="{00000000-0005-0000-0000-000061CB0000}"/>
    <cellStyle name="Normal 8 5 2 2 2 3 2" xfId="60491" xr:uid="{00000000-0005-0000-0000-000062CB0000}"/>
    <cellStyle name="Normal 8 5 2 2 2 3 3" xfId="60492" xr:uid="{00000000-0005-0000-0000-000063CB0000}"/>
    <cellStyle name="Normal 8 5 2 2 2 4" xfId="37599" xr:uid="{00000000-0005-0000-0000-000064CB0000}"/>
    <cellStyle name="Normal 8 5 2 2 2 4 2" xfId="60493" xr:uid="{00000000-0005-0000-0000-000065CB0000}"/>
    <cellStyle name="Normal 8 5 2 2 2 5" xfId="37600" xr:uid="{00000000-0005-0000-0000-000066CB0000}"/>
    <cellStyle name="Normal 8 5 2 2 2 6" xfId="37601" xr:uid="{00000000-0005-0000-0000-000067CB0000}"/>
    <cellStyle name="Normal 8 5 2 2 2 7" xfId="37602" xr:uid="{00000000-0005-0000-0000-000068CB0000}"/>
    <cellStyle name="Normal 8 5 2 2 3" xfId="37603" xr:uid="{00000000-0005-0000-0000-000069CB0000}"/>
    <cellStyle name="Normal 8 5 2 2 3 2" xfId="37604" xr:uid="{00000000-0005-0000-0000-00006ACB0000}"/>
    <cellStyle name="Normal 8 5 2 2 3 2 2" xfId="60494" xr:uid="{00000000-0005-0000-0000-00006BCB0000}"/>
    <cellStyle name="Normal 8 5 2 2 3 2 3" xfId="60495" xr:uid="{00000000-0005-0000-0000-00006CCB0000}"/>
    <cellStyle name="Normal 8 5 2 2 3 3" xfId="37605" xr:uid="{00000000-0005-0000-0000-00006DCB0000}"/>
    <cellStyle name="Normal 8 5 2 2 3 3 2" xfId="60496" xr:uid="{00000000-0005-0000-0000-00006ECB0000}"/>
    <cellStyle name="Normal 8 5 2 2 3 4" xfId="37606" xr:uid="{00000000-0005-0000-0000-00006FCB0000}"/>
    <cellStyle name="Normal 8 5 2 2 3 5" xfId="37607" xr:uid="{00000000-0005-0000-0000-000070CB0000}"/>
    <cellStyle name="Normal 8 5 2 2 3 6" xfId="37608" xr:uid="{00000000-0005-0000-0000-000071CB0000}"/>
    <cellStyle name="Normal 8 5 2 2 4" xfId="37609" xr:uid="{00000000-0005-0000-0000-000072CB0000}"/>
    <cellStyle name="Normal 8 5 2 2 4 2" xfId="60497" xr:uid="{00000000-0005-0000-0000-000073CB0000}"/>
    <cellStyle name="Normal 8 5 2 2 4 3" xfId="60498" xr:uid="{00000000-0005-0000-0000-000074CB0000}"/>
    <cellStyle name="Normal 8 5 2 2 5" xfId="37610" xr:uid="{00000000-0005-0000-0000-000075CB0000}"/>
    <cellStyle name="Normal 8 5 2 2 5 2" xfId="60499" xr:uid="{00000000-0005-0000-0000-000076CB0000}"/>
    <cellStyle name="Normal 8 5 2 2 6" xfId="37611" xr:uid="{00000000-0005-0000-0000-000077CB0000}"/>
    <cellStyle name="Normal 8 5 2 2 7" xfId="37612" xr:uid="{00000000-0005-0000-0000-000078CB0000}"/>
    <cellStyle name="Normal 8 5 2 2 8" xfId="37613" xr:uid="{00000000-0005-0000-0000-000079CB0000}"/>
    <cellStyle name="Normal 8 5 2 2 9" xfId="37614" xr:uid="{00000000-0005-0000-0000-00007ACB0000}"/>
    <cellStyle name="Normal 8 5 2 3" xfId="37615" xr:uid="{00000000-0005-0000-0000-00007BCB0000}"/>
    <cellStyle name="Normal 8 5 2 3 2" xfId="37616" xr:uid="{00000000-0005-0000-0000-00007CCB0000}"/>
    <cellStyle name="Normal 8 5 2 3 2 2" xfId="37617" xr:uid="{00000000-0005-0000-0000-00007DCB0000}"/>
    <cellStyle name="Normal 8 5 2 3 2 2 2" xfId="37618" xr:uid="{00000000-0005-0000-0000-00007ECB0000}"/>
    <cellStyle name="Normal 8 5 2 3 2 2 2 2" xfId="60500" xr:uid="{00000000-0005-0000-0000-00007FCB0000}"/>
    <cellStyle name="Normal 8 5 2 3 2 2 2 3" xfId="60501" xr:uid="{00000000-0005-0000-0000-000080CB0000}"/>
    <cellStyle name="Normal 8 5 2 3 2 2 3" xfId="37619" xr:uid="{00000000-0005-0000-0000-000081CB0000}"/>
    <cellStyle name="Normal 8 5 2 3 2 2 3 2" xfId="60502" xr:uid="{00000000-0005-0000-0000-000082CB0000}"/>
    <cellStyle name="Normal 8 5 2 3 2 2 4" xfId="37620" xr:uid="{00000000-0005-0000-0000-000083CB0000}"/>
    <cellStyle name="Normal 8 5 2 3 2 2 5" xfId="37621" xr:uid="{00000000-0005-0000-0000-000084CB0000}"/>
    <cellStyle name="Normal 8 5 2 3 2 2 6" xfId="37622" xr:uid="{00000000-0005-0000-0000-000085CB0000}"/>
    <cellStyle name="Normal 8 5 2 3 2 3" xfId="37623" xr:uid="{00000000-0005-0000-0000-000086CB0000}"/>
    <cellStyle name="Normal 8 5 2 3 2 3 2" xfId="60503" xr:uid="{00000000-0005-0000-0000-000087CB0000}"/>
    <cellStyle name="Normal 8 5 2 3 2 3 3" xfId="60504" xr:uid="{00000000-0005-0000-0000-000088CB0000}"/>
    <cellStyle name="Normal 8 5 2 3 2 4" xfId="37624" xr:uid="{00000000-0005-0000-0000-000089CB0000}"/>
    <cellStyle name="Normal 8 5 2 3 2 4 2" xfId="60505" xr:uid="{00000000-0005-0000-0000-00008ACB0000}"/>
    <cellStyle name="Normal 8 5 2 3 2 5" xfId="37625" xr:uid="{00000000-0005-0000-0000-00008BCB0000}"/>
    <cellStyle name="Normal 8 5 2 3 2 6" xfId="37626" xr:uid="{00000000-0005-0000-0000-00008CCB0000}"/>
    <cellStyle name="Normal 8 5 2 3 2 7" xfId="37627" xr:uid="{00000000-0005-0000-0000-00008DCB0000}"/>
    <cellStyle name="Normal 8 5 2 3 3" xfId="37628" xr:uid="{00000000-0005-0000-0000-00008ECB0000}"/>
    <cellStyle name="Normal 8 5 2 3 3 2" xfId="37629" xr:uid="{00000000-0005-0000-0000-00008FCB0000}"/>
    <cellStyle name="Normal 8 5 2 3 3 2 2" xfId="60506" xr:uid="{00000000-0005-0000-0000-000090CB0000}"/>
    <cellStyle name="Normal 8 5 2 3 3 2 3" xfId="60507" xr:uid="{00000000-0005-0000-0000-000091CB0000}"/>
    <cellStyle name="Normal 8 5 2 3 3 3" xfId="37630" xr:uid="{00000000-0005-0000-0000-000092CB0000}"/>
    <cellStyle name="Normal 8 5 2 3 3 3 2" xfId="60508" xr:uid="{00000000-0005-0000-0000-000093CB0000}"/>
    <cellStyle name="Normal 8 5 2 3 3 4" xfId="37631" xr:uid="{00000000-0005-0000-0000-000094CB0000}"/>
    <cellStyle name="Normal 8 5 2 3 3 5" xfId="37632" xr:uid="{00000000-0005-0000-0000-000095CB0000}"/>
    <cellStyle name="Normal 8 5 2 3 3 6" xfId="37633" xr:uid="{00000000-0005-0000-0000-000096CB0000}"/>
    <cellStyle name="Normal 8 5 2 3 4" xfId="37634" xr:uid="{00000000-0005-0000-0000-000097CB0000}"/>
    <cellStyle name="Normal 8 5 2 3 4 2" xfId="60509" xr:uid="{00000000-0005-0000-0000-000098CB0000}"/>
    <cellStyle name="Normal 8 5 2 3 4 3" xfId="60510" xr:uid="{00000000-0005-0000-0000-000099CB0000}"/>
    <cellStyle name="Normal 8 5 2 3 5" xfId="37635" xr:uid="{00000000-0005-0000-0000-00009ACB0000}"/>
    <cellStyle name="Normal 8 5 2 3 5 2" xfId="60511" xr:uid="{00000000-0005-0000-0000-00009BCB0000}"/>
    <cellStyle name="Normal 8 5 2 3 6" xfId="37636" xr:uid="{00000000-0005-0000-0000-00009CCB0000}"/>
    <cellStyle name="Normal 8 5 2 3 7" xfId="37637" xr:uid="{00000000-0005-0000-0000-00009DCB0000}"/>
    <cellStyle name="Normal 8 5 2 3 8" xfId="37638" xr:uid="{00000000-0005-0000-0000-00009ECB0000}"/>
    <cellStyle name="Normal 8 5 2 4" xfId="37639" xr:uid="{00000000-0005-0000-0000-00009FCB0000}"/>
    <cellStyle name="Normal 8 5 2 4 2" xfId="37640" xr:uid="{00000000-0005-0000-0000-0000A0CB0000}"/>
    <cellStyle name="Normal 8 5 2 4 2 2" xfId="37641" xr:uid="{00000000-0005-0000-0000-0000A1CB0000}"/>
    <cellStyle name="Normal 8 5 2 4 2 2 2" xfId="60512" xr:uid="{00000000-0005-0000-0000-0000A2CB0000}"/>
    <cellStyle name="Normal 8 5 2 4 2 2 3" xfId="60513" xr:uid="{00000000-0005-0000-0000-0000A3CB0000}"/>
    <cellStyle name="Normal 8 5 2 4 2 3" xfId="37642" xr:uid="{00000000-0005-0000-0000-0000A4CB0000}"/>
    <cellStyle name="Normal 8 5 2 4 2 3 2" xfId="60514" xr:uid="{00000000-0005-0000-0000-0000A5CB0000}"/>
    <cellStyle name="Normal 8 5 2 4 2 4" xfId="37643" xr:uid="{00000000-0005-0000-0000-0000A6CB0000}"/>
    <cellStyle name="Normal 8 5 2 4 2 5" xfId="37644" xr:uid="{00000000-0005-0000-0000-0000A7CB0000}"/>
    <cellStyle name="Normal 8 5 2 4 2 6" xfId="37645" xr:uid="{00000000-0005-0000-0000-0000A8CB0000}"/>
    <cellStyle name="Normal 8 5 2 4 3" xfId="37646" xr:uid="{00000000-0005-0000-0000-0000A9CB0000}"/>
    <cellStyle name="Normal 8 5 2 4 3 2" xfId="60515" xr:uid="{00000000-0005-0000-0000-0000AACB0000}"/>
    <cellStyle name="Normal 8 5 2 4 3 3" xfId="60516" xr:uid="{00000000-0005-0000-0000-0000ABCB0000}"/>
    <cellStyle name="Normal 8 5 2 4 4" xfId="37647" xr:uid="{00000000-0005-0000-0000-0000ACCB0000}"/>
    <cellStyle name="Normal 8 5 2 4 4 2" xfId="60517" xr:uid="{00000000-0005-0000-0000-0000ADCB0000}"/>
    <cellStyle name="Normal 8 5 2 4 5" xfId="37648" xr:uid="{00000000-0005-0000-0000-0000AECB0000}"/>
    <cellStyle name="Normal 8 5 2 4 6" xfId="37649" xr:uid="{00000000-0005-0000-0000-0000AFCB0000}"/>
    <cellStyle name="Normal 8 5 2 4 7" xfId="37650" xr:uid="{00000000-0005-0000-0000-0000B0CB0000}"/>
    <cellStyle name="Normal 8 5 2 5" xfId="37651" xr:uid="{00000000-0005-0000-0000-0000B1CB0000}"/>
    <cellStyle name="Normal 8 5 2 5 2" xfId="37652" xr:uid="{00000000-0005-0000-0000-0000B2CB0000}"/>
    <cellStyle name="Normal 8 5 2 5 2 2" xfId="60518" xr:uid="{00000000-0005-0000-0000-0000B3CB0000}"/>
    <cellStyle name="Normal 8 5 2 5 2 3" xfId="60519" xr:uid="{00000000-0005-0000-0000-0000B4CB0000}"/>
    <cellStyle name="Normal 8 5 2 5 3" xfId="37653" xr:uid="{00000000-0005-0000-0000-0000B5CB0000}"/>
    <cellStyle name="Normal 8 5 2 5 3 2" xfId="60520" xr:uid="{00000000-0005-0000-0000-0000B6CB0000}"/>
    <cellStyle name="Normal 8 5 2 5 4" xfId="37654" xr:uid="{00000000-0005-0000-0000-0000B7CB0000}"/>
    <cellStyle name="Normal 8 5 2 5 5" xfId="37655" xr:uid="{00000000-0005-0000-0000-0000B8CB0000}"/>
    <cellStyle name="Normal 8 5 2 5 6" xfId="37656" xr:uid="{00000000-0005-0000-0000-0000B9CB0000}"/>
    <cellStyle name="Normal 8 5 2 6" xfId="37657" xr:uid="{00000000-0005-0000-0000-0000BACB0000}"/>
    <cellStyle name="Normal 8 5 2 6 2" xfId="60521" xr:uid="{00000000-0005-0000-0000-0000BBCB0000}"/>
    <cellStyle name="Normal 8 5 2 6 3" xfId="60522" xr:uid="{00000000-0005-0000-0000-0000BCCB0000}"/>
    <cellStyle name="Normal 8 5 2 7" xfId="37658" xr:uid="{00000000-0005-0000-0000-0000BDCB0000}"/>
    <cellStyle name="Normal 8 5 2 7 2" xfId="60523" xr:uid="{00000000-0005-0000-0000-0000BECB0000}"/>
    <cellStyle name="Normal 8 5 2 8" xfId="37659" xr:uid="{00000000-0005-0000-0000-0000BFCB0000}"/>
    <cellStyle name="Normal 8 5 2 9" xfId="37660" xr:uid="{00000000-0005-0000-0000-0000C0CB0000}"/>
    <cellStyle name="Normal 8 5 3" xfId="37661" xr:uid="{00000000-0005-0000-0000-0000C1CB0000}"/>
    <cellStyle name="Normal 8 5 3 2" xfId="37662" xr:uid="{00000000-0005-0000-0000-0000C2CB0000}"/>
    <cellStyle name="Normal 8 5 3 2 2" xfId="37663" xr:uid="{00000000-0005-0000-0000-0000C3CB0000}"/>
    <cellStyle name="Normal 8 5 3 2 2 2" xfId="37664" xr:uid="{00000000-0005-0000-0000-0000C4CB0000}"/>
    <cellStyle name="Normal 8 5 3 2 2 2 2" xfId="60524" xr:uid="{00000000-0005-0000-0000-0000C5CB0000}"/>
    <cellStyle name="Normal 8 5 3 2 2 2 3" xfId="60525" xr:uid="{00000000-0005-0000-0000-0000C6CB0000}"/>
    <cellStyle name="Normal 8 5 3 2 2 3" xfId="37665" xr:uid="{00000000-0005-0000-0000-0000C7CB0000}"/>
    <cellStyle name="Normal 8 5 3 2 2 3 2" xfId="60526" xr:uid="{00000000-0005-0000-0000-0000C8CB0000}"/>
    <cellStyle name="Normal 8 5 3 2 2 4" xfId="37666" xr:uid="{00000000-0005-0000-0000-0000C9CB0000}"/>
    <cellStyle name="Normal 8 5 3 2 2 5" xfId="37667" xr:uid="{00000000-0005-0000-0000-0000CACB0000}"/>
    <cellStyle name="Normal 8 5 3 2 2 6" xfId="37668" xr:uid="{00000000-0005-0000-0000-0000CBCB0000}"/>
    <cellStyle name="Normal 8 5 3 2 3" xfId="37669" xr:uid="{00000000-0005-0000-0000-0000CCCB0000}"/>
    <cellStyle name="Normal 8 5 3 2 3 2" xfId="60527" xr:uid="{00000000-0005-0000-0000-0000CDCB0000}"/>
    <cellStyle name="Normal 8 5 3 2 3 3" xfId="60528" xr:uid="{00000000-0005-0000-0000-0000CECB0000}"/>
    <cellStyle name="Normal 8 5 3 2 4" xfId="37670" xr:uid="{00000000-0005-0000-0000-0000CFCB0000}"/>
    <cellStyle name="Normal 8 5 3 2 4 2" xfId="60529" xr:uid="{00000000-0005-0000-0000-0000D0CB0000}"/>
    <cellStyle name="Normal 8 5 3 2 5" xfId="37671" xr:uid="{00000000-0005-0000-0000-0000D1CB0000}"/>
    <cellStyle name="Normal 8 5 3 2 6" xfId="37672" xr:uid="{00000000-0005-0000-0000-0000D2CB0000}"/>
    <cellStyle name="Normal 8 5 3 2 7" xfId="37673" xr:uid="{00000000-0005-0000-0000-0000D3CB0000}"/>
    <cellStyle name="Normal 8 5 3 3" xfId="37674" xr:uid="{00000000-0005-0000-0000-0000D4CB0000}"/>
    <cellStyle name="Normal 8 5 3 3 2" xfId="37675" xr:uid="{00000000-0005-0000-0000-0000D5CB0000}"/>
    <cellStyle name="Normal 8 5 3 3 2 2" xfId="60530" xr:uid="{00000000-0005-0000-0000-0000D6CB0000}"/>
    <cellStyle name="Normal 8 5 3 3 2 3" xfId="60531" xr:uid="{00000000-0005-0000-0000-0000D7CB0000}"/>
    <cellStyle name="Normal 8 5 3 3 3" xfId="37676" xr:uid="{00000000-0005-0000-0000-0000D8CB0000}"/>
    <cellStyle name="Normal 8 5 3 3 3 2" xfId="60532" xr:uid="{00000000-0005-0000-0000-0000D9CB0000}"/>
    <cellStyle name="Normal 8 5 3 3 4" xfId="37677" xr:uid="{00000000-0005-0000-0000-0000DACB0000}"/>
    <cellStyle name="Normal 8 5 3 3 5" xfId="37678" xr:uid="{00000000-0005-0000-0000-0000DBCB0000}"/>
    <cellStyle name="Normal 8 5 3 3 6" xfId="37679" xr:uid="{00000000-0005-0000-0000-0000DCCB0000}"/>
    <cellStyle name="Normal 8 5 3 4" xfId="37680" xr:uid="{00000000-0005-0000-0000-0000DDCB0000}"/>
    <cellStyle name="Normal 8 5 3 4 2" xfId="60533" xr:uid="{00000000-0005-0000-0000-0000DECB0000}"/>
    <cellStyle name="Normal 8 5 3 4 3" xfId="60534" xr:uid="{00000000-0005-0000-0000-0000DFCB0000}"/>
    <cellStyle name="Normal 8 5 3 5" xfId="37681" xr:uid="{00000000-0005-0000-0000-0000E0CB0000}"/>
    <cellStyle name="Normal 8 5 3 5 2" xfId="60535" xr:uid="{00000000-0005-0000-0000-0000E1CB0000}"/>
    <cellStyle name="Normal 8 5 3 6" xfId="37682" xr:uid="{00000000-0005-0000-0000-0000E2CB0000}"/>
    <cellStyle name="Normal 8 5 3 7" xfId="37683" xr:uid="{00000000-0005-0000-0000-0000E3CB0000}"/>
    <cellStyle name="Normal 8 5 3 8" xfId="37684" xr:uid="{00000000-0005-0000-0000-0000E4CB0000}"/>
    <cellStyle name="Normal 8 5 3 9" xfId="37685" xr:uid="{00000000-0005-0000-0000-0000E5CB0000}"/>
    <cellStyle name="Normal 8 5 4" xfId="37686" xr:uid="{00000000-0005-0000-0000-0000E6CB0000}"/>
    <cellStyle name="Normal 8 5 4 2" xfId="37687" xr:uid="{00000000-0005-0000-0000-0000E7CB0000}"/>
    <cellStyle name="Normal 8 5 4 2 2" xfId="37688" xr:uid="{00000000-0005-0000-0000-0000E8CB0000}"/>
    <cellStyle name="Normal 8 5 4 2 2 2" xfId="37689" xr:uid="{00000000-0005-0000-0000-0000E9CB0000}"/>
    <cellStyle name="Normal 8 5 4 2 2 2 2" xfId="60536" xr:uid="{00000000-0005-0000-0000-0000EACB0000}"/>
    <cellStyle name="Normal 8 5 4 2 2 2 3" xfId="60537" xr:uid="{00000000-0005-0000-0000-0000EBCB0000}"/>
    <cellStyle name="Normal 8 5 4 2 2 3" xfId="37690" xr:uid="{00000000-0005-0000-0000-0000ECCB0000}"/>
    <cellStyle name="Normal 8 5 4 2 2 3 2" xfId="60538" xr:uid="{00000000-0005-0000-0000-0000EDCB0000}"/>
    <cellStyle name="Normal 8 5 4 2 2 4" xfId="37691" xr:uid="{00000000-0005-0000-0000-0000EECB0000}"/>
    <cellStyle name="Normal 8 5 4 2 2 5" xfId="37692" xr:uid="{00000000-0005-0000-0000-0000EFCB0000}"/>
    <cellStyle name="Normal 8 5 4 2 2 6" xfId="37693" xr:uid="{00000000-0005-0000-0000-0000F0CB0000}"/>
    <cellStyle name="Normal 8 5 4 2 3" xfId="37694" xr:uid="{00000000-0005-0000-0000-0000F1CB0000}"/>
    <cellStyle name="Normal 8 5 4 2 3 2" xfId="60539" xr:uid="{00000000-0005-0000-0000-0000F2CB0000}"/>
    <cellStyle name="Normal 8 5 4 2 3 3" xfId="60540" xr:uid="{00000000-0005-0000-0000-0000F3CB0000}"/>
    <cellStyle name="Normal 8 5 4 2 4" xfId="37695" xr:uid="{00000000-0005-0000-0000-0000F4CB0000}"/>
    <cellStyle name="Normal 8 5 4 2 4 2" xfId="60541" xr:uid="{00000000-0005-0000-0000-0000F5CB0000}"/>
    <cellStyle name="Normal 8 5 4 2 5" xfId="37696" xr:uid="{00000000-0005-0000-0000-0000F6CB0000}"/>
    <cellStyle name="Normal 8 5 4 2 6" xfId="37697" xr:uid="{00000000-0005-0000-0000-0000F7CB0000}"/>
    <cellStyle name="Normal 8 5 4 2 7" xfId="37698" xr:uid="{00000000-0005-0000-0000-0000F8CB0000}"/>
    <cellStyle name="Normal 8 5 4 3" xfId="37699" xr:uid="{00000000-0005-0000-0000-0000F9CB0000}"/>
    <cellStyle name="Normal 8 5 4 3 2" xfId="37700" xr:uid="{00000000-0005-0000-0000-0000FACB0000}"/>
    <cellStyle name="Normal 8 5 4 3 2 2" xfId="60542" xr:uid="{00000000-0005-0000-0000-0000FBCB0000}"/>
    <cellStyle name="Normal 8 5 4 3 2 3" xfId="60543" xr:uid="{00000000-0005-0000-0000-0000FCCB0000}"/>
    <cellStyle name="Normal 8 5 4 3 3" xfId="37701" xr:uid="{00000000-0005-0000-0000-0000FDCB0000}"/>
    <cellStyle name="Normal 8 5 4 3 3 2" xfId="60544" xr:uid="{00000000-0005-0000-0000-0000FECB0000}"/>
    <cellStyle name="Normal 8 5 4 3 4" xfId="37702" xr:uid="{00000000-0005-0000-0000-0000FFCB0000}"/>
    <cellStyle name="Normal 8 5 4 3 5" xfId="37703" xr:uid="{00000000-0005-0000-0000-000000CC0000}"/>
    <cellStyle name="Normal 8 5 4 3 6" xfId="37704" xr:uid="{00000000-0005-0000-0000-000001CC0000}"/>
    <cellStyle name="Normal 8 5 4 4" xfId="37705" xr:uid="{00000000-0005-0000-0000-000002CC0000}"/>
    <cellStyle name="Normal 8 5 4 4 2" xfId="60545" xr:uid="{00000000-0005-0000-0000-000003CC0000}"/>
    <cellStyle name="Normal 8 5 4 4 3" xfId="60546" xr:uid="{00000000-0005-0000-0000-000004CC0000}"/>
    <cellStyle name="Normal 8 5 4 5" xfId="37706" xr:uid="{00000000-0005-0000-0000-000005CC0000}"/>
    <cellStyle name="Normal 8 5 4 5 2" xfId="60547" xr:uid="{00000000-0005-0000-0000-000006CC0000}"/>
    <cellStyle name="Normal 8 5 4 6" xfId="37707" xr:uid="{00000000-0005-0000-0000-000007CC0000}"/>
    <cellStyle name="Normal 8 5 4 7" xfId="37708" xr:uid="{00000000-0005-0000-0000-000008CC0000}"/>
    <cellStyle name="Normal 8 5 4 8" xfId="37709" xr:uid="{00000000-0005-0000-0000-000009CC0000}"/>
    <cellStyle name="Normal 8 5 5" xfId="37710" xr:uid="{00000000-0005-0000-0000-00000ACC0000}"/>
    <cellStyle name="Normal 8 5 5 2" xfId="37711" xr:uid="{00000000-0005-0000-0000-00000BCC0000}"/>
    <cellStyle name="Normal 8 5 5 2 2" xfId="37712" xr:uid="{00000000-0005-0000-0000-00000CCC0000}"/>
    <cellStyle name="Normal 8 5 5 2 2 2" xfId="60548" xr:uid="{00000000-0005-0000-0000-00000DCC0000}"/>
    <cellStyle name="Normal 8 5 5 2 2 3" xfId="60549" xr:uid="{00000000-0005-0000-0000-00000ECC0000}"/>
    <cellStyle name="Normal 8 5 5 2 3" xfId="37713" xr:uid="{00000000-0005-0000-0000-00000FCC0000}"/>
    <cellStyle name="Normal 8 5 5 2 3 2" xfId="60550" xr:uid="{00000000-0005-0000-0000-000010CC0000}"/>
    <cellStyle name="Normal 8 5 5 2 4" xfId="37714" xr:uid="{00000000-0005-0000-0000-000011CC0000}"/>
    <cellStyle name="Normal 8 5 5 2 5" xfId="37715" xr:uid="{00000000-0005-0000-0000-000012CC0000}"/>
    <cellStyle name="Normal 8 5 5 2 6" xfId="37716" xr:uid="{00000000-0005-0000-0000-000013CC0000}"/>
    <cellStyle name="Normal 8 5 5 3" xfId="37717" xr:uid="{00000000-0005-0000-0000-000014CC0000}"/>
    <cellStyle name="Normal 8 5 5 3 2" xfId="60551" xr:uid="{00000000-0005-0000-0000-000015CC0000}"/>
    <cellStyle name="Normal 8 5 5 3 3" xfId="60552" xr:uid="{00000000-0005-0000-0000-000016CC0000}"/>
    <cellStyle name="Normal 8 5 5 4" xfId="37718" xr:uid="{00000000-0005-0000-0000-000017CC0000}"/>
    <cellStyle name="Normal 8 5 5 4 2" xfId="60553" xr:uid="{00000000-0005-0000-0000-000018CC0000}"/>
    <cellStyle name="Normal 8 5 5 5" xfId="37719" xr:uid="{00000000-0005-0000-0000-000019CC0000}"/>
    <cellStyle name="Normal 8 5 5 6" xfId="37720" xr:uid="{00000000-0005-0000-0000-00001ACC0000}"/>
    <cellStyle name="Normal 8 5 5 7" xfId="37721" xr:uid="{00000000-0005-0000-0000-00001BCC0000}"/>
    <cellStyle name="Normal 8 5 6" xfId="37722" xr:uid="{00000000-0005-0000-0000-00001CCC0000}"/>
    <cellStyle name="Normal 8 5 6 2" xfId="37723" xr:uid="{00000000-0005-0000-0000-00001DCC0000}"/>
    <cellStyle name="Normal 8 5 6 2 2" xfId="60554" xr:uid="{00000000-0005-0000-0000-00001ECC0000}"/>
    <cellStyle name="Normal 8 5 6 2 3" xfId="60555" xr:uid="{00000000-0005-0000-0000-00001FCC0000}"/>
    <cellStyle name="Normal 8 5 6 3" xfId="37724" xr:uid="{00000000-0005-0000-0000-000020CC0000}"/>
    <cellStyle name="Normal 8 5 6 3 2" xfId="60556" xr:uid="{00000000-0005-0000-0000-000021CC0000}"/>
    <cellStyle name="Normal 8 5 6 4" xfId="37725" xr:uid="{00000000-0005-0000-0000-000022CC0000}"/>
    <cellStyle name="Normal 8 5 6 5" xfId="37726" xr:uid="{00000000-0005-0000-0000-000023CC0000}"/>
    <cellStyle name="Normal 8 5 6 6" xfId="37727" xr:uid="{00000000-0005-0000-0000-000024CC0000}"/>
    <cellStyle name="Normal 8 5 7" xfId="37728" xr:uid="{00000000-0005-0000-0000-000025CC0000}"/>
    <cellStyle name="Normal 8 5 7 2" xfId="60557" xr:uid="{00000000-0005-0000-0000-000026CC0000}"/>
    <cellStyle name="Normal 8 5 7 3" xfId="60558" xr:uid="{00000000-0005-0000-0000-000027CC0000}"/>
    <cellStyle name="Normal 8 5 8" xfId="37729" xr:uid="{00000000-0005-0000-0000-000028CC0000}"/>
    <cellStyle name="Normal 8 5 8 2" xfId="60559" xr:uid="{00000000-0005-0000-0000-000029CC0000}"/>
    <cellStyle name="Normal 8 5 9" xfId="37730" xr:uid="{00000000-0005-0000-0000-00002ACC0000}"/>
    <cellStyle name="Normal 8 5 9 2" xfId="60560" xr:uid="{00000000-0005-0000-0000-00002BCC0000}"/>
    <cellStyle name="Normal 8 6" xfId="37731" xr:uid="{00000000-0005-0000-0000-00002CCC0000}"/>
    <cellStyle name="Normal 8 6 10" xfId="37732" xr:uid="{00000000-0005-0000-0000-00002DCC0000}"/>
    <cellStyle name="Normal 8 6 11" xfId="37733" xr:uid="{00000000-0005-0000-0000-00002ECC0000}"/>
    <cellStyle name="Normal 8 6 12" xfId="37734" xr:uid="{00000000-0005-0000-0000-00002FCC0000}"/>
    <cellStyle name="Normal 8 6 13" xfId="37735" xr:uid="{00000000-0005-0000-0000-000030CC0000}"/>
    <cellStyle name="Normal 8 6 14" xfId="37736" xr:uid="{00000000-0005-0000-0000-000031CC0000}"/>
    <cellStyle name="Normal 8 6 2" xfId="37737" xr:uid="{00000000-0005-0000-0000-000032CC0000}"/>
    <cellStyle name="Normal 8 6 2 2" xfId="37738" xr:uid="{00000000-0005-0000-0000-000033CC0000}"/>
    <cellStyle name="Normal 8 6 2 2 2" xfId="37739" xr:uid="{00000000-0005-0000-0000-000034CC0000}"/>
    <cellStyle name="Normal 8 6 2 2 2 2" xfId="37740" xr:uid="{00000000-0005-0000-0000-000035CC0000}"/>
    <cellStyle name="Normal 8 6 2 2 2 2 2" xfId="60561" xr:uid="{00000000-0005-0000-0000-000036CC0000}"/>
    <cellStyle name="Normal 8 6 2 2 2 2 3" xfId="60562" xr:uid="{00000000-0005-0000-0000-000037CC0000}"/>
    <cellStyle name="Normal 8 6 2 2 2 3" xfId="37741" xr:uid="{00000000-0005-0000-0000-000038CC0000}"/>
    <cellStyle name="Normal 8 6 2 2 2 3 2" xfId="60563" xr:uid="{00000000-0005-0000-0000-000039CC0000}"/>
    <cellStyle name="Normal 8 6 2 2 2 4" xfId="37742" xr:uid="{00000000-0005-0000-0000-00003ACC0000}"/>
    <cellStyle name="Normal 8 6 2 2 2 5" xfId="37743" xr:uid="{00000000-0005-0000-0000-00003BCC0000}"/>
    <cellStyle name="Normal 8 6 2 2 2 6" xfId="37744" xr:uid="{00000000-0005-0000-0000-00003CCC0000}"/>
    <cellStyle name="Normal 8 6 2 2 3" xfId="37745" xr:uid="{00000000-0005-0000-0000-00003DCC0000}"/>
    <cellStyle name="Normal 8 6 2 2 3 2" xfId="60564" xr:uid="{00000000-0005-0000-0000-00003ECC0000}"/>
    <cellStyle name="Normal 8 6 2 2 3 3" xfId="60565" xr:uid="{00000000-0005-0000-0000-00003FCC0000}"/>
    <cellStyle name="Normal 8 6 2 2 4" xfId="37746" xr:uid="{00000000-0005-0000-0000-000040CC0000}"/>
    <cellStyle name="Normal 8 6 2 2 4 2" xfId="60566" xr:uid="{00000000-0005-0000-0000-000041CC0000}"/>
    <cellStyle name="Normal 8 6 2 2 5" xfId="37747" xr:uid="{00000000-0005-0000-0000-000042CC0000}"/>
    <cellStyle name="Normal 8 6 2 2 6" xfId="37748" xr:uid="{00000000-0005-0000-0000-000043CC0000}"/>
    <cellStyle name="Normal 8 6 2 2 7" xfId="37749" xr:uid="{00000000-0005-0000-0000-000044CC0000}"/>
    <cellStyle name="Normal 8 6 2 3" xfId="37750" xr:uid="{00000000-0005-0000-0000-000045CC0000}"/>
    <cellStyle name="Normal 8 6 2 3 2" xfId="37751" xr:uid="{00000000-0005-0000-0000-000046CC0000}"/>
    <cellStyle name="Normal 8 6 2 3 2 2" xfId="60567" xr:uid="{00000000-0005-0000-0000-000047CC0000}"/>
    <cellStyle name="Normal 8 6 2 3 2 3" xfId="60568" xr:uid="{00000000-0005-0000-0000-000048CC0000}"/>
    <cellStyle name="Normal 8 6 2 3 3" xfId="37752" xr:uid="{00000000-0005-0000-0000-000049CC0000}"/>
    <cellStyle name="Normal 8 6 2 3 3 2" xfId="60569" xr:uid="{00000000-0005-0000-0000-00004ACC0000}"/>
    <cellStyle name="Normal 8 6 2 3 4" xfId="37753" xr:uid="{00000000-0005-0000-0000-00004BCC0000}"/>
    <cellStyle name="Normal 8 6 2 3 5" xfId="37754" xr:uid="{00000000-0005-0000-0000-00004CCC0000}"/>
    <cellStyle name="Normal 8 6 2 3 6" xfId="37755" xr:uid="{00000000-0005-0000-0000-00004DCC0000}"/>
    <cellStyle name="Normal 8 6 2 4" xfId="37756" xr:uid="{00000000-0005-0000-0000-00004ECC0000}"/>
    <cellStyle name="Normal 8 6 2 4 2" xfId="60570" xr:uid="{00000000-0005-0000-0000-00004FCC0000}"/>
    <cellStyle name="Normal 8 6 2 4 3" xfId="60571" xr:uid="{00000000-0005-0000-0000-000050CC0000}"/>
    <cellStyle name="Normal 8 6 2 5" xfId="37757" xr:uid="{00000000-0005-0000-0000-000051CC0000}"/>
    <cellStyle name="Normal 8 6 2 5 2" xfId="60572" xr:uid="{00000000-0005-0000-0000-000052CC0000}"/>
    <cellStyle name="Normal 8 6 2 6" xfId="37758" xr:uid="{00000000-0005-0000-0000-000053CC0000}"/>
    <cellStyle name="Normal 8 6 2 7" xfId="37759" xr:uid="{00000000-0005-0000-0000-000054CC0000}"/>
    <cellStyle name="Normal 8 6 2 8" xfId="37760" xr:uid="{00000000-0005-0000-0000-000055CC0000}"/>
    <cellStyle name="Normal 8 6 2 9" xfId="37761" xr:uid="{00000000-0005-0000-0000-000056CC0000}"/>
    <cellStyle name="Normal 8 6 3" xfId="37762" xr:uid="{00000000-0005-0000-0000-000057CC0000}"/>
    <cellStyle name="Normal 8 6 3 2" xfId="37763" xr:uid="{00000000-0005-0000-0000-000058CC0000}"/>
    <cellStyle name="Normal 8 6 3 2 2" xfId="37764" xr:uid="{00000000-0005-0000-0000-000059CC0000}"/>
    <cellStyle name="Normal 8 6 3 2 2 2" xfId="37765" xr:uid="{00000000-0005-0000-0000-00005ACC0000}"/>
    <cellStyle name="Normal 8 6 3 2 2 2 2" xfId="60573" xr:uid="{00000000-0005-0000-0000-00005BCC0000}"/>
    <cellStyle name="Normal 8 6 3 2 2 2 3" xfId="60574" xr:uid="{00000000-0005-0000-0000-00005CCC0000}"/>
    <cellStyle name="Normal 8 6 3 2 2 3" xfId="37766" xr:uid="{00000000-0005-0000-0000-00005DCC0000}"/>
    <cellStyle name="Normal 8 6 3 2 2 3 2" xfId="60575" xr:uid="{00000000-0005-0000-0000-00005ECC0000}"/>
    <cellStyle name="Normal 8 6 3 2 2 4" xfId="37767" xr:uid="{00000000-0005-0000-0000-00005FCC0000}"/>
    <cellStyle name="Normal 8 6 3 2 2 5" xfId="37768" xr:uid="{00000000-0005-0000-0000-000060CC0000}"/>
    <cellStyle name="Normal 8 6 3 2 2 6" xfId="37769" xr:uid="{00000000-0005-0000-0000-000061CC0000}"/>
    <cellStyle name="Normal 8 6 3 2 3" xfId="37770" xr:uid="{00000000-0005-0000-0000-000062CC0000}"/>
    <cellStyle name="Normal 8 6 3 2 3 2" xfId="60576" xr:uid="{00000000-0005-0000-0000-000063CC0000}"/>
    <cellStyle name="Normal 8 6 3 2 3 3" xfId="60577" xr:uid="{00000000-0005-0000-0000-000064CC0000}"/>
    <cellStyle name="Normal 8 6 3 2 4" xfId="37771" xr:uid="{00000000-0005-0000-0000-000065CC0000}"/>
    <cellStyle name="Normal 8 6 3 2 4 2" xfId="60578" xr:uid="{00000000-0005-0000-0000-000066CC0000}"/>
    <cellStyle name="Normal 8 6 3 2 5" xfId="37772" xr:uid="{00000000-0005-0000-0000-000067CC0000}"/>
    <cellStyle name="Normal 8 6 3 2 6" xfId="37773" xr:uid="{00000000-0005-0000-0000-000068CC0000}"/>
    <cellStyle name="Normal 8 6 3 2 7" xfId="37774" xr:uid="{00000000-0005-0000-0000-000069CC0000}"/>
    <cellStyle name="Normal 8 6 3 3" xfId="37775" xr:uid="{00000000-0005-0000-0000-00006ACC0000}"/>
    <cellStyle name="Normal 8 6 3 3 2" xfId="37776" xr:uid="{00000000-0005-0000-0000-00006BCC0000}"/>
    <cellStyle name="Normal 8 6 3 3 2 2" xfId="60579" xr:uid="{00000000-0005-0000-0000-00006CCC0000}"/>
    <cellStyle name="Normal 8 6 3 3 2 3" xfId="60580" xr:uid="{00000000-0005-0000-0000-00006DCC0000}"/>
    <cellStyle name="Normal 8 6 3 3 3" xfId="37777" xr:uid="{00000000-0005-0000-0000-00006ECC0000}"/>
    <cellStyle name="Normal 8 6 3 3 3 2" xfId="60581" xr:uid="{00000000-0005-0000-0000-00006FCC0000}"/>
    <cellStyle name="Normal 8 6 3 3 4" xfId="37778" xr:uid="{00000000-0005-0000-0000-000070CC0000}"/>
    <cellStyle name="Normal 8 6 3 3 5" xfId="37779" xr:uid="{00000000-0005-0000-0000-000071CC0000}"/>
    <cellStyle name="Normal 8 6 3 3 6" xfId="37780" xr:uid="{00000000-0005-0000-0000-000072CC0000}"/>
    <cellStyle name="Normal 8 6 3 4" xfId="37781" xr:uid="{00000000-0005-0000-0000-000073CC0000}"/>
    <cellStyle name="Normal 8 6 3 4 2" xfId="60582" xr:uid="{00000000-0005-0000-0000-000074CC0000}"/>
    <cellStyle name="Normal 8 6 3 4 3" xfId="60583" xr:uid="{00000000-0005-0000-0000-000075CC0000}"/>
    <cellStyle name="Normal 8 6 3 5" xfId="37782" xr:uid="{00000000-0005-0000-0000-000076CC0000}"/>
    <cellStyle name="Normal 8 6 3 5 2" xfId="60584" xr:uid="{00000000-0005-0000-0000-000077CC0000}"/>
    <cellStyle name="Normal 8 6 3 6" xfId="37783" xr:uid="{00000000-0005-0000-0000-000078CC0000}"/>
    <cellStyle name="Normal 8 6 3 7" xfId="37784" xr:uid="{00000000-0005-0000-0000-000079CC0000}"/>
    <cellStyle name="Normal 8 6 3 8" xfId="37785" xr:uid="{00000000-0005-0000-0000-00007ACC0000}"/>
    <cellStyle name="Normal 8 6 4" xfId="37786" xr:uid="{00000000-0005-0000-0000-00007BCC0000}"/>
    <cellStyle name="Normal 8 6 4 2" xfId="37787" xr:uid="{00000000-0005-0000-0000-00007CCC0000}"/>
    <cellStyle name="Normal 8 6 4 2 2" xfId="37788" xr:uid="{00000000-0005-0000-0000-00007DCC0000}"/>
    <cellStyle name="Normal 8 6 4 2 2 2" xfId="60585" xr:uid="{00000000-0005-0000-0000-00007ECC0000}"/>
    <cellStyle name="Normal 8 6 4 2 2 3" xfId="60586" xr:uid="{00000000-0005-0000-0000-00007FCC0000}"/>
    <cellStyle name="Normal 8 6 4 2 3" xfId="37789" xr:uid="{00000000-0005-0000-0000-000080CC0000}"/>
    <cellStyle name="Normal 8 6 4 2 3 2" xfId="60587" xr:uid="{00000000-0005-0000-0000-000081CC0000}"/>
    <cellStyle name="Normal 8 6 4 2 4" xfId="37790" xr:uid="{00000000-0005-0000-0000-000082CC0000}"/>
    <cellStyle name="Normal 8 6 4 2 5" xfId="37791" xr:uid="{00000000-0005-0000-0000-000083CC0000}"/>
    <cellStyle name="Normal 8 6 4 2 6" xfId="37792" xr:uid="{00000000-0005-0000-0000-000084CC0000}"/>
    <cellStyle name="Normal 8 6 4 3" xfId="37793" xr:uid="{00000000-0005-0000-0000-000085CC0000}"/>
    <cellStyle name="Normal 8 6 4 3 2" xfId="60588" xr:uid="{00000000-0005-0000-0000-000086CC0000}"/>
    <cellStyle name="Normal 8 6 4 3 3" xfId="60589" xr:uid="{00000000-0005-0000-0000-000087CC0000}"/>
    <cellStyle name="Normal 8 6 4 4" xfId="37794" xr:uid="{00000000-0005-0000-0000-000088CC0000}"/>
    <cellStyle name="Normal 8 6 4 4 2" xfId="60590" xr:uid="{00000000-0005-0000-0000-000089CC0000}"/>
    <cellStyle name="Normal 8 6 4 5" xfId="37795" xr:uid="{00000000-0005-0000-0000-00008ACC0000}"/>
    <cellStyle name="Normal 8 6 4 6" xfId="37796" xr:uid="{00000000-0005-0000-0000-00008BCC0000}"/>
    <cellStyle name="Normal 8 6 4 7" xfId="37797" xr:uid="{00000000-0005-0000-0000-00008CCC0000}"/>
    <cellStyle name="Normal 8 6 5" xfId="37798" xr:uid="{00000000-0005-0000-0000-00008DCC0000}"/>
    <cellStyle name="Normal 8 6 5 2" xfId="37799" xr:uid="{00000000-0005-0000-0000-00008ECC0000}"/>
    <cellStyle name="Normal 8 6 5 2 2" xfId="60591" xr:uid="{00000000-0005-0000-0000-00008FCC0000}"/>
    <cellStyle name="Normal 8 6 5 2 3" xfId="60592" xr:uid="{00000000-0005-0000-0000-000090CC0000}"/>
    <cellStyle name="Normal 8 6 5 3" xfId="37800" xr:uid="{00000000-0005-0000-0000-000091CC0000}"/>
    <cellStyle name="Normal 8 6 5 3 2" xfId="60593" xr:uid="{00000000-0005-0000-0000-000092CC0000}"/>
    <cellStyle name="Normal 8 6 5 4" xfId="37801" xr:uid="{00000000-0005-0000-0000-000093CC0000}"/>
    <cellStyle name="Normal 8 6 5 5" xfId="37802" xr:uid="{00000000-0005-0000-0000-000094CC0000}"/>
    <cellStyle name="Normal 8 6 5 6" xfId="37803" xr:uid="{00000000-0005-0000-0000-000095CC0000}"/>
    <cellStyle name="Normal 8 6 6" xfId="37804" xr:uid="{00000000-0005-0000-0000-000096CC0000}"/>
    <cellStyle name="Normal 8 6 6 2" xfId="60594" xr:uid="{00000000-0005-0000-0000-000097CC0000}"/>
    <cellStyle name="Normal 8 6 6 3" xfId="60595" xr:uid="{00000000-0005-0000-0000-000098CC0000}"/>
    <cellStyle name="Normal 8 6 7" xfId="37805" xr:uid="{00000000-0005-0000-0000-000099CC0000}"/>
    <cellStyle name="Normal 8 6 7 2" xfId="60596" xr:uid="{00000000-0005-0000-0000-00009ACC0000}"/>
    <cellStyle name="Normal 8 6 8" xfId="37806" xr:uid="{00000000-0005-0000-0000-00009BCC0000}"/>
    <cellStyle name="Normal 8 6 9" xfId="37807" xr:uid="{00000000-0005-0000-0000-00009CCC0000}"/>
    <cellStyle name="Normal 8 7" xfId="37808" xr:uid="{00000000-0005-0000-0000-00009DCC0000}"/>
    <cellStyle name="Normal 8 7 10" xfId="37809" xr:uid="{00000000-0005-0000-0000-00009ECC0000}"/>
    <cellStyle name="Normal 8 7 11" xfId="37810" xr:uid="{00000000-0005-0000-0000-00009FCC0000}"/>
    <cellStyle name="Normal 8 7 12" xfId="37811" xr:uid="{00000000-0005-0000-0000-0000A0CC0000}"/>
    <cellStyle name="Normal 8 7 13" xfId="37812" xr:uid="{00000000-0005-0000-0000-0000A1CC0000}"/>
    <cellStyle name="Normal 8 7 14" xfId="37813" xr:uid="{00000000-0005-0000-0000-0000A2CC0000}"/>
    <cellStyle name="Normal 8 7 2" xfId="37814" xr:uid="{00000000-0005-0000-0000-0000A3CC0000}"/>
    <cellStyle name="Normal 8 7 2 2" xfId="37815" xr:uid="{00000000-0005-0000-0000-0000A4CC0000}"/>
    <cellStyle name="Normal 8 7 2 2 2" xfId="37816" xr:uid="{00000000-0005-0000-0000-0000A5CC0000}"/>
    <cellStyle name="Normal 8 7 2 2 2 2" xfId="37817" xr:uid="{00000000-0005-0000-0000-0000A6CC0000}"/>
    <cellStyle name="Normal 8 7 2 2 2 2 2" xfId="60597" xr:uid="{00000000-0005-0000-0000-0000A7CC0000}"/>
    <cellStyle name="Normal 8 7 2 2 2 2 3" xfId="60598" xr:uid="{00000000-0005-0000-0000-0000A8CC0000}"/>
    <cellStyle name="Normal 8 7 2 2 2 3" xfId="37818" xr:uid="{00000000-0005-0000-0000-0000A9CC0000}"/>
    <cellStyle name="Normal 8 7 2 2 2 3 2" xfId="60599" xr:uid="{00000000-0005-0000-0000-0000AACC0000}"/>
    <cellStyle name="Normal 8 7 2 2 2 4" xfId="37819" xr:uid="{00000000-0005-0000-0000-0000ABCC0000}"/>
    <cellStyle name="Normal 8 7 2 2 2 5" xfId="37820" xr:uid="{00000000-0005-0000-0000-0000ACCC0000}"/>
    <cellStyle name="Normal 8 7 2 2 2 6" xfId="37821" xr:uid="{00000000-0005-0000-0000-0000ADCC0000}"/>
    <cellStyle name="Normal 8 7 2 2 3" xfId="37822" xr:uid="{00000000-0005-0000-0000-0000AECC0000}"/>
    <cellStyle name="Normal 8 7 2 2 3 2" xfId="60600" xr:uid="{00000000-0005-0000-0000-0000AFCC0000}"/>
    <cellStyle name="Normal 8 7 2 2 3 3" xfId="60601" xr:uid="{00000000-0005-0000-0000-0000B0CC0000}"/>
    <cellStyle name="Normal 8 7 2 2 4" xfId="37823" xr:uid="{00000000-0005-0000-0000-0000B1CC0000}"/>
    <cellStyle name="Normal 8 7 2 2 4 2" xfId="60602" xr:uid="{00000000-0005-0000-0000-0000B2CC0000}"/>
    <cellStyle name="Normal 8 7 2 2 5" xfId="37824" xr:uid="{00000000-0005-0000-0000-0000B3CC0000}"/>
    <cellStyle name="Normal 8 7 2 2 6" xfId="37825" xr:uid="{00000000-0005-0000-0000-0000B4CC0000}"/>
    <cellStyle name="Normal 8 7 2 2 7" xfId="37826" xr:uid="{00000000-0005-0000-0000-0000B5CC0000}"/>
    <cellStyle name="Normal 8 7 2 3" xfId="37827" xr:uid="{00000000-0005-0000-0000-0000B6CC0000}"/>
    <cellStyle name="Normal 8 7 2 3 2" xfId="37828" xr:uid="{00000000-0005-0000-0000-0000B7CC0000}"/>
    <cellStyle name="Normal 8 7 2 3 2 2" xfId="60603" xr:uid="{00000000-0005-0000-0000-0000B8CC0000}"/>
    <cellStyle name="Normal 8 7 2 3 2 3" xfId="60604" xr:uid="{00000000-0005-0000-0000-0000B9CC0000}"/>
    <cellStyle name="Normal 8 7 2 3 3" xfId="37829" xr:uid="{00000000-0005-0000-0000-0000BACC0000}"/>
    <cellStyle name="Normal 8 7 2 3 3 2" xfId="60605" xr:uid="{00000000-0005-0000-0000-0000BBCC0000}"/>
    <cellStyle name="Normal 8 7 2 3 4" xfId="37830" xr:uid="{00000000-0005-0000-0000-0000BCCC0000}"/>
    <cellStyle name="Normal 8 7 2 3 5" xfId="37831" xr:uid="{00000000-0005-0000-0000-0000BDCC0000}"/>
    <cellStyle name="Normal 8 7 2 3 6" xfId="37832" xr:uid="{00000000-0005-0000-0000-0000BECC0000}"/>
    <cellStyle name="Normal 8 7 2 4" xfId="37833" xr:uid="{00000000-0005-0000-0000-0000BFCC0000}"/>
    <cellStyle name="Normal 8 7 2 4 2" xfId="60606" xr:uid="{00000000-0005-0000-0000-0000C0CC0000}"/>
    <cellStyle name="Normal 8 7 2 4 3" xfId="60607" xr:uid="{00000000-0005-0000-0000-0000C1CC0000}"/>
    <cellStyle name="Normal 8 7 2 5" xfId="37834" xr:uid="{00000000-0005-0000-0000-0000C2CC0000}"/>
    <cellStyle name="Normal 8 7 2 5 2" xfId="60608" xr:uid="{00000000-0005-0000-0000-0000C3CC0000}"/>
    <cellStyle name="Normal 8 7 2 6" xfId="37835" xr:uid="{00000000-0005-0000-0000-0000C4CC0000}"/>
    <cellStyle name="Normal 8 7 2 7" xfId="37836" xr:uid="{00000000-0005-0000-0000-0000C5CC0000}"/>
    <cellStyle name="Normal 8 7 2 8" xfId="37837" xr:uid="{00000000-0005-0000-0000-0000C6CC0000}"/>
    <cellStyle name="Normal 8 7 2 9" xfId="37838" xr:uid="{00000000-0005-0000-0000-0000C7CC0000}"/>
    <cellStyle name="Normal 8 7 3" xfId="37839" xr:uid="{00000000-0005-0000-0000-0000C8CC0000}"/>
    <cellStyle name="Normal 8 7 3 2" xfId="37840" xr:uid="{00000000-0005-0000-0000-0000C9CC0000}"/>
    <cellStyle name="Normal 8 7 3 2 2" xfId="37841" xr:uid="{00000000-0005-0000-0000-0000CACC0000}"/>
    <cellStyle name="Normal 8 7 3 2 2 2" xfId="37842" xr:uid="{00000000-0005-0000-0000-0000CBCC0000}"/>
    <cellStyle name="Normal 8 7 3 2 2 2 2" xfId="60609" xr:uid="{00000000-0005-0000-0000-0000CCCC0000}"/>
    <cellStyle name="Normal 8 7 3 2 2 2 3" xfId="60610" xr:uid="{00000000-0005-0000-0000-0000CDCC0000}"/>
    <cellStyle name="Normal 8 7 3 2 2 3" xfId="37843" xr:uid="{00000000-0005-0000-0000-0000CECC0000}"/>
    <cellStyle name="Normal 8 7 3 2 2 3 2" xfId="60611" xr:uid="{00000000-0005-0000-0000-0000CFCC0000}"/>
    <cellStyle name="Normal 8 7 3 2 2 4" xfId="37844" xr:uid="{00000000-0005-0000-0000-0000D0CC0000}"/>
    <cellStyle name="Normal 8 7 3 2 2 5" xfId="37845" xr:uid="{00000000-0005-0000-0000-0000D1CC0000}"/>
    <cellStyle name="Normal 8 7 3 2 2 6" xfId="37846" xr:uid="{00000000-0005-0000-0000-0000D2CC0000}"/>
    <cellStyle name="Normal 8 7 3 2 3" xfId="37847" xr:uid="{00000000-0005-0000-0000-0000D3CC0000}"/>
    <cellStyle name="Normal 8 7 3 2 3 2" xfId="60612" xr:uid="{00000000-0005-0000-0000-0000D4CC0000}"/>
    <cellStyle name="Normal 8 7 3 2 3 3" xfId="60613" xr:uid="{00000000-0005-0000-0000-0000D5CC0000}"/>
    <cellStyle name="Normal 8 7 3 2 4" xfId="37848" xr:uid="{00000000-0005-0000-0000-0000D6CC0000}"/>
    <cellStyle name="Normal 8 7 3 2 4 2" xfId="60614" xr:uid="{00000000-0005-0000-0000-0000D7CC0000}"/>
    <cellStyle name="Normal 8 7 3 2 5" xfId="37849" xr:uid="{00000000-0005-0000-0000-0000D8CC0000}"/>
    <cellStyle name="Normal 8 7 3 2 6" xfId="37850" xr:uid="{00000000-0005-0000-0000-0000D9CC0000}"/>
    <cellStyle name="Normal 8 7 3 2 7" xfId="37851" xr:uid="{00000000-0005-0000-0000-0000DACC0000}"/>
    <cellStyle name="Normal 8 7 3 3" xfId="37852" xr:uid="{00000000-0005-0000-0000-0000DBCC0000}"/>
    <cellStyle name="Normal 8 7 3 3 2" xfId="37853" xr:uid="{00000000-0005-0000-0000-0000DCCC0000}"/>
    <cellStyle name="Normal 8 7 3 3 2 2" xfId="60615" xr:uid="{00000000-0005-0000-0000-0000DDCC0000}"/>
    <cellStyle name="Normal 8 7 3 3 2 3" xfId="60616" xr:uid="{00000000-0005-0000-0000-0000DECC0000}"/>
    <cellStyle name="Normal 8 7 3 3 3" xfId="37854" xr:uid="{00000000-0005-0000-0000-0000DFCC0000}"/>
    <cellStyle name="Normal 8 7 3 3 3 2" xfId="60617" xr:uid="{00000000-0005-0000-0000-0000E0CC0000}"/>
    <cellStyle name="Normal 8 7 3 3 4" xfId="37855" xr:uid="{00000000-0005-0000-0000-0000E1CC0000}"/>
    <cellStyle name="Normal 8 7 3 3 5" xfId="37856" xr:uid="{00000000-0005-0000-0000-0000E2CC0000}"/>
    <cellStyle name="Normal 8 7 3 3 6" xfId="37857" xr:uid="{00000000-0005-0000-0000-0000E3CC0000}"/>
    <cellStyle name="Normal 8 7 3 4" xfId="37858" xr:uid="{00000000-0005-0000-0000-0000E4CC0000}"/>
    <cellStyle name="Normal 8 7 3 4 2" xfId="60618" xr:uid="{00000000-0005-0000-0000-0000E5CC0000}"/>
    <cellStyle name="Normal 8 7 3 4 3" xfId="60619" xr:uid="{00000000-0005-0000-0000-0000E6CC0000}"/>
    <cellStyle name="Normal 8 7 3 5" xfId="37859" xr:uid="{00000000-0005-0000-0000-0000E7CC0000}"/>
    <cellStyle name="Normal 8 7 3 5 2" xfId="60620" xr:uid="{00000000-0005-0000-0000-0000E8CC0000}"/>
    <cellStyle name="Normal 8 7 3 6" xfId="37860" xr:uid="{00000000-0005-0000-0000-0000E9CC0000}"/>
    <cellStyle name="Normal 8 7 3 7" xfId="37861" xr:uid="{00000000-0005-0000-0000-0000EACC0000}"/>
    <cellStyle name="Normal 8 7 3 8" xfId="37862" xr:uid="{00000000-0005-0000-0000-0000EBCC0000}"/>
    <cellStyle name="Normal 8 7 4" xfId="37863" xr:uid="{00000000-0005-0000-0000-0000ECCC0000}"/>
    <cellStyle name="Normal 8 7 4 2" xfId="37864" xr:uid="{00000000-0005-0000-0000-0000EDCC0000}"/>
    <cellStyle name="Normal 8 7 4 2 2" xfId="37865" xr:uid="{00000000-0005-0000-0000-0000EECC0000}"/>
    <cellStyle name="Normal 8 7 4 2 2 2" xfId="60621" xr:uid="{00000000-0005-0000-0000-0000EFCC0000}"/>
    <cellStyle name="Normal 8 7 4 2 2 3" xfId="60622" xr:uid="{00000000-0005-0000-0000-0000F0CC0000}"/>
    <cellStyle name="Normal 8 7 4 2 3" xfId="37866" xr:uid="{00000000-0005-0000-0000-0000F1CC0000}"/>
    <cellStyle name="Normal 8 7 4 2 3 2" xfId="60623" xr:uid="{00000000-0005-0000-0000-0000F2CC0000}"/>
    <cellStyle name="Normal 8 7 4 2 4" xfId="37867" xr:uid="{00000000-0005-0000-0000-0000F3CC0000}"/>
    <cellStyle name="Normal 8 7 4 2 5" xfId="37868" xr:uid="{00000000-0005-0000-0000-0000F4CC0000}"/>
    <cellStyle name="Normal 8 7 4 2 6" xfId="37869" xr:uid="{00000000-0005-0000-0000-0000F5CC0000}"/>
    <cellStyle name="Normal 8 7 4 3" xfId="37870" xr:uid="{00000000-0005-0000-0000-0000F6CC0000}"/>
    <cellStyle name="Normal 8 7 4 3 2" xfId="60624" xr:uid="{00000000-0005-0000-0000-0000F7CC0000}"/>
    <cellStyle name="Normal 8 7 4 3 3" xfId="60625" xr:uid="{00000000-0005-0000-0000-0000F8CC0000}"/>
    <cellStyle name="Normal 8 7 4 4" xfId="37871" xr:uid="{00000000-0005-0000-0000-0000F9CC0000}"/>
    <cellStyle name="Normal 8 7 4 4 2" xfId="60626" xr:uid="{00000000-0005-0000-0000-0000FACC0000}"/>
    <cellStyle name="Normal 8 7 4 5" xfId="37872" xr:uid="{00000000-0005-0000-0000-0000FBCC0000}"/>
    <cellStyle name="Normal 8 7 4 6" xfId="37873" xr:uid="{00000000-0005-0000-0000-0000FCCC0000}"/>
    <cellStyle name="Normal 8 7 4 7" xfId="37874" xr:uid="{00000000-0005-0000-0000-0000FDCC0000}"/>
    <cellStyle name="Normal 8 7 5" xfId="37875" xr:uid="{00000000-0005-0000-0000-0000FECC0000}"/>
    <cellStyle name="Normal 8 7 5 2" xfId="37876" xr:uid="{00000000-0005-0000-0000-0000FFCC0000}"/>
    <cellStyle name="Normal 8 7 5 2 2" xfId="60627" xr:uid="{00000000-0005-0000-0000-000000CD0000}"/>
    <cellStyle name="Normal 8 7 5 2 3" xfId="60628" xr:uid="{00000000-0005-0000-0000-000001CD0000}"/>
    <cellStyle name="Normal 8 7 5 3" xfId="37877" xr:uid="{00000000-0005-0000-0000-000002CD0000}"/>
    <cellStyle name="Normal 8 7 5 3 2" xfId="60629" xr:uid="{00000000-0005-0000-0000-000003CD0000}"/>
    <cellStyle name="Normal 8 7 5 4" xfId="37878" xr:uid="{00000000-0005-0000-0000-000004CD0000}"/>
    <cellStyle name="Normal 8 7 5 5" xfId="37879" xr:uid="{00000000-0005-0000-0000-000005CD0000}"/>
    <cellStyle name="Normal 8 7 5 6" xfId="37880" xr:uid="{00000000-0005-0000-0000-000006CD0000}"/>
    <cellStyle name="Normal 8 7 6" xfId="37881" xr:uid="{00000000-0005-0000-0000-000007CD0000}"/>
    <cellStyle name="Normal 8 7 6 2" xfId="60630" xr:uid="{00000000-0005-0000-0000-000008CD0000}"/>
    <cellStyle name="Normal 8 7 6 3" xfId="60631" xr:uid="{00000000-0005-0000-0000-000009CD0000}"/>
    <cellStyle name="Normal 8 7 7" xfId="37882" xr:uid="{00000000-0005-0000-0000-00000ACD0000}"/>
    <cellStyle name="Normal 8 7 7 2" xfId="60632" xr:uid="{00000000-0005-0000-0000-00000BCD0000}"/>
    <cellStyle name="Normal 8 7 8" xfId="37883" xr:uid="{00000000-0005-0000-0000-00000CCD0000}"/>
    <cellStyle name="Normal 8 7 9" xfId="37884" xr:uid="{00000000-0005-0000-0000-00000DCD0000}"/>
    <cellStyle name="Normal 8 8" xfId="37885" xr:uid="{00000000-0005-0000-0000-00000ECD0000}"/>
    <cellStyle name="Normal 8 8 10" xfId="37886" xr:uid="{00000000-0005-0000-0000-00000FCD0000}"/>
    <cellStyle name="Normal 8 8 11" xfId="37887" xr:uid="{00000000-0005-0000-0000-000010CD0000}"/>
    <cellStyle name="Normal 8 8 12" xfId="37888" xr:uid="{00000000-0005-0000-0000-000011CD0000}"/>
    <cellStyle name="Normal 8 8 13" xfId="37889" xr:uid="{00000000-0005-0000-0000-000012CD0000}"/>
    <cellStyle name="Normal 8 8 14" xfId="37890" xr:uid="{00000000-0005-0000-0000-000013CD0000}"/>
    <cellStyle name="Normal 8 8 2" xfId="37891" xr:uid="{00000000-0005-0000-0000-000014CD0000}"/>
    <cellStyle name="Normal 8 8 2 2" xfId="37892" xr:uid="{00000000-0005-0000-0000-000015CD0000}"/>
    <cellStyle name="Normal 8 8 2 2 2" xfId="37893" xr:uid="{00000000-0005-0000-0000-000016CD0000}"/>
    <cellStyle name="Normal 8 8 2 2 2 2" xfId="37894" xr:uid="{00000000-0005-0000-0000-000017CD0000}"/>
    <cellStyle name="Normal 8 8 2 2 2 2 2" xfId="60633" xr:uid="{00000000-0005-0000-0000-000018CD0000}"/>
    <cellStyle name="Normal 8 8 2 2 2 2 3" xfId="60634" xr:uid="{00000000-0005-0000-0000-000019CD0000}"/>
    <cellStyle name="Normal 8 8 2 2 2 3" xfId="37895" xr:uid="{00000000-0005-0000-0000-00001ACD0000}"/>
    <cellStyle name="Normal 8 8 2 2 2 3 2" xfId="60635" xr:uid="{00000000-0005-0000-0000-00001BCD0000}"/>
    <cellStyle name="Normal 8 8 2 2 2 4" xfId="37896" xr:uid="{00000000-0005-0000-0000-00001CCD0000}"/>
    <cellStyle name="Normal 8 8 2 2 2 5" xfId="37897" xr:uid="{00000000-0005-0000-0000-00001DCD0000}"/>
    <cellStyle name="Normal 8 8 2 2 2 6" xfId="37898" xr:uid="{00000000-0005-0000-0000-00001ECD0000}"/>
    <cellStyle name="Normal 8 8 2 2 3" xfId="37899" xr:uid="{00000000-0005-0000-0000-00001FCD0000}"/>
    <cellStyle name="Normal 8 8 2 2 3 2" xfId="60636" xr:uid="{00000000-0005-0000-0000-000020CD0000}"/>
    <cellStyle name="Normal 8 8 2 2 3 3" xfId="60637" xr:uid="{00000000-0005-0000-0000-000021CD0000}"/>
    <cellStyle name="Normal 8 8 2 2 4" xfId="37900" xr:uid="{00000000-0005-0000-0000-000022CD0000}"/>
    <cellStyle name="Normal 8 8 2 2 4 2" xfId="60638" xr:uid="{00000000-0005-0000-0000-000023CD0000}"/>
    <cellStyle name="Normal 8 8 2 2 5" xfId="37901" xr:uid="{00000000-0005-0000-0000-000024CD0000}"/>
    <cellStyle name="Normal 8 8 2 2 6" xfId="37902" xr:uid="{00000000-0005-0000-0000-000025CD0000}"/>
    <cellStyle name="Normal 8 8 2 2 7" xfId="37903" xr:uid="{00000000-0005-0000-0000-000026CD0000}"/>
    <cellStyle name="Normal 8 8 2 3" xfId="37904" xr:uid="{00000000-0005-0000-0000-000027CD0000}"/>
    <cellStyle name="Normal 8 8 2 3 2" xfId="37905" xr:uid="{00000000-0005-0000-0000-000028CD0000}"/>
    <cellStyle name="Normal 8 8 2 3 2 2" xfId="60639" xr:uid="{00000000-0005-0000-0000-000029CD0000}"/>
    <cellStyle name="Normal 8 8 2 3 2 3" xfId="60640" xr:uid="{00000000-0005-0000-0000-00002ACD0000}"/>
    <cellStyle name="Normal 8 8 2 3 3" xfId="37906" xr:uid="{00000000-0005-0000-0000-00002BCD0000}"/>
    <cellStyle name="Normal 8 8 2 3 3 2" xfId="60641" xr:uid="{00000000-0005-0000-0000-00002CCD0000}"/>
    <cellStyle name="Normal 8 8 2 3 4" xfId="37907" xr:uid="{00000000-0005-0000-0000-00002DCD0000}"/>
    <cellStyle name="Normal 8 8 2 3 5" xfId="37908" xr:uid="{00000000-0005-0000-0000-00002ECD0000}"/>
    <cellStyle name="Normal 8 8 2 3 6" xfId="37909" xr:uid="{00000000-0005-0000-0000-00002FCD0000}"/>
    <cellStyle name="Normal 8 8 2 4" xfId="37910" xr:uid="{00000000-0005-0000-0000-000030CD0000}"/>
    <cellStyle name="Normal 8 8 2 4 2" xfId="60642" xr:uid="{00000000-0005-0000-0000-000031CD0000}"/>
    <cellStyle name="Normal 8 8 2 4 3" xfId="60643" xr:uid="{00000000-0005-0000-0000-000032CD0000}"/>
    <cellStyle name="Normal 8 8 2 5" xfId="37911" xr:uid="{00000000-0005-0000-0000-000033CD0000}"/>
    <cellStyle name="Normal 8 8 2 5 2" xfId="60644" xr:uid="{00000000-0005-0000-0000-000034CD0000}"/>
    <cellStyle name="Normal 8 8 2 6" xfId="37912" xr:uid="{00000000-0005-0000-0000-000035CD0000}"/>
    <cellStyle name="Normal 8 8 2 7" xfId="37913" xr:uid="{00000000-0005-0000-0000-000036CD0000}"/>
    <cellStyle name="Normal 8 8 2 8" xfId="37914" xr:uid="{00000000-0005-0000-0000-000037CD0000}"/>
    <cellStyle name="Normal 8 8 2 9" xfId="37915" xr:uid="{00000000-0005-0000-0000-000038CD0000}"/>
    <cellStyle name="Normal 8 8 3" xfId="37916" xr:uid="{00000000-0005-0000-0000-000039CD0000}"/>
    <cellStyle name="Normal 8 8 3 2" xfId="37917" xr:uid="{00000000-0005-0000-0000-00003ACD0000}"/>
    <cellStyle name="Normal 8 8 3 2 2" xfId="37918" xr:uid="{00000000-0005-0000-0000-00003BCD0000}"/>
    <cellStyle name="Normal 8 8 3 2 2 2" xfId="60645" xr:uid="{00000000-0005-0000-0000-00003CCD0000}"/>
    <cellStyle name="Normal 8 8 3 2 2 3" xfId="60646" xr:uid="{00000000-0005-0000-0000-00003DCD0000}"/>
    <cellStyle name="Normal 8 8 3 2 3" xfId="37919" xr:uid="{00000000-0005-0000-0000-00003ECD0000}"/>
    <cellStyle name="Normal 8 8 3 2 3 2" xfId="60647" xr:uid="{00000000-0005-0000-0000-00003FCD0000}"/>
    <cellStyle name="Normal 8 8 3 2 4" xfId="37920" xr:uid="{00000000-0005-0000-0000-000040CD0000}"/>
    <cellStyle name="Normal 8 8 3 2 5" xfId="37921" xr:uid="{00000000-0005-0000-0000-000041CD0000}"/>
    <cellStyle name="Normal 8 8 3 2 6" xfId="37922" xr:uid="{00000000-0005-0000-0000-000042CD0000}"/>
    <cellStyle name="Normal 8 8 3 3" xfId="37923" xr:uid="{00000000-0005-0000-0000-000043CD0000}"/>
    <cellStyle name="Normal 8 8 3 3 2" xfId="60648" xr:uid="{00000000-0005-0000-0000-000044CD0000}"/>
    <cellStyle name="Normal 8 8 3 3 3" xfId="60649" xr:uid="{00000000-0005-0000-0000-000045CD0000}"/>
    <cellStyle name="Normal 8 8 3 4" xfId="37924" xr:uid="{00000000-0005-0000-0000-000046CD0000}"/>
    <cellStyle name="Normal 8 8 3 4 2" xfId="60650" xr:uid="{00000000-0005-0000-0000-000047CD0000}"/>
    <cellStyle name="Normal 8 8 3 5" xfId="37925" xr:uid="{00000000-0005-0000-0000-000048CD0000}"/>
    <cellStyle name="Normal 8 8 3 6" xfId="37926" xr:uid="{00000000-0005-0000-0000-000049CD0000}"/>
    <cellStyle name="Normal 8 8 3 7" xfId="37927" xr:uid="{00000000-0005-0000-0000-00004ACD0000}"/>
    <cellStyle name="Normal 8 8 4" xfId="37928" xr:uid="{00000000-0005-0000-0000-00004BCD0000}"/>
    <cellStyle name="Normal 8 8 4 2" xfId="37929" xr:uid="{00000000-0005-0000-0000-00004CCD0000}"/>
    <cellStyle name="Normal 8 8 4 2 2" xfId="60651" xr:uid="{00000000-0005-0000-0000-00004DCD0000}"/>
    <cellStyle name="Normal 8 8 4 2 3" xfId="60652" xr:uid="{00000000-0005-0000-0000-00004ECD0000}"/>
    <cellStyle name="Normal 8 8 4 3" xfId="37930" xr:uid="{00000000-0005-0000-0000-00004FCD0000}"/>
    <cellStyle name="Normal 8 8 4 3 2" xfId="60653" xr:uid="{00000000-0005-0000-0000-000050CD0000}"/>
    <cellStyle name="Normal 8 8 4 4" xfId="37931" xr:uid="{00000000-0005-0000-0000-000051CD0000}"/>
    <cellStyle name="Normal 8 8 4 5" xfId="37932" xr:uid="{00000000-0005-0000-0000-000052CD0000}"/>
    <cellStyle name="Normal 8 8 4 6" xfId="37933" xr:uid="{00000000-0005-0000-0000-000053CD0000}"/>
    <cellStyle name="Normal 8 8 5" xfId="37934" xr:uid="{00000000-0005-0000-0000-000054CD0000}"/>
    <cellStyle name="Normal 8 8 5 2" xfId="60654" xr:uid="{00000000-0005-0000-0000-000055CD0000}"/>
    <cellStyle name="Normal 8 8 5 3" xfId="60655" xr:uid="{00000000-0005-0000-0000-000056CD0000}"/>
    <cellStyle name="Normal 8 8 6" xfId="37935" xr:uid="{00000000-0005-0000-0000-000057CD0000}"/>
    <cellStyle name="Normal 8 8 6 2" xfId="60656" xr:uid="{00000000-0005-0000-0000-000058CD0000}"/>
    <cellStyle name="Normal 8 8 7" xfId="37936" xr:uid="{00000000-0005-0000-0000-000059CD0000}"/>
    <cellStyle name="Normal 8 8 8" xfId="37937" xr:uid="{00000000-0005-0000-0000-00005ACD0000}"/>
    <cellStyle name="Normal 8 8 9" xfId="37938" xr:uid="{00000000-0005-0000-0000-00005BCD0000}"/>
    <cellStyle name="Normal 8 9" xfId="37939" xr:uid="{00000000-0005-0000-0000-00005CCD0000}"/>
    <cellStyle name="Normal 8 9 2" xfId="37940" xr:uid="{00000000-0005-0000-0000-00005DCD0000}"/>
    <cellStyle name="Normal 8 9 2 2" xfId="37941" xr:uid="{00000000-0005-0000-0000-00005ECD0000}"/>
    <cellStyle name="Normal 8 9 2 2 2" xfId="37942" xr:uid="{00000000-0005-0000-0000-00005FCD0000}"/>
    <cellStyle name="Normal 8 9 2 2 2 2" xfId="60657" xr:uid="{00000000-0005-0000-0000-000060CD0000}"/>
    <cellStyle name="Normal 8 9 2 2 2 3" xfId="60658" xr:uid="{00000000-0005-0000-0000-000061CD0000}"/>
    <cellStyle name="Normal 8 9 2 2 3" xfId="37943" xr:uid="{00000000-0005-0000-0000-000062CD0000}"/>
    <cellStyle name="Normal 8 9 2 2 3 2" xfId="60659" xr:uid="{00000000-0005-0000-0000-000063CD0000}"/>
    <cellStyle name="Normal 8 9 2 2 4" xfId="37944" xr:uid="{00000000-0005-0000-0000-000064CD0000}"/>
    <cellStyle name="Normal 8 9 2 2 5" xfId="37945" xr:uid="{00000000-0005-0000-0000-000065CD0000}"/>
    <cellStyle name="Normal 8 9 2 2 6" xfId="37946" xr:uid="{00000000-0005-0000-0000-000066CD0000}"/>
    <cellStyle name="Normal 8 9 2 3" xfId="37947" xr:uid="{00000000-0005-0000-0000-000067CD0000}"/>
    <cellStyle name="Normal 8 9 2 3 2" xfId="60660" xr:uid="{00000000-0005-0000-0000-000068CD0000}"/>
    <cellStyle name="Normal 8 9 2 3 3" xfId="60661" xr:uid="{00000000-0005-0000-0000-000069CD0000}"/>
    <cellStyle name="Normal 8 9 2 4" xfId="37948" xr:uid="{00000000-0005-0000-0000-00006ACD0000}"/>
    <cellStyle name="Normal 8 9 2 4 2" xfId="60662" xr:uid="{00000000-0005-0000-0000-00006BCD0000}"/>
    <cellStyle name="Normal 8 9 2 5" xfId="37949" xr:uid="{00000000-0005-0000-0000-00006CCD0000}"/>
    <cellStyle name="Normal 8 9 2 6" xfId="37950" xr:uid="{00000000-0005-0000-0000-00006DCD0000}"/>
    <cellStyle name="Normal 8 9 2 7" xfId="37951" xr:uid="{00000000-0005-0000-0000-00006ECD0000}"/>
    <cellStyle name="Normal 8 9 3" xfId="37952" xr:uid="{00000000-0005-0000-0000-00006FCD0000}"/>
    <cellStyle name="Normal 8 9 3 2" xfId="37953" xr:uid="{00000000-0005-0000-0000-000070CD0000}"/>
    <cellStyle name="Normal 8 9 3 2 2" xfId="60663" xr:uid="{00000000-0005-0000-0000-000071CD0000}"/>
    <cellStyle name="Normal 8 9 3 2 3" xfId="60664" xr:uid="{00000000-0005-0000-0000-000072CD0000}"/>
    <cellStyle name="Normal 8 9 3 3" xfId="37954" xr:uid="{00000000-0005-0000-0000-000073CD0000}"/>
    <cellStyle name="Normal 8 9 3 3 2" xfId="60665" xr:uid="{00000000-0005-0000-0000-000074CD0000}"/>
    <cellStyle name="Normal 8 9 3 4" xfId="37955" xr:uid="{00000000-0005-0000-0000-000075CD0000}"/>
    <cellStyle name="Normal 8 9 3 5" xfId="37956" xr:uid="{00000000-0005-0000-0000-000076CD0000}"/>
    <cellStyle name="Normal 8 9 3 6" xfId="37957" xr:uid="{00000000-0005-0000-0000-000077CD0000}"/>
    <cellStyle name="Normal 8 9 4" xfId="37958" xr:uid="{00000000-0005-0000-0000-000078CD0000}"/>
    <cellStyle name="Normal 8 9 4 2" xfId="60666" xr:uid="{00000000-0005-0000-0000-000079CD0000}"/>
    <cellStyle name="Normal 8 9 4 3" xfId="60667" xr:uid="{00000000-0005-0000-0000-00007ACD0000}"/>
    <cellStyle name="Normal 8 9 5" xfId="37959" xr:uid="{00000000-0005-0000-0000-00007BCD0000}"/>
    <cellStyle name="Normal 8 9 5 2" xfId="60668" xr:uid="{00000000-0005-0000-0000-00007CCD0000}"/>
    <cellStyle name="Normal 8 9 6" xfId="37960" xr:uid="{00000000-0005-0000-0000-00007DCD0000}"/>
    <cellStyle name="Normal 8 9 7" xfId="37961" xr:uid="{00000000-0005-0000-0000-00007ECD0000}"/>
    <cellStyle name="Normal 8 9 8" xfId="37962" xr:uid="{00000000-0005-0000-0000-00007FCD0000}"/>
    <cellStyle name="Normal 8 9 9" xfId="37963" xr:uid="{00000000-0005-0000-0000-000080CD0000}"/>
    <cellStyle name="Normal 8_Sheet2" xfId="37964" xr:uid="{00000000-0005-0000-0000-000081CD0000}"/>
    <cellStyle name="Normal 80" xfId="37965" xr:uid="{00000000-0005-0000-0000-000082CD0000}"/>
    <cellStyle name="Normal 80 10" xfId="37966" xr:uid="{00000000-0005-0000-0000-000083CD0000}"/>
    <cellStyle name="Normal 80 10 2" xfId="37967" xr:uid="{00000000-0005-0000-0000-000084CD0000}"/>
    <cellStyle name="Normal 80 11" xfId="37968" xr:uid="{00000000-0005-0000-0000-000085CD0000}"/>
    <cellStyle name="Normal 80 11 2" xfId="37969" xr:uid="{00000000-0005-0000-0000-000086CD0000}"/>
    <cellStyle name="Normal 80 12" xfId="37970" xr:uid="{00000000-0005-0000-0000-000087CD0000}"/>
    <cellStyle name="Normal 80 13" xfId="37971" xr:uid="{00000000-0005-0000-0000-000088CD0000}"/>
    <cellStyle name="Normal 80 2" xfId="37972" xr:uid="{00000000-0005-0000-0000-000089CD0000}"/>
    <cellStyle name="Normal 80 2 10" xfId="37973" xr:uid="{00000000-0005-0000-0000-00008ACD0000}"/>
    <cellStyle name="Normal 80 2 10 2" xfId="37974" xr:uid="{00000000-0005-0000-0000-00008BCD0000}"/>
    <cellStyle name="Normal 80 2 11" xfId="37975" xr:uid="{00000000-0005-0000-0000-00008CCD0000}"/>
    <cellStyle name="Normal 80 2 2" xfId="37976" xr:uid="{00000000-0005-0000-0000-00008DCD0000}"/>
    <cellStyle name="Normal 80 2 2 2" xfId="37977" xr:uid="{00000000-0005-0000-0000-00008ECD0000}"/>
    <cellStyle name="Normal 80 2 2 2 2" xfId="37978" xr:uid="{00000000-0005-0000-0000-00008FCD0000}"/>
    <cellStyle name="Normal 80 2 2 2 2 2" xfId="37979" xr:uid="{00000000-0005-0000-0000-000090CD0000}"/>
    <cellStyle name="Normal 80 2 2 2 3" xfId="37980" xr:uid="{00000000-0005-0000-0000-000091CD0000}"/>
    <cellStyle name="Normal 80 2 2 2 3 2" xfId="37981" xr:uid="{00000000-0005-0000-0000-000092CD0000}"/>
    <cellStyle name="Normal 80 2 2 2 4" xfId="37982" xr:uid="{00000000-0005-0000-0000-000093CD0000}"/>
    <cellStyle name="Normal 80 2 2 3" xfId="37983" xr:uid="{00000000-0005-0000-0000-000094CD0000}"/>
    <cellStyle name="Normal 80 2 2 3 2" xfId="37984" xr:uid="{00000000-0005-0000-0000-000095CD0000}"/>
    <cellStyle name="Normal 80 2 2 3 2 2" xfId="37985" xr:uid="{00000000-0005-0000-0000-000096CD0000}"/>
    <cellStyle name="Normal 80 2 2 3 3" xfId="37986" xr:uid="{00000000-0005-0000-0000-000097CD0000}"/>
    <cellStyle name="Normal 80 2 2 3 3 2" xfId="37987" xr:uid="{00000000-0005-0000-0000-000098CD0000}"/>
    <cellStyle name="Normal 80 2 2 3 4" xfId="37988" xr:uid="{00000000-0005-0000-0000-000099CD0000}"/>
    <cellStyle name="Normal 80 2 2 4" xfId="37989" xr:uid="{00000000-0005-0000-0000-00009ACD0000}"/>
    <cellStyle name="Normal 80 2 2 4 2" xfId="37990" xr:uid="{00000000-0005-0000-0000-00009BCD0000}"/>
    <cellStyle name="Normal 80 2 2 5" xfId="37991" xr:uid="{00000000-0005-0000-0000-00009CCD0000}"/>
    <cellStyle name="Normal 80 2 2 5 2" xfId="37992" xr:uid="{00000000-0005-0000-0000-00009DCD0000}"/>
    <cellStyle name="Normal 80 2 2 6" xfId="37993" xr:uid="{00000000-0005-0000-0000-00009ECD0000}"/>
    <cellStyle name="Normal 80 2 3" xfId="37994" xr:uid="{00000000-0005-0000-0000-00009FCD0000}"/>
    <cellStyle name="Normal 80 2 3 2" xfId="37995" xr:uid="{00000000-0005-0000-0000-0000A0CD0000}"/>
    <cellStyle name="Normal 80 2 3 2 2" xfId="37996" xr:uid="{00000000-0005-0000-0000-0000A1CD0000}"/>
    <cellStyle name="Normal 80 2 3 3" xfId="37997" xr:uid="{00000000-0005-0000-0000-0000A2CD0000}"/>
    <cellStyle name="Normal 80 2 3 3 2" xfId="37998" xr:uid="{00000000-0005-0000-0000-0000A3CD0000}"/>
    <cellStyle name="Normal 80 2 3 4" xfId="37999" xr:uid="{00000000-0005-0000-0000-0000A4CD0000}"/>
    <cellStyle name="Normal 80 2 4" xfId="38000" xr:uid="{00000000-0005-0000-0000-0000A5CD0000}"/>
    <cellStyle name="Normal 80 2 4 2" xfId="38001" xr:uid="{00000000-0005-0000-0000-0000A6CD0000}"/>
    <cellStyle name="Normal 80 2 4 2 2" xfId="38002" xr:uid="{00000000-0005-0000-0000-0000A7CD0000}"/>
    <cellStyle name="Normal 80 2 4 3" xfId="38003" xr:uid="{00000000-0005-0000-0000-0000A8CD0000}"/>
    <cellStyle name="Normal 80 2 4 3 2" xfId="38004" xr:uid="{00000000-0005-0000-0000-0000A9CD0000}"/>
    <cellStyle name="Normal 80 2 4 4" xfId="38005" xr:uid="{00000000-0005-0000-0000-0000AACD0000}"/>
    <cellStyle name="Normal 80 2 5" xfId="38006" xr:uid="{00000000-0005-0000-0000-0000ABCD0000}"/>
    <cellStyle name="Normal 80 2 5 2" xfId="38007" xr:uid="{00000000-0005-0000-0000-0000ACCD0000}"/>
    <cellStyle name="Normal 80 2 5 2 2" xfId="38008" xr:uid="{00000000-0005-0000-0000-0000ADCD0000}"/>
    <cellStyle name="Normal 80 2 5 3" xfId="38009" xr:uid="{00000000-0005-0000-0000-0000AECD0000}"/>
    <cellStyle name="Normal 80 2 5 3 2" xfId="38010" xr:uid="{00000000-0005-0000-0000-0000AFCD0000}"/>
    <cellStyle name="Normal 80 2 5 4" xfId="38011" xr:uid="{00000000-0005-0000-0000-0000B0CD0000}"/>
    <cellStyle name="Normal 80 2 6" xfId="38012" xr:uid="{00000000-0005-0000-0000-0000B1CD0000}"/>
    <cellStyle name="Normal 80 2 6 2" xfId="38013" xr:uid="{00000000-0005-0000-0000-0000B2CD0000}"/>
    <cellStyle name="Normal 80 2 6 2 2" xfId="38014" xr:uid="{00000000-0005-0000-0000-0000B3CD0000}"/>
    <cellStyle name="Normal 80 2 6 3" xfId="38015" xr:uid="{00000000-0005-0000-0000-0000B4CD0000}"/>
    <cellStyle name="Normal 80 2 6 3 2" xfId="38016" xr:uid="{00000000-0005-0000-0000-0000B5CD0000}"/>
    <cellStyle name="Normal 80 2 6 4" xfId="38017" xr:uid="{00000000-0005-0000-0000-0000B6CD0000}"/>
    <cellStyle name="Normal 80 2 7" xfId="38018" xr:uid="{00000000-0005-0000-0000-0000B7CD0000}"/>
    <cellStyle name="Normal 80 2 7 2" xfId="38019" xr:uid="{00000000-0005-0000-0000-0000B8CD0000}"/>
    <cellStyle name="Normal 80 2 7 2 2" xfId="38020" xr:uid="{00000000-0005-0000-0000-0000B9CD0000}"/>
    <cellStyle name="Normal 80 2 7 3" xfId="38021" xr:uid="{00000000-0005-0000-0000-0000BACD0000}"/>
    <cellStyle name="Normal 80 2 7 3 2" xfId="38022" xr:uid="{00000000-0005-0000-0000-0000BBCD0000}"/>
    <cellStyle name="Normal 80 2 7 4" xfId="38023" xr:uid="{00000000-0005-0000-0000-0000BCCD0000}"/>
    <cellStyle name="Normal 80 2 8" xfId="38024" xr:uid="{00000000-0005-0000-0000-0000BDCD0000}"/>
    <cellStyle name="Normal 80 2 8 2" xfId="38025" xr:uid="{00000000-0005-0000-0000-0000BECD0000}"/>
    <cellStyle name="Normal 80 2 8 2 2" xfId="38026" xr:uid="{00000000-0005-0000-0000-0000BFCD0000}"/>
    <cellStyle name="Normal 80 2 8 3" xfId="38027" xr:uid="{00000000-0005-0000-0000-0000C0CD0000}"/>
    <cellStyle name="Normal 80 2 9" xfId="38028" xr:uid="{00000000-0005-0000-0000-0000C1CD0000}"/>
    <cellStyle name="Normal 80 2 9 2" xfId="38029" xr:uid="{00000000-0005-0000-0000-0000C2CD0000}"/>
    <cellStyle name="Normal 80 3" xfId="38030" xr:uid="{00000000-0005-0000-0000-0000C3CD0000}"/>
    <cellStyle name="Normal 80 3 2" xfId="38031" xr:uid="{00000000-0005-0000-0000-0000C4CD0000}"/>
    <cellStyle name="Normal 80 3 2 2" xfId="38032" xr:uid="{00000000-0005-0000-0000-0000C5CD0000}"/>
    <cellStyle name="Normal 80 3 2 2 2" xfId="38033" xr:uid="{00000000-0005-0000-0000-0000C6CD0000}"/>
    <cellStyle name="Normal 80 3 2 3" xfId="38034" xr:uid="{00000000-0005-0000-0000-0000C7CD0000}"/>
    <cellStyle name="Normal 80 3 2 3 2" xfId="38035" xr:uid="{00000000-0005-0000-0000-0000C8CD0000}"/>
    <cellStyle name="Normal 80 3 2 4" xfId="38036" xr:uid="{00000000-0005-0000-0000-0000C9CD0000}"/>
    <cellStyle name="Normal 80 3 3" xfId="38037" xr:uid="{00000000-0005-0000-0000-0000CACD0000}"/>
    <cellStyle name="Normal 80 3 3 2" xfId="38038" xr:uid="{00000000-0005-0000-0000-0000CBCD0000}"/>
    <cellStyle name="Normal 80 3 3 2 2" xfId="38039" xr:uid="{00000000-0005-0000-0000-0000CCCD0000}"/>
    <cellStyle name="Normal 80 3 3 3" xfId="38040" xr:uid="{00000000-0005-0000-0000-0000CDCD0000}"/>
    <cellStyle name="Normal 80 3 3 3 2" xfId="38041" xr:uid="{00000000-0005-0000-0000-0000CECD0000}"/>
    <cellStyle name="Normal 80 3 3 4" xfId="38042" xr:uid="{00000000-0005-0000-0000-0000CFCD0000}"/>
    <cellStyle name="Normal 80 3 4" xfId="38043" xr:uid="{00000000-0005-0000-0000-0000D0CD0000}"/>
    <cellStyle name="Normal 80 3 4 2" xfId="38044" xr:uid="{00000000-0005-0000-0000-0000D1CD0000}"/>
    <cellStyle name="Normal 80 3 5" xfId="38045" xr:uid="{00000000-0005-0000-0000-0000D2CD0000}"/>
    <cellStyle name="Normal 80 3 5 2" xfId="38046" xr:uid="{00000000-0005-0000-0000-0000D3CD0000}"/>
    <cellStyle name="Normal 80 3 6" xfId="38047" xr:uid="{00000000-0005-0000-0000-0000D4CD0000}"/>
    <cellStyle name="Normal 80 4" xfId="38048" xr:uid="{00000000-0005-0000-0000-0000D5CD0000}"/>
    <cellStyle name="Normal 80 4 2" xfId="38049" xr:uid="{00000000-0005-0000-0000-0000D6CD0000}"/>
    <cellStyle name="Normal 80 4 2 2" xfId="38050" xr:uid="{00000000-0005-0000-0000-0000D7CD0000}"/>
    <cellStyle name="Normal 80 4 3" xfId="38051" xr:uid="{00000000-0005-0000-0000-0000D8CD0000}"/>
    <cellStyle name="Normal 80 4 3 2" xfId="38052" xr:uid="{00000000-0005-0000-0000-0000D9CD0000}"/>
    <cellStyle name="Normal 80 4 4" xfId="38053" xr:uid="{00000000-0005-0000-0000-0000DACD0000}"/>
    <cellStyle name="Normal 80 5" xfId="38054" xr:uid="{00000000-0005-0000-0000-0000DBCD0000}"/>
    <cellStyle name="Normal 80 5 2" xfId="38055" xr:uid="{00000000-0005-0000-0000-0000DCCD0000}"/>
    <cellStyle name="Normal 80 5 2 2" xfId="38056" xr:uid="{00000000-0005-0000-0000-0000DDCD0000}"/>
    <cellStyle name="Normal 80 5 3" xfId="38057" xr:uid="{00000000-0005-0000-0000-0000DECD0000}"/>
    <cellStyle name="Normal 80 5 3 2" xfId="38058" xr:uid="{00000000-0005-0000-0000-0000DFCD0000}"/>
    <cellStyle name="Normal 80 5 4" xfId="38059" xr:uid="{00000000-0005-0000-0000-0000E0CD0000}"/>
    <cellStyle name="Normal 80 6" xfId="38060" xr:uid="{00000000-0005-0000-0000-0000E1CD0000}"/>
    <cellStyle name="Normal 80 6 2" xfId="38061" xr:uid="{00000000-0005-0000-0000-0000E2CD0000}"/>
    <cellStyle name="Normal 80 6 2 2" xfId="38062" xr:uid="{00000000-0005-0000-0000-0000E3CD0000}"/>
    <cellStyle name="Normal 80 6 3" xfId="38063" xr:uid="{00000000-0005-0000-0000-0000E4CD0000}"/>
    <cellStyle name="Normal 80 6 3 2" xfId="38064" xr:uid="{00000000-0005-0000-0000-0000E5CD0000}"/>
    <cellStyle name="Normal 80 6 4" xfId="38065" xr:uid="{00000000-0005-0000-0000-0000E6CD0000}"/>
    <cellStyle name="Normal 80 7" xfId="38066" xr:uid="{00000000-0005-0000-0000-0000E7CD0000}"/>
    <cellStyle name="Normal 80 7 2" xfId="38067" xr:uid="{00000000-0005-0000-0000-0000E8CD0000}"/>
    <cellStyle name="Normal 80 7 2 2" xfId="38068" xr:uid="{00000000-0005-0000-0000-0000E9CD0000}"/>
    <cellStyle name="Normal 80 7 3" xfId="38069" xr:uid="{00000000-0005-0000-0000-0000EACD0000}"/>
    <cellStyle name="Normal 80 7 3 2" xfId="38070" xr:uid="{00000000-0005-0000-0000-0000EBCD0000}"/>
    <cellStyle name="Normal 80 7 4" xfId="38071" xr:uid="{00000000-0005-0000-0000-0000ECCD0000}"/>
    <cellStyle name="Normal 80 8" xfId="38072" xr:uid="{00000000-0005-0000-0000-0000EDCD0000}"/>
    <cellStyle name="Normal 80 8 2" xfId="38073" xr:uid="{00000000-0005-0000-0000-0000EECD0000}"/>
    <cellStyle name="Normal 80 8 2 2" xfId="38074" xr:uid="{00000000-0005-0000-0000-0000EFCD0000}"/>
    <cellStyle name="Normal 80 8 3" xfId="38075" xr:uid="{00000000-0005-0000-0000-0000F0CD0000}"/>
    <cellStyle name="Normal 80 8 3 2" xfId="38076" xr:uid="{00000000-0005-0000-0000-0000F1CD0000}"/>
    <cellStyle name="Normal 80 8 4" xfId="38077" xr:uid="{00000000-0005-0000-0000-0000F2CD0000}"/>
    <cellStyle name="Normal 80 9" xfId="38078" xr:uid="{00000000-0005-0000-0000-0000F3CD0000}"/>
    <cellStyle name="Normal 80 9 2" xfId="38079" xr:uid="{00000000-0005-0000-0000-0000F4CD0000}"/>
    <cellStyle name="Normal 80 9 2 2" xfId="38080" xr:uid="{00000000-0005-0000-0000-0000F5CD0000}"/>
    <cellStyle name="Normal 80 9 3" xfId="38081" xr:uid="{00000000-0005-0000-0000-0000F6CD0000}"/>
    <cellStyle name="Normal 81" xfId="38082" xr:uid="{00000000-0005-0000-0000-0000F7CD0000}"/>
    <cellStyle name="Normal 81 10" xfId="38083" xr:uid="{00000000-0005-0000-0000-0000F8CD0000}"/>
    <cellStyle name="Normal 81 10 2" xfId="38084" xr:uid="{00000000-0005-0000-0000-0000F9CD0000}"/>
    <cellStyle name="Normal 81 11" xfId="38085" xr:uid="{00000000-0005-0000-0000-0000FACD0000}"/>
    <cellStyle name="Normal 81 11 2" xfId="38086" xr:uid="{00000000-0005-0000-0000-0000FBCD0000}"/>
    <cellStyle name="Normal 81 12" xfId="38087" xr:uid="{00000000-0005-0000-0000-0000FCCD0000}"/>
    <cellStyle name="Normal 81 13" xfId="38088" xr:uid="{00000000-0005-0000-0000-0000FDCD0000}"/>
    <cellStyle name="Normal 81 2" xfId="38089" xr:uid="{00000000-0005-0000-0000-0000FECD0000}"/>
    <cellStyle name="Normal 81 2 10" xfId="38090" xr:uid="{00000000-0005-0000-0000-0000FFCD0000}"/>
    <cellStyle name="Normal 81 2 10 2" xfId="38091" xr:uid="{00000000-0005-0000-0000-000000CE0000}"/>
    <cellStyle name="Normal 81 2 11" xfId="38092" xr:uid="{00000000-0005-0000-0000-000001CE0000}"/>
    <cellStyle name="Normal 81 2 2" xfId="38093" xr:uid="{00000000-0005-0000-0000-000002CE0000}"/>
    <cellStyle name="Normal 81 2 2 2" xfId="38094" xr:uid="{00000000-0005-0000-0000-000003CE0000}"/>
    <cellStyle name="Normal 81 2 2 2 2" xfId="38095" xr:uid="{00000000-0005-0000-0000-000004CE0000}"/>
    <cellStyle name="Normal 81 2 2 2 2 2" xfId="38096" xr:uid="{00000000-0005-0000-0000-000005CE0000}"/>
    <cellStyle name="Normal 81 2 2 2 3" xfId="38097" xr:uid="{00000000-0005-0000-0000-000006CE0000}"/>
    <cellStyle name="Normal 81 2 2 2 3 2" xfId="38098" xr:uid="{00000000-0005-0000-0000-000007CE0000}"/>
    <cellStyle name="Normal 81 2 2 2 4" xfId="38099" xr:uid="{00000000-0005-0000-0000-000008CE0000}"/>
    <cellStyle name="Normal 81 2 2 3" xfId="38100" xr:uid="{00000000-0005-0000-0000-000009CE0000}"/>
    <cellStyle name="Normal 81 2 2 3 2" xfId="38101" xr:uid="{00000000-0005-0000-0000-00000ACE0000}"/>
    <cellStyle name="Normal 81 2 2 3 2 2" xfId="38102" xr:uid="{00000000-0005-0000-0000-00000BCE0000}"/>
    <cellStyle name="Normal 81 2 2 3 3" xfId="38103" xr:uid="{00000000-0005-0000-0000-00000CCE0000}"/>
    <cellStyle name="Normal 81 2 2 3 3 2" xfId="38104" xr:uid="{00000000-0005-0000-0000-00000DCE0000}"/>
    <cellStyle name="Normal 81 2 2 3 4" xfId="38105" xr:uid="{00000000-0005-0000-0000-00000ECE0000}"/>
    <cellStyle name="Normal 81 2 2 4" xfId="38106" xr:uid="{00000000-0005-0000-0000-00000FCE0000}"/>
    <cellStyle name="Normal 81 2 2 4 2" xfId="38107" xr:uid="{00000000-0005-0000-0000-000010CE0000}"/>
    <cellStyle name="Normal 81 2 2 5" xfId="38108" xr:uid="{00000000-0005-0000-0000-000011CE0000}"/>
    <cellStyle name="Normal 81 2 2 5 2" xfId="38109" xr:uid="{00000000-0005-0000-0000-000012CE0000}"/>
    <cellStyle name="Normal 81 2 2 6" xfId="38110" xr:uid="{00000000-0005-0000-0000-000013CE0000}"/>
    <cellStyle name="Normal 81 2 3" xfId="38111" xr:uid="{00000000-0005-0000-0000-000014CE0000}"/>
    <cellStyle name="Normal 81 2 3 2" xfId="38112" xr:uid="{00000000-0005-0000-0000-000015CE0000}"/>
    <cellStyle name="Normal 81 2 3 2 2" xfId="38113" xr:uid="{00000000-0005-0000-0000-000016CE0000}"/>
    <cellStyle name="Normal 81 2 3 3" xfId="38114" xr:uid="{00000000-0005-0000-0000-000017CE0000}"/>
    <cellStyle name="Normal 81 2 3 3 2" xfId="38115" xr:uid="{00000000-0005-0000-0000-000018CE0000}"/>
    <cellStyle name="Normal 81 2 3 4" xfId="38116" xr:uid="{00000000-0005-0000-0000-000019CE0000}"/>
    <cellStyle name="Normal 81 2 4" xfId="38117" xr:uid="{00000000-0005-0000-0000-00001ACE0000}"/>
    <cellStyle name="Normal 81 2 4 2" xfId="38118" xr:uid="{00000000-0005-0000-0000-00001BCE0000}"/>
    <cellStyle name="Normal 81 2 4 2 2" xfId="38119" xr:uid="{00000000-0005-0000-0000-00001CCE0000}"/>
    <cellStyle name="Normal 81 2 4 3" xfId="38120" xr:uid="{00000000-0005-0000-0000-00001DCE0000}"/>
    <cellStyle name="Normal 81 2 4 3 2" xfId="38121" xr:uid="{00000000-0005-0000-0000-00001ECE0000}"/>
    <cellStyle name="Normal 81 2 4 4" xfId="38122" xr:uid="{00000000-0005-0000-0000-00001FCE0000}"/>
    <cellStyle name="Normal 81 2 5" xfId="38123" xr:uid="{00000000-0005-0000-0000-000020CE0000}"/>
    <cellStyle name="Normal 81 2 5 2" xfId="38124" xr:uid="{00000000-0005-0000-0000-000021CE0000}"/>
    <cellStyle name="Normal 81 2 5 2 2" xfId="38125" xr:uid="{00000000-0005-0000-0000-000022CE0000}"/>
    <cellStyle name="Normal 81 2 5 3" xfId="38126" xr:uid="{00000000-0005-0000-0000-000023CE0000}"/>
    <cellStyle name="Normal 81 2 5 3 2" xfId="38127" xr:uid="{00000000-0005-0000-0000-000024CE0000}"/>
    <cellStyle name="Normal 81 2 5 4" xfId="38128" xr:uid="{00000000-0005-0000-0000-000025CE0000}"/>
    <cellStyle name="Normal 81 2 6" xfId="38129" xr:uid="{00000000-0005-0000-0000-000026CE0000}"/>
    <cellStyle name="Normal 81 2 6 2" xfId="38130" xr:uid="{00000000-0005-0000-0000-000027CE0000}"/>
    <cellStyle name="Normal 81 2 6 2 2" xfId="38131" xr:uid="{00000000-0005-0000-0000-000028CE0000}"/>
    <cellStyle name="Normal 81 2 6 3" xfId="38132" xr:uid="{00000000-0005-0000-0000-000029CE0000}"/>
    <cellStyle name="Normal 81 2 6 3 2" xfId="38133" xr:uid="{00000000-0005-0000-0000-00002ACE0000}"/>
    <cellStyle name="Normal 81 2 6 4" xfId="38134" xr:uid="{00000000-0005-0000-0000-00002BCE0000}"/>
    <cellStyle name="Normal 81 2 7" xfId="38135" xr:uid="{00000000-0005-0000-0000-00002CCE0000}"/>
    <cellStyle name="Normal 81 2 7 2" xfId="38136" xr:uid="{00000000-0005-0000-0000-00002DCE0000}"/>
    <cellStyle name="Normal 81 2 7 2 2" xfId="38137" xr:uid="{00000000-0005-0000-0000-00002ECE0000}"/>
    <cellStyle name="Normal 81 2 7 3" xfId="38138" xr:uid="{00000000-0005-0000-0000-00002FCE0000}"/>
    <cellStyle name="Normal 81 2 7 3 2" xfId="38139" xr:uid="{00000000-0005-0000-0000-000030CE0000}"/>
    <cellStyle name="Normal 81 2 7 4" xfId="38140" xr:uid="{00000000-0005-0000-0000-000031CE0000}"/>
    <cellStyle name="Normal 81 2 8" xfId="38141" xr:uid="{00000000-0005-0000-0000-000032CE0000}"/>
    <cellStyle name="Normal 81 2 8 2" xfId="38142" xr:uid="{00000000-0005-0000-0000-000033CE0000}"/>
    <cellStyle name="Normal 81 2 8 2 2" xfId="38143" xr:uid="{00000000-0005-0000-0000-000034CE0000}"/>
    <cellStyle name="Normal 81 2 8 3" xfId="38144" xr:uid="{00000000-0005-0000-0000-000035CE0000}"/>
    <cellStyle name="Normal 81 2 9" xfId="38145" xr:uid="{00000000-0005-0000-0000-000036CE0000}"/>
    <cellStyle name="Normal 81 2 9 2" xfId="38146" xr:uid="{00000000-0005-0000-0000-000037CE0000}"/>
    <cellStyle name="Normal 81 3" xfId="38147" xr:uid="{00000000-0005-0000-0000-000038CE0000}"/>
    <cellStyle name="Normal 81 3 2" xfId="38148" xr:uid="{00000000-0005-0000-0000-000039CE0000}"/>
    <cellStyle name="Normal 81 3 2 2" xfId="38149" xr:uid="{00000000-0005-0000-0000-00003ACE0000}"/>
    <cellStyle name="Normal 81 3 2 2 2" xfId="38150" xr:uid="{00000000-0005-0000-0000-00003BCE0000}"/>
    <cellStyle name="Normal 81 3 2 3" xfId="38151" xr:uid="{00000000-0005-0000-0000-00003CCE0000}"/>
    <cellStyle name="Normal 81 3 2 3 2" xfId="38152" xr:uid="{00000000-0005-0000-0000-00003DCE0000}"/>
    <cellStyle name="Normal 81 3 2 4" xfId="38153" xr:uid="{00000000-0005-0000-0000-00003ECE0000}"/>
    <cellStyle name="Normal 81 3 3" xfId="38154" xr:uid="{00000000-0005-0000-0000-00003FCE0000}"/>
    <cellStyle name="Normal 81 3 3 2" xfId="38155" xr:uid="{00000000-0005-0000-0000-000040CE0000}"/>
    <cellStyle name="Normal 81 3 3 2 2" xfId="38156" xr:uid="{00000000-0005-0000-0000-000041CE0000}"/>
    <cellStyle name="Normal 81 3 3 3" xfId="38157" xr:uid="{00000000-0005-0000-0000-000042CE0000}"/>
    <cellStyle name="Normal 81 3 3 3 2" xfId="38158" xr:uid="{00000000-0005-0000-0000-000043CE0000}"/>
    <cellStyle name="Normal 81 3 3 4" xfId="38159" xr:uid="{00000000-0005-0000-0000-000044CE0000}"/>
    <cellStyle name="Normal 81 3 4" xfId="38160" xr:uid="{00000000-0005-0000-0000-000045CE0000}"/>
    <cellStyle name="Normal 81 3 4 2" xfId="38161" xr:uid="{00000000-0005-0000-0000-000046CE0000}"/>
    <cellStyle name="Normal 81 3 5" xfId="38162" xr:uid="{00000000-0005-0000-0000-000047CE0000}"/>
    <cellStyle name="Normal 81 3 5 2" xfId="38163" xr:uid="{00000000-0005-0000-0000-000048CE0000}"/>
    <cellStyle name="Normal 81 3 6" xfId="38164" xr:uid="{00000000-0005-0000-0000-000049CE0000}"/>
    <cellStyle name="Normal 81 4" xfId="38165" xr:uid="{00000000-0005-0000-0000-00004ACE0000}"/>
    <cellStyle name="Normal 81 4 2" xfId="38166" xr:uid="{00000000-0005-0000-0000-00004BCE0000}"/>
    <cellStyle name="Normal 81 4 2 2" xfId="38167" xr:uid="{00000000-0005-0000-0000-00004CCE0000}"/>
    <cellStyle name="Normal 81 4 3" xfId="38168" xr:uid="{00000000-0005-0000-0000-00004DCE0000}"/>
    <cellStyle name="Normal 81 4 3 2" xfId="38169" xr:uid="{00000000-0005-0000-0000-00004ECE0000}"/>
    <cellStyle name="Normal 81 4 4" xfId="38170" xr:uid="{00000000-0005-0000-0000-00004FCE0000}"/>
    <cellStyle name="Normal 81 5" xfId="38171" xr:uid="{00000000-0005-0000-0000-000050CE0000}"/>
    <cellStyle name="Normal 81 5 2" xfId="38172" xr:uid="{00000000-0005-0000-0000-000051CE0000}"/>
    <cellStyle name="Normal 81 5 2 2" xfId="38173" xr:uid="{00000000-0005-0000-0000-000052CE0000}"/>
    <cellStyle name="Normal 81 5 3" xfId="38174" xr:uid="{00000000-0005-0000-0000-000053CE0000}"/>
    <cellStyle name="Normal 81 5 3 2" xfId="38175" xr:uid="{00000000-0005-0000-0000-000054CE0000}"/>
    <cellStyle name="Normal 81 5 4" xfId="38176" xr:uid="{00000000-0005-0000-0000-000055CE0000}"/>
    <cellStyle name="Normal 81 6" xfId="38177" xr:uid="{00000000-0005-0000-0000-000056CE0000}"/>
    <cellStyle name="Normal 81 6 2" xfId="38178" xr:uid="{00000000-0005-0000-0000-000057CE0000}"/>
    <cellStyle name="Normal 81 6 2 2" xfId="38179" xr:uid="{00000000-0005-0000-0000-000058CE0000}"/>
    <cellStyle name="Normal 81 6 3" xfId="38180" xr:uid="{00000000-0005-0000-0000-000059CE0000}"/>
    <cellStyle name="Normal 81 6 3 2" xfId="38181" xr:uid="{00000000-0005-0000-0000-00005ACE0000}"/>
    <cellStyle name="Normal 81 6 4" xfId="38182" xr:uid="{00000000-0005-0000-0000-00005BCE0000}"/>
    <cellStyle name="Normal 81 7" xfId="38183" xr:uid="{00000000-0005-0000-0000-00005CCE0000}"/>
    <cellStyle name="Normal 81 7 2" xfId="38184" xr:uid="{00000000-0005-0000-0000-00005DCE0000}"/>
    <cellStyle name="Normal 81 7 2 2" xfId="38185" xr:uid="{00000000-0005-0000-0000-00005ECE0000}"/>
    <cellStyle name="Normal 81 7 3" xfId="38186" xr:uid="{00000000-0005-0000-0000-00005FCE0000}"/>
    <cellStyle name="Normal 81 7 3 2" xfId="38187" xr:uid="{00000000-0005-0000-0000-000060CE0000}"/>
    <cellStyle name="Normal 81 7 4" xfId="38188" xr:uid="{00000000-0005-0000-0000-000061CE0000}"/>
    <cellStyle name="Normal 81 8" xfId="38189" xr:uid="{00000000-0005-0000-0000-000062CE0000}"/>
    <cellStyle name="Normal 81 8 2" xfId="38190" xr:uid="{00000000-0005-0000-0000-000063CE0000}"/>
    <cellStyle name="Normal 81 8 2 2" xfId="38191" xr:uid="{00000000-0005-0000-0000-000064CE0000}"/>
    <cellStyle name="Normal 81 8 3" xfId="38192" xr:uid="{00000000-0005-0000-0000-000065CE0000}"/>
    <cellStyle name="Normal 81 8 3 2" xfId="38193" xr:uid="{00000000-0005-0000-0000-000066CE0000}"/>
    <cellStyle name="Normal 81 8 4" xfId="38194" xr:uid="{00000000-0005-0000-0000-000067CE0000}"/>
    <cellStyle name="Normal 81 9" xfId="38195" xr:uid="{00000000-0005-0000-0000-000068CE0000}"/>
    <cellStyle name="Normal 81 9 2" xfId="38196" xr:uid="{00000000-0005-0000-0000-000069CE0000}"/>
    <cellStyle name="Normal 81 9 2 2" xfId="38197" xr:uid="{00000000-0005-0000-0000-00006ACE0000}"/>
    <cellStyle name="Normal 81 9 3" xfId="38198" xr:uid="{00000000-0005-0000-0000-00006BCE0000}"/>
    <cellStyle name="Normal 82" xfId="38199" xr:uid="{00000000-0005-0000-0000-00006CCE0000}"/>
    <cellStyle name="Normal 82 10" xfId="38200" xr:uid="{00000000-0005-0000-0000-00006DCE0000}"/>
    <cellStyle name="Normal 82 10 2" xfId="38201" xr:uid="{00000000-0005-0000-0000-00006ECE0000}"/>
    <cellStyle name="Normal 82 11" xfId="38202" xr:uid="{00000000-0005-0000-0000-00006FCE0000}"/>
    <cellStyle name="Normal 82 11 2" xfId="38203" xr:uid="{00000000-0005-0000-0000-000070CE0000}"/>
    <cellStyle name="Normal 82 12" xfId="38204" xr:uid="{00000000-0005-0000-0000-000071CE0000}"/>
    <cellStyle name="Normal 82 13" xfId="38205" xr:uid="{00000000-0005-0000-0000-000072CE0000}"/>
    <cellStyle name="Normal 82 2" xfId="38206" xr:uid="{00000000-0005-0000-0000-000073CE0000}"/>
    <cellStyle name="Normal 82 2 10" xfId="38207" xr:uid="{00000000-0005-0000-0000-000074CE0000}"/>
    <cellStyle name="Normal 82 2 10 2" xfId="38208" xr:uid="{00000000-0005-0000-0000-000075CE0000}"/>
    <cellStyle name="Normal 82 2 11" xfId="38209" xr:uid="{00000000-0005-0000-0000-000076CE0000}"/>
    <cellStyle name="Normal 82 2 2" xfId="38210" xr:uid="{00000000-0005-0000-0000-000077CE0000}"/>
    <cellStyle name="Normal 82 2 2 2" xfId="38211" xr:uid="{00000000-0005-0000-0000-000078CE0000}"/>
    <cellStyle name="Normal 82 2 2 2 2" xfId="38212" xr:uid="{00000000-0005-0000-0000-000079CE0000}"/>
    <cellStyle name="Normal 82 2 2 2 2 2" xfId="38213" xr:uid="{00000000-0005-0000-0000-00007ACE0000}"/>
    <cellStyle name="Normal 82 2 2 2 3" xfId="38214" xr:uid="{00000000-0005-0000-0000-00007BCE0000}"/>
    <cellStyle name="Normal 82 2 2 2 3 2" xfId="38215" xr:uid="{00000000-0005-0000-0000-00007CCE0000}"/>
    <cellStyle name="Normal 82 2 2 2 4" xfId="38216" xr:uid="{00000000-0005-0000-0000-00007DCE0000}"/>
    <cellStyle name="Normal 82 2 2 3" xfId="38217" xr:uid="{00000000-0005-0000-0000-00007ECE0000}"/>
    <cellStyle name="Normal 82 2 2 3 2" xfId="38218" xr:uid="{00000000-0005-0000-0000-00007FCE0000}"/>
    <cellStyle name="Normal 82 2 2 3 2 2" xfId="38219" xr:uid="{00000000-0005-0000-0000-000080CE0000}"/>
    <cellStyle name="Normal 82 2 2 3 3" xfId="38220" xr:uid="{00000000-0005-0000-0000-000081CE0000}"/>
    <cellStyle name="Normal 82 2 2 3 3 2" xfId="38221" xr:uid="{00000000-0005-0000-0000-000082CE0000}"/>
    <cellStyle name="Normal 82 2 2 3 4" xfId="38222" xr:uid="{00000000-0005-0000-0000-000083CE0000}"/>
    <cellStyle name="Normal 82 2 2 4" xfId="38223" xr:uid="{00000000-0005-0000-0000-000084CE0000}"/>
    <cellStyle name="Normal 82 2 2 4 2" xfId="38224" xr:uid="{00000000-0005-0000-0000-000085CE0000}"/>
    <cellStyle name="Normal 82 2 2 5" xfId="38225" xr:uid="{00000000-0005-0000-0000-000086CE0000}"/>
    <cellStyle name="Normal 82 2 2 5 2" xfId="38226" xr:uid="{00000000-0005-0000-0000-000087CE0000}"/>
    <cellStyle name="Normal 82 2 2 6" xfId="38227" xr:uid="{00000000-0005-0000-0000-000088CE0000}"/>
    <cellStyle name="Normal 82 2 3" xfId="38228" xr:uid="{00000000-0005-0000-0000-000089CE0000}"/>
    <cellStyle name="Normal 82 2 3 2" xfId="38229" xr:uid="{00000000-0005-0000-0000-00008ACE0000}"/>
    <cellStyle name="Normal 82 2 3 2 2" xfId="38230" xr:uid="{00000000-0005-0000-0000-00008BCE0000}"/>
    <cellStyle name="Normal 82 2 3 3" xfId="38231" xr:uid="{00000000-0005-0000-0000-00008CCE0000}"/>
    <cellStyle name="Normal 82 2 3 3 2" xfId="38232" xr:uid="{00000000-0005-0000-0000-00008DCE0000}"/>
    <cellStyle name="Normal 82 2 3 4" xfId="38233" xr:uid="{00000000-0005-0000-0000-00008ECE0000}"/>
    <cellStyle name="Normal 82 2 4" xfId="38234" xr:uid="{00000000-0005-0000-0000-00008FCE0000}"/>
    <cellStyle name="Normal 82 2 4 2" xfId="38235" xr:uid="{00000000-0005-0000-0000-000090CE0000}"/>
    <cellStyle name="Normal 82 2 4 2 2" xfId="38236" xr:uid="{00000000-0005-0000-0000-000091CE0000}"/>
    <cellStyle name="Normal 82 2 4 3" xfId="38237" xr:uid="{00000000-0005-0000-0000-000092CE0000}"/>
    <cellStyle name="Normal 82 2 4 3 2" xfId="38238" xr:uid="{00000000-0005-0000-0000-000093CE0000}"/>
    <cellStyle name="Normal 82 2 4 4" xfId="38239" xr:uid="{00000000-0005-0000-0000-000094CE0000}"/>
    <cellStyle name="Normal 82 2 5" xfId="38240" xr:uid="{00000000-0005-0000-0000-000095CE0000}"/>
    <cellStyle name="Normal 82 2 5 2" xfId="38241" xr:uid="{00000000-0005-0000-0000-000096CE0000}"/>
    <cellStyle name="Normal 82 2 5 2 2" xfId="38242" xr:uid="{00000000-0005-0000-0000-000097CE0000}"/>
    <cellStyle name="Normal 82 2 5 3" xfId="38243" xr:uid="{00000000-0005-0000-0000-000098CE0000}"/>
    <cellStyle name="Normal 82 2 5 3 2" xfId="38244" xr:uid="{00000000-0005-0000-0000-000099CE0000}"/>
    <cellStyle name="Normal 82 2 5 4" xfId="38245" xr:uid="{00000000-0005-0000-0000-00009ACE0000}"/>
    <cellStyle name="Normal 82 2 6" xfId="38246" xr:uid="{00000000-0005-0000-0000-00009BCE0000}"/>
    <cellStyle name="Normal 82 2 6 2" xfId="38247" xr:uid="{00000000-0005-0000-0000-00009CCE0000}"/>
    <cellStyle name="Normal 82 2 6 2 2" xfId="38248" xr:uid="{00000000-0005-0000-0000-00009DCE0000}"/>
    <cellStyle name="Normal 82 2 6 3" xfId="38249" xr:uid="{00000000-0005-0000-0000-00009ECE0000}"/>
    <cellStyle name="Normal 82 2 6 3 2" xfId="38250" xr:uid="{00000000-0005-0000-0000-00009FCE0000}"/>
    <cellStyle name="Normal 82 2 6 4" xfId="38251" xr:uid="{00000000-0005-0000-0000-0000A0CE0000}"/>
    <cellStyle name="Normal 82 2 7" xfId="38252" xr:uid="{00000000-0005-0000-0000-0000A1CE0000}"/>
    <cellStyle name="Normal 82 2 7 2" xfId="38253" xr:uid="{00000000-0005-0000-0000-0000A2CE0000}"/>
    <cellStyle name="Normal 82 2 7 2 2" xfId="38254" xr:uid="{00000000-0005-0000-0000-0000A3CE0000}"/>
    <cellStyle name="Normal 82 2 7 3" xfId="38255" xr:uid="{00000000-0005-0000-0000-0000A4CE0000}"/>
    <cellStyle name="Normal 82 2 7 3 2" xfId="38256" xr:uid="{00000000-0005-0000-0000-0000A5CE0000}"/>
    <cellStyle name="Normal 82 2 7 4" xfId="38257" xr:uid="{00000000-0005-0000-0000-0000A6CE0000}"/>
    <cellStyle name="Normal 82 2 8" xfId="38258" xr:uid="{00000000-0005-0000-0000-0000A7CE0000}"/>
    <cellStyle name="Normal 82 2 8 2" xfId="38259" xr:uid="{00000000-0005-0000-0000-0000A8CE0000}"/>
    <cellStyle name="Normal 82 2 8 2 2" xfId="38260" xr:uid="{00000000-0005-0000-0000-0000A9CE0000}"/>
    <cellStyle name="Normal 82 2 8 3" xfId="38261" xr:uid="{00000000-0005-0000-0000-0000AACE0000}"/>
    <cellStyle name="Normal 82 2 9" xfId="38262" xr:uid="{00000000-0005-0000-0000-0000ABCE0000}"/>
    <cellStyle name="Normal 82 2 9 2" xfId="38263" xr:uid="{00000000-0005-0000-0000-0000ACCE0000}"/>
    <cellStyle name="Normal 82 3" xfId="38264" xr:uid="{00000000-0005-0000-0000-0000ADCE0000}"/>
    <cellStyle name="Normal 82 3 2" xfId="38265" xr:uid="{00000000-0005-0000-0000-0000AECE0000}"/>
    <cellStyle name="Normal 82 3 2 2" xfId="38266" xr:uid="{00000000-0005-0000-0000-0000AFCE0000}"/>
    <cellStyle name="Normal 82 3 2 2 2" xfId="38267" xr:uid="{00000000-0005-0000-0000-0000B0CE0000}"/>
    <cellStyle name="Normal 82 3 2 3" xfId="38268" xr:uid="{00000000-0005-0000-0000-0000B1CE0000}"/>
    <cellStyle name="Normal 82 3 2 3 2" xfId="38269" xr:uid="{00000000-0005-0000-0000-0000B2CE0000}"/>
    <cellStyle name="Normal 82 3 2 4" xfId="38270" xr:uid="{00000000-0005-0000-0000-0000B3CE0000}"/>
    <cellStyle name="Normal 82 3 3" xfId="38271" xr:uid="{00000000-0005-0000-0000-0000B4CE0000}"/>
    <cellStyle name="Normal 82 3 3 2" xfId="38272" xr:uid="{00000000-0005-0000-0000-0000B5CE0000}"/>
    <cellStyle name="Normal 82 3 3 2 2" xfId="38273" xr:uid="{00000000-0005-0000-0000-0000B6CE0000}"/>
    <cellStyle name="Normal 82 3 3 3" xfId="38274" xr:uid="{00000000-0005-0000-0000-0000B7CE0000}"/>
    <cellStyle name="Normal 82 3 3 3 2" xfId="38275" xr:uid="{00000000-0005-0000-0000-0000B8CE0000}"/>
    <cellStyle name="Normal 82 3 3 4" xfId="38276" xr:uid="{00000000-0005-0000-0000-0000B9CE0000}"/>
    <cellStyle name="Normal 82 3 4" xfId="38277" xr:uid="{00000000-0005-0000-0000-0000BACE0000}"/>
    <cellStyle name="Normal 82 3 4 2" xfId="38278" xr:uid="{00000000-0005-0000-0000-0000BBCE0000}"/>
    <cellStyle name="Normal 82 3 5" xfId="38279" xr:uid="{00000000-0005-0000-0000-0000BCCE0000}"/>
    <cellStyle name="Normal 82 3 5 2" xfId="38280" xr:uid="{00000000-0005-0000-0000-0000BDCE0000}"/>
    <cellStyle name="Normal 82 3 6" xfId="38281" xr:uid="{00000000-0005-0000-0000-0000BECE0000}"/>
    <cellStyle name="Normal 82 4" xfId="38282" xr:uid="{00000000-0005-0000-0000-0000BFCE0000}"/>
    <cellStyle name="Normal 82 4 2" xfId="38283" xr:uid="{00000000-0005-0000-0000-0000C0CE0000}"/>
    <cellStyle name="Normal 82 4 2 2" xfId="38284" xr:uid="{00000000-0005-0000-0000-0000C1CE0000}"/>
    <cellStyle name="Normal 82 4 3" xfId="38285" xr:uid="{00000000-0005-0000-0000-0000C2CE0000}"/>
    <cellStyle name="Normal 82 4 3 2" xfId="38286" xr:uid="{00000000-0005-0000-0000-0000C3CE0000}"/>
    <cellStyle name="Normal 82 4 4" xfId="38287" xr:uid="{00000000-0005-0000-0000-0000C4CE0000}"/>
    <cellStyle name="Normal 82 5" xfId="38288" xr:uid="{00000000-0005-0000-0000-0000C5CE0000}"/>
    <cellStyle name="Normal 82 5 2" xfId="38289" xr:uid="{00000000-0005-0000-0000-0000C6CE0000}"/>
    <cellStyle name="Normal 82 5 2 2" xfId="38290" xr:uid="{00000000-0005-0000-0000-0000C7CE0000}"/>
    <cellStyle name="Normal 82 5 3" xfId="38291" xr:uid="{00000000-0005-0000-0000-0000C8CE0000}"/>
    <cellStyle name="Normal 82 5 3 2" xfId="38292" xr:uid="{00000000-0005-0000-0000-0000C9CE0000}"/>
    <cellStyle name="Normal 82 5 4" xfId="38293" xr:uid="{00000000-0005-0000-0000-0000CACE0000}"/>
    <cellStyle name="Normal 82 6" xfId="38294" xr:uid="{00000000-0005-0000-0000-0000CBCE0000}"/>
    <cellStyle name="Normal 82 6 2" xfId="38295" xr:uid="{00000000-0005-0000-0000-0000CCCE0000}"/>
    <cellStyle name="Normal 82 6 2 2" xfId="38296" xr:uid="{00000000-0005-0000-0000-0000CDCE0000}"/>
    <cellStyle name="Normal 82 6 3" xfId="38297" xr:uid="{00000000-0005-0000-0000-0000CECE0000}"/>
    <cellStyle name="Normal 82 6 3 2" xfId="38298" xr:uid="{00000000-0005-0000-0000-0000CFCE0000}"/>
    <cellStyle name="Normal 82 6 4" xfId="38299" xr:uid="{00000000-0005-0000-0000-0000D0CE0000}"/>
    <cellStyle name="Normal 82 7" xfId="38300" xr:uid="{00000000-0005-0000-0000-0000D1CE0000}"/>
    <cellStyle name="Normal 82 7 2" xfId="38301" xr:uid="{00000000-0005-0000-0000-0000D2CE0000}"/>
    <cellStyle name="Normal 82 7 2 2" xfId="38302" xr:uid="{00000000-0005-0000-0000-0000D3CE0000}"/>
    <cellStyle name="Normal 82 7 3" xfId="38303" xr:uid="{00000000-0005-0000-0000-0000D4CE0000}"/>
    <cellStyle name="Normal 82 7 3 2" xfId="38304" xr:uid="{00000000-0005-0000-0000-0000D5CE0000}"/>
    <cellStyle name="Normal 82 7 4" xfId="38305" xr:uid="{00000000-0005-0000-0000-0000D6CE0000}"/>
    <cellStyle name="Normal 82 8" xfId="38306" xr:uid="{00000000-0005-0000-0000-0000D7CE0000}"/>
    <cellStyle name="Normal 82 8 2" xfId="38307" xr:uid="{00000000-0005-0000-0000-0000D8CE0000}"/>
    <cellStyle name="Normal 82 8 2 2" xfId="38308" xr:uid="{00000000-0005-0000-0000-0000D9CE0000}"/>
    <cellStyle name="Normal 82 8 3" xfId="38309" xr:uid="{00000000-0005-0000-0000-0000DACE0000}"/>
    <cellStyle name="Normal 82 8 3 2" xfId="38310" xr:uid="{00000000-0005-0000-0000-0000DBCE0000}"/>
    <cellStyle name="Normal 82 8 4" xfId="38311" xr:uid="{00000000-0005-0000-0000-0000DCCE0000}"/>
    <cellStyle name="Normal 82 9" xfId="38312" xr:uid="{00000000-0005-0000-0000-0000DDCE0000}"/>
    <cellStyle name="Normal 82 9 2" xfId="38313" xr:uid="{00000000-0005-0000-0000-0000DECE0000}"/>
    <cellStyle name="Normal 82 9 2 2" xfId="38314" xr:uid="{00000000-0005-0000-0000-0000DFCE0000}"/>
    <cellStyle name="Normal 82 9 3" xfId="38315" xr:uid="{00000000-0005-0000-0000-0000E0CE0000}"/>
    <cellStyle name="Normal 83" xfId="38316" xr:uid="{00000000-0005-0000-0000-0000E1CE0000}"/>
    <cellStyle name="Normal 83 10" xfId="38317" xr:uid="{00000000-0005-0000-0000-0000E2CE0000}"/>
    <cellStyle name="Normal 83 10 2" xfId="38318" xr:uid="{00000000-0005-0000-0000-0000E3CE0000}"/>
    <cellStyle name="Normal 83 11" xfId="38319" xr:uid="{00000000-0005-0000-0000-0000E4CE0000}"/>
    <cellStyle name="Normal 83 11 2" xfId="38320" xr:uid="{00000000-0005-0000-0000-0000E5CE0000}"/>
    <cellStyle name="Normal 83 12" xfId="38321" xr:uid="{00000000-0005-0000-0000-0000E6CE0000}"/>
    <cellStyle name="Normal 83 13" xfId="38322" xr:uid="{00000000-0005-0000-0000-0000E7CE0000}"/>
    <cellStyle name="Normal 83 2" xfId="38323" xr:uid="{00000000-0005-0000-0000-0000E8CE0000}"/>
    <cellStyle name="Normal 83 2 10" xfId="38324" xr:uid="{00000000-0005-0000-0000-0000E9CE0000}"/>
    <cellStyle name="Normal 83 2 10 2" xfId="38325" xr:uid="{00000000-0005-0000-0000-0000EACE0000}"/>
    <cellStyle name="Normal 83 2 11" xfId="38326" xr:uid="{00000000-0005-0000-0000-0000EBCE0000}"/>
    <cellStyle name="Normal 83 2 2" xfId="38327" xr:uid="{00000000-0005-0000-0000-0000ECCE0000}"/>
    <cellStyle name="Normal 83 2 2 2" xfId="38328" xr:uid="{00000000-0005-0000-0000-0000EDCE0000}"/>
    <cellStyle name="Normal 83 2 2 2 2" xfId="38329" xr:uid="{00000000-0005-0000-0000-0000EECE0000}"/>
    <cellStyle name="Normal 83 2 2 2 2 2" xfId="38330" xr:uid="{00000000-0005-0000-0000-0000EFCE0000}"/>
    <cellStyle name="Normal 83 2 2 2 3" xfId="38331" xr:uid="{00000000-0005-0000-0000-0000F0CE0000}"/>
    <cellStyle name="Normal 83 2 2 2 3 2" xfId="38332" xr:uid="{00000000-0005-0000-0000-0000F1CE0000}"/>
    <cellStyle name="Normal 83 2 2 2 4" xfId="38333" xr:uid="{00000000-0005-0000-0000-0000F2CE0000}"/>
    <cellStyle name="Normal 83 2 2 3" xfId="38334" xr:uid="{00000000-0005-0000-0000-0000F3CE0000}"/>
    <cellStyle name="Normal 83 2 2 3 2" xfId="38335" xr:uid="{00000000-0005-0000-0000-0000F4CE0000}"/>
    <cellStyle name="Normal 83 2 2 3 2 2" xfId="38336" xr:uid="{00000000-0005-0000-0000-0000F5CE0000}"/>
    <cellStyle name="Normal 83 2 2 3 3" xfId="38337" xr:uid="{00000000-0005-0000-0000-0000F6CE0000}"/>
    <cellStyle name="Normal 83 2 2 3 3 2" xfId="38338" xr:uid="{00000000-0005-0000-0000-0000F7CE0000}"/>
    <cellStyle name="Normal 83 2 2 3 4" xfId="38339" xr:uid="{00000000-0005-0000-0000-0000F8CE0000}"/>
    <cellStyle name="Normal 83 2 2 4" xfId="38340" xr:uid="{00000000-0005-0000-0000-0000F9CE0000}"/>
    <cellStyle name="Normal 83 2 2 4 2" xfId="38341" xr:uid="{00000000-0005-0000-0000-0000FACE0000}"/>
    <cellStyle name="Normal 83 2 2 5" xfId="38342" xr:uid="{00000000-0005-0000-0000-0000FBCE0000}"/>
    <cellStyle name="Normal 83 2 2 5 2" xfId="38343" xr:uid="{00000000-0005-0000-0000-0000FCCE0000}"/>
    <cellStyle name="Normal 83 2 2 6" xfId="38344" xr:uid="{00000000-0005-0000-0000-0000FDCE0000}"/>
    <cellStyle name="Normal 83 2 3" xfId="38345" xr:uid="{00000000-0005-0000-0000-0000FECE0000}"/>
    <cellStyle name="Normal 83 2 3 2" xfId="38346" xr:uid="{00000000-0005-0000-0000-0000FFCE0000}"/>
    <cellStyle name="Normal 83 2 3 2 2" xfId="38347" xr:uid="{00000000-0005-0000-0000-000000CF0000}"/>
    <cellStyle name="Normal 83 2 3 3" xfId="38348" xr:uid="{00000000-0005-0000-0000-000001CF0000}"/>
    <cellStyle name="Normal 83 2 3 3 2" xfId="38349" xr:uid="{00000000-0005-0000-0000-000002CF0000}"/>
    <cellStyle name="Normal 83 2 3 4" xfId="38350" xr:uid="{00000000-0005-0000-0000-000003CF0000}"/>
    <cellStyle name="Normal 83 2 4" xfId="38351" xr:uid="{00000000-0005-0000-0000-000004CF0000}"/>
    <cellStyle name="Normal 83 2 4 2" xfId="38352" xr:uid="{00000000-0005-0000-0000-000005CF0000}"/>
    <cellStyle name="Normal 83 2 4 2 2" xfId="38353" xr:uid="{00000000-0005-0000-0000-000006CF0000}"/>
    <cellStyle name="Normal 83 2 4 3" xfId="38354" xr:uid="{00000000-0005-0000-0000-000007CF0000}"/>
    <cellStyle name="Normal 83 2 4 3 2" xfId="38355" xr:uid="{00000000-0005-0000-0000-000008CF0000}"/>
    <cellStyle name="Normal 83 2 4 4" xfId="38356" xr:uid="{00000000-0005-0000-0000-000009CF0000}"/>
    <cellStyle name="Normal 83 2 5" xfId="38357" xr:uid="{00000000-0005-0000-0000-00000ACF0000}"/>
    <cellStyle name="Normal 83 2 5 2" xfId="38358" xr:uid="{00000000-0005-0000-0000-00000BCF0000}"/>
    <cellStyle name="Normal 83 2 5 2 2" xfId="38359" xr:uid="{00000000-0005-0000-0000-00000CCF0000}"/>
    <cellStyle name="Normal 83 2 5 3" xfId="38360" xr:uid="{00000000-0005-0000-0000-00000DCF0000}"/>
    <cellStyle name="Normal 83 2 5 3 2" xfId="38361" xr:uid="{00000000-0005-0000-0000-00000ECF0000}"/>
    <cellStyle name="Normal 83 2 5 4" xfId="38362" xr:uid="{00000000-0005-0000-0000-00000FCF0000}"/>
    <cellStyle name="Normal 83 2 6" xfId="38363" xr:uid="{00000000-0005-0000-0000-000010CF0000}"/>
    <cellStyle name="Normal 83 2 6 2" xfId="38364" xr:uid="{00000000-0005-0000-0000-000011CF0000}"/>
    <cellStyle name="Normal 83 2 6 2 2" xfId="38365" xr:uid="{00000000-0005-0000-0000-000012CF0000}"/>
    <cellStyle name="Normal 83 2 6 3" xfId="38366" xr:uid="{00000000-0005-0000-0000-000013CF0000}"/>
    <cellStyle name="Normal 83 2 6 3 2" xfId="38367" xr:uid="{00000000-0005-0000-0000-000014CF0000}"/>
    <cellStyle name="Normal 83 2 6 4" xfId="38368" xr:uid="{00000000-0005-0000-0000-000015CF0000}"/>
    <cellStyle name="Normal 83 2 7" xfId="38369" xr:uid="{00000000-0005-0000-0000-000016CF0000}"/>
    <cellStyle name="Normal 83 2 7 2" xfId="38370" xr:uid="{00000000-0005-0000-0000-000017CF0000}"/>
    <cellStyle name="Normal 83 2 7 2 2" xfId="38371" xr:uid="{00000000-0005-0000-0000-000018CF0000}"/>
    <cellStyle name="Normal 83 2 7 3" xfId="38372" xr:uid="{00000000-0005-0000-0000-000019CF0000}"/>
    <cellStyle name="Normal 83 2 7 3 2" xfId="38373" xr:uid="{00000000-0005-0000-0000-00001ACF0000}"/>
    <cellStyle name="Normal 83 2 7 4" xfId="38374" xr:uid="{00000000-0005-0000-0000-00001BCF0000}"/>
    <cellStyle name="Normal 83 2 8" xfId="38375" xr:uid="{00000000-0005-0000-0000-00001CCF0000}"/>
    <cellStyle name="Normal 83 2 8 2" xfId="38376" xr:uid="{00000000-0005-0000-0000-00001DCF0000}"/>
    <cellStyle name="Normal 83 2 8 2 2" xfId="38377" xr:uid="{00000000-0005-0000-0000-00001ECF0000}"/>
    <cellStyle name="Normal 83 2 8 3" xfId="38378" xr:uid="{00000000-0005-0000-0000-00001FCF0000}"/>
    <cellStyle name="Normal 83 2 9" xfId="38379" xr:uid="{00000000-0005-0000-0000-000020CF0000}"/>
    <cellStyle name="Normal 83 2 9 2" xfId="38380" xr:uid="{00000000-0005-0000-0000-000021CF0000}"/>
    <cellStyle name="Normal 83 3" xfId="38381" xr:uid="{00000000-0005-0000-0000-000022CF0000}"/>
    <cellStyle name="Normal 83 3 2" xfId="38382" xr:uid="{00000000-0005-0000-0000-000023CF0000}"/>
    <cellStyle name="Normal 83 3 2 2" xfId="38383" xr:uid="{00000000-0005-0000-0000-000024CF0000}"/>
    <cellStyle name="Normal 83 3 2 2 2" xfId="38384" xr:uid="{00000000-0005-0000-0000-000025CF0000}"/>
    <cellStyle name="Normal 83 3 2 3" xfId="38385" xr:uid="{00000000-0005-0000-0000-000026CF0000}"/>
    <cellStyle name="Normal 83 3 2 3 2" xfId="38386" xr:uid="{00000000-0005-0000-0000-000027CF0000}"/>
    <cellStyle name="Normal 83 3 2 4" xfId="38387" xr:uid="{00000000-0005-0000-0000-000028CF0000}"/>
    <cellStyle name="Normal 83 3 3" xfId="38388" xr:uid="{00000000-0005-0000-0000-000029CF0000}"/>
    <cellStyle name="Normal 83 3 3 2" xfId="38389" xr:uid="{00000000-0005-0000-0000-00002ACF0000}"/>
    <cellStyle name="Normal 83 3 3 2 2" xfId="38390" xr:uid="{00000000-0005-0000-0000-00002BCF0000}"/>
    <cellStyle name="Normal 83 3 3 3" xfId="38391" xr:uid="{00000000-0005-0000-0000-00002CCF0000}"/>
    <cellStyle name="Normal 83 3 3 3 2" xfId="38392" xr:uid="{00000000-0005-0000-0000-00002DCF0000}"/>
    <cellStyle name="Normal 83 3 3 4" xfId="38393" xr:uid="{00000000-0005-0000-0000-00002ECF0000}"/>
    <cellStyle name="Normal 83 3 4" xfId="38394" xr:uid="{00000000-0005-0000-0000-00002FCF0000}"/>
    <cellStyle name="Normal 83 3 4 2" xfId="38395" xr:uid="{00000000-0005-0000-0000-000030CF0000}"/>
    <cellStyle name="Normal 83 3 5" xfId="38396" xr:uid="{00000000-0005-0000-0000-000031CF0000}"/>
    <cellStyle name="Normal 83 3 5 2" xfId="38397" xr:uid="{00000000-0005-0000-0000-000032CF0000}"/>
    <cellStyle name="Normal 83 3 6" xfId="38398" xr:uid="{00000000-0005-0000-0000-000033CF0000}"/>
    <cellStyle name="Normal 83 4" xfId="38399" xr:uid="{00000000-0005-0000-0000-000034CF0000}"/>
    <cellStyle name="Normal 83 4 2" xfId="38400" xr:uid="{00000000-0005-0000-0000-000035CF0000}"/>
    <cellStyle name="Normal 83 4 2 2" xfId="38401" xr:uid="{00000000-0005-0000-0000-000036CF0000}"/>
    <cellStyle name="Normal 83 4 3" xfId="38402" xr:uid="{00000000-0005-0000-0000-000037CF0000}"/>
    <cellStyle name="Normal 83 4 3 2" xfId="38403" xr:uid="{00000000-0005-0000-0000-000038CF0000}"/>
    <cellStyle name="Normal 83 4 4" xfId="38404" xr:uid="{00000000-0005-0000-0000-000039CF0000}"/>
    <cellStyle name="Normal 83 5" xfId="38405" xr:uid="{00000000-0005-0000-0000-00003ACF0000}"/>
    <cellStyle name="Normal 83 5 2" xfId="38406" xr:uid="{00000000-0005-0000-0000-00003BCF0000}"/>
    <cellStyle name="Normal 83 5 2 2" xfId="38407" xr:uid="{00000000-0005-0000-0000-00003CCF0000}"/>
    <cellStyle name="Normal 83 5 3" xfId="38408" xr:uid="{00000000-0005-0000-0000-00003DCF0000}"/>
    <cellStyle name="Normal 83 5 3 2" xfId="38409" xr:uid="{00000000-0005-0000-0000-00003ECF0000}"/>
    <cellStyle name="Normal 83 5 4" xfId="38410" xr:uid="{00000000-0005-0000-0000-00003FCF0000}"/>
    <cellStyle name="Normal 83 6" xfId="38411" xr:uid="{00000000-0005-0000-0000-000040CF0000}"/>
    <cellStyle name="Normal 83 6 2" xfId="38412" xr:uid="{00000000-0005-0000-0000-000041CF0000}"/>
    <cellStyle name="Normal 83 6 2 2" xfId="38413" xr:uid="{00000000-0005-0000-0000-000042CF0000}"/>
    <cellStyle name="Normal 83 6 3" xfId="38414" xr:uid="{00000000-0005-0000-0000-000043CF0000}"/>
    <cellStyle name="Normal 83 6 3 2" xfId="38415" xr:uid="{00000000-0005-0000-0000-000044CF0000}"/>
    <cellStyle name="Normal 83 6 4" xfId="38416" xr:uid="{00000000-0005-0000-0000-000045CF0000}"/>
    <cellStyle name="Normal 83 7" xfId="38417" xr:uid="{00000000-0005-0000-0000-000046CF0000}"/>
    <cellStyle name="Normal 83 7 2" xfId="38418" xr:uid="{00000000-0005-0000-0000-000047CF0000}"/>
    <cellStyle name="Normal 83 7 2 2" xfId="38419" xr:uid="{00000000-0005-0000-0000-000048CF0000}"/>
    <cellStyle name="Normal 83 7 3" xfId="38420" xr:uid="{00000000-0005-0000-0000-000049CF0000}"/>
    <cellStyle name="Normal 83 7 3 2" xfId="38421" xr:uid="{00000000-0005-0000-0000-00004ACF0000}"/>
    <cellStyle name="Normal 83 7 4" xfId="38422" xr:uid="{00000000-0005-0000-0000-00004BCF0000}"/>
    <cellStyle name="Normal 83 8" xfId="38423" xr:uid="{00000000-0005-0000-0000-00004CCF0000}"/>
    <cellStyle name="Normal 83 8 2" xfId="38424" xr:uid="{00000000-0005-0000-0000-00004DCF0000}"/>
    <cellStyle name="Normal 83 8 2 2" xfId="38425" xr:uid="{00000000-0005-0000-0000-00004ECF0000}"/>
    <cellStyle name="Normal 83 8 3" xfId="38426" xr:uid="{00000000-0005-0000-0000-00004FCF0000}"/>
    <cellStyle name="Normal 83 8 3 2" xfId="38427" xr:uid="{00000000-0005-0000-0000-000050CF0000}"/>
    <cellStyle name="Normal 83 8 4" xfId="38428" xr:uid="{00000000-0005-0000-0000-000051CF0000}"/>
    <cellStyle name="Normal 83 9" xfId="38429" xr:uid="{00000000-0005-0000-0000-000052CF0000}"/>
    <cellStyle name="Normal 83 9 2" xfId="38430" xr:uid="{00000000-0005-0000-0000-000053CF0000}"/>
    <cellStyle name="Normal 83 9 2 2" xfId="38431" xr:uid="{00000000-0005-0000-0000-000054CF0000}"/>
    <cellStyle name="Normal 83 9 3" xfId="38432" xr:uid="{00000000-0005-0000-0000-000055CF0000}"/>
    <cellStyle name="Normal 84" xfId="38433" xr:uid="{00000000-0005-0000-0000-000056CF0000}"/>
    <cellStyle name="Normal 84 10" xfId="38434" xr:uid="{00000000-0005-0000-0000-000057CF0000}"/>
    <cellStyle name="Normal 84 10 2" xfId="38435" xr:uid="{00000000-0005-0000-0000-000058CF0000}"/>
    <cellStyle name="Normal 84 11" xfId="38436" xr:uid="{00000000-0005-0000-0000-000059CF0000}"/>
    <cellStyle name="Normal 84 11 2" xfId="38437" xr:uid="{00000000-0005-0000-0000-00005ACF0000}"/>
    <cellStyle name="Normal 84 12" xfId="38438" xr:uid="{00000000-0005-0000-0000-00005BCF0000}"/>
    <cellStyle name="Normal 84 13" xfId="38439" xr:uid="{00000000-0005-0000-0000-00005CCF0000}"/>
    <cellStyle name="Normal 84 2" xfId="38440" xr:uid="{00000000-0005-0000-0000-00005DCF0000}"/>
    <cellStyle name="Normal 84 2 10" xfId="38441" xr:uid="{00000000-0005-0000-0000-00005ECF0000}"/>
    <cellStyle name="Normal 84 2 10 2" xfId="38442" xr:uid="{00000000-0005-0000-0000-00005FCF0000}"/>
    <cellStyle name="Normal 84 2 11" xfId="38443" xr:uid="{00000000-0005-0000-0000-000060CF0000}"/>
    <cellStyle name="Normal 84 2 2" xfId="38444" xr:uid="{00000000-0005-0000-0000-000061CF0000}"/>
    <cellStyle name="Normal 84 2 2 2" xfId="38445" xr:uid="{00000000-0005-0000-0000-000062CF0000}"/>
    <cellStyle name="Normal 84 2 2 2 2" xfId="38446" xr:uid="{00000000-0005-0000-0000-000063CF0000}"/>
    <cellStyle name="Normal 84 2 2 2 2 2" xfId="38447" xr:uid="{00000000-0005-0000-0000-000064CF0000}"/>
    <cellStyle name="Normal 84 2 2 2 3" xfId="38448" xr:uid="{00000000-0005-0000-0000-000065CF0000}"/>
    <cellStyle name="Normal 84 2 2 2 3 2" xfId="38449" xr:uid="{00000000-0005-0000-0000-000066CF0000}"/>
    <cellStyle name="Normal 84 2 2 2 4" xfId="38450" xr:uid="{00000000-0005-0000-0000-000067CF0000}"/>
    <cellStyle name="Normal 84 2 2 3" xfId="38451" xr:uid="{00000000-0005-0000-0000-000068CF0000}"/>
    <cellStyle name="Normal 84 2 2 3 2" xfId="38452" xr:uid="{00000000-0005-0000-0000-000069CF0000}"/>
    <cellStyle name="Normal 84 2 2 3 2 2" xfId="38453" xr:uid="{00000000-0005-0000-0000-00006ACF0000}"/>
    <cellStyle name="Normal 84 2 2 3 3" xfId="38454" xr:uid="{00000000-0005-0000-0000-00006BCF0000}"/>
    <cellStyle name="Normal 84 2 2 3 3 2" xfId="38455" xr:uid="{00000000-0005-0000-0000-00006CCF0000}"/>
    <cellStyle name="Normal 84 2 2 3 4" xfId="38456" xr:uid="{00000000-0005-0000-0000-00006DCF0000}"/>
    <cellStyle name="Normal 84 2 2 4" xfId="38457" xr:uid="{00000000-0005-0000-0000-00006ECF0000}"/>
    <cellStyle name="Normal 84 2 2 4 2" xfId="38458" xr:uid="{00000000-0005-0000-0000-00006FCF0000}"/>
    <cellStyle name="Normal 84 2 2 5" xfId="38459" xr:uid="{00000000-0005-0000-0000-000070CF0000}"/>
    <cellStyle name="Normal 84 2 2 5 2" xfId="38460" xr:uid="{00000000-0005-0000-0000-000071CF0000}"/>
    <cellStyle name="Normal 84 2 2 6" xfId="38461" xr:uid="{00000000-0005-0000-0000-000072CF0000}"/>
    <cellStyle name="Normal 84 2 3" xfId="38462" xr:uid="{00000000-0005-0000-0000-000073CF0000}"/>
    <cellStyle name="Normal 84 2 3 2" xfId="38463" xr:uid="{00000000-0005-0000-0000-000074CF0000}"/>
    <cellStyle name="Normal 84 2 3 2 2" xfId="38464" xr:uid="{00000000-0005-0000-0000-000075CF0000}"/>
    <cellStyle name="Normal 84 2 3 3" xfId="38465" xr:uid="{00000000-0005-0000-0000-000076CF0000}"/>
    <cellStyle name="Normal 84 2 3 3 2" xfId="38466" xr:uid="{00000000-0005-0000-0000-000077CF0000}"/>
    <cellStyle name="Normal 84 2 3 4" xfId="38467" xr:uid="{00000000-0005-0000-0000-000078CF0000}"/>
    <cellStyle name="Normal 84 2 4" xfId="38468" xr:uid="{00000000-0005-0000-0000-000079CF0000}"/>
    <cellStyle name="Normal 84 2 4 2" xfId="38469" xr:uid="{00000000-0005-0000-0000-00007ACF0000}"/>
    <cellStyle name="Normal 84 2 4 2 2" xfId="38470" xr:uid="{00000000-0005-0000-0000-00007BCF0000}"/>
    <cellStyle name="Normal 84 2 4 3" xfId="38471" xr:uid="{00000000-0005-0000-0000-00007CCF0000}"/>
    <cellStyle name="Normal 84 2 4 3 2" xfId="38472" xr:uid="{00000000-0005-0000-0000-00007DCF0000}"/>
    <cellStyle name="Normal 84 2 4 4" xfId="38473" xr:uid="{00000000-0005-0000-0000-00007ECF0000}"/>
    <cellStyle name="Normal 84 2 5" xfId="38474" xr:uid="{00000000-0005-0000-0000-00007FCF0000}"/>
    <cellStyle name="Normal 84 2 5 2" xfId="38475" xr:uid="{00000000-0005-0000-0000-000080CF0000}"/>
    <cellStyle name="Normal 84 2 5 2 2" xfId="38476" xr:uid="{00000000-0005-0000-0000-000081CF0000}"/>
    <cellStyle name="Normal 84 2 5 3" xfId="38477" xr:uid="{00000000-0005-0000-0000-000082CF0000}"/>
    <cellStyle name="Normal 84 2 5 3 2" xfId="38478" xr:uid="{00000000-0005-0000-0000-000083CF0000}"/>
    <cellStyle name="Normal 84 2 5 4" xfId="38479" xr:uid="{00000000-0005-0000-0000-000084CF0000}"/>
    <cellStyle name="Normal 84 2 6" xfId="38480" xr:uid="{00000000-0005-0000-0000-000085CF0000}"/>
    <cellStyle name="Normal 84 2 6 2" xfId="38481" xr:uid="{00000000-0005-0000-0000-000086CF0000}"/>
    <cellStyle name="Normal 84 2 6 2 2" xfId="38482" xr:uid="{00000000-0005-0000-0000-000087CF0000}"/>
    <cellStyle name="Normal 84 2 6 3" xfId="38483" xr:uid="{00000000-0005-0000-0000-000088CF0000}"/>
    <cellStyle name="Normal 84 2 6 3 2" xfId="38484" xr:uid="{00000000-0005-0000-0000-000089CF0000}"/>
    <cellStyle name="Normal 84 2 6 4" xfId="38485" xr:uid="{00000000-0005-0000-0000-00008ACF0000}"/>
    <cellStyle name="Normal 84 2 7" xfId="38486" xr:uid="{00000000-0005-0000-0000-00008BCF0000}"/>
    <cellStyle name="Normal 84 2 7 2" xfId="38487" xr:uid="{00000000-0005-0000-0000-00008CCF0000}"/>
    <cellStyle name="Normal 84 2 7 2 2" xfId="38488" xr:uid="{00000000-0005-0000-0000-00008DCF0000}"/>
    <cellStyle name="Normal 84 2 7 3" xfId="38489" xr:uid="{00000000-0005-0000-0000-00008ECF0000}"/>
    <cellStyle name="Normal 84 2 7 3 2" xfId="38490" xr:uid="{00000000-0005-0000-0000-00008FCF0000}"/>
    <cellStyle name="Normal 84 2 7 4" xfId="38491" xr:uid="{00000000-0005-0000-0000-000090CF0000}"/>
    <cellStyle name="Normal 84 2 8" xfId="38492" xr:uid="{00000000-0005-0000-0000-000091CF0000}"/>
    <cellStyle name="Normal 84 2 8 2" xfId="38493" xr:uid="{00000000-0005-0000-0000-000092CF0000}"/>
    <cellStyle name="Normal 84 2 8 2 2" xfId="38494" xr:uid="{00000000-0005-0000-0000-000093CF0000}"/>
    <cellStyle name="Normal 84 2 8 3" xfId="38495" xr:uid="{00000000-0005-0000-0000-000094CF0000}"/>
    <cellStyle name="Normal 84 2 9" xfId="38496" xr:uid="{00000000-0005-0000-0000-000095CF0000}"/>
    <cellStyle name="Normal 84 2 9 2" xfId="38497" xr:uid="{00000000-0005-0000-0000-000096CF0000}"/>
    <cellStyle name="Normal 84 3" xfId="38498" xr:uid="{00000000-0005-0000-0000-000097CF0000}"/>
    <cellStyle name="Normal 84 3 2" xfId="38499" xr:uid="{00000000-0005-0000-0000-000098CF0000}"/>
    <cellStyle name="Normal 84 3 2 2" xfId="38500" xr:uid="{00000000-0005-0000-0000-000099CF0000}"/>
    <cellStyle name="Normal 84 3 2 2 2" xfId="38501" xr:uid="{00000000-0005-0000-0000-00009ACF0000}"/>
    <cellStyle name="Normal 84 3 2 3" xfId="38502" xr:uid="{00000000-0005-0000-0000-00009BCF0000}"/>
    <cellStyle name="Normal 84 3 2 3 2" xfId="38503" xr:uid="{00000000-0005-0000-0000-00009CCF0000}"/>
    <cellStyle name="Normal 84 3 2 4" xfId="38504" xr:uid="{00000000-0005-0000-0000-00009DCF0000}"/>
    <cellStyle name="Normal 84 3 3" xfId="38505" xr:uid="{00000000-0005-0000-0000-00009ECF0000}"/>
    <cellStyle name="Normal 84 3 3 2" xfId="38506" xr:uid="{00000000-0005-0000-0000-00009FCF0000}"/>
    <cellStyle name="Normal 84 3 3 2 2" xfId="38507" xr:uid="{00000000-0005-0000-0000-0000A0CF0000}"/>
    <cellStyle name="Normal 84 3 3 3" xfId="38508" xr:uid="{00000000-0005-0000-0000-0000A1CF0000}"/>
    <cellStyle name="Normal 84 3 3 3 2" xfId="38509" xr:uid="{00000000-0005-0000-0000-0000A2CF0000}"/>
    <cellStyle name="Normal 84 3 3 4" xfId="38510" xr:uid="{00000000-0005-0000-0000-0000A3CF0000}"/>
    <cellStyle name="Normal 84 3 4" xfId="38511" xr:uid="{00000000-0005-0000-0000-0000A4CF0000}"/>
    <cellStyle name="Normal 84 3 4 2" xfId="38512" xr:uid="{00000000-0005-0000-0000-0000A5CF0000}"/>
    <cellStyle name="Normal 84 3 5" xfId="38513" xr:uid="{00000000-0005-0000-0000-0000A6CF0000}"/>
    <cellStyle name="Normal 84 3 5 2" xfId="38514" xr:uid="{00000000-0005-0000-0000-0000A7CF0000}"/>
    <cellStyle name="Normal 84 3 6" xfId="38515" xr:uid="{00000000-0005-0000-0000-0000A8CF0000}"/>
    <cellStyle name="Normal 84 4" xfId="38516" xr:uid="{00000000-0005-0000-0000-0000A9CF0000}"/>
    <cellStyle name="Normal 84 4 2" xfId="38517" xr:uid="{00000000-0005-0000-0000-0000AACF0000}"/>
    <cellStyle name="Normal 84 4 2 2" xfId="38518" xr:uid="{00000000-0005-0000-0000-0000ABCF0000}"/>
    <cellStyle name="Normal 84 4 3" xfId="38519" xr:uid="{00000000-0005-0000-0000-0000ACCF0000}"/>
    <cellStyle name="Normal 84 4 3 2" xfId="38520" xr:uid="{00000000-0005-0000-0000-0000ADCF0000}"/>
    <cellStyle name="Normal 84 4 4" xfId="38521" xr:uid="{00000000-0005-0000-0000-0000AECF0000}"/>
    <cellStyle name="Normal 84 5" xfId="38522" xr:uid="{00000000-0005-0000-0000-0000AFCF0000}"/>
    <cellStyle name="Normal 84 5 2" xfId="38523" xr:uid="{00000000-0005-0000-0000-0000B0CF0000}"/>
    <cellStyle name="Normal 84 5 2 2" xfId="38524" xr:uid="{00000000-0005-0000-0000-0000B1CF0000}"/>
    <cellStyle name="Normal 84 5 3" xfId="38525" xr:uid="{00000000-0005-0000-0000-0000B2CF0000}"/>
    <cellStyle name="Normal 84 5 3 2" xfId="38526" xr:uid="{00000000-0005-0000-0000-0000B3CF0000}"/>
    <cellStyle name="Normal 84 5 4" xfId="38527" xr:uid="{00000000-0005-0000-0000-0000B4CF0000}"/>
    <cellStyle name="Normal 84 6" xfId="38528" xr:uid="{00000000-0005-0000-0000-0000B5CF0000}"/>
    <cellStyle name="Normal 84 6 2" xfId="38529" xr:uid="{00000000-0005-0000-0000-0000B6CF0000}"/>
    <cellStyle name="Normal 84 6 2 2" xfId="38530" xr:uid="{00000000-0005-0000-0000-0000B7CF0000}"/>
    <cellStyle name="Normal 84 6 3" xfId="38531" xr:uid="{00000000-0005-0000-0000-0000B8CF0000}"/>
    <cellStyle name="Normal 84 6 3 2" xfId="38532" xr:uid="{00000000-0005-0000-0000-0000B9CF0000}"/>
    <cellStyle name="Normal 84 6 4" xfId="38533" xr:uid="{00000000-0005-0000-0000-0000BACF0000}"/>
    <cellStyle name="Normal 84 7" xfId="38534" xr:uid="{00000000-0005-0000-0000-0000BBCF0000}"/>
    <cellStyle name="Normal 84 7 2" xfId="38535" xr:uid="{00000000-0005-0000-0000-0000BCCF0000}"/>
    <cellStyle name="Normal 84 7 2 2" xfId="38536" xr:uid="{00000000-0005-0000-0000-0000BDCF0000}"/>
    <cellStyle name="Normal 84 7 3" xfId="38537" xr:uid="{00000000-0005-0000-0000-0000BECF0000}"/>
    <cellStyle name="Normal 84 7 3 2" xfId="38538" xr:uid="{00000000-0005-0000-0000-0000BFCF0000}"/>
    <cellStyle name="Normal 84 7 4" xfId="38539" xr:uid="{00000000-0005-0000-0000-0000C0CF0000}"/>
    <cellStyle name="Normal 84 8" xfId="38540" xr:uid="{00000000-0005-0000-0000-0000C1CF0000}"/>
    <cellStyle name="Normal 84 8 2" xfId="38541" xr:uid="{00000000-0005-0000-0000-0000C2CF0000}"/>
    <cellStyle name="Normal 84 8 2 2" xfId="38542" xr:uid="{00000000-0005-0000-0000-0000C3CF0000}"/>
    <cellStyle name="Normal 84 8 3" xfId="38543" xr:uid="{00000000-0005-0000-0000-0000C4CF0000}"/>
    <cellStyle name="Normal 84 8 3 2" xfId="38544" xr:uid="{00000000-0005-0000-0000-0000C5CF0000}"/>
    <cellStyle name="Normal 84 8 4" xfId="38545" xr:uid="{00000000-0005-0000-0000-0000C6CF0000}"/>
    <cellStyle name="Normal 84 9" xfId="38546" xr:uid="{00000000-0005-0000-0000-0000C7CF0000}"/>
    <cellStyle name="Normal 84 9 2" xfId="38547" xr:uid="{00000000-0005-0000-0000-0000C8CF0000}"/>
    <cellStyle name="Normal 84 9 2 2" xfId="38548" xr:uid="{00000000-0005-0000-0000-0000C9CF0000}"/>
    <cellStyle name="Normal 84 9 3" xfId="38549" xr:uid="{00000000-0005-0000-0000-0000CACF0000}"/>
    <cellStyle name="Normal 85" xfId="38550" xr:uid="{00000000-0005-0000-0000-0000CBCF0000}"/>
    <cellStyle name="Normal 85 10" xfId="38551" xr:uid="{00000000-0005-0000-0000-0000CCCF0000}"/>
    <cellStyle name="Normal 85 10 2" xfId="38552" xr:uid="{00000000-0005-0000-0000-0000CDCF0000}"/>
    <cellStyle name="Normal 85 11" xfId="38553" xr:uid="{00000000-0005-0000-0000-0000CECF0000}"/>
    <cellStyle name="Normal 85 11 2" xfId="38554" xr:uid="{00000000-0005-0000-0000-0000CFCF0000}"/>
    <cellStyle name="Normal 85 12" xfId="38555" xr:uid="{00000000-0005-0000-0000-0000D0CF0000}"/>
    <cellStyle name="Normal 85 13" xfId="38556" xr:uid="{00000000-0005-0000-0000-0000D1CF0000}"/>
    <cellStyle name="Normal 85 2" xfId="38557" xr:uid="{00000000-0005-0000-0000-0000D2CF0000}"/>
    <cellStyle name="Normal 85 2 10" xfId="38558" xr:uid="{00000000-0005-0000-0000-0000D3CF0000}"/>
    <cellStyle name="Normal 85 2 10 2" xfId="38559" xr:uid="{00000000-0005-0000-0000-0000D4CF0000}"/>
    <cellStyle name="Normal 85 2 11" xfId="38560" xr:uid="{00000000-0005-0000-0000-0000D5CF0000}"/>
    <cellStyle name="Normal 85 2 2" xfId="38561" xr:uid="{00000000-0005-0000-0000-0000D6CF0000}"/>
    <cellStyle name="Normal 85 2 2 2" xfId="38562" xr:uid="{00000000-0005-0000-0000-0000D7CF0000}"/>
    <cellStyle name="Normal 85 2 2 2 2" xfId="38563" xr:uid="{00000000-0005-0000-0000-0000D8CF0000}"/>
    <cellStyle name="Normal 85 2 2 2 2 2" xfId="38564" xr:uid="{00000000-0005-0000-0000-0000D9CF0000}"/>
    <cellStyle name="Normal 85 2 2 2 3" xfId="38565" xr:uid="{00000000-0005-0000-0000-0000DACF0000}"/>
    <cellStyle name="Normal 85 2 2 2 3 2" xfId="38566" xr:uid="{00000000-0005-0000-0000-0000DBCF0000}"/>
    <cellStyle name="Normal 85 2 2 2 4" xfId="38567" xr:uid="{00000000-0005-0000-0000-0000DCCF0000}"/>
    <cellStyle name="Normal 85 2 2 3" xfId="38568" xr:uid="{00000000-0005-0000-0000-0000DDCF0000}"/>
    <cellStyle name="Normal 85 2 2 3 2" xfId="38569" xr:uid="{00000000-0005-0000-0000-0000DECF0000}"/>
    <cellStyle name="Normal 85 2 2 3 2 2" xfId="38570" xr:uid="{00000000-0005-0000-0000-0000DFCF0000}"/>
    <cellStyle name="Normal 85 2 2 3 3" xfId="38571" xr:uid="{00000000-0005-0000-0000-0000E0CF0000}"/>
    <cellStyle name="Normal 85 2 2 3 3 2" xfId="38572" xr:uid="{00000000-0005-0000-0000-0000E1CF0000}"/>
    <cellStyle name="Normal 85 2 2 3 4" xfId="38573" xr:uid="{00000000-0005-0000-0000-0000E2CF0000}"/>
    <cellStyle name="Normal 85 2 2 4" xfId="38574" xr:uid="{00000000-0005-0000-0000-0000E3CF0000}"/>
    <cellStyle name="Normal 85 2 2 4 2" xfId="38575" xr:uid="{00000000-0005-0000-0000-0000E4CF0000}"/>
    <cellStyle name="Normal 85 2 2 5" xfId="38576" xr:uid="{00000000-0005-0000-0000-0000E5CF0000}"/>
    <cellStyle name="Normal 85 2 2 5 2" xfId="38577" xr:uid="{00000000-0005-0000-0000-0000E6CF0000}"/>
    <cellStyle name="Normal 85 2 2 6" xfId="38578" xr:uid="{00000000-0005-0000-0000-0000E7CF0000}"/>
    <cellStyle name="Normal 85 2 3" xfId="38579" xr:uid="{00000000-0005-0000-0000-0000E8CF0000}"/>
    <cellStyle name="Normal 85 2 3 2" xfId="38580" xr:uid="{00000000-0005-0000-0000-0000E9CF0000}"/>
    <cellStyle name="Normal 85 2 3 2 2" xfId="38581" xr:uid="{00000000-0005-0000-0000-0000EACF0000}"/>
    <cellStyle name="Normal 85 2 3 3" xfId="38582" xr:uid="{00000000-0005-0000-0000-0000EBCF0000}"/>
    <cellStyle name="Normal 85 2 3 3 2" xfId="38583" xr:uid="{00000000-0005-0000-0000-0000ECCF0000}"/>
    <cellStyle name="Normal 85 2 3 4" xfId="38584" xr:uid="{00000000-0005-0000-0000-0000EDCF0000}"/>
    <cellStyle name="Normal 85 2 4" xfId="38585" xr:uid="{00000000-0005-0000-0000-0000EECF0000}"/>
    <cellStyle name="Normal 85 2 4 2" xfId="38586" xr:uid="{00000000-0005-0000-0000-0000EFCF0000}"/>
    <cellStyle name="Normal 85 2 4 2 2" xfId="38587" xr:uid="{00000000-0005-0000-0000-0000F0CF0000}"/>
    <cellStyle name="Normal 85 2 4 3" xfId="38588" xr:uid="{00000000-0005-0000-0000-0000F1CF0000}"/>
    <cellStyle name="Normal 85 2 4 3 2" xfId="38589" xr:uid="{00000000-0005-0000-0000-0000F2CF0000}"/>
    <cellStyle name="Normal 85 2 4 4" xfId="38590" xr:uid="{00000000-0005-0000-0000-0000F3CF0000}"/>
    <cellStyle name="Normal 85 2 5" xfId="38591" xr:uid="{00000000-0005-0000-0000-0000F4CF0000}"/>
    <cellStyle name="Normal 85 2 5 2" xfId="38592" xr:uid="{00000000-0005-0000-0000-0000F5CF0000}"/>
    <cellStyle name="Normal 85 2 5 2 2" xfId="38593" xr:uid="{00000000-0005-0000-0000-0000F6CF0000}"/>
    <cellStyle name="Normal 85 2 5 3" xfId="38594" xr:uid="{00000000-0005-0000-0000-0000F7CF0000}"/>
    <cellStyle name="Normal 85 2 5 3 2" xfId="38595" xr:uid="{00000000-0005-0000-0000-0000F8CF0000}"/>
    <cellStyle name="Normal 85 2 5 4" xfId="38596" xr:uid="{00000000-0005-0000-0000-0000F9CF0000}"/>
    <cellStyle name="Normal 85 2 6" xfId="38597" xr:uid="{00000000-0005-0000-0000-0000FACF0000}"/>
    <cellStyle name="Normal 85 2 6 2" xfId="38598" xr:uid="{00000000-0005-0000-0000-0000FBCF0000}"/>
    <cellStyle name="Normal 85 2 6 2 2" xfId="38599" xr:uid="{00000000-0005-0000-0000-0000FCCF0000}"/>
    <cellStyle name="Normal 85 2 6 3" xfId="38600" xr:uid="{00000000-0005-0000-0000-0000FDCF0000}"/>
    <cellStyle name="Normal 85 2 6 3 2" xfId="38601" xr:uid="{00000000-0005-0000-0000-0000FECF0000}"/>
    <cellStyle name="Normal 85 2 6 4" xfId="38602" xr:uid="{00000000-0005-0000-0000-0000FFCF0000}"/>
    <cellStyle name="Normal 85 2 7" xfId="38603" xr:uid="{00000000-0005-0000-0000-000000D00000}"/>
    <cellStyle name="Normal 85 2 7 2" xfId="38604" xr:uid="{00000000-0005-0000-0000-000001D00000}"/>
    <cellStyle name="Normal 85 2 7 2 2" xfId="38605" xr:uid="{00000000-0005-0000-0000-000002D00000}"/>
    <cellStyle name="Normal 85 2 7 3" xfId="38606" xr:uid="{00000000-0005-0000-0000-000003D00000}"/>
    <cellStyle name="Normal 85 2 7 3 2" xfId="38607" xr:uid="{00000000-0005-0000-0000-000004D00000}"/>
    <cellStyle name="Normal 85 2 7 4" xfId="38608" xr:uid="{00000000-0005-0000-0000-000005D00000}"/>
    <cellStyle name="Normal 85 2 8" xfId="38609" xr:uid="{00000000-0005-0000-0000-000006D00000}"/>
    <cellStyle name="Normal 85 2 8 2" xfId="38610" xr:uid="{00000000-0005-0000-0000-000007D00000}"/>
    <cellStyle name="Normal 85 2 8 2 2" xfId="38611" xr:uid="{00000000-0005-0000-0000-000008D00000}"/>
    <cellStyle name="Normal 85 2 8 3" xfId="38612" xr:uid="{00000000-0005-0000-0000-000009D00000}"/>
    <cellStyle name="Normal 85 2 9" xfId="38613" xr:uid="{00000000-0005-0000-0000-00000AD00000}"/>
    <cellStyle name="Normal 85 2 9 2" xfId="38614" xr:uid="{00000000-0005-0000-0000-00000BD00000}"/>
    <cellStyle name="Normal 85 3" xfId="38615" xr:uid="{00000000-0005-0000-0000-00000CD00000}"/>
    <cellStyle name="Normal 85 3 2" xfId="38616" xr:uid="{00000000-0005-0000-0000-00000DD00000}"/>
    <cellStyle name="Normal 85 3 2 2" xfId="38617" xr:uid="{00000000-0005-0000-0000-00000ED00000}"/>
    <cellStyle name="Normal 85 3 2 2 2" xfId="38618" xr:uid="{00000000-0005-0000-0000-00000FD00000}"/>
    <cellStyle name="Normal 85 3 2 3" xfId="38619" xr:uid="{00000000-0005-0000-0000-000010D00000}"/>
    <cellStyle name="Normal 85 3 2 3 2" xfId="38620" xr:uid="{00000000-0005-0000-0000-000011D00000}"/>
    <cellStyle name="Normal 85 3 2 4" xfId="38621" xr:uid="{00000000-0005-0000-0000-000012D00000}"/>
    <cellStyle name="Normal 85 3 3" xfId="38622" xr:uid="{00000000-0005-0000-0000-000013D00000}"/>
    <cellStyle name="Normal 85 3 3 2" xfId="38623" xr:uid="{00000000-0005-0000-0000-000014D00000}"/>
    <cellStyle name="Normal 85 3 3 2 2" xfId="38624" xr:uid="{00000000-0005-0000-0000-000015D00000}"/>
    <cellStyle name="Normal 85 3 3 3" xfId="38625" xr:uid="{00000000-0005-0000-0000-000016D00000}"/>
    <cellStyle name="Normal 85 3 3 3 2" xfId="38626" xr:uid="{00000000-0005-0000-0000-000017D00000}"/>
    <cellStyle name="Normal 85 3 3 4" xfId="38627" xr:uid="{00000000-0005-0000-0000-000018D00000}"/>
    <cellStyle name="Normal 85 3 4" xfId="38628" xr:uid="{00000000-0005-0000-0000-000019D00000}"/>
    <cellStyle name="Normal 85 3 4 2" xfId="38629" xr:uid="{00000000-0005-0000-0000-00001AD00000}"/>
    <cellStyle name="Normal 85 3 5" xfId="38630" xr:uid="{00000000-0005-0000-0000-00001BD00000}"/>
    <cellStyle name="Normal 85 3 5 2" xfId="38631" xr:uid="{00000000-0005-0000-0000-00001CD00000}"/>
    <cellStyle name="Normal 85 3 6" xfId="38632" xr:uid="{00000000-0005-0000-0000-00001DD00000}"/>
    <cellStyle name="Normal 85 4" xfId="38633" xr:uid="{00000000-0005-0000-0000-00001ED00000}"/>
    <cellStyle name="Normal 85 4 2" xfId="38634" xr:uid="{00000000-0005-0000-0000-00001FD00000}"/>
    <cellStyle name="Normal 85 4 2 2" xfId="38635" xr:uid="{00000000-0005-0000-0000-000020D00000}"/>
    <cellStyle name="Normal 85 4 3" xfId="38636" xr:uid="{00000000-0005-0000-0000-000021D00000}"/>
    <cellStyle name="Normal 85 4 3 2" xfId="38637" xr:uid="{00000000-0005-0000-0000-000022D00000}"/>
    <cellStyle name="Normal 85 4 4" xfId="38638" xr:uid="{00000000-0005-0000-0000-000023D00000}"/>
    <cellStyle name="Normal 85 5" xfId="38639" xr:uid="{00000000-0005-0000-0000-000024D00000}"/>
    <cellStyle name="Normal 85 5 2" xfId="38640" xr:uid="{00000000-0005-0000-0000-000025D00000}"/>
    <cellStyle name="Normal 85 5 2 2" xfId="38641" xr:uid="{00000000-0005-0000-0000-000026D00000}"/>
    <cellStyle name="Normal 85 5 3" xfId="38642" xr:uid="{00000000-0005-0000-0000-000027D00000}"/>
    <cellStyle name="Normal 85 5 3 2" xfId="38643" xr:uid="{00000000-0005-0000-0000-000028D00000}"/>
    <cellStyle name="Normal 85 5 4" xfId="38644" xr:uid="{00000000-0005-0000-0000-000029D00000}"/>
    <cellStyle name="Normal 85 6" xfId="38645" xr:uid="{00000000-0005-0000-0000-00002AD00000}"/>
    <cellStyle name="Normal 85 6 2" xfId="38646" xr:uid="{00000000-0005-0000-0000-00002BD00000}"/>
    <cellStyle name="Normal 85 6 2 2" xfId="38647" xr:uid="{00000000-0005-0000-0000-00002CD00000}"/>
    <cellStyle name="Normal 85 6 3" xfId="38648" xr:uid="{00000000-0005-0000-0000-00002DD00000}"/>
    <cellStyle name="Normal 85 6 3 2" xfId="38649" xr:uid="{00000000-0005-0000-0000-00002ED00000}"/>
    <cellStyle name="Normal 85 6 4" xfId="38650" xr:uid="{00000000-0005-0000-0000-00002FD00000}"/>
    <cellStyle name="Normal 85 7" xfId="38651" xr:uid="{00000000-0005-0000-0000-000030D00000}"/>
    <cellStyle name="Normal 85 7 2" xfId="38652" xr:uid="{00000000-0005-0000-0000-000031D00000}"/>
    <cellStyle name="Normal 85 7 2 2" xfId="38653" xr:uid="{00000000-0005-0000-0000-000032D00000}"/>
    <cellStyle name="Normal 85 7 3" xfId="38654" xr:uid="{00000000-0005-0000-0000-000033D00000}"/>
    <cellStyle name="Normal 85 7 3 2" xfId="38655" xr:uid="{00000000-0005-0000-0000-000034D00000}"/>
    <cellStyle name="Normal 85 7 4" xfId="38656" xr:uid="{00000000-0005-0000-0000-000035D00000}"/>
    <cellStyle name="Normal 85 8" xfId="38657" xr:uid="{00000000-0005-0000-0000-000036D00000}"/>
    <cellStyle name="Normal 85 8 2" xfId="38658" xr:uid="{00000000-0005-0000-0000-000037D00000}"/>
    <cellStyle name="Normal 85 8 2 2" xfId="38659" xr:uid="{00000000-0005-0000-0000-000038D00000}"/>
    <cellStyle name="Normal 85 8 3" xfId="38660" xr:uid="{00000000-0005-0000-0000-000039D00000}"/>
    <cellStyle name="Normal 85 8 3 2" xfId="38661" xr:uid="{00000000-0005-0000-0000-00003AD00000}"/>
    <cellStyle name="Normal 85 8 4" xfId="38662" xr:uid="{00000000-0005-0000-0000-00003BD00000}"/>
    <cellStyle name="Normal 85 9" xfId="38663" xr:uid="{00000000-0005-0000-0000-00003CD00000}"/>
    <cellStyle name="Normal 85 9 2" xfId="38664" xr:uid="{00000000-0005-0000-0000-00003DD00000}"/>
    <cellStyle name="Normal 85 9 2 2" xfId="38665" xr:uid="{00000000-0005-0000-0000-00003ED00000}"/>
    <cellStyle name="Normal 85 9 3" xfId="38666" xr:uid="{00000000-0005-0000-0000-00003FD00000}"/>
    <cellStyle name="Normal 86" xfId="38667" xr:uid="{00000000-0005-0000-0000-000040D00000}"/>
    <cellStyle name="Normal 86 10" xfId="38668" xr:uid="{00000000-0005-0000-0000-000041D00000}"/>
    <cellStyle name="Normal 86 10 2" xfId="38669" xr:uid="{00000000-0005-0000-0000-000042D00000}"/>
    <cellStyle name="Normal 86 11" xfId="38670" xr:uid="{00000000-0005-0000-0000-000043D00000}"/>
    <cellStyle name="Normal 86 11 2" xfId="38671" xr:uid="{00000000-0005-0000-0000-000044D00000}"/>
    <cellStyle name="Normal 86 12" xfId="38672" xr:uid="{00000000-0005-0000-0000-000045D00000}"/>
    <cellStyle name="Normal 86 13" xfId="38673" xr:uid="{00000000-0005-0000-0000-000046D00000}"/>
    <cellStyle name="Normal 86 2" xfId="38674" xr:uid="{00000000-0005-0000-0000-000047D00000}"/>
    <cellStyle name="Normal 86 2 10" xfId="38675" xr:uid="{00000000-0005-0000-0000-000048D00000}"/>
    <cellStyle name="Normal 86 2 10 2" xfId="38676" xr:uid="{00000000-0005-0000-0000-000049D00000}"/>
    <cellStyle name="Normal 86 2 11" xfId="38677" xr:uid="{00000000-0005-0000-0000-00004AD00000}"/>
    <cellStyle name="Normal 86 2 2" xfId="38678" xr:uid="{00000000-0005-0000-0000-00004BD00000}"/>
    <cellStyle name="Normal 86 2 2 2" xfId="38679" xr:uid="{00000000-0005-0000-0000-00004CD00000}"/>
    <cellStyle name="Normal 86 2 2 2 2" xfId="38680" xr:uid="{00000000-0005-0000-0000-00004DD00000}"/>
    <cellStyle name="Normal 86 2 2 2 2 2" xfId="38681" xr:uid="{00000000-0005-0000-0000-00004ED00000}"/>
    <cellStyle name="Normal 86 2 2 2 3" xfId="38682" xr:uid="{00000000-0005-0000-0000-00004FD00000}"/>
    <cellStyle name="Normal 86 2 2 2 3 2" xfId="38683" xr:uid="{00000000-0005-0000-0000-000050D00000}"/>
    <cellStyle name="Normal 86 2 2 2 4" xfId="38684" xr:uid="{00000000-0005-0000-0000-000051D00000}"/>
    <cellStyle name="Normal 86 2 2 3" xfId="38685" xr:uid="{00000000-0005-0000-0000-000052D00000}"/>
    <cellStyle name="Normal 86 2 2 3 2" xfId="38686" xr:uid="{00000000-0005-0000-0000-000053D00000}"/>
    <cellStyle name="Normal 86 2 2 3 2 2" xfId="38687" xr:uid="{00000000-0005-0000-0000-000054D00000}"/>
    <cellStyle name="Normal 86 2 2 3 3" xfId="38688" xr:uid="{00000000-0005-0000-0000-000055D00000}"/>
    <cellStyle name="Normal 86 2 2 3 3 2" xfId="38689" xr:uid="{00000000-0005-0000-0000-000056D00000}"/>
    <cellStyle name="Normal 86 2 2 3 4" xfId="38690" xr:uid="{00000000-0005-0000-0000-000057D00000}"/>
    <cellStyle name="Normal 86 2 2 4" xfId="38691" xr:uid="{00000000-0005-0000-0000-000058D00000}"/>
    <cellStyle name="Normal 86 2 2 4 2" xfId="38692" xr:uid="{00000000-0005-0000-0000-000059D00000}"/>
    <cellStyle name="Normal 86 2 2 5" xfId="38693" xr:uid="{00000000-0005-0000-0000-00005AD00000}"/>
    <cellStyle name="Normal 86 2 2 5 2" xfId="38694" xr:uid="{00000000-0005-0000-0000-00005BD00000}"/>
    <cellStyle name="Normal 86 2 2 6" xfId="38695" xr:uid="{00000000-0005-0000-0000-00005CD00000}"/>
    <cellStyle name="Normal 86 2 3" xfId="38696" xr:uid="{00000000-0005-0000-0000-00005DD00000}"/>
    <cellStyle name="Normal 86 2 3 2" xfId="38697" xr:uid="{00000000-0005-0000-0000-00005ED00000}"/>
    <cellStyle name="Normal 86 2 3 2 2" xfId="38698" xr:uid="{00000000-0005-0000-0000-00005FD00000}"/>
    <cellStyle name="Normal 86 2 3 3" xfId="38699" xr:uid="{00000000-0005-0000-0000-000060D00000}"/>
    <cellStyle name="Normal 86 2 3 3 2" xfId="38700" xr:uid="{00000000-0005-0000-0000-000061D00000}"/>
    <cellStyle name="Normal 86 2 3 4" xfId="38701" xr:uid="{00000000-0005-0000-0000-000062D00000}"/>
    <cellStyle name="Normal 86 2 4" xfId="38702" xr:uid="{00000000-0005-0000-0000-000063D00000}"/>
    <cellStyle name="Normal 86 2 4 2" xfId="38703" xr:uid="{00000000-0005-0000-0000-000064D00000}"/>
    <cellStyle name="Normal 86 2 4 2 2" xfId="38704" xr:uid="{00000000-0005-0000-0000-000065D00000}"/>
    <cellStyle name="Normal 86 2 4 3" xfId="38705" xr:uid="{00000000-0005-0000-0000-000066D00000}"/>
    <cellStyle name="Normal 86 2 4 3 2" xfId="38706" xr:uid="{00000000-0005-0000-0000-000067D00000}"/>
    <cellStyle name="Normal 86 2 4 4" xfId="38707" xr:uid="{00000000-0005-0000-0000-000068D00000}"/>
    <cellStyle name="Normal 86 2 5" xfId="38708" xr:uid="{00000000-0005-0000-0000-000069D00000}"/>
    <cellStyle name="Normal 86 2 5 2" xfId="38709" xr:uid="{00000000-0005-0000-0000-00006AD00000}"/>
    <cellStyle name="Normal 86 2 5 2 2" xfId="38710" xr:uid="{00000000-0005-0000-0000-00006BD00000}"/>
    <cellStyle name="Normal 86 2 5 3" xfId="38711" xr:uid="{00000000-0005-0000-0000-00006CD00000}"/>
    <cellStyle name="Normal 86 2 5 3 2" xfId="38712" xr:uid="{00000000-0005-0000-0000-00006DD00000}"/>
    <cellStyle name="Normal 86 2 5 4" xfId="38713" xr:uid="{00000000-0005-0000-0000-00006ED00000}"/>
    <cellStyle name="Normal 86 2 6" xfId="38714" xr:uid="{00000000-0005-0000-0000-00006FD00000}"/>
    <cellStyle name="Normal 86 2 6 2" xfId="38715" xr:uid="{00000000-0005-0000-0000-000070D00000}"/>
    <cellStyle name="Normal 86 2 6 2 2" xfId="38716" xr:uid="{00000000-0005-0000-0000-000071D00000}"/>
    <cellStyle name="Normal 86 2 6 3" xfId="38717" xr:uid="{00000000-0005-0000-0000-000072D00000}"/>
    <cellStyle name="Normal 86 2 6 3 2" xfId="38718" xr:uid="{00000000-0005-0000-0000-000073D00000}"/>
    <cellStyle name="Normal 86 2 6 4" xfId="38719" xr:uid="{00000000-0005-0000-0000-000074D00000}"/>
    <cellStyle name="Normal 86 2 7" xfId="38720" xr:uid="{00000000-0005-0000-0000-000075D00000}"/>
    <cellStyle name="Normal 86 2 7 2" xfId="38721" xr:uid="{00000000-0005-0000-0000-000076D00000}"/>
    <cellStyle name="Normal 86 2 7 2 2" xfId="38722" xr:uid="{00000000-0005-0000-0000-000077D00000}"/>
    <cellStyle name="Normal 86 2 7 3" xfId="38723" xr:uid="{00000000-0005-0000-0000-000078D00000}"/>
    <cellStyle name="Normal 86 2 7 3 2" xfId="38724" xr:uid="{00000000-0005-0000-0000-000079D00000}"/>
    <cellStyle name="Normal 86 2 7 4" xfId="38725" xr:uid="{00000000-0005-0000-0000-00007AD00000}"/>
    <cellStyle name="Normal 86 2 8" xfId="38726" xr:uid="{00000000-0005-0000-0000-00007BD00000}"/>
    <cellStyle name="Normal 86 2 8 2" xfId="38727" xr:uid="{00000000-0005-0000-0000-00007CD00000}"/>
    <cellStyle name="Normal 86 2 8 2 2" xfId="38728" xr:uid="{00000000-0005-0000-0000-00007DD00000}"/>
    <cellStyle name="Normal 86 2 8 3" xfId="38729" xr:uid="{00000000-0005-0000-0000-00007ED00000}"/>
    <cellStyle name="Normal 86 2 9" xfId="38730" xr:uid="{00000000-0005-0000-0000-00007FD00000}"/>
    <cellStyle name="Normal 86 2 9 2" xfId="38731" xr:uid="{00000000-0005-0000-0000-000080D00000}"/>
    <cellStyle name="Normal 86 3" xfId="38732" xr:uid="{00000000-0005-0000-0000-000081D00000}"/>
    <cellStyle name="Normal 86 3 2" xfId="38733" xr:uid="{00000000-0005-0000-0000-000082D00000}"/>
    <cellStyle name="Normal 86 3 2 2" xfId="38734" xr:uid="{00000000-0005-0000-0000-000083D00000}"/>
    <cellStyle name="Normal 86 3 2 2 2" xfId="38735" xr:uid="{00000000-0005-0000-0000-000084D00000}"/>
    <cellStyle name="Normal 86 3 2 3" xfId="38736" xr:uid="{00000000-0005-0000-0000-000085D00000}"/>
    <cellStyle name="Normal 86 3 2 3 2" xfId="38737" xr:uid="{00000000-0005-0000-0000-000086D00000}"/>
    <cellStyle name="Normal 86 3 2 4" xfId="38738" xr:uid="{00000000-0005-0000-0000-000087D00000}"/>
    <cellStyle name="Normal 86 3 3" xfId="38739" xr:uid="{00000000-0005-0000-0000-000088D00000}"/>
    <cellStyle name="Normal 86 3 3 2" xfId="38740" xr:uid="{00000000-0005-0000-0000-000089D00000}"/>
    <cellStyle name="Normal 86 3 3 2 2" xfId="38741" xr:uid="{00000000-0005-0000-0000-00008AD00000}"/>
    <cellStyle name="Normal 86 3 3 3" xfId="38742" xr:uid="{00000000-0005-0000-0000-00008BD00000}"/>
    <cellStyle name="Normal 86 3 3 3 2" xfId="38743" xr:uid="{00000000-0005-0000-0000-00008CD00000}"/>
    <cellStyle name="Normal 86 3 3 4" xfId="38744" xr:uid="{00000000-0005-0000-0000-00008DD00000}"/>
    <cellStyle name="Normal 86 3 4" xfId="38745" xr:uid="{00000000-0005-0000-0000-00008ED00000}"/>
    <cellStyle name="Normal 86 3 4 2" xfId="38746" xr:uid="{00000000-0005-0000-0000-00008FD00000}"/>
    <cellStyle name="Normal 86 3 5" xfId="38747" xr:uid="{00000000-0005-0000-0000-000090D00000}"/>
    <cellStyle name="Normal 86 3 5 2" xfId="38748" xr:uid="{00000000-0005-0000-0000-000091D00000}"/>
    <cellStyle name="Normal 86 3 6" xfId="38749" xr:uid="{00000000-0005-0000-0000-000092D00000}"/>
    <cellStyle name="Normal 86 4" xfId="38750" xr:uid="{00000000-0005-0000-0000-000093D00000}"/>
    <cellStyle name="Normal 86 4 2" xfId="38751" xr:uid="{00000000-0005-0000-0000-000094D00000}"/>
    <cellStyle name="Normal 86 4 2 2" xfId="38752" xr:uid="{00000000-0005-0000-0000-000095D00000}"/>
    <cellStyle name="Normal 86 4 3" xfId="38753" xr:uid="{00000000-0005-0000-0000-000096D00000}"/>
    <cellStyle name="Normal 86 4 3 2" xfId="38754" xr:uid="{00000000-0005-0000-0000-000097D00000}"/>
    <cellStyle name="Normal 86 4 4" xfId="38755" xr:uid="{00000000-0005-0000-0000-000098D00000}"/>
    <cellStyle name="Normal 86 5" xfId="38756" xr:uid="{00000000-0005-0000-0000-000099D00000}"/>
    <cellStyle name="Normal 86 5 2" xfId="38757" xr:uid="{00000000-0005-0000-0000-00009AD00000}"/>
    <cellStyle name="Normal 86 5 2 2" xfId="38758" xr:uid="{00000000-0005-0000-0000-00009BD00000}"/>
    <cellStyle name="Normal 86 5 3" xfId="38759" xr:uid="{00000000-0005-0000-0000-00009CD00000}"/>
    <cellStyle name="Normal 86 5 3 2" xfId="38760" xr:uid="{00000000-0005-0000-0000-00009DD00000}"/>
    <cellStyle name="Normal 86 5 4" xfId="38761" xr:uid="{00000000-0005-0000-0000-00009ED00000}"/>
    <cellStyle name="Normal 86 6" xfId="38762" xr:uid="{00000000-0005-0000-0000-00009FD00000}"/>
    <cellStyle name="Normal 86 6 2" xfId="38763" xr:uid="{00000000-0005-0000-0000-0000A0D00000}"/>
    <cellStyle name="Normal 86 6 2 2" xfId="38764" xr:uid="{00000000-0005-0000-0000-0000A1D00000}"/>
    <cellStyle name="Normal 86 6 3" xfId="38765" xr:uid="{00000000-0005-0000-0000-0000A2D00000}"/>
    <cellStyle name="Normal 86 6 3 2" xfId="38766" xr:uid="{00000000-0005-0000-0000-0000A3D00000}"/>
    <cellStyle name="Normal 86 6 4" xfId="38767" xr:uid="{00000000-0005-0000-0000-0000A4D00000}"/>
    <cellStyle name="Normal 86 7" xfId="38768" xr:uid="{00000000-0005-0000-0000-0000A5D00000}"/>
    <cellStyle name="Normal 86 7 2" xfId="38769" xr:uid="{00000000-0005-0000-0000-0000A6D00000}"/>
    <cellStyle name="Normal 86 7 2 2" xfId="38770" xr:uid="{00000000-0005-0000-0000-0000A7D00000}"/>
    <cellStyle name="Normal 86 7 3" xfId="38771" xr:uid="{00000000-0005-0000-0000-0000A8D00000}"/>
    <cellStyle name="Normal 86 7 3 2" xfId="38772" xr:uid="{00000000-0005-0000-0000-0000A9D00000}"/>
    <cellStyle name="Normal 86 7 4" xfId="38773" xr:uid="{00000000-0005-0000-0000-0000AAD00000}"/>
    <cellStyle name="Normal 86 8" xfId="38774" xr:uid="{00000000-0005-0000-0000-0000ABD00000}"/>
    <cellStyle name="Normal 86 8 2" xfId="38775" xr:uid="{00000000-0005-0000-0000-0000ACD00000}"/>
    <cellStyle name="Normal 86 8 2 2" xfId="38776" xr:uid="{00000000-0005-0000-0000-0000ADD00000}"/>
    <cellStyle name="Normal 86 8 3" xfId="38777" xr:uid="{00000000-0005-0000-0000-0000AED00000}"/>
    <cellStyle name="Normal 86 8 3 2" xfId="38778" xr:uid="{00000000-0005-0000-0000-0000AFD00000}"/>
    <cellStyle name="Normal 86 8 4" xfId="38779" xr:uid="{00000000-0005-0000-0000-0000B0D00000}"/>
    <cellStyle name="Normal 86 9" xfId="38780" xr:uid="{00000000-0005-0000-0000-0000B1D00000}"/>
    <cellStyle name="Normal 86 9 2" xfId="38781" xr:uid="{00000000-0005-0000-0000-0000B2D00000}"/>
    <cellStyle name="Normal 86 9 2 2" xfId="38782" xr:uid="{00000000-0005-0000-0000-0000B3D00000}"/>
    <cellStyle name="Normal 86 9 3" xfId="38783" xr:uid="{00000000-0005-0000-0000-0000B4D00000}"/>
    <cellStyle name="Normal 87" xfId="38784" xr:uid="{00000000-0005-0000-0000-0000B5D00000}"/>
    <cellStyle name="Normal 87 10" xfId="38785" xr:uid="{00000000-0005-0000-0000-0000B6D00000}"/>
    <cellStyle name="Normal 87 10 2" xfId="38786" xr:uid="{00000000-0005-0000-0000-0000B7D00000}"/>
    <cellStyle name="Normal 87 11" xfId="38787" xr:uid="{00000000-0005-0000-0000-0000B8D00000}"/>
    <cellStyle name="Normal 87 11 2" xfId="38788" xr:uid="{00000000-0005-0000-0000-0000B9D00000}"/>
    <cellStyle name="Normal 87 12" xfId="38789" xr:uid="{00000000-0005-0000-0000-0000BAD00000}"/>
    <cellStyle name="Normal 87 13" xfId="38790" xr:uid="{00000000-0005-0000-0000-0000BBD00000}"/>
    <cellStyle name="Normal 87 2" xfId="38791" xr:uid="{00000000-0005-0000-0000-0000BCD00000}"/>
    <cellStyle name="Normal 87 2 10" xfId="38792" xr:uid="{00000000-0005-0000-0000-0000BDD00000}"/>
    <cellStyle name="Normal 87 2 10 2" xfId="38793" xr:uid="{00000000-0005-0000-0000-0000BED00000}"/>
    <cellStyle name="Normal 87 2 11" xfId="38794" xr:uid="{00000000-0005-0000-0000-0000BFD00000}"/>
    <cellStyle name="Normal 87 2 2" xfId="38795" xr:uid="{00000000-0005-0000-0000-0000C0D00000}"/>
    <cellStyle name="Normal 87 2 2 2" xfId="38796" xr:uid="{00000000-0005-0000-0000-0000C1D00000}"/>
    <cellStyle name="Normal 87 2 2 2 2" xfId="38797" xr:uid="{00000000-0005-0000-0000-0000C2D00000}"/>
    <cellStyle name="Normal 87 2 2 2 2 2" xfId="38798" xr:uid="{00000000-0005-0000-0000-0000C3D00000}"/>
    <cellStyle name="Normal 87 2 2 2 3" xfId="38799" xr:uid="{00000000-0005-0000-0000-0000C4D00000}"/>
    <cellStyle name="Normal 87 2 2 2 3 2" xfId="38800" xr:uid="{00000000-0005-0000-0000-0000C5D00000}"/>
    <cellStyle name="Normal 87 2 2 2 4" xfId="38801" xr:uid="{00000000-0005-0000-0000-0000C6D00000}"/>
    <cellStyle name="Normal 87 2 2 3" xfId="38802" xr:uid="{00000000-0005-0000-0000-0000C7D00000}"/>
    <cellStyle name="Normal 87 2 2 3 2" xfId="38803" xr:uid="{00000000-0005-0000-0000-0000C8D00000}"/>
    <cellStyle name="Normal 87 2 2 3 2 2" xfId="38804" xr:uid="{00000000-0005-0000-0000-0000C9D00000}"/>
    <cellStyle name="Normal 87 2 2 3 3" xfId="38805" xr:uid="{00000000-0005-0000-0000-0000CAD00000}"/>
    <cellStyle name="Normal 87 2 2 3 3 2" xfId="38806" xr:uid="{00000000-0005-0000-0000-0000CBD00000}"/>
    <cellStyle name="Normal 87 2 2 3 4" xfId="38807" xr:uid="{00000000-0005-0000-0000-0000CCD00000}"/>
    <cellStyle name="Normal 87 2 2 4" xfId="38808" xr:uid="{00000000-0005-0000-0000-0000CDD00000}"/>
    <cellStyle name="Normal 87 2 2 4 2" xfId="38809" xr:uid="{00000000-0005-0000-0000-0000CED00000}"/>
    <cellStyle name="Normal 87 2 2 5" xfId="38810" xr:uid="{00000000-0005-0000-0000-0000CFD00000}"/>
    <cellStyle name="Normal 87 2 2 5 2" xfId="38811" xr:uid="{00000000-0005-0000-0000-0000D0D00000}"/>
    <cellStyle name="Normal 87 2 2 6" xfId="38812" xr:uid="{00000000-0005-0000-0000-0000D1D00000}"/>
    <cellStyle name="Normal 87 2 3" xfId="38813" xr:uid="{00000000-0005-0000-0000-0000D2D00000}"/>
    <cellStyle name="Normal 87 2 3 2" xfId="38814" xr:uid="{00000000-0005-0000-0000-0000D3D00000}"/>
    <cellStyle name="Normal 87 2 3 2 2" xfId="38815" xr:uid="{00000000-0005-0000-0000-0000D4D00000}"/>
    <cellStyle name="Normal 87 2 3 3" xfId="38816" xr:uid="{00000000-0005-0000-0000-0000D5D00000}"/>
    <cellStyle name="Normal 87 2 3 3 2" xfId="38817" xr:uid="{00000000-0005-0000-0000-0000D6D00000}"/>
    <cellStyle name="Normal 87 2 3 4" xfId="38818" xr:uid="{00000000-0005-0000-0000-0000D7D00000}"/>
    <cellStyle name="Normal 87 2 4" xfId="38819" xr:uid="{00000000-0005-0000-0000-0000D8D00000}"/>
    <cellStyle name="Normal 87 2 4 2" xfId="38820" xr:uid="{00000000-0005-0000-0000-0000D9D00000}"/>
    <cellStyle name="Normal 87 2 4 2 2" xfId="38821" xr:uid="{00000000-0005-0000-0000-0000DAD00000}"/>
    <cellStyle name="Normal 87 2 4 3" xfId="38822" xr:uid="{00000000-0005-0000-0000-0000DBD00000}"/>
    <cellStyle name="Normal 87 2 4 3 2" xfId="38823" xr:uid="{00000000-0005-0000-0000-0000DCD00000}"/>
    <cellStyle name="Normal 87 2 4 4" xfId="38824" xr:uid="{00000000-0005-0000-0000-0000DDD00000}"/>
    <cellStyle name="Normal 87 2 5" xfId="38825" xr:uid="{00000000-0005-0000-0000-0000DED00000}"/>
    <cellStyle name="Normal 87 2 5 2" xfId="38826" xr:uid="{00000000-0005-0000-0000-0000DFD00000}"/>
    <cellStyle name="Normal 87 2 5 2 2" xfId="38827" xr:uid="{00000000-0005-0000-0000-0000E0D00000}"/>
    <cellStyle name="Normal 87 2 5 3" xfId="38828" xr:uid="{00000000-0005-0000-0000-0000E1D00000}"/>
    <cellStyle name="Normal 87 2 5 3 2" xfId="38829" xr:uid="{00000000-0005-0000-0000-0000E2D00000}"/>
    <cellStyle name="Normal 87 2 5 4" xfId="38830" xr:uid="{00000000-0005-0000-0000-0000E3D00000}"/>
    <cellStyle name="Normal 87 2 6" xfId="38831" xr:uid="{00000000-0005-0000-0000-0000E4D00000}"/>
    <cellStyle name="Normal 87 2 6 2" xfId="38832" xr:uid="{00000000-0005-0000-0000-0000E5D00000}"/>
    <cellStyle name="Normal 87 2 6 2 2" xfId="38833" xr:uid="{00000000-0005-0000-0000-0000E6D00000}"/>
    <cellStyle name="Normal 87 2 6 3" xfId="38834" xr:uid="{00000000-0005-0000-0000-0000E7D00000}"/>
    <cellStyle name="Normal 87 2 6 3 2" xfId="38835" xr:uid="{00000000-0005-0000-0000-0000E8D00000}"/>
    <cellStyle name="Normal 87 2 6 4" xfId="38836" xr:uid="{00000000-0005-0000-0000-0000E9D00000}"/>
    <cellStyle name="Normal 87 2 7" xfId="38837" xr:uid="{00000000-0005-0000-0000-0000EAD00000}"/>
    <cellStyle name="Normal 87 2 7 2" xfId="38838" xr:uid="{00000000-0005-0000-0000-0000EBD00000}"/>
    <cellStyle name="Normal 87 2 7 2 2" xfId="38839" xr:uid="{00000000-0005-0000-0000-0000ECD00000}"/>
    <cellStyle name="Normal 87 2 7 3" xfId="38840" xr:uid="{00000000-0005-0000-0000-0000EDD00000}"/>
    <cellStyle name="Normal 87 2 7 3 2" xfId="38841" xr:uid="{00000000-0005-0000-0000-0000EED00000}"/>
    <cellStyle name="Normal 87 2 7 4" xfId="38842" xr:uid="{00000000-0005-0000-0000-0000EFD00000}"/>
    <cellStyle name="Normal 87 2 8" xfId="38843" xr:uid="{00000000-0005-0000-0000-0000F0D00000}"/>
    <cellStyle name="Normal 87 2 8 2" xfId="38844" xr:uid="{00000000-0005-0000-0000-0000F1D00000}"/>
    <cellStyle name="Normal 87 2 8 2 2" xfId="38845" xr:uid="{00000000-0005-0000-0000-0000F2D00000}"/>
    <cellStyle name="Normal 87 2 8 3" xfId="38846" xr:uid="{00000000-0005-0000-0000-0000F3D00000}"/>
    <cellStyle name="Normal 87 2 9" xfId="38847" xr:uid="{00000000-0005-0000-0000-0000F4D00000}"/>
    <cellStyle name="Normal 87 2 9 2" xfId="38848" xr:uid="{00000000-0005-0000-0000-0000F5D00000}"/>
    <cellStyle name="Normal 87 3" xfId="38849" xr:uid="{00000000-0005-0000-0000-0000F6D00000}"/>
    <cellStyle name="Normal 87 3 2" xfId="38850" xr:uid="{00000000-0005-0000-0000-0000F7D00000}"/>
    <cellStyle name="Normal 87 3 2 2" xfId="38851" xr:uid="{00000000-0005-0000-0000-0000F8D00000}"/>
    <cellStyle name="Normal 87 3 2 2 2" xfId="38852" xr:uid="{00000000-0005-0000-0000-0000F9D00000}"/>
    <cellStyle name="Normal 87 3 2 3" xfId="38853" xr:uid="{00000000-0005-0000-0000-0000FAD00000}"/>
    <cellStyle name="Normal 87 3 2 3 2" xfId="38854" xr:uid="{00000000-0005-0000-0000-0000FBD00000}"/>
    <cellStyle name="Normal 87 3 2 4" xfId="38855" xr:uid="{00000000-0005-0000-0000-0000FCD00000}"/>
    <cellStyle name="Normal 87 3 3" xfId="38856" xr:uid="{00000000-0005-0000-0000-0000FDD00000}"/>
    <cellStyle name="Normal 87 3 3 2" xfId="38857" xr:uid="{00000000-0005-0000-0000-0000FED00000}"/>
    <cellStyle name="Normal 87 3 3 2 2" xfId="38858" xr:uid="{00000000-0005-0000-0000-0000FFD00000}"/>
    <cellStyle name="Normal 87 3 3 3" xfId="38859" xr:uid="{00000000-0005-0000-0000-000000D10000}"/>
    <cellStyle name="Normal 87 3 3 3 2" xfId="38860" xr:uid="{00000000-0005-0000-0000-000001D10000}"/>
    <cellStyle name="Normal 87 3 3 4" xfId="38861" xr:uid="{00000000-0005-0000-0000-000002D10000}"/>
    <cellStyle name="Normal 87 3 4" xfId="38862" xr:uid="{00000000-0005-0000-0000-000003D10000}"/>
    <cellStyle name="Normal 87 3 4 2" xfId="38863" xr:uid="{00000000-0005-0000-0000-000004D10000}"/>
    <cellStyle name="Normal 87 3 5" xfId="38864" xr:uid="{00000000-0005-0000-0000-000005D10000}"/>
    <cellStyle name="Normal 87 3 5 2" xfId="38865" xr:uid="{00000000-0005-0000-0000-000006D10000}"/>
    <cellStyle name="Normal 87 3 6" xfId="38866" xr:uid="{00000000-0005-0000-0000-000007D10000}"/>
    <cellStyle name="Normal 87 4" xfId="38867" xr:uid="{00000000-0005-0000-0000-000008D10000}"/>
    <cellStyle name="Normal 87 4 2" xfId="38868" xr:uid="{00000000-0005-0000-0000-000009D10000}"/>
    <cellStyle name="Normal 87 4 2 2" xfId="38869" xr:uid="{00000000-0005-0000-0000-00000AD10000}"/>
    <cellStyle name="Normal 87 4 3" xfId="38870" xr:uid="{00000000-0005-0000-0000-00000BD10000}"/>
    <cellStyle name="Normal 87 4 3 2" xfId="38871" xr:uid="{00000000-0005-0000-0000-00000CD10000}"/>
    <cellStyle name="Normal 87 4 4" xfId="38872" xr:uid="{00000000-0005-0000-0000-00000DD10000}"/>
    <cellStyle name="Normal 87 5" xfId="38873" xr:uid="{00000000-0005-0000-0000-00000ED10000}"/>
    <cellStyle name="Normal 87 5 2" xfId="38874" xr:uid="{00000000-0005-0000-0000-00000FD10000}"/>
    <cellStyle name="Normal 87 5 2 2" xfId="38875" xr:uid="{00000000-0005-0000-0000-000010D10000}"/>
    <cellStyle name="Normal 87 5 3" xfId="38876" xr:uid="{00000000-0005-0000-0000-000011D10000}"/>
    <cellStyle name="Normal 87 5 3 2" xfId="38877" xr:uid="{00000000-0005-0000-0000-000012D10000}"/>
    <cellStyle name="Normal 87 5 4" xfId="38878" xr:uid="{00000000-0005-0000-0000-000013D10000}"/>
    <cellStyle name="Normal 87 6" xfId="38879" xr:uid="{00000000-0005-0000-0000-000014D10000}"/>
    <cellStyle name="Normal 87 6 2" xfId="38880" xr:uid="{00000000-0005-0000-0000-000015D10000}"/>
    <cellStyle name="Normal 87 6 2 2" xfId="38881" xr:uid="{00000000-0005-0000-0000-000016D10000}"/>
    <cellStyle name="Normal 87 6 3" xfId="38882" xr:uid="{00000000-0005-0000-0000-000017D10000}"/>
    <cellStyle name="Normal 87 6 3 2" xfId="38883" xr:uid="{00000000-0005-0000-0000-000018D10000}"/>
    <cellStyle name="Normal 87 6 4" xfId="38884" xr:uid="{00000000-0005-0000-0000-000019D10000}"/>
    <cellStyle name="Normal 87 7" xfId="38885" xr:uid="{00000000-0005-0000-0000-00001AD10000}"/>
    <cellStyle name="Normal 87 7 2" xfId="38886" xr:uid="{00000000-0005-0000-0000-00001BD10000}"/>
    <cellStyle name="Normal 87 7 2 2" xfId="38887" xr:uid="{00000000-0005-0000-0000-00001CD10000}"/>
    <cellStyle name="Normal 87 7 3" xfId="38888" xr:uid="{00000000-0005-0000-0000-00001DD10000}"/>
    <cellStyle name="Normal 87 7 3 2" xfId="38889" xr:uid="{00000000-0005-0000-0000-00001ED10000}"/>
    <cellStyle name="Normal 87 7 4" xfId="38890" xr:uid="{00000000-0005-0000-0000-00001FD10000}"/>
    <cellStyle name="Normal 87 8" xfId="38891" xr:uid="{00000000-0005-0000-0000-000020D10000}"/>
    <cellStyle name="Normal 87 8 2" xfId="38892" xr:uid="{00000000-0005-0000-0000-000021D10000}"/>
    <cellStyle name="Normal 87 8 2 2" xfId="38893" xr:uid="{00000000-0005-0000-0000-000022D10000}"/>
    <cellStyle name="Normal 87 8 3" xfId="38894" xr:uid="{00000000-0005-0000-0000-000023D10000}"/>
    <cellStyle name="Normal 87 8 3 2" xfId="38895" xr:uid="{00000000-0005-0000-0000-000024D10000}"/>
    <cellStyle name="Normal 87 8 4" xfId="38896" xr:uid="{00000000-0005-0000-0000-000025D10000}"/>
    <cellStyle name="Normal 87 9" xfId="38897" xr:uid="{00000000-0005-0000-0000-000026D10000}"/>
    <cellStyle name="Normal 87 9 2" xfId="38898" xr:uid="{00000000-0005-0000-0000-000027D10000}"/>
    <cellStyle name="Normal 87 9 2 2" xfId="38899" xr:uid="{00000000-0005-0000-0000-000028D10000}"/>
    <cellStyle name="Normal 87 9 3" xfId="38900" xr:uid="{00000000-0005-0000-0000-000029D10000}"/>
    <cellStyle name="Normal 88" xfId="38901" xr:uid="{00000000-0005-0000-0000-00002AD10000}"/>
    <cellStyle name="Normal 88 10" xfId="38902" xr:uid="{00000000-0005-0000-0000-00002BD10000}"/>
    <cellStyle name="Normal 88 10 2" xfId="38903" xr:uid="{00000000-0005-0000-0000-00002CD10000}"/>
    <cellStyle name="Normal 88 11" xfId="38904" xr:uid="{00000000-0005-0000-0000-00002DD10000}"/>
    <cellStyle name="Normal 88 11 2" xfId="38905" xr:uid="{00000000-0005-0000-0000-00002ED10000}"/>
    <cellStyle name="Normal 88 12" xfId="38906" xr:uid="{00000000-0005-0000-0000-00002FD10000}"/>
    <cellStyle name="Normal 88 13" xfId="38907" xr:uid="{00000000-0005-0000-0000-000030D10000}"/>
    <cellStyle name="Normal 88 2" xfId="38908" xr:uid="{00000000-0005-0000-0000-000031D10000}"/>
    <cellStyle name="Normal 88 2 10" xfId="38909" xr:uid="{00000000-0005-0000-0000-000032D10000}"/>
    <cellStyle name="Normal 88 2 10 2" xfId="38910" xr:uid="{00000000-0005-0000-0000-000033D10000}"/>
    <cellStyle name="Normal 88 2 11" xfId="38911" xr:uid="{00000000-0005-0000-0000-000034D10000}"/>
    <cellStyle name="Normal 88 2 2" xfId="38912" xr:uid="{00000000-0005-0000-0000-000035D10000}"/>
    <cellStyle name="Normal 88 2 2 2" xfId="38913" xr:uid="{00000000-0005-0000-0000-000036D10000}"/>
    <cellStyle name="Normal 88 2 2 2 2" xfId="38914" xr:uid="{00000000-0005-0000-0000-000037D10000}"/>
    <cellStyle name="Normal 88 2 2 2 2 2" xfId="38915" xr:uid="{00000000-0005-0000-0000-000038D10000}"/>
    <cellStyle name="Normal 88 2 2 2 3" xfId="38916" xr:uid="{00000000-0005-0000-0000-000039D10000}"/>
    <cellStyle name="Normal 88 2 2 2 3 2" xfId="38917" xr:uid="{00000000-0005-0000-0000-00003AD10000}"/>
    <cellStyle name="Normal 88 2 2 2 4" xfId="38918" xr:uid="{00000000-0005-0000-0000-00003BD10000}"/>
    <cellStyle name="Normal 88 2 2 3" xfId="38919" xr:uid="{00000000-0005-0000-0000-00003CD10000}"/>
    <cellStyle name="Normal 88 2 2 3 2" xfId="38920" xr:uid="{00000000-0005-0000-0000-00003DD10000}"/>
    <cellStyle name="Normal 88 2 2 3 2 2" xfId="38921" xr:uid="{00000000-0005-0000-0000-00003ED10000}"/>
    <cellStyle name="Normal 88 2 2 3 3" xfId="38922" xr:uid="{00000000-0005-0000-0000-00003FD10000}"/>
    <cellStyle name="Normal 88 2 2 3 3 2" xfId="38923" xr:uid="{00000000-0005-0000-0000-000040D10000}"/>
    <cellStyle name="Normal 88 2 2 3 4" xfId="38924" xr:uid="{00000000-0005-0000-0000-000041D10000}"/>
    <cellStyle name="Normal 88 2 2 4" xfId="38925" xr:uid="{00000000-0005-0000-0000-000042D10000}"/>
    <cellStyle name="Normal 88 2 2 4 2" xfId="38926" xr:uid="{00000000-0005-0000-0000-000043D10000}"/>
    <cellStyle name="Normal 88 2 2 5" xfId="38927" xr:uid="{00000000-0005-0000-0000-000044D10000}"/>
    <cellStyle name="Normal 88 2 2 5 2" xfId="38928" xr:uid="{00000000-0005-0000-0000-000045D10000}"/>
    <cellStyle name="Normal 88 2 2 6" xfId="38929" xr:uid="{00000000-0005-0000-0000-000046D10000}"/>
    <cellStyle name="Normal 88 2 3" xfId="38930" xr:uid="{00000000-0005-0000-0000-000047D10000}"/>
    <cellStyle name="Normal 88 2 3 2" xfId="38931" xr:uid="{00000000-0005-0000-0000-000048D10000}"/>
    <cellStyle name="Normal 88 2 3 2 2" xfId="38932" xr:uid="{00000000-0005-0000-0000-000049D10000}"/>
    <cellStyle name="Normal 88 2 3 3" xfId="38933" xr:uid="{00000000-0005-0000-0000-00004AD10000}"/>
    <cellStyle name="Normal 88 2 3 3 2" xfId="38934" xr:uid="{00000000-0005-0000-0000-00004BD10000}"/>
    <cellStyle name="Normal 88 2 3 4" xfId="38935" xr:uid="{00000000-0005-0000-0000-00004CD10000}"/>
    <cellStyle name="Normal 88 2 4" xfId="38936" xr:uid="{00000000-0005-0000-0000-00004DD10000}"/>
    <cellStyle name="Normal 88 2 4 2" xfId="38937" xr:uid="{00000000-0005-0000-0000-00004ED10000}"/>
    <cellStyle name="Normal 88 2 4 2 2" xfId="38938" xr:uid="{00000000-0005-0000-0000-00004FD10000}"/>
    <cellStyle name="Normal 88 2 4 3" xfId="38939" xr:uid="{00000000-0005-0000-0000-000050D10000}"/>
    <cellStyle name="Normal 88 2 4 3 2" xfId="38940" xr:uid="{00000000-0005-0000-0000-000051D10000}"/>
    <cellStyle name="Normal 88 2 4 4" xfId="38941" xr:uid="{00000000-0005-0000-0000-000052D10000}"/>
    <cellStyle name="Normal 88 2 5" xfId="38942" xr:uid="{00000000-0005-0000-0000-000053D10000}"/>
    <cellStyle name="Normal 88 2 5 2" xfId="38943" xr:uid="{00000000-0005-0000-0000-000054D10000}"/>
    <cellStyle name="Normal 88 2 5 2 2" xfId="38944" xr:uid="{00000000-0005-0000-0000-000055D10000}"/>
    <cellStyle name="Normal 88 2 5 3" xfId="38945" xr:uid="{00000000-0005-0000-0000-000056D10000}"/>
    <cellStyle name="Normal 88 2 5 3 2" xfId="38946" xr:uid="{00000000-0005-0000-0000-000057D10000}"/>
    <cellStyle name="Normal 88 2 5 4" xfId="38947" xr:uid="{00000000-0005-0000-0000-000058D10000}"/>
    <cellStyle name="Normal 88 2 6" xfId="38948" xr:uid="{00000000-0005-0000-0000-000059D10000}"/>
    <cellStyle name="Normal 88 2 6 2" xfId="38949" xr:uid="{00000000-0005-0000-0000-00005AD10000}"/>
    <cellStyle name="Normal 88 2 6 2 2" xfId="38950" xr:uid="{00000000-0005-0000-0000-00005BD10000}"/>
    <cellStyle name="Normal 88 2 6 3" xfId="38951" xr:uid="{00000000-0005-0000-0000-00005CD10000}"/>
    <cellStyle name="Normal 88 2 6 3 2" xfId="38952" xr:uid="{00000000-0005-0000-0000-00005DD10000}"/>
    <cellStyle name="Normal 88 2 6 4" xfId="38953" xr:uid="{00000000-0005-0000-0000-00005ED10000}"/>
    <cellStyle name="Normal 88 2 7" xfId="38954" xr:uid="{00000000-0005-0000-0000-00005FD10000}"/>
    <cellStyle name="Normal 88 2 7 2" xfId="38955" xr:uid="{00000000-0005-0000-0000-000060D10000}"/>
    <cellStyle name="Normal 88 2 7 2 2" xfId="38956" xr:uid="{00000000-0005-0000-0000-000061D10000}"/>
    <cellStyle name="Normal 88 2 7 3" xfId="38957" xr:uid="{00000000-0005-0000-0000-000062D10000}"/>
    <cellStyle name="Normal 88 2 7 3 2" xfId="38958" xr:uid="{00000000-0005-0000-0000-000063D10000}"/>
    <cellStyle name="Normal 88 2 7 4" xfId="38959" xr:uid="{00000000-0005-0000-0000-000064D10000}"/>
    <cellStyle name="Normal 88 2 8" xfId="38960" xr:uid="{00000000-0005-0000-0000-000065D10000}"/>
    <cellStyle name="Normal 88 2 8 2" xfId="38961" xr:uid="{00000000-0005-0000-0000-000066D10000}"/>
    <cellStyle name="Normal 88 2 8 2 2" xfId="38962" xr:uid="{00000000-0005-0000-0000-000067D10000}"/>
    <cellStyle name="Normal 88 2 8 3" xfId="38963" xr:uid="{00000000-0005-0000-0000-000068D10000}"/>
    <cellStyle name="Normal 88 2 9" xfId="38964" xr:uid="{00000000-0005-0000-0000-000069D10000}"/>
    <cellStyle name="Normal 88 2 9 2" xfId="38965" xr:uid="{00000000-0005-0000-0000-00006AD10000}"/>
    <cellStyle name="Normal 88 3" xfId="38966" xr:uid="{00000000-0005-0000-0000-00006BD10000}"/>
    <cellStyle name="Normal 88 3 2" xfId="38967" xr:uid="{00000000-0005-0000-0000-00006CD10000}"/>
    <cellStyle name="Normal 88 3 2 2" xfId="38968" xr:uid="{00000000-0005-0000-0000-00006DD10000}"/>
    <cellStyle name="Normal 88 3 2 2 2" xfId="38969" xr:uid="{00000000-0005-0000-0000-00006ED10000}"/>
    <cellStyle name="Normal 88 3 2 3" xfId="38970" xr:uid="{00000000-0005-0000-0000-00006FD10000}"/>
    <cellStyle name="Normal 88 3 2 3 2" xfId="38971" xr:uid="{00000000-0005-0000-0000-000070D10000}"/>
    <cellStyle name="Normal 88 3 2 4" xfId="38972" xr:uid="{00000000-0005-0000-0000-000071D10000}"/>
    <cellStyle name="Normal 88 3 3" xfId="38973" xr:uid="{00000000-0005-0000-0000-000072D10000}"/>
    <cellStyle name="Normal 88 3 3 2" xfId="38974" xr:uid="{00000000-0005-0000-0000-000073D10000}"/>
    <cellStyle name="Normal 88 3 3 2 2" xfId="38975" xr:uid="{00000000-0005-0000-0000-000074D10000}"/>
    <cellStyle name="Normal 88 3 3 3" xfId="38976" xr:uid="{00000000-0005-0000-0000-000075D10000}"/>
    <cellStyle name="Normal 88 3 3 3 2" xfId="38977" xr:uid="{00000000-0005-0000-0000-000076D10000}"/>
    <cellStyle name="Normal 88 3 3 4" xfId="38978" xr:uid="{00000000-0005-0000-0000-000077D10000}"/>
    <cellStyle name="Normal 88 3 4" xfId="38979" xr:uid="{00000000-0005-0000-0000-000078D10000}"/>
    <cellStyle name="Normal 88 3 4 2" xfId="38980" xr:uid="{00000000-0005-0000-0000-000079D10000}"/>
    <cellStyle name="Normal 88 3 5" xfId="38981" xr:uid="{00000000-0005-0000-0000-00007AD10000}"/>
    <cellStyle name="Normal 88 3 5 2" xfId="38982" xr:uid="{00000000-0005-0000-0000-00007BD10000}"/>
    <cellStyle name="Normal 88 3 6" xfId="38983" xr:uid="{00000000-0005-0000-0000-00007CD10000}"/>
    <cellStyle name="Normal 88 4" xfId="38984" xr:uid="{00000000-0005-0000-0000-00007DD10000}"/>
    <cellStyle name="Normal 88 4 2" xfId="38985" xr:uid="{00000000-0005-0000-0000-00007ED10000}"/>
    <cellStyle name="Normal 88 4 2 2" xfId="38986" xr:uid="{00000000-0005-0000-0000-00007FD10000}"/>
    <cellStyle name="Normal 88 4 3" xfId="38987" xr:uid="{00000000-0005-0000-0000-000080D10000}"/>
    <cellStyle name="Normal 88 4 3 2" xfId="38988" xr:uid="{00000000-0005-0000-0000-000081D10000}"/>
    <cellStyle name="Normal 88 4 4" xfId="38989" xr:uid="{00000000-0005-0000-0000-000082D10000}"/>
    <cellStyle name="Normal 88 5" xfId="38990" xr:uid="{00000000-0005-0000-0000-000083D10000}"/>
    <cellStyle name="Normal 88 5 2" xfId="38991" xr:uid="{00000000-0005-0000-0000-000084D10000}"/>
    <cellStyle name="Normal 88 5 2 2" xfId="38992" xr:uid="{00000000-0005-0000-0000-000085D10000}"/>
    <cellStyle name="Normal 88 5 3" xfId="38993" xr:uid="{00000000-0005-0000-0000-000086D10000}"/>
    <cellStyle name="Normal 88 5 3 2" xfId="38994" xr:uid="{00000000-0005-0000-0000-000087D10000}"/>
    <cellStyle name="Normal 88 5 4" xfId="38995" xr:uid="{00000000-0005-0000-0000-000088D10000}"/>
    <cellStyle name="Normal 88 6" xfId="38996" xr:uid="{00000000-0005-0000-0000-000089D10000}"/>
    <cellStyle name="Normal 88 6 2" xfId="38997" xr:uid="{00000000-0005-0000-0000-00008AD10000}"/>
    <cellStyle name="Normal 88 6 2 2" xfId="38998" xr:uid="{00000000-0005-0000-0000-00008BD10000}"/>
    <cellStyle name="Normal 88 6 3" xfId="38999" xr:uid="{00000000-0005-0000-0000-00008CD10000}"/>
    <cellStyle name="Normal 88 6 3 2" xfId="39000" xr:uid="{00000000-0005-0000-0000-00008DD10000}"/>
    <cellStyle name="Normal 88 6 4" xfId="39001" xr:uid="{00000000-0005-0000-0000-00008ED10000}"/>
    <cellStyle name="Normal 88 7" xfId="39002" xr:uid="{00000000-0005-0000-0000-00008FD10000}"/>
    <cellStyle name="Normal 88 7 2" xfId="39003" xr:uid="{00000000-0005-0000-0000-000090D10000}"/>
    <cellStyle name="Normal 88 7 2 2" xfId="39004" xr:uid="{00000000-0005-0000-0000-000091D10000}"/>
    <cellStyle name="Normal 88 7 3" xfId="39005" xr:uid="{00000000-0005-0000-0000-000092D10000}"/>
    <cellStyle name="Normal 88 7 3 2" xfId="39006" xr:uid="{00000000-0005-0000-0000-000093D10000}"/>
    <cellStyle name="Normal 88 7 4" xfId="39007" xr:uid="{00000000-0005-0000-0000-000094D10000}"/>
    <cellStyle name="Normal 88 8" xfId="39008" xr:uid="{00000000-0005-0000-0000-000095D10000}"/>
    <cellStyle name="Normal 88 8 2" xfId="39009" xr:uid="{00000000-0005-0000-0000-000096D10000}"/>
    <cellStyle name="Normal 88 8 2 2" xfId="39010" xr:uid="{00000000-0005-0000-0000-000097D10000}"/>
    <cellStyle name="Normal 88 8 3" xfId="39011" xr:uid="{00000000-0005-0000-0000-000098D10000}"/>
    <cellStyle name="Normal 88 8 3 2" xfId="39012" xr:uid="{00000000-0005-0000-0000-000099D10000}"/>
    <cellStyle name="Normal 88 8 4" xfId="39013" xr:uid="{00000000-0005-0000-0000-00009AD10000}"/>
    <cellStyle name="Normal 88 9" xfId="39014" xr:uid="{00000000-0005-0000-0000-00009BD10000}"/>
    <cellStyle name="Normal 88 9 2" xfId="39015" xr:uid="{00000000-0005-0000-0000-00009CD10000}"/>
    <cellStyle name="Normal 88 9 2 2" xfId="39016" xr:uid="{00000000-0005-0000-0000-00009DD10000}"/>
    <cellStyle name="Normal 88 9 3" xfId="39017" xr:uid="{00000000-0005-0000-0000-00009ED10000}"/>
    <cellStyle name="Normal 89" xfId="39018" xr:uid="{00000000-0005-0000-0000-00009FD10000}"/>
    <cellStyle name="Normal 89 10" xfId="39019" xr:uid="{00000000-0005-0000-0000-0000A0D10000}"/>
    <cellStyle name="Normal 89 10 2" xfId="39020" xr:uid="{00000000-0005-0000-0000-0000A1D10000}"/>
    <cellStyle name="Normal 89 11" xfId="39021" xr:uid="{00000000-0005-0000-0000-0000A2D10000}"/>
    <cellStyle name="Normal 89 11 2" xfId="39022" xr:uid="{00000000-0005-0000-0000-0000A3D10000}"/>
    <cellStyle name="Normal 89 12" xfId="39023" xr:uid="{00000000-0005-0000-0000-0000A4D10000}"/>
    <cellStyle name="Normal 89 13" xfId="39024" xr:uid="{00000000-0005-0000-0000-0000A5D10000}"/>
    <cellStyle name="Normal 89 2" xfId="39025" xr:uid="{00000000-0005-0000-0000-0000A6D10000}"/>
    <cellStyle name="Normal 89 2 10" xfId="39026" xr:uid="{00000000-0005-0000-0000-0000A7D10000}"/>
    <cellStyle name="Normal 89 2 10 2" xfId="39027" xr:uid="{00000000-0005-0000-0000-0000A8D10000}"/>
    <cellStyle name="Normal 89 2 11" xfId="39028" xr:uid="{00000000-0005-0000-0000-0000A9D10000}"/>
    <cellStyle name="Normal 89 2 2" xfId="39029" xr:uid="{00000000-0005-0000-0000-0000AAD10000}"/>
    <cellStyle name="Normal 89 2 2 2" xfId="39030" xr:uid="{00000000-0005-0000-0000-0000ABD10000}"/>
    <cellStyle name="Normal 89 2 2 2 2" xfId="39031" xr:uid="{00000000-0005-0000-0000-0000ACD10000}"/>
    <cellStyle name="Normal 89 2 2 2 2 2" xfId="39032" xr:uid="{00000000-0005-0000-0000-0000ADD10000}"/>
    <cellStyle name="Normal 89 2 2 2 3" xfId="39033" xr:uid="{00000000-0005-0000-0000-0000AED10000}"/>
    <cellStyle name="Normal 89 2 2 2 3 2" xfId="39034" xr:uid="{00000000-0005-0000-0000-0000AFD10000}"/>
    <cellStyle name="Normal 89 2 2 2 4" xfId="39035" xr:uid="{00000000-0005-0000-0000-0000B0D10000}"/>
    <cellStyle name="Normal 89 2 2 3" xfId="39036" xr:uid="{00000000-0005-0000-0000-0000B1D10000}"/>
    <cellStyle name="Normal 89 2 2 3 2" xfId="39037" xr:uid="{00000000-0005-0000-0000-0000B2D10000}"/>
    <cellStyle name="Normal 89 2 2 3 2 2" xfId="39038" xr:uid="{00000000-0005-0000-0000-0000B3D10000}"/>
    <cellStyle name="Normal 89 2 2 3 3" xfId="39039" xr:uid="{00000000-0005-0000-0000-0000B4D10000}"/>
    <cellStyle name="Normal 89 2 2 3 3 2" xfId="39040" xr:uid="{00000000-0005-0000-0000-0000B5D10000}"/>
    <cellStyle name="Normal 89 2 2 3 4" xfId="39041" xr:uid="{00000000-0005-0000-0000-0000B6D10000}"/>
    <cellStyle name="Normal 89 2 2 4" xfId="39042" xr:uid="{00000000-0005-0000-0000-0000B7D10000}"/>
    <cellStyle name="Normal 89 2 2 4 2" xfId="39043" xr:uid="{00000000-0005-0000-0000-0000B8D10000}"/>
    <cellStyle name="Normal 89 2 2 5" xfId="39044" xr:uid="{00000000-0005-0000-0000-0000B9D10000}"/>
    <cellStyle name="Normal 89 2 2 5 2" xfId="39045" xr:uid="{00000000-0005-0000-0000-0000BAD10000}"/>
    <cellStyle name="Normal 89 2 2 6" xfId="39046" xr:uid="{00000000-0005-0000-0000-0000BBD10000}"/>
    <cellStyle name="Normal 89 2 3" xfId="39047" xr:uid="{00000000-0005-0000-0000-0000BCD10000}"/>
    <cellStyle name="Normal 89 2 3 2" xfId="39048" xr:uid="{00000000-0005-0000-0000-0000BDD10000}"/>
    <cellStyle name="Normal 89 2 3 2 2" xfId="39049" xr:uid="{00000000-0005-0000-0000-0000BED10000}"/>
    <cellStyle name="Normal 89 2 3 3" xfId="39050" xr:uid="{00000000-0005-0000-0000-0000BFD10000}"/>
    <cellStyle name="Normal 89 2 3 3 2" xfId="39051" xr:uid="{00000000-0005-0000-0000-0000C0D10000}"/>
    <cellStyle name="Normal 89 2 3 4" xfId="39052" xr:uid="{00000000-0005-0000-0000-0000C1D10000}"/>
    <cellStyle name="Normal 89 2 4" xfId="39053" xr:uid="{00000000-0005-0000-0000-0000C2D10000}"/>
    <cellStyle name="Normal 89 2 4 2" xfId="39054" xr:uid="{00000000-0005-0000-0000-0000C3D10000}"/>
    <cellStyle name="Normal 89 2 4 2 2" xfId="39055" xr:uid="{00000000-0005-0000-0000-0000C4D10000}"/>
    <cellStyle name="Normal 89 2 4 3" xfId="39056" xr:uid="{00000000-0005-0000-0000-0000C5D10000}"/>
    <cellStyle name="Normal 89 2 4 3 2" xfId="39057" xr:uid="{00000000-0005-0000-0000-0000C6D10000}"/>
    <cellStyle name="Normal 89 2 4 4" xfId="39058" xr:uid="{00000000-0005-0000-0000-0000C7D10000}"/>
    <cellStyle name="Normal 89 2 5" xfId="39059" xr:uid="{00000000-0005-0000-0000-0000C8D10000}"/>
    <cellStyle name="Normal 89 2 5 2" xfId="39060" xr:uid="{00000000-0005-0000-0000-0000C9D10000}"/>
    <cellStyle name="Normal 89 2 5 2 2" xfId="39061" xr:uid="{00000000-0005-0000-0000-0000CAD10000}"/>
    <cellStyle name="Normal 89 2 5 3" xfId="39062" xr:uid="{00000000-0005-0000-0000-0000CBD10000}"/>
    <cellStyle name="Normal 89 2 5 3 2" xfId="39063" xr:uid="{00000000-0005-0000-0000-0000CCD10000}"/>
    <cellStyle name="Normal 89 2 5 4" xfId="39064" xr:uid="{00000000-0005-0000-0000-0000CDD10000}"/>
    <cellStyle name="Normal 89 2 6" xfId="39065" xr:uid="{00000000-0005-0000-0000-0000CED10000}"/>
    <cellStyle name="Normal 89 2 6 2" xfId="39066" xr:uid="{00000000-0005-0000-0000-0000CFD10000}"/>
    <cellStyle name="Normal 89 2 6 2 2" xfId="39067" xr:uid="{00000000-0005-0000-0000-0000D0D10000}"/>
    <cellStyle name="Normal 89 2 6 3" xfId="39068" xr:uid="{00000000-0005-0000-0000-0000D1D10000}"/>
    <cellStyle name="Normal 89 2 6 3 2" xfId="39069" xr:uid="{00000000-0005-0000-0000-0000D2D10000}"/>
    <cellStyle name="Normal 89 2 6 4" xfId="39070" xr:uid="{00000000-0005-0000-0000-0000D3D10000}"/>
    <cellStyle name="Normal 89 2 7" xfId="39071" xr:uid="{00000000-0005-0000-0000-0000D4D10000}"/>
    <cellStyle name="Normal 89 2 7 2" xfId="39072" xr:uid="{00000000-0005-0000-0000-0000D5D10000}"/>
    <cellStyle name="Normal 89 2 7 2 2" xfId="39073" xr:uid="{00000000-0005-0000-0000-0000D6D10000}"/>
    <cellStyle name="Normal 89 2 7 3" xfId="39074" xr:uid="{00000000-0005-0000-0000-0000D7D10000}"/>
    <cellStyle name="Normal 89 2 7 3 2" xfId="39075" xr:uid="{00000000-0005-0000-0000-0000D8D10000}"/>
    <cellStyle name="Normal 89 2 7 4" xfId="39076" xr:uid="{00000000-0005-0000-0000-0000D9D10000}"/>
    <cellStyle name="Normal 89 2 8" xfId="39077" xr:uid="{00000000-0005-0000-0000-0000DAD10000}"/>
    <cellStyle name="Normal 89 2 8 2" xfId="39078" xr:uid="{00000000-0005-0000-0000-0000DBD10000}"/>
    <cellStyle name="Normal 89 2 8 2 2" xfId="39079" xr:uid="{00000000-0005-0000-0000-0000DCD10000}"/>
    <cellStyle name="Normal 89 2 8 3" xfId="39080" xr:uid="{00000000-0005-0000-0000-0000DDD10000}"/>
    <cellStyle name="Normal 89 2 9" xfId="39081" xr:uid="{00000000-0005-0000-0000-0000DED10000}"/>
    <cellStyle name="Normal 89 2 9 2" xfId="39082" xr:uid="{00000000-0005-0000-0000-0000DFD10000}"/>
    <cellStyle name="Normal 89 3" xfId="39083" xr:uid="{00000000-0005-0000-0000-0000E0D10000}"/>
    <cellStyle name="Normal 89 3 2" xfId="39084" xr:uid="{00000000-0005-0000-0000-0000E1D10000}"/>
    <cellStyle name="Normal 89 3 2 2" xfId="39085" xr:uid="{00000000-0005-0000-0000-0000E2D10000}"/>
    <cellStyle name="Normal 89 3 2 2 2" xfId="39086" xr:uid="{00000000-0005-0000-0000-0000E3D10000}"/>
    <cellStyle name="Normal 89 3 2 3" xfId="39087" xr:uid="{00000000-0005-0000-0000-0000E4D10000}"/>
    <cellStyle name="Normal 89 3 2 3 2" xfId="39088" xr:uid="{00000000-0005-0000-0000-0000E5D10000}"/>
    <cellStyle name="Normal 89 3 2 4" xfId="39089" xr:uid="{00000000-0005-0000-0000-0000E6D10000}"/>
    <cellStyle name="Normal 89 3 3" xfId="39090" xr:uid="{00000000-0005-0000-0000-0000E7D10000}"/>
    <cellStyle name="Normal 89 3 3 2" xfId="39091" xr:uid="{00000000-0005-0000-0000-0000E8D10000}"/>
    <cellStyle name="Normal 89 3 3 2 2" xfId="39092" xr:uid="{00000000-0005-0000-0000-0000E9D10000}"/>
    <cellStyle name="Normal 89 3 3 3" xfId="39093" xr:uid="{00000000-0005-0000-0000-0000EAD10000}"/>
    <cellStyle name="Normal 89 3 3 3 2" xfId="39094" xr:uid="{00000000-0005-0000-0000-0000EBD10000}"/>
    <cellStyle name="Normal 89 3 3 4" xfId="39095" xr:uid="{00000000-0005-0000-0000-0000ECD10000}"/>
    <cellStyle name="Normal 89 3 4" xfId="39096" xr:uid="{00000000-0005-0000-0000-0000EDD10000}"/>
    <cellStyle name="Normal 89 3 4 2" xfId="39097" xr:uid="{00000000-0005-0000-0000-0000EED10000}"/>
    <cellStyle name="Normal 89 3 5" xfId="39098" xr:uid="{00000000-0005-0000-0000-0000EFD10000}"/>
    <cellStyle name="Normal 89 3 5 2" xfId="39099" xr:uid="{00000000-0005-0000-0000-0000F0D10000}"/>
    <cellStyle name="Normal 89 3 6" xfId="39100" xr:uid="{00000000-0005-0000-0000-0000F1D10000}"/>
    <cellStyle name="Normal 89 4" xfId="39101" xr:uid="{00000000-0005-0000-0000-0000F2D10000}"/>
    <cellStyle name="Normal 89 4 2" xfId="39102" xr:uid="{00000000-0005-0000-0000-0000F3D10000}"/>
    <cellStyle name="Normal 89 4 2 2" xfId="39103" xr:uid="{00000000-0005-0000-0000-0000F4D10000}"/>
    <cellStyle name="Normal 89 4 3" xfId="39104" xr:uid="{00000000-0005-0000-0000-0000F5D10000}"/>
    <cellStyle name="Normal 89 4 3 2" xfId="39105" xr:uid="{00000000-0005-0000-0000-0000F6D10000}"/>
    <cellStyle name="Normal 89 4 4" xfId="39106" xr:uid="{00000000-0005-0000-0000-0000F7D10000}"/>
    <cellStyle name="Normal 89 5" xfId="39107" xr:uid="{00000000-0005-0000-0000-0000F8D10000}"/>
    <cellStyle name="Normal 89 5 2" xfId="39108" xr:uid="{00000000-0005-0000-0000-0000F9D10000}"/>
    <cellStyle name="Normal 89 5 2 2" xfId="39109" xr:uid="{00000000-0005-0000-0000-0000FAD10000}"/>
    <cellStyle name="Normal 89 5 3" xfId="39110" xr:uid="{00000000-0005-0000-0000-0000FBD10000}"/>
    <cellStyle name="Normal 89 5 3 2" xfId="39111" xr:uid="{00000000-0005-0000-0000-0000FCD10000}"/>
    <cellStyle name="Normal 89 5 4" xfId="39112" xr:uid="{00000000-0005-0000-0000-0000FDD10000}"/>
    <cellStyle name="Normal 89 6" xfId="39113" xr:uid="{00000000-0005-0000-0000-0000FED10000}"/>
    <cellStyle name="Normal 89 6 2" xfId="39114" xr:uid="{00000000-0005-0000-0000-0000FFD10000}"/>
    <cellStyle name="Normal 89 6 2 2" xfId="39115" xr:uid="{00000000-0005-0000-0000-000000D20000}"/>
    <cellStyle name="Normal 89 6 3" xfId="39116" xr:uid="{00000000-0005-0000-0000-000001D20000}"/>
    <cellStyle name="Normal 89 6 3 2" xfId="39117" xr:uid="{00000000-0005-0000-0000-000002D20000}"/>
    <cellStyle name="Normal 89 6 4" xfId="39118" xr:uid="{00000000-0005-0000-0000-000003D20000}"/>
    <cellStyle name="Normal 89 7" xfId="39119" xr:uid="{00000000-0005-0000-0000-000004D20000}"/>
    <cellStyle name="Normal 89 7 2" xfId="39120" xr:uid="{00000000-0005-0000-0000-000005D20000}"/>
    <cellStyle name="Normal 89 7 2 2" xfId="39121" xr:uid="{00000000-0005-0000-0000-000006D20000}"/>
    <cellStyle name="Normal 89 7 3" xfId="39122" xr:uid="{00000000-0005-0000-0000-000007D20000}"/>
    <cellStyle name="Normal 89 7 3 2" xfId="39123" xr:uid="{00000000-0005-0000-0000-000008D20000}"/>
    <cellStyle name="Normal 89 7 4" xfId="39124" xr:uid="{00000000-0005-0000-0000-000009D20000}"/>
    <cellStyle name="Normal 89 8" xfId="39125" xr:uid="{00000000-0005-0000-0000-00000AD20000}"/>
    <cellStyle name="Normal 89 8 2" xfId="39126" xr:uid="{00000000-0005-0000-0000-00000BD20000}"/>
    <cellStyle name="Normal 89 8 2 2" xfId="39127" xr:uid="{00000000-0005-0000-0000-00000CD20000}"/>
    <cellStyle name="Normal 89 8 3" xfId="39128" xr:uid="{00000000-0005-0000-0000-00000DD20000}"/>
    <cellStyle name="Normal 89 8 3 2" xfId="39129" xr:uid="{00000000-0005-0000-0000-00000ED20000}"/>
    <cellStyle name="Normal 89 8 4" xfId="39130" xr:uid="{00000000-0005-0000-0000-00000FD20000}"/>
    <cellStyle name="Normal 89 9" xfId="39131" xr:uid="{00000000-0005-0000-0000-000010D20000}"/>
    <cellStyle name="Normal 89 9 2" xfId="39132" xr:uid="{00000000-0005-0000-0000-000011D20000}"/>
    <cellStyle name="Normal 89 9 2 2" xfId="39133" xr:uid="{00000000-0005-0000-0000-000012D20000}"/>
    <cellStyle name="Normal 89 9 3" xfId="39134" xr:uid="{00000000-0005-0000-0000-000013D20000}"/>
    <cellStyle name="Normal 9" xfId="39135" xr:uid="{00000000-0005-0000-0000-000014D20000}"/>
    <cellStyle name="Normal 9 10" xfId="39136" xr:uid="{00000000-0005-0000-0000-000015D20000}"/>
    <cellStyle name="Normal 9 10 2" xfId="39137" xr:uid="{00000000-0005-0000-0000-000016D20000}"/>
    <cellStyle name="Normal 9 10 2 2" xfId="39138" xr:uid="{00000000-0005-0000-0000-000017D20000}"/>
    <cellStyle name="Normal 9 10 2 2 2" xfId="39139" xr:uid="{00000000-0005-0000-0000-000018D20000}"/>
    <cellStyle name="Normal 9 10 2 2 2 2" xfId="60669" xr:uid="{00000000-0005-0000-0000-000019D20000}"/>
    <cellStyle name="Normal 9 10 2 2 2 3" xfId="60670" xr:uid="{00000000-0005-0000-0000-00001AD20000}"/>
    <cellStyle name="Normal 9 10 2 2 3" xfId="39140" xr:uid="{00000000-0005-0000-0000-00001BD20000}"/>
    <cellStyle name="Normal 9 10 2 2 3 2" xfId="60671" xr:uid="{00000000-0005-0000-0000-00001CD20000}"/>
    <cellStyle name="Normal 9 10 2 2 4" xfId="39141" xr:uid="{00000000-0005-0000-0000-00001DD20000}"/>
    <cellStyle name="Normal 9 10 2 2 5" xfId="39142" xr:uid="{00000000-0005-0000-0000-00001ED20000}"/>
    <cellStyle name="Normal 9 10 2 2 6" xfId="39143" xr:uid="{00000000-0005-0000-0000-00001FD20000}"/>
    <cellStyle name="Normal 9 10 2 3" xfId="39144" xr:uid="{00000000-0005-0000-0000-000020D20000}"/>
    <cellStyle name="Normal 9 10 2 3 2" xfId="60672" xr:uid="{00000000-0005-0000-0000-000021D20000}"/>
    <cellStyle name="Normal 9 10 2 3 3" xfId="60673" xr:uid="{00000000-0005-0000-0000-000022D20000}"/>
    <cellStyle name="Normal 9 10 2 4" xfId="39145" xr:uid="{00000000-0005-0000-0000-000023D20000}"/>
    <cellStyle name="Normal 9 10 2 4 2" xfId="60674" xr:uid="{00000000-0005-0000-0000-000024D20000}"/>
    <cellStyle name="Normal 9 10 2 5" xfId="39146" xr:uid="{00000000-0005-0000-0000-000025D20000}"/>
    <cellStyle name="Normal 9 10 2 6" xfId="39147" xr:uid="{00000000-0005-0000-0000-000026D20000}"/>
    <cellStyle name="Normal 9 10 2 7" xfId="39148" xr:uid="{00000000-0005-0000-0000-000027D20000}"/>
    <cellStyle name="Normal 9 10 3" xfId="39149" xr:uid="{00000000-0005-0000-0000-000028D20000}"/>
    <cellStyle name="Normal 9 10 3 2" xfId="39150" xr:uid="{00000000-0005-0000-0000-000029D20000}"/>
    <cellStyle name="Normal 9 10 3 2 2" xfId="60675" xr:uid="{00000000-0005-0000-0000-00002AD20000}"/>
    <cellStyle name="Normal 9 10 3 2 3" xfId="60676" xr:uid="{00000000-0005-0000-0000-00002BD20000}"/>
    <cellStyle name="Normal 9 10 3 3" xfId="39151" xr:uid="{00000000-0005-0000-0000-00002CD20000}"/>
    <cellStyle name="Normal 9 10 3 3 2" xfId="60677" xr:uid="{00000000-0005-0000-0000-00002DD20000}"/>
    <cellStyle name="Normal 9 10 3 4" xfId="39152" xr:uid="{00000000-0005-0000-0000-00002ED20000}"/>
    <cellStyle name="Normal 9 10 3 5" xfId="39153" xr:uid="{00000000-0005-0000-0000-00002FD20000}"/>
    <cellStyle name="Normal 9 10 3 6" xfId="39154" xr:uid="{00000000-0005-0000-0000-000030D20000}"/>
    <cellStyle name="Normal 9 10 4" xfId="39155" xr:uid="{00000000-0005-0000-0000-000031D20000}"/>
    <cellStyle name="Normal 9 10 4 2" xfId="60678" xr:uid="{00000000-0005-0000-0000-000032D20000}"/>
    <cellStyle name="Normal 9 10 4 3" xfId="60679" xr:uid="{00000000-0005-0000-0000-000033D20000}"/>
    <cellStyle name="Normal 9 10 5" xfId="39156" xr:uid="{00000000-0005-0000-0000-000034D20000}"/>
    <cellStyle name="Normal 9 10 5 2" xfId="60680" xr:uid="{00000000-0005-0000-0000-000035D20000}"/>
    <cellStyle name="Normal 9 10 6" xfId="39157" xr:uid="{00000000-0005-0000-0000-000036D20000}"/>
    <cellStyle name="Normal 9 10 7" xfId="39158" xr:uid="{00000000-0005-0000-0000-000037D20000}"/>
    <cellStyle name="Normal 9 10 8" xfId="39159" xr:uid="{00000000-0005-0000-0000-000038D20000}"/>
    <cellStyle name="Normal 9 11" xfId="39160" xr:uid="{00000000-0005-0000-0000-000039D20000}"/>
    <cellStyle name="Normal 9 11 2" xfId="39161" xr:uid="{00000000-0005-0000-0000-00003AD20000}"/>
    <cellStyle name="Normal 9 11 2 2" xfId="39162" xr:uid="{00000000-0005-0000-0000-00003BD20000}"/>
    <cellStyle name="Normal 9 11 2 2 2" xfId="39163" xr:uid="{00000000-0005-0000-0000-00003CD20000}"/>
    <cellStyle name="Normal 9 11 2 2 2 2" xfId="60681" xr:uid="{00000000-0005-0000-0000-00003DD20000}"/>
    <cellStyle name="Normal 9 11 2 2 2 3" xfId="60682" xr:uid="{00000000-0005-0000-0000-00003ED20000}"/>
    <cellStyle name="Normal 9 11 2 2 3" xfId="39164" xr:uid="{00000000-0005-0000-0000-00003FD20000}"/>
    <cellStyle name="Normal 9 11 2 2 3 2" xfId="60683" xr:uid="{00000000-0005-0000-0000-000040D20000}"/>
    <cellStyle name="Normal 9 11 2 2 4" xfId="39165" xr:uid="{00000000-0005-0000-0000-000041D20000}"/>
    <cellStyle name="Normal 9 11 2 2 5" xfId="39166" xr:uid="{00000000-0005-0000-0000-000042D20000}"/>
    <cellStyle name="Normal 9 11 2 2 6" xfId="39167" xr:uid="{00000000-0005-0000-0000-000043D20000}"/>
    <cellStyle name="Normal 9 11 2 3" xfId="39168" xr:uid="{00000000-0005-0000-0000-000044D20000}"/>
    <cellStyle name="Normal 9 11 2 3 2" xfId="60684" xr:uid="{00000000-0005-0000-0000-000045D20000}"/>
    <cellStyle name="Normal 9 11 2 3 3" xfId="60685" xr:uid="{00000000-0005-0000-0000-000046D20000}"/>
    <cellStyle name="Normal 9 11 2 4" xfId="39169" xr:uid="{00000000-0005-0000-0000-000047D20000}"/>
    <cellStyle name="Normal 9 11 2 4 2" xfId="60686" xr:uid="{00000000-0005-0000-0000-000048D20000}"/>
    <cellStyle name="Normal 9 11 2 5" xfId="39170" xr:uid="{00000000-0005-0000-0000-000049D20000}"/>
    <cellStyle name="Normal 9 11 2 6" xfId="39171" xr:uid="{00000000-0005-0000-0000-00004AD20000}"/>
    <cellStyle name="Normal 9 11 2 7" xfId="39172" xr:uid="{00000000-0005-0000-0000-00004BD20000}"/>
    <cellStyle name="Normal 9 11 3" xfId="39173" xr:uid="{00000000-0005-0000-0000-00004CD20000}"/>
    <cellStyle name="Normal 9 11 3 2" xfId="39174" xr:uid="{00000000-0005-0000-0000-00004DD20000}"/>
    <cellStyle name="Normal 9 11 3 2 2" xfId="60687" xr:uid="{00000000-0005-0000-0000-00004ED20000}"/>
    <cellStyle name="Normal 9 11 3 2 3" xfId="60688" xr:uid="{00000000-0005-0000-0000-00004FD20000}"/>
    <cellStyle name="Normal 9 11 3 3" xfId="39175" xr:uid="{00000000-0005-0000-0000-000050D20000}"/>
    <cellStyle name="Normal 9 11 3 3 2" xfId="60689" xr:uid="{00000000-0005-0000-0000-000051D20000}"/>
    <cellStyle name="Normal 9 11 3 4" xfId="39176" xr:uid="{00000000-0005-0000-0000-000052D20000}"/>
    <cellStyle name="Normal 9 11 3 5" xfId="39177" xr:uid="{00000000-0005-0000-0000-000053D20000}"/>
    <cellStyle name="Normal 9 11 3 6" xfId="39178" xr:uid="{00000000-0005-0000-0000-000054D20000}"/>
    <cellStyle name="Normal 9 11 4" xfId="39179" xr:uid="{00000000-0005-0000-0000-000055D20000}"/>
    <cellStyle name="Normal 9 11 4 2" xfId="60690" xr:uid="{00000000-0005-0000-0000-000056D20000}"/>
    <cellStyle name="Normal 9 11 4 3" xfId="60691" xr:uid="{00000000-0005-0000-0000-000057D20000}"/>
    <cellStyle name="Normal 9 11 5" xfId="39180" xr:uid="{00000000-0005-0000-0000-000058D20000}"/>
    <cellStyle name="Normal 9 11 5 2" xfId="60692" xr:uid="{00000000-0005-0000-0000-000059D20000}"/>
    <cellStyle name="Normal 9 11 6" xfId="39181" xr:uid="{00000000-0005-0000-0000-00005AD20000}"/>
    <cellStyle name="Normal 9 11 7" xfId="39182" xr:uid="{00000000-0005-0000-0000-00005BD20000}"/>
    <cellStyle name="Normal 9 11 8" xfId="39183" xr:uid="{00000000-0005-0000-0000-00005CD20000}"/>
    <cellStyle name="Normal 9 12" xfId="39184" xr:uid="{00000000-0005-0000-0000-00005DD20000}"/>
    <cellStyle name="Normal 9 12 2" xfId="39185" xr:uid="{00000000-0005-0000-0000-00005ED20000}"/>
    <cellStyle name="Normal 9 12 2 2" xfId="39186" xr:uid="{00000000-0005-0000-0000-00005FD20000}"/>
    <cellStyle name="Normal 9 12 2 2 2" xfId="60693" xr:uid="{00000000-0005-0000-0000-000060D20000}"/>
    <cellStyle name="Normal 9 12 2 2 3" xfId="60694" xr:uid="{00000000-0005-0000-0000-000061D20000}"/>
    <cellStyle name="Normal 9 12 2 3" xfId="39187" xr:uid="{00000000-0005-0000-0000-000062D20000}"/>
    <cellStyle name="Normal 9 12 2 3 2" xfId="60695" xr:uid="{00000000-0005-0000-0000-000063D20000}"/>
    <cellStyle name="Normal 9 12 2 4" xfId="39188" xr:uid="{00000000-0005-0000-0000-000064D20000}"/>
    <cellStyle name="Normal 9 12 2 5" xfId="39189" xr:uid="{00000000-0005-0000-0000-000065D20000}"/>
    <cellStyle name="Normal 9 12 2 6" xfId="39190" xr:uid="{00000000-0005-0000-0000-000066D20000}"/>
    <cellStyle name="Normal 9 12 3" xfId="39191" xr:uid="{00000000-0005-0000-0000-000067D20000}"/>
    <cellStyle name="Normal 9 12 3 2" xfId="60696" xr:uid="{00000000-0005-0000-0000-000068D20000}"/>
    <cellStyle name="Normal 9 12 3 3" xfId="60697" xr:uid="{00000000-0005-0000-0000-000069D20000}"/>
    <cellStyle name="Normal 9 12 4" xfId="39192" xr:uid="{00000000-0005-0000-0000-00006AD20000}"/>
    <cellStyle name="Normal 9 12 4 2" xfId="60698" xr:uid="{00000000-0005-0000-0000-00006BD20000}"/>
    <cellStyle name="Normal 9 12 5" xfId="39193" xr:uid="{00000000-0005-0000-0000-00006CD20000}"/>
    <cellStyle name="Normal 9 12 6" xfId="39194" xr:uid="{00000000-0005-0000-0000-00006DD20000}"/>
    <cellStyle name="Normal 9 12 7" xfId="39195" xr:uid="{00000000-0005-0000-0000-00006ED20000}"/>
    <cellStyle name="Normal 9 13" xfId="39196" xr:uid="{00000000-0005-0000-0000-00006FD20000}"/>
    <cellStyle name="Normal 9 13 2" xfId="39197" xr:uid="{00000000-0005-0000-0000-000070D20000}"/>
    <cellStyle name="Normal 9 13 2 2" xfId="60699" xr:uid="{00000000-0005-0000-0000-000071D20000}"/>
    <cellStyle name="Normal 9 13 2 3" xfId="60700" xr:uid="{00000000-0005-0000-0000-000072D20000}"/>
    <cellStyle name="Normal 9 13 3" xfId="39198" xr:uid="{00000000-0005-0000-0000-000073D20000}"/>
    <cellStyle name="Normal 9 13 3 2" xfId="60701" xr:uid="{00000000-0005-0000-0000-000074D20000}"/>
    <cellStyle name="Normal 9 13 4" xfId="39199" xr:uid="{00000000-0005-0000-0000-000075D20000}"/>
    <cellStyle name="Normal 9 13 5" xfId="39200" xr:uid="{00000000-0005-0000-0000-000076D20000}"/>
    <cellStyle name="Normal 9 13 6" xfId="39201" xr:uid="{00000000-0005-0000-0000-000077D20000}"/>
    <cellStyle name="Normal 9 14" xfId="39202" xr:uid="{00000000-0005-0000-0000-000078D20000}"/>
    <cellStyle name="Normal 9 14 2" xfId="60702" xr:uid="{00000000-0005-0000-0000-000079D20000}"/>
    <cellStyle name="Normal 9 14 3" xfId="60703" xr:uid="{00000000-0005-0000-0000-00007AD20000}"/>
    <cellStyle name="Normal 9 15" xfId="39203" xr:uid="{00000000-0005-0000-0000-00007BD20000}"/>
    <cellStyle name="Normal 9 15 2" xfId="60704" xr:uid="{00000000-0005-0000-0000-00007CD20000}"/>
    <cellStyle name="Normal 9 16" xfId="39204" xr:uid="{00000000-0005-0000-0000-00007DD20000}"/>
    <cellStyle name="Normal 9 16 2" xfId="60705" xr:uid="{00000000-0005-0000-0000-00007ED20000}"/>
    <cellStyle name="Normal 9 17" xfId="39205" xr:uid="{00000000-0005-0000-0000-00007FD20000}"/>
    <cellStyle name="Normal 9 18" xfId="39206" xr:uid="{00000000-0005-0000-0000-000080D20000}"/>
    <cellStyle name="Normal 9 19" xfId="39207" xr:uid="{00000000-0005-0000-0000-000081D20000}"/>
    <cellStyle name="Normal 9 2" xfId="39208" xr:uid="{00000000-0005-0000-0000-000082D20000}"/>
    <cellStyle name="Normal 9 2 10" xfId="39209" xr:uid="{00000000-0005-0000-0000-000083D20000}"/>
    <cellStyle name="Normal 9 2 10 2" xfId="39210" xr:uid="{00000000-0005-0000-0000-000084D20000}"/>
    <cellStyle name="Normal 9 2 10 2 2" xfId="39211" xr:uid="{00000000-0005-0000-0000-000085D20000}"/>
    <cellStyle name="Normal 9 2 10 2 2 2" xfId="60706" xr:uid="{00000000-0005-0000-0000-000086D20000}"/>
    <cellStyle name="Normal 9 2 10 2 2 3" xfId="60707" xr:uid="{00000000-0005-0000-0000-000087D20000}"/>
    <cellStyle name="Normal 9 2 10 2 3" xfId="39212" xr:uid="{00000000-0005-0000-0000-000088D20000}"/>
    <cellStyle name="Normal 9 2 10 2 3 2" xfId="60708" xr:uid="{00000000-0005-0000-0000-000089D20000}"/>
    <cellStyle name="Normal 9 2 10 2 4" xfId="39213" xr:uid="{00000000-0005-0000-0000-00008AD20000}"/>
    <cellStyle name="Normal 9 2 10 2 5" xfId="39214" xr:uid="{00000000-0005-0000-0000-00008BD20000}"/>
    <cellStyle name="Normal 9 2 10 2 6" xfId="39215" xr:uid="{00000000-0005-0000-0000-00008CD20000}"/>
    <cellStyle name="Normal 9 2 10 3" xfId="39216" xr:uid="{00000000-0005-0000-0000-00008DD20000}"/>
    <cellStyle name="Normal 9 2 10 3 2" xfId="60709" xr:uid="{00000000-0005-0000-0000-00008ED20000}"/>
    <cellStyle name="Normal 9 2 10 3 3" xfId="60710" xr:uid="{00000000-0005-0000-0000-00008FD20000}"/>
    <cellStyle name="Normal 9 2 10 4" xfId="39217" xr:uid="{00000000-0005-0000-0000-000090D20000}"/>
    <cellStyle name="Normal 9 2 10 4 2" xfId="60711" xr:uid="{00000000-0005-0000-0000-000091D20000}"/>
    <cellStyle name="Normal 9 2 10 5" xfId="39218" xr:uid="{00000000-0005-0000-0000-000092D20000}"/>
    <cellStyle name="Normal 9 2 10 6" xfId="39219" xr:uid="{00000000-0005-0000-0000-000093D20000}"/>
    <cellStyle name="Normal 9 2 10 7" xfId="39220" xr:uid="{00000000-0005-0000-0000-000094D20000}"/>
    <cellStyle name="Normal 9 2 11" xfId="39221" xr:uid="{00000000-0005-0000-0000-000095D20000}"/>
    <cellStyle name="Normal 9 2 11 2" xfId="39222" xr:uid="{00000000-0005-0000-0000-000096D20000}"/>
    <cellStyle name="Normal 9 2 11 2 2" xfId="60712" xr:uid="{00000000-0005-0000-0000-000097D20000}"/>
    <cellStyle name="Normal 9 2 11 2 3" xfId="60713" xr:uid="{00000000-0005-0000-0000-000098D20000}"/>
    <cellStyle name="Normal 9 2 11 3" xfId="39223" xr:uid="{00000000-0005-0000-0000-000099D20000}"/>
    <cellStyle name="Normal 9 2 11 3 2" xfId="60714" xr:uid="{00000000-0005-0000-0000-00009AD20000}"/>
    <cellStyle name="Normal 9 2 11 4" xfId="39224" xr:uid="{00000000-0005-0000-0000-00009BD20000}"/>
    <cellStyle name="Normal 9 2 11 5" xfId="39225" xr:uid="{00000000-0005-0000-0000-00009CD20000}"/>
    <cellStyle name="Normal 9 2 11 6" xfId="39226" xr:uid="{00000000-0005-0000-0000-00009DD20000}"/>
    <cellStyle name="Normal 9 2 12" xfId="39227" xr:uid="{00000000-0005-0000-0000-00009ED20000}"/>
    <cellStyle name="Normal 9 2 12 2" xfId="60715" xr:uid="{00000000-0005-0000-0000-00009FD20000}"/>
    <cellStyle name="Normal 9 2 12 3" xfId="60716" xr:uid="{00000000-0005-0000-0000-0000A0D20000}"/>
    <cellStyle name="Normal 9 2 13" xfId="39228" xr:uid="{00000000-0005-0000-0000-0000A1D20000}"/>
    <cellStyle name="Normal 9 2 13 2" xfId="60717" xr:uid="{00000000-0005-0000-0000-0000A2D20000}"/>
    <cellStyle name="Normal 9 2 14" xfId="39229" xr:uid="{00000000-0005-0000-0000-0000A3D20000}"/>
    <cellStyle name="Normal 9 2 14 2" xfId="60718" xr:uid="{00000000-0005-0000-0000-0000A4D20000}"/>
    <cellStyle name="Normal 9 2 15" xfId="39230" xr:uid="{00000000-0005-0000-0000-0000A5D20000}"/>
    <cellStyle name="Normal 9 2 16" xfId="39231" xr:uid="{00000000-0005-0000-0000-0000A6D20000}"/>
    <cellStyle name="Normal 9 2 17" xfId="39232" xr:uid="{00000000-0005-0000-0000-0000A7D20000}"/>
    <cellStyle name="Normal 9 2 18" xfId="39233" xr:uid="{00000000-0005-0000-0000-0000A8D20000}"/>
    <cellStyle name="Normal 9 2 19" xfId="39234" xr:uid="{00000000-0005-0000-0000-0000A9D20000}"/>
    <cellStyle name="Normal 9 2 2" xfId="39235" xr:uid="{00000000-0005-0000-0000-0000AAD20000}"/>
    <cellStyle name="Normal 9 2 2 10" xfId="39236" xr:uid="{00000000-0005-0000-0000-0000ABD20000}"/>
    <cellStyle name="Normal 9 2 2 11" xfId="39237" xr:uid="{00000000-0005-0000-0000-0000ACD20000}"/>
    <cellStyle name="Normal 9 2 2 12" xfId="39238" xr:uid="{00000000-0005-0000-0000-0000ADD20000}"/>
    <cellStyle name="Normal 9 2 2 13" xfId="39239" xr:uid="{00000000-0005-0000-0000-0000AED20000}"/>
    <cellStyle name="Normal 9 2 2 14" xfId="39240" xr:uid="{00000000-0005-0000-0000-0000AFD20000}"/>
    <cellStyle name="Normal 9 2 2 15" xfId="39241" xr:uid="{00000000-0005-0000-0000-0000B0D20000}"/>
    <cellStyle name="Normal 9 2 2 16" xfId="39242" xr:uid="{00000000-0005-0000-0000-0000B1D20000}"/>
    <cellStyle name="Normal 9 2 2 2" xfId="39243" xr:uid="{00000000-0005-0000-0000-0000B2D20000}"/>
    <cellStyle name="Normal 9 2 2 2 10" xfId="39244" xr:uid="{00000000-0005-0000-0000-0000B3D20000}"/>
    <cellStyle name="Normal 9 2 2 2 11" xfId="39245" xr:uid="{00000000-0005-0000-0000-0000B4D20000}"/>
    <cellStyle name="Normal 9 2 2 2 12" xfId="39246" xr:uid="{00000000-0005-0000-0000-0000B5D20000}"/>
    <cellStyle name="Normal 9 2 2 2 13" xfId="39247" xr:uid="{00000000-0005-0000-0000-0000B6D20000}"/>
    <cellStyle name="Normal 9 2 2 2 14" xfId="39248" xr:uid="{00000000-0005-0000-0000-0000B7D20000}"/>
    <cellStyle name="Normal 9 2 2 2 2" xfId="39249" xr:uid="{00000000-0005-0000-0000-0000B8D20000}"/>
    <cellStyle name="Normal 9 2 2 2 2 2" xfId="39250" xr:uid="{00000000-0005-0000-0000-0000B9D20000}"/>
    <cellStyle name="Normal 9 2 2 2 2 2 2" xfId="39251" xr:uid="{00000000-0005-0000-0000-0000BAD20000}"/>
    <cellStyle name="Normal 9 2 2 2 2 2 2 2" xfId="39252" xr:uid="{00000000-0005-0000-0000-0000BBD20000}"/>
    <cellStyle name="Normal 9 2 2 2 2 2 2 2 2" xfId="60719" xr:uid="{00000000-0005-0000-0000-0000BCD20000}"/>
    <cellStyle name="Normal 9 2 2 2 2 2 2 2 3" xfId="60720" xr:uid="{00000000-0005-0000-0000-0000BDD20000}"/>
    <cellStyle name="Normal 9 2 2 2 2 2 2 3" xfId="39253" xr:uid="{00000000-0005-0000-0000-0000BED20000}"/>
    <cellStyle name="Normal 9 2 2 2 2 2 2 3 2" xfId="60721" xr:uid="{00000000-0005-0000-0000-0000BFD20000}"/>
    <cellStyle name="Normal 9 2 2 2 2 2 2 4" xfId="39254" xr:uid="{00000000-0005-0000-0000-0000C0D20000}"/>
    <cellStyle name="Normal 9 2 2 2 2 2 2 5" xfId="39255" xr:uid="{00000000-0005-0000-0000-0000C1D20000}"/>
    <cellStyle name="Normal 9 2 2 2 2 2 2 6" xfId="39256" xr:uid="{00000000-0005-0000-0000-0000C2D20000}"/>
    <cellStyle name="Normal 9 2 2 2 2 2 3" xfId="39257" xr:uid="{00000000-0005-0000-0000-0000C3D20000}"/>
    <cellStyle name="Normal 9 2 2 2 2 2 3 2" xfId="60722" xr:uid="{00000000-0005-0000-0000-0000C4D20000}"/>
    <cellStyle name="Normal 9 2 2 2 2 2 3 3" xfId="60723" xr:uid="{00000000-0005-0000-0000-0000C5D20000}"/>
    <cellStyle name="Normal 9 2 2 2 2 2 4" xfId="39258" xr:uid="{00000000-0005-0000-0000-0000C6D20000}"/>
    <cellStyle name="Normal 9 2 2 2 2 2 4 2" xfId="60724" xr:uid="{00000000-0005-0000-0000-0000C7D20000}"/>
    <cellStyle name="Normal 9 2 2 2 2 2 5" xfId="39259" xr:uid="{00000000-0005-0000-0000-0000C8D20000}"/>
    <cellStyle name="Normal 9 2 2 2 2 2 6" xfId="39260" xr:uid="{00000000-0005-0000-0000-0000C9D20000}"/>
    <cellStyle name="Normal 9 2 2 2 2 2 7" xfId="39261" xr:uid="{00000000-0005-0000-0000-0000CAD20000}"/>
    <cellStyle name="Normal 9 2 2 2 2 3" xfId="39262" xr:uid="{00000000-0005-0000-0000-0000CBD20000}"/>
    <cellStyle name="Normal 9 2 2 2 2 3 2" xfId="39263" xr:uid="{00000000-0005-0000-0000-0000CCD20000}"/>
    <cellStyle name="Normal 9 2 2 2 2 3 2 2" xfId="60725" xr:uid="{00000000-0005-0000-0000-0000CDD20000}"/>
    <cellStyle name="Normal 9 2 2 2 2 3 2 3" xfId="60726" xr:uid="{00000000-0005-0000-0000-0000CED20000}"/>
    <cellStyle name="Normal 9 2 2 2 2 3 3" xfId="39264" xr:uid="{00000000-0005-0000-0000-0000CFD20000}"/>
    <cellStyle name="Normal 9 2 2 2 2 3 3 2" xfId="60727" xr:uid="{00000000-0005-0000-0000-0000D0D20000}"/>
    <cellStyle name="Normal 9 2 2 2 2 3 4" xfId="39265" xr:uid="{00000000-0005-0000-0000-0000D1D20000}"/>
    <cellStyle name="Normal 9 2 2 2 2 3 5" xfId="39266" xr:uid="{00000000-0005-0000-0000-0000D2D20000}"/>
    <cellStyle name="Normal 9 2 2 2 2 3 6" xfId="39267" xr:uid="{00000000-0005-0000-0000-0000D3D20000}"/>
    <cellStyle name="Normal 9 2 2 2 2 4" xfId="39268" xr:uid="{00000000-0005-0000-0000-0000D4D20000}"/>
    <cellStyle name="Normal 9 2 2 2 2 4 2" xfId="60728" xr:uid="{00000000-0005-0000-0000-0000D5D20000}"/>
    <cellStyle name="Normal 9 2 2 2 2 4 3" xfId="60729" xr:uid="{00000000-0005-0000-0000-0000D6D20000}"/>
    <cellStyle name="Normal 9 2 2 2 2 5" xfId="39269" xr:uid="{00000000-0005-0000-0000-0000D7D20000}"/>
    <cellStyle name="Normal 9 2 2 2 2 5 2" xfId="60730" xr:uid="{00000000-0005-0000-0000-0000D8D20000}"/>
    <cellStyle name="Normal 9 2 2 2 2 6" xfId="39270" xr:uid="{00000000-0005-0000-0000-0000D9D20000}"/>
    <cellStyle name="Normal 9 2 2 2 2 7" xfId="39271" xr:uid="{00000000-0005-0000-0000-0000DAD20000}"/>
    <cellStyle name="Normal 9 2 2 2 2 8" xfId="39272" xr:uid="{00000000-0005-0000-0000-0000DBD20000}"/>
    <cellStyle name="Normal 9 2 2 2 2 9" xfId="39273" xr:uid="{00000000-0005-0000-0000-0000DCD20000}"/>
    <cellStyle name="Normal 9 2 2 2 3" xfId="39274" xr:uid="{00000000-0005-0000-0000-0000DDD20000}"/>
    <cellStyle name="Normal 9 2 2 2 3 2" xfId="39275" xr:uid="{00000000-0005-0000-0000-0000DED20000}"/>
    <cellStyle name="Normal 9 2 2 2 3 2 2" xfId="39276" xr:uid="{00000000-0005-0000-0000-0000DFD20000}"/>
    <cellStyle name="Normal 9 2 2 2 3 2 2 2" xfId="39277" xr:uid="{00000000-0005-0000-0000-0000E0D20000}"/>
    <cellStyle name="Normal 9 2 2 2 3 2 2 2 2" xfId="60731" xr:uid="{00000000-0005-0000-0000-0000E1D20000}"/>
    <cellStyle name="Normal 9 2 2 2 3 2 2 2 3" xfId="60732" xr:uid="{00000000-0005-0000-0000-0000E2D20000}"/>
    <cellStyle name="Normal 9 2 2 2 3 2 2 3" xfId="39278" xr:uid="{00000000-0005-0000-0000-0000E3D20000}"/>
    <cellStyle name="Normal 9 2 2 2 3 2 2 3 2" xfId="60733" xr:uid="{00000000-0005-0000-0000-0000E4D20000}"/>
    <cellStyle name="Normal 9 2 2 2 3 2 2 4" xfId="39279" xr:uid="{00000000-0005-0000-0000-0000E5D20000}"/>
    <cellStyle name="Normal 9 2 2 2 3 2 2 5" xfId="39280" xr:uid="{00000000-0005-0000-0000-0000E6D20000}"/>
    <cellStyle name="Normal 9 2 2 2 3 2 2 6" xfId="39281" xr:uid="{00000000-0005-0000-0000-0000E7D20000}"/>
    <cellStyle name="Normal 9 2 2 2 3 2 3" xfId="39282" xr:uid="{00000000-0005-0000-0000-0000E8D20000}"/>
    <cellStyle name="Normal 9 2 2 2 3 2 3 2" xfId="60734" xr:uid="{00000000-0005-0000-0000-0000E9D20000}"/>
    <cellStyle name="Normal 9 2 2 2 3 2 3 3" xfId="60735" xr:uid="{00000000-0005-0000-0000-0000EAD20000}"/>
    <cellStyle name="Normal 9 2 2 2 3 2 4" xfId="39283" xr:uid="{00000000-0005-0000-0000-0000EBD20000}"/>
    <cellStyle name="Normal 9 2 2 2 3 2 4 2" xfId="60736" xr:uid="{00000000-0005-0000-0000-0000ECD20000}"/>
    <cellStyle name="Normal 9 2 2 2 3 2 5" xfId="39284" xr:uid="{00000000-0005-0000-0000-0000EDD20000}"/>
    <cellStyle name="Normal 9 2 2 2 3 2 6" xfId="39285" xr:uid="{00000000-0005-0000-0000-0000EED20000}"/>
    <cellStyle name="Normal 9 2 2 2 3 2 7" xfId="39286" xr:uid="{00000000-0005-0000-0000-0000EFD20000}"/>
    <cellStyle name="Normal 9 2 2 2 3 3" xfId="39287" xr:uid="{00000000-0005-0000-0000-0000F0D20000}"/>
    <cellStyle name="Normal 9 2 2 2 3 3 2" xfId="39288" xr:uid="{00000000-0005-0000-0000-0000F1D20000}"/>
    <cellStyle name="Normal 9 2 2 2 3 3 2 2" xfId="60737" xr:uid="{00000000-0005-0000-0000-0000F2D20000}"/>
    <cellStyle name="Normal 9 2 2 2 3 3 2 3" xfId="60738" xr:uid="{00000000-0005-0000-0000-0000F3D20000}"/>
    <cellStyle name="Normal 9 2 2 2 3 3 3" xfId="39289" xr:uid="{00000000-0005-0000-0000-0000F4D20000}"/>
    <cellStyle name="Normal 9 2 2 2 3 3 3 2" xfId="60739" xr:uid="{00000000-0005-0000-0000-0000F5D20000}"/>
    <cellStyle name="Normal 9 2 2 2 3 3 4" xfId="39290" xr:uid="{00000000-0005-0000-0000-0000F6D20000}"/>
    <cellStyle name="Normal 9 2 2 2 3 3 5" xfId="39291" xr:uid="{00000000-0005-0000-0000-0000F7D20000}"/>
    <cellStyle name="Normal 9 2 2 2 3 3 6" xfId="39292" xr:uid="{00000000-0005-0000-0000-0000F8D20000}"/>
    <cellStyle name="Normal 9 2 2 2 3 4" xfId="39293" xr:uid="{00000000-0005-0000-0000-0000F9D20000}"/>
    <cellStyle name="Normal 9 2 2 2 3 4 2" xfId="60740" xr:uid="{00000000-0005-0000-0000-0000FAD20000}"/>
    <cellStyle name="Normal 9 2 2 2 3 4 3" xfId="60741" xr:uid="{00000000-0005-0000-0000-0000FBD20000}"/>
    <cellStyle name="Normal 9 2 2 2 3 5" xfId="39294" xr:uid="{00000000-0005-0000-0000-0000FCD20000}"/>
    <cellStyle name="Normal 9 2 2 2 3 5 2" xfId="60742" xr:uid="{00000000-0005-0000-0000-0000FDD20000}"/>
    <cellStyle name="Normal 9 2 2 2 3 6" xfId="39295" xr:uid="{00000000-0005-0000-0000-0000FED20000}"/>
    <cellStyle name="Normal 9 2 2 2 3 7" xfId="39296" xr:uid="{00000000-0005-0000-0000-0000FFD20000}"/>
    <cellStyle name="Normal 9 2 2 2 3 8" xfId="39297" xr:uid="{00000000-0005-0000-0000-000000D30000}"/>
    <cellStyle name="Normal 9 2 2 2 4" xfId="39298" xr:uid="{00000000-0005-0000-0000-000001D30000}"/>
    <cellStyle name="Normal 9 2 2 2 4 2" xfId="39299" xr:uid="{00000000-0005-0000-0000-000002D30000}"/>
    <cellStyle name="Normal 9 2 2 2 4 2 2" xfId="39300" xr:uid="{00000000-0005-0000-0000-000003D30000}"/>
    <cellStyle name="Normal 9 2 2 2 4 2 2 2" xfId="60743" xr:uid="{00000000-0005-0000-0000-000004D30000}"/>
    <cellStyle name="Normal 9 2 2 2 4 2 2 3" xfId="60744" xr:uid="{00000000-0005-0000-0000-000005D30000}"/>
    <cellStyle name="Normal 9 2 2 2 4 2 3" xfId="39301" xr:uid="{00000000-0005-0000-0000-000006D30000}"/>
    <cellStyle name="Normal 9 2 2 2 4 2 3 2" xfId="60745" xr:uid="{00000000-0005-0000-0000-000007D30000}"/>
    <cellStyle name="Normal 9 2 2 2 4 2 4" xfId="39302" xr:uid="{00000000-0005-0000-0000-000008D30000}"/>
    <cellStyle name="Normal 9 2 2 2 4 2 5" xfId="39303" xr:uid="{00000000-0005-0000-0000-000009D30000}"/>
    <cellStyle name="Normal 9 2 2 2 4 2 6" xfId="39304" xr:uid="{00000000-0005-0000-0000-00000AD30000}"/>
    <cellStyle name="Normal 9 2 2 2 4 3" xfId="39305" xr:uid="{00000000-0005-0000-0000-00000BD30000}"/>
    <cellStyle name="Normal 9 2 2 2 4 3 2" xfId="60746" xr:uid="{00000000-0005-0000-0000-00000CD30000}"/>
    <cellStyle name="Normal 9 2 2 2 4 3 3" xfId="60747" xr:uid="{00000000-0005-0000-0000-00000DD30000}"/>
    <cellStyle name="Normal 9 2 2 2 4 4" xfId="39306" xr:uid="{00000000-0005-0000-0000-00000ED30000}"/>
    <cellStyle name="Normal 9 2 2 2 4 4 2" xfId="60748" xr:uid="{00000000-0005-0000-0000-00000FD30000}"/>
    <cellStyle name="Normal 9 2 2 2 4 5" xfId="39307" xr:uid="{00000000-0005-0000-0000-000010D30000}"/>
    <cellStyle name="Normal 9 2 2 2 4 6" xfId="39308" xr:uid="{00000000-0005-0000-0000-000011D30000}"/>
    <cellStyle name="Normal 9 2 2 2 4 7" xfId="39309" xr:uid="{00000000-0005-0000-0000-000012D30000}"/>
    <cellStyle name="Normal 9 2 2 2 5" xfId="39310" xr:uid="{00000000-0005-0000-0000-000013D30000}"/>
    <cellStyle name="Normal 9 2 2 2 5 2" xfId="39311" xr:uid="{00000000-0005-0000-0000-000014D30000}"/>
    <cellStyle name="Normal 9 2 2 2 5 2 2" xfId="60749" xr:uid="{00000000-0005-0000-0000-000015D30000}"/>
    <cellStyle name="Normal 9 2 2 2 5 2 3" xfId="60750" xr:uid="{00000000-0005-0000-0000-000016D30000}"/>
    <cellStyle name="Normal 9 2 2 2 5 3" xfId="39312" xr:uid="{00000000-0005-0000-0000-000017D30000}"/>
    <cellStyle name="Normal 9 2 2 2 5 3 2" xfId="60751" xr:uid="{00000000-0005-0000-0000-000018D30000}"/>
    <cellStyle name="Normal 9 2 2 2 5 4" xfId="39313" xr:uid="{00000000-0005-0000-0000-000019D30000}"/>
    <cellStyle name="Normal 9 2 2 2 5 5" xfId="39314" xr:uid="{00000000-0005-0000-0000-00001AD30000}"/>
    <cellStyle name="Normal 9 2 2 2 5 6" xfId="39315" xr:uid="{00000000-0005-0000-0000-00001BD30000}"/>
    <cellStyle name="Normal 9 2 2 2 6" xfId="39316" xr:uid="{00000000-0005-0000-0000-00001CD30000}"/>
    <cellStyle name="Normal 9 2 2 2 6 2" xfId="60752" xr:uid="{00000000-0005-0000-0000-00001DD30000}"/>
    <cellStyle name="Normal 9 2 2 2 6 3" xfId="60753" xr:uid="{00000000-0005-0000-0000-00001ED30000}"/>
    <cellStyle name="Normal 9 2 2 2 7" xfId="39317" xr:uid="{00000000-0005-0000-0000-00001FD30000}"/>
    <cellStyle name="Normal 9 2 2 2 7 2" xfId="60754" xr:uid="{00000000-0005-0000-0000-000020D30000}"/>
    <cellStyle name="Normal 9 2 2 2 8" xfId="39318" xr:uid="{00000000-0005-0000-0000-000021D30000}"/>
    <cellStyle name="Normal 9 2 2 2 9" xfId="39319" xr:uid="{00000000-0005-0000-0000-000022D30000}"/>
    <cellStyle name="Normal 9 2 2 3" xfId="39320" xr:uid="{00000000-0005-0000-0000-000023D30000}"/>
    <cellStyle name="Normal 9 2 2 3 2" xfId="39321" xr:uid="{00000000-0005-0000-0000-000024D30000}"/>
    <cellStyle name="Normal 9 2 2 3 2 2" xfId="39322" xr:uid="{00000000-0005-0000-0000-000025D30000}"/>
    <cellStyle name="Normal 9 2 2 3 2 2 2" xfId="39323" xr:uid="{00000000-0005-0000-0000-000026D30000}"/>
    <cellStyle name="Normal 9 2 2 3 2 2 2 2" xfId="60755" xr:uid="{00000000-0005-0000-0000-000027D30000}"/>
    <cellStyle name="Normal 9 2 2 3 2 2 2 3" xfId="60756" xr:uid="{00000000-0005-0000-0000-000028D30000}"/>
    <cellStyle name="Normal 9 2 2 3 2 2 3" xfId="39324" xr:uid="{00000000-0005-0000-0000-000029D30000}"/>
    <cellStyle name="Normal 9 2 2 3 2 2 3 2" xfId="60757" xr:uid="{00000000-0005-0000-0000-00002AD30000}"/>
    <cellStyle name="Normal 9 2 2 3 2 2 4" xfId="39325" xr:uid="{00000000-0005-0000-0000-00002BD30000}"/>
    <cellStyle name="Normal 9 2 2 3 2 2 5" xfId="39326" xr:uid="{00000000-0005-0000-0000-00002CD30000}"/>
    <cellStyle name="Normal 9 2 2 3 2 2 6" xfId="39327" xr:uid="{00000000-0005-0000-0000-00002DD30000}"/>
    <cellStyle name="Normal 9 2 2 3 2 3" xfId="39328" xr:uid="{00000000-0005-0000-0000-00002ED30000}"/>
    <cellStyle name="Normal 9 2 2 3 2 3 2" xfId="60758" xr:uid="{00000000-0005-0000-0000-00002FD30000}"/>
    <cellStyle name="Normal 9 2 2 3 2 3 3" xfId="60759" xr:uid="{00000000-0005-0000-0000-000030D30000}"/>
    <cellStyle name="Normal 9 2 2 3 2 4" xfId="39329" xr:uid="{00000000-0005-0000-0000-000031D30000}"/>
    <cellStyle name="Normal 9 2 2 3 2 4 2" xfId="60760" xr:uid="{00000000-0005-0000-0000-000032D30000}"/>
    <cellStyle name="Normal 9 2 2 3 2 5" xfId="39330" xr:uid="{00000000-0005-0000-0000-000033D30000}"/>
    <cellStyle name="Normal 9 2 2 3 2 6" xfId="39331" xr:uid="{00000000-0005-0000-0000-000034D30000}"/>
    <cellStyle name="Normal 9 2 2 3 2 7" xfId="39332" xr:uid="{00000000-0005-0000-0000-000035D30000}"/>
    <cellStyle name="Normal 9 2 2 3 3" xfId="39333" xr:uid="{00000000-0005-0000-0000-000036D30000}"/>
    <cellStyle name="Normal 9 2 2 3 3 2" xfId="39334" xr:uid="{00000000-0005-0000-0000-000037D30000}"/>
    <cellStyle name="Normal 9 2 2 3 3 2 2" xfId="60761" xr:uid="{00000000-0005-0000-0000-000038D30000}"/>
    <cellStyle name="Normal 9 2 2 3 3 2 3" xfId="60762" xr:uid="{00000000-0005-0000-0000-000039D30000}"/>
    <cellStyle name="Normal 9 2 2 3 3 3" xfId="39335" xr:uid="{00000000-0005-0000-0000-00003AD30000}"/>
    <cellStyle name="Normal 9 2 2 3 3 3 2" xfId="60763" xr:uid="{00000000-0005-0000-0000-00003BD30000}"/>
    <cellStyle name="Normal 9 2 2 3 3 4" xfId="39336" xr:uid="{00000000-0005-0000-0000-00003CD30000}"/>
    <cellStyle name="Normal 9 2 2 3 3 5" xfId="39337" xr:uid="{00000000-0005-0000-0000-00003DD30000}"/>
    <cellStyle name="Normal 9 2 2 3 3 6" xfId="39338" xr:uid="{00000000-0005-0000-0000-00003ED30000}"/>
    <cellStyle name="Normal 9 2 2 3 4" xfId="39339" xr:uid="{00000000-0005-0000-0000-00003FD30000}"/>
    <cellStyle name="Normal 9 2 2 3 4 2" xfId="60764" xr:uid="{00000000-0005-0000-0000-000040D30000}"/>
    <cellStyle name="Normal 9 2 2 3 4 3" xfId="60765" xr:uid="{00000000-0005-0000-0000-000041D30000}"/>
    <cellStyle name="Normal 9 2 2 3 5" xfId="39340" xr:uid="{00000000-0005-0000-0000-000042D30000}"/>
    <cellStyle name="Normal 9 2 2 3 5 2" xfId="60766" xr:uid="{00000000-0005-0000-0000-000043D30000}"/>
    <cellStyle name="Normal 9 2 2 3 6" xfId="39341" xr:uid="{00000000-0005-0000-0000-000044D30000}"/>
    <cellStyle name="Normal 9 2 2 3 7" xfId="39342" xr:uid="{00000000-0005-0000-0000-000045D30000}"/>
    <cellStyle name="Normal 9 2 2 3 8" xfId="39343" xr:uid="{00000000-0005-0000-0000-000046D30000}"/>
    <cellStyle name="Normal 9 2 2 3 9" xfId="39344" xr:uid="{00000000-0005-0000-0000-000047D30000}"/>
    <cellStyle name="Normal 9 2 2 4" xfId="39345" xr:uid="{00000000-0005-0000-0000-000048D30000}"/>
    <cellStyle name="Normal 9 2 2 4 2" xfId="39346" xr:uid="{00000000-0005-0000-0000-000049D30000}"/>
    <cellStyle name="Normal 9 2 2 4 2 2" xfId="39347" xr:uid="{00000000-0005-0000-0000-00004AD30000}"/>
    <cellStyle name="Normal 9 2 2 4 2 2 2" xfId="39348" xr:uid="{00000000-0005-0000-0000-00004BD30000}"/>
    <cellStyle name="Normal 9 2 2 4 2 2 2 2" xfId="60767" xr:uid="{00000000-0005-0000-0000-00004CD30000}"/>
    <cellStyle name="Normal 9 2 2 4 2 2 2 3" xfId="60768" xr:uid="{00000000-0005-0000-0000-00004DD30000}"/>
    <cellStyle name="Normal 9 2 2 4 2 2 3" xfId="39349" xr:uid="{00000000-0005-0000-0000-00004ED30000}"/>
    <cellStyle name="Normal 9 2 2 4 2 2 3 2" xfId="60769" xr:uid="{00000000-0005-0000-0000-00004FD30000}"/>
    <cellStyle name="Normal 9 2 2 4 2 2 4" xfId="39350" xr:uid="{00000000-0005-0000-0000-000050D30000}"/>
    <cellStyle name="Normal 9 2 2 4 2 2 5" xfId="39351" xr:uid="{00000000-0005-0000-0000-000051D30000}"/>
    <cellStyle name="Normal 9 2 2 4 2 2 6" xfId="39352" xr:uid="{00000000-0005-0000-0000-000052D30000}"/>
    <cellStyle name="Normal 9 2 2 4 2 3" xfId="39353" xr:uid="{00000000-0005-0000-0000-000053D30000}"/>
    <cellStyle name="Normal 9 2 2 4 2 3 2" xfId="60770" xr:uid="{00000000-0005-0000-0000-000054D30000}"/>
    <cellStyle name="Normal 9 2 2 4 2 3 3" xfId="60771" xr:uid="{00000000-0005-0000-0000-000055D30000}"/>
    <cellStyle name="Normal 9 2 2 4 2 4" xfId="39354" xr:uid="{00000000-0005-0000-0000-000056D30000}"/>
    <cellStyle name="Normal 9 2 2 4 2 4 2" xfId="60772" xr:uid="{00000000-0005-0000-0000-000057D30000}"/>
    <cellStyle name="Normal 9 2 2 4 2 5" xfId="39355" xr:uid="{00000000-0005-0000-0000-000058D30000}"/>
    <cellStyle name="Normal 9 2 2 4 2 6" xfId="39356" xr:uid="{00000000-0005-0000-0000-000059D30000}"/>
    <cellStyle name="Normal 9 2 2 4 2 7" xfId="39357" xr:uid="{00000000-0005-0000-0000-00005AD30000}"/>
    <cellStyle name="Normal 9 2 2 4 3" xfId="39358" xr:uid="{00000000-0005-0000-0000-00005BD30000}"/>
    <cellStyle name="Normal 9 2 2 4 3 2" xfId="39359" xr:uid="{00000000-0005-0000-0000-00005CD30000}"/>
    <cellStyle name="Normal 9 2 2 4 3 2 2" xfId="60773" xr:uid="{00000000-0005-0000-0000-00005DD30000}"/>
    <cellStyle name="Normal 9 2 2 4 3 2 3" xfId="60774" xr:uid="{00000000-0005-0000-0000-00005ED30000}"/>
    <cellStyle name="Normal 9 2 2 4 3 3" xfId="39360" xr:uid="{00000000-0005-0000-0000-00005FD30000}"/>
    <cellStyle name="Normal 9 2 2 4 3 3 2" xfId="60775" xr:uid="{00000000-0005-0000-0000-000060D30000}"/>
    <cellStyle name="Normal 9 2 2 4 3 4" xfId="39361" xr:uid="{00000000-0005-0000-0000-000061D30000}"/>
    <cellStyle name="Normal 9 2 2 4 3 5" xfId="39362" xr:uid="{00000000-0005-0000-0000-000062D30000}"/>
    <cellStyle name="Normal 9 2 2 4 3 6" xfId="39363" xr:uid="{00000000-0005-0000-0000-000063D30000}"/>
    <cellStyle name="Normal 9 2 2 4 4" xfId="39364" xr:uid="{00000000-0005-0000-0000-000064D30000}"/>
    <cellStyle name="Normal 9 2 2 4 4 2" xfId="60776" xr:uid="{00000000-0005-0000-0000-000065D30000}"/>
    <cellStyle name="Normal 9 2 2 4 4 3" xfId="60777" xr:uid="{00000000-0005-0000-0000-000066D30000}"/>
    <cellStyle name="Normal 9 2 2 4 5" xfId="39365" xr:uid="{00000000-0005-0000-0000-000067D30000}"/>
    <cellStyle name="Normal 9 2 2 4 5 2" xfId="60778" xr:uid="{00000000-0005-0000-0000-000068D30000}"/>
    <cellStyle name="Normal 9 2 2 4 6" xfId="39366" xr:uid="{00000000-0005-0000-0000-000069D30000}"/>
    <cellStyle name="Normal 9 2 2 4 7" xfId="39367" xr:uid="{00000000-0005-0000-0000-00006AD30000}"/>
    <cellStyle name="Normal 9 2 2 4 8" xfId="39368" xr:uid="{00000000-0005-0000-0000-00006BD30000}"/>
    <cellStyle name="Normal 9 2 2 5" xfId="39369" xr:uid="{00000000-0005-0000-0000-00006CD30000}"/>
    <cellStyle name="Normal 9 2 2 5 2" xfId="39370" xr:uid="{00000000-0005-0000-0000-00006DD30000}"/>
    <cellStyle name="Normal 9 2 2 5 2 2" xfId="39371" xr:uid="{00000000-0005-0000-0000-00006ED30000}"/>
    <cellStyle name="Normal 9 2 2 5 2 2 2" xfId="60779" xr:uid="{00000000-0005-0000-0000-00006FD30000}"/>
    <cellStyle name="Normal 9 2 2 5 2 2 3" xfId="60780" xr:uid="{00000000-0005-0000-0000-000070D30000}"/>
    <cellStyle name="Normal 9 2 2 5 2 3" xfId="39372" xr:uid="{00000000-0005-0000-0000-000071D30000}"/>
    <cellStyle name="Normal 9 2 2 5 2 3 2" xfId="60781" xr:uid="{00000000-0005-0000-0000-000072D30000}"/>
    <cellStyle name="Normal 9 2 2 5 2 4" xfId="39373" xr:uid="{00000000-0005-0000-0000-000073D30000}"/>
    <cellStyle name="Normal 9 2 2 5 2 5" xfId="39374" xr:uid="{00000000-0005-0000-0000-000074D30000}"/>
    <cellStyle name="Normal 9 2 2 5 2 6" xfId="39375" xr:uid="{00000000-0005-0000-0000-000075D30000}"/>
    <cellStyle name="Normal 9 2 2 5 3" xfId="39376" xr:uid="{00000000-0005-0000-0000-000076D30000}"/>
    <cellStyle name="Normal 9 2 2 5 3 2" xfId="60782" xr:uid="{00000000-0005-0000-0000-000077D30000}"/>
    <cellStyle name="Normal 9 2 2 5 3 3" xfId="60783" xr:uid="{00000000-0005-0000-0000-000078D30000}"/>
    <cellStyle name="Normal 9 2 2 5 4" xfId="39377" xr:uid="{00000000-0005-0000-0000-000079D30000}"/>
    <cellStyle name="Normal 9 2 2 5 4 2" xfId="60784" xr:uid="{00000000-0005-0000-0000-00007AD30000}"/>
    <cellStyle name="Normal 9 2 2 5 5" xfId="39378" xr:uid="{00000000-0005-0000-0000-00007BD30000}"/>
    <cellStyle name="Normal 9 2 2 5 6" xfId="39379" xr:uid="{00000000-0005-0000-0000-00007CD30000}"/>
    <cellStyle name="Normal 9 2 2 5 7" xfId="39380" xr:uid="{00000000-0005-0000-0000-00007DD30000}"/>
    <cellStyle name="Normal 9 2 2 6" xfId="39381" xr:uid="{00000000-0005-0000-0000-00007ED30000}"/>
    <cellStyle name="Normal 9 2 2 6 2" xfId="39382" xr:uid="{00000000-0005-0000-0000-00007FD30000}"/>
    <cellStyle name="Normal 9 2 2 6 2 2" xfId="60785" xr:uid="{00000000-0005-0000-0000-000080D30000}"/>
    <cellStyle name="Normal 9 2 2 6 2 3" xfId="60786" xr:uid="{00000000-0005-0000-0000-000081D30000}"/>
    <cellStyle name="Normal 9 2 2 6 3" xfId="39383" xr:uid="{00000000-0005-0000-0000-000082D30000}"/>
    <cellStyle name="Normal 9 2 2 6 3 2" xfId="60787" xr:uid="{00000000-0005-0000-0000-000083D30000}"/>
    <cellStyle name="Normal 9 2 2 6 4" xfId="39384" xr:uid="{00000000-0005-0000-0000-000084D30000}"/>
    <cellStyle name="Normal 9 2 2 6 5" xfId="39385" xr:uid="{00000000-0005-0000-0000-000085D30000}"/>
    <cellStyle name="Normal 9 2 2 6 6" xfId="39386" xr:uid="{00000000-0005-0000-0000-000086D30000}"/>
    <cellStyle name="Normal 9 2 2 7" xfId="39387" xr:uid="{00000000-0005-0000-0000-000087D30000}"/>
    <cellStyle name="Normal 9 2 2 7 2" xfId="60788" xr:uid="{00000000-0005-0000-0000-000088D30000}"/>
    <cellStyle name="Normal 9 2 2 7 3" xfId="60789" xr:uid="{00000000-0005-0000-0000-000089D30000}"/>
    <cellStyle name="Normal 9 2 2 8" xfId="39388" xr:uid="{00000000-0005-0000-0000-00008AD30000}"/>
    <cellStyle name="Normal 9 2 2 8 2" xfId="60790" xr:uid="{00000000-0005-0000-0000-00008BD30000}"/>
    <cellStyle name="Normal 9 2 2 9" xfId="39389" xr:uid="{00000000-0005-0000-0000-00008CD30000}"/>
    <cellStyle name="Normal 9 2 2 9 2" xfId="60791" xr:uid="{00000000-0005-0000-0000-00008DD30000}"/>
    <cellStyle name="Normal 9 2 20" xfId="39390" xr:uid="{00000000-0005-0000-0000-00008ED30000}"/>
    <cellStyle name="Normal 9 2 21" xfId="39391" xr:uid="{00000000-0005-0000-0000-00008FD30000}"/>
    <cellStyle name="Normal 9 2 3" xfId="39392" xr:uid="{00000000-0005-0000-0000-000090D30000}"/>
    <cellStyle name="Normal 9 2 3 10" xfId="39393" xr:uid="{00000000-0005-0000-0000-000091D30000}"/>
    <cellStyle name="Normal 9 2 3 11" xfId="39394" xr:uid="{00000000-0005-0000-0000-000092D30000}"/>
    <cellStyle name="Normal 9 2 3 12" xfId="39395" xr:uid="{00000000-0005-0000-0000-000093D30000}"/>
    <cellStyle name="Normal 9 2 3 13" xfId="39396" xr:uid="{00000000-0005-0000-0000-000094D30000}"/>
    <cellStyle name="Normal 9 2 3 14" xfId="39397" xr:uid="{00000000-0005-0000-0000-000095D30000}"/>
    <cellStyle name="Normal 9 2 3 15" xfId="39398" xr:uid="{00000000-0005-0000-0000-000096D30000}"/>
    <cellStyle name="Normal 9 2 3 2" xfId="39399" xr:uid="{00000000-0005-0000-0000-000097D30000}"/>
    <cellStyle name="Normal 9 2 3 2 10" xfId="39400" xr:uid="{00000000-0005-0000-0000-000098D30000}"/>
    <cellStyle name="Normal 9 2 3 2 11" xfId="39401" xr:uid="{00000000-0005-0000-0000-000099D30000}"/>
    <cellStyle name="Normal 9 2 3 2 12" xfId="39402" xr:uid="{00000000-0005-0000-0000-00009AD30000}"/>
    <cellStyle name="Normal 9 2 3 2 13" xfId="39403" xr:uid="{00000000-0005-0000-0000-00009BD30000}"/>
    <cellStyle name="Normal 9 2 3 2 14" xfId="39404" xr:uid="{00000000-0005-0000-0000-00009CD30000}"/>
    <cellStyle name="Normal 9 2 3 2 2" xfId="39405" xr:uid="{00000000-0005-0000-0000-00009DD30000}"/>
    <cellStyle name="Normal 9 2 3 2 2 2" xfId="39406" xr:uid="{00000000-0005-0000-0000-00009ED30000}"/>
    <cellStyle name="Normal 9 2 3 2 2 2 2" xfId="39407" xr:uid="{00000000-0005-0000-0000-00009FD30000}"/>
    <cellStyle name="Normal 9 2 3 2 2 2 2 2" xfId="39408" xr:uid="{00000000-0005-0000-0000-0000A0D30000}"/>
    <cellStyle name="Normal 9 2 3 2 2 2 2 2 2" xfId="60792" xr:uid="{00000000-0005-0000-0000-0000A1D30000}"/>
    <cellStyle name="Normal 9 2 3 2 2 2 2 2 3" xfId="60793" xr:uid="{00000000-0005-0000-0000-0000A2D30000}"/>
    <cellStyle name="Normal 9 2 3 2 2 2 2 3" xfId="39409" xr:uid="{00000000-0005-0000-0000-0000A3D30000}"/>
    <cellStyle name="Normal 9 2 3 2 2 2 2 3 2" xfId="60794" xr:uid="{00000000-0005-0000-0000-0000A4D30000}"/>
    <cellStyle name="Normal 9 2 3 2 2 2 2 4" xfId="39410" xr:uid="{00000000-0005-0000-0000-0000A5D30000}"/>
    <cellStyle name="Normal 9 2 3 2 2 2 2 5" xfId="39411" xr:uid="{00000000-0005-0000-0000-0000A6D30000}"/>
    <cellStyle name="Normal 9 2 3 2 2 2 2 6" xfId="39412" xr:uid="{00000000-0005-0000-0000-0000A7D30000}"/>
    <cellStyle name="Normal 9 2 3 2 2 2 3" xfId="39413" xr:uid="{00000000-0005-0000-0000-0000A8D30000}"/>
    <cellStyle name="Normal 9 2 3 2 2 2 3 2" xfId="60795" xr:uid="{00000000-0005-0000-0000-0000A9D30000}"/>
    <cellStyle name="Normal 9 2 3 2 2 2 3 3" xfId="60796" xr:uid="{00000000-0005-0000-0000-0000AAD30000}"/>
    <cellStyle name="Normal 9 2 3 2 2 2 4" xfId="39414" xr:uid="{00000000-0005-0000-0000-0000ABD30000}"/>
    <cellStyle name="Normal 9 2 3 2 2 2 4 2" xfId="60797" xr:uid="{00000000-0005-0000-0000-0000ACD30000}"/>
    <cellStyle name="Normal 9 2 3 2 2 2 5" xfId="39415" xr:uid="{00000000-0005-0000-0000-0000ADD30000}"/>
    <cellStyle name="Normal 9 2 3 2 2 2 6" xfId="39416" xr:uid="{00000000-0005-0000-0000-0000AED30000}"/>
    <cellStyle name="Normal 9 2 3 2 2 2 7" xfId="39417" xr:uid="{00000000-0005-0000-0000-0000AFD30000}"/>
    <cellStyle name="Normal 9 2 3 2 2 3" xfId="39418" xr:uid="{00000000-0005-0000-0000-0000B0D30000}"/>
    <cellStyle name="Normal 9 2 3 2 2 3 2" xfId="39419" xr:uid="{00000000-0005-0000-0000-0000B1D30000}"/>
    <cellStyle name="Normal 9 2 3 2 2 3 2 2" xfId="60798" xr:uid="{00000000-0005-0000-0000-0000B2D30000}"/>
    <cellStyle name="Normal 9 2 3 2 2 3 2 3" xfId="60799" xr:uid="{00000000-0005-0000-0000-0000B3D30000}"/>
    <cellStyle name="Normal 9 2 3 2 2 3 3" xfId="39420" xr:uid="{00000000-0005-0000-0000-0000B4D30000}"/>
    <cellStyle name="Normal 9 2 3 2 2 3 3 2" xfId="60800" xr:uid="{00000000-0005-0000-0000-0000B5D30000}"/>
    <cellStyle name="Normal 9 2 3 2 2 3 4" xfId="39421" xr:uid="{00000000-0005-0000-0000-0000B6D30000}"/>
    <cellStyle name="Normal 9 2 3 2 2 3 5" xfId="39422" xr:uid="{00000000-0005-0000-0000-0000B7D30000}"/>
    <cellStyle name="Normal 9 2 3 2 2 3 6" xfId="39423" xr:uid="{00000000-0005-0000-0000-0000B8D30000}"/>
    <cellStyle name="Normal 9 2 3 2 2 4" xfId="39424" xr:uid="{00000000-0005-0000-0000-0000B9D30000}"/>
    <cellStyle name="Normal 9 2 3 2 2 4 2" xfId="60801" xr:uid="{00000000-0005-0000-0000-0000BAD30000}"/>
    <cellStyle name="Normal 9 2 3 2 2 4 3" xfId="60802" xr:uid="{00000000-0005-0000-0000-0000BBD30000}"/>
    <cellStyle name="Normal 9 2 3 2 2 5" xfId="39425" xr:uid="{00000000-0005-0000-0000-0000BCD30000}"/>
    <cellStyle name="Normal 9 2 3 2 2 5 2" xfId="60803" xr:uid="{00000000-0005-0000-0000-0000BDD30000}"/>
    <cellStyle name="Normal 9 2 3 2 2 6" xfId="39426" xr:uid="{00000000-0005-0000-0000-0000BED30000}"/>
    <cellStyle name="Normal 9 2 3 2 2 7" xfId="39427" xr:uid="{00000000-0005-0000-0000-0000BFD30000}"/>
    <cellStyle name="Normal 9 2 3 2 2 8" xfId="39428" xr:uid="{00000000-0005-0000-0000-0000C0D30000}"/>
    <cellStyle name="Normal 9 2 3 2 2 9" xfId="39429" xr:uid="{00000000-0005-0000-0000-0000C1D30000}"/>
    <cellStyle name="Normal 9 2 3 2 3" xfId="39430" xr:uid="{00000000-0005-0000-0000-0000C2D30000}"/>
    <cellStyle name="Normal 9 2 3 2 3 2" xfId="39431" xr:uid="{00000000-0005-0000-0000-0000C3D30000}"/>
    <cellStyle name="Normal 9 2 3 2 3 2 2" xfId="39432" xr:uid="{00000000-0005-0000-0000-0000C4D30000}"/>
    <cellStyle name="Normal 9 2 3 2 3 2 2 2" xfId="39433" xr:uid="{00000000-0005-0000-0000-0000C5D30000}"/>
    <cellStyle name="Normal 9 2 3 2 3 2 2 2 2" xfId="60804" xr:uid="{00000000-0005-0000-0000-0000C6D30000}"/>
    <cellStyle name="Normal 9 2 3 2 3 2 2 2 3" xfId="60805" xr:uid="{00000000-0005-0000-0000-0000C7D30000}"/>
    <cellStyle name="Normal 9 2 3 2 3 2 2 3" xfId="39434" xr:uid="{00000000-0005-0000-0000-0000C8D30000}"/>
    <cellStyle name="Normal 9 2 3 2 3 2 2 3 2" xfId="60806" xr:uid="{00000000-0005-0000-0000-0000C9D30000}"/>
    <cellStyle name="Normal 9 2 3 2 3 2 2 4" xfId="39435" xr:uid="{00000000-0005-0000-0000-0000CAD30000}"/>
    <cellStyle name="Normal 9 2 3 2 3 2 2 5" xfId="39436" xr:uid="{00000000-0005-0000-0000-0000CBD30000}"/>
    <cellStyle name="Normal 9 2 3 2 3 2 2 6" xfId="39437" xr:uid="{00000000-0005-0000-0000-0000CCD30000}"/>
    <cellStyle name="Normal 9 2 3 2 3 2 3" xfId="39438" xr:uid="{00000000-0005-0000-0000-0000CDD30000}"/>
    <cellStyle name="Normal 9 2 3 2 3 2 3 2" xfId="60807" xr:uid="{00000000-0005-0000-0000-0000CED30000}"/>
    <cellStyle name="Normal 9 2 3 2 3 2 3 3" xfId="60808" xr:uid="{00000000-0005-0000-0000-0000CFD30000}"/>
    <cellStyle name="Normal 9 2 3 2 3 2 4" xfId="39439" xr:uid="{00000000-0005-0000-0000-0000D0D30000}"/>
    <cellStyle name="Normal 9 2 3 2 3 2 4 2" xfId="60809" xr:uid="{00000000-0005-0000-0000-0000D1D30000}"/>
    <cellStyle name="Normal 9 2 3 2 3 2 5" xfId="39440" xr:uid="{00000000-0005-0000-0000-0000D2D30000}"/>
    <cellStyle name="Normal 9 2 3 2 3 2 6" xfId="39441" xr:uid="{00000000-0005-0000-0000-0000D3D30000}"/>
    <cellStyle name="Normal 9 2 3 2 3 2 7" xfId="39442" xr:uid="{00000000-0005-0000-0000-0000D4D30000}"/>
    <cellStyle name="Normal 9 2 3 2 3 3" xfId="39443" xr:uid="{00000000-0005-0000-0000-0000D5D30000}"/>
    <cellStyle name="Normal 9 2 3 2 3 3 2" xfId="39444" xr:uid="{00000000-0005-0000-0000-0000D6D30000}"/>
    <cellStyle name="Normal 9 2 3 2 3 3 2 2" xfId="60810" xr:uid="{00000000-0005-0000-0000-0000D7D30000}"/>
    <cellStyle name="Normal 9 2 3 2 3 3 2 3" xfId="60811" xr:uid="{00000000-0005-0000-0000-0000D8D30000}"/>
    <cellStyle name="Normal 9 2 3 2 3 3 3" xfId="39445" xr:uid="{00000000-0005-0000-0000-0000D9D30000}"/>
    <cellStyle name="Normal 9 2 3 2 3 3 3 2" xfId="60812" xr:uid="{00000000-0005-0000-0000-0000DAD30000}"/>
    <cellStyle name="Normal 9 2 3 2 3 3 4" xfId="39446" xr:uid="{00000000-0005-0000-0000-0000DBD30000}"/>
    <cellStyle name="Normal 9 2 3 2 3 3 5" xfId="39447" xr:uid="{00000000-0005-0000-0000-0000DCD30000}"/>
    <cellStyle name="Normal 9 2 3 2 3 3 6" xfId="39448" xr:uid="{00000000-0005-0000-0000-0000DDD30000}"/>
    <cellStyle name="Normal 9 2 3 2 3 4" xfId="39449" xr:uid="{00000000-0005-0000-0000-0000DED30000}"/>
    <cellStyle name="Normal 9 2 3 2 3 4 2" xfId="60813" xr:uid="{00000000-0005-0000-0000-0000DFD30000}"/>
    <cellStyle name="Normal 9 2 3 2 3 4 3" xfId="60814" xr:uid="{00000000-0005-0000-0000-0000E0D30000}"/>
    <cellStyle name="Normal 9 2 3 2 3 5" xfId="39450" xr:uid="{00000000-0005-0000-0000-0000E1D30000}"/>
    <cellStyle name="Normal 9 2 3 2 3 5 2" xfId="60815" xr:uid="{00000000-0005-0000-0000-0000E2D30000}"/>
    <cellStyle name="Normal 9 2 3 2 3 6" xfId="39451" xr:uid="{00000000-0005-0000-0000-0000E3D30000}"/>
    <cellStyle name="Normal 9 2 3 2 3 7" xfId="39452" xr:uid="{00000000-0005-0000-0000-0000E4D30000}"/>
    <cellStyle name="Normal 9 2 3 2 3 8" xfId="39453" xr:uid="{00000000-0005-0000-0000-0000E5D30000}"/>
    <cellStyle name="Normal 9 2 3 2 4" xfId="39454" xr:uid="{00000000-0005-0000-0000-0000E6D30000}"/>
    <cellStyle name="Normal 9 2 3 2 4 2" xfId="39455" xr:uid="{00000000-0005-0000-0000-0000E7D30000}"/>
    <cellStyle name="Normal 9 2 3 2 4 2 2" xfId="39456" xr:uid="{00000000-0005-0000-0000-0000E8D30000}"/>
    <cellStyle name="Normal 9 2 3 2 4 2 2 2" xfId="60816" xr:uid="{00000000-0005-0000-0000-0000E9D30000}"/>
    <cellStyle name="Normal 9 2 3 2 4 2 2 3" xfId="60817" xr:uid="{00000000-0005-0000-0000-0000EAD30000}"/>
    <cellStyle name="Normal 9 2 3 2 4 2 3" xfId="39457" xr:uid="{00000000-0005-0000-0000-0000EBD30000}"/>
    <cellStyle name="Normal 9 2 3 2 4 2 3 2" xfId="60818" xr:uid="{00000000-0005-0000-0000-0000ECD30000}"/>
    <cellStyle name="Normal 9 2 3 2 4 2 4" xfId="39458" xr:uid="{00000000-0005-0000-0000-0000EDD30000}"/>
    <cellStyle name="Normal 9 2 3 2 4 2 5" xfId="39459" xr:uid="{00000000-0005-0000-0000-0000EED30000}"/>
    <cellStyle name="Normal 9 2 3 2 4 2 6" xfId="39460" xr:uid="{00000000-0005-0000-0000-0000EFD30000}"/>
    <cellStyle name="Normal 9 2 3 2 4 3" xfId="39461" xr:uid="{00000000-0005-0000-0000-0000F0D30000}"/>
    <cellStyle name="Normal 9 2 3 2 4 3 2" xfId="60819" xr:uid="{00000000-0005-0000-0000-0000F1D30000}"/>
    <cellStyle name="Normal 9 2 3 2 4 3 3" xfId="60820" xr:uid="{00000000-0005-0000-0000-0000F2D30000}"/>
    <cellStyle name="Normal 9 2 3 2 4 4" xfId="39462" xr:uid="{00000000-0005-0000-0000-0000F3D30000}"/>
    <cellStyle name="Normal 9 2 3 2 4 4 2" xfId="60821" xr:uid="{00000000-0005-0000-0000-0000F4D30000}"/>
    <cellStyle name="Normal 9 2 3 2 4 5" xfId="39463" xr:uid="{00000000-0005-0000-0000-0000F5D30000}"/>
    <cellStyle name="Normal 9 2 3 2 4 6" xfId="39464" xr:uid="{00000000-0005-0000-0000-0000F6D30000}"/>
    <cellStyle name="Normal 9 2 3 2 4 7" xfId="39465" xr:uid="{00000000-0005-0000-0000-0000F7D30000}"/>
    <cellStyle name="Normal 9 2 3 2 5" xfId="39466" xr:uid="{00000000-0005-0000-0000-0000F8D30000}"/>
    <cellStyle name="Normal 9 2 3 2 5 2" xfId="39467" xr:uid="{00000000-0005-0000-0000-0000F9D30000}"/>
    <cellStyle name="Normal 9 2 3 2 5 2 2" xfId="60822" xr:uid="{00000000-0005-0000-0000-0000FAD30000}"/>
    <cellStyle name="Normal 9 2 3 2 5 2 3" xfId="60823" xr:uid="{00000000-0005-0000-0000-0000FBD30000}"/>
    <cellStyle name="Normal 9 2 3 2 5 3" xfId="39468" xr:uid="{00000000-0005-0000-0000-0000FCD30000}"/>
    <cellStyle name="Normal 9 2 3 2 5 3 2" xfId="60824" xr:uid="{00000000-0005-0000-0000-0000FDD30000}"/>
    <cellStyle name="Normal 9 2 3 2 5 4" xfId="39469" xr:uid="{00000000-0005-0000-0000-0000FED30000}"/>
    <cellStyle name="Normal 9 2 3 2 5 5" xfId="39470" xr:uid="{00000000-0005-0000-0000-0000FFD30000}"/>
    <cellStyle name="Normal 9 2 3 2 5 6" xfId="39471" xr:uid="{00000000-0005-0000-0000-000000D40000}"/>
    <cellStyle name="Normal 9 2 3 2 6" xfId="39472" xr:uid="{00000000-0005-0000-0000-000001D40000}"/>
    <cellStyle name="Normal 9 2 3 2 6 2" xfId="60825" xr:uid="{00000000-0005-0000-0000-000002D40000}"/>
    <cellStyle name="Normal 9 2 3 2 6 3" xfId="60826" xr:uid="{00000000-0005-0000-0000-000003D40000}"/>
    <cellStyle name="Normal 9 2 3 2 7" xfId="39473" xr:uid="{00000000-0005-0000-0000-000004D40000}"/>
    <cellStyle name="Normal 9 2 3 2 7 2" xfId="60827" xr:uid="{00000000-0005-0000-0000-000005D40000}"/>
    <cellStyle name="Normal 9 2 3 2 8" xfId="39474" xr:uid="{00000000-0005-0000-0000-000006D40000}"/>
    <cellStyle name="Normal 9 2 3 2 9" xfId="39475" xr:uid="{00000000-0005-0000-0000-000007D40000}"/>
    <cellStyle name="Normal 9 2 3 3" xfId="39476" xr:uid="{00000000-0005-0000-0000-000008D40000}"/>
    <cellStyle name="Normal 9 2 3 3 2" xfId="39477" xr:uid="{00000000-0005-0000-0000-000009D40000}"/>
    <cellStyle name="Normal 9 2 3 3 2 2" xfId="39478" xr:uid="{00000000-0005-0000-0000-00000AD40000}"/>
    <cellStyle name="Normal 9 2 3 3 2 2 2" xfId="39479" xr:uid="{00000000-0005-0000-0000-00000BD40000}"/>
    <cellStyle name="Normal 9 2 3 3 2 2 2 2" xfId="60828" xr:uid="{00000000-0005-0000-0000-00000CD40000}"/>
    <cellStyle name="Normal 9 2 3 3 2 2 2 3" xfId="60829" xr:uid="{00000000-0005-0000-0000-00000DD40000}"/>
    <cellStyle name="Normal 9 2 3 3 2 2 3" xfId="39480" xr:uid="{00000000-0005-0000-0000-00000ED40000}"/>
    <cellStyle name="Normal 9 2 3 3 2 2 3 2" xfId="60830" xr:uid="{00000000-0005-0000-0000-00000FD40000}"/>
    <cellStyle name="Normal 9 2 3 3 2 2 4" xfId="39481" xr:uid="{00000000-0005-0000-0000-000010D40000}"/>
    <cellStyle name="Normal 9 2 3 3 2 2 5" xfId="39482" xr:uid="{00000000-0005-0000-0000-000011D40000}"/>
    <cellStyle name="Normal 9 2 3 3 2 2 6" xfId="39483" xr:uid="{00000000-0005-0000-0000-000012D40000}"/>
    <cellStyle name="Normal 9 2 3 3 2 3" xfId="39484" xr:uid="{00000000-0005-0000-0000-000013D40000}"/>
    <cellStyle name="Normal 9 2 3 3 2 3 2" xfId="60831" xr:uid="{00000000-0005-0000-0000-000014D40000}"/>
    <cellStyle name="Normal 9 2 3 3 2 3 3" xfId="60832" xr:uid="{00000000-0005-0000-0000-000015D40000}"/>
    <cellStyle name="Normal 9 2 3 3 2 4" xfId="39485" xr:uid="{00000000-0005-0000-0000-000016D40000}"/>
    <cellStyle name="Normal 9 2 3 3 2 4 2" xfId="60833" xr:uid="{00000000-0005-0000-0000-000017D40000}"/>
    <cellStyle name="Normal 9 2 3 3 2 5" xfId="39486" xr:uid="{00000000-0005-0000-0000-000018D40000}"/>
    <cellStyle name="Normal 9 2 3 3 2 6" xfId="39487" xr:uid="{00000000-0005-0000-0000-000019D40000}"/>
    <cellStyle name="Normal 9 2 3 3 2 7" xfId="39488" xr:uid="{00000000-0005-0000-0000-00001AD40000}"/>
    <cellStyle name="Normal 9 2 3 3 3" xfId="39489" xr:uid="{00000000-0005-0000-0000-00001BD40000}"/>
    <cellStyle name="Normal 9 2 3 3 3 2" xfId="39490" xr:uid="{00000000-0005-0000-0000-00001CD40000}"/>
    <cellStyle name="Normal 9 2 3 3 3 2 2" xfId="60834" xr:uid="{00000000-0005-0000-0000-00001DD40000}"/>
    <cellStyle name="Normal 9 2 3 3 3 2 3" xfId="60835" xr:uid="{00000000-0005-0000-0000-00001ED40000}"/>
    <cellStyle name="Normal 9 2 3 3 3 3" xfId="39491" xr:uid="{00000000-0005-0000-0000-00001FD40000}"/>
    <cellStyle name="Normal 9 2 3 3 3 3 2" xfId="60836" xr:uid="{00000000-0005-0000-0000-000020D40000}"/>
    <cellStyle name="Normal 9 2 3 3 3 4" xfId="39492" xr:uid="{00000000-0005-0000-0000-000021D40000}"/>
    <cellStyle name="Normal 9 2 3 3 3 5" xfId="39493" xr:uid="{00000000-0005-0000-0000-000022D40000}"/>
    <cellStyle name="Normal 9 2 3 3 3 6" xfId="39494" xr:uid="{00000000-0005-0000-0000-000023D40000}"/>
    <cellStyle name="Normal 9 2 3 3 4" xfId="39495" xr:uid="{00000000-0005-0000-0000-000024D40000}"/>
    <cellStyle name="Normal 9 2 3 3 4 2" xfId="60837" xr:uid="{00000000-0005-0000-0000-000025D40000}"/>
    <cellStyle name="Normal 9 2 3 3 4 3" xfId="60838" xr:uid="{00000000-0005-0000-0000-000026D40000}"/>
    <cellStyle name="Normal 9 2 3 3 5" xfId="39496" xr:uid="{00000000-0005-0000-0000-000027D40000}"/>
    <cellStyle name="Normal 9 2 3 3 5 2" xfId="60839" xr:uid="{00000000-0005-0000-0000-000028D40000}"/>
    <cellStyle name="Normal 9 2 3 3 6" xfId="39497" xr:uid="{00000000-0005-0000-0000-000029D40000}"/>
    <cellStyle name="Normal 9 2 3 3 7" xfId="39498" xr:uid="{00000000-0005-0000-0000-00002AD40000}"/>
    <cellStyle name="Normal 9 2 3 3 8" xfId="39499" xr:uid="{00000000-0005-0000-0000-00002BD40000}"/>
    <cellStyle name="Normal 9 2 3 3 9" xfId="39500" xr:uid="{00000000-0005-0000-0000-00002CD40000}"/>
    <cellStyle name="Normal 9 2 3 4" xfId="39501" xr:uid="{00000000-0005-0000-0000-00002DD40000}"/>
    <cellStyle name="Normal 9 2 3 4 2" xfId="39502" xr:uid="{00000000-0005-0000-0000-00002ED40000}"/>
    <cellStyle name="Normal 9 2 3 4 2 2" xfId="39503" xr:uid="{00000000-0005-0000-0000-00002FD40000}"/>
    <cellStyle name="Normal 9 2 3 4 2 2 2" xfId="39504" xr:uid="{00000000-0005-0000-0000-000030D40000}"/>
    <cellStyle name="Normal 9 2 3 4 2 2 2 2" xfId="60840" xr:uid="{00000000-0005-0000-0000-000031D40000}"/>
    <cellStyle name="Normal 9 2 3 4 2 2 2 3" xfId="60841" xr:uid="{00000000-0005-0000-0000-000032D40000}"/>
    <cellStyle name="Normal 9 2 3 4 2 2 3" xfId="39505" xr:uid="{00000000-0005-0000-0000-000033D40000}"/>
    <cellStyle name="Normal 9 2 3 4 2 2 3 2" xfId="60842" xr:uid="{00000000-0005-0000-0000-000034D40000}"/>
    <cellStyle name="Normal 9 2 3 4 2 2 4" xfId="39506" xr:uid="{00000000-0005-0000-0000-000035D40000}"/>
    <cellStyle name="Normal 9 2 3 4 2 2 5" xfId="39507" xr:uid="{00000000-0005-0000-0000-000036D40000}"/>
    <cellStyle name="Normal 9 2 3 4 2 2 6" xfId="39508" xr:uid="{00000000-0005-0000-0000-000037D40000}"/>
    <cellStyle name="Normal 9 2 3 4 2 3" xfId="39509" xr:uid="{00000000-0005-0000-0000-000038D40000}"/>
    <cellStyle name="Normal 9 2 3 4 2 3 2" xfId="60843" xr:uid="{00000000-0005-0000-0000-000039D40000}"/>
    <cellStyle name="Normal 9 2 3 4 2 3 3" xfId="60844" xr:uid="{00000000-0005-0000-0000-00003AD40000}"/>
    <cellStyle name="Normal 9 2 3 4 2 4" xfId="39510" xr:uid="{00000000-0005-0000-0000-00003BD40000}"/>
    <cellStyle name="Normal 9 2 3 4 2 4 2" xfId="60845" xr:uid="{00000000-0005-0000-0000-00003CD40000}"/>
    <cellStyle name="Normal 9 2 3 4 2 5" xfId="39511" xr:uid="{00000000-0005-0000-0000-00003DD40000}"/>
    <cellStyle name="Normal 9 2 3 4 2 6" xfId="39512" xr:uid="{00000000-0005-0000-0000-00003ED40000}"/>
    <cellStyle name="Normal 9 2 3 4 2 7" xfId="39513" xr:uid="{00000000-0005-0000-0000-00003FD40000}"/>
    <cellStyle name="Normal 9 2 3 4 3" xfId="39514" xr:uid="{00000000-0005-0000-0000-000040D40000}"/>
    <cellStyle name="Normal 9 2 3 4 3 2" xfId="39515" xr:uid="{00000000-0005-0000-0000-000041D40000}"/>
    <cellStyle name="Normal 9 2 3 4 3 2 2" xfId="60846" xr:uid="{00000000-0005-0000-0000-000042D40000}"/>
    <cellStyle name="Normal 9 2 3 4 3 2 3" xfId="60847" xr:uid="{00000000-0005-0000-0000-000043D40000}"/>
    <cellStyle name="Normal 9 2 3 4 3 3" xfId="39516" xr:uid="{00000000-0005-0000-0000-000044D40000}"/>
    <cellStyle name="Normal 9 2 3 4 3 3 2" xfId="60848" xr:uid="{00000000-0005-0000-0000-000045D40000}"/>
    <cellStyle name="Normal 9 2 3 4 3 4" xfId="39517" xr:uid="{00000000-0005-0000-0000-000046D40000}"/>
    <cellStyle name="Normal 9 2 3 4 3 5" xfId="39518" xr:uid="{00000000-0005-0000-0000-000047D40000}"/>
    <cellStyle name="Normal 9 2 3 4 3 6" xfId="39519" xr:uid="{00000000-0005-0000-0000-000048D40000}"/>
    <cellStyle name="Normal 9 2 3 4 4" xfId="39520" xr:uid="{00000000-0005-0000-0000-000049D40000}"/>
    <cellStyle name="Normal 9 2 3 4 4 2" xfId="60849" xr:uid="{00000000-0005-0000-0000-00004AD40000}"/>
    <cellStyle name="Normal 9 2 3 4 4 3" xfId="60850" xr:uid="{00000000-0005-0000-0000-00004BD40000}"/>
    <cellStyle name="Normal 9 2 3 4 5" xfId="39521" xr:uid="{00000000-0005-0000-0000-00004CD40000}"/>
    <cellStyle name="Normal 9 2 3 4 5 2" xfId="60851" xr:uid="{00000000-0005-0000-0000-00004DD40000}"/>
    <cellStyle name="Normal 9 2 3 4 6" xfId="39522" xr:uid="{00000000-0005-0000-0000-00004ED40000}"/>
    <cellStyle name="Normal 9 2 3 4 7" xfId="39523" xr:uid="{00000000-0005-0000-0000-00004FD40000}"/>
    <cellStyle name="Normal 9 2 3 4 8" xfId="39524" xr:uid="{00000000-0005-0000-0000-000050D40000}"/>
    <cellStyle name="Normal 9 2 3 5" xfId="39525" xr:uid="{00000000-0005-0000-0000-000051D40000}"/>
    <cellStyle name="Normal 9 2 3 5 2" xfId="39526" xr:uid="{00000000-0005-0000-0000-000052D40000}"/>
    <cellStyle name="Normal 9 2 3 5 2 2" xfId="39527" xr:uid="{00000000-0005-0000-0000-000053D40000}"/>
    <cellStyle name="Normal 9 2 3 5 2 2 2" xfId="60852" xr:uid="{00000000-0005-0000-0000-000054D40000}"/>
    <cellStyle name="Normal 9 2 3 5 2 2 3" xfId="60853" xr:uid="{00000000-0005-0000-0000-000055D40000}"/>
    <cellStyle name="Normal 9 2 3 5 2 3" xfId="39528" xr:uid="{00000000-0005-0000-0000-000056D40000}"/>
    <cellStyle name="Normal 9 2 3 5 2 3 2" xfId="60854" xr:uid="{00000000-0005-0000-0000-000057D40000}"/>
    <cellStyle name="Normal 9 2 3 5 2 4" xfId="39529" xr:uid="{00000000-0005-0000-0000-000058D40000}"/>
    <cellStyle name="Normal 9 2 3 5 2 5" xfId="39530" xr:uid="{00000000-0005-0000-0000-000059D40000}"/>
    <cellStyle name="Normal 9 2 3 5 2 6" xfId="39531" xr:uid="{00000000-0005-0000-0000-00005AD40000}"/>
    <cellStyle name="Normal 9 2 3 5 3" xfId="39532" xr:uid="{00000000-0005-0000-0000-00005BD40000}"/>
    <cellStyle name="Normal 9 2 3 5 3 2" xfId="60855" xr:uid="{00000000-0005-0000-0000-00005CD40000}"/>
    <cellStyle name="Normal 9 2 3 5 3 3" xfId="60856" xr:uid="{00000000-0005-0000-0000-00005DD40000}"/>
    <cellStyle name="Normal 9 2 3 5 4" xfId="39533" xr:uid="{00000000-0005-0000-0000-00005ED40000}"/>
    <cellStyle name="Normal 9 2 3 5 4 2" xfId="60857" xr:uid="{00000000-0005-0000-0000-00005FD40000}"/>
    <cellStyle name="Normal 9 2 3 5 5" xfId="39534" xr:uid="{00000000-0005-0000-0000-000060D40000}"/>
    <cellStyle name="Normal 9 2 3 5 6" xfId="39535" xr:uid="{00000000-0005-0000-0000-000061D40000}"/>
    <cellStyle name="Normal 9 2 3 5 7" xfId="39536" xr:uid="{00000000-0005-0000-0000-000062D40000}"/>
    <cellStyle name="Normal 9 2 3 6" xfId="39537" xr:uid="{00000000-0005-0000-0000-000063D40000}"/>
    <cellStyle name="Normal 9 2 3 6 2" xfId="39538" xr:uid="{00000000-0005-0000-0000-000064D40000}"/>
    <cellStyle name="Normal 9 2 3 6 2 2" xfId="60858" xr:uid="{00000000-0005-0000-0000-000065D40000}"/>
    <cellStyle name="Normal 9 2 3 6 2 3" xfId="60859" xr:uid="{00000000-0005-0000-0000-000066D40000}"/>
    <cellStyle name="Normal 9 2 3 6 3" xfId="39539" xr:uid="{00000000-0005-0000-0000-000067D40000}"/>
    <cellStyle name="Normal 9 2 3 6 3 2" xfId="60860" xr:uid="{00000000-0005-0000-0000-000068D40000}"/>
    <cellStyle name="Normal 9 2 3 6 4" xfId="39540" xr:uid="{00000000-0005-0000-0000-000069D40000}"/>
    <cellStyle name="Normal 9 2 3 6 5" xfId="39541" xr:uid="{00000000-0005-0000-0000-00006AD40000}"/>
    <cellStyle name="Normal 9 2 3 6 6" xfId="39542" xr:uid="{00000000-0005-0000-0000-00006BD40000}"/>
    <cellStyle name="Normal 9 2 3 7" xfId="39543" xr:uid="{00000000-0005-0000-0000-00006CD40000}"/>
    <cellStyle name="Normal 9 2 3 7 2" xfId="60861" xr:uid="{00000000-0005-0000-0000-00006DD40000}"/>
    <cellStyle name="Normal 9 2 3 7 3" xfId="60862" xr:uid="{00000000-0005-0000-0000-00006ED40000}"/>
    <cellStyle name="Normal 9 2 3 8" xfId="39544" xr:uid="{00000000-0005-0000-0000-00006FD40000}"/>
    <cellStyle name="Normal 9 2 3 8 2" xfId="60863" xr:uid="{00000000-0005-0000-0000-000070D40000}"/>
    <cellStyle name="Normal 9 2 3 9" xfId="39545" xr:uid="{00000000-0005-0000-0000-000071D40000}"/>
    <cellStyle name="Normal 9 2 4" xfId="39546" xr:uid="{00000000-0005-0000-0000-000072D40000}"/>
    <cellStyle name="Normal 9 2 4 10" xfId="39547" xr:uid="{00000000-0005-0000-0000-000073D40000}"/>
    <cellStyle name="Normal 9 2 4 11" xfId="39548" xr:uid="{00000000-0005-0000-0000-000074D40000}"/>
    <cellStyle name="Normal 9 2 4 12" xfId="39549" xr:uid="{00000000-0005-0000-0000-000075D40000}"/>
    <cellStyle name="Normal 9 2 4 13" xfId="39550" xr:uid="{00000000-0005-0000-0000-000076D40000}"/>
    <cellStyle name="Normal 9 2 4 14" xfId="39551" xr:uid="{00000000-0005-0000-0000-000077D40000}"/>
    <cellStyle name="Normal 9 2 4 2" xfId="39552" xr:uid="{00000000-0005-0000-0000-000078D40000}"/>
    <cellStyle name="Normal 9 2 4 2 2" xfId="39553" xr:uid="{00000000-0005-0000-0000-000079D40000}"/>
    <cellStyle name="Normal 9 2 4 2 2 2" xfId="39554" xr:uid="{00000000-0005-0000-0000-00007AD40000}"/>
    <cellStyle name="Normal 9 2 4 2 2 2 2" xfId="39555" xr:uid="{00000000-0005-0000-0000-00007BD40000}"/>
    <cellStyle name="Normal 9 2 4 2 2 2 2 2" xfId="60864" xr:uid="{00000000-0005-0000-0000-00007CD40000}"/>
    <cellStyle name="Normal 9 2 4 2 2 2 2 3" xfId="60865" xr:uid="{00000000-0005-0000-0000-00007DD40000}"/>
    <cellStyle name="Normal 9 2 4 2 2 2 3" xfId="39556" xr:uid="{00000000-0005-0000-0000-00007ED40000}"/>
    <cellStyle name="Normal 9 2 4 2 2 2 3 2" xfId="60866" xr:uid="{00000000-0005-0000-0000-00007FD40000}"/>
    <cellStyle name="Normal 9 2 4 2 2 2 4" xfId="39557" xr:uid="{00000000-0005-0000-0000-000080D40000}"/>
    <cellStyle name="Normal 9 2 4 2 2 2 5" xfId="39558" xr:uid="{00000000-0005-0000-0000-000081D40000}"/>
    <cellStyle name="Normal 9 2 4 2 2 2 6" xfId="39559" xr:uid="{00000000-0005-0000-0000-000082D40000}"/>
    <cellStyle name="Normal 9 2 4 2 2 3" xfId="39560" xr:uid="{00000000-0005-0000-0000-000083D40000}"/>
    <cellStyle name="Normal 9 2 4 2 2 3 2" xfId="60867" xr:uid="{00000000-0005-0000-0000-000084D40000}"/>
    <cellStyle name="Normal 9 2 4 2 2 3 3" xfId="60868" xr:uid="{00000000-0005-0000-0000-000085D40000}"/>
    <cellStyle name="Normal 9 2 4 2 2 4" xfId="39561" xr:uid="{00000000-0005-0000-0000-000086D40000}"/>
    <cellStyle name="Normal 9 2 4 2 2 4 2" xfId="60869" xr:uid="{00000000-0005-0000-0000-000087D40000}"/>
    <cellStyle name="Normal 9 2 4 2 2 5" xfId="39562" xr:uid="{00000000-0005-0000-0000-000088D40000}"/>
    <cellStyle name="Normal 9 2 4 2 2 6" xfId="39563" xr:uid="{00000000-0005-0000-0000-000089D40000}"/>
    <cellStyle name="Normal 9 2 4 2 2 7" xfId="39564" xr:uid="{00000000-0005-0000-0000-00008AD40000}"/>
    <cellStyle name="Normal 9 2 4 2 3" xfId="39565" xr:uid="{00000000-0005-0000-0000-00008BD40000}"/>
    <cellStyle name="Normal 9 2 4 2 3 2" xfId="39566" xr:uid="{00000000-0005-0000-0000-00008CD40000}"/>
    <cellStyle name="Normal 9 2 4 2 3 2 2" xfId="60870" xr:uid="{00000000-0005-0000-0000-00008DD40000}"/>
    <cellStyle name="Normal 9 2 4 2 3 2 3" xfId="60871" xr:uid="{00000000-0005-0000-0000-00008ED40000}"/>
    <cellStyle name="Normal 9 2 4 2 3 3" xfId="39567" xr:uid="{00000000-0005-0000-0000-00008FD40000}"/>
    <cellStyle name="Normal 9 2 4 2 3 3 2" xfId="60872" xr:uid="{00000000-0005-0000-0000-000090D40000}"/>
    <cellStyle name="Normal 9 2 4 2 3 4" xfId="39568" xr:uid="{00000000-0005-0000-0000-000091D40000}"/>
    <cellStyle name="Normal 9 2 4 2 3 5" xfId="39569" xr:uid="{00000000-0005-0000-0000-000092D40000}"/>
    <cellStyle name="Normal 9 2 4 2 3 6" xfId="39570" xr:uid="{00000000-0005-0000-0000-000093D40000}"/>
    <cellStyle name="Normal 9 2 4 2 4" xfId="39571" xr:uid="{00000000-0005-0000-0000-000094D40000}"/>
    <cellStyle name="Normal 9 2 4 2 4 2" xfId="60873" xr:uid="{00000000-0005-0000-0000-000095D40000}"/>
    <cellStyle name="Normal 9 2 4 2 4 3" xfId="60874" xr:uid="{00000000-0005-0000-0000-000096D40000}"/>
    <cellStyle name="Normal 9 2 4 2 5" xfId="39572" xr:uid="{00000000-0005-0000-0000-000097D40000}"/>
    <cellStyle name="Normal 9 2 4 2 5 2" xfId="60875" xr:uid="{00000000-0005-0000-0000-000098D40000}"/>
    <cellStyle name="Normal 9 2 4 2 6" xfId="39573" xr:uid="{00000000-0005-0000-0000-000099D40000}"/>
    <cellStyle name="Normal 9 2 4 2 7" xfId="39574" xr:uid="{00000000-0005-0000-0000-00009AD40000}"/>
    <cellStyle name="Normal 9 2 4 2 8" xfId="39575" xr:uid="{00000000-0005-0000-0000-00009BD40000}"/>
    <cellStyle name="Normal 9 2 4 2 9" xfId="39576" xr:uid="{00000000-0005-0000-0000-00009CD40000}"/>
    <cellStyle name="Normal 9 2 4 3" xfId="39577" xr:uid="{00000000-0005-0000-0000-00009DD40000}"/>
    <cellStyle name="Normal 9 2 4 3 2" xfId="39578" xr:uid="{00000000-0005-0000-0000-00009ED40000}"/>
    <cellStyle name="Normal 9 2 4 3 2 2" xfId="39579" xr:uid="{00000000-0005-0000-0000-00009FD40000}"/>
    <cellStyle name="Normal 9 2 4 3 2 2 2" xfId="39580" xr:uid="{00000000-0005-0000-0000-0000A0D40000}"/>
    <cellStyle name="Normal 9 2 4 3 2 2 2 2" xfId="60876" xr:uid="{00000000-0005-0000-0000-0000A1D40000}"/>
    <cellStyle name="Normal 9 2 4 3 2 2 2 3" xfId="60877" xr:uid="{00000000-0005-0000-0000-0000A2D40000}"/>
    <cellStyle name="Normal 9 2 4 3 2 2 3" xfId="39581" xr:uid="{00000000-0005-0000-0000-0000A3D40000}"/>
    <cellStyle name="Normal 9 2 4 3 2 2 3 2" xfId="60878" xr:uid="{00000000-0005-0000-0000-0000A4D40000}"/>
    <cellStyle name="Normal 9 2 4 3 2 2 4" xfId="39582" xr:uid="{00000000-0005-0000-0000-0000A5D40000}"/>
    <cellStyle name="Normal 9 2 4 3 2 2 5" xfId="39583" xr:uid="{00000000-0005-0000-0000-0000A6D40000}"/>
    <cellStyle name="Normal 9 2 4 3 2 2 6" xfId="39584" xr:uid="{00000000-0005-0000-0000-0000A7D40000}"/>
    <cellStyle name="Normal 9 2 4 3 2 3" xfId="39585" xr:uid="{00000000-0005-0000-0000-0000A8D40000}"/>
    <cellStyle name="Normal 9 2 4 3 2 3 2" xfId="60879" xr:uid="{00000000-0005-0000-0000-0000A9D40000}"/>
    <cellStyle name="Normal 9 2 4 3 2 3 3" xfId="60880" xr:uid="{00000000-0005-0000-0000-0000AAD40000}"/>
    <cellStyle name="Normal 9 2 4 3 2 4" xfId="39586" xr:uid="{00000000-0005-0000-0000-0000ABD40000}"/>
    <cellStyle name="Normal 9 2 4 3 2 4 2" xfId="60881" xr:uid="{00000000-0005-0000-0000-0000ACD40000}"/>
    <cellStyle name="Normal 9 2 4 3 2 5" xfId="39587" xr:uid="{00000000-0005-0000-0000-0000ADD40000}"/>
    <cellStyle name="Normal 9 2 4 3 2 6" xfId="39588" xr:uid="{00000000-0005-0000-0000-0000AED40000}"/>
    <cellStyle name="Normal 9 2 4 3 2 7" xfId="39589" xr:uid="{00000000-0005-0000-0000-0000AFD40000}"/>
    <cellStyle name="Normal 9 2 4 3 3" xfId="39590" xr:uid="{00000000-0005-0000-0000-0000B0D40000}"/>
    <cellStyle name="Normal 9 2 4 3 3 2" xfId="39591" xr:uid="{00000000-0005-0000-0000-0000B1D40000}"/>
    <cellStyle name="Normal 9 2 4 3 3 2 2" xfId="60882" xr:uid="{00000000-0005-0000-0000-0000B2D40000}"/>
    <cellStyle name="Normal 9 2 4 3 3 2 3" xfId="60883" xr:uid="{00000000-0005-0000-0000-0000B3D40000}"/>
    <cellStyle name="Normal 9 2 4 3 3 3" xfId="39592" xr:uid="{00000000-0005-0000-0000-0000B4D40000}"/>
    <cellStyle name="Normal 9 2 4 3 3 3 2" xfId="60884" xr:uid="{00000000-0005-0000-0000-0000B5D40000}"/>
    <cellStyle name="Normal 9 2 4 3 3 4" xfId="39593" xr:uid="{00000000-0005-0000-0000-0000B6D40000}"/>
    <cellStyle name="Normal 9 2 4 3 3 5" xfId="39594" xr:uid="{00000000-0005-0000-0000-0000B7D40000}"/>
    <cellStyle name="Normal 9 2 4 3 3 6" xfId="39595" xr:uid="{00000000-0005-0000-0000-0000B8D40000}"/>
    <cellStyle name="Normal 9 2 4 3 4" xfId="39596" xr:uid="{00000000-0005-0000-0000-0000B9D40000}"/>
    <cellStyle name="Normal 9 2 4 3 4 2" xfId="60885" xr:uid="{00000000-0005-0000-0000-0000BAD40000}"/>
    <cellStyle name="Normal 9 2 4 3 4 3" xfId="60886" xr:uid="{00000000-0005-0000-0000-0000BBD40000}"/>
    <cellStyle name="Normal 9 2 4 3 5" xfId="39597" xr:uid="{00000000-0005-0000-0000-0000BCD40000}"/>
    <cellStyle name="Normal 9 2 4 3 5 2" xfId="60887" xr:uid="{00000000-0005-0000-0000-0000BDD40000}"/>
    <cellStyle name="Normal 9 2 4 3 6" xfId="39598" xr:uid="{00000000-0005-0000-0000-0000BED40000}"/>
    <cellStyle name="Normal 9 2 4 3 7" xfId="39599" xr:uid="{00000000-0005-0000-0000-0000BFD40000}"/>
    <cellStyle name="Normal 9 2 4 3 8" xfId="39600" xr:uid="{00000000-0005-0000-0000-0000C0D40000}"/>
    <cellStyle name="Normal 9 2 4 4" xfId="39601" xr:uid="{00000000-0005-0000-0000-0000C1D40000}"/>
    <cellStyle name="Normal 9 2 4 4 2" xfId="39602" xr:uid="{00000000-0005-0000-0000-0000C2D40000}"/>
    <cellStyle name="Normal 9 2 4 4 2 2" xfId="39603" xr:uid="{00000000-0005-0000-0000-0000C3D40000}"/>
    <cellStyle name="Normal 9 2 4 4 2 2 2" xfId="60888" xr:uid="{00000000-0005-0000-0000-0000C4D40000}"/>
    <cellStyle name="Normal 9 2 4 4 2 2 3" xfId="60889" xr:uid="{00000000-0005-0000-0000-0000C5D40000}"/>
    <cellStyle name="Normal 9 2 4 4 2 3" xfId="39604" xr:uid="{00000000-0005-0000-0000-0000C6D40000}"/>
    <cellStyle name="Normal 9 2 4 4 2 3 2" xfId="60890" xr:uid="{00000000-0005-0000-0000-0000C7D40000}"/>
    <cellStyle name="Normal 9 2 4 4 2 4" xfId="39605" xr:uid="{00000000-0005-0000-0000-0000C8D40000}"/>
    <cellStyle name="Normal 9 2 4 4 2 5" xfId="39606" xr:uid="{00000000-0005-0000-0000-0000C9D40000}"/>
    <cellStyle name="Normal 9 2 4 4 2 6" xfId="39607" xr:uid="{00000000-0005-0000-0000-0000CAD40000}"/>
    <cellStyle name="Normal 9 2 4 4 3" xfId="39608" xr:uid="{00000000-0005-0000-0000-0000CBD40000}"/>
    <cellStyle name="Normal 9 2 4 4 3 2" xfId="60891" xr:uid="{00000000-0005-0000-0000-0000CCD40000}"/>
    <cellStyle name="Normal 9 2 4 4 3 3" xfId="60892" xr:uid="{00000000-0005-0000-0000-0000CDD40000}"/>
    <cellStyle name="Normal 9 2 4 4 4" xfId="39609" xr:uid="{00000000-0005-0000-0000-0000CED40000}"/>
    <cellStyle name="Normal 9 2 4 4 4 2" xfId="60893" xr:uid="{00000000-0005-0000-0000-0000CFD40000}"/>
    <cellStyle name="Normal 9 2 4 4 5" xfId="39610" xr:uid="{00000000-0005-0000-0000-0000D0D40000}"/>
    <cellStyle name="Normal 9 2 4 4 6" xfId="39611" xr:uid="{00000000-0005-0000-0000-0000D1D40000}"/>
    <cellStyle name="Normal 9 2 4 4 7" xfId="39612" xr:uid="{00000000-0005-0000-0000-0000D2D40000}"/>
    <cellStyle name="Normal 9 2 4 5" xfId="39613" xr:uid="{00000000-0005-0000-0000-0000D3D40000}"/>
    <cellStyle name="Normal 9 2 4 5 2" xfId="39614" xr:uid="{00000000-0005-0000-0000-0000D4D40000}"/>
    <cellStyle name="Normal 9 2 4 5 2 2" xfId="60894" xr:uid="{00000000-0005-0000-0000-0000D5D40000}"/>
    <cellStyle name="Normal 9 2 4 5 2 3" xfId="60895" xr:uid="{00000000-0005-0000-0000-0000D6D40000}"/>
    <cellStyle name="Normal 9 2 4 5 3" xfId="39615" xr:uid="{00000000-0005-0000-0000-0000D7D40000}"/>
    <cellStyle name="Normal 9 2 4 5 3 2" xfId="60896" xr:uid="{00000000-0005-0000-0000-0000D8D40000}"/>
    <cellStyle name="Normal 9 2 4 5 4" xfId="39616" xr:uid="{00000000-0005-0000-0000-0000D9D40000}"/>
    <cellStyle name="Normal 9 2 4 5 5" xfId="39617" xr:uid="{00000000-0005-0000-0000-0000DAD40000}"/>
    <cellStyle name="Normal 9 2 4 5 6" xfId="39618" xr:uid="{00000000-0005-0000-0000-0000DBD40000}"/>
    <cellStyle name="Normal 9 2 4 6" xfId="39619" xr:uid="{00000000-0005-0000-0000-0000DCD40000}"/>
    <cellStyle name="Normal 9 2 4 6 2" xfId="60897" xr:uid="{00000000-0005-0000-0000-0000DDD40000}"/>
    <cellStyle name="Normal 9 2 4 6 3" xfId="60898" xr:uid="{00000000-0005-0000-0000-0000DED40000}"/>
    <cellStyle name="Normal 9 2 4 7" xfId="39620" xr:uid="{00000000-0005-0000-0000-0000DFD40000}"/>
    <cellStyle name="Normal 9 2 4 7 2" xfId="60899" xr:uid="{00000000-0005-0000-0000-0000E0D40000}"/>
    <cellStyle name="Normal 9 2 4 8" xfId="39621" xr:uid="{00000000-0005-0000-0000-0000E1D40000}"/>
    <cellStyle name="Normal 9 2 4 9" xfId="39622" xr:uid="{00000000-0005-0000-0000-0000E2D40000}"/>
    <cellStyle name="Normal 9 2 5" xfId="39623" xr:uid="{00000000-0005-0000-0000-0000E3D40000}"/>
    <cellStyle name="Normal 9 2 5 10" xfId="39624" xr:uid="{00000000-0005-0000-0000-0000E4D40000}"/>
    <cellStyle name="Normal 9 2 5 11" xfId="39625" xr:uid="{00000000-0005-0000-0000-0000E5D40000}"/>
    <cellStyle name="Normal 9 2 5 12" xfId="39626" xr:uid="{00000000-0005-0000-0000-0000E6D40000}"/>
    <cellStyle name="Normal 9 2 5 13" xfId="39627" xr:uid="{00000000-0005-0000-0000-0000E7D40000}"/>
    <cellStyle name="Normal 9 2 5 14" xfId="39628" xr:uid="{00000000-0005-0000-0000-0000E8D40000}"/>
    <cellStyle name="Normal 9 2 5 2" xfId="39629" xr:uid="{00000000-0005-0000-0000-0000E9D40000}"/>
    <cellStyle name="Normal 9 2 5 2 2" xfId="39630" xr:uid="{00000000-0005-0000-0000-0000EAD40000}"/>
    <cellStyle name="Normal 9 2 5 2 2 2" xfId="39631" xr:uid="{00000000-0005-0000-0000-0000EBD40000}"/>
    <cellStyle name="Normal 9 2 5 2 2 2 2" xfId="39632" xr:uid="{00000000-0005-0000-0000-0000ECD40000}"/>
    <cellStyle name="Normal 9 2 5 2 2 2 2 2" xfId="60900" xr:uid="{00000000-0005-0000-0000-0000EDD40000}"/>
    <cellStyle name="Normal 9 2 5 2 2 2 2 3" xfId="60901" xr:uid="{00000000-0005-0000-0000-0000EED40000}"/>
    <cellStyle name="Normal 9 2 5 2 2 2 3" xfId="39633" xr:uid="{00000000-0005-0000-0000-0000EFD40000}"/>
    <cellStyle name="Normal 9 2 5 2 2 2 3 2" xfId="60902" xr:uid="{00000000-0005-0000-0000-0000F0D40000}"/>
    <cellStyle name="Normal 9 2 5 2 2 2 4" xfId="39634" xr:uid="{00000000-0005-0000-0000-0000F1D40000}"/>
    <cellStyle name="Normal 9 2 5 2 2 2 5" xfId="39635" xr:uid="{00000000-0005-0000-0000-0000F2D40000}"/>
    <cellStyle name="Normal 9 2 5 2 2 2 6" xfId="39636" xr:uid="{00000000-0005-0000-0000-0000F3D40000}"/>
    <cellStyle name="Normal 9 2 5 2 2 3" xfId="39637" xr:uid="{00000000-0005-0000-0000-0000F4D40000}"/>
    <cellStyle name="Normal 9 2 5 2 2 3 2" xfId="60903" xr:uid="{00000000-0005-0000-0000-0000F5D40000}"/>
    <cellStyle name="Normal 9 2 5 2 2 3 3" xfId="60904" xr:uid="{00000000-0005-0000-0000-0000F6D40000}"/>
    <cellStyle name="Normal 9 2 5 2 2 4" xfId="39638" xr:uid="{00000000-0005-0000-0000-0000F7D40000}"/>
    <cellStyle name="Normal 9 2 5 2 2 4 2" xfId="60905" xr:uid="{00000000-0005-0000-0000-0000F8D40000}"/>
    <cellStyle name="Normal 9 2 5 2 2 5" xfId="39639" xr:uid="{00000000-0005-0000-0000-0000F9D40000}"/>
    <cellStyle name="Normal 9 2 5 2 2 6" xfId="39640" xr:uid="{00000000-0005-0000-0000-0000FAD40000}"/>
    <cellStyle name="Normal 9 2 5 2 2 7" xfId="39641" xr:uid="{00000000-0005-0000-0000-0000FBD40000}"/>
    <cellStyle name="Normal 9 2 5 2 3" xfId="39642" xr:uid="{00000000-0005-0000-0000-0000FCD40000}"/>
    <cellStyle name="Normal 9 2 5 2 3 2" xfId="39643" xr:uid="{00000000-0005-0000-0000-0000FDD40000}"/>
    <cellStyle name="Normal 9 2 5 2 3 2 2" xfId="60906" xr:uid="{00000000-0005-0000-0000-0000FED40000}"/>
    <cellStyle name="Normal 9 2 5 2 3 2 3" xfId="60907" xr:uid="{00000000-0005-0000-0000-0000FFD40000}"/>
    <cellStyle name="Normal 9 2 5 2 3 3" xfId="39644" xr:uid="{00000000-0005-0000-0000-000000D50000}"/>
    <cellStyle name="Normal 9 2 5 2 3 3 2" xfId="60908" xr:uid="{00000000-0005-0000-0000-000001D50000}"/>
    <cellStyle name="Normal 9 2 5 2 3 4" xfId="39645" xr:uid="{00000000-0005-0000-0000-000002D50000}"/>
    <cellStyle name="Normal 9 2 5 2 3 5" xfId="39646" xr:uid="{00000000-0005-0000-0000-000003D50000}"/>
    <cellStyle name="Normal 9 2 5 2 3 6" xfId="39647" xr:uid="{00000000-0005-0000-0000-000004D50000}"/>
    <cellStyle name="Normal 9 2 5 2 4" xfId="39648" xr:uid="{00000000-0005-0000-0000-000005D50000}"/>
    <cellStyle name="Normal 9 2 5 2 4 2" xfId="60909" xr:uid="{00000000-0005-0000-0000-000006D50000}"/>
    <cellStyle name="Normal 9 2 5 2 4 3" xfId="60910" xr:uid="{00000000-0005-0000-0000-000007D50000}"/>
    <cellStyle name="Normal 9 2 5 2 5" xfId="39649" xr:uid="{00000000-0005-0000-0000-000008D50000}"/>
    <cellStyle name="Normal 9 2 5 2 5 2" xfId="60911" xr:uid="{00000000-0005-0000-0000-000009D50000}"/>
    <cellStyle name="Normal 9 2 5 2 6" xfId="39650" xr:uid="{00000000-0005-0000-0000-00000AD50000}"/>
    <cellStyle name="Normal 9 2 5 2 7" xfId="39651" xr:uid="{00000000-0005-0000-0000-00000BD50000}"/>
    <cellStyle name="Normal 9 2 5 2 8" xfId="39652" xr:uid="{00000000-0005-0000-0000-00000CD50000}"/>
    <cellStyle name="Normal 9 2 5 2 9" xfId="39653" xr:uid="{00000000-0005-0000-0000-00000DD50000}"/>
    <cellStyle name="Normal 9 2 5 3" xfId="39654" xr:uid="{00000000-0005-0000-0000-00000ED50000}"/>
    <cellStyle name="Normal 9 2 5 3 2" xfId="39655" xr:uid="{00000000-0005-0000-0000-00000FD50000}"/>
    <cellStyle name="Normal 9 2 5 3 2 2" xfId="39656" xr:uid="{00000000-0005-0000-0000-000010D50000}"/>
    <cellStyle name="Normal 9 2 5 3 2 2 2" xfId="39657" xr:uid="{00000000-0005-0000-0000-000011D50000}"/>
    <cellStyle name="Normal 9 2 5 3 2 2 2 2" xfId="60912" xr:uid="{00000000-0005-0000-0000-000012D50000}"/>
    <cellStyle name="Normal 9 2 5 3 2 2 2 3" xfId="60913" xr:uid="{00000000-0005-0000-0000-000013D50000}"/>
    <cellStyle name="Normal 9 2 5 3 2 2 3" xfId="39658" xr:uid="{00000000-0005-0000-0000-000014D50000}"/>
    <cellStyle name="Normal 9 2 5 3 2 2 3 2" xfId="60914" xr:uid="{00000000-0005-0000-0000-000015D50000}"/>
    <cellStyle name="Normal 9 2 5 3 2 2 4" xfId="39659" xr:uid="{00000000-0005-0000-0000-000016D50000}"/>
    <cellStyle name="Normal 9 2 5 3 2 2 5" xfId="39660" xr:uid="{00000000-0005-0000-0000-000017D50000}"/>
    <cellStyle name="Normal 9 2 5 3 2 2 6" xfId="39661" xr:uid="{00000000-0005-0000-0000-000018D50000}"/>
    <cellStyle name="Normal 9 2 5 3 2 3" xfId="39662" xr:uid="{00000000-0005-0000-0000-000019D50000}"/>
    <cellStyle name="Normal 9 2 5 3 2 3 2" xfId="60915" xr:uid="{00000000-0005-0000-0000-00001AD50000}"/>
    <cellStyle name="Normal 9 2 5 3 2 3 3" xfId="60916" xr:uid="{00000000-0005-0000-0000-00001BD50000}"/>
    <cellStyle name="Normal 9 2 5 3 2 4" xfId="39663" xr:uid="{00000000-0005-0000-0000-00001CD50000}"/>
    <cellStyle name="Normal 9 2 5 3 2 4 2" xfId="60917" xr:uid="{00000000-0005-0000-0000-00001DD50000}"/>
    <cellStyle name="Normal 9 2 5 3 2 5" xfId="39664" xr:uid="{00000000-0005-0000-0000-00001ED50000}"/>
    <cellStyle name="Normal 9 2 5 3 2 6" xfId="39665" xr:uid="{00000000-0005-0000-0000-00001FD50000}"/>
    <cellStyle name="Normal 9 2 5 3 2 7" xfId="39666" xr:uid="{00000000-0005-0000-0000-000020D50000}"/>
    <cellStyle name="Normal 9 2 5 3 3" xfId="39667" xr:uid="{00000000-0005-0000-0000-000021D50000}"/>
    <cellStyle name="Normal 9 2 5 3 3 2" xfId="39668" xr:uid="{00000000-0005-0000-0000-000022D50000}"/>
    <cellStyle name="Normal 9 2 5 3 3 2 2" xfId="60918" xr:uid="{00000000-0005-0000-0000-000023D50000}"/>
    <cellStyle name="Normal 9 2 5 3 3 2 3" xfId="60919" xr:uid="{00000000-0005-0000-0000-000024D50000}"/>
    <cellStyle name="Normal 9 2 5 3 3 3" xfId="39669" xr:uid="{00000000-0005-0000-0000-000025D50000}"/>
    <cellStyle name="Normal 9 2 5 3 3 3 2" xfId="60920" xr:uid="{00000000-0005-0000-0000-000026D50000}"/>
    <cellStyle name="Normal 9 2 5 3 3 4" xfId="39670" xr:uid="{00000000-0005-0000-0000-000027D50000}"/>
    <cellStyle name="Normal 9 2 5 3 3 5" xfId="39671" xr:uid="{00000000-0005-0000-0000-000028D50000}"/>
    <cellStyle name="Normal 9 2 5 3 3 6" xfId="39672" xr:uid="{00000000-0005-0000-0000-000029D50000}"/>
    <cellStyle name="Normal 9 2 5 3 4" xfId="39673" xr:uid="{00000000-0005-0000-0000-00002AD50000}"/>
    <cellStyle name="Normal 9 2 5 3 4 2" xfId="60921" xr:uid="{00000000-0005-0000-0000-00002BD50000}"/>
    <cellStyle name="Normal 9 2 5 3 4 3" xfId="60922" xr:uid="{00000000-0005-0000-0000-00002CD50000}"/>
    <cellStyle name="Normal 9 2 5 3 5" xfId="39674" xr:uid="{00000000-0005-0000-0000-00002DD50000}"/>
    <cellStyle name="Normal 9 2 5 3 5 2" xfId="60923" xr:uid="{00000000-0005-0000-0000-00002ED50000}"/>
    <cellStyle name="Normal 9 2 5 3 6" xfId="39675" xr:uid="{00000000-0005-0000-0000-00002FD50000}"/>
    <cellStyle name="Normal 9 2 5 3 7" xfId="39676" xr:uid="{00000000-0005-0000-0000-000030D50000}"/>
    <cellStyle name="Normal 9 2 5 3 8" xfId="39677" xr:uid="{00000000-0005-0000-0000-000031D50000}"/>
    <cellStyle name="Normal 9 2 5 4" xfId="39678" xr:uid="{00000000-0005-0000-0000-000032D50000}"/>
    <cellStyle name="Normal 9 2 5 4 2" xfId="39679" xr:uid="{00000000-0005-0000-0000-000033D50000}"/>
    <cellStyle name="Normal 9 2 5 4 2 2" xfId="39680" xr:uid="{00000000-0005-0000-0000-000034D50000}"/>
    <cellStyle name="Normal 9 2 5 4 2 2 2" xfId="60924" xr:uid="{00000000-0005-0000-0000-000035D50000}"/>
    <cellStyle name="Normal 9 2 5 4 2 2 3" xfId="60925" xr:uid="{00000000-0005-0000-0000-000036D50000}"/>
    <cellStyle name="Normal 9 2 5 4 2 3" xfId="39681" xr:uid="{00000000-0005-0000-0000-000037D50000}"/>
    <cellStyle name="Normal 9 2 5 4 2 3 2" xfId="60926" xr:uid="{00000000-0005-0000-0000-000038D50000}"/>
    <cellStyle name="Normal 9 2 5 4 2 4" xfId="39682" xr:uid="{00000000-0005-0000-0000-000039D50000}"/>
    <cellStyle name="Normal 9 2 5 4 2 5" xfId="39683" xr:uid="{00000000-0005-0000-0000-00003AD50000}"/>
    <cellStyle name="Normal 9 2 5 4 2 6" xfId="39684" xr:uid="{00000000-0005-0000-0000-00003BD50000}"/>
    <cellStyle name="Normal 9 2 5 4 3" xfId="39685" xr:uid="{00000000-0005-0000-0000-00003CD50000}"/>
    <cellStyle name="Normal 9 2 5 4 3 2" xfId="60927" xr:uid="{00000000-0005-0000-0000-00003DD50000}"/>
    <cellStyle name="Normal 9 2 5 4 3 3" xfId="60928" xr:uid="{00000000-0005-0000-0000-00003ED50000}"/>
    <cellStyle name="Normal 9 2 5 4 4" xfId="39686" xr:uid="{00000000-0005-0000-0000-00003FD50000}"/>
    <cellStyle name="Normal 9 2 5 4 4 2" xfId="60929" xr:uid="{00000000-0005-0000-0000-000040D50000}"/>
    <cellStyle name="Normal 9 2 5 4 5" xfId="39687" xr:uid="{00000000-0005-0000-0000-000041D50000}"/>
    <cellStyle name="Normal 9 2 5 4 6" xfId="39688" xr:uid="{00000000-0005-0000-0000-000042D50000}"/>
    <cellStyle name="Normal 9 2 5 4 7" xfId="39689" xr:uid="{00000000-0005-0000-0000-000043D50000}"/>
    <cellStyle name="Normal 9 2 5 5" xfId="39690" xr:uid="{00000000-0005-0000-0000-000044D50000}"/>
    <cellStyle name="Normal 9 2 5 5 2" xfId="39691" xr:uid="{00000000-0005-0000-0000-000045D50000}"/>
    <cellStyle name="Normal 9 2 5 5 2 2" xfId="60930" xr:uid="{00000000-0005-0000-0000-000046D50000}"/>
    <cellStyle name="Normal 9 2 5 5 2 3" xfId="60931" xr:uid="{00000000-0005-0000-0000-000047D50000}"/>
    <cellStyle name="Normal 9 2 5 5 3" xfId="39692" xr:uid="{00000000-0005-0000-0000-000048D50000}"/>
    <cellStyle name="Normal 9 2 5 5 3 2" xfId="60932" xr:uid="{00000000-0005-0000-0000-000049D50000}"/>
    <cellStyle name="Normal 9 2 5 5 4" xfId="39693" xr:uid="{00000000-0005-0000-0000-00004AD50000}"/>
    <cellStyle name="Normal 9 2 5 5 5" xfId="39694" xr:uid="{00000000-0005-0000-0000-00004BD50000}"/>
    <cellStyle name="Normal 9 2 5 5 6" xfId="39695" xr:uid="{00000000-0005-0000-0000-00004CD50000}"/>
    <cellStyle name="Normal 9 2 5 6" xfId="39696" xr:uid="{00000000-0005-0000-0000-00004DD50000}"/>
    <cellStyle name="Normal 9 2 5 6 2" xfId="60933" xr:uid="{00000000-0005-0000-0000-00004ED50000}"/>
    <cellStyle name="Normal 9 2 5 6 3" xfId="60934" xr:uid="{00000000-0005-0000-0000-00004FD50000}"/>
    <cellStyle name="Normal 9 2 5 7" xfId="39697" xr:uid="{00000000-0005-0000-0000-000050D50000}"/>
    <cellStyle name="Normal 9 2 5 7 2" xfId="60935" xr:uid="{00000000-0005-0000-0000-000051D50000}"/>
    <cellStyle name="Normal 9 2 5 8" xfId="39698" xr:uid="{00000000-0005-0000-0000-000052D50000}"/>
    <cellStyle name="Normal 9 2 5 9" xfId="39699" xr:uid="{00000000-0005-0000-0000-000053D50000}"/>
    <cellStyle name="Normal 9 2 6" xfId="39700" xr:uid="{00000000-0005-0000-0000-000054D50000}"/>
    <cellStyle name="Normal 9 2 6 10" xfId="39701" xr:uid="{00000000-0005-0000-0000-000055D50000}"/>
    <cellStyle name="Normal 9 2 6 11" xfId="39702" xr:uid="{00000000-0005-0000-0000-000056D50000}"/>
    <cellStyle name="Normal 9 2 6 12" xfId="39703" xr:uid="{00000000-0005-0000-0000-000057D50000}"/>
    <cellStyle name="Normal 9 2 6 13" xfId="39704" xr:uid="{00000000-0005-0000-0000-000058D50000}"/>
    <cellStyle name="Normal 9 2 6 2" xfId="39705" xr:uid="{00000000-0005-0000-0000-000059D50000}"/>
    <cellStyle name="Normal 9 2 6 2 2" xfId="39706" xr:uid="{00000000-0005-0000-0000-00005AD50000}"/>
    <cellStyle name="Normal 9 2 6 2 2 2" xfId="39707" xr:uid="{00000000-0005-0000-0000-00005BD50000}"/>
    <cellStyle name="Normal 9 2 6 2 2 2 2" xfId="39708" xr:uid="{00000000-0005-0000-0000-00005CD50000}"/>
    <cellStyle name="Normal 9 2 6 2 2 2 2 2" xfId="60936" xr:uid="{00000000-0005-0000-0000-00005DD50000}"/>
    <cellStyle name="Normal 9 2 6 2 2 2 2 3" xfId="60937" xr:uid="{00000000-0005-0000-0000-00005ED50000}"/>
    <cellStyle name="Normal 9 2 6 2 2 2 3" xfId="39709" xr:uid="{00000000-0005-0000-0000-00005FD50000}"/>
    <cellStyle name="Normal 9 2 6 2 2 2 3 2" xfId="60938" xr:uid="{00000000-0005-0000-0000-000060D50000}"/>
    <cellStyle name="Normal 9 2 6 2 2 2 4" xfId="39710" xr:uid="{00000000-0005-0000-0000-000061D50000}"/>
    <cellStyle name="Normal 9 2 6 2 2 2 5" xfId="39711" xr:uid="{00000000-0005-0000-0000-000062D50000}"/>
    <cellStyle name="Normal 9 2 6 2 2 2 6" xfId="39712" xr:uid="{00000000-0005-0000-0000-000063D50000}"/>
    <cellStyle name="Normal 9 2 6 2 2 3" xfId="39713" xr:uid="{00000000-0005-0000-0000-000064D50000}"/>
    <cellStyle name="Normal 9 2 6 2 2 3 2" xfId="60939" xr:uid="{00000000-0005-0000-0000-000065D50000}"/>
    <cellStyle name="Normal 9 2 6 2 2 3 3" xfId="60940" xr:uid="{00000000-0005-0000-0000-000066D50000}"/>
    <cellStyle name="Normal 9 2 6 2 2 4" xfId="39714" xr:uid="{00000000-0005-0000-0000-000067D50000}"/>
    <cellStyle name="Normal 9 2 6 2 2 4 2" xfId="60941" xr:uid="{00000000-0005-0000-0000-000068D50000}"/>
    <cellStyle name="Normal 9 2 6 2 2 5" xfId="39715" xr:uid="{00000000-0005-0000-0000-000069D50000}"/>
    <cellStyle name="Normal 9 2 6 2 2 6" xfId="39716" xr:uid="{00000000-0005-0000-0000-00006AD50000}"/>
    <cellStyle name="Normal 9 2 6 2 2 7" xfId="39717" xr:uid="{00000000-0005-0000-0000-00006BD50000}"/>
    <cellStyle name="Normal 9 2 6 2 3" xfId="39718" xr:uid="{00000000-0005-0000-0000-00006CD50000}"/>
    <cellStyle name="Normal 9 2 6 2 3 2" xfId="39719" xr:uid="{00000000-0005-0000-0000-00006DD50000}"/>
    <cellStyle name="Normal 9 2 6 2 3 2 2" xfId="60942" xr:uid="{00000000-0005-0000-0000-00006ED50000}"/>
    <cellStyle name="Normal 9 2 6 2 3 2 3" xfId="60943" xr:uid="{00000000-0005-0000-0000-00006FD50000}"/>
    <cellStyle name="Normal 9 2 6 2 3 3" xfId="39720" xr:uid="{00000000-0005-0000-0000-000070D50000}"/>
    <cellStyle name="Normal 9 2 6 2 3 3 2" xfId="60944" xr:uid="{00000000-0005-0000-0000-000071D50000}"/>
    <cellStyle name="Normal 9 2 6 2 3 4" xfId="39721" xr:uid="{00000000-0005-0000-0000-000072D50000}"/>
    <cellStyle name="Normal 9 2 6 2 3 5" xfId="39722" xr:uid="{00000000-0005-0000-0000-000073D50000}"/>
    <cellStyle name="Normal 9 2 6 2 3 6" xfId="39723" xr:uid="{00000000-0005-0000-0000-000074D50000}"/>
    <cellStyle name="Normal 9 2 6 2 4" xfId="39724" xr:uid="{00000000-0005-0000-0000-000075D50000}"/>
    <cellStyle name="Normal 9 2 6 2 4 2" xfId="60945" xr:uid="{00000000-0005-0000-0000-000076D50000}"/>
    <cellStyle name="Normal 9 2 6 2 4 3" xfId="60946" xr:uid="{00000000-0005-0000-0000-000077D50000}"/>
    <cellStyle name="Normal 9 2 6 2 5" xfId="39725" xr:uid="{00000000-0005-0000-0000-000078D50000}"/>
    <cellStyle name="Normal 9 2 6 2 5 2" xfId="60947" xr:uid="{00000000-0005-0000-0000-000079D50000}"/>
    <cellStyle name="Normal 9 2 6 2 6" xfId="39726" xr:uid="{00000000-0005-0000-0000-00007AD50000}"/>
    <cellStyle name="Normal 9 2 6 2 7" xfId="39727" xr:uid="{00000000-0005-0000-0000-00007BD50000}"/>
    <cellStyle name="Normal 9 2 6 2 8" xfId="39728" xr:uid="{00000000-0005-0000-0000-00007CD50000}"/>
    <cellStyle name="Normal 9 2 6 2 9" xfId="39729" xr:uid="{00000000-0005-0000-0000-00007DD50000}"/>
    <cellStyle name="Normal 9 2 6 3" xfId="39730" xr:uid="{00000000-0005-0000-0000-00007ED50000}"/>
    <cellStyle name="Normal 9 2 6 3 2" xfId="39731" xr:uid="{00000000-0005-0000-0000-00007FD50000}"/>
    <cellStyle name="Normal 9 2 6 3 2 2" xfId="39732" xr:uid="{00000000-0005-0000-0000-000080D50000}"/>
    <cellStyle name="Normal 9 2 6 3 2 2 2" xfId="60948" xr:uid="{00000000-0005-0000-0000-000081D50000}"/>
    <cellStyle name="Normal 9 2 6 3 2 2 3" xfId="60949" xr:uid="{00000000-0005-0000-0000-000082D50000}"/>
    <cellStyle name="Normal 9 2 6 3 2 3" xfId="39733" xr:uid="{00000000-0005-0000-0000-000083D50000}"/>
    <cellStyle name="Normal 9 2 6 3 2 3 2" xfId="60950" xr:uid="{00000000-0005-0000-0000-000084D50000}"/>
    <cellStyle name="Normal 9 2 6 3 2 4" xfId="39734" xr:uid="{00000000-0005-0000-0000-000085D50000}"/>
    <cellStyle name="Normal 9 2 6 3 2 5" xfId="39735" xr:uid="{00000000-0005-0000-0000-000086D50000}"/>
    <cellStyle name="Normal 9 2 6 3 2 6" xfId="39736" xr:uid="{00000000-0005-0000-0000-000087D50000}"/>
    <cellStyle name="Normal 9 2 6 3 3" xfId="39737" xr:uid="{00000000-0005-0000-0000-000088D50000}"/>
    <cellStyle name="Normal 9 2 6 3 3 2" xfId="60951" xr:uid="{00000000-0005-0000-0000-000089D50000}"/>
    <cellStyle name="Normal 9 2 6 3 3 3" xfId="60952" xr:uid="{00000000-0005-0000-0000-00008AD50000}"/>
    <cellStyle name="Normal 9 2 6 3 4" xfId="39738" xr:uid="{00000000-0005-0000-0000-00008BD50000}"/>
    <cellStyle name="Normal 9 2 6 3 4 2" xfId="60953" xr:uid="{00000000-0005-0000-0000-00008CD50000}"/>
    <cellStyle name="Normal 9 2 6 3 5" xfId="39739" xr:uid="{00000000-0005-0000-0000-00008DD50000}"/>
    <cellStyle name="Normal 9 2 6 3 6" xfId="39740" xr:uid="{00000000-0005-0000-0000-00008ED50000}"/>
    <cellStyle name="Normal 9 2 6 3 7" xfId="39741" xr:uid="{00000000-0005-0000-0000-00008FD50000}"/>
    <cellStyle name="Normal 9 2 6 4" xfId="39742" xr:uid="{00000000-0005-0000-0000-000090D50000}"/>
    <cellStyle name="Normal 9 2 6 4 2" xfId="39743" xr:uid="{00000000-0005-0000-0000-000091D50000}"/>
    <cellStyle name="Normal 9 2 6 4 2 2" xfId="60954" xr:uid="{00000000-0005-0000-0000-000092D50000}"/>
    <cellStyle name="Normal 9 2 6 4 2 3" xfId="60955" xr:uid="{00000000-0005-0000-0000-000093D50000}"/>
    <cellStyle name="Normal 9 2 6 4 3" xfId="39744" xr:uid="{00000000-0005-0000-0000-000094D50000}"/>
    <cellStyle name="Normal 9 2 6 4 3 2" xfId="60956" xr:uid="{00000000-0005-0000-0000-000095D50000}"/>
    <cellStyle name="Normal 9 2 6 4 4" xfId="39745" xr:uid="{00000000-0005-0000-0000-000096D50000}"/>
    <cellStyle name="Normal 9 2 6 4 5" xfId="39746" xr:uid="{00000000-0005-0000-0000-000097D50000}"/>
    <cellStyle name="Normal 9 2 6 4 6" xfId="39747" xr:uid="{00000000-0005-0000-0000-000098D50000}"/>
    <cellStyle name="Normal 9 2 6 5" xfId="39748" xr:uid="{00000000-0005-0000-0000-000099D50000}"/>
    <cellStyle name="Normal 9 2 6 5 2" xfId="60957" xr:uid="{00000000-0005-0000-0000-00009AD50000}"/>
    <cellStyle name="Normal 9 2 6 5 3" xfId="60958" xr:uid="{00000000-0005-0000-0000-00009BD50000}"/>
    <cellStyle name="Normal 9 2 6 6" xfId="39749" xr:uid="{00000000-0005-0000-0000-00009CD50000}"/>
    <cellStyle name="Normal 9 2 6 6 2" xfId="60959" xr:uid="{00000000-0005-0000-0000-00009DD50000}"/>
    <cellStyle name="Normal 9 2 6 7" xfId="39750" xr:uid="{00000000-0005-0000-0000-00009ED50000}"/>
    <cellStyle name="Normal 9 2 6 8" xfId="39751" xr:uid="{00000000-0005-0000-0000-00009FD50000}"/>
    <cellStyle name="Normal 9 2 6 9" xfId="39752" xr:uid="{00000000-0005-0000-0000-0000A0D50000}"/>
    <cellStyle name="Normal 9 2 7" xfId="39753" xr:uid="{00000000-0005-0000-0000-0000A1D50000}"/>
    <cellStyle name="Normal 9 2 7 2" xfId="39754" xr:uid="{00000000-0005-0000-0000-0000A2D50000}"/>
    <cellStyle name="Normal 9 2 7 2 2" xfId="39755" xr:uid="{00000000-0005-0000-0000-0000A3D50000}"/>
    <cellStyle name="Normal 9 2 7 2 2 2" xfId="39756" xr:uid="{00000000-0005-0000-0000-0000A4D50000}"/>
    <cellStyle name="Normal 9 2 7 2 2 2 2" xfId="60960" xr:uid="{00000000-0005-0000-0000-0000A5D50000}"/>
    <cellStyle name="Normal 9 2 7 2 2 2 3" xfId="60961" xr:uid="{00000000-0005-0000-0000-0000A6D50000}"/>
    <cellStyle name="Normal 9 2 7 2 2 3" xfId="39757" xr:uid="{00000000-0005-0000-0000-0000A7D50000}"/>
    <cellStyle name="Normal 9 2 7 2 2 3 2" xfId="60962" xr:uid="{00000000-0005-0000-0000-0000A8D50000}"/>
    <cellStyle name="Normal 9 2 7 2 2 4" xfId="39758" xr:uid="{00000000-0005-0000-0000-0000A9D50000}"/>
    <cellStyle name="Normal 9 2 7 2 2 5" xfId="39759" xr:uid="{00000000-0005-0000-0000-0000AAD50000}"/>
    <cellStyle name="Normal 9 2 7 2 2 6" xfId="39760" xr:uid="{00000000-0005-0000-0000-0000ABD50000}"/>
    <cellStyle name="Normal 9 2 7 2 3" xfId="39761" xr:uid="{00000000-0005-0000-0000-0000ACD50000}"/>
    <cellStyle name="Normal 9 2 7 2 3 2" xfId="60963" xr:uid="{00000000-0005-0000-0000-0000ADD50000}"/>
    <cellStyle name="Normal 9 2 7 2 3 3" xfId="60964" xr:uid="{00000000-0005-0000-0000-0000AED50000}"/>
    <cellStyle name="Normal 9 2 7 2 4" xfId="39762" xr:uid="{00000000-0005-0000-0000-0000AFD50000}"/>
    <cellStyle name="Normal 9 2 7 2 4 2" xfId="60965" xr:uid="{00000000-0005-0000-0000-0000B0D50000}"/>
    <cellStyle name="Normal 9 2 7 2 5" xfId="39763" xr:uid="{00000000-0005-0000-0000-0000B1D50000}"/>
    <cellStyle name="Normal 9 2 7 2 6" xfId="39764" xr:uid="{00000000-0005-0000-0000-0000B2D50000}"/>
    <cellStyle name="Normal 9 2 7 2 7" xfId="39765" xr:uid="{00000000-0005-0000-0000-0000B3D50000}"/>
    <cellStyle name="Normal 9 2 7 3" xfId="39766" xr:uid="{00000000-0005-0000-0000-0000B4D50000}"/>
    <cellStyle name="Normal 9 2 7 3 2" xfId="39767" xr:uid="{00000000-0005-0000-0000-0000B5D50000}"/>
    <cellStyle name="Normal 9 2 7 3 2 2" xfId="60966" xr:uid="{00000000-0005-0000-0000-0000B6D50000}"/>
    <cellStyle name="Normal 9 2 7 3 2 3" xfId="60967" xr:uid="{00000000-0005-0000-0000-0000B7D50000}"/>
    <cellStyle name="Normal 9 2 7 3 3" xfId="39768" xr:uid="{00000000-0005-0000-0000-0000B8D50000}"/>
    <cellStyle name="Normal 9 2 7 3 3 2" xfId="60968" xr:uid="{00000000-0005-0000-0000-0000B9D50000}"/>
    <cellStyle name="Normal 9 2 7 3 4" xfId="39769" xr:uid="{00000000-0005-0000-0000-0000BAD50000}"/>
    <cellStyle name="Normal 9 2 7 3 5" xfId="39770" xr:uid="{00000000-0005-0000-0000-0000BBD50000}"/>
    <cellStyle name="Normal 9 2 7 3 6" xfId="39771" xr:uid="{00000000-0005-0000-0000-0000BCD50000}"/>
    <cellStyle name="Normal 9 2 7 4" xfId="39772" xr:uid="{00000000-0005-0000-0000-0000BDD50000}"/>
    <cellStyle name="Normal 9 2 7 4 2" xfId="60969" xr:uid="{00000000-0005-0000-0000-0000BED50000}"/>
    <cellStyle name="Normal 9 2 7 4 3" xfId="60970" xr:uid="{00000000-0005-0000-0000-0000BFD50000}"/>
    <cellStyle name="Normal 9 2 7 5" xfId="39773" xr:uid="{00000000-0005-0000-0000-0000C0D50000}"/>
    <cellStyle name="Normal 9 2 7 5 2" xfId="60971" xr:uid="{00000000-0005-0000-0000-0000C1D50000}"/>
    <cellStyle name="Normal 9 2 7 6" xfId="39774" xr:uid="{00000000-0005-0000-0000-0000C2D50000}"/>
    <cellStyle name="Normal 9 2 7 7" xfId="39775" xr:uid="{00000000-0005-0000-0000-0000C3D50000}"/>
    <cellStyle name="Normal 9 2 7 8" xfId="39776" xr:uid="{00000000-0005-0000-0000-0000C4D50000}"/>
    <cellStyle name="Normal 9 2 7 9" xfId="39777" xr:uid="{00000000-0005-0000-0000-0000C5D50000}"/>
    <cellStyle name="Normal 9 2 8" xfId="39778" xr:uid="{00000000-0005-0000-0000-0000C6D50000}"/>
    <cellStyle name="Normal 9 2 8 2" xfId="39779" xr:uid="{00000000-0005-0000-0000-0000C7D50000}"/>
    <cellStyle name="Normal 9 2 8 2 2" xfId="39780" xr:uid="{00000000-0005-0000-0000-0000C8D50000}"/>
    <cellStyle name="Normal 9 2 8 2 2 2" xfId="39781" xr:uid="{00000000-0005-0000-0000-0000C9D50000}"/>
    <cellStyle name="Normal 9 2 8 2 2 2 2" xfId="60972" xr:uid="{00000000-0005-0000-0000-0000CAD50000}"/>
    <cellStyle name="Normal 9 2 8 2 2 2 3" xfId="60973" xr:uid="{00000000-0005-0000-0000-0000CBD50000}"/>
    <cellStyle name="Normal 9 2 8 2 2 3" xfId="39782" xr:uid="{00000000-0005-0000-0000-0000CCD50000}"/>
    <cellStyle name="Normal 9 2 8 2 2 3 2" xfId="60974" xr:uid="{00000000-0005-0000-0000-0000CDD50000}"/>
    <cellStyle name="Normal 9 2 8 2 2 4" xfId="39783" xr:uid="{00000000-0005-0000-0000-0000CED50000}"/>
    <cellStyle name="Normal 9 2 8 2 2 5" xfId="39784" xr:uid="{00000000-0005-0000-0000-0000CFD50000}"/>
    <cellStyle name="Normal 9 2 8 2 2 6" xfId="39785" xr:uid="{00000000-0005-0000-0000-0000D0D50000}"/>
    <cellStyle name="Normal 9 2 8 2 3" xfId="39786" xr:uid="{00000000-0005-0000-0000-0000D1D50000}"/>
    <cellStyle name="Normal 9 2 8 2 3 2" xfId="60975" xr:uid="{00000000-0005-0000-0000-0000D2D50000}"/>
    <cellStyle name="Normal 9 2 8 2 3 3" xfId="60976" xr:uid="{00000000-0005-0000-0000-0000D3D50000}"/>
    <cellStyle name="Normal 9 2 8 2 4" xfId="39787" xr:uid="{00000000-0005-0000-0000-0000D4D50000}"/>
    <cellStyle name="Normal 9 2 8 2 4 2" xfId="60977" xr:uid="{00000000-0005-0000-0000-0000D5D50000}"/>
    <cellStyle name="Normal 9 2 8 2 5" xfId="39788" xr:uid="{00000000-0005-0000-0000-0000D6D50000}"/>
    <cellStyle name="Normal 9 2 8 2 6" xfId="39789" xr:uid="{00000000-0005-0000-0000-0000D7D50000}"/>
    <cellStyle name="Normal 9 2 8 2 7" xfId="39790" xr:uid="{00000000-0005-0000-0000-0000D8D50000}"/>
    <cellStyle name="Normal 9 2 8 3" xfId="39791" xr:uid="{00000000-0005-0000-0000-0000D9D50000}"/>
    <cellStyle name="Normal 9 2 8 3 2" xfId="39792" xr:uid="{00000000-0005-0000-0000-0000DAD50000}"/>
    <cellStyle name="Normal 9 2 8 3 2 2" xfId="60978" xr:uid="{00000000-0005-0000-0000-0000DBD50000}"/>
    <cellStyle name="Normal 9 2 8 3 2 3" xfId="60979" xr:uid="{00000000-0005-0000-0000-0000DCD50000}"/>
    <cellStyle name="Normal 9 2 8 3 3" xfId="39793" xr:uid="{00000000-0005-0000-0000-0000DDD50000}"/>
    <cellStyle name="Normal 9 2 8 3 3 2" xfId="60980" xr:uid="{00000000-0005-0000-0000-0000DED50000}"/>
    <cellStyle name="Normal 9 2 8 3 4" xfId="39794" xr:uid="{00000000-0005-0000-0000-0000DFD50000}"/>
    <cellStyle name="Normal 9 2 8 3 5" xfId="39795" xr:uid="{00000000-0005-0000-0000-0000E0D50000}"/>
    <cellStyle name="Normal 9 2 8 3 6" xfId="39796" xr:uid="{00000000-0005-0000-0000-0000E1D50000}"/>
    <cellStyle name="Normal 9 2 8 4" xfId="39797" xr:uid="{00000000-0005-0000-0000-0000E2D50000}"/>
    <cellStyle name="Normal 9 2 8 4 2" xfId="60981" xr:uid="{00000000-0005-0000-0000-0000E3D50000}"/>
    <cellStyle name="Normal 9 2 8 4 3" xfId="60982" xr:uid="{00000000-0005-0000-0000-0000E4D50000}"/>
    <cellStyle name="Normal 9 2 8 5" xfId="39798" xr:uid="{00000000-0005-0000-0000-0000E5D50000}"/>
    <cellStyle name="Normal 9 2 8 5 2" xfId="60983" xr:uid="{00000000-0005-0000-0000-0000E6D50000}"/>
    <cellStyle name="Normal 9 2 8 6" xfId="39799" xr:uid="{00000000-0005-0000-0000-0000E7D50000}"/>
    <cellStyle name="Normal 9 2 8 7" xfId="39800" xr:uid="{00000000-0005-0000-0000-0000E8D50000}"/>
    <cellStyle name="Normal 9 2 8 8" xfId="39801" xr:uid="{00000000-0005-0000-0000-0000E9D50000}"/>
    <cellStyle name="Normal 9 2 9" xfId="39802" xr:uid="{00000000-0005-0000-0000-0000EAD50000}"/>
    <cellStyle name="Normal 9 2 9 2" xfId="39803" xr:uid="{00000000-0005-0000-0000-0000EBD50000}"/>
    <cellStyle name="Normal 9 2 9 2 2" xfId="39804" xr:uid="{00000000-0005-0000-0000-0000ECD50000}"/>
    <cellStyle name="Normal 9 2 9 2 2 2" xfId="39805" xr:uid="{00000000-0005-0000-0000-0000EDD50000}"/>
    <cellStyle name="Normal 9 2 9 2 2 2 2" xfId="60984" xr:uid="{00000000-0005-0000-0000-0000EED50000}"/>
    <cellStyle name="Normal 9 2 9 2 2 2 3" xfId="60985" xr:uid="{00000000-0005-0000-0000-0000EFD50000}"/>
    <cellStyle name="Normal 9 2 9 2 2 3" xfId="39806" xr:uid="{00000000-0005-0000-0000-0000F0D50000}"/>
    <cellStyle name="Normal 9 2 9 2 2 3 2" xfId="60986" xr:uid="{00000000-0005-0000-0000-0000F1D50000}"/>
    <cellStyle name="Normal 9 2 9 2 2 4" xfId="39807" xr:uid="{00000000-0005-0000-0000-0000F2D50000}"/>
    <cellStyle name="Normal 9 2 9 2 2 5" xfId="39808" xr:uid="{00000000-0005-0000-0000-0000F3D50000}"/>
    <cellStyle name="Normal 9 2 9 2 2 6" xfId="39809" xr:uid="{00000000-0005-0000-0000-0000F4D50000}"/>
    <cellStyle name="Normal 9 2 9 2 3" xfId="39810" xr:uid="{00000000-0005-0000-0000-0000F5D50000}"/>
    <cellStyle name="Normal 9 2 9 2 3 2" xfId="60987" xr:uid="{00000000-0005-0000-0000-0000F6D50000}"/>
    <cellStyle name="Normal 9 2 9 2 3 3" xfId="60988" xr:uid="{00000000-0005-0000-0000-0000F7D50000}"/>
    <cellStyle name="Normal 9 2 9 2 4" xfId="39811" xr:uid="{00000000-0005-0000-0000-0000F8D50000}"/>
    <cellStyle name="Normal 9 2 9 2 4 2" xfId="60989" xr:uid="{00000000-0005-0000-0000-0000F9D50000}"/>
    <cellStyle name="Normal 9 2 9 2 5" xfId="39812" xr:uid="{00000000-0005-0000-0000-0000FAD50000}"/>
    <cellStyle name="Normal 9 2 9 2 6" xfId="39813" xr:uid="{00000000-0005-0000-0000-0000FBD50000}"/>
    <cellStyle name="Normal 9 2 9 2 7" xfId="39814" xr:uid="{00000000-0005-0000-0000-0000FCD50000}"/>
    <cellStyle name="Normal 9 2 9 3" xfId="39815" xr:uid="{00000000-0005-0000-0000-0000FDD50000}"/>
    <cellStyle name="Normal 9 2 9 3 2" xfId="39816" xr:uid="{00000000-0005-0000-0000-0000FED50000}"/>
    <cellStyle name="Normal 9 2 9 3 2 2" xfId="60990" xr:uid="{00000000-0005-0000-0000-0000FFD50000}"/>
    <cellStyle name="Normal 9 2 9 3 2 3" xfId="60991" xr:uid="{00000000-0005-0000-0000-000000D60000}"/>
    <cellStyle name="Normal 9 2 9 3 3" xfId="39817" xr:uid="{00000000-0005-0000-0000-000001D60000}"/>
    <cellStyle name="Normal 9 2 9 3 3 2" xfId="60992" xr:uid="{00000000-0005-0000-0000-000002D60000}"/>
    <cellStyle name="Normal 9 2 9 3 4" xfId="39818" xr:uid="{00000000-0005-0000-0000-000003D60000}"/>
    <cellStyle name="Normal 9 2 9 3 5" xfId="39819" xr:uid="{00000000-0005-0000-0000-000004D60000}"/>
    <cellStyle name="Normal 9 2 9 3 6" xfId="39820" xr:uid="{00000000-0005-0000-0000-000005D60000}"/>
    <cellStyle name="Normal 9 2 9 4" xfId="39821" xr:uid="{00000000-0005-0000-0000-000006D60000}"/>
    <cellStyle name="Normal 9 2 9 4 2" xfId="60993" xr:uid="{00000000-0005-0000-0000-000007D60000}"/>
    <cellStyle name="Normal 9 2 9 4 3" xfId="60994" xr:uid="{00000000-0005-0000-0000-000008D60000}"/>
    <cellStyle name="Normal 9 2 9 5" xfId="39822" xr:uid="{00000000-0005-0000-0000-000009D60000}"/>
    <cellStyle name="Normal 9 2 9 5 2" xfId="60995" xr:uid="{00000000-0005-0000-0000-00000AD60000}"/>
    <cellStyle name="Normal 9 2 9 6" xfId="39823" xr:uid="{00000000-0005-0000-0000-00000BD60000}"/>
    <cellStyle name="Normal 9 2 9 7" xfId="39824" xr:uid="{00000000-0005-0000-0000-00000CD60000}"/>
    <cellStyle name="Normal 9 2 9 8" xfId="39825" xr:uid="{00000000-0005-0000-0000-00000DD60000}"/>
    <cellStyle name="Normal 9 20" xfId="39826" xr:uid="{00000000-0005-0000-0000-00000ED60000}"/>
    <cellStyle name="Normal 9 21" xfId="39827" xr:uid="{00000000-0005-0000-0000-00000FD60000}"/>
    <cellStyle name="Normal 9 22" xfId="39828" xr:uid="{00000000-0005-0000-0000-000010D60000}"/>
    <cellStyle name="Normal 9 23" xfId="39829" xr:uid="{00000000-0005-0000-0000-000011D60000}"/>
    <cellStyle name="Normal 9 3" xfId="39830" xr:uid="{00000000-0005-0000-0000-000012D60000}"/>
    <cellStyle name="Normal 9 3 10" xfId="39831" xr:uid="{00000000-0005-0000-0000-000013D60000}"/>
    <cellStyle name="Normal 9 3 10 2" xfId="39832" xr:uid="{00000000-0005-0000-0000-000014D60000}"/>
    <cellStyle name="Normal 9 3 10 2 2" xfId="39833" xr:uid="{00000000-0005-0000-0000-000015D60000}"/>
    <cellStyle name="Normal 9 3 10 2 2 2" xfId="60996" xr:uid="{00000000-0005-0000-0000-000016D60000}"/>
    <cellStyle name="Normal 9 3 10 2 2 3" xfId="60997" xr:uid="{00000000-0005-0000-0000-000017D60000}"/>
    <cellStyle name="Normal 9 3 10 2 3" xfId="39834" xr:uid="{00000000-0005-0000-0000-000018D60000}"/>
    <cellStyle name="Normal 9 3 10 2 3 2" xfId="60998" xr:uid="{00000000-0005-0000-0000-000019D60000}"/>
    <cellStyle name="Normal 9 3 10 2 4" xfId="39835" xr:uid="{00000000-0005-0000-0000-00001AD60000}"/>
    <cellStyle name="Normal 9 3 10 2 5" xfId="39836" xr:uid="{00000000-0005-0000-0000-00001BD60000}"/>
    <cellStyle name="Normal 9 3 10 2 6" xfId="39837" xr:uid="{00000000-0005-0000-0000-00001CD60000}"/>
    <cellStyle name="Normal 9 3 10 3" xfId="39838" xr:uid="{00000000-0005-0000-0000-00001DD60000}"/>
    <cellStyle name="Normal 9 3 10 3 2" xfId="60999" xr:uid="{00000000-0005-0000-0000-00001ED60000}"/>
    <cellStyle name="Normal 9 3 10 3 3" xfId="61000" xr:uid="{00000000-0005-0000-0000-00001FD60000}"/>
    <cellStyle name="Normal 9 3 10 4" xfId="39839" xr:uid="{00000000-0005-0000-0000-000020D60000}"/>
    <cellStyle name="Normal 9 3 10 4 2" xfId="61001" xr:uid="{00000000-0005-0000-0000-000021D60000}"/>
    <cellStyle name="Normal 9 3 10 5" xfId="39840" xr:uid="{00000000-0005-0000-0000-000022D60000}"/>
    <cellStyle name="Normal 9 3 10 6" xfId="39841" xr:uid="{00000000-0005-0000-0000-000023D60000}"/>
    <cellStyle name="Normal 9 3 10 7" xfId="39842" xr:uid="{00000000-0005-0000-0000-000024D60000}"/>
    <cellStyle name="Normal 9 3 11" xfId="39843" xr:uid="{00000000-0005-0000-0000-000025D60000}"/>
    <cellStyle name="Normal 9 3 11 2" xfId="39844" xr:uid="{00000000-0005-0000-0000-000026D60000}"/>
    <cellStyle name="Normal 9 3 11 2 2" xfId="61002" xr:uid="{00000000-0005-0000-0000-000027D60000}"/>
    <cellStyle name="Normal 9 3 11 2 3" xfId="61003" xr:uid="{00000000-0005-0000-0000-000028D60000}"/>
    <cellStyle name="Normal 9 3 11 3" xfId="39845" xr:uid="{00000000-0005-0000-0000-000029D60000}"/>
    <cellStyle name="Normal 9 3 11 3 2" xfId="61004" xr:uid="{00000000-0005-0000-0000-00002AD60000}"/>
    <cellStyle name="Normal 9 3 11 4" xfId="39846" xr:uid="{00000000-0005-0000-0000-00002BD60000}"/>
    <cellStyle name="Normal 9 3 11 5" xfId="39847" xr:uid="{00000000-0005-0000-0000-00002CD60000}"/>
    <cellStyle name="Normal 9 3 11 6" xfId="39848" xr:uid="{00000000-0005-0000-0000-00002DD60000}"/>
    <cellStyle name="Normal 9 3 12" xfId="39849" xr:uid="{00000000-0005-0000-0000-00002ED60000}"/>
    <cellStyle name="Normal 9 3 12 2" xfId="61005" xr:uid="{00000000-0005-0000-0000-00002FD60000}"/>
    <cellStyle name="Normal 9 3 12 3" xfId="61006" xr:uid="{00000000-0005-0000-0000-000030D60000}"/>
    <cellStyle name="Normal 9 3 13" xfId="39850" xr:uid="{00000000-0005-0000-0000-000031D60000}"/>
    <cellStyle name="Normal 9 3 13 2" xfId="61007" xr:uid="{00000000-0005-0000-0000-000032D60000}"/>
    <cellStyle name="Normal 9 3 14" xfId="39851" xr:uid="{00000000-0005-0000-0000-000033D60000}"/>
    <cellStyle name="Normal 9 3 14 2" xfId="61008" xr:uid="{00000000-0005-0000-0000-000034D60000}"/>
    <cellStyle name="Normal 9 3 15" xfId="39852" xr:uid="{00000000-0005-0000-0000-000035D60000}"/>
    <cellStyle name="Normal 9 3 16" xfId="39853" xr:uid="{00000000-0005-0000-0000-000036D60000}"/>
    <cellStyle name="Normal 9 3 17" xfId="39854" xr:uid="{00000000-0005-0000-0000-000037D60000}"/>
    <cellStyle name="Normal 9 3 18" xfId="39855" xr:uid="{00000000-0005-0000-0000-000038D60000}"/>
    <cellStyle name="Normal 9 3 19" xfId="39856" xr:uid="{00000000-0005-0000-0000-000039D60000}"/>
    <cellStyle name="Normal 9 3 2" xfId="39857" xr:uid="{00000000-0005-0000-0000-00003AD60000}"/>
    <cellStyle name="Normal 9 3 2 10" xfId="39858" xr:uid="{00000000-0005-0000-0000-00003BD60000}"/>
    <cellStyle name="Normal 9 3 2 11" xfId="39859" xr:uid="{00000000-0005-0000-0000-00003CD60000}"/>
    <cellStyle name="Normal 9 3 2 12" xfId="39860" xr:uid="{00000000-0005-0000-0000-00003DD60000}"/>
    <cellStyle name="Normal 9 3 2 13" xfId="39861" xr:uid="{00000000-0005-0000-0000-00003ED60000}"/>
    <cellStyle name="Normal 9 3 2 14" xfId="39862" xr:uid="{00000000-0005-0000-0000-00003FD60000}"/>
    <cellStyle name="Normal 9 3 2 15" xfId="39863" xr:uid="{00000000-0005-0000-0000-000040D60000}"/>
    <cellStyle name="Normal 9 3 2 16" xfId="39864" xr:uid="{00000000-0005-0000-0000-000041D60000}"/>
    <cellStyle name="Normal 9 3 2 2" xfId="39865" xr:uid="{00000000-0005-0000-0000-000042D60000}"/>
    <cellStyle name="Normal 9 3 2 2 10" xfId="39866" xr:uid="{00000000-0005-0000-0000-000043D60000}"/>
    <cellStyle name="Normal 9 3 2 2 11" xfId="39867" xr:uid="{00000000-0005-0000-0000-000044D60000}"/>
    <cellStyle name="Normal 9 3 2 2 12" xfId="39868" xr:uid="{00000000-0005-0000-0000-000045D60000}"/>
    <cellStyle name="Normal 9 3 2 2 13" xfId="39869" xr:uid="{00000000-0005-0000-0000-000046D60000}"/>
    <cellStyle name="Normal 9 3 2 2 14" xfId="39870" xr:uid="{00000000-0005-0000-0000-000047D60000}"/>
    <cellStyle name="Normal 9 3 2 2 2" xfId="39871" xr:uid="{00000000-0005-0000-0000-000048D60000}"/>
    <cellStyle name="Normal 9 3 2 2 2 2" xfId="39872" xr:uid="{00000000-0005-0000-0000-000049D60000}"/>
    <cellStyle name="Normal 9 3 2 2 2 2 2" xfId="39873" xr:uid="{00000000-0005-0000-0000-00004AD60000}"/>
    <cellStyle name="Normal 9 3 2 2 2 2 2 2" xfId="39874" xr:uid="{00000000-0005-0000-0000-00004BD60000}"/>
    <cellStyle name="Normal 9 3 2 2 2 2 2 2 2" xfId="61009" xr:uid="{00000000-0005-0000-0000-00004CD60000}"/>
    <cellStyle name="Normal 9 3 2 2 2 2 2 2 3" xfId="61010" xr:uid="{00000000-0005-0000-0000-00004DD60000}"/>
    <cellStyle name="Normal 9 3 2 2 2 2 2 3" xfId="39875" xr:uid="{00000000-0005-0000-0000-00004ED60000}"/>
    <cellStyle name="Normal 9 3 2 2 2 2 2 3 2" xfId="61011" xr:uid="{00000000-0005-0000-0000-00004FD60000}"/>
    <cellStyle name="Normal 9 3 2 2 2 2 2 4" xfId="39876" xr:uid="{00000000-0005-0000-0000-000050D60000}"/>
    <cellStyle name="Normal 9 3 2 2 2 2 2 5" xfId="39877" xr:uid="{00000000-0005-0000-0000-000051D60000}"/>
    <cellStyle name="Normal 9 3 2 2 2 2 2 6" xfId="39878" xr:uid="{00000000-0005-0000-0000-000052D60000}"/>
    <cellStyle name="Normal 9 3 2 2 2 2 3" xfId="39879" xr:uid="{00000000-0005-0000-0000-000053D60000}"/>
    <cellStyle name="Normal 9 3 2 2 2 2 3 2" xfId="61012" xr:uid="{00000000-0005-0000-0000-000054D60000}"/>
    <cellStyle name="Normal 9 3 2 2 2 2 3 3" xfId="61013" xr:uid="{00000000-0005-0000-0000-000055D60000}"/>
    <cellStyle name="Normal 9 3 2 2 2 2 4" xfId="39880" xr:uid="{00000000-0005-0000-0000-000056D60000}"/>
    <cellStyle name="Normal 9 3 2 2 2 2 4 2" xfId="61014" xr:uid="{00000000-0005-0000-0000-000057D60000}"/>
    <cellStyle name="Normal 9 3 2 2 2 2 5" xfId="39881" xr:uid="{00000000-0005-0000-0000-000058D60000}"/>
    <cellStyle name="Normal 9 3 2 2 2 2 6" xfId="39882" xr:uid="{00000000-0005-0000-0000-000059D60000}"/>
    <cellStyle name="Normal 9 3 2 2 2 2 7" xfId="39883" xr:uid="{00000000-0005-0000-0000-00005AD60000}"/>
    <cellStyle name="Normal 9 3 2 2 2 3" xfId="39884" xr:uid="{00000000-0005-0000-0000-00005BD60000}"/>
    <cellStyle name="Normal 9 3 2 2 2 3 2" xfId="39885" xr:uid="{00000000-0005-0000-0000-00005CD60000}"/>
    <cellStyle name="Normal 9 3 2 2 2 3 2 2" xfId="61015" xr:uid="{00000000-0005-0000-0000-00005DD60000}"/>
    <cellStyle name="Normal 9 3 2 2 2 3 2 3" xfId="61016" xr:uid="{00000000-0005-0000-0000-00005ED60000}"/>
    <cellStyle name="Normal 9 3 2 2 2 3 3" xfId="39886" xr:uid="{00000000-0005-0000-0000-00005FD60000}"/>
    <cellStyle name="Normal 9 3 2 2 2 3 3 2" xfId="61017" xr:uid="{00000000-0005-0000-0000-000060D60000}"/>
    <cellStyle name="Normal 9 3 2 2 2 3 4" xfId="39887" xr:uid="{00000000-0005-0000-0000-000061D60000}"/>
    <cellStyle name="Normal 9 3 2 2 2 3 5" xfId="39888" xr:uid="{00000000-0005-0000-0000-000062D60000}"/>
    <cellStyle name="Normal 9 3 2 2 2 3 6" xfId="39889" xr:uid="{00000000-0005-0000-0000-000063D60000}"/>
    <cellStyle name="Normal 9 3 2 2 2 4" xfId="39890" xr:uid="{00000000-0005-0000-0000-000064D60000}"/>
    <cellStyle name="Normal 9 3 2 2 2 4 2" xfId="61018" xr:uid="{00000000-0005-0000-0000-000065D60000}"/>
    <cellStyle name="Normal 9 3 2 2 2 4 3" xfId="61019" xr:uid="{00000000-0005-0000-0000-000066D60000}"/>
    <cellStyle name="Normal 9 3 2 2 2 5" xfId="39891" xr:uid="{00000000-0005-0000-0000-000067D60000}"/>
    <cellStyle name="Normal 9 3 2 2 2 5 2" xfId="61020" xr:uid="{00000000-0005-0000-0000-000068D60000}"/>
    <cellStyle name="Normal 9 3 2 2 2 6" xfId="39892" xr:uid="{00000000-0005-0000-0000-000069D60000}"/>
    <cellStyle name="Normal 9 3 2 2 2 7" xfId="39893" xr:uid="{00000000-0005-0000-0000-00006AD60000}"/>
    <cellStyle name="Normal 9 3 2 2 2 8" xfId="39894" xr:uid="{00000000-0005-0000-0000-00006BD60000}"/>
    <cellStyle name="Normal 9 3 2 2 2 9" xfId="39895" xr:uid="{00000000-0005-0000-0000-00006CD60000}"/>
    <cellStyle name="Normal 9 3 2 2 3" xfId="39896" xr:uid="{00000000-0005-0000-0000-00006DD60000}"/>
    <cellStyle name="Normal 9 3 2 2 3 2" xfId="39897" xr:uid="{00000000-0005-0000-0000-00006ED60000}"/>
    <cellStyle name="Normal 9 3 2 2 3 2 2" xfId="39898" xr:uid="{00000000-0005-0000-0000-00006FD60000}"/>
    <cellStyle name="Normal 9 3 2 2 3 2 2 2" xfId="39899" xr:uid="{00000000-0005-0000-0000-000070D60000}"/>
    <cellStyle name="Normal 9 3 2 2 3 2 2 2 2" xfId="61021" xr:uid="{00000000-0005-0000-0000-000071D60000}"/>
    <cellStyle name="Normal 9 3 2 2 3 2 2 2 3" xfId="61022" xr:uid="{00000000-0005-0000-0000-000072D60000}"/>
    <cellStyle name="Normal 9 3 2 2 3 2 2 3" xfId="39900" xr:uid="{00000000-0005-0000-0000-000073D60000}"/>
    <cellStyle name="Normal 9 3 2 2 3 2 2 3 2" xfId="61023" xr:uid="{00000000-0005-0000-0000-000074D60000}"/>
    <cellStyle name="Normal 9 3 2 2 3 2 2 4" xfId="39901" xr:uid="{00000000-0005-0000-0000-000075D60000}"/>
    <cellStyle name="Normal 9 3 2 2 3 2 2 5" xfId="39902" xr:uid="{00000000-0005-0000-0000-000076D60000}"/>
    <cellStyle name="Normal 9 3 2 2 3 2 2 6" xfId="39903" xr:uid="{00000000-0005-0000-0000-000077D60000}"/>
    <cellStyle name="Normal 9 3 2 2 3 2 3" xfId="39904" xr:uid="{00000000-0005-0000-0000-000078D60000}"/>
    <cellStyle name="Normal 9 3 2 2 3 2 3 2" xfId="61024" xr:uid="{00000000-0005-0000-0000-000079D60000}"/>
    <cellStyle name="Normal 9 3 2 2 3 2 3 3" xfId="61025" xr:uid="{00000000-0005-0000-0000-00007AD60000}"/>
    <cellStyle name="Normal 9 3 2 2 3 2 4" xfId="39905" xr:uid="{00000000-0005-0000-0000-00007BD60000}"/>
    <cellStyle name="Normal 9 3 2 2 3 2 4 2" xfId="61026" xr:uid="{00000000-0005-0000-0000-00007CD60000}"/>
    <cellStyle name="Normal 9 3 2 2 3 2 5" xfId="39906" xr:uid="{00000000-0005-0000-0000-00007DD60000}"/>
    <cellStyle name="Normal 9 3 2 2 3 2 6" xfId="39907" xr:uid="{00000000-0005-0000-0000-00007ED60000}"/>
    <cellStyle name="Normal 9 3 2 2 3 2 7" xfId="39908" xr:uid="{00000000-0005-0000-0000-00007FD60000}"/>
    <cellStyle name="Normal 9 3 2 2 3 3" xfId="39909" xr:uid="{00000000-0005-0000-0000-000080D60000}"/>
    <cellStyle name="Normal 9 3 2 2 3 3 2" xfId="39910" xr:uid="{00000000-0005-0000-0000-000081D60000}"/>
    <cellStyle name="Normal 9 3 2 2 3 3 2 2" xfId="61027" xr:uid="{00000000-0005-0000-0000-000082D60000}"/>
    <cellStyle name="Normal 9 3 2 2 3 3 2 3" xfId="61028" xr:uid="{00000000-0005-0000-0000-000083D60000}"/>
    <cellStyle name="Normal 9 3 2 2 3 3 3" xfId="39911" xr:uid="{00000000-0005-0000-0000-000084D60000}"/>
    <cellStyle name="Normal 9 3 2 2 3 3 3 2" xfId="61029" xr:uid="{00000000-0005-0000-0000-000085D60000}"/>
    <cellStyle name="Normal 9 3 2 2 3 3 4" xfId="39912" xr:uid="{00000000-0005-0000-0000-000086D60000}"/>
    <cellStyle name="Normal 9 3 2 2 3 3 5" xfId="39913" xr:uid="{00000000-0005-0000-0000-000087D60000}"/>
    <cellStyle name="Normal 9 3 2 2 3 3 6" xfId="39914" xr:uid="{00000000-0005-0000-0000-000088D60000}"/>
    <cellStyle name="Normal 9 3 2 2 3 4" xfId="39915" xr:uid="{00000000-0005-0000-0000-000089D60000}"/>
    <cellStyle name="Normal 9 3 2 2 3 4 2" xfId="61030" xr:uid="{00000000-0005-0000-0000-00008AD60000}"/>
    <cellStyle name="Normal 9 3 2 2 3 4 3" xfId="61031" xr:uid="{00000000-0005-0000-0000-00008BD60000}"/>
    <cellStyle name="Normal 9 3 2 2 3 5" xfId="39916" xr:uid="{00000000-0005-0000-0000-00008CD60000}"/>
    <cellStyle name="Normal 9 3 2 2 3 5 2" xfId="61032" xr:uid="{00000000-0005-0000-0000-00008DD60000}"/>
    <cellStyle name="Normal 9 3 2 2 3 6" xfId="39917" xr:uid="{00000000-0005-0000-0000-00008ED60000}"/>
    <cellStyle name="Normal 9 3 2 2 3 7" xfId="39918" xr:uid="{00000000-0005-0000-0000-00008FD60000}"/>
    <cellStyle name="Normal 9 3 2 2 3 8" xfId="39919" xr:uid="{00000000-0005-0000-0000-000090D60000}"/>
    <cellStyle name="Normal 9 3 2 2 4" xfId="39920" xr:uid="{00000000-0005-0000-0000-000091D60000}"/>
    <cellStyle name="Normal 9 3 2 2 4 2" xfId="39921" xr:uid="{00000000-0005-0000-0000-000092D60000}"/>
    <cellStyle name="Normal 9 3 2 2 4 2 2" xfId="39922" xr:uid="{00000000-0005-0000-0000-000093D60000}"/>
    <cellStyle name="Normal 9 3 2 2 4 2 2 2" xfId="61033" xr:uid="{00000000-0005-0000-0000-000094D60000}"/>
    <cellStyle name="Normal 9 3 2 2 4 2 2 3" xfId="61034" xr:uid="{00000000-0005-0000-0000-000095D60000}"/>
    <cellStyle name="Normal 9 3 2 2 4 2 3" xfId="39923" xr:uid="{00000000-0005-0000-0000-000096D60000}"/>
    <cellStyle name="Normal 9 3 2 2 4 2 3 2" xfId="61035" xr:uid="{00000000-0005-0000-0000-000097D60000}"/>
    <cellStyle name="Normal 9 3 2 2 4 2 4" xfId="39924" xr:uid="{00000000-0005-0000-0000-000098D60000}"/>
    <cellStyle name="Normal 9 3 2 2 4 2 5" xfId="39925" xr:uid="{00000000-0005-0000-0000-000099D60000}"/>
    <cellStyle name="Normal 9 3 2 2 4 2 6" xfId="39926" xr:uid="{00000000-0005-0000-0000-00009AD60000}"/>
    <cellStyle name="Normal 9 3 2 2 4 3" xfId="39927" xr:uid="{00000000-0005-0000-0000-00009BD60000}"/>
    <cellStyle name="Normal 9 3 2 2 4 3 2" xfId="61036" xr:uid="{00000000-0005-0000-0000-00009CD60000}"/>
    <cellStyle name="Normal 9 3 2 2 4 3 3" xfId="61037" xr:uid="{00000000-0005-0000-0000-00009DD60000}"/>
    <cellStyle name="Normal 9 3 2 2 4 4" xfId="39928" xr:uid="{00000000-0005-0000-0000-00009ED60000}"/>
    <cellStyle name="Normal 9 3 2 2 4 4 2" xfId="61038" xr:uid="{00000000-0005-0000-0000-00009FD60000}"/>
    <cellStyle name="Normal 9 3 2 2 4 5" xfId="39929" xr:uid="{00000000-0005-0000-0000-0000A0D60000}"/>
    <cellStyle name="Normal 9 3 2 2 4 6" xfId="39930" xr:uid="{00000000-0005-0000-0000-0000A1D60000}"/>
    <cellStyle name="Normal 9 3 2 2 4 7" xfId="39931" xr:uid="{00000000-0005-0000-0000-0000A2D60000}"/>
    <cellStyle name="Normal 9 3 2 2 5" xfId="39932" xr:uid="{00000000-0005-0000-0000-0000A3D60000}"/>
    <cellStyle name="Normal 9 3 2 2 5 2" xfId="39933" xr:uid="{00000000-0005-0000-0000-0000A4D60000}"/>
    <cellStyle name="Normal 9 3 2 2 5 2 2" xfId="61039" xr:uid="{00000000-0005-0000-0000-0000A5D60000}"/>
    <cellStyle name="Normal 9 3 2 2 5 2 3" xfId="61040" xr:uid="{00000000-0005-0000-0000-0000A6D60000}"/>
    <cellStyle name="Normal 9 3 2 2 5 3" xfId="39934" xr:uid="{00000000-0005-0000-0000-0000A7D60000}"/>
    <cellStyle name="Normal 9 3 2 2 5 3 2" xfId="61041" xr:uid="{00000000-0005-0000-0000-0000A8D60000}"/>
    <cellStyle name="Normal 9 3 2 2 5 4" xfId="39935" xr:uid="{00000000-0005-0000-0000-0000A9D60000}"/>
    <cellStyle name="Normal 9 3 2 2 5 5" xfId="39936" xr:uid="{00000000-0005-0000-0000-0000AAD60000}"/>
    <cellStyle name="Normal 9 3 2 2 5 6" xfId="39937" xr:uid="{00000000-0005-0000-0000-0000ABD60000}"/>
    <cellStyle name="Normal 9 3 2 2 6" xfId="39938" xr:uid="{00000000-0005-0000-0000-0000ACD60000}"/>
    <cellStyle name="Normal 9 3 2 2 6 2" xfId="61042" xr:uid="{00000000-0005-0000-0000-0000ADD60000}"/>
    <cellStyle name="Normal 9 3 2 2 6 3" xfId="61043" xr:uid="{00000000-0005-0000-0000-0000AED60000}"/>
    <cellStyle name="Normal 9 3 2 2 7" xfId="39939" xr:uid="{00000000-0005-0000-0000-0000AFD60000}"/>
    <cellStyle name="Normal 9 3 2 2 7 2" xfId="61044" xr:uid="{00000000-0005-0000-0000-0000B0D60000}"/>
    <cellStyle name="Normal 9 3 2 2 8" xfId="39940" xr:uid="{00000000-0005-0000-0000-0000B1D60000}"/>
    <cellStyle name="Normal 9 3 2 2 9" xfId="39941" xr:uid="{00000000-0005-0000-0000-0000B2D60000}"/>
    <cellStyle name="Normal 9 3 2 3" xfId="39942" xr:uid="{00000000-0005-0000-0000-0000B3D60000}"/>
    <cellStyle name="Normal 9 3 2 3 2" xfId="39943" xr:uid="{00000000-0005-0000-0000-0000B4D60000}"/>
    <cellStyle name="Normal 9 3 2 3 2 2" xfId="39944" xr:uid="{00000000-0005-0000-0000-0000B5D60000}"/>
    <cellStyle name="Normal 9 3 2 3 2 2 2" xfId="39945" xr:uid="{00000000-0005-0000-0000-0000B6D60000}"/>
    <cellStyle name="Normal 9 3 2 3 2 2 2 2" xfId="61045" xr:uid="{00000000-0005-0000-0000-0000B7D60000}"/>
    <cellStyle name="Normal 9 3 2 3 2 2 2 3" xfId="61046" xr:uid="{00000000-0005-0000-0000-0000B8D60000}"/>
    <cellStyle name="Normal 9 3 2 3 2 2 3" xfId="39946" xr:uid="{00000000-0005-0000-0000-0000B9D60000}"/>
    <cellStyle name="Normal 9 3 2 3 2 2 3 2" xfId="61047" xr:uid="{00000000-0005-0000-0000-0000BAD60000}"/>
    <cellStyle name="Normal 9 3 2 3 2 2 4" xfId="39947" xr:uid="{00000000-0005-0000-0000-0000BBD60000}"/>
    <cellStyle name="Normal 9 3 2 3 2 2 5" xfId="39948" xr:uid="{00000000-0005-0000-0000-0000BCD60000}"/>
    <cellStyle name="Normal 9 3 2 3 2 2 6" xfId="39949" xr:uid="{00000000-0005-0000-0000-0000BDD60000}"/>
    <cellStyle name="Normal 9 3 2 3 2 3" xfId="39950" xr:uid="{00000000-0005-0000-0000-0000BED60000}"/>
    <cellStyle name="Normal 9 3 2 3 2 3 2" xfId="61048" xr:uid="{00000000-0005-0000-0000-0000BFD60000}"/>
    <cellStyle name="Normal 9 3 2 3 2 3 3" xfId="61049" xr:uid="{00000000-0005-0000-0000-0000C0D60000}"/>
    <cellStyle name="Normal 9 3 2 3 2 4" xfId="39951" xr:uid="{00000000-0005-0000-0000-0000C1D60000}"/>
    <cellStyle name="Normal 9 3 2 3 2 4 2" xfId="61050" xr:uid="{00000000-0005-0000-0000-0000C2D60000}"/>
    <cellStyle name="Normal 9 3 2 3 2 5" xfId="39952" xr:uid="{00000000-0005-0000-0000-0000C3D60000}"/>
    <cellStyle name="Normal 9 3 2 3 2 6" xfId="39953" xr:uid="{00000000-0005-0000-0000-0000C4D60000}"/>
    <cellStyle name="Normal 9 3 2 3 2 7" xfId="39954" xr:uid="{00000000-0005-0000-0000-0000C5D60000}"/>
    <cellStyle name="Normal 9 3 2 3 3" xfId="39955" xr:uid="{00000000-0005-0000-0000-0000C6D60000}"/>
    <cellStyle name="Normal 9 3 2 3 3 2" xfId="39956" xr:uid="{00000000-0005-0000-0000-0000C7D60000}"/>
    <cellStyle name="Normal 9 3 2 3 3 2 2" xfId="61051" xr:uid="{00000000-0005-0000-0000-0000C8D60000}"/>
    <cellStyle name="Normal 9 3 2 3 3 2 3" xfId="61052" xr:uid="{00000000-0005-0000-0000-0000C9D60000}"/>
    <cellStyle name="Normal 9 3 2 3 3 3" xfId="39957" xr:uid="{00000000-0005-0000-0000-0000CAD60000}"/>
    <cellStyle name="Normal 9 3 2 3 3 3 2" xfId="61053" xr:uid="{00000000-0005-0000-0000-0000CBD60000}"/>
    <cellStyle name="Normal 9 3 2 3 3 4" xfId="39958" xr:uid="{00000000-0005-0000-0000-0000CCD60000}"/>
    <cellStyle name="Normal 9 3 2 3 3 5" xfId="39959" xr:uid="{00000000-0005-0000-0000-0000CDD60000}"/>
    <cellStyle name="Normal 9 3 2 3 3 6" xfId="39960" xr:uid="{00000000-0005-0000-0000-0000CED60000}"/>
    <cellStyle name="Normal 9 3 2 3 4" xfId="39961" xr:uid="{00000000-0005-0000-0000-0000CFD60000}"/>
    <cellStyle name="Normal 9 3 2 3 4 2" xfId="61054" xr:uid="{00000000-0005-0000-0000-0000D0D60000}"/>
    <cellStyle name="Normal 9 3 2 3 4 3" xfId="61055" xr:uid="{00000000-0005-0000-0000-0000D1D60000}"/>
    <cellStyle name="Normal 9 3 2 3 5" xfId="39962" xr:uid="{00000000-0005-0000-0000-0000D2D60000}"/>
    <cellStyle name="Normal 9 3 2 3 5 2" xfId="61056" xr:uid="{00000000-0005-0000-0000-0000D3D60000}"/>
    <cellStyle name="Normal 9 3 2 3 6" xfId="39963" xr:uid="{00000000-0005-0000-0000-0000D4D60000}"/>
    <cellStyle name="Normal 9 3 2 3 7" xfId="39964" xr:uid="{00000000-0005-0000-0000-0000D5D60000}"/>
    <cellStyle name="Normal 9 3 2 3 8" xfId="39965" xr:uid="{00000000-0005-0000-0000-0000D6D60000}"/>
    <cellStyle name="Normal 9 3 2 3 9" xfId="39966" xr:uid="{00000000-0005-0000-0000-0000D7D60000}"/>
    <cellStyle name="Normal 9 3 2 4" xfId="39967" xr:uid="{00000000-0005-0000-0000-0000D8D60000}"/>
    <cellStyle name="Normal 9 3 2 4 2" xfId="39968" xr:uid="{00000000-0005-0000-0000-0000D9D60000}"/>
    <cellStyle name="Normal 9 3 2 4 2 2" xfId="39969" xr:uid="{00000000-0005-0000-0000-0000DAD60000}"/>
    <cellStyle name="Normal 9 3 2 4 2 2 2" xfId="39970" xr:uid="{00000000-0005-0000-0000-0000DBD60000}"/>
    <cellStyle name="Normal 9 3 2 4 2 2 2 2" xfId="61057" xr:uid="{00000000-0005-0000-0000-0000DCD60000}"/>
    <cellStyle name="Normal 9 3 2 4 2 2 2 3" xfId="61058" xr:uid="{00000000-0005-0000-0000-0000DDD60000}"/>
    <cellStyle name="Normal 9 3 2 4 2 2 3" xfId="39971" xr:uid="{00000000-0005-0000-0000-0000DED60000}"/>
    <cellStyle name="Normal 9 3 2 4 2 2 3 2" xfId="61059" xr:uid="{00000000-0005-0000-0000-0000DFD60000}"/>
    <cellStyle name="Normal 9 3 2 4 2 2 4" xfId="39972" xr:uid="{00000000-0005-0000-0000-0000E0D60000}"/>
    <cellStyle name="Normal 9 3 2 4 2 2 5" xfId="39973" xr:uid="{00000000-0005-0000-0000-0000E1D60000}"/>
    <cellStyle name="Normal 9 3 2 4 2 2 6" xfId="39974" xr:uid="{00000000-0005-0000-0000-0000E2D60000}"/>
    <cellStyle name="Normal 9 3 2 4 2 3" xfId="39975" xr:uid="{00000000-0005-0000-0000-0000E3D60000}"/>
    <cellStyle name="Normal 9 3 2 4 2 3 2" xfId="61060" xr:uid="{00000000-0005-0000-0000-0000E4D60000}"/>
    <cellStyle name="Normal 9 3 2 4 2 3 3" xfId="61061" xr:uid="{00000000-0005-0000-0000-0000E5D60000}"/>
    <cellStyle name="Normal 9 3 2 4 2 4" xfId="39976" xr:uid="{00000000-0005-0000-0000-0000E6D60000}"/>
    <cellStyle name="Normal 9 3 2 4 2 4 2" xfId="61062" xr:uid="{00000000-0005-0000-0000-0000E7D60000}"/>
    <cellStyle name="Normal 9 3 2 4 2 5" xfId="39977" xr:uid="{00000000-0005-0000-0000-0000E8D60000}"/>
    <cellStyle name="Normal 9 3 2 4 2 6" xfId="39978" xr:uid="{00000000-0005-0000-0000-0000E9D60000}"/>
    <cellStyle name="Normal 9 3 2 4 2 7" xfId="39979" xr:uid="{00000000-0005-0000-0000-0000EAD60000}"/>
    <cellStyle name="Normal 9 3 2 4 3" xfId="39980" xr:uid="{00000000-0005-0000-0000-0000EBD60000}"/>
    <cellStyle name="Normal 9 3 2 4 3 2" xfId="39981" xr:uid="{00000000-0005-0000-0000-0000ECD60000}"/>
    <cellStyle name="Normal 9 3 2 4 3 2 2" xfId="61063" xr:uid="{00000000-0005-0000-0000-0000EDD60000}"/>
    <cellStyle name="Normal 9 3 2 4 3 2 3" xfId="61064" xr:uid="{00000000-0005-0000-0000-0000EED60000}"/>
    <cellStyle name="Normal 9 3 2 4 3 3" xfId="39982" xr:uid="{00000000-0005-0000-0000-0000EFD60000}"/>
    <cellStyle name="Normal 9 3 2 4 3 3 2" xfId="61065" xr:uid="{00000000-0005-0000-0000-0000F0D60000}"/>
    <cellStyle name="Normal 9 3 2 4 3 4" xfId="39983" xr:uid="{00000000-0005-0000-0000-0000F1D60000}"/>
    <cellStyle name="Normal 9 3 2 4 3 5" xfId="39984" xr:uid="{00000000-0005-0000-0000-0000F2D60000}"/>
    <cellStyle name="Normal 9 3 2 4 3 6" xfId="39985" xr:uid="{00000000-0005-0000-0000-0000F3D60000}"/>
    <cellStyle name="Normal 9 3 2 4 4" xfId="39986" xr:uid="{00000000-0005-0000-0000-0000F4D60000}"/>
    <cellStyle name="Normal 9 3 2 4 4 2" xfId="61066" xr:uid="{00000000-0005-0000-0000-0000F5D60000}"/>
    <cellStyle name="Normal 9 3 2 4 4 3" xfId="61067" xr:uid="{00000000-0005-0000-0000-0000F6D60000}"/>
    <cellStyle name="Normal 9 3 2 4 5" xfId="39987" xr:uid="{00000000-0005-0000-0000-0000F7D60000}"/>
    <cellStyle name="Normal 9 3 2 4 5 2" xfId="61068" xr:uid="{00000000-0005-0000-0000-0000F8D60000}"/>
    <cellStyle name="Normal 9 3 2 4 6" xfId="39988" xr:uid="{00000000-0005-0000-0000-0000F9D60000}"/>
    <cellStyle name="Normal 9 3 2 4 7" xfId="39989" xr:uid="{00000000-0005-0000-0000-0000FAD60000}"/>
    <cellStyle name="Normal 9 3 2 4 8" xfId="39990" xr:uid="{00000000-0005-0000-0000-0000FBD60000}"/>
    <cellStyle name="Normal 9 3 2 5" xfId="39991" xr:uid="{00000000-0005-0000-0000-0000FCD60000}"/>
    <cellStyle name="Normal 9 3 2 5 2" xfId="39992" xr:uid="{00000000-0005-0000-0000-0000FDD60000}"/>
    <cellStyle name="Normal 9 3 2 5 2 2" xfId="39993" xr:uid="{00000000-0005-0000-0000-0000FED60000}"/>
    <cellStyle name="Normal 9 3 2 5 2 2 2" xfId="61069" xr:uid="{00000000-0005-0000-0000-0000FFD60000}"/>
    <cellStyle name="Normal 9 3 2 5 2 2 3" xfId="61070" xr:uid="{00000000-0005-0000-0000-000000D70000}"/>
    <cellStyle name="Normal 9 3 2 5 2 3" xfId="39994" xr:uid="{00000000-0005-0000-0000-000001D70000}"/>
    <cellStyle name="Normal 9 3 2 5 2 3 2" xfId="61071" xr:uid="{00000000-0005-0000-0000-000002D70000}"/>
    <cellStyle name="Normal 9 3 2 5 2 4" xfId="39995" xr:uid="{00000000-0005-0000-0000-000003D70000}"/>
    <cellStyle name="Normal 9 3 2 5 2 5" xfId="39996" xr:uid="{00000000-0005-0000-0000-000004D70000}"/>
    <cellStyle name="Normal 9 3 2 5 2 6" xfId="39997" xr:uid="{00000000-0005-0000-0000-000005D70000}"/>
    <cellStyle name="Normal 9 3 2 5 3" xfId="39998" xr:uid="{00000000-0005-0000-0000-000006D70000}"/>
    <cellStyle name="Normal 9 3 2 5 3 2" xfId="61072" xr:uid="{00000000-0005-0000-0000-000007D70000}"/>
    <cellStyle name="Normal 9 3 2 5 3 3" xfId="61073" xr:uid="{00000000-0005-0000-0000-000008D70000}"/>
    <cellStyle name="Normal 9 3 2 5 4" xfId="39999" xr:uid="{00000000-0005-0000-0000-000009D70000}"/>
    <cellStyle name="Normal 9 3 2 5 4 2" xfId="61074" xr:uid="{00000000-0005-0000-0000-00000AD70000}"/>
    <cellStyle name="Normal 9 3 2 5 5" xfId="40000" xr:uid="{00000000-0005-0000-0000-00000BD70000}"/>
    <cellStyle name="Normal 9 3 2 5 6" xfId="40001" xr:uid="{00000000-0005-0000-0000-00000CD70000}"/>
    <cellStyle name="Normal 9 3 2 5 7" xfId="40002" xr:uid="{00000000-0005-0000-0000-00000DD70000}"/>
    <cellStyle name="Normal 9 3 2 6" xfId="40003" xr:uid="{00000000-0005-0000-0000-00000ED70000}"/>
    <cellStyle name="Normal 9 3 2 6 2" xfId="40004" xr:uid="{00000000-0005-0000-0000-00000FD70000}"/>
    <cellStyle name="Normal 9 3 2 6 2 2" xfId="61075" xr:uid="{00000000-0005-0000-0000-000010D70000}"/>
    <cellStyle name="Normal 9 3 2 6 2 3" xfId="61076" xr:uid="{00000000-0005-0000-0000-000011D70000}"/>
    <cellStyle name="Normal 9 3 2 6 3" xfId="40005" xr:uid="{00000000-0005-0000-0000-000012D70000}"/>
    <cellStyle name="Normal 9 3 2 6 3 2" xfId="61077" xr:uid="{00000000-0005-0000-0000-000013D70000}"/>
    <cellStyle name="Normal 9 3 2 6 4" xfId="40006" xr:uid="{00000000-0005-0000-0000-000014D70000}"/>
    <cellStyle name="Normal 9 3 2 6 5" xfId="40007" xr:uid="{00000000-0005-0000-0000-000015D70000}"/>
    <cellStyle name="Normal 9 3 2 6 6" xfId="40008" xr:uid="{00000000-0005-0000-0000-000016D70000}"/>
    <cellStyle name="Normal 9 3 2 7" xfId="40009" xr:uid="{00000000-0005-0000-0000-000017D70000}"/>
    <cellStyle name="Normal 9 3 2 7 2" xfId="61078" xr:uid="{00000000-0005-0000-0000-000018D70000}"/>
    <cellStyle name="Normal 9 3 2 7 3" xfId="61079" xr:uid="{00000000-0005-0000-0000-000019D70000}"/>
    <cellStyle name="Normal 9 3 2 8" xfId="40010" xr:uid="{00000000-0005-0000-0000-00001AD70000}"/>
    <cellStyle name="Normal 9 3 2 8 2" xfId="61080" xr:uid="{00000000-0005-0000-0000-00001BD70000}"/>
    <cellStyle name="Normal 9 3 2 9" xfId="40011" xr:uid="{00000000-0005-0000-0000-00001CD70000}"/>
    <cellStyle name="Normal 9 3 2 9 2" xfId="61081" xr:uid="{00000000-0005-0000-0000-00001DD70000}"/>
    <cellStyle name="Normal 9 3 20" xfId="40012" xr:uid="{00000000-0005-0000-0000-00001ED70000}"/>
    <cellStyle name="Normal 9 3 21" xfId="40013" xr:uid="{00000000-0005-0000-0000-00001FD70000}"/>
    <cellStyle name="Normal 9 3 3" xfId="40014" xr:uid="{00000000-0005-0000-0000-000020D70000}"/>
    <cellStyle name="Normal 9 3 3 10" xfId="40015" xr:uid="{00000000-0005-0000-0000-000021D70000}"/>
    <cellStyle name="Normal 9 3 3 11" xfId="40016" xr:uid="{00000000-0005-0000-0000-000022D70000}"/>
    <cellStyle name="Normal 9 3 3 12" xfId="40017" xr:uid="{00000000-0005-0000-0000-000023D70000}"/>
    <cellStyle name="Normal 9 3 3 13" xfId="40018" xr:uid="{00000000-0005-0000-0000-000024D70000}"/>
    <cellStyle name="Normal 9 3 3 14" xfId="40019" xr:uid="{00000000-0005-0000-0000-000025D70000}"/>
    <cellStyle name="Normal 9 3 3 15" xfId="40020" xr:uid="{00000000-0005-0000-0000-000026D70000}"/>
    <cellStyle name="Normal 9 3 3 2" xfId="40021" xr:uid="{00000000-0005-0000-0000-000027D70000}"/>
    <cellStyle name="Normal 9 3 3 2 10" xfId="40022" xr:uid="{00000000-0005-0000-0000-000028D70000}"/>
    <cellStyle name="Normal 9 3 3 2 11" xfId="40023" xr:uid="{00000000-0005-0000-0000-000029D70000}"/>
    <cellStyle name="Normal 9 3 3 2 12" xfId="40024" xr:uid="{00000000-0005-0000-0000-00002AD70000}"/>
    <cellStyle name="Normal 9 3 3 2 13" xfId="40025" xr:uid="{00000000-0005-0000-0000-00002BD70000}"/>
    <cellStyle name="Normal 9 3 3 2 14" xfId="40026" xr:uid="{00000000-0005-0000-0000-00002CD70000}"/>
    <cellStyle name="Normal 9 3 3 2 2" xfId="40027" xr:uid="{00000000-0005-0000-0000-00002DD70000}"/>
    <cellStyle name="Normal 9 3 3 2 2 2" xfId="40028" xr:uid="{00000000-0005-0000-0000-00002ED70000}"/>
    <cellStyle name="Normal 9 3 3 2 2 2 2" xfId="40029" xr:uid="{00000000-0005-0000-0000-00002FD70000}"/>
    <cellStyle name="Normal 9 3 3 2 2 2 2 2" xfId="40030" xr:uid="{00000000-0005-0000-0000-000030D70000}"/>
    <cellStyle name="Normal 9 3 3 2 2 2 2 2 2" xfId="61082" xr:uid="{00000000-0005-0000-0000-000031D70000}"/>
    <cellStyle name="Normal 9 3 3 2 2 2 2 2 3" xfId="61083" xr:uid="{00000000-0005-0000-0000-000032D70000}"/>
    <cellStyle name="Normal 9 3 3 2 2 2 2 3" xfId="40031" xr:uid="{00000000-0005-0000-0000-000033D70000}"/>
    <cellStyle name="Normal 9 3 3 2 2 2 2 3 2" xfId="61084" xr:uid="{00000000-0005-0000-0000-000034D70000}"/>
    <cellStyle name="Normal 9 3 3 2 2 2 2 4" xfId="40032" xr:uid="{00000000-0005-0000-0000-000035D70000}"/>
    <cellStyle name="Normal 9 3 3 2 2 2 2 5" xfId="40033" xr:uid="{00000000-0005-0000-0000-000036D70000}"/>
    <cellStyle name="Normal 9 3 3 2 2 2 2 6" xfId="40034" xr:uid="{00000000-0005-0000-0000-000037D70000}"/>
    <cellStyle name="Normal 9 3 3 2 2 2 3" xfId="40035" xr:uid="{00000000-0005-0000-0000-000038D70000}"/>
    <cellStyle name="Normal 9 3 3 2 2 2 3 2" xfId="61085" xr:uid="{00000000-0005-0000-0000-000039D70000}"/>
    <cellStyle name="Normal 9 3 3 2 2 2 3 3" xfId="61086" xr:uid="{00000000-0005-0000-0000-00003AD70000}"/>
    <cellStyle name="Normal 9 3 3 2 2 2 4" xfId="40036" xr:uid="{00000000-0005-0000-0000-00003BD70000}"/>
    <cellStyle name="Normal 9 3 3 2 2 2 4 2" xfId="61087" xr:uid="{00000000-0005-0000-0000-00003CD70000}"/>
    <cellStyle name="Normal 9 3 3 2 2 2 5" xfId="40037" xr:uid="{00000000-0005-0000-0000-00003DD70000}"/>
    <cellStyle name="Normal 9 3 3 2 2 2 6" xfId="40038" xr:uid="{00000000-0005-0000-0000-00003ED70000}"/>
    <cellStyle name="Normal 9 3 3 2 2 2 7" xfId="40039" xr:uid="{00000000-0005-0000-0000-00003FD70000}"/>
    <cellStyle name="Normal 9 3 3 2 2 3" xfId="40040" xr:uid="{00000000-0005-0000-0000-000040D70000}"/>
    <cellStyle name="Normal 9 3 3 2 2 3 2" xfId="40041" xr:uid="{00000000-0005-0000-0000-000041D70000}"/>
    <cellStyle name="Normal 9 3 3 2 2 3 2 2" xfId="61088" xr:uid="{00000000-0005-0000-0000-000042D70000}"/>
    <cellStyle name="Normal 9 3 3 2 2 3 2 3" xfId="61089" xr:uid="{00000000-0005-0000-0000-000043D70000}"/>
    <cellStyle name="Normal 9 3 3 2 2 3 3" xfId="40042" xr:uid="{00000000-0005-0000-0000-000044D70000}"/>
    <cellStyle name="Normal 9 3 3 2 2 3 3 2" xfId="61090" xr:uid="{00000000-0005-0000-0000-000045D70000}"/>
    <cellStyle name="Normal 9 3 3 2 2 3 4" xfId="40043" xr:uid="{00000000-0005-0000-0000-000046D70000}"/>
    <cellStyle name="Normal 9 3 3 2 2 3 5" xfId="40044" xr:uid="{00000000-0005-0000-0000-000047D70000}"/>
    <cellStyle name="Normal 9 3 3 2 2 3 6" xfId="40045" xr:uid="{00000000-0005-0000-0000-000048D70000}"/>
    <cellStyle name="Normal 9 3 3 2 2 4" xfId="40046" xr:uid="{00000000-0005-0000-0000-000049D70000}"/>
    <cellStyle name="Normal 9 3 3 2 2 4 2" xfId="61091" xr:uid="{00000000-0005-0000-0000-00004AD70000}"/>
    <cellStyle name="Normal 9 3 3 2 2 4 3" xfId="61092" xr:uid="{00000000-0005-0000-0000-00004BD70000}"/>
    <cellStyle name="Normal 9 3 3 2 2 5" xfId="40047" xr:uid="{00000000-0005-0000-0000-00004CD70000}"/>
    <cellStyle name="Normal 9 3 3 2 2 5 2" xfId="61093" xr:uid="{00000000-0005-0000-0000-00004DD70000}"/>
    <cellStyle name="Normal 9 3 3 2 2 6" xfId="40048" xr:uid="{00000000-0005-0000-0000-00004ED70000}"/>
    <cellStyle name="Normal 9 3 3 2 2 7" xfId="40049" xr:uid="{00000000-0005-0000-0000-00004FD70000}"/>
    <cellStyle name="Normal 9 3 3 2 2 8" xfId="40050" xr:uid="{00000000-0005-0000-0000-000050D70000}"/>
    <cellStyle name="Normal 9 3 3 2 2 9" xfId="40051" xr:uid="{00000000-0005-0000-0000-000051D70000}"/>
    <cellStyle name="Normal 9 3 3 2 3" xfId="40052" xr:uid="{00000000-0005-0000-0000-000052D70000}"/>
    <cellStyle name="Normal 9 3 3 2 3 2" xfId="40053" xr:uid="{00000000-0005-0000-0000-000053D70000}"/>
    <cellStyle name="Normal 9 3 3 2 3 2 2" xfId="40054" xr:uid="{00000000-0005-0000-0000-000054D70000}"/>
    <cellStyle name="Normal 9 3 3 2 3 2 2 2" xfId="40055" xr:uid="{00000000-0005-0000-0000-000055D70000}"/>
    <cellStyle name="Normal 9 3 3 2 3 2 2 2 2" xfId="61094" xr:uid="{00000000-0005-0000-0000-000056D70000}"/>
    <cellStyle name="Normal 9 3 3 2 3 2 2 2 3" xfId="61095" xr:uid="{00000000-0005-0000-0000-000057D70000}"/>
    <cellStyle name="Normal 9 3 3 2 3 2 2 3" xfId="40056" xr:uid="{00000000-0005-0000-0000-000058D70000}"/>
    <cellStyle name="Normal 9 3 3 2 3 2 2 3 2" xfId="61096" xr:uid="{00000000-0005-0000-0000-000059D70000}"/>
    <cellStyle name="Normal 9 3 3 2 3 2 2 4" xfId="40057" xr:uid="{00000000-0005-0000-0000-00005AD70000}"/>
    <cellStyle name="Normal 9 3 3 2 3 2 2 5" xfId="40058" xr:uid="{00000000-0005-0000-0000-00005BD70000}"/>
    <cellStyle name="Normal 9 3 3 2 3 2 2 6" xfId="40059" xr:uid="{00000000-0005-0000-0000-00005CD70000}"/>
    <cellStyle name="Normal 9 3 3 2 3 2 3" xfId="40060" xr:uid="{00000000-0005-0000-0000-00005DD70000}"/>
    <cellStyle name="Normal 9 3 3 2 3 2 3 2" xfId="61097" xr:uid="{00000000-0005-0000-0000-00005ED70000}"/>
    <cellStyle name="Normal 9 3 3 2 3 2 3 3" xfId="61098" xr:uid="{00000000-0005-0000-0000-00005FD70000}"/>
    <cellStyle name="Normal 9 3 3 2 3 2 4" xfId="40061" xr:uid="{00000000-0005-0000-0000-000060D70000}"/>
    <cellStyle name="Normal 9 3 3 2 3 2 4 2" xfId="61099" xr:uid="{00000000-0005-0000-0000-000061D70000}"/>
    <cellStyle name="Normal 9 3 3 2 3 2 5" xfId="40062" xr:uid="{00000000-0005-0000-0000-000062D70000}"/>
    <cellStyle name="Normal 9 3 3 2 3 2 6" xfId="40063" xr:uid="{00000000-0005-0000-0000-000063D70000}"/>
    <cellStyle name="Normal 9 3 3 2 3 2 7" xfId="40064" xr:uid="{00000000-0005-0000-0000-000064D70000}"/>
    <cellStyle name="Normal 9 3 3 2 3 3" xfId="40065" xr:uid="{00000000-0005-0000-0000-000065D70000}"/>
    <cellStyle name="Normal 9 3 3 2 3 3 2" xfId="40066" xr:uid="{00000000-0005-0000-0000-000066D70000}"/>
    <cellStyle name="Normal 9 3 3 2 3 3 2 2" xfId="61100" xr:uid="{00000000-0005-0000-0000-000067D70000}"/>
    <cellStyle name="Normal 9 3 3 2 3 3 2 3" xfId="61101" xr:uid="{00000000-0005-0000-0000-000068D70000}"/>
    <cellStyle name="Normal 9 3 3 2 3 3 3" xfId="40067" xr:uid="{00000000-0005-0000-0000-000069D70000}"/>
    <cellStyle name="Normal 9 3 3 2 3 3 3 2" xfId="61102" xr:uid="{00000000-0005-0000-0000-00006AD70000}"/>
    <cellStyle name="Normal 9 3 3 2 3 3 4" xfId="40068" xr:uid="{00000000-0005-0000-0000-00006BD70000}"/>
    <cellStyle name="Normal 9 3 3 2 3 3 5" xfId="40069" xr:uid="{00000000-0005-0000-0000-00006CD70000}"/>
    <cellStyle name="Normal 9 3 3 2 3 3 6" xfId="40070" xr:uid="{00000000-0005-0000-0000-00006DD70000}"/>
    <cellStyle name="Normal 9 3 3 2 3 4" xfId="40071" xr:uid="{00000000-0005-0000-0000-00006ED70000}"/>
    <cellStyle name="Normal 9 3 3 2 3 4 2" xfId="61103" xr:uid="{00000000-0005-0000-0000-00006FD70000}"/>
    <cellStyle name="Normal 9 3 3 2 3 4 3" xfId="61104" xr:uid="{00000000-0005-0000-0000-000070D70000}"/>
    <cellStyle name="Normal 9 3 3 2 3 5" xfId="40072" xr:uid="{00000000-0005-0000-0000-000071D70000}"/>
    <cellStyle name="Normal 9 3 3 2 3 5 2" xfId="61105" xr:uid="{00000000-0005-0000-0000-000072D70000}"/>
    <cellStyle name="Normal 9 3 3 2 3 6" xfId="40073" xr:uid="{00000000-0005-0000-0000-000073D70000}"/>
    <cellStyle name="Normal 9 3 3 2 3 7" xfId="40074" xr:uid="{00000000-0005-0000-0000-000074D70000}"/>
    <cellStyle name="Normal 9 3 3 2 3 8" xfId="40075" xr:uid="{00000000-0005-0000-0000-000075D70000}"/>
    <cellStyle name="Normal 9 3 3 2 4" xfId="40076" xr:uid="{00000000-0005-0000-0000-000076D70000}"/>
    <cellStyle name="Normal 9 3 3 2 4 2" xfId="40077" xr:uid="{00000000-0005-0000-0000-000077D70000}"/>
    <cellStyle name="Normal 9 3 3 2 4 2 2" xfId="40078" xr:uid="{00000000-0005-0000-0000-000078D70000}"/>
    <cellStyle name="Normal 9 3 3 2 4 2 2 2" xfId="61106" xr:uid="{00000000-0005-0000-0000-000079D70000}"/>
    <cellStyle name="Normal 9 3 3 2 4 2 2 3" xfId="61107" xr:uid="{00000000-0005-0000-0000-00007AD70000}"/>
    <cellStyle name="Normal 9 3 3 2 4 2 3" xfId="40079" xr:uid="{00000000-0005-0000-0000-00007BD70000}"/>
    <cellStyle name="Normal 9 3 3 2 4 2 3 2" xfId="61108" xr:uid="{00000000-0005-0000-0000-00007CD70000}"/>
    <cellStyle name="Normal 9 3 3 2 4 2 4" xfId="40080" xr:uid="{00000000-0005-0000-0000-00007DD70000}"/>
    <cellStyle name="Normal 9 3 3 2 4 2 5" xfId="40081" xr:uid="{00000000-0005-0000-0000-00007ED70000}"/>
    <cellStyle name="Normal 9 3 3 2 4 2 6" xfId="40082" xr:uid="{00000000-0005-0000-0000-00007FD70000}"/>
    <cellStyle name="Normal 9 3 3 2 4 3" xfId="40083" xr:uid="{00000000-0005-0000-0000-000080D70000}"/>
    <cellStyle name="Normal 9 3 3 2 4 3 2" xfId="61109" xr:uid="{00000000-0005-0000-0000-000081D70000}"/>
    <cellStyle name="Normal 9 3 3 2 4 3 3" xfId="61110" xr:uid="{00000000-0005-0000-0000-000082D70000}"/>
    <cellStyle name="Normal 9 3 3 2 4 4" xfId="40084" xr:uid="{00000000-0005-0000-0000-000083D70000}"/>
    <cellStyle name="Normal 9 3 3 2 4 4 2" xfId="61111" xr:uid="{00000000-0005-0000-0000-000084D70000}"/>
    <cellStyle name="Normal 9 3 3 2 4 5" xfId="40085" xr:uid="{00000000-0005-0000-0000-000085D70000}"/>
    <cellStyle name="Normal 9 3 3 2 4 6" xfId="40086" xr:uid="{00000000-0005-0000-0000-000086D70000}"/>
    <cellStyle name="Normal 9 3 3 2 4 7" xfId="40087" xr:uid="{00000000-0005-0000-0000-000087D70000}"/>
    <cellStyle name="Normal 9 3 3 2 5" xfId="40088" xr:uid="{00000000-0005-0000-0000-000088D70000}"/>
    <cellStyle name="Normal 9 3 3 2 5 2" xfId="40089" xr:uid="{00000000-0005-0000-0000-000089D70000}"/>
    <cellStyle name="Normal 9 3 3 2 5 2 2" xfId="61112" xr:uid="{00000000-0005-0000-0000-00008AD70000}"/>
    <cellStyle name="Normal 9 3 3 2 5 2 3" xfId="61113" xr:uid="{00000000-0005-0000-0000-00008BD70000}"/>
    <cellStyle name="Normal 9 3 3 2 5 3" xfId="40090" xr:uid="{00000000-0005-0000-0000-00008CD70000}"/>
    <cellStyle name="Normal 9 3 3 2 5 3 2" xfId="61114" xr:uid="{00000000-0005-0000-0000-00008DD70000}"/>
    <cellStyle name="Normal 9 3 3 2 5 4" xfId="40091" xr:uid="{00000000-0005-0000-0000-00008ED70000}"/>
    <cellStyle name="Normal 9 3 3 2 5 5" xfId="40092" xr:uid="{00000000-0005-0000-0000-00008FD70000}"/>
    <cellStyle name="Normal 9 3 3 2 5 6" xfId="40093" xr:uid="{00000000-0005-0000-0000-000090D70000}"/>
    <cellStyle name="Normal 9 3 3 2 6" xfId="40094" xr:uid="{00000000-0005-0000-0000-000091D70000}"/>
    <cellStyle name="Normal 9 3 3 2 6 2" xfId="61115" xr:uid="{00000000-0005-0000-0000-000092D70000}"/>
    <cellStyle name="Normal 9 3 3 2 6 3" xfId="61116" xr:uid="{00000000-0005-0000-0000-000093D70000}"/>
    <cellStyle name="Normal 9 3 3 2 7" xfId="40095" xr:uid="{00000000-0005-0000-0000-000094D70000}"/>
    <cellStyle name="Normal 9 3 3 2 7 2" xfId="61117" xr:uid="{00000000-0005-0000-0000-000095D70000}"/>
    <cellStyle name="Normal 9 3 3 2 8" xfId="40096" xr:uid="{00000000-0005-0000-0000-000096D70000}"/>
    <cellStyle name="Normal 9 3 3 2 9" xfId="40097" xr:uid="{00000000-0005-0000-0000-000097D70000}"/>
    <cellStyle name="Normal 9 3 3 3" xfId="40098" xr:uid="{00000000-0005-0000-0000-000098D70000}"/>
    <cellStyle name="Normal 9 3 3 3 2" xfId="40099" xr:uid="{00000000-0005-0000-0000-000099D70000}"/>
    <cellStyle name="Normal 9 3 3 3 2 2" xfId="40100" xr:uid="{00000000-0005-0000-0000-00009AD70000}"/>
    <cellStyle name="Normal 9 3 3 3 2 2 2" xfId="40101" xr:uid="{00000000-0005-0000-0000-00009BD70000}"/>
    <cellStyle name="Normal 9 3 3 3 2 2 2 2" xfId="61118" xr:uid="{00000000-0005-0000-0000-00009CD70000}"/>
    <cellStyle name="Normal 9 3 3 3 2 2 2 3" xfId="61119" xr:uid="{00000000-0005-0000-0000-00009DD70000}"/>
    <cellStyle name="Normal 9 3 3 3 2 2 3" xfId="40102" xr:uid="{00000000-0005-0000-0000-00009ED70000}"/>
    <cellStyle name="Normal 9 3 3 3 2 2 3 2" xfId="61120" xr:uid="{00000000-0005-0000-0000-00009FD70000}"/>
    <cellStyle name="Normal 9 3 3 3 2 2 4" xfId="40103" xr:uid="{00000000-0005-0000-0000-0000A0D70000}"/>
    <cellStyle name="Normal 9 3 3 3 2 2 5" xfId="40104" xr:uid="{00000000-0005-0000-0000-0000A1D70000}"/>
    <cellStyle name="Normal 9 3 3 3 2 2 6" xfId="40105" xr:uid="{00000000-0005-0000-0000-0000A2D70000}"/>
    <cellStyle name="Normal 9 3 3 3 2 3" xfId="40106" xr:uid="{00000000-0005-0000-0000-0000A3D70000}"/>
    <cellStyle name="Normal 9 3 3 3 2 3 2" xfId="61121" xr:uid="{00000000-0005-0000-0000-0000A4D70000}"/>
    <cellStyle name="Normal 9 3 3 3 2 3 3" xfId="61122" xr:uid="{00000000-0005-0000-0000-0000A5D70000}"/>
    <cellStyle name="Normal 9 3 3 3 2 4" xfId="40107" xr:uid="{00000000-0005-0000-0000-0000A6D70000}"/>
    <cellStyle name="Normal 9 3 3 3 2 4 2" xfId="61123" xr:uid="{00000000-0005-0000-0000-0000A7D70000}"/>
    <cellStyle name="Normal 9 3 3 3 2 5" xfId="40108" xr:uid="{00000000-0005-0000-0000-0000A8D70000}"/>
    <cellStyle name="Normal 9 3 3 3 2 6" xfId="40109" xr:uid="{00000000-0005-0000-0000-0000A9D70000}"/>
    <cellStyle name="Normal 9 3 3 3 2 7" xfId="40110" xr:uid="{00000000-0005-0000-0000-0000AAD70000}"/>
    <cellStyle name="Normal 9 3 3 3 3" xfId="40111" xr:uid="{00000000-0005-0000-0000-0000ABD70000}"/>
    <cellStyle name="Normal 9 3 3 3 3 2" xfId="40112" xr:uid="{00000000-0005-0000-0000-0000ACD70000}"/>
    <cellStyle name="Normal 9 3 3 3 3 2 2" xfId="61124" xr:uid="{00000000-0005-0000-0000-0000ADD70000}"/>
    <cellStyle name="Normal 9 3 3 3 3 2 3" xfId="61125" xr:uid="{00000000-0005-0000-0000-0000AED70000}"/>
    <cellStyle name="Normal 9 3 3 3 3 3" xfId="40113" xr:uid="{00000000-0005-0000-0000-0000AFD70000}"/>
    <cellStyle name="Normal 9 3 3 3 3 3 2" xfId="61126" xr:uid="{00000000-0005-0000-0000-0000B0D70000}"/>
    <cellStyle name="Normal 9 3 3 3 3 4" xfId="40114" xr:uid="{00000000-0005-0000-0000-0000B1D70000}"/>
    <cellStyle name="Normal 9 3 3 3 3 5" xfId="40115" xr:uid="{00000000-0005-0000-0000-0000B2D70000}"/>
    <cellStyle name="Normal 9 3 3 3 3 6" xfId="40116" xr:uid="{00000000-0005-0000-0000-0000B3D70000}"/>
    <cellStyle name="Normal 9 3 3 3 4" xfId="40117" xr:uid="{00000000-0005-0000-0000-0000B4D70000}"/>
    <cellStyle name="Normal 9 3 3 3 4 2" xfId="61127" xr:uid="{00000000-0005-0000-0000-0000B5D70000}"/>
    <cellStyle name="Normal 9 3 3 3 4 3" xfId="61128" xr:uid="{00000000-0005-0000-0000-0000B6D70000}"/>
    <cellStyle name="Normal 9 3 3 3 5" xfId="40118" xr:uid="{00000000-0005-0000-0000-0000B7D70000}"/>
    <cellStyle name="Normal 9 3 3 3 5 2" xfId="61129" xr:uid="{00000000-0005-0000-0000-0000B8D70000}"/>
    <cellStyle name="Normal 9 3 3 3 6" xfId="40119" xr:uid="{00000000-0005-0000-0000-0000B9D70000}"/>
    <cellStyle name="Normal 9 3 3 3 7" xfId="40120" xr:uid="{00000000-0005-0000-0000-0000BAD70000}"/>
    <cellStyle name="Normal 9 3 3 3 8" xfId="40121" xr:uid="{00000000-0005-0000-0000-0000BBD70000}"/>
    <cellStyle name="Normal 9 3 3 3 9" xfId="40122" xr:uid="{00000000-0005-0000-0000-0000BCD70000}"/>
    <cellStyle name="Normal 9 3 3 4" xfId="40123" xr:uid="{00000000-0005-0000-0000-0000BDD70000}"/>
    <cellStyle name="Normal 9 3 3 4 2" xfId="40124" xr:uid="{00000000-0005-0000-0000-0000BED70000}"/>
    <cellStyle name="Normal 9 3 3 4 2 2" xfId="40125" xr:uid="{00000000-0005-0000-0000-0000BFD70000}"/>
    <cellStyle name="Normal 9 3 3 4 2 2 2" xfId="40126" xr:uid="{00000000-0005-0000-0000-0000C0D70000}"/>
    <cellStyle name="Normal 9 3 3 4 2 2 2 2" xfId="61130" xr:uid="{00000000-0005-0000-0000-0000C1D70000}"/>
    <cellStyle name="Normal 9 3 3 4 2 2 2 3" xfId="61131" xr:uid="{00000000-0005-0000-0000-0000C2D70000}"/>
    <cellStyle name="Normal 9 3 3 4 2 2 3" xfId="40127" xr:uid="{00000000-0005-0000-0000-0000C3D70000}"/>
    <cellStyle name="Normal 9 3 3 4 2 2 3 2" xfId="61132" xr:uid="{00000000-0005-0000-0000-0000C4D70000}"/>
    <cellStyle name="Normal 9 3 3 4 2 2 4" xfId="40128" xr:uid="{00000000-0005-0000-0000-0000C5D70000}"/>
    <cellStyle name="Normal 9 3 3 4 2 2 5" xfId="40129" xr:uid="{00000000-0005-0000-0000-0000C6D70000}"/>
    <cellStyle name="Normal 9 3 3 4 2 2 6" xfId="40130" xr:uid="{00000000-0005-0000-0000-0000C7D70000}"/>
    <cellStyle name="Normal 9 3 3 4 2 3" xfId="40131" xr:uid="{00000000-0005-0000-0000-0000C8D70000}"/>
    <cellStyle name="Normal 9 3 3 4 2 3 2" xfId="61133" xr:uid="{00000000-0005-0000-0000-0000C9D70000}"/>
    <cellStyle name="Normal 9 3 3 4 2 3 3" xfId="61134" xr:uid="{00000000-0005-0000-0000-0000CAD70000}"/>
    <cellStyle name="Normal 9 3 3 4 2 4" xfId="40132" xr:uid="{00000000-0005-0000-0000-0000CBD70000}"/>
    <cellStyle name="Normal 9 3 3 4 2 4 2" xfId="61135" xr:uid="{00000000-0005-0000-0000-0000CCD70000}"/>
    <cellStyle name="Normal 9 3 3 4 2 5" xfId="40133" xr:uid="{00000000-0005-0000-0000-0000CDD70000}"/>
    <cellStyle name="Normal 9 3 3 4 2 6" xfId="40134" xr:uid="{00000000-0005-0000-0000-0000CED70000}"/>
    <cellStyle name="Normal 9 3 3 4 2 7" xfId="40135" xr:uid="{00000000-0005-0000-0000-0000CFD70000}"/>
    <cellStyle name="Normal 9 3 3 4 3" xfId="40136" xr:uid="{00000000-0005-0000-0000-0000D0D70000}"/>
    <cellStyle name="Normal 9 3 3 4 3 2" xfId="40137" xr:uid="{00000000-0005-0000-0000-0000D1D70000}"/>
    <cellStyle name="Normal 9 3 3 4 3 2 2" xfId="61136" xr:uid="{00000000-0005-0000-0000-0000D2D70000}"/>
    <cellStyle name="Normal 9 3 3 4 3 2 3" xfId="61137" xr:uid="{00000000-0005-0000-0000-0000D3D70000}"/>
    <cellStyle name="Normal 9 3 3 4 3 3" xfId="40138" xr:uid="{00000000-0005-0000-0000-0000D4D70000}"/>
    <cellStyle name="Normal 9 3 3 4 3 3 2" xfId="61138" xr:uid="{00000000-0005-0000-0000-0000D5D70000}"/>
    <cellStyle name="Normal 9 3 3 4 3 4" xfId="40139" xr:uid="{00000000-0005-0000-0000-0000D6D70000}"/>
    <cellStyle name="Normal 9 3 3 4 3 5" xfId="40140" xr:uid="{00000000-0005-0000-0000-0000D7D70000}"/>
    <cellStyle name="Normal 9 3 3 4 3 6" xfId="40141" xr:uid="{00000000-0005-0000-0000-0000D8D70000}"/>
    <cellStyle name="Normal 9 3 3 4 4" xfId="40142" xr:uid="{00000000-0005-0000-0000-0000D9D70000}"/>
    <cellStyle name="Normal 9 3 3 4 4 2" xfId="61139" xr:uid="{00000000-0005-0000-0000-0000DAD70000}"/>
    <cellStyle name="Normal 9 3 3 4 4 3" xfId="61140" xr:uid="{00000000-0005-0000-0000-0000DBD70000}"/>
    <cellStyle name="Normal 9 3 3 4 5" xfId="40143" xr:uid="{00000000-0005-0000-0000-0000DCD70000}"/>
    <cellStyle name="Normal 9 3 3 4 5 2" xfId="61141" xr:uid="{00000000-0005-0000-0000-0000DDD70000}"/>
    <cellStyle name="Normal 9 3 3 4 6" xfId="40144" xr:uid="{00000000-0005-0000-0000-0000DED70000}"/>
    <cellStyle name="Normal 9 3 3 4 7" xfId="40145" xr:uid="{00000000-0005-0000-0000-0000DFD70000}"/>
    <cellStyle name="Normal 9 3 3 4 8" xfId="40146" xr:uid="{00000000-0005-0000-0000-0000E0D70000}"/>
    <cellStyle name="Normal 9 3 3 5" xfId="40147" xr:uid="{00000000-0005-0000-0000-0000E1D70000}"/>
    <cellStyle name="Normal 9 3 3 5 2" xfId="40148" xr:uid="{00000000-0005-0000-0000-0000E2D70000}"/>
    <cellStyle name="Normal 9 3 3 5 2 2" xfId="40149" xr:uid="{00000000-0005-0000-0000-0000E3D70000}"/>
    <cellStyle name="Normal 9 3 3 5 2 2 2" xfId="61142" xr:uid="{00000000-0005-0000-0000-0000E4D70000}"/>
    <cellStyle name="Normal 9 3 3 5 2 2 3" xfId="61143" xr:uid="{00000000-0005-0000-0000-0000E5D70000}"/>
    <cellStyle name="Normal 9 3 3 5 2 3" xfId="40150" xr:uid="{00000000-0005-0000-0000-0000E6D70000}"/>
    <cellStyle name="Normal 9 3 3 5 2 3 2" xfId="61144" xr:uid="{00000000-0005-0000-0000-0000E7D70000}"/>
    <cellStyle name="Normal 9 3 3 5 2 4" xfId="40151" xr:uid="{00000000-0005-0000-0000-0000E8D70000}"/>
    <cellStyle name="Normal 9 3 3 5 2 5" xfId="40152" xr:uid="{00000000-0005-0000-0000-0000E9D70000}"/>
    <cellStyle name="Normal 9 3 3 5 2 6" xfId="40153" xr:uid="{00000000-0005-0000-0000-0000EAD70000}"/>
    <cellStyle name="Normal 9 3 3 5 3" xfId="40154" xr:uid="{00000000-0005-0000-0000-0000EBD70000}"/>
    <cellStyle name="Normal 9 3 3 5 3 2" xfId="61145" xr:uid="{00000000-0005-0000-0000-0000ECD70000}"/>
    <cellStyle name="Normal 9 3 3 5 3 3" xfId="61146" xr:uid="{00000000-0005-0000-0000-0000EDD70000}"/>
    <cellStyle name="Normal 9 3 3 5 4" xfId="40155" xr:uid="{00000000-0005-0000-0000-0000EED70000}"/>
    <cellStyle name="Normal 9 3 3 5 4 2" xfId="61147" xr:uid="{00000000-0005-0000-0000-0000EFD70000}"/>
    <cellStyle name="Normal 9 3 3 5 5" xfId="40156" xr:uid="{00000000-0005-0000-0000-0000F0D70000}"/>
    <cellStyle name="Normal 9 3 3 5 6" xfId="40157" xr:uid="{00000000-0005-0000-0000-0000F1D70000}"/>
    <cellStyle name="Normal 9 3 3 5 7" xfId="40158" xr:uid="{00000000-0005-0000-0000-0000F2D70000}"/>
    <cellStyle name="Normal 9 3 3 6" xfId="40159" xr:uid="{00000000-0005-0000-0000-0000F3D70000}"/>
    <cellStyle name="Normal 9 3 3 6 2" xfId="40160" xr:uid="{00000000-0005-0000-0000-0000F4D70000}"/>
    <cellStyle name="Normal 9 3 3 6 2 2" xfId="61148" xr:uid="{00000000-0005-0000-0000-0000F5D70000}"/>
    <cellStyle name="Normal 9 3 3 6 2 3" xfId="61149" xr:uid="{00000000-0005-0000-0000-0000F6D70000}"/>
    <cellStyle name="Normal 9 3 3 6 3" xfId="40161" xr:uid="{00000000-0005-0000-0000-0000F7D70000}"/>
    <cellStyle name="Normal 9 3 3 6 3 2" xfId="61150" xr:uid="{00000000-0005-0000-0000-0000F8D70000}"/>
    <cellStyle name="Normal 9 3 3 6 4" xfId="40162" xr:uid="{00000000-0005-0000-0000-0000F9D70000}"/>
    <cellStyle name="Normal 9 3 3 6 5" xfId="40163" xr:uid="{00000000-0005-0000-0000-0000FAD70000}"/>
    <cellStyle name="Normal 9 3 3 6 6" xfId="40164" xr:uid="{00000000-0005-0000-0000-0000FBD70000}"/>
    <cellStyle name="Normal 9 3 3 7" xfId="40165" xr:uid="{00000000-0005-0000-0000-0000FCD70000}"/>
    <cellStyle name="Normal 9 3 3 7 2" xfId="61151" xr:uid="{00000000-0005-0000-0000-0000FDD70000}"/>
    <cellStyle name="Normal 9 3 3 7 3" xfId="61152" xr:uid="{00000000-0005-0000-0000-0000FED70000}"/>
    <cellStyle name="Normal 9 3 3 8" xfId="40166" xr:uid="{00000000-0005-0000-0000-0000FFD70000}"/>
    <cellStyle name="Normal 9 3 3 8 2" xfId="61153" xr:uid="{00000000-0005-0000-0000-000000D80000}"/>
    <cellStyle name="Normal 9 3 3 9" xfId="40167" xr:uid="{00000000-0005-0000-0000-000001D80000}"/>
    <cellStyle name="Normal 9 3 4" xfId="40168" xr:uid="{00000000-0005-0000-0000-000002D80000}"/>
    <cellStyle name="Normal 9 3 4 10" xfId="40169" xr:uid="{00000000-0005-0000-0000-000003D80000}"/>
    <cellStyle name="Normal 9 3 4 11" xfId="40170" xr:uid="{00000000-0005-0000-0000-000004D80000}"/>
    <cellStyle name="Normal 9 3 4 12" xfId="40171" xr:uid="{00000000-0005-0000-0000-000005D80000}"/>
    <cellStyle name="Normal 9 3 4 13" xfId="40172" xr:uid="{00000000-0005-0000-0000-000006D80000}"/>
    <cellStyle name="Normal 9 3 4 14" xfId="40173" xr:uid="{00000000-0005-0000-0000-000007D80000}"/>
    <cellStyle name="Normal 9 3 4 2" xfId="40174" xr:uid="{00000000-0005-0000-0000-000008D80000}"/>
    <cellStyle name="Normal 9 3 4 2 2" xfId="40175" xr:uid="{00000000-0005-0000-0000-000009D80000}"/>
    <cellStyle name="Normal 9 3 4 2 2 2" xfId="40176" xr:uid="{00000000-0005-0000-0000-00000AD80000}"/>
    <cellStyle name="Normal 9 3 4 2 2 2 2" xfId="40177" xr:uid="{00000000-0005-0000-0000-00000BD80000}"/>
    <cellStyle name="Normal 9 3 4 2 2 2 2 2" xfId="61154" xr:uid="{00000000-0005-0000-0000-00000CD80000}"/>
    <cellStyle name="Normal 9 3 4 2 2 2 2 3" xfId="61155" xr:uid="{00000000-0005-0000-0000-00000DD80000}"/>
    <cellStyle name="Normal 9 3 4 2 2 2 3" xfId="40178" xr:uid="{00000000-0005-0000-0000-00000ED80000}"/>
    <cellStyle name="Normal 9 3 4 2 2 2 3 2" xfId="61156" xr:uid="{00000000-0005-0000-0000-00000FD80000}"/>
    <cellStyle name="Normal 9 3 4 2 2 2 4" xfId="40179" xr:uid="{00000000-0005-0000-0000-000010D80000}"/>
    <cellStyle name="Normal 9 3 4 2 2 2 5" xfId="40180" xr:uid="{00000000-0005-0000-0000-000011D80000}"/>
    <cellStyle name="Normal 9 3 4 2 2 2 6" xfId="40181" xr:uid="{00000000-0005-0000-0000-000012D80000}"/>
    <cellStyle name="Normal 9 3 4 2 2 3" xfId="40182" xr:uid="{00000000-0005-0000-0000-000013D80000}"/>
    <cellStyle name="Normal 9 3 4 2 2 3 2" xfId="61157" xr:uid="{00000000-0005-0000-0000-000014D80000}"/>
    <cellStyle name="Normal 9 3 4 2 2 3 3" xfId="61158" xr:uid="{00000000-0005-0000-0000-000015D80000}"/>
    <cellStyle name="Normal 9 3 4 2 2 4" xfId="40183" xr:uid="{00000000-0005-0000-0000-000016D80000}"/>
    <cellStyle name="Normal 9 3 4 2 2 4 2" xfId="61159" xr:uid="{00000000-0005-0000-0000-000017D80000}"/>
    <cellStyle name="Normal 9 3 4 2 2 5" xfId="40184" xr:uid="{00000000-0005-0000-0000-000018D80000}"/>
    <cellStyle name="Normal 9 3 4 2 2 6" xfId="40185" xr:uid="{00000000-0005-0000-0000-000019D80000}"/>
    <cellStyle name="Normal 9 3 4 2 2 7" xfId="40186" xr:uid="{00000000-0005-0000-0000-00001AD80000}"/>
    <cellStyle name="Normal 9 3 4 2 3" xfId="40187" xr:uid="{00000000-0005-0000-0000-00001BD80000}"/>
    <cellStyle name="Normal 9 3 4 2 3 2" xfId="40188" xr:uid="{00000000-0005-0000-0000-00001CD80000}"/>
    <cellStyle name="Normal 9 3 4 2 3 2 2" xfId="61160" xr:uid="{00000000-0005-0000-0000-00001DD80000}"/>
    <cellStyle name="Normal 9 3 4 2 3 2 3" xfId="61161" xr:uid="{00000000-0005-0000-0000-00001ED80000}"/>
    <cellStyle name="Normal 9 3 4 2 3 3" xfId="40189" xr:uid="{00000000-0005-0000-0000-00001FD80000}"/>
    <cellStyle name="Normal 9 3 4 2 3 3 2" xfId="61162" xr:uid="{00000000-0005-0000-0000-000020D80000}"/>
    <cellStyle name="Normal 9 3 4 2 3 4" xfId="40190" xr:uid="{00000000-0005-0000-0000-000021D80000}"/>
    <cellStyle name="Normal 9 3 4 2 3 5" xfId="40191" xr:uid="{00000000-0005-0000-0000-000022D80000}"/>
    <cellStyle name="Normal 9 3 4 2 3 6" xfId="40192" xr:uid="{00000000-0005-0000-0000-000023D80000}"/>
    <cellStyle name="Normal 9 3 4 2 4" xfId="40193" xr:uid="{00000000-0005-0000-0000-000024D80000}"/>
    <cellStyle name="Normal 9 3 4 2 4 2" xfId="61163" xr:uid="{00000000-0005-0000-0000-000025D80000}"/>
    <cellStyle name="Normal 9 3 4 2 4 3" xfId="61164" xr:uid="{00000000-0005-0000-0000-000026D80000}"/>
    <cellStyle name="Normal 9 3 4 2 5" xfId="40194" xr:uid="{00000000-0005-0000-0000-000027D80000}"/>
    <cellStyle name="Normal 9 3 4 2 5 2" xfId="61165" xr:uid="{00000000-0005-0000-0000-000028D80000}"/>
    <cellStyle name="Normal 9 3 4 2 6" xfId="40195" xr:uid="{00000000-0005-0000-0000-000029D80000}"/>
    <cellStyle name="Normal 9 3 4 2 7" xfId="40196" xr:uid="{00000000-0005-0000-0000-00002AD80000}"/>
    <cellStyle name="Normal 9 3 4 2 8" xfId="40197" xr:uid="{00000000-0005-0000-0000-00002BD80000}"/>
    <cellStyle name="Normal 9 3 4 2 9" xfId="40198" xr:uid="{00000000-0005-0000-0000-00002CD80000}"/>
    <cellStyle name="Normal 9 3 4 3" xfId="40199" xr:uid="{00000000-0005-0000-0000-00002DD80000}"/>
    <cellStyle name="Normal 9 3 4 3 2" xfId="40200" xr:uid="{00000000-0005-0000-0000-00002ED80000}"/>
    <cellStyle name="Normal 9 3 4 3 2 2" xfId="40201" xr:uid="{00000000-0005-0000-0000-00002FD80000}"/>
    <cellStyle name="Normal 9 3 4 3 2 2 2" xfId="40202" xr:uid="{00000000-0005-0000-0000-000030D80000}"/>
    <cellStyle name="Normal 9 3 4 3 2 2 2 2" xfId="61166" xr:uid="{00000000-0005-0000-0000-000031D80000}"/>
    <cellStyle name="Normal 9 3 4 3 2 2 2 3" xfId="61167" xr:uid="{00000000-0005-0000-0000-000032D80000}"/>
    <cellStyle name="Normal 9 3 4 3 2 2 3" xfId="40203" xr:uid="{00000000-0005-0000-0000-000033D80000}"/>
    <cellStyle name="Normal 9 3 4 3 2 2 3 2" xfId="61168" xr:uid="{00000000-0005-0000-0000-000034D80000}"/>
    <cellStyle name="Normal 9 3 4 3 2 2 4" xfId="40204" xr:uid="{00000000-0005-0000-0000-000035D80000}"/>
    <cellStyle name="Normal 9 3 4 3 2 2 5" xfId="40205" xr:uid="{00000000-0005-0000-0000-000036D80000}"/>
    <cellStyle name="Normal 9 3 4 3 2 2 6" xfId="40206" xr:uid="{00000000-0005-0000-0000-000037D80000}"/>
    <cellStyle name="Normal 9 3 4 3 2 3" xfId="40207" xr:uid="{00000000-0005-0000-0000-000038D80000}"/>
    <cellStyle name="Normal 9 3 4 3 2 3 2" xfId="61169" xr:uid="{00000000-0005-0000-0000-000039D80000}"/>
    <cellStyle name="Normal 9 3 4 3 2 3 3" xfId="61170" xr:uid="{00000000-0005-0000-0000-00003AD80000}"/>
    <cellStyle name="Normal 9 3 4 3 2 4" xfId="40208" xr:uid="{00000000-0005-0000-0000-00003BD80000}"/>
    <cellStyle name="Normal 9 3 4 3 2 4 2" xfId="61171" xr:uid="{00000000-0005-0000-0000-00003CD80000}"/>
    <cellStyle name="Normal 9 3 4 3 2 5" xfId="40209" xr:uid="{00000000-0005-0000-0000-00003DD80000}"/>
    <cellStyle name="Normal 9 3 4 3 2 6" xfId="40210" xr:uid="{00000000-0005-0000-0000-00003ED80000}"/>
    <cellStyle name="Normal 9 3 4 3 2 7" xfId="40211" xr:uid="{00000000-0005-0000-0000-00003FD80000}"/>
    <cellStyle name="Normal 9 3 4 3 3" xfId="40212" xr:uid="{00000000-0005-0000-0000-000040D80000}"/>
    <cellStyle name="Normal 9 3 4 3 3 2" xfId="40213" xr:uid="{00000000-0005-0000-0000-000041D80000}"/>
    <cellStyle name="Normal 9 3 4 3 3 2 2" xfId="61172" xr:uid="{00000000-0005-0000-0000-000042D80000}"/>
    <cellStyle name="Normal 9 3 4 3 3 2 3" xfId="61173" xr:uid="{00000000-0005-0000-0000-000043D80000}"/>
    <cellStyle name="Normal 9 3 4 3 3 3" xfId="40214" xr:uid="{00000000-0005-0000-0000-000044D80000}"/>
    <cellStyle name="Normal 9 3 4 3 3 3 2" xfId="61174" xr:uid="{00000000-0005-0000-0000-000045D80000}"/>
    <cellStyle name="Normal 9 3 4 3 3 4" xfId="40215" xr:uid="{00000000-0005-0000-0000-000046D80000}"/>
    <cellStyle name="Normal 9 3 4 3 3 5" xfId="40216" xr:uid="{00000000-0005-0000-0000-000047D80000}"/>
    <cellStyle name="Normal 9 3 4 3 3 6" xfId="40217" xr:uid="{00000000-0005-0000-0000-000048D80000}"/>
    <cellStyle name="Normal 9 3 4 3 4" xfId="40218" xr:uid="{00000000-0005-0000-0000-000049D80000}"/>
    <cellStyle name="Normal 9 3 4 3 4 2" xfId="61175" xr:uid="{00000000-0005-0000-0000-00004AD80000}"/>
    <cellStyle name="Normal 9 3 4 3 4 3" xfId="61176" xr:uid="{00000000-0005-0000-0000-00004BD80000}"/>
    <cellStyle name="Normal 9 3 4 3 5" xfId="40219" xr:uid="{00000000-0005-0000-0000-00004CD80000}"/>
    <cellStyle name="Normal 9 3 4 3 5 2" xfId="61177" xr:uid="{00000000-0005-0000-0000-00004DD80000}"/>
    <cellStyle name="Normal 9 3 4 3 6" xfId="40220" xr:uid="{00000000-0005-0000-0000-00004ED80000}"/>
    <cellStyle name="Normal 9 3 4 3 7" xfId="40221" xr:uid="{00000000-0005-0000-0000-00004FD80000}"/>
    <cellStyle name="Normal 9 3 4 3 8" xfId="40222" xr:uid="{00000000-0005-0000-0000-000050D80000}"/>
    <cellStyle name="Normal 9 3 4 4" xfId="40223" xr:uid="{00000000-0005-0000-0000-000051D80000}"/>
    <cellStyle name="Normal 9 3 4 4 2" xfId="40224" xr:uid="{00000000-0005-0000-0000-000052D80000}"/>
    <cellStyle name="Normal 9 3 4 4 2 2" xfId="40225" xr:uid="{00000000-0005-0000-0000-000053D80000}"/>
    <cellStyle name="Normal 9 3 4 4 2 2 2" xfId="61178" xr:uid="{00000000-0005-0000-0000-000054D80000}"/>
    <cellStyle name="Normal 9 3 4 4 2 2 3" xfId="61179" xr:uid="{00000000-0005-0000-0000-000055D80000}"/>
    <cellStyle name="Normal 9 3 4 4 2 3" xfId="40226" xr:uid="{00000000-0005-0000-0000-000056D80000}"/>
    <cellStyle name="Normal 9 3 4 4 2 3 2" xfId="61180" xr:uid="{00000000-0005-0000-0000-000057D80000}"/>
    <cellStyle name="Normal 9 3 4 4 2 4" xfId="40227" xr:uid="{00000000-0005-0000-0000-000058D80000}"/>
    <cellStyle name="Normal 9 3 4 4 2 5" xfId="40228" xr:uid="{00000000-0005-0000-0000-000059D80000}"/>
    <cellStyle name="Normal 9 3 4 4 2 6" xfId="40229" xr:uid="{00000000-0005-0000-0000-00005AD80000}"/>
    <cellStyle name="Normal 9 3 4 4 3" xfId="40230" xr:uid="{00000000-0005-0000-0000-00005BD80000}"/>
    <cellStyle name="Normal 9 3 4 4 3 2" xfId="61181" xr:uid="{00000000-0005-0000-0000-00005CD80000}"/>
    <cellStyle name="Normal 9 3 4 4 3 3" xfId="61182" xr:uid="{00000000-0005-0000-0000-00005DD80000}"/>
    <cellStyle name="Normal 9 3 4 4 4" xfId="40231" xr:uid="{00000000-0005-0000-0000-00005ED80000}"/>
    <cellStyle name="Normal 9 3 4 4 4 2" xfId="61183" xr:uid="{00000000-0005-0000-0000-00005FD80000}"/>
    <cellStyle name="Normal 9 3 4 4 5" xfId="40232" xr:uid="{00000000-0005-0000-0000-000060D80000}"/>
    <cellStyle name="Normal 9 3 4 4 6" xfId="40233" xr:uid="{00000000-0005-0000-0000-000061D80000}"/>
    <cellStyle name="Normal 9 3 4 4 7" xfId="40234" xr:uid="{00000000-0005-0000-0000-000062D80000}"/>
    <cellStyle name="Normal 9 3 4 5" xfId="40235" xr:uid="{00000000-0005-0000-0000-000063D80000}"/>
    <cellStyle name="Normal 9 3 4 5 2" xfId="40236" xr:uid="{00000000-0005-0000-0000-000064D80000}"/>
    <cellStyle name="Normal 9 3 4 5 2 2" xfId="61184" xr:uid="{00000000-0005-0000-0000-000065D80000}"/>
    <cellStyle name="Normal 9 3 4 5 2 3" xfId="61185" xr:uid="{00000000-0005-0000-0000-000066D80000}"/>
    <cellStyle name="Normal 9 3 4 5 3" xfId="40237" xr:uid="{00000000-0005-0000-0000-000067D80000}"/>
    <cellStyle name="Normal 9 3 4 5 3 2" xfId="61186" xr:uid="{00000000-0005-0000-0000-000068D80000}"/>
    <cellStyle name="Normal 9 3 4 5 4" xfId="40238" xr:uid="{00000000-0005-0000-0000-000069D80000}"/>
    <cellStyle name="Normal 9 3 4 5 5" xfId="40239" xr:uid="{00000000-0005-0000-0000-00006AD80000}"/>
    <cellStyle name="Normal 9 3 4 5 6" xfId="40240" xr:uid="{00000000-0005-0000-0000-00006BD80000}"/>
    <cellStyle name="Normal 9 3 4 6" xfId="40241" xr:uid="{00000000-0005-0000-0000-00006CD80000}"/>
    <cellStyle name="Normal 9 3 4 6 2" xfId="61187" xr:uid="{00000000-0005-0000-0000-00006DD80000}"/>
    <cellStyle name="Normal 9 3 4 6 3" xfId="61188" xr:uid="{00000000-0005-0000-0000-00006ED80000}"/>
    <cellStyle name="Normal 9 3 4 7" xfId="40242" xr:uid="{00000000-0005-0000-0000-00006FD80000}"/>
    <cellStyle name="Normal 9 3 4 7 2" xfId="61189" xr:uid="{00000000-0005-0000-0000-000070D80000}"/>
    <cellStyle name="Normal 9 3 4 8" xfId="40243" xr:uid="{00000000-0005-0000-0000-000071D80000}"/>
    <cellStyle name="Normal 9 3 4 9" xfId="40244" xr:uid="{00000000-0005-0000-0000-000072D80000}"/>
    <cellStyle name="Normal 9 3 5" xfId="40245" xr:uid="{00000000-0005-0000-0000-000073D80000}"/>
    <cellStyle name="Normal 9 3 5 10" xfId="40246" xr:uid="{00000000-0005-0000-0000-000074D80000}"/>
    <cellStyle name="Normal 9 3 5 11" xfId="40247" xr:uid="{00000000-0005-0000-0000-000075D80000}"/>
    <cellStyle name="Normal 9 3 5 12" xfId="40248" xr:uid="{00000000-0005-0000-0000-000076D80000}"/>
    <cellStyle name="Normal 9 3 5 13" xfId="40249" xr:uid="{00000000-0005-0000-0000-000077D80000}"/>
    <cellStyle name="Normal 9 3 5 14" xfId="40250" xr:uid="{00000000-0005-0000-0000-000078D80000}"/>
    <cellStyle name="Normal 9 3 5 2" xfId="40251" xr:uid="{00000000-0005-0000-0000-000079D80000}"/>
    <cellStyle name="Normal 9 3 5 2 2" xfId="40252" xr:uid="{00000000-0005-0000-0000-00007AD80000}"/>
    <cellStyle name="Normal 9 3 5 2 2 2" xfId="40253" xr:uid="{00000000-0005-0000-0000-00007BD80000}"/>
    <cellStyle name="Normal 9 3 5 2 2 2 2" xfId="40254" xr:uid="{00000000-0005-0000-0000-00007CD80000}"/>
    <cellStyle name="Normal 9 3 5 2 2 2 2 2" xfId="61190" xr:uid="{00000000-0005-0000-0000-00007DD80000}"/>
    <cellStyle name="Normal 9 3 5 2 2 2 2 3" xfId="61191" xr:uid="{00000000-0005-0000-0000-00007ED80000}"/>
    <cellStyle name="Normal 9 3 5 2 2 2 3" xfId="40255" xr:uid="{00000000-0005-0000-0000-00007FD80000}"/>
    <cellStyle name="Normal 9 3 5 2 2 2 3 2" xfId="61192" xr:uid="{00000000-0005-0000-0000-000080D80000}"/>
    <cellStyle name="Normal 9 3 5 2 2 2 4" xfId="40256" xr:uid="{00000000-0005-0000-0000-000081D80000}"/>
    <cellStyle name="Normal 9 3 5 2 2 2 5" xfId="40257" xr:uid="{00000000-0005-0000-0000-000082D80000}"/>
    <cellStyle name="Normal 9 3 5 2 2 2 6" xfId="40258" xr:uid="{00000000-0005-0000-0000-000083D80000}"/>
    <cellStyle name="Normal 9 3 5 2 2 3" xfId="40259" xr:uid="{00000000-0005-0000-0000-000084D80000}"/>
    <cellStyle name="Normal 9 3 5 2 2 3 2" xfId="61193" xr:uid="{00000000-0005-0000-0000-000085D80000}"/>
    <cellStyle name="Normal 9 3 5 2 2 3 3" xfId="61194" xr:uid="{00000000-0005-0000-0000-000086D80000}"/>
    <cellStyle name="Normal 9 3 5 2 2 4" xfId="40260" xr:uid="{00000000-0005-0000-0000-000087D80000}"/>
    <cellStyle name="Normal 9 3 5 2 2 4 2" xfId="61195" xr:uid="{00000000-0005-0000-0000-000088D80000}"/>
    <cellStyle name="Normal 9 3 5 2 2 5" xfId="40261" xr:uid="{00000000-0005-0000-0000-000089D80000}"/>
    <cellStyle name="Normal 9 3 5 2 2 6" xfId="40262" xr:uid="{00000000-0005-0000-0000-00008AD80000}"/>
    <cellStyle name="Normal 9 3 5 2 2 7" xfId="40263" xr:uid="{00000000-0005-0000-0000-00008BD80000}"/>
    <cellStyle name="Normal 9 3 5 2 3" xfId="40264" xr:uid="{00000000-0005-0000-0000-00008CD80000}"/>
    <cellStyle name="Normal 9 3 5 2 3 2" xfId="40265" xr:uid="{00000000-0005-0000-0000-00008DD80000}"/>
    <cellStyle name="Normal 9 3 5 2 3 2 2" xfId="61196" xr:uid="{00000000-0005-0000-0000-00008ED80000}"/>
    <cellStyle name="Normal 9 3 5 2 3 2 3" xfId="61197" xr:uid="{00000000-0005-0000-0000-00008FD80000}"/>
    <cellStyle name="Normal 9 3 5 2 3 3" xfId="40266" xr:uid="{00000000-0005-0000-0000-000090D80000}"/>
    <cellStyle name="Normal 9 3 5 2 3 3 2" xfId="61198" xr:uid="{00000000-0005-0000-0000-000091D80000}"/>
    <cellStyle name="Normal 9 3 5 2 3 4" xfId="40267" xr:uid="{00000000-0005-0000-0000-000092D80000}"/>
    <cellStyle name="Normal 9 3 5 2 3 5" xfId="40268" xr:uid="{00000000-0005-0000-0000-000093D80000}"/>
    <cellStyle name="Normal 9 3 5 2 3 6" xfId="40269" xr:uid="{00000000-0005-0000-0000-000094D80000}"/>
    <cellStyle name="Normal 9 3 5 2 4" xfId="40270" xr:uid="{00000000-0005-0000-0000-000095D80000}"/>
    <cellStyle name="Normal 9 3 5 2 4 2" xfId="61199" xr:uid="{00000000-0005-0000-0000-000096D80000}"/>
    <cellStyle name="Normal 9 3 5 2 4 3" xfId="61200" xr:uid="{00000000-0005-0000-0000-000097D80000}"/>
    <cellStyle name="Normal 9 3 5 2 5" xfId="40271" xr:uid="{00000000-0005-0000-0000-000098D80000}"/>
    <cellStyle name="Normal 9 3 5 2 5 2" xfId="61201" xr:uid="{00000000-0005-0000-0000-000099D80000}"/>
    <cellStyle name="Normal 9 3 5 2 6" xfId="40272" xr:uid="{00000000-0005-0000-0000-00009AD80000}"/>
    <cellStyle name="Normal 9 3 5 2 7" xfId="40273" xr:uid="{00000000-0005-0000-0000-00009BD80000}"/>
    <cellStyle name="Normal 9 3 5 2 8" xfId="40274" xr:uid="{00000000-0005-0000-0000-00009CD80000}"/>
    <cellStyle name="Normal 9 3 5 2 9" xfId="40275" xr:uid="{00000000-0005-0000-0000-00009DD80000}"/>
    <cellStyle name="Normal 9 3 5 3" xfId="40276" xr:uid="{00000000-0005-0000-0000-00009ED80000}"/>
    <cellStyle name="Normal 9 3 5 3 2" xfId="40277" xr:uid="{00000000-0005-0000-0000-00009FD80000}"/>
    <cellStyle name="Normal 9 3 5 3 2 2" xfId="40278" xr:uid="{00000000-0005-0000-0000-0000A0D80000}"/>
    <cellStyle name="Normal 9 3 5 3 2 2 2" xfId="40279" xr:uid="{00000000-0005-0000-0000-0000A1D80000}"/>
    <cellStyle name="Normal 9 3 5 3 2 2 2 2" xfId="61202" xr:uid="{00000000-0005-0000-0000-0000A2D80000}"/>
    <cellStyle name="Normal 9 3 5 3 2 2 2 3" xfId="61203" xr:uid="{00000000-0005-0000-0000-0000A3D80000}"/>
    <cellStyle name="Normal 9 3 5 3 2 2 3" xfId="40280" xr:uid="{00000000-0005-0000-0000-0000A4D80000}"/>
    <cellStyle name="Normal 9 3 5 3 2 2 3 2" xfId="61204" xr:uid="{00000000-0005-0000-0000-0000A5D80000}"/>
    <cellStyle name="Normal 9 3 5 3 2 2 4" xfId="40281" xr:uid="{00000000-0005-0000-0000-0000A6D80000}"/>
    <cellStyle name="Normal 9 3 5 3 2 2 5" xfId="40282" xr:uid="{00000000-0005-0000-0000-0000A7D80000}"/>
    <cellStyle name="Normal 9 3 5 3 2 2 6" xfId="40283" xr:uid="{00000000-0005-0000-0000-0000A8D80000}"/>
    <cellStyle name="Normal 9 3 5 3 2 3" xfId="40284" xr:uid="{00000000-0005-0000-0000-0000A9D80000}"/>
    <cellStyle name="Normal 9 3 5 3 2 3 2" xfId="61205" xr:uid="{00000000-0005-0000-0000-0000AAD80000}"/>
    <cellStyle name="Normal 9 3 5 3 2 3 3" xfId="61206" xr:uid="{00000000-0005-0000-0000-0000ABD80000}"/>
    <cellStyle name="Normal 9 3 5 3 2 4" xfId="40285" xr:uid="{00000000-0005-0000-0000-0000ACD80000}"/>
    <cellStyle name="Normal 9 3 5 3 2 4 2" xfId="61207" xr:uid="{00000000-0005-0000-0000-0000ADD80000}"/>
    <cellStyle name="Normal 9 3 5 3 2 5" xfId="40286" xr:uid="{00000000-0005-0000-0000-0000AED80000}"/>
    <cellStyle name="Normal 9 3 5 3 2 6" xfId="40287" xr:uid="{00000000-0005-0000-0000-0000AFD80000}"/>
    <cellStyle name="Normal 9 3 5 3 2 7" xfId="40288" xr:uid="{00000000-0005-0000-0000-0000B0D80000}"/>
    <cellStyle name="Normal 9 3 5 3 3" xfId="40289" xr:uid="{00000000-0005-0000-0000-0000B1D80000}"/>
    <cellStyle name="Normal 9 3 5 3 3 2" xfId="40290" xr:uid="{00000000-0005-0000-0000-0000B2D80000}"/>
    <cellStyle name="Normal 9 3 5 3 3 2 2" xfId="61208" xr:uid="{00000000-0005-0000-0000-0000B3D80000}"/>
    <cellStyle name="Normal 9 3 5 3 3 2 3" xfId="61209" xr:uid="{00000000-0005-0000-0000-0000B4D80000}"/>
    <cellStyle name="Normal 9 3 5 3 3 3" xfId="40291" xr:uid="{00000000-0005-0000-0000-0000B5D80000}"/>
    <cellStyle name="Normal 9 3 5 3 3 3 2" xfId="61210" xr:uid="{00000000-0005-0000-0000-0000B6D80000}"/>
    <cellStyle name="Normal 9 3 5 3 3 4" xfId="40292" xr:uid="{00000000-0005-0000-0000-0000B7D80000}"/>
    <cellStyle name="Normal 9 3 5 3 3 5" xfId="40293" xr:uid="{00000000-0005-0000-0000-0000B8D80000}"/>
    <cellStyle name="Normal 9 3 5 3 3 6" xfId="40294" xr:uid="{00000000-0005-0000-0000-0000B9D80000}"/>
    <cellStyle name="Normal 9 3 5 3 4" xfId="40295" xr:uid="{00000000-0005-0000-0000-0000BAD80000}"/>
    <cellStyle name="Normal 9 3 5 3 4 2" xfId="61211" xr:uid="{00000000-0005-0000-0000-0000BBD80000}"/>
    <cellStyle name="Normal 9 3 5 3 4 3" xfId="61212" xr:uid="{00000000-0005-0000-0000-0000BCD80000}"/>
    <cellStyle name="Normal 9 3 5 3 5" xfId="40296" xr:uid="{00000000-0005-0000-0000-0000BDD80000}"/>
    <cellStyle name="Normal 9 3 5 3 5 2" xfId="61213" xr:uid="{00000000-0005-0000-0000-0000BED80000}"/>
    <cellStyle name="Normal 9 3 5 3 6" xfId="40297" xr:uid="{00000000-0005-0000-0000-0000BFD80000}"/>
    <cellStyle name="Normal 9 3 5 3 7" xfId="40298" xr:uid="{00000000-0005-0000-0000-0000C0D80000}"/>
    <cellStyle name="Normal 9 3 5 3 8" xfId="40299" xr:uid="{00000000-0005-0000-0000-0000C1D80000}"/>
    <cellStyle name="Normal 9 3 5 4" xfId="40300" xr:uid="{00000000-0005-0000-0000-0000C2D80000}"/>
    <cellStyle name="Normal 9 3 5 4 2" xfId="40301" xr:uid="{00000000-0005-0000-0000-0000C3D80000}"/>
    <cellStyle name="Normal 9 3 5 4 2 2" xfId="40302" xr:uid="{00000000-0005-0000-0000-0000C4D80000}"/>
    <cellStyle name="Normal 9 3 5 4 2 2 2" xfId="61214" xr:uid="{00000000-0005-0000-0000-0000C5D80000}"/>
    <cellStyle name="Normal 9 3 5 4 2 2 3" xfId="61215" xr:uid="{00000000-0005-0000-0000-0000C6D80000}"/>
    <cellStyle name="Normal 9 3 5 4 2 3" xfId="40303" xr:uid="{00000000-0005-0000-0000-0000C7D80000}"/>
    <cellStyle name="Normal 9 3 5 4 2 3 2" xfId="61216" xr:uid="{00000000-0005-0000-0000-0000C8D80000}"/>
    <cellStyle name="Normal 9 3 5 4 2 4" xfId="40304" xr:uid="{00000000-0005-0000-0000-0000C9D80000}"/>
    <cellStyle name="Normal 9 3 5 4 2 5" xfId="40305" xr:uid="{00000000-0005-0000-0000-0000CAD80000}"/>
    <cellStyle name="Normal 9 3 5 4 2 6" xfId="40306" xr:uid="{00000000-0005-0000-0000-0000CBD80000}"/>
    <cellStyle name="Normal 9 3 5 4 3" xfId="40307" xr:uid="{00000000-0005-0000-0000-0000CCD80000}"/>
    <cellStyle name="Normal 9 3 5 4 3 2" xfId="61217" xr:uid="{00000000-0005-0000-0000-0000CDD80000}"/>
    <cellStyle name="Normal 9 3 5 4 3 3" xfId="61218" xr:uid="{00000000-0005-0000-0000-0000CED80000}"/>
    <cellStyle name="Normal 9 3 5 4 4" xfId="40308" xr:uid="{00000000-0005-0000-0000-0000CFD80000}"/>
    <cellStyle name="Normal 9 3 5 4 4 2" xfId="61219" xr:uid="{00000000-0005-0000-0000-0000D0D80000}"/>
    <cellStyle name="Normal 9 3 5 4 5" xfId="40309" xr:uid="{00000000-0005-0000-0000-0000D1D80000}"/>
    <cellStyle name="Normal 9 3 5 4 6" xfId="40310" xr:uid="{00000000-0005-0000-0000-0000D2D80000}"/>
    <cellStyle name="Normal 9 3 5 4 7" xfId="40311" xr:uid="{00000000-0005-0000-0000-0000D3D80000}"/>
    <cellStyle name="Normal 9 3 5 5" xfId="40312" xr:uid="{00000000-0005-0000-0000-0000D4D80000}"/>
    <cellStyle name="Normal 9 3 5 5 2" xfId="40313" xr:uid="{00000000-0005-0000-0000-0000D5D80000}"/>
    <cellStyle name="Normal 9 3 5 5 2 2" xfId="61220" xr:uid="{00000000-0005-0000-0000-0000D6D80000}"/>
    <cellStyle name="Normal 9 3 5 5 2 3" xfId="61221" xr:uid="{00000000-0005-0000-0000-0000D7D80000}"/>
    <cellStyle name="Normal 9 3 5 5 3" xfId="40314" xr:uid="{00000000-0005-0000-0000-0000D8D80000}"/>
    <cellStyle name="Normal 9 3 5 5 3 2" xfId="61222" xr:uid="{00000000-0005-0000-0000-0000D9D80000}"/>
    <cellStyle name="Normal 9 3 5 5 4" xfId="40315" xr:uid="{00000000-0005-0000-0000-0000DAD80000}"/>
    <cellStyle name="Normal 9 3 5 5 5" xfId="40316" xr:uid="{00000000-0005-0000-0000-0000DBD80000}"/>
    <cellStyle name="Normal 9 3 5 5 6" xfId="40317" xr:uid="{00000000-0005-0000-0000-0000DCD80000}"/>
    <cellStyle name="Normal 9 3 5 6" xfId="40318" xr:uid="{00000000-0005-0000-0000-0000DDD80000}"/>
    <cellStyle name="Normal 9 3 5 6 2" xfId="61223" xr:uid="{00000000-0005-0000-0000-0000DED80000}"/>
    <cellStyle name="Normal 9 3 5 6 3" xfId="61224" xr:uid="{00000000-0005-0000-0000-0000DFD80000}"/>
    <cellStyle name="Normal 9 3 5 7" xfId="40319" xr:uid="{00000000-0005-0000-0000-0000E0D80000}"/>
    <cellStyle name="Normal 9 3 5 7 2" xfId="61225" xr:uid="{00000000-0005-0000-0000-0000E1D80000}"/>
    <cellStyle name="Normal 9 3 5 8" xfId="40320" xr:uid="{00000000-0005-0000-0000-0000E2D80000}"/>
    <cellStyle name="Normal 9 3 5 9" xfId="40321" xr:uid="{00000000-0005-0000-0000-0000E3D80000}"/>
    <cellStyle name="Normal 9 3 6" xfId="40322" xr:uid="{00000000-0005-0000-0000-0000E4D80000}"/>
    <cellStyle name="Normal 9 3 6 10" xfId="40323" xr:uid="{00000000-0005-0000-0000-0000E5D80000}"/>
    <cellStyle name="Normal 9 3 6 11" xfId="40324" xr:uid="{00000000-0005-0000-0000-0000E6D80000}"/>
    <cellStyle name="Normal 9 3 6 12" xfId="40325" xr:uid="{00000000-0005-0000-0000-0000E7D80000}"/>
    <cellStyle name="Normal 9 3 6 13" xfId="40326" xr:uid="{00000000-0005-0000-0000-0000E8D80000}"/>
    <cellStyle name="Normal 9 3 6 2" xfId="40327" xr:uid="{00000000-0005-0000-0000-0000E9D80000}"/>
    <cellStyle name="Normal 9 3 6 2 2" xfId="40328" xr:uid="{00000000-0005-0000-0000-0000EAD80000}"/>
    <cellStyle name="Normal 9 3 6 2 2 2" xfId="40329" xr:uid="{00000000-0005-0000-0000-0000EBD80000}"/>
    <cellStyle name="Normal 9 3 6 2 2 2 2" xfId="40330" xr:uid="{00000000-0005-0000-0000-0000ECD80000}"/>
    <cellStyle name="Normal 9 3 6 2 2 2 2 2" xfId="61226" xr:uid="{00000000-0005-0000-0000-0000EDD80000}"/>
    <cellStyle name="Normal 9 3 6 2 2 2 2 3" xfId="61227" xr:uid="{00000000-0005-0000-0000-0000EED80000}"/>
    <cellStyle name="Normal 9 3 6 2 2 2 3" xfId="40331" xr:uid="{00000000-0005-0000-0000-0000EFD80000}"/>
    <cellStyle name="Normal 9 3 6 2 2 2 3 2" xfId="61228" xr:uid="{00000000-0005-0000-0000-0000F0D80000}"/>
    <cellStyle name="Normal 9 3 6 2 2 2 4" xfId="40332" xr:uid="{00000000-0005-0000-0000-0000F1D80000}"/>
    <cellStyle name="Normal 9 3 6 2 2 2 5" xfId="40333" xr:uid="{00000000-0005-0000-0000-0000F2D80000}"/>
    <cellStyle name="Normal 9 3 6 2 2 2 6" xfId="40334" xr:uid="{00000000-0005-0000-0000-0000F3D80000}"/>
    <cellStyle name="Normal 9 3 6 2 2 3" xfId="40335" xr:uid="{00000000-0005-0000-0000-0000F4D80000}"/>
    <cellStyle name="Normal 9 3 6 2 2 3 2" xfId="61229" xr:uid="{00000000-0005-0000-0000-0000F5D80000}"/>
    <cellStyle name="Normal 9 3 6 2 2 3 3" xfId="61230" xr:uid="{00000000-0005-0000-0000-0000F6D80000}"/>
    <cellStyle name="Normal 9 3 6 2 2 4" xfId="40336" xr:uid="{00000000-0005-0000-0000-0000F7D80000}"/>
    <cellStyle name="Normal 9 3 6 2 2 4 2" xfId="61231" xr:uid="{00000000-0005-0000-0000-0000F8D80000}"/>
    <cellStyle name="Normal 9 3 6 2 2 5" xfId="40337" xr:uid="{00000000-0005-0000-0000-0000F9D80000}"/>
    <cellStyle name="Normal 9 3 6 2 2 6" xfId="40338" xr:uid="{00000000-0005-0000-0000-0000FAD80000}"/>
    <cellStyle name="Normal 9 3 6 2 2 7" xfId="40339" xr:uid="{00000000-0005-0000-0000-0000FBD80000}"/>
    <cellStyle name="Normal 9 3 6 2 3" xfId="40340" xr:uid="{00000000-0005-0000-0000-0000FCD80000}"/>
    <cellStyle name="Normal 9 3 6 2 3 2" xfId="40341" xr:uid="{00000000-0005-0000-0000-0000FDD80000}"/>
    <cellStyle name="Normal 9 3 6 2 3 2 2" xfId="61232" xr:uid="{00000000-0005-0000-0000-0000FED80000}"/>
    <cellStyle name="Normal 9 3 6 2 3 2 3" xfId="61233" xr:uid="{00000000-0005-0000-0000-0000FFD80000}"/>
    <cellStyle name="Normal 9 3 6 2 3 3" xfId="40342" xr:uid="{00000000-0005-0000-0000-000000D90000}"/>
    <cellStyle name="Normal 9 3 6 2 3 3 2" xfId="61234" xr:uid="{00000000-0005-0000-0000-000001D90000}"/>
    <cellStyle name="Normal 9 3 6 2 3 4" xfId="40343" xr:uid="{00000000-0005-0000-0000-000002D90000}"/>
    <cellStyle name="Normal 9 3 6 2 3 5" xfId="40344" xr:uid="{00000000-0005-0000-0000-000003D90000}"/>
    <cellStyle name="Normal 9 3 6 2 3 6" xfId="40345" xr:uid="{00000000-0005-0000-0000-000004D90000}"/>
    <cellStyle name="Normal 9 3 6 2 4" xfId="40346" xr:uid="{00000000-0005-0000-0000-000005D90000}"/>
    <cellStyle name="Normal 9 3 6 2 4 2" xfId="61235" xr:uid="{00000000-0005-0000-0000-000006D90000}"/>
    <cellStyle name="Normal 9 3 6 2 4 3" xfId="61236" xr:uid="{00000000-0005-0000-0000-000007D90000}"/>
    <cellStyle name="Normal 9 3 6 2 5" xfId="40347" xr:uid="{00000000-0005-0000-0000-000008D90000}"/>
    <cellStyle name="Normal 9 3 6 2 5 2" xfId="61237" xr:uid="{00000000-0005-0000-0000-000009D90000}"/>
    <cellStyle name="Normal 9 3 6 2 6" xfId="40348" xr:uid="{00000000-0005-0000-0000-00000AD90000}"/>
    <cellStyle name="Normal 9 3 6 2 7" xfId="40349" xr:uid="{00000000-0005-0000-0000-00000BD90000}"/>
    <cellStyle name="Normal 9 3 6 2 8" xfId="40350" xr:uid="{00000000-0005-0000-0000-00000CD90000}"/>
    <cellStyle name="Normal 9 3 6 2 9" xfId="40351" xr:uid="{00000000-0005-0000-0000-00000DD90000}"/>
    <cellStyle name="Normal 9 3 6 3" xfId="40352" xr:uid="{00000000-0005-0000-0000-00000ED90000}"/>
    <cellStyle name="Normal 9 3 6 3 2" xfId="40353" xr:uid="{00000000-0005-0000-0000-00000FD90000}"/>
    <cellStyle name="Normal 9 3 6 3 2 2" xfId="40354" xr:uid="{00000000-0005-0000-0000-000010D90000}"/>
    <cellStyle name="Normal 9 3 6 3 2 2 2" xfId="61238" xr:uid="{00000000-0005-0000-0000-000011D90000}"/>
    <cellStyle name="Normal 9 3 6 3 2 2 3" xfId="61239" xr:uid="{00000000-0005-0000-0000-000012D90000}"/>
    <cellStyle name="Normal 9 3 6 3 2 3" xfId="40355" xr:uid="{00000000-0005-0000-0000-000013D90000}"/>
    <cellStyle name="Normal 9 3 6 3 2 3 2" xfId="61240" xr:uid="{00000000-0005-0000-0000-000014D90000}"/>
    <cellStyle name="Normal 9 3 6 3 2 4" xfId="40356" xr:uid="{00000000-0005-0000-0000-000015D90000}"/>
    <cellStyle name="Normal 9 3 6 3 2 5" xfId="40357" xr:uid="{00000000-0005-0000-0000-000016D90000}"/>
    <cellStyle name="Normal 9 3 6 3 2 6" xfId="40358" xr:uid="{00000000-0005-0000-0000-000017D90000}"/>
    <cellStyle name="Normal 9 3 6 3 3" xfId="40359" xr:uid="{00000000-0005-0000-0000-000018D90000}"/>
    <cellStyle name="Normal 9 3 6 3 3 2" xfId="61241" xr:uid="{00000000-0005-0000-0000-000019D90000}"/>
    <cellStyle name="Normal 9 3 6 3 3 3" xfId="61242" xr:uid="{00000000-0005-0000-0000-00001AD90000}"/>
    <cellStyle name="Normal 9 3 6 3 4" xfId="40360" xr:uid="{00000000-0005-0000-0000-00001BD90000}"/>
    <cellStyle name="Normal 9 3 6 3 4 2" xfId="61243" xr:uid="{00000000-0005-0000-0000-00001CD90000}"/>
    <cellStyle name="Normal 9 3 6 3 5" xfId="40361" xr:uid="{00000000-0005-0000-0000-00001DD90000}"/>
    <cellStyle name="Normal 9 3 6 3 6" xfId="40362" xr:uid="{00000000-0005-0000-0000-00001ED90000}"/>
    <cellStyle name="Normal 9 3 6 3 7" xfId="40363" xr:uid="{00000000-0005-0000-0000-00001FD90000}"/>
    <cellStyle name="Normal 9 3 6 4" xfId="40364" xr:uid="{00000000-0005-0000-0000-000020D90000}"/>
    <cellStyle name="Normal 9 3 6 4 2" xfId="40365" xr:uid="{00000000-0005-0000-0000-000021D90000}"/>
    <cellStyle name="Normal 9 3 6 4 2 2" xfId="61244" xr:uid="{00000000-0005-0000-0000-000022D90000}"/>
    <cellStyle name="Normal 9 3 6 4 2 3" xfId="61245" xr:uid="{00000000-0005-0000-0000-000023D90000}"/>
    <cellStyle name="Normal 9 3 6 4 3" xfId="40366" xr:uid="{00000000-0005-0000-0000-000024D90000}"/>
    <cellStyle name="Normal 9 3 6 4 3 2" xfId="61246" xr:uid="{00000000-0005-0000-0000-000025D90000}"/>
    <cellStyle name="Normal 9 3 6 4 4" xfId="40367" xr:uid="{00000000-0005-0000-0000-000026D90000}"/>
    <cellStyle name="Normal 9 3 6 4 5" xfId="40368" xr:uid="{00000000-0005-0000-0000-000027D90000}"/>
    <cellStyle name="Normal 9 3 6 4 6" xfId="40369" xr:uid="{00000000-0005-0000-0000-000028D90000}"/>
    <cellStyle name="Normal 9 3 6 5" xfId="40370" xr:uid="{00000000-0005-0000-0000-000029D90000}"/>
    <cellStyle name="Normal 9 3 6 5 2" xfId="61247" xr:uid="{00000000-0005-0000-0000-00002AD90000}"/>
    <cellStyle name="Normal 9 3 6 5 3" xfId="61248" xr:uid="{00000000-0005-0000-0000-00002BD90000}"/>
    <cellStyle name="Normal 9 3 6 6" xfId="40371" xr:uid="{00000000-0005-0000-0000-00002CD90000}"/>
    <cellStyle name="Normal 9 3 6 6 2" xfId="61249" xr:uid="{00000000-0005-0000-0000-00002DD90000}"/>
    <cellStyle name="Normal 9 3 6 7" xfId="40372" xr:uid="{00000000-0005-0000-0000-00002ED90000}"/>
    <cellStyle name="Normal 9 3 6 8" xfId="40373" xr:uid="{00000000-0005-0000-0000-00002FD90000}"/>
    <cellStyle name="Normal 9 3 6 9" xfId="40374" xr:uid="{00000000-0005-0000-0000-000030D90000}"/>
    <cellStyle name="Normal 9 3 7" xfId="40375" xr:uid="{00000000-0005-0000-0000-000031D90000}"/>
    <cellStyle name="Normal 9 3 7 2" xfId="40376" xr:uid="{00000000-0005-0000-0000-000032D90000}"/>
    <cellStyle name="Normal 9 3 7 2 2" xfId="40377" xr:uid="{00000000-0005-0000-0000-000033D90000}"/>
    <cellStyle name="Normal 9 3 7 2 2 2" xfId="40378" xr:uid="{00000000-0005-0000-0000-000034D90000}"/>
    <cellStyle name="Normal 9 3 7 2 2 2 2" xfId="61250" xr:uid="{00000000-0005-0000-0000-000035D90000}"/>
    <cellStyle name="Normal 9 3 7 2 2 2 3" xfId="61251" xr:uid="{00000000-0005-0000-0000-000036D90000}"/>
    <cellStyle name="Normal 9 3 7 2 2 3" xfId="40379" xr:uid="{00000000-0005-0000-0000-000037D90000}"/>
    <cellStyle name="Normal 9 3 7 2 2 3 2" xfId="61252" xr:uid="{00000000-0005-0000-0000-000038D90000}"/>
    <cellStyle name="Normal 9 3 7 2 2 4" xfId="40380" xr:uid="{00000000-0005-0000-0000-000039D90000}"/>
    <cellStyle name="Normal 9 3 7 2 2 5" xfId="40381" xr:uid="{00000000-0005-0000-0000-00003AD90000}"/>
    <cellStyle name="Normal 9 3 7 2 2 6" xfId="40382" xr:uid="{00000000-0005-0000-0000-00003BD90000}"/>
    <cellStyle name="Normal 9 3 7 2 3" xfId="40383" xr:uid="{00000000-0005-0000-0000-00003CD90000}"/>
    <cellStyle name="Normal 9 3 7 2 3 2" xfId="61253" xr:uid="{00000000-0005-0000-0000-00003DD90000}"/>
    <cellStyle name="Normal 9 3 7 2 3 3" xfId="61254" xr:uid="{00000000-0005-0000-0000-00003ED90000}"/>
    <cellStyle name="Normal 9 3 7 2 4" xfId="40384" xr:uid="{00000000-0005-0000-0000-00003FD90000}"/>
    <cellStyle name="Normal 9 3 7 2 4 2" xfId="61255" xr:uid="{00000000-0005-0000-0000-000040D90000}"/>
    <cellStyle name="Normal 9 3 7 2 5" xfId="40385" xr:uid="{00000000-0005-0000-0000-000041D90000}"/>
    <cellStyle name="Normal 9 3 7 2 6" xfId="40386" xr:uid="{00000000-0005-0000-0000-000042D90000}"/>
    <cellStyle name="Normal 9 3 7 2 7" xfId="40387" xr:uid="{00000000-0005-0000-0000-000043D90000}"/>
    <cellStyle name="Normal 9 3 7 3" xfId="40388" xr:uid="{00000000-0005-0000-0000-000044D90000}"/>
    <cellStyle name="Normal 9 3 7 3 2" xfId="40389" xr:uid="{00000000-0005-0000-0000-000045D90000}"/>
    <cellStyle name="Normal 9 3 7 3 2 2" xfId="61256" xr:uid="{00000000-0005-0000-0000-000046D90000}"/>
    <cellStyle name="Normal 9 3 7 3 2 3" xfId="61257" xr:uid="{00000000-0005-0000-0000-000047D90000}"/>
    <cellStyle name="Normal 9 3 7 3 3" xfId="40390" xr:uid="{00000000-0005-0000-0000-000048D90000}"/>
    <cellStyle name="Normal 9 3 7 3 3 2" xfId="61258" xr:uid="{00000000-0005-0000-0000-000049D90000}"/>
    <cellStyle name="Normal 9 3 7 3 4" xfId="40391" xr:uid="{00000000-0005-0000-0000-00004AD90000}"/>
    <cellStyle name="Normal 9 3 7 3 5" xfId="40392" xr:uid="{00000000-0005-0000-0000-00004BD90000}"/>
    <cellStyle name="Normal 9 3 7 3 6" xfId="40393" xr:uid="{00000000-0005-0000-0000-00004CD90000}"/>
    <cellStyle name="Normal 9 3 7 4" xfId="40394" xr:uid="{00000000-0005-0000-0000-00004DD90000}"/>
    <cellStyle name="Normal 9 3 7 4 2" xfId="61259" xr:uid="{00000000-0005-0000-0000-00004ED90000}"/>
    <cellStyle name="Normal 9 3 7 4 3" xfId="61260" xr:uid="{00000000-0005-0000-0000-00004FD90000}"/>
    <cellStyle name="Normal 9 3 7 5" xfId="40395" xr:uid="{00000000-0005-0000-0000-000050D90000}"/>
    <cellStyle name="Normal 9 3 7 5 2" xfId="61261" xr:uid="{00000000-0005-0000-0000-000051D90000}"/>
    <cellStyle name="Normal 9 3 7 6" xfId="40396" xr:uid="{00000000-0005-0000-0000-000052D90000}"/>
    <cellStyle name="Normal 9 3 7 7" xfId="40397" xr:uid="{00000000-0005-0000-0000-000053D90000}"/>
    <cellStyle name="Normal 9 3 7 8" xfId="40398" xr:uid="{00000000-0005-0000-0000-000054D90000}"/>
    <cellStyle name="Normal 9 3 7 9" xfId="40399" xr:uid="{00000000-0005-0000-0000-000055D90000}"/>
    <cellStyle name="Normal 9 3 8" xfId="40400" xr:uid="{00000000-0005-0000-0000-000056D90000}"/>
    <cellStyle name="Normal 9 3 8 2" xfId="40401" xr:uid="{00000000-0005-0000-0000-000057D90000}"/>
    <cellStyle name="Normal 9 3 8 2 2" xfId="40402" xr:uid="{00000000-0005-0000-0000-000058D90000}"/>
    <cellStyle name="Normal 9 3 8 2 2 2" xfId="40403" xr:uid="{00000000-0005-0000-0000-000059D90000}"/>
    <cellStyle name="Normal 9 3 8 2 2 2 2" xfId="61262" xr:uid="{00000000-0005-0000-0000-00005AD90000}"/>
    <cellStyle name="Normal 9 3 8 2 2 2 3" xfId="61263" xr:uid="{00000000-0005-0000-0000-00005BD90000}"/>
    <cellStyle name="Normal 9 3 8 2 2 3" xfId="40404" xr:uid="{00000000-0005-0000-0000-00005CD90000}"/>
    <cellStyle name="Normal 9 3 8 2 2 3 2" xfId="61264" xr:uid="{00000000-0005-0000-0000-00005DD90000}"/>
    <cellStyle name="Normal 9 3 8 2 2 4" xfId="40405" xr:uid="{00000000-0005-0000-0000-00005ED90000}"/>
    <cellStyle name="Normal 9 3 8 2 2 5" xfId="40406" xr:uid="{00000000-0005-0000-0000-00005FD90000}"/>
    <cellStyle name="Normal 9 3 8 2 2 6" xfId="40407" xr:uid="{00000000-0005-0000-0000-000060D90000}"/>
    <cellStyle name="Normal 9 3 8 2 3" xfId="40408" xr:uid="{00000000-0005-0000-0000-000061D90000}"/>
    <cellStyle name="Normal 9 3 8 2 3 2" xfId="61265" xr:uid="{00000000-0005-0000-0000-000062D90000}"/>
    <cellStyle name="Normal 9 3 8 2 3 3" xfId="61266" xr:uid="{00000000-0005-0000-0000-000063D90000}"/>
    <cellStyle name="Normal 9 3 8 2 4" xfId="40409" xr:uid="{00000000-0005-0000-0000-000064D90000}"/>
    <cellStyle name="Normal 9 3 8 2 4 2" xfId="61267" xr:uid="{00000000-0005-0000-0000-000065D90000}"/>
    <cellStyle name="Normal 9 3 8 2 5" xfId="40410" xr:uid="{00000000-0005-0000-0000-000066D90000}"/>
    <cellStyle name="Normal 9 3 8 2 6" xfId="40411" xr:uid="{00000000-0005-0000-0000-000067D90000}"/>
    <cellStyle name="Normal 9 3 8 2 7" xfId="40412" xr:uid="{00000000-0005-0000-0000-000068D90000}"/>
    <cellStyle name="Normal 9 3 8 3" xfId="40413" xr:uid="{00000000-0005-0000-0000-000069D90000}"/>
    <cellStyle name="Normal 9 3 8 3 2" xfId="40414" xr:uid="{00000000-0005-0000-0000-00006AD90000}"/>
    <cellStyle name="Normal 9 3 8 3 2 2" xfId="61268" xr:uid="{00000000-0005-0000-0000-00006BD90000}"/>
    <cellStyle name="Normal 9 3 8 3 2 3" xfId="61269" xr:uid="{00000000-0005-0000-0000-00006CD90000}"/>
    <cellStyle name="Normal 9 3 8 3 3" xfId="40415" xr:uid="{00000000-0005-0000-0000-00006DD90000}"/>
    <cellStyle name="Normal 9 3 8 3 3 2" xfId="61270" xr:uid="{00000000-0005-0000-0000-00006ED90000}"/>
    <cellStyle name="Normal 9 3 8 3 4" xfId="40416" xr:uid="{00000000-0005-0000-0000-00006FD90000}"/>
    <cellStyle name="Normal 9 3 8 3 5" xfId="40417" xr:uid="{00000000-0005-0000-0000-000070D90000}"/>
    <cellStyle name="Normal 9 3 8 3 6" xfId="40418" xr:uid="{00000000-0005-0000-0000-000071D90000}"/>
    <cellStyle name="Normal 9 3 8 4" xfId="40419" xr:uid="{00000000-0005-0000-0000-000072D90000}"/>
    <cellStyle name="Normal 9 3 8 4 2" xfId="61271" xr:uid="{00000000-0005-0000-0000-000073D90000}"/>
    <cellStyle name="Normal 9 3 8 4 3" xfId="61272" xr:uid="{00000000-0005-0000-0000-000074D90000}"/>
    <cellStyle name="Normal 9 3 8 5" xfId="40420" xr:uid="{00000000-0005-0000-0000-000075D90000}"/>
    <cellStyle name="Normal 9 3 8 5 2" xfId="61273" xr:uid="{00000000-0005-0000-0000-000076D90000}"/>
    <cellStyle name="Normal 9 3 8 6" xfId="40421" xr:uid="{00000000-0005-0000-0000-000077D90000}"/>
    <cellStyle name="Normal 9 3 8 7" xfId="40422" xr:uid="{00000000-0005-0000-0000-000078D90000}"/>
    <cellStyle name="Normal 9 3 8 8" xfId="40423" xr:uid="{00000000-0005-0000-0000-000079D90000}"/>
    <cellStyle name="Normal 9 3 9" xfId="40424" xr:uid="{00000000-0005-0000-0000-00007AD90000}"/>
    <cellStyle name="Normal 9 3 9 2" xfId="40425" xr:uid="{00000000-0005-0000-0000-00007BD90000}"/>
    <cellStyle name="Normal 9 3 9 2 2" xfId="40426" xr:uid="{00000000-0005-0000-0000-00007CD90000}"/>
    <cellStyle name="Normal 9 3 9 2 2 2" xfId="40427" xr:uid="{00000000-0005-0000-0000-00007DD90000}"/>
    <cellStyle name="Normal 9 3 9 2 2 2 2" xfId="61274" xr:uid="{00000000-0005-0000-0000-00007ED90000}"/>
    <cellStyle name="Normal 9 3 9 2 2 2 3" xfId="61275" xr:uid="{00000000-0005-0000-0000-00007FD90000}"/>
    <cellStyle name="Normal 9 3 9 2 2 3" xfId="40428" xr:uid="{00000000-0005-0000-0000-000080D90000}"/>
    <cellStyle name="Normal 9 3 9 2 2 3 2" xfId="61276" xr:uid="{00000000-0005-0000-0000-000081D90000}"/>
    <cellStyle name="Normal 9 3 9 2 2 4" xfId="40429" xr:uid="{00000000-0005-0000-0000-000082D90000}"/>
    <cellStyle name="Normal 9 3 9 2 2 5" xfId="40430" xr:uid="{00000000-0005-0000-0000-000083D90000}"/>
    <cellStyle name="Normal 9 3 9 2 2 6" xfId="40431" xr:uid="{00000000-0005-0000-0000-000084D90000}"/>
    <cellStyle name="Normal 9 3 9 2 3" xfId="40432" xr:uid="{00000000-0005-0000-0000-000085D90000}"/>
    <cellStyle name="Normal 9 3 9 2 3 2" xfId="61277" xr:uid="{00000000-0005-0000-0000-000086D90000}"/>
    <cellStyle name="Normal 9 3 9 2 3 3" xfId="61278" xr:uid="{00000000-0005-0000-0000-000087D90000}"/>
    <cellStyle name="Normal 9 3 9 2 4" xfId="40433" xr:uid="{00000000-0005-0000-0000-000088D90000}"/>
    <cellStyle name="Normal 9 3 9 2 4 2" xfId="61279" xr:uid="{00000000-0005-0000-0000-000089D90000}"/>
    <cellStyle name="Normal 9 3 9 2 5" xfId="40434" xr:uid="{00000000-0005-0000-0000-00008AD90000}"/>
    <cellStyle name="Normal 9 3 9 2 6" xfId="40435" xr:uid="{00000000-0005-0000-0000-00008BD90000}"/>
    <cellStyle name="Normal 9 3 9 2 7" xfId="40436" xr:uid="{00000000-0005-0000-0000-00008CD90000}"/>
    <cellStyle name="Normal 9 3 9 3" xfId="40437" xr:uid="{00000000-0005-0000-0000-00008DD90000}"/>
    <cellStyle name="Normal 9 3 9 3 2" xfId="40438" xr:uid="{00000000-0005-0000-0000-00008ED90000}"/>
    <cellStyle name="Normal 9 3 9 3 2 2" xfId="61280" xr:uid="{00000000-0005-0000-0000-00008FD90000}"/>
    <cellStyle name="Normal 9 3 9 3 2 3" xfId="61281" xr:uid="{00000000-0005-0000-0000-000090D90000}"/>
    <cellStyle name="Normal 9 3 9 3 3" xfId="40439" xr:uid="{00000000-0005-0000-0000-000091D90000}"/>
    <cellStyle name="Normal 9 3 9 3 3 2" xfId="61282" xr:uid="{00000000-0005-0000-0000-000092D90000}"/>
    <cellStyle name="Normal 9 3 9 3 4" xfId="40440" xr:uid="{00000000-0005-0000-0000-000093D90000}"/>
    <cellStyle name="Normal 9 3 9 3 5" xfId="40441" xr:uid="{00000000-0005-0000-0000-000094D90000}"/>
    <cellStyle name="Normal 9 3 9 3 6" xfId="40442" xr:uid="{00000000-0005-0000-0000-000095D90000}"/>
    <cellStyle name="Normal 9 3 9 4" xfId="40443" xr:uid="{00000000-0005-0000-0000-000096D90000}"/>
    <cellStyle name="Normal 9 3 9 4 2" xfId="61283" xr:uid="{00000000-0005-0000-0000-000097D90000}"/>
    <cellStyle name="Normal 9 3 9 4 3" xfId="61284" xr:uid="{00000000-0005-0000-0000-000098D90000}"/>
    <cellStyle name="Normal 9 3 9 5" xfId="40444" xr:uid="{00000000-0005-0000-0000-000099D90000}"/>
    <cellStyle name="Normal 9 3 9 5 2" xfId="61285" xr:uid="{00000000-0005-0000-0000-00009AD90000}"/>
    <cellStyle name="Normal 9 3 9 6" xfId="40445" xr:uid="{00000000-0005-0000-0000-00009BD90000}"/>
    <cellStyle name="Normal 9 3 9 7" xfId="40446" xr:uid="{00000000-0005-0000-0000-00009CD90000}"/>
    <cellStyle name="Normal 9 3 9 8" xfId="40447" xr:uid="{00000000-0005-0000-0000-00009DD90000}"/>
    <cellStyle name="Normal 9 4" xfId="40448" xr:uid="{00000000-0005-0000-0000-00009ED90000}"/>
    <cellStyle name="Normal 9 4 10" xfId="40449" xr:uid="{00000000-0005-0000-0000-00009FD90000}"/>
    <cellStyle name="Normal 9 4 11" xfId="40450" xr:uid="{00000000-0005-0000-0000-0000A0D90000}"/>
    <cellStyle name="Normal 9 4 12" xfId="40451" xr:uid="{00000000-0005-0000-0000-0000A1D90000}"/>
    <cellStyle name="Normal 9 4 13" xfId="40452" xr:uid="{00000000-0005-0000-0000-0000A2D90000}"/>
    <cellStyle name="Normal 9 4 14" xfId="40453" xr:uid="{00000000-0005-0000-0000-0000A3D90000}"/>
    <cellStyle name="Normal 9 4 15" xfId="40454" xr:uid="{00000000-0005-0000-0000-0000A4D90000}"/>
    <cellStyle name="Normal 9 4 16" xfId="40455" xr:uid="{00000000-0005-0000-0000-0000A5D90000}"/>
    <cellStyle name="Normal 9 4 2" xfId="40456" xr:uid="{00000000-0005-0000-0000-0000A6D90000}"/>
    <cellStyle name="Normal 9 4 2 10" xfId="40457" xr:uid="{00000000-0005-0000-0000-0000A7D90000}"/>
    <cellStyle name="Normal 9 4 2 11" xfId="40458" xr:uid="{00000000-0005-0000-0000-0000A8D90000}"/>
    <cellStyle name="Normal 9 4 2 12" xfId="40459" xr:uid="{00000000-0005-0000-0000-0000A9D90000}"/>
    <cellStyle name="Normal 9 4 2 13" xfId="40460" xr:uid="{00000000-0005-0000-0000-0000AAD90000}"/>
    <cellStyle name="Normal 9 4 2 14" xfId="40461" xr:uid="{00000000-0005-0000-0000-0000ABD90000}"/>
    <cellStyle name="Normal 9 4 2 2" xfId="40462" xr:uid="{00000000-0005-0000-0000-0000ACD90000}"/>
    <cellStyle name="Normal 9 4 2 2 2" xfId="40463" xr:uid="{00000000-0005-0000-0000-0000ADD90000}"/>
    <cellStyle name="Normal 9 4 2 2 2 2" xfId="40464" xr:uid="{00000000-0005-0000-0000-0000AED90000}"/>
    <cellStyle name="Normal 9 4 2 2 2 2 2" xfId="40465" xr:uid="{00000000-0005-0000-0000-0000AFD90000}"/>
    <cellStyle name="Normal 9 4 2 2 2 2 2 2" xfId="61286" xr:uid="{00000000-0005-0000-0000-0000B0D90000}"/>
    <cellStyle name="Normal 9 4 2 2 2 2 2 3" xfId="61287" xr:uid="{00000000-0005-0000-0000-0000B1D90000}"/>
    <cellStyle name="Normal 9 4 2 2 2 2 3" xfId="40466" xr:uid="{00000000-0005-0000-0000-0000B2D90000}"/>
    <cellStyle name="Normal 9 4 2 2 2 2 3 2" xfId="61288" xr:uid="{00000000-0005-0000-0000-0000B3D90000}"/>
    <cellStyle name="Normal 9 4 2 2 2 2 4" xfId="40467" xr:uid="{00000000-0005-0000-0000-0000B4D90000}"/>
    <cellStyle name="Normal 9 4 2 2 2 2 5" xfId="40468" xr:uid="{00000000-0005-0000-0000-0000B5D90000}"/>
    <cellStyle name="Normal 9 4 2 2 2 2 6" xfId="40469" xr:uid="{00000000-0005-0000-0000-0000B6D90000}"/>
    <cellStyle name="Normal 9 4 2 2 2 3" xfId="40470" xr:uid="{00000000-0005-0000-0000-0000B7D90000}"/>
    <cellStyle name="Normal 9 4 2 2 2 3 2" xfId="61289" xr:uid="{00000000-0005-0000-0000-0000B8D90000}"/>
    <cellStyle name="Normal 9 4 2 2 2 3 3" xfId="61290" xr:uid="{00000000-0005-0000-0000-0000B9D90000}"/>
    <cellStyle name="Normal 9 4 2 2 2 4" xfId="40471" xr:uid="{00000000-0005-0000-0000-0000BAD90000}"/>
    <cellStyle name="Normal 9 4 2 2 2 4 2" xfId="61291" xr:uid="{00000000-0005-0000-0000-0000BBD90000}"/>
    <cellStyle name="Normal 9 4 2 2 2 5" xfId="40472" xr:uid="{00000000-0005-0000-0000-0000BCD90000}"/>
    <cellStyle name="Normal 9 4 2 2 2 6" xfId="40473" xr:uid="{00000000-0005-0000-0000-0000BDD90000}"/>
    <cellStyle name="Normal 9 4 2 2 2 7" xfId="40474" xr:uid="{00000000-0005-0000-0000-0000BED90000}"/>
    <cellStyle name="Normal 9 4 2 2 3" xfId="40475" xr:uid="{00000000-0005-0000-0000-0000BFD90000}"/>
    <cellStyle name="Normal 9 4 2 2 3 2" xfId="40476" xr:uid="{00000000-0005-0000-0000-0000C0D90000}"/>
    <cellStyle name="Normal 9 4 2 2 3 2 2" xfId="61292" xr:uid="{00000000-0005-0000-0000-0000C1D90000}"/>
    <cellStyle name="Normal 9 4 2 2 3 2 3" xfId="61293" xr:uid="{00000000-0005-0000-0000-0000C2D90000}"/>
    <cellStyle name="Normal 9 4 2 2 3 3" xfId="40477" xr:uid="{00000000-0005-0000-0000-0000C3D90000}"/>
    <cellStyle name="Normal 9 4 2 2 3 3 2" xfId="61294" xr:uid="{00000000-0005-0000-0000-0000C4D90000}"/>
    <cellStyle name="Normal 9 4 2 2 3 4" xfId="40478" xr:uid="{00000000-0005-0000-0000-0000C5D90000}"/>
    <cellStyle name="Normal 9 4 2 2 3 5" xfId="40479" xr:uid="{00000000-0005-0000-0000-0000C6D90000}"/>
    <cellStyle name="Normal 9 4 2 2 3 6" xfId="40480" xr:uid="{00000000-0005-0000-0000-0000C7D90000}"/>
    <cellStyle name="Normal 9 4 2 2 4" xfId="40481" xr:uid="{00000000-0005-0000-0000-0000C8D90000}"/>
    <cellStyle name="Normal 9 4 2 2 4 2" xfId="61295" xr:uid="{00000000-0005-0000-0000-0000C9D90000}"/>
    <cellStyle name="Normal 9 4 2 2 4 3" xfId="61296" xr:uid="{00000000-0005-0000-0000-0000CAD90000}"/>
    <cellStyle name="Normal 9 4 2 2 5" xfId="40482" xr:uid="{00000000-0005-0000-0000-0000CBD90000}"/>
    <cellStyle name="Normal 9 4 2 2 5 2" xfId="61297" xr:uid="{00000000-0005-0000-0000-0000CCD90000}"/>
    <cellStyle name="Normal 9 4 2 2 6" xfId="40483" xr:uid="{00000000-0005-0000-0000-0000CDD90000}"/>
    <cellStyle name="Normal 9 4 2 2 7" xfId="40484" xr:uid="{00000000-0005-0000-0000-0000CED90000}"/>
    <cellStyle name="Normal 9 4 2 2 8" xfId="40485" xr:uid="{00000000-0005-0000-0000-0000CFD90000}"/>
    <cellStyle name="Normal 9 4 2 2 9" xfId="40486" xr:uid="{00000000-0005-0000-0000-0000D0D90000}"/>
    <cellStyle name="Normal 9 4 2 3" xfId="40487" xr:uid="{00000000-0005-0000-0000-0000D1D90000}"/>
    <cellStyle name="Normal 9 4 2 3 2" xfId="40488" xr:uid="{00000000-0005-0000-0000-0000D2D90000}"/>
    <cellStyle name="Normal 9 4 2 3 2 2" xfId="40489" xr:uid="{00000000-0005-0000-0000-0000D3D90000}"/>
    <cellStyle name="Normal 9 4 2 3 2 2 2" xfId="40490" xr:uid="{00000000-0005-0000-0000-0000D4D90000}"/>
    <cellStyle name="Normal 9 4 2 3 2 2 2 2" xfId="61298" xr:uid="{00000000-0005-0000-0000-0000D5D90000}"/>
    <cellStyle name="Normal 9 4 2 3 2 2 2 3" xfId="61299" xr:uid="{00000000-0005-0000-0000-0000D6D90000}"/>
    <cellStyle name="Normal 9 4 2 3 2 2 3" xfId="40491" xr:uid="{00000000-0005-0000-0000-0000D7D90000}"/>
    <cellStyle name="Normal 9 4 2 3 2 2 3 2" xfId="61300" xr:uid="{00000000-0005-0000-0000-0000D8D90000}"/>
    <cellStyle name="Normal 9 4 2 3 2 2 4" xfId="40492" xr:uid="{00000000-0005-0000-0000-0000D9D90000}"/>
    <cellStyle name="Normal 9 4 2 3 2 2 5" xfId="40493" xr:uid="{00000000-0005-0000-0000-0000DAD90000}"/>
    <cellStyle name="Normal 9 4 2 3 2 2 6" xfId="40494" xr:uid="{00000000-0005-0000-0000-0000DBD90000}"/>
    <cellStyle name="Normal 9 4 2 3 2 3" xfId="40495" xr:uid="{00000000-0005-0000-0000-0000DCD90000}"/>
    <cellStyle name="Normal 9 4 2 3 2 3 2" xfId="61301" xr:uid="{00000000-0005-0000-0000-0000DDD90000}"/>
    <cellStyle name="Normal 9 4 2 3 2 3 3" xfId="61302" xr:uid="{00000000-0005-0000-0000-0000DED90000}"/>
    <cellStyle name="Normal 9 4 2 3 2 4" xfId="40496" xr:uid="{00000000-0005-0000-0000-0000DFD90000}"/>
    <cellStyle name="Normal 9 4 2 3 2 4 2" xfId="61303" xr:uid="{00000000-0005-0000-0000-0000E0D90000}"/>
    <cellStyle name="Normal 9 4 2 3 2 5" xfId="40497" xr:uid="{00000000-0005-0000-0000-0000E1D90000}"/>
    <cellStyle name="Normal 9 4 2 3 2 6" xfId="40498" xr:uid="{00000000-0005-0000-0000-0000E2D90000}"/>
    <cellStyle name="Normal 9 4 2 3 2 7" xfId="40499" xr:uid="{00000000-0005-0000-0000-0000E3D90000}"/>
    <cellStyle name="Normal 9 4 2 3 3" xfId="40500" xr:uid="{00000000-0005-0000-0000-0000E4D90000}"/>
    <cellStyle name="Normal 9 4 2 3 3 2" xfId="40501" xr:uid="{00000000-0005-0000-0000-0000E5D90000}"/>
    <cellStyle name="Normal 9 4 2 3 3 2 2" xfId="61304" xr:uid="{00000000-0005-0000-0000-0000E6D90000}"/>
    <cellStyle name="Normal 9 4 2 3 3 2 3" xfId="61305" xr:uid="{00000000-0005-0000-0000-0000E7D90000}"/>
    <cellStyle name="Normal 9 4 2 3 3 3" xfId="40502" xr:uid="{00000000-0005-0000-0000-0000E8D90000}"/>
    <cellStyle name="Normal 9 4 2 3 3 3 2" xfId="61306" xr:uid="{00000000-0005-0000-0000-0000E9D90000}"/>
    <cellStyle name="Normal 9 4 2 3 3 4" xfId="40503" xr:uid="{00000000-0005-0000-0000-0000EAD90000}"/>
    <cellStyle name="Normal 9 4 2 3 3 5" xfId="40504" xr:uid="{00000000-0005-0000-0000-0000EBD90000}"/>
    <cellStyle name="Normal 9 4 2 3 3 6" xfId="40505" xr:uid="{00000000-0005-0000-0000-0000ECD90000}"/>
    <cellStyle name="Normal 9 4 2 3 4" xfId="40506" xr:uid="{00000000-0005-0000-0000-0000EDD90000}"/>
    <cellStyle name="Normal 9 4 2 3 4 2" xfId="61307" xr:uid="{00000000-0005-0000-0000-0000EED90000}"/>
    <cellStyle name="Normal 9 4 2 3 4 3" xfId="61308" xr:uid="{00000000-0005-0000-0000-0000EFD90000}"/>
    <cellStyle name="Normal 9 4 2 3 5" xfId="40507" xr:uid="{00000000-0005-0000-0000-0000F0D90000}"/>
    <cellStyle name="Normal 9 4 2 3 5 2" xfId="61309" xr:uid="{00000000-0005-0000-0000-0000F1D90000}"/>
    <cellStyle name="Normal 9 4 2 3 6" xfId="40508" xr:uid="{00000000-0005-0000-0000-0000F2D90000}"/>
    <cellStyle name="Normal 9 4 2 3 7" xfId="40509" xr:uid="{00000000-0005-0000-0000-0000F3D90000}"/>
    <cellStyle name="Normal 9 4 2 3 8" xfId="40510" xr:uid="{00000000-0005-0000-0000-0000F4D90000}"/>
    <cellStyle name="Normal 9 4 2 4" xfId="40511" xr:uid="{00000000-0005-0000-0000-0000F5D90000}"/>
    <cellStyle name="Normal 9 4 2 4 2" xfId="40512" xr:uid="{00000000-0005-0000-0000-0000F6D90000}"/>
    <cellStyle name="Normal 9 4 2 4 2 2" xfId="40513" xr:uid="{00000000-0005-0000-0000-0000F7D90000}"/>
    <cellStyle name="Normal 9 4 2 4 2 2 2" xfId="61310" xr:uid="{00000000-0005-0000-0000-0000F8D90000}"/>
    <cellStyle name="Normal 9 4 2 4 2 2 3" xfId="61311" xr:uid="{00000000-0005-0000-0000-0000F9D90000}"/>
    <cellStyle name="Normal 9 4 2 4 2 3" xfId="40514" xr:uid="{00000000-0005-0000-0000-0000FAD90000}"/>
    <cellStyle name="Normal 9 4 2 4 2 3 2" xfId="61312" xr:uid="{00000000-0005-0000-0000-0000FBD90000}"/>
    <cellStyle name="Normal 9 4 2 4 2 4" xfId="40515" xr:uid="{00000000-0005-0000-0000-0000FCD90000}"/>
    <cellStyle name="Normal 9 4 2 4 2 5" xfId="40516" xr:uid="{00000000-0005-0000-0000-0000FDD90000}"/>
    <cellStyle name="Normal 9 4 2 4 2 6" xfId="40517" xr:uid="{00000000-0005-0000-0000-0000FED90000}"/>
    <cellStyle name="Normal 9 4 2 4 3" xfId="40518" xr:uid="{00000000-0005-0000-0000-0000FFD90000}"/>
    <cellStyle name="Normal 9 4 2 4 3 2" xfId="61313" xr:uid="{00000000-0005-0000-0000-000000DA0000}"/>
    <cellStyle name="Normal 9 4 2 4 3 3" xfId="61314" xr:uid="{00000000-0005-0000-0000-000001DA0000}"/>
    <cellStyle name="Normal 9 4 2 4 4" xfId="40519" xr:uid="{00000000-0005-0000-0000-000002DA0000}"/>
    <cellStyle name="Normal 9 4 2 4 4 2" xfId="61315" xr:uid="{00000000-0005-0000-0000-000003DA0000}"/>
    <cellStyle name="Normal 9 4 2 4 5" xfId="40520" xr:uid="{00000000-0005-0000-0000-000004DA0000}"/>
    <cellStyle name="Normal 9 4 2 4 6" xfId="40521" xr:uid="{00000000-0005-0000-0000-000005DA0000}"/>
    <cellStyle name="Normal 9 4 2 4 7" xfId="40522" xr:uid="{00000000-0005-0000-0000-000006DA0000}"/>
    <cellStyle name="Normal 9 4 2 5" xfId="40523" xr:uid="{00000000-0005-0000-0000-000007DA0000}"/>
    <cellStyle name="Normal 9 4 2 5 2" xfId="40524" xr:uid="{00000000-0005-0000-0000-000008DA0000}"/>
    <cellStyle name="Normal 9 4 2 5 2 2" xfId="61316" xr:uid="{00000000-0005-0000-0000-000009DA0000}"/>
    <cellStyle name="Normal 9 4 2 5 2 3" xfId="61317" xr:uid="{00000000-0005-0000-0000-00000ADA0000}"/>
    <cellStyle name="Normal 9 4 2 5 3" xfId="40525" xr:uid="{00000000-0005-0000-0000-00000BDA0000}"/>
    <cellStyle name="Normal 9 4 2 5 3 2" xfId="61318" xr:uid="{00000000-0005-0000-0000-00000CDA0000}"/>
    <cellStyle name="Normal 9 4 2 5 4" xfId="40526" xr:uid="{00000000-0005-0000-0000-00000DDA0000}"/>
    <cellStyle name="Normal 9 4 2 5 5" xfId="40527" xr:uid="{00000000-0005-0000-0000-00000EDA0000}"/>
    <cellStyle name="Normal 9 4 2 5 6" xfId="40528" xr:uid="{00000000-0005-0000-0000-00000FDA0000}"/>
    <cellStyle name="Normal 9 4 2 6" xfId="40529" xr:uid="{00000000-0005-0000-0000-000010DA0000}"/>
    <cellStyle name="Normal 9 4 2 6 2" xfId="61319" xr:uid="{00000000-0005-0000-0000-000011DA0000}"/>
    <cellStyle name="Normal 9 4 2 6 3" xfId="61320" xr:uid="{00000000-0005-0000-0000-000012DA0000}"/>
    <cellStyle name="Normal 9 4 2 7" xfId="40530" xr:uid="{00000000-0005-0000-0000-000013DA0000}"/>
    <cellStyle name="Normal 9 4 2 7 2" xfId="61321" xr:uid="{00000000-0005-0000-0000-000014DA0000}"/>
    <cellStyle name="Normal 9 4 2 8" xfId="40531" xr:uid="{00000000-0005-0000-0000-000015DA0000}"/>
    <cellStyle name="Normal 9 4 2 8 2" xfId="61322" xr:uid="{00000000-0005-0000-0000-000016DA0000}"/>
    <cellStyle name="Normal 9 4 2 9" xfId="40532" xr:uid="{00000000-0005-0000-0000-000017DA0000}"/>
    <cellStyle name="Normal 9 4 3" xfId="40533" xr:uid="{00000000-0005-0000-0000-000018DA0000}"/>
    <cellStyle name="Normal 9 4 3 2" xfId="40534" xr:uid="{00000000-0005-0000-0000-000019DA0000}"/>
    <cellStyle name="Normal 9 4 3 2 2" xfId="40535" xr:uid="{00000000-0005-0000-0000-00001ADA0000}"/>
    <cellStyle name="Normal 9 4 3 2 2 2" xfId="40536" xr:uid="{00000000-0005-0000-0000-00001BDA0000}"/>
    <cellStyle name="Normal 9 4 3 2 2 2 2" xfId="61323" xr:uid="{00000000-0005-0000-0000-00001CDA0000}"/>
    <cellStyle name="Normal 9 4 3 2 2 2 3" xfId="61324" xr:uid="{00000000-0005-0000-0000-00001DDA0000}"/>
    <cellStyle name="Normal 9 4 3 2 2 3" xfId="40537" xr:uid="{00000000-0005-0000-0000-00001EDA0000}"/>
    <cellStyle name="Normal 9 4 3 2 2 3 2" xfId="61325" xr:uid="{00000000-0005-0000-0000-00001FDA0000}"/>
    <cellStyle name="Normal 9 4 3 2 2 4" xfId="40538" xr:uid="{00000000-0005-0000-0000-000020DA0000}"/>
    <cellStyle name="Normal 9 4 3 2 2 5" xfId="40539" xr:uid="{00000000-0005-0000-0000-000021DA0000}"/>
    <cellStyle name="Normal 9 4 3 2 2 6" xfId="40540" xr:uid="{00000000-0005-0000-0000-000022DA0000}"/>
    <cellStyle name="Normal 9 4 3 2 3" xfId="40541" xr:uid="{00000000-0005-0000-0000-000023DA0000}"/>
    <cellStyle name="Normal 9 4 3 2 3 2" xfId="61326" xr:uid="{00000000-0005-0000-0000-000024DA0000}"/>
    <cellStyle name="Normal 9 4 3 2 3 3" xfId="61327" xr:uid="{00000000-0005-0000-0000-000025DA0000}"/>
    <cellStyle name="Normal 9 4 3 2 4" xfId="40542" xr:uid="{00000000-0005-0000-0000-000026DA0000}"/>
    <cellStyle name="Normal 9 4 3 2 4 2" xfId="61328" xr:uid="{00000000-0005-0000-0000-000027DA0000}"/>
    <cellStyle name="Normal 9 4 3 2 5" xfId="40543" xr:uid="{00000000-0005-0000-0000-000028DA0000}"/>
    <cellStyle name="Normal 9 4 3 2 6" xfId="40544" xr:uid="{00000000-0005-0000-0000-000029DA0000}"/>
    <cellStyle name="Normal 9 4 3 2 7" xfId="40545" xr:uid="{00000000-0005-0000-0000-00002ADA0000}"/>
    <cellStyle name="Normal 9 4 3 3" xfId="40546" xr:uid="{00000000-0005-0000-0000-00002BDA0000}"/>
    <cellStyle name="Normal 9 4 3 3 2" xfId="40547" xr:uid="{00000000-0005-0000-0000-00002CDA0000}"/>
    <cellStyle name="Normal 9 4 3 3 2 2" xfId="61329" xr:uid="{00000000-0005-0000-0000-00002DDA0000}"/>
    <cellStyle name="Normal 9 4 3 3 2 3" xfId="61330" xr:uid="{00000000-0005-0000-0000-00002EDA0000}"/>
    <cellStyle name="Normal 9 4 3 3 3" xfId="40548" xr:uid="{00000000-0005-0000-0000-00002FDA0000}"/>
    <cellStyle name="Normal 9 4 3 3 3 2" xfId="61331" xr:uid="{00000000-0005-0000-0000-000030DA0000}"/>
    <cellStyle name="Normal 9 4 3 3 4" xfId="40549" xr:uid="{00000000-0005-0000-0000-000031DA0000}"/>
    <cellStyle name="Normal 9 4 3 3 5" xfId="40550" xr:uid="{00000000-0005-0000-0000-000032DA0000}"/>
    <cellStyle name="Normal 9 4 3 3 6" xfId="40551" xr:uid="{00000000-0005-0000-0000-000033DA0000}"/>
    <cellStyle name="Normal 9 4 3 4" xfId="40552" xr:uid="{00000000-0005-0000-0000-000034DA0000}"/>
    <cellStyle name="Normal 9 4 3 4 2" xfId="61332" xr:uid="{00000000-0005-0000-0000-000035DA0000}"/>
    <cellStyle name="Normal 9 4 3 4 3" xfId="61333" xr:uid="{00000000-0005-0000-0000-000036DA0000}"/>
    <cellStyle name="Normal 9 4 3 5" xfId="40553" xr:uid="{00000000-0005-0000-0000-000037DA0000}"/>
    <cellStyle name="Normal 9 4 3 5 2" xfId="61334" xr:uid="{00000000-0005-0000-0000-000038DA0000}"/>
    <cellStyle name="Normal 9 4 3 6" xfId="40554" xr:uid="{00000000-0005-0000-0000-000039DA0000}"/>
    <cellStyle name="Normal 9 4 3 7" xfId="40555" xr:uid="{00000000-0005-0000-0000-00003ADA0000}"/>
    <cellStyle name="Normal 9 4 3 8" xfId="40556" xr:uid="{00000000-0005-0000-0000-00003BDA0000}"/>
    <cellStyle name="Normal 9 4 3 9" xfId="40557" xr:uid="{00000000-0005-0000-0000-00003CDA0000}"/>
    <cellStyle name="Normal 9 4 4" xfId="40558" xr:uid="{00000000-0005-0000-0000-00003DDA0000}"/>
    <cellStyle name="Normal 9 4 4 2" xfId="40559" xr:uid="{00000000-0005-0000-0000-00003EDA0000}"/>
    <cellStyle name="Normal 9 4 4 2 2" xfId="40560" xr:uid="{00000000-0005-0000-0000-00003FDA0000}"/>
    <cellStyle name="Normal 9 4 4 2 2 2" xfId="40561" xr:uid="{00000000-0005-0000-0000-000040DA0000}"/>
    <cellStyle name="Normal 9 4 4 2 2 2 2" xfId="61335" xr:uid="{00000000-0005-0000-0000-000041DA0000}"/>
    <cellStyle name="Normal 9 4 4 2 2 2 3" xfId="61336" xr:uid="{00000000-0005-0000-0000-000042DA0000}"/>
    <cellStyle name="Normal 9 4 4 2 2 3" xfId="40562" xr:uid="{00000000-0005-0000-0000-000043DA0000}"/>
    <cellStyle name="Normal 9 4 4 2 2 3 2" xfId="61337" xr:uid="{00000000-0005-0000-0000-000044DA0000}"/>
    <cellStyle name="Normal 9 4 4 2 2 4" xfId="40563" xr:uid="{00000000-0005-0000-0000-000045DA0000}"/>
    <cellStyle name="Normal 9 4 4 2 2 5" xfId="40564" xr:uid="{00000000-0005-0000-0000-000046DA0000}"/>
    <cellStyle name="Normal 9 4 4 2 2 6" xfId="40565" xr:uid="{00000000-0005-0000-0000-000047DA0000}"/>
    <cellStyle name="Normal 9 4 4 2 3" xfId="40566" xr:uid="{00000000-0005-0000-0000-000048DA0000}"/>
    <cellStyle name="Normal 9 4 4 2 3 2" xfId="61338" xr:uid="{00000000-0005-0000-0000-000049DA0000}"/>
    <cellStyle name="Normal 9 4 4 2 3 3" xfId="61339" xr:uid="{00000000-0005-0000-0000-00004ADA0000}"/>
    <cellStyle name="Normal 9 4 4 2 4" xfId="40567" xr:uid="{00000000-0005-0000-0000-00004BDA0000}"/>
    <cellStyle name="Normal 9 4 4 2 4 2" xfId="61340" xr:uid="{00000000-0005-0000-0000-00004CDA0000}"/>
    <cellStyle name="Normal 9 4 4 2 5" xfId="40568" xr:uid="{00000000-0005-0000-0000-00004DDA0000}"/>
    <cellStyle name="Normal 9 4 4 2 6" xfId="40569" xr:uid="{00000000-0005-0000-0000-00004EDA0000}"/>
    <cellStyle name="Normal 9 4 4 2 7" xfId="40570" xr:uid="{00000000-0005-0000-0000-00004FDA0000}"/>
    <cellStyle name="Normal 9 4 4 3" xfId="40571" xr:uid="{00000000-0005-0000-0000-000050DA0000}"/>
    <cellStyle name="Normal 9 4 4 3 2" xfId="40572" xr:uid="{00000000-0005-0000-0000-000051DA0000}"/>
    <cellStyle name="Normal 9 4 4 3 2 2" xfId="61341" xr:uid="{00000000-0005-0000-0000-000052DA0000}"/>
    <cellStyle name="Normal 9 4 4 3 2 3" xfId="61342" xr:uid="{00000000-0005-0000-0000-000053DA0000}"/>
    <cellStyle name="Normal 9 4 4 3 3" xfId="40573" xr:uid="{00000000-0005-0000-0000-000054DA0000}"/>
    <cellStyle name="Normal 9 4 4 3 3 2" xfId="61343" xr:uid="{00000000-0005-0000-0000-000055DA0000}"/>
    <cellStyle name="Normal 9 4 4 3 4" xfId="40574" xr:uid="{00000000-0005-0000-0000-000056DA0000}"/>
    <cellStyle name="Normal 9 4 4 3 5" xfId="40575" xr:uid="{00000000-0005-0000-0000-000057DA0000}"/>
    <cellStyle name="Normal 9 4 4 3 6" xfId="40576" xr:uid="{00000000-0005-0000-0000-000058DA0000}"/>
    <cellStyle name="Normal 9 4 4 4" xfId="40577" xr:uid="{00000000-0005-0000-0000-000059DA0000}"/>
    <cellStyle name="Normal 9 4 4 4 2" xfId="61344" xr:uid="{00000000-0005-0000-0000-00005ADA0000}"/>
    <cellStyle name="Normal 9 4 4 4 3" xfId="61345" xr:uid="{00000000-0005-0000-0000-00005BDA0000}"/>
    <cellStyle name="Normal 9 4 4 5" xfId="40578" xr:uid="{00000000-0005-0000-0000-00005CDA0000}"/>
    <cellStyle name="Normal 9 4 4 5 2" xfId="61346" xr:uid="{00000000-0005-0000-0000-00005DDA0000}"/>
    <cellStyle name="Normal 9 4 4 6" xfId="40579" xr:uid="{00000000-0005-0000-0000-00005EDA0000}"/>
    <cellStyle name="Normal 9 4 4 7" xfId="40580" xr:uid="{00000000-0005-0000-0000-00005FDA0000}"/>
    <cellStyle name="Normal 9 4 4 8" xfId="40581" xr:uid="{00000000-0005-0000-0000-000060DA0000}"/>
    <cellStyle name="Normal 9 4 5" xfId="40582" xr:uid="{00000000-0005-0000-0000-000061DA0000}"/>
    <cellStyle name="Normal 9 4 5 2" xfId="40583" xr:uid="{00000000-0005-0000-0000-000062DA0000}"/>
    <cellStyle name="Normal 9 4 5 2 2" xfId="40584" xr:uid="{00000000-0005-0000-0000-000063DA0000}"/>
    <cellStyle name="Normal 9 4 5 2 2 2" xfId="61347" xr:uid="{00000000-0005-0000-0000-000064DA0000}"/>
    <cellStyle name="Normal 9 4 5 2 2 3" xfId="61348" xr:uid="{00000000-0005-0000-0000-000065DA0000}"/>
    <cellStyle name="Normal 9 4 5 2 3" xfId="40585" xr:uid="{00000000-0005-0000-0000-000066DA0000}"/>
    <cellStyle name="Normal 9 4 5 2 3 2" xfId="61349" xr:uid="{00000000-0005-0000-0000-000067DA0000}"/>
    <cellStyle name="Normal 9 4 5 2 4" xfId="40586" xr:uid="{00000000-0005-0000-0000-000068DA0000}"/>
    <cellStyle name="Normal 9 4 5 2 5" xfId="40587" xr:uid="{00000000-0005-0000-0000-000069DA0000}"/>
    <cellStyle name="Normal 9 4 5 2 6" xfId="40588" xr:uid="{00000000-0005-0000-0000-00006ADA0000}"/>
    <cellStyle name="Normal 9 4 5 3" xfId="40589" xr:uid="{00000000-0005-0000-0000-00006BDA0000}"/>
    <cellStyle name="Normal 9 4 5 3 2" xfId="61350" xr:uid="{00000000-0005-0000-0000-00006CDA0000}"/>
    <cellStyle name="Normal 9 4 5 3 3" xfId="61351" xr:uid="{00000000-0005-0000-0000-00006DDA0000}"/>
    <cellStyle name="Normal 9 4 5 4" xfId="40590" xr:uid="{00000000-0005-0000-0000-00006EDA0000}"/>
    <cellStyle name="Normal 9 4 5 4 2" xfId="61352" xr:uid="{00000000-0005-0000-0000-00006FDA0000}"/>
    <cellStyle name="Normal 9 4 5 5" xfId="40591" xr:uid="{00000000-0005-0000-0000-000070DA0000}"/>
    <cellStyle name="Normal 9 4 5 6" xfId="40592" xr:uid="{00000000-0005-0000-0000-000071DA0000}"/>
    <cellStyle name="Normal 9 4 5 7" xfId="40593" xr:uid="{00000000-0005-0000-0000-000072DA0000}"/>
    <cellStyle name="Normal 9 4 6" xfId="40594" xr:uid="{00000000-0005-0000-0000-000073DA0000}"/>
    <cellStyle name="Normal 9 4 6 2" xfId="40595" xr:uid="{00000000-0005-0000-0000-000074DA0000}"/>
    <cellStyle name="Normal 9 4 6 2 2" xfId="61353" xr:uid="{00000000-0005-0000-0000-000075DA0000}"/>
    <cellStyle name="Normal 9 4 6 2 3" xfId="61354" xr:uid="{00000000-0005-0000-0000-000076DA0000}"/>
    <cellStyle name="Normal 9 4 6 3" xfId="40596" xr:uid="{00000000-0005-0000-0000-000077DA0000}"/>
    <cellStyle name="Normal 9 4 6 3 2" xfId="61355" xr:uid="{00000000-0005-0000-0000-000078DA0000}"/>
    <cellStyle name="Normal 9 4 6 4" xfId="40597" xr:uid="{00000000-0005-0000-0000-000079DA0000}"/>
    <cellStyle name="Normal 9 4 6 5" xfId="40598" xr:uid="{00000000-0005-0000-0000-00007ADA0000}"/>
    <cellStyle name="Normal 9 4 6 6" xfId="40599" xr:uid="{00000000-0005-0000-0000-00007BDA0000}"/>
    <cellStyle name="Normal 9 4 7" xfId="40600" xr:uid="{00000000-0005-0000-0000-00007CDA0000}"/>
    <cellStyle name="Normal 9 4 7 2" xfId="61356" xr:uid="{00000000-0005-0000-0000-00007DDA0000}"/>
    <cellStyle name="Normal 9 4 7 3" xfId="61357" xr:uid="{00000000-0005-0000-0000-00007EDA0000}"/>
    <cellStyle name="Normal 9 4 8" xfId="40601" xr:uid="{00000000-0005-0000-0000-00007FDA0000}"/>
    <cellStyle name="Normal 9 4 8 2" xfId="61358" xr:uid="{00000000-0005-0000-0000-000080DA0000}"/>
    <cellStyle name="Normal 9 4 9" xfId="40602" xr:uid="{00000000-0005-0000-0000-000081DA0000}"/>
    <cellStyle name="Normal 9 4 9 2" xfId="61359" xr:uid="{00000000-0005-0000-0000-000082DA0000}"/>
    <cellStyle name="Normal 9 5" xfId="40603" xr:uid="{00000000-0005-0000-0000-000083DA0000}"/>
    <cellStyle name="Normal 9 5 10" xfId="40604" xr:uid="{00000000-0005-0000-0000-000084DA0000}"/>
    <cellStyle name="Normal 9 5 11" xfId="40605" xr:uid="{00000000-0005-0000-0000-000085DA0000}"/>
    <cellStyle name="Normal 9 5 12" xfId="40606" xr:uid="{00000000-0005-0000-0000-000086DA0000}"/>
    <cellStyle name="Normal 9 5 13" xfId="40607" xr:uid="{00000000-0005-0000-0000-000087DA0000}"/>
    <cellStyle name="Normal 9 5 14" xfId="40608" xr:uid="{00000000-0005-0000-0000-000088DA0000}"/>
    <cellStyle name="Normal 9 5 15" xfId="40609" xr:uid="{00000000-0005-0000-0000-000089DA0000}"/>
    <cellStyle name="Normal 9 5 16" xfId="40610" xr:uid="{00000000-0005-0000-0000-00008ADA0000}"/>
    <cellStyle name="Normal 9 5 2" xfId="40611" xr:uid="{00000000-0005-0000-0000-00008BDA0000}"/>
    <cellStyle name="Normal 9 5 2 10" xfId="40612" xr:uid="{00000000-0005-0000-0000-00008CDA0000}"/>
    <cellStyle name="Normal 9 5 2 11" xfId="40613" xr:uid="{00000000-0005-0000-0000-00008DDA0000}"/>
    <cellStyle name="Normal 9 5 2 12" xfId="40614" xr:uid="{00000000-0005-0000-0000-00008EDA0000}"/>
    <cellStyle name="Normal 9 5 2 13" xfId="40615" xr:uid="{00000000-0005-0000-0000-00008FDA0000}"/>
    <cellStyle name="Normal 9 5 2 14" xfId="40616" xr:uid="{00000000-0005-0000-0000-000090DA0000}"/>
    <cellStyle name="Normal 9 5 2 2" xfId="40617" xr:uid="{00000000-0005-0000-0000-000091DA0000}"/>
    <cellStyle name="Normal 9 5 2 2 2" xfId="40618" xr:uid="{00000000-0005-0000-0000-000092DA0000}"/>
    <cellStyle name="Normal 9 5 2 2 2 2" xfId="40619" xr:uid="{00000000-0005-0000-0000-000093DA0000}"/>
    <cellStyle name="Normal 9 5 2 2 2 2 2" xfId="40620" xr:uid="{00000000-0005-0000-0000-000094DA0000}"/>
    <cellStyle name="Normal 9 5 2 2 2 2 2 2" xfId="61360" xr:uid="{00000000-0005-0000-0000-000095DA0000}"/>
    <cellStyle name="Normal 9 5 2 2 2 2 2 3" xfId="61361" xr:uid="{00000000-0005-0000-0000-000096DA0000}"/>
    <cellStyle name="Normal 9 5 2 2 2 2 3" xfId="40621" xr:uid="{00000000-0005-0000-0000-000097DA0000}"/>
    <cellStyle name="Normal 9 5 2 2 2 2 3 2" xfId="61362" xr:uid="{00000000-0005-0000-0000-000098DA0000}"/>
    <cellStyle name="Normal 9 5 2 2 2 2 4" xfId="40622" xr:uid="{00000000-0005-0000-0000-000099DA0000}"/>
    <cellStyle name="Normal 9 5 2 2 2 2 5" xfId="40623" xr:uid="{00000000-0005-0000-0000-00009ADA0000}"/>
    <cellStyle name="Normal 9 5 2 2 2 2 6" xfId="40624" xr:uid="{00000000-0005-0000-0000-00009BDA0000}"/>
    <cellStyle name="Normal 9 5 2 2 2 3" xfId="40625" xr:uid="{00000000-0005-0000-0000-00009CDA0000}"/>
    <cellStyle name="Normal 9 5 2 2 2 3 2" xfId="61363" xr:uid="{00000000-0005-0000-0000-00009DDA0000}"/>
    <cellStyle name="Normal 9 5 2 2 2 3 3" xfId="61364" xr:uid="{00000000-0005-0000-0000-00009EDA0000}"/>
    <cellStyle name="Normal 9 5 2 2 2 4" xfId="40626" xr:uid="{00000000-0005-0000-0000-00009FDA0000}"/>
    <cellStyle name="Normal 9 5 2 2 2 4 2" xfId="61365" xr:uid="{00000000-0005-0000-0000-0000A0DA0000}"/>
    <cellStyle name="Normal 9 5 2 2 2 5" xfId="40627" xr:uid="{00000000-0005-0000-0000-0000A1DA0000}"/>
    <cellStyle name="Normal 9 5 2 2 2 6" xfId="40628" xr:uid="{00000000-0005-0000-0000-0000A2DA0000}"/>
    <cellStyle name="Normal 9 5 2 2 2 7" xfId="40629" xr:uid="{00000000-0005-0000-0000-0000A3DA0000}"/>
    <cellStyle name="Normal 9 5 2 2 3" xfId="40630" xr:uid="{00000000-0005-0000-0000-0000A4DA0000}"/>
    <cellStyle name="Normal 9 5 2 2 3 2" xfId="40631" xr:uid="{00000000-0005-0000-0000-0000A5DA0000}"/>
    <cellStyle name="Normal 9 5 2 2 3 2 2" xfId="61366" xr:uid="{00000000-0005-0000-0000-0000A6DA0000}"/>
    <cellStyle name="Normal 9 5 2 2 3 2 3" xfId="61367" xr:uid="{00000000-0005-0000-0000-0000A7DA0000}"/>
    <cellStyle name="Normal 9 5 2 2 3 3" xfId="40632" xr:uid="{00000000-0005-0000-0000-0000A8DA0000}"/>
    <cellStyle name="Normal 9 5 2 2 3 3 2" xfId="61368" xr:uid="{00000000-0005-0000-0000-0000A9DA0000}"/>
    <cellStyle name="Normal 9 5 2 2 3 4" xfId="40633" xr:uid="{00000000-0005-0000-0000-0000AADA0000}"/>
    <cellStyle name="Normal 9 5 2 2 3 5" xfId="40634" xr:uid="{00000000-0005-0000-0000-0000ABDA0000}"/>
    <cellStyle name="Normal 9 5 2 2 3 6" xfId="40635" xr:uid="{00000000-0005-0000-0000-0000ACDA0000}"/>
    <cellStyle name="Normal 9 5 2 2 4" xfId="40636" xr:uid="{00000000-0005-0000-0000-0000ADDA0000}"/>
    <cellStyle name="Normal 9 5 2 2 4 2" xfId="61369" xr:uid="{00000000-0005-0000-0000-0000AEDA0000}"/>
    <cellStyle name="Normal 9 5 2 2 4 3" xfId="61370" xr:uid="{00000000-0005-0000-0000-0000AFDA0000}"/>
    <cellStyle name="Normal 9 5 2 2 5" xfId="40637" xr:uid="{00000000-0005-0000-0000-0000B0DA0000}"/>
    <cellStyle name="Normal 9 5 2 2 5 2" xfId="61371" xr:uid="{00000000-0005-0000-0000-0000B1DA0000}"/>
    <cellStyle name="Normal 9 5 2 2 6" xfId="40638" xr:uid="{00000000-0005-0000-0000-0000B2DA0000}"/>
    <cellStyle name="Normal 9 5 2 2 7" xfId="40639" xr:uid="{00000000-0005-0000-0000-0000B3DA0000}"/>
    <cellStyle name="Normal 9 5 2 2 8" xfId="40640" xr:uid="{00000000-0005-0000-0000-0000B4DA0000}"/>
    <cellStyle name="Normal 9 5 2 2 9" xfId="40641" xr:uid="{00000000-0005-0000-0000-0000B5DA0000}"/>
    <cellStyle name="Normal 9 5 2 3" xfId="40642" xr:uid="{00000000-0005-0000-0000-0000B6DA0000}"/>
    <cellStyle name="Normal 9 5 2 3 2" xfId="40643" xr:uid="{00000000-0005-0000-0000-0000B7DA0000}"/>
    <cellStyle name="Normal 9 5 2 3 2 2" xfId="40644" xr:uid="{00000000-0005-0000-0000-0000B8DA0000}"/>
    <cellStyle name="Normal 9 5 2 3 2 2 2" xfId="40645" xr:uid="{00000000-0005-0000-0000-0000B9DA0000}"/>
    <cellStyle name="Normal 9 5 2 3 2 2 2 2" xfId="61372" xr:uid="{00000000-0005-0000-0000-0000BADA0000}"/>
    <cellStyle name="Normal 9 5 2 3 2 2 2 3" xfId="61373" xr:uid="{00000000-0005-0000-0000-0000BBDA0000}"/>
    <cellStyle name="Normal 9 5 2 3 2 2 3" xfId="40646" xr:uid="{00000000-0005-0000-0000-0000BCDA0000}"/>
    <cellStyle name="Normal 9 5 2 3 2 2 3 2" xfId="61374" xr:uid="{00000000-0005-0000-0000-0000BDDA0000}"/>
    <cellStyle name="Normal 9 5 2 3 2 2 4" xfId="40647" xr:uid="{00000000-0005-0000-0000-0000BEDA0000}"/>
    <cellStyle name="Normal 9 5 2 3 2 2 5" xfId="40648" xr:uid="{00000000-0005-0000-0000-0000BFDA0000}"/>
    <cellStyle name="Normal 9 5 2 3 2 2 6" xfId="40649" xr:uid="{00000000-0005-0000-0000-0000C0DA0000}"/>
    <cellStyle name="Normal 9 5 2 3 2 3" xfId="40650" xr:uid="{00000000-0005-0000-0000-0000C1DA0000}"/>
    <cellStyle name="Normal 9 5 2 3 2 3 2" xfId="61375" xr:uid="{00000000-0005-0000-0000-0000C2DA0000}"/>
    <cellStyle name="Normal 9 5 2 3 2 3 3" xfId="61376" xr:uid="{00000000-0005-0000-0000-0000C3DA0000}"/>
    <cellStyle name="Normal 9 5 2 3 2 4" xfId="40651" xr:uid="{00000000-0005-0000-0000-0000C4DA0000}"/>
    <cellStyle name="Normal 9 5 2 3 2 4 2" xfId="61377" xr:uid="{00000000-0005-0000-0000-0000C5DA0000}"/>
    <cellStyle name="Normal 9 5 2 3 2 5" xfId="40652" xr:uid="{00000000-0005-0000-0000-0000C6DA0000}"/>
    <cellStyle name="Normal 9 5 2 3 2 6" xfId="40653" xr:uid="{00000000-0005-0000-0000-0000C7DA0000}"/>
    <cellStyle name="Normal 9 5 2 3 2 7" xfId="40654" xr:uid="{00000000-0005-0000-0000-0000C8DA0000}"/>
    <cellStyle name="Normal 9 5 2 3 3" xfId="40655" xr:uid="{00000000-0005-0000-0000-0000C9DA0000}"/>
    <cellStyle name="Normal 9 5 2 3 3 2" xfId="40656" xr:uid="{00000000-0005-0000-0000-0000CADA0000}"/>
    <cellStyle name="Normal 9 5 2 3 3 2 2" xfId="61378" xr:uid="{00000000-0005-0000-0000-0000CBDA0000}"/>
    <cellStyle name="Normal 9 5 2 3 3 2 3" xfId="61379" xr:uid="{00000000-0005-0000-0000-0000CCDA0000}"/>
    <cellStyle name="Normal 9 5 2 3 3 3" xfId="40657" xr:uid="{00000000-0005-0000-0000-0000CDDA0000}"/>
    <cellStyle name="Normal 9 5 2 3 3 3 2" xfId="61380" xr:uid="{00000000-0005-0000-0000-0000CEDA0000}"/>
    <cellStyle name="Normal 9 5 2 3 3 4" xfId="40658" xr:uid="{00000000-0005-0000-0000-0000CFDA0000}"/>
    <cellStyle name="Normal 9 5 2 3 3 5" xfId="40659" xr:uid="{00000000-0005-0000-0000-0000D0DA0000}"/>
    <cellStyle name="Normal 9 5 2 3 3 6" xfId="40660" xr:uid="{00000000-0005-0000-0000-0000D1DA0000}"/>
    <cellStyle name="Normal 9 5 2 3 4" xfId="40661" xr:uid="{00000000-0005-0000-0000-0000D2DA0000}"/>
    <cellStyle name="Normal 9 5 2 3 4 2" xfId="61381" xr:uid="{00000000-0005-0000-0000-0000D3DA0000}"/>
    <cellStyle name="Normal 9 5 2 3 4 3" xfId="61382" xr:uid="{00000000-0005-0000-0000-0000D4DA0000}"/>
    <cellStyle name="Normal 9 5 2 3 5" xfId="40662" xr:uid="{00000000-0005-0000-0000-0000D5DA0000}"/>
    <cellStyle name="Normal 9 5 2 3 5 2" xfId="61383" xr:uid="{00000000-0005-0000-0000-0000D6DA0000}"/>
    <cellStyle name="Normal 9 5 2 3 6" xfId="40663" xr:uid="{00000000-0005-0000-0000-0000D7DA0000}"/>
    <cellStyle name="Normal 9 5 2 3 7" xfId="40664" xr:uid="{00000000-0005-0000-0000-0000D8DA0000}"/>
    <cellStyle name="Normal 9 5 2 3 8" xfId="40665" xr:uid="{00000000-0005-0000-0000-0000D9DA0000}"/>
    <cellStyle name="Normal 9 5 2 4" xfId="40666" xr:uid="{00000000-0005-0000-0000-0000DADA0000}"/>
    <cellStyle name="Normal 9 5 2 4 2" xfId="40667" xr:uid="{00000000-0005-0000-0000-0000DBDA0000}"/>
    <cellStyle name="Normal 9 5 2 4 2 2" xfId="40668" xr:uid="{00000000-0005-0000-0000-0000DCDA0000}"/>
    <cellStyle name="Normal 9 5 2 4 2 2 2" xfId="61384" xr:uid="{00000000-0005-0000-0000-0000DDDA0000}"/>
    <cellStyle name="Normal 9 5 2 4 2 2 3" xfId="61385" xr:uid="{00000000-0005-0000-0000-0000DEDA0000}"/>
    <cellStyle name="Normal 9 5 2 4 2 3" xfId="40669" xr:uid="{00000000-0005-0000-0000-0000DFDA0000}"/>
    <cellStyle name="Normal 9 5 2 4 2 3 2" xfId="61386" xr:uid="{00000000-0005-0000-0000-0000E0DA0000}"/>
    <cellStyle name="Normal 9 5 2 4 2 4" xfId="40670" xr:uid="{00000000-0005-0000-0000-0000E1DA0000}"/>
    <cellStyle name="Normal 9 5 2 4 2 5" xfId="40671" xr:uid="{00000000-0005-0000-0000-0000E2DA0000}"/>
    <cellStyle name="Normal 9 5 2 4 2 6" xfId="40672" xr:uid="{00000000-0005-0000-0000-0000E3DA0000}"/>
    <cellStyle name="Normal 9 5 2 4 3" xfId="40673" xr:uid="{00000000-0005-0000-0000-0000E4DA0000}"/>
    <cellStyle name="Normal 9 5 2 4 3 2" xfId="61387" xr:uid="{00000000-0005-0000-0000-0000E5DA0000}"/>
    <cellStyle name="Normal 9 5 2 4 3 3" xfId="61388" xr:uid="{00000000-0005-0000-0000-0000E6DA0000}"/>
    <cellStyle name="Normal 9 5 2 4 4" xfId="40674" xr:uid="{00000000-0005-0000-0000-0000E7DA0000}"/>
    <cellStyle name="Normal 9 5 2 4 4 2" xfId="61389" xr:uid="{00000000-0005-0000-0000-0000E8DA0000}"/>
    <cellStyle name="Normal 9 5 2 4 5" xfId="40675" xr:uid="{00000000-0005-0000-0000-0000E9DA0000}"/>
    <cellStyle name="Normal 9 5 2 4 6" xfId="40676" xr:uid="{00000000-0005-0000-0000-0000EADA0000}"/>
    <cellStyle name="Normal 9 5 2 4 7" xfId="40677" xr:uid="{00000000-0005-0000-0000-0000EBDA0000}"/>
    <cellStyle name="Normal 9 5 2 5" xfId="40678" xr:uid="{00000000-0005-0000-0000-0000ECDA0000}"/>
    <cellStyle name="Normal 9 5 2 5 2" xfId="40679" xr:uid="{00000000-0005-0000-0000-0000EDDA0000}"/>
    <cellStyle name="Normal 9 5 2 5 2 2" xfId="61390" xr:uid="{00000000-0005-0000-0000-0000EEDA0000}"/>
    <cellStyle name="Normal 9 5 2 5 2 3" xfId="61391" xr:uid="{00000000-0005-0000-0000-0000EFDA0000}"/>
    <cellStyle name="Normal 9 5 2 5 3" xfId="40680" xr:uid="{00000000-0005-0000-0000-0000F0DA0000}"/>
    <cellStyle name="Normal 9 5 2 5 3 2" xfId="61392" xr:uid="{00000000-0005-0000-0000-0000F1DA0000}"/>
    <cellStyle name="Normal 9 5 2 5 4" xfId="40681" xr:uid="{00000000-0005-0000-0000-0000F2DA0000}"/>
    <cellStyle name="Normal 9 5 2 5 5" xfId="40682" xr:uid="{00000000-0005-0000-0000-0000F3DA0000}"/>
    <cellStyle name="Normal 9 5 2 5 6" xfId="40683" xr:uid="{00000000-0005-0000-0000-0000F4DA0000}"/>
    <cellStyle name="Normal 9 5 2 6" xfId="40684" xr:uid="{00000000-0005-0000-0000-0000F5DA0000}"/>
    <cellStyle name="Normal 9 5 2 6 2" xfId="61393" xr:uid="{00000000-0005-0000-0000-0000F6DA0000}"/>
    <cellStyle name="Normal 9 5 2 6 3" xfId="61394" xr:uid="{00000000-0005-0000-0000-0000F7DA0000}"/>
    <cellStyle name="Normal 9 5 2 7" xfId="40685" xr:uid="{00000000-0005-0000-0000-0000F8DA0000}"/>
    <cellStyle name="Normal 9 5 2 7 2" xfId="61395" xr:uid="{00000000-0005-0000-0000-0000F9DA0000}"/>
    <cellStyle name="Normal 9 5 2 8" xfId="40686" xr:uid="{00000000-0005-0000-0000-0000FADA0000}"/>
    <cellStyle name="Normal 9 5 2 9" xfId="40687" xr:uid="{00000000-0005-0000-0000-0000FBDA0000}"/>
    <cellStyle name="Normal 9 5 3" xfId="40688" xr:uid="{00000000-0005-0000-0000-0000FCDA0000}"/>
    <cellStyle name="Normal 9 5 3 2" xfId="40689" xr:uid="{00000000-0005-0000-0000-0000FDDA0000}"/>
    <cellStyle name="Normal 9 5 3 2 2" xfId="40690" xr:uid="{00000000-0005-0000-0000-0000FEDA0000}"/>
    <cellStyle name="Normal 9 5 3 2 2 2" xfId="40691" xr:uid="{00000000-0005-0000-0000-0000FFDA0000}"/>
    <cellStyle name="Normal 9 5 3 2 2 2 2" xfId="61396" xr:uid="{00000000-0005-0000-0000-000000DB0000}"/>
    <cellStyle name="Normal 9 5 3 2 2 2 3" xfId="61397" xr:uid="{00000000-0005-0000-0000-000001DB0000}"/>
    <cellStyle name="Normal 9 5 3 2 2 3" xfId="40692" xr:uid="{00000000-0005-0000-0000-000002DB0000}"/>
    <cellStyle name="Normal 9 5 3 2 2 3 2" xfId="61398" xr:uid="{00000000-0005-0000-0000-000003DB0000}"/>
    <cellStyle name="Normal 9 5 3 2 2 4" xfId="40693" xr:uid="{00000000-0005-0000-0000-000004DB0000}"/>
    <cellStyle name="Normal 9 5 3 2 2 5" xfId="40694" xr:uid="{00000000-0005-0000-0000-000005DB0000}"/>
    <cellStyle name="Normal 9 5 3 2 2 6" xfId="40695" xr:uid="{00000000-0005-0000-0000-000006DB0000}"/>
    <cellStyle name="Normal 9 5 3 2 3" xfId="40696" xr:uid="{00000000-0005-0000-0000-000007DB0000}"/>
    <cellStyle name="Normal 9 5 3 2 3 2" xfId="61399" xr:uid="{00000000-0005-0000-0000-000008DB0000}"/>
    <cellStyle name="Normal 9 5 3 2 3 3" xfId="61400" xr:uid="{00000000-0005-0000-0000-000009DB0000}"/>
    <cellStyle name="Normal 9 5 3 2 4" xfId="40697" xr:uid="{00000000-0005-0000-0000-00000ADB0000}"/>
    <cellStyle name="Normal 9 5 3 2 4 2" xfId="61401" xr:uid="{00000000-0005-0000-0000-00000BDB0000}"/>
    <cellStyle name="Normal 9 5 3 2 5" xfId="40698" xr:uid="{00000000-0005-0000-0000-00000CDB0000}"/>
    <cellStyle name="Normal 9 5 3 2 6" xfId="40699" xr:uid="{00000000-0005-0000-0000-00000DDB0000}"/>
    <cellStyle name="Normal 9 5 3 2 7" xfId="40700" xr:uid="{00000000-0005-0000-0000-00000EDB0000}"/>
    <cellStyle name="Normal 9 5 3 3" xfId="40701" xr:uid="{00000000-0005-0000-0000-00000FDB0000}"/>
    <cellStyle name="Normal 9 5 3 3 2" xfId="40702" xr:uid="{00000000-0005-0000-0000-000010DB0000}"/>
    <cellStyle name="Normal 9 5 3 3 2 2" xfId="61402" xr:uid="{00000000-0005-0000-0000-000011DB0000}"/>
    <cellStyle name="Normal 9 5 3 3 2 3" xfId="61403" xr:uid="{00000000-0005-0000-0000-000012DB0000}"/>
    <cellStyle name="Normal 9 5 3 3 3" xfId="40703" xr:uid="{00000000-0005-0000-0000-000013DB0000}"/>
    <cellStyle name="Normal 9 5 3 3 3 2" xfId="61404" xr:uid="{00000000-0005-0000-0000-000014DB0000}"/>
    <cellStyle name="Normal 9 5 3 3 4" xfId="40704" xr:uid="{00000000-0005-0000-0000-000015DB0000}"/>
    <cellStyle name="Normal 9 5 3 3 5" xfId="40705" xr:uid="{00000000-0005-0000-0000-000016DB0000}"/>
    <cellStyle name="Normal 9 5 3 3 6" xfId="40706" xr:uid="{00000000-0005-0000-0000-000017DB0000}"/>
    <cellStyle name="Normal 9 5 3 4" xfId="40707" xr:uid="{00000000-0005-0000-0000-000018DB0000}"/>
    <cellStyle name="Normal 9 5 3 4 2" xfId="61405" xr:uid="{00000000-0005-0000-0000-000019DB0000}"/>
    <cellStyle name="Normal 9 5 3 4 3" xfId="61406" xr:uid="{00000000-0005-0000-0000-00001ADB0000}"/>
    <cellStyle name="Normal 9 5 3 5" xfId="40708" xr:uid="{00000000-0005-0000-0000-00001BDB0000}"/>
    <cellStyle name="Normal 9 5 3 5 2" xfId="61407" xr:uid="{00000000-0005-0000-0000-00001CDB0000}"/>
    <cellStyle name="Normal 9 5 3 6" xfId="40709" xr:uid="{00000000-0005-0000-0000-00001DDB0000}"/>
    <cellStyle name="Normal 9 5 3 7" xfId="40710" xr:uid="{00000000-0005-0000-0000-00001EDB0000}"/>
    <cellStyle name="Normal 9 5 3 8" xfId="40711" xr:uid="{00000000-0005-0000-0000-00001FDB0000}"/>
    <cellStyle name="Normal 9 5 3 9" xfId="40712" xr:uid="{00000000-0005-0000-0000-000020DB0000}"/>
    <cellStyle name="Normal 9 5 4" xfId="40713" xr:uid="{00000000-0005-0000-0000-000021DB0000}"/>
    <cellStyle name="Normal 9 5 4 2" xfId="40714" xr:uid="{00000000-0005-0000-0000-000022DB0000}"/>
    <cellStyle name="Normal 9 5 4 2 2" xfId="40715" xr:uid="{00000000-0005-0000-0000-000023DB0000}"/>
    <cellStyle name="Normal 9 5 4 2 2 2" xfId="40716" xr:uid="{00000000-0005-0000-0000-000024DB0000}"/>
    <cellStyle name="Normal 9 5 4 2 2 2 2" xfId="61408" xr:uid="{00000000-0005-0000-0000-000025DB0000}"/>
    <cellStyle name="Normal 9 5 4 2 2 2 3" xfId="61409" xr:uid="{00000000-0005-0000-0000-000026DB0000}"/>
    <cellStyle name="Normal 9 5 4 2 2 3" xfId="40717" xr:uid="{00000000-0005-0000-0000-000027DB0000}"/>
    <cellStyle name="Normal 9 5 4 2 2 3 2" xfId="61410" xr:uid="{00000000-0005-0000-0000-000028DB0000}"/>
    <cellStyle name="Normal 9 5 4 2 2 4" xfId="40718" xr:uid="{00000000-0005-0000-0000-000029DB0000}"/>
    <cellStyle name="Normal 9 5 4 2 2 5" xfId="40719" xr:uid="{00000000-0005-0000-0000-00002ADB0000}"/>
    <cellStyle name="Normal 9 5 4 2 2 6" xfId="40720" xr:uid="{00000000-0005-0000-0000-00002BDB0000}"/>
    <cellStyle name="Normal 9 5 4 2 3" xfId="40721" xr:uid="{00000000-0005-0000-0000-00002CDB0000}"/>
    <cellStyle name="Normal 9 5 4 2 3 2" xfId="61411" xr:uid="{00000000-0005-0000-0000-00002DDB0000}"/>
    <cellStyle name="Normal 9 5 4 2 3 3" xfId="61412" xr:uid="{00000000-0005-0000-0000-00002EDB0000}"/>
    <cellStyle name="Normal 9 5 4 2 4" xfId="40722" xr:uid="{00000000-0005-0000-0000-00002FDB0000}"/>
    <cellStyle name="Normal 9 5 4 2 4 2" xfId="61413" xr:uid="{00000000-0005-0000-0000-000030DB0000}"/>
    <cellStyle name="Normal 9 5 4 2 5" xfId="40723" xr:uid="{00000000-0005-0000-0000-000031DB0000}"/>
    <cellStyle name="Normal 9 5 4 2 6" xfId="40724" xr:uid="{00000000-0005-0000-0000-000032DB0000}"/>
    <cellStyle name="Normal 9 5 4 2 7" xfId="40725" xr:uid="{00000000-0005-0000-0000-000033DB0000}"/>
    <cellStyle name="Normal 9 5 4 3" xfId="40726" xr:uid="{00000000-0005-0000-0000-000034DB0000}"/>
    <cellStyle name="Normal 9 5 4 3 2" xfId="40727" xr:uid="{00000000-0005-0000-0000-000035DB0000}"/>
    <cellStyle name="Normal 9 5 4 3 2 2" xfId="61414" xr:uid="{00000000-0005-0000-0000-000036DB0000}"/>
    <cellStyle name="Normal 9 5 4 3 2 3" xfId="61415" xr:uid="{00000000-0005-0000-0000-000037DB0000}"/>
    <cellStyle name="Normal 9 5 4 3 3" xfId="40728" xr:uid="{00000000-0005-0000-0000-000038DB0000}"/>
    <cellStyle name="Normal 9 5 4 3 3 2" xfId="61416" xr:uid="{00000000-0005-0000-0000-000039DB0000}"/>
    <cellStyle name="Normal 9 5 4 3 4" xfId="40729" xr:uid="{00000000-0005-0000-0000-00003ADB0000}"/>
    <cellStyle name="Normal 9 5 4 3 5" xfId="40730" xr:uid="{00000000-0005-0000-0000-00003BDB0000}"/>
    <cellStyle name="Normal 9 5 4 3 6" xfId="40731" xr:uid="{00000000-0005-0000-0000-00003CDB0000}"/>
    <cellStyle name="Normal 9 5 4 4" xfId="40732" xr:uid="{00000000-0005-0000-0000-00003DDB0000}"/>
    <cellStyle name="Normal 9 5 4 4 2" xfId="61417" xr:uid="{00000000-0005-0000-0000-00003EDB0000}"/>
    <cellStyle name="Normal 9 5 4 4 3" xfId="61418" xr:uid="{00000000-0005-0000-0000-00003FDB0000}"/>
    <cellStyle name="Normal 9 5 4 5" xfId="40733" xr:uid="{00000000-0005-0000-0000-000040DB0000}"/>
    <cellStyle name="Normal 9 5 4 5 2" xfId="61419" xr:uid="{00000000-0005-0000-0000-000041DB0000}"/>
    <cellStyle name="Normal 9 5 4 6" xfId="40734" xr:uid="{00000000-0005-0000-0000-000042DB0000}"/>
    <cellStyle name="Normal 9 5 4 7" xfId="40735" xr:uid="{00000000-0005-0000-0000-000043DB0000}"/>
    <cellStyle name="Normal 9 5 4 8" xfId="40736" xr:uid="{00000000-0005-0000-0000-000044DB0000}"/>
    <cellStyle name="Normal 9 5 5" xfId="40737" xr:uid="{00000000-0005-0000-0000-000045DB0000}"/>
    <cellStyle name="Normal 9 5 5 2" xfId="40738" xr:uid="{00000000-0005-0000-0000-000046DB0000}"/>
    <cellStyle name="Normal 9 5 5 2 2" xfId="40739" xr:uid="{00000000-0005-0000-0000-000047DB0000}"/>
    <cellStyle name="Normal 9 5 5 2 2 2" xfId="61420" xr:uid="{00000000-0005-0000-0000-000048DB0000}"/>
    <cellStyle name="Normal 9 5 5 2 2 3" xfId="61421" xr:uid="{00000000-0005-0000-0000-000049DB0000}"/>
    <cellStyle name="Normal 9 5 5 2 3" xfId="40740" xr:uid="{00000000-0005-0000-0000-00004ADB0000}"/>
    <cellStyle name="Normal 9 5 5 2 3 2" xfId="61422" xr:uid="{00000000-0005-0000-0000-00004BDB0000}"/>
    <cellStyle name="Normal 9 5 5 2 4" xfId="40741" xr:uid="{00000000-0005-0000-0000-00004CDB0000}"/>
    <cellStyle name="Normal 9 5 5 2 5" xfId="40742" xr:uid="{00000000-0005-0000-0000-00004DDB0000}"/>
    <cellStyle name="Normal 9 5 5 2 6" xfId="40743" xr:uid="{00000000-0005-0000-0000-00004EDB0000}"/>
    <cellStyle name="Normal 9 5 5 3" xfId="40744" xr:uid="{00000000-0005-0000-0000-00004FDB0000}"/>
    <cellStyle name="Normal 9 5 5 3 2" xfId="61423" xr:uid="{00000000-0005-0000-0000-000050DB0000}"/>
    <cellStyle name="Normal 9 5 5 3 3" xfId="61424" xr:uid="{00000000-0005-0000-0000-000051DB0000}"/>
    <cellStyle name="Normal 9 5 5 4" xfId="40745" xr:uid="{00000000-0005-0000-0000-000052DB0000}"/>
    <cellStyle name="Normal 9 5 5 4 2" xfId="61425" xr:uid="{00000000-0005-0000-0000-000053DB0000}"/>
    <cellStyle name="Normal 9 5 5 5" xfId="40746" xr:uid="{00000000-0005-0000-0000-000054DB0000}"/>
    <cellStyle name="Normal 9 5 5 6" xfId="40747" xr:uid="{00000000-0005-0000-0000-000055DB0000}"/>
    <cellStyle name="Normal 9 5 5 7" xfId="40748" xr:uid="{00000000-0005-0000-0000-000056DB0000}"/>
    <cellStyle name="Normal 9 5 6" xfId="40749" xr:uid="{00000000-0005-0000-0000-000057DB0000}"/>
    <cellStyle name="Normal 9 5 6 2" xfId="40750" xr:uid="{00000000-0005-0000-0000-000058DB0000}"/>
    <cellStyle name="Normal 9 5 6 2 2" xfId="61426" xr:uid="{00000000-0005-0000-0000-000059DB0000}"/>
    <cellStyle name="Normal 9 5 6 2 3" xfId="61427" xr:uid="{00000000-0005-0000-0000-00005ADB0000}"/>
    <cellStyle name="Normal 9 5 6 3" xfId="40751" xr:uid="{00000000-0005-0000-0000-00005BDB0000}"/>
    <cellStyle name="Normal 9 5 6 3 2" xfId="61428" xr:uid="{00000000-0005-0000-0000-00005CDB0000}"/>
    <cellStyle name="Normal 9 5 6 4" xfId="40752" xr:uid="{00000000-0005-0000-0000-00005DDB0000}"/>
    <cellStyle name="Normal 9 5 6 5" xfId="40753" xr:uid="{00000000-0005-0000-0000-00005EDB0000}"/>
    <cellStyle name="Normal 9 5 6 6" xfId="40754" xr:uid="{00000000-0005-0000-0000-00005FDB0000}"/>
    <cellStyle name="Normal 9 5 7" xfId="40755" xr:uid="{00000000-0005-0000-0000-000060DB0000}"/>
    <cellStyle name="Normal 9 5 7 2" xfId="61429" xr:uid="{00000000-0005-0000-0000-000061DB0000}"/>
    <cellStyle name="Normal 9 5 7 3" xfId="61430" xr:uid="{00000000-0005-0000-0000-000062DB0000}"/>
    <cellStyle name="Normal 9 5 8" xfId="40756" xr:uid="{00000000-0005-0000-0000-000063DB0000}"/>
    <cellStyle name="Normal 9 5 8 2" xfId="61431" xr:uid="{00000000-0005-0000-0000-000064DB0000}"/>
    <cellStyle name="Normal 9 5 9" xfId="40757" xr:uid="{00000000-0005-0000-0000-000065DB0000}"/>
    <cellStyle name="Normal 9 5 9 2" xfId="61432" xr:uid="{00000000-0005-0000-0000-000066DB0000}"/>
    <cellStyle name="Normal 9 6" xfId="40758" xr:uid="{00000000-0005-0000-0000-000067DB0000}"/>
    <cellStyle name="Normal 9 6 10" xfId="40759" xr:uid="{00000000-0005-0000-0000-000068DB0000}"/>
    <cellStyle name="Normal 9 6 11" xfId="40760" xr:uid="{00000000-0005-0000-0000-000069DB0000}"/>
    <cellStyle name="Normal 9 6 12" xfId="40761" xr:uid="{00000000-0005-0000-0000-00006ADB0000}"/>
    <cellStyle name="Normal 9 6 13" xfId="40762" xr:uid="{00000000-0005-0000-0000-00006BDB0000}"/>
    <cellStyle name="Normal 9 6 14" xfId="40763" xr:uid="{00000000-0005-0000-0000-00006CDB0000}"/>
    <cellStyle name="Normal 9 6 2" xfId="40764" xr:uid="{00000000-0005-0000-0000-00006DDB0000}"/>
    <cellStyle name="Normal 9 6 2 2" xfId="40765" xr:uid="{00000000-0005-0000-0000-00006EDB0000}"/>
    <cellStyle name="Normal 9 6 2 2 2" xfId="40766" xr:uid="{00000000-0005-0000-0000-00006FDB0000}"/>
    <cellStyle name="Normal 9 6 2 2 2 2" xfId="40767" xr:uid="{00000000-0005-0000-0000-000070DB0000}"/>
    <cellStyle name="Normal 9 6 2 2 2 2 2" xfId="61433" xr:uid="{00000000-0005-0000-0000-000071DB0000}"/>
    <cellStyle name="Normal 9 6 2 2 2 2 3" xfId="61434" xr:uid="{00000000-0005-0000-0000-000072DB0000}"/>
    <cellStyle name="Normal 9 6 2 2 2 3" xfId="40768" xr:uid="{00000000-0005-0000-0000-000073DB0000}"/>
    <cellStyle name="Normal 9 6 2 2 2 3 2" xfId="61435" xr:uid="{00000000-0005-0000-0000-000074DB0000}"/>
    <cellStyle name="Normal 9 6 2 2 2 4" xfId="40769" xr:uid="{00000000-0005-0000-0000-000075DB0000}"/>
    <cellStyle name="Normal 9 6 2 2 2 5" xfId="40770" xr:uid="{00000000-0005-0000-0000-000076DB0000}"/>
    <cellStyle name="Normal 9 6 2 2 2 6" xfId="40771" xr:uid="{00000000-0005-0000-0000-000077DB0000}"/>
    <cellStyle name="Normal 9 6 2 2 3" xfId="40772" xr:uid="{00000000-0005-0000-0000-000078DB0000}"/>
    <cellStyle name="Normal 9 6 2 2 3 2" xfId="61436" xr:uid="{00000000-0005-0000-0000-000079DB0000}"/>
    <cellStyle name="Normal 9 6 2 2 3 3" xfId="61437" xr:uid="{00000000-0005-0000-0000-00007ADB0000}"/>
    <cellStyle name="Normal 9 6 2 2 4" xfId="40773" xr:uid="{00000000-0005-0000-0000-00007BDB0000}"/>
    <cellStyle name="Normal 9 6 2 2 4 2" xfId="61438" xr:uid="{00000000-0005-0000-0000-00007CDB0000}"/>
    <cellStyle name="Normal 9 6 2 2 5" xfId="40774" xr:uid="{00000000-0005-0000-0000-00007DDB0000}"/>
    <cellStyle name="Normal 9 6 2 2 6" xfId="40775" xr:uid="{00000000-0005-0000-0000-00007EDB0000}"/>
    <cellStyle name="Normal 9 6 2 2 7" xfId="40776" xr:uid="{00000000-0005-0000-0000-00007FDB0000}"/>
    <cellStyle name="Normal 9 6 2 3" xfId="40777" xr:uid="{00000000-0005-0000-0000-000080DB0000}"/>
    <cellStyle name="Normal 9 6 2 3 2" xfId="40778" xr:uid="{00000000-0005-0000-0000-000081DB0000}"/>
    <cellStyle name="Normal 9 6 2 3 2 2" xfId="61439" xr:uid="{00000000-0005-0000-0000-000082DB0000}"/>
    <cellStyle name="Normal 9 6 2 3 2 3" xfId="61440" xr:uid="{00000000-0005-0000-0000-000083DB0000}"/>
    <cellStyle name="Normal 9 6 2 3 3" xfId="40779" xr:uid="{00000000-0005-0000-0000-000084DB0000}"/>
    <cellStyle name="Normal 9 6 2 3 3 2" xfId="61441" xr:uid="{00000000-0005-0000-0000-000085DB0000}"/>
    <cellStyle name="Normal 9 6 2 3 4" xfId="40780" xr:uid="{00000000-0005-0000-0000-000086DB0000}"/>
    <cellStyle name="Normal 9 6 2 3 5" xfId="40781" xr:uid="{00000000-0005-0000-0000-000087DB0000}"/>
    <cellStyle name="Normal 9 6 2 3 6" xfId="40782" xr:uid="{00000000-0005-0000-0000-000088DB0000}"/>
    <cellStyle name="Normal 9 6 2 4" xfId="40783" xr:uid="{00000000-0005-0000-0000-000089DB0000}"/>
    <cellStyle name="Normal 9 6 2 4 2" xfId="61442" xr:uid="{00000000-0005-0000-0000-00008ADB0000}"/>
    <cellStyle name="Normal 9 6 2 4 3" xfId="61443" xr:uid="{00000000-0005-0000-0000-00008BDB0000}"/>
    <cellStyle name="Normal 9 6 2 5" xfId="40784" xr:uid="{00000000-0005-0000-0000-00008CDB0000}"/>
    <cellStyle name="Normal 9 6 2 5 2" xfId="61444" xr:uid="{00000000-0005-0000-0000-00008DDB0000}"/>
    <cellStyle name="Normal 9 6 2 6" xfId="40785" xr:uid="{00000000-0005-0000-0000-00008EDB0000}"/>
    <cellStyle name="Normal 9 6 2 7" xfId="40786" xr:uid="{00000000-0005-0000-0000-00008FDB0000}"/>
    <cellStyle name="Normal 9 6 2 8" xfId="40787" xr:uid="{00000000-0005-0000-0000-000090DB0000}"/>
    <cellStyle name="Normal 9 6 2 9" xfId="40788" xr:uid="{00000000-0005-0000-0000-000091DB0000}"/>
    <cellStyle name="Normal 9 6 3" xfId="40789" xr:uid="{00000000-0005-0000-0000-000092DB0000}"/>
    <cellStyle name="Normal 9 6 3 2" xfId="40790" xr:uid="{00000000-0005-0000-0000-000093DB0000}"/>
    <cellStyle name="Normal 9 6 3 2 2" xfId="40791" xr:uid="{00000000-0005-0000-0000-000094DB0000}"/>
    <cellStyle name="Normal 9 6 3 2 2 2" xfId="40792" xr:uid="{00000000-0005-0000-0000-000095DB0000}"/>
    <cellStyle name="Normal 9 6 3 2 2 2 2" xfId="61445" xr:uid="{00000000-0005-0000-0000-000096DB0000}"/>
    <cellStyle name="Normal 9 6 3 2 2 2 3" xfId="61446" xr:uid="{00000000-0005-0000-0000-000097DB0000}"/>
    <cellStyle name="Normal 9 6 3 2 2 3" xfId="40793" xr:uid="{00000000-0005-0000-0000-000098DB0000}"/>
    <cellStyle name="Normal 9 6 3 2 2 3 2" xfId="61447" xr:uid="{00000000-0005-0000-0000-000099DB0000}"/>
    <cellStyle name="Normal 9 6 3 2 2 4" xfId="40794" xr:uid="{00000000-0005-0000-0000-00009ADB0000}"/>
    <cellStyle name="Normal 9 6 3 2 2 5" xfId="40795" xr:uid="{00000000-0005-0000-0000-00009BDB0000}"/>
    <cellStyle name="Normal 9 6 3 2 2 6" xfId="40796" xr:uid="{00000000-0005-0000-0000-00009CDB0000}"/>
    <cellStyle name="Normal 9 6 3 2 3" xfId="40797" xr:uid="{00000000-0005-0000-0000-00009DDB0000}"/>
    <cellStyle name="Normal 9 6 3 2 3 2" xfId="61448" xr:uid="{00000000-0005-0000-0000-00009EDB0000}"/>
    <cellStyle name="Normal 9 6 3 2 3 3" xfId="61449" xr:uid="{00000000-0005-0000-0000-00009FDB0000}"/>
    <cellStyle name="Normal 9 6 3 2 4" xfId="40798" xr:uid="{00000000-0005-0000-0000-0000A0DB0000}"/>
    <cellStyle name="Normal 9 6 3 2 4 2" xfId="61450" xr:uid="{00000000-0005-0000-0000-0000A1DB0000}"/>
    <cellStyle name="Normal 9 6 3 2 5" xfId="40799" xr:uid="{00000000-0005-0000-0000-0000A2DB0000}"/>
    <cellStyle name="Normal 9 6 3 2 6" xfId="40800" xr:uid="{00000000-0005-0000-0000-0000A3DB0000}"/>
    <cellStyle name="Normal 9 6 3 2 7" xfId="40801" xr:uid="{00000000-0005-0000-0000-0000A4DB0000}"/>
    <cellStyle name="Normal 9 6 3 3" xfId="40802" xr:uid="{00000000-0005-0000-0000-0000A5DB0000}"/>
    <cellStyle name="Normal 9 6 3 3 2" xfId="40803" xr:uid="{00000000-0005-0000-0000-0000A6DB0000}"/>
    <cellStyle name="Normal 9 6 3 3 2 2" xfId="61451" xr:uid="{00000000-0005-0000-0000-0000A7DB0000}"/>
    <cellStyle name="Normal 9 6 3 3 2 3" xfId="61452" xr:uid="{00000000-0005-0000-0000-0000A8DB0000}"/>
    <cellStyle name="Normal 9 6 3 3 3" xfId="40804" xr:uid="{00000000-0005-0000-0000-0000A9DB0000}"/>
    <cellStyle name="Normal 9 6 3 3 3 2" xfId="61453" xr:uid="{00000000-0005-0000-0000-0000AADB0000}"/>
    <cellStyle name="Normal 9 6 3 3 4" xfId="40805" xr:uid="{00000000-0005-0000-0000-0000ABDB0000}"/>
    <cellStyle name="Normal 9 6 3 3 5" xfId="40806" xr:uid="{00000000-0005-0000-0000-0000ACDB0000}"/>
    <cellStyle name="Normal 9 6 3 3 6" xfId="40807" xr:uid="{00000000-0005-0000-0000-0000ADDB0000}"/>
    <cellStyle name="Normal 9 6 3 4" xfId="40808" xr:uid="{00000000-0005-0000-0000-0000AEDB0000}"/>
    <cellStyle name="Normal 9 6 3 4 2" xfId="61454" xr:uid="{00000000-0005-0000-0000-0000AFDB0000}"/>
    <cellStyle name="Normal 9 6 3 4 3" xfId="61455" xr:uid="{00000000-0005-0000-0000-0000B0DB0000}"/>
    <cellStyle name="Normal 9 6 3 5" xfId="40809" xr:uid="{00000000-0005-0000-0000-0000B1DB0000}"/>
    <cellStyle name="Normal 9 6 3 5 2" xfId="61456" xr:uid="{00000000-0005-0000-0000-0000B2DB0000}"/>
    <cellStyle name="Normal 9 6 3 6" xfId="40810" xr:uid="{00000000-0005-0000-0000-0000B3DB0000}"/>
    <cellStyle name="Normal 9 6 3 7" xfId="40811" xr:uid="{00000000-0005-0000-0000-0000B4DB0000}"/>
    <cellStyle name="Normal 9 6 3 8" xfId="40812" xr:uid="{00000000-0005-0000-0000-0000B5DB0000}"/>
    <cellStyle name="Normal 9 6 4" xfId="40813" xr:uid="{00000000-0005-0000-0000-0000B6DB0000}"/>
    <cellStyle name="Normal 9 6 4 2" xfId="40814" xr:uid="{00000000-0005-0000-0000-0000B7DB0000}"/>
    <cellStyle name="Normal 9 6 4 2 2" xfId="40815" xr:uid="{00000000-0005-0000-0000-0000B8DB0000}"/>
    <cellStyle name="Normal 9 6 4 2 2 2" xfId="61457" xr:uid="{00000000-0005-0000-0000-0000B9DB0000}"/>
    <cellStyle name="Normal 9 6 4 2 2 3" xfId="61458" xr:uid="{00000000-0005-0000-0000-0000BADB0000}"/>
    <cellStyle name="Normal 9 6 4 2 3" xfId="40816" xr:uid="{00000000-0005-0000-0000-0000BBDB0000}"/>
    <cellStyle name="Normal 9 6 4 2 3 2" xfId="61459" xr:uid="{00000000-0005-0000-0000-0000BCDB0000}"/>
    <cellStyle name="Normal 9 6 4 2 4" xfId="40817" xr:uid="{00000000-0005-0000-0000-0000BDDB0000}"/>
    <cellStyle name="Normal 9 6 4 2 5" xfId="40818" xr:uid="{00000000-0005-0000-0000-0000BEDB0000}"/>
    <cellStyle name="Normal 9 6 4 2 6" xfId="40819" xr:uid="{00000000-0005-0000-0000-0000BFDB0000}"/>
    <cellStyle name="Normal 9 6 4 3" xfId="40820" xr:uid="{00000000-0005-0000-0000-0000C0DB0000}"/>
    <cellStyle name="Normal 9 6 4 3 2" xfId="61460" xr:uid="{00000000-0005-0000-0000-0000C1DB0000}"/>
    <cellStyle name="Normal 9 6 4 3 3" xfId="61461" xr:uid="{00000000-0005-0000-0000-0000C2DB0000}"/>
    <cellStyle name="Normal 9 6 4 4" xfId="40821" xr:uid="{00000000-0005-0000-0000-0000C3DB0000}"/>
    <cellStyle name="Normal 9 6 4 4 2" xfId="61462" xr:uid="{00000000-0005-0000-0000-0000C4DB0000}"/>
    <cellStyle name="Normal 9 6 4 5" xfId="40822" xr:uid="{00000000-0005-0000-0000-0000C5DB0000}"/>
    <cellStyle name="Normal 9 6 4 6" xfId="40823" xr:uid="{00000000-0005-0000-0000-0000C6DB0000}"/>
    <cellStyle name="Normal 9 6 4 7" xfId="40824" xr:uid="{00000000-0005-0000-0000-0000C7DB0000}"/>
    <cellStyle name="Normal 9 6 5" xfId="40825" xr:uid="{00000000-0005-0000-0000-0000C8DB0000}"/>
    <cellStyle name="Normal 9 6 5 2" xfId="40826" xr:uid="{00000000-0005-0000-0000-0000C9DB0000}"/>
    <cellStyle name="Normal 9 6 5 2 2" xfId="61463" xr:uid="{00000000-0005-0000-0000-0000CADB0000}"/>
    <cellStyle name="Normal 9 6 5 2 3" xfId="61464" xr:uid="{00000000-0005-0000-0000-0000CBDB0000}"/>
    <cellStyle name="Normal 9 6 5 3" xfId="40827" xr:uid="{00000000-0005-0000-0000-0000CCDB0000}"/>
    <cellStyle name="Normal 9 6 5 3 2" xfId="61465" xr:uid="{00000000-0005-0000-0000-0000CDDB0000}"/>
    <cellStyle name="Normal 9 6 5 4" xfId="40828" xr:uid="{00000000-0005-0000-0000-0000CEDB0000}"/>
    <cellStyle name="Normal 9 6 5 5" xfId="40829" xr:uid="{00000000-0005-0000-0000-0000CFDB0000}"/>
    <cellStyle name="Normal 9 6 5 6" xfId="40830" xr:uid="{00000000-0005-0000-0000-0000D0DB0000}"/>
    <cellStyle name="Normal 9 6 6" xfId="40831" xr:uid="{00000000-0005-0000-0000-0000D1DB0000}"/>
    <cellStyle name="Normal 9 6 6 2" xfId="61466" xr:uid="{00000000-0005-0000-0000-0000D2DB0000}"/>
    <cellStyle name="Normal 9 6 6 3" xfId="61467" xr:uid="{00000000-0005-0000-0000-0000D3DB0000}"/>
    <cellStyle name="Normal 9 6 7" xfId="40832" xr:uid="{00000000-0005-0000-0000-0000D4DB0000}"/>
    <cellStyle name="Normal 9 6 7 2" xfId="61468" xr:uid="{00000000-0005-0000-0000-0000D5DB0000}"/>
    <cellStyle name="Normal 9 6 8" xfId="40833" xr:uid="{00000000-0005-0000-0000-0000D6DB0000}"/>
    <cellStyle name="Normal 9 6 9" xfId="40834" xr:uid="{00000000-0005-0000-0000-0000D7DB0000}"/>
    <cellStyle name="Normal 9 7" xfId="40835" xr:uid="{00000000-0005-0000-0000-0000D8DB0000}"/>
    <cellStyle name="Normal 9 7 10" xfId="40836" xr:uid="{00000000-0005-0000-0000-0000D9DB0000}"/>
    <cellStyle name="Normal 9 7 11" xfId="40837" xr:uid="{00000000-0005-0000-0000-0000DADB0000}"/>
    <cellStyle name="Normal 9 7 12" xfId="40838" xr:uid="{00000000-0005-0000-0000-0000DBDB0000}"/>
    <cellStyle name="Normal 9 7 13" xfId="40839" xr:uid="{00000000-0005-0000-0000-0000DCDB0000}"/>
    <cellStyle name="Normal 9 7 14" xfId="40840" xr:uid="{00000000-0005-0000-0000-0000DDDB0000}"/>
    <cellStyle name="Normal 9 7 2" xfId="40841" xr:uid="{00000000-0005-0000-0000-0000DEDB0000}"/>
    <cellStyle name="Normal 9 7 2 2" xfId="40842" xr:uid="{00000000-0005-0000-0000-0000DFDB0000}"/>
    <cellStyle name="Normal 9 7 2 2 2" xfId="40843" xr:uid="{00000000-0005-0000-0000-0000E0DB0000}"/>
    <cellStyle name="Normal 9 7 2 2 2 2" xfId="40844" xr:uid="{00000000-0005-0000-0000-0000E1DB0000}"/>
    <cellStyle name="Normal 9 7 2 2 2 2 2" xfId="61469" xr:uid="{00000000-0005-0000-0000-0000E2DB0000}"/>
    <cellStyle name="Normal 9 7 2 2 2 2 3" xfId="61470" xr:uid="{00000000-0005-0000-0000-0000E3DB0000}"/>
    <cellStyle name="Normal 9 7 2 2 2 3" xfId="40845" xr:uid="{00000000-0005-0000-0000-0000E4DB0000}"/>
    <cellStyle name="Normal 9 7 2 2 2 3 2" xfId="61471" xr:uid="{00000000-0005-0000-0000-0000E5DB0000}"/>
    <cellStyle name="Normal 9 7 2 2 2 4" xfId="40846" xr:uid="{00000000-0005-0000-0000-0000E6DB0000}"/>
    <cellStyle name="Normal 9 7 2 2 2 5" xfId="40847" xr:uid="{00000000-0005-0000-0000-0000E7DB0000}"/>
    <cellStyle name="Normal 9 7 2 2 2 6" xfId="40848" xr:uid="{00000000-0005-0000-0000-0000E8DB0000}"/>
    <cellStyle name="Normal 9 7 2 2 3" xfId="40849" xr:uid="{00000000-0005-0000-0000-0000E9DB0000}"/>
    <cellStyle name="Normal 9 7 2 2 3 2" xfId="61472" xr:uid="{00000000-0005-0000-0000-0000EADB0000}"/>
    <cellStyle name="Normal 9 7 2 2 3 3" xfId="61473" xr:uid="{00000000-0005-0000-0000-0000EBDB0000}"/>
    <cellStyle name="Normal 9 7 2 2 4" xfId="40850" xr:uid="{00000000-0005-0000-0000-0000ECDB0000}"/>
    <cellStyle name="Normal 9 7 2 2 4 2" xfId="61474" xr:uid="{00000000-0005-0000-0000-0000EDDB0000}"/>
    <cellStyle name="Normal 9 7 2 2 5" xfId="40851" xr:uid="{00000000-0005-0000-0000-0000EEDB0000}"/>
    <cellStyle name="Normal 9 7 2 2 6" xfId="40852" xr:uid="{00000000-0005-0000-0000-0000EFDB0000}"/>
    <cellStyle name="Normal 9 7 2 2 7" xfId="40853" xr:uid="{00000000-0005-0000-0000-0000F0DB0000}"/>
    <cellStyle name="Normal 9 7 2 3" xfId="40854" xr:uid="{00000000-0005-0000-0000-0000F1DB0000}"/>
    <cellStyle name="Normal 9 7 2 3 2" xfId="40855" xr:uid="{00000000-0005-0000-0000-0000F2DB0000}"/>
    <cellStyle name="Normal 9 7 2 3 2 2" xfId="61475" xr:uid="{00000000-0005-0000-0000-0000F3DB0000}"/>
    <cellStyle name="Normal 9 7 2 3 2 3" xfId="61476" xr:uid="{00000000-0005-0000-0000-0000F4DB0000}"/>
    <cellStyle name="Normal 9 7 2 3 3" xfId="40856" xr:uid="{00000000-0005-0000-0000-0000F5DB0000}"/>
    <cellStyle name="Normal 9 7 2 3 3 2" xfId="61477" xr:uid="{00000000-0005-0000-0000-0000F6DB0000}"/>
    <cellStyle name="Normal 9 7 2 3 4" xfId="40857" xr:uid="{00000000-0005-0000-0000-0000F7DB0000}"/>
    <cellStyle name="Normal 9 7 2 3 5" xfId="40858" xr:uid="{00000000-0005-0000-0000-0000F8DB0000}"/>
    <cellStyle name="Normal 9 7 2 3 6" xfId="40859" xr:uid="{00000000-0005-0000-0000-0000F9DB0000}"/>
    <cellStyle name="Normal 9 7 2 4" xfId="40860" xr:uid="{00000000-0005-0000-0000-0000FADB0000}"/>
    <cellStyle name="Normal 9 7 2 4 2" xfId="61478" xr:uid="{00000000-0005-0000-0000-0000FBDB0000}"/>
    <cellStyle name="Normal 9 7 2 4 3" xfId="61479" xr:uid="{00000000-0005-0000-0000-0000FCDB0000}"/>
    <cellStyle name="Normal 9 7 2 5" xfId="40861" xr:uid="{00000000-0005-0000-0000-0000FDDB0000}"/>
    <cellStyle name="Normal 9 7 2 5 2" xfId="61480" xr:uid="{00000000-0005-0000-0000-0000FEDB0000}"/>
    <cellStyle name="Normal 9 7 2 6" xfId="40862" xr:uid="{00000000-0005-0000-0000-0000FFDB0000}"/>
    <cellStyle name="Normal 9 7 2 7" xfId="40863" xr:uid="{00000000-0005-0000-0000-000000DC0000}"/>
    <cellStyle name="Normal 9 7 2 8" xfId="40864" xr:uid="{00000000-0005-0000-0000-000001DC0000}"/>
    <cellStyle name="Normal 9 7 2 9" xfId="40865" xr:uid="{00000000-0005-0000-0000-000002DC0000}"/>
    <cellStyle name="Normal 9 7 3" xfId="40866" xr:uid="{00000000-0005-0000-0000-000003DC0000}"/>
    <cellStyle name="Normal 9 7 3 2" xfId="40867" xr:uid="{00000000-0005-0000-0000-000004DC0000}"/>
    <cellStyle name="Normal 9 7 3 2 2" xfId="40868" xr:uid="{00000000-0005-0000-0000-000005DC0000}"/>
    <cellStyle name="Normal 9 7 3 2 2 2" xfId="40869" xr:uid="{00000000-0005-0000-0000-000006DC0000}"/>
    <cellStyle name="Normal 9 7 3 2 2 2 2" xfId="61481" xr:uid="{00000000-0005-0000-0000-000007DC0000}"/>
    <cellStyle name="Normal 9 7 3 2 2 2 3" xfId="61482" xr:uid="{00000000-0005-0000-0000-000008DC0000}"/>
    <cellStyle name="Normal 9 7 3 2 2 3" xfId="40870" xr:uid="{00000000-0005-0000-0000-000009DC0000}"/>
    <cellStyle name="Normal 9 7 3 2 2 3 2" xfId="61483" xr:uid="{00000000-0005-0000-0000-00000ADC0000}"/>
    <cellStyle name="Normal 9 7 3 2 2 4" xfId="40871" xr:uid="{00000000-0005-0000-0000-00000BDC0000}"/>
    <cellStyle name="Normal 9 7 3 2 2 5" xfId="40872" xr:uid="{00000000-0005-0000-0000-00000CDC0000}"/>
    <cellStyle name="Normal 9 7 3 2 2 6" xfId="40873" xr:uid="{00000000-0005-0000-0000-00000DDC0000}"/>
    <cellStyle name="Normal 9 7 3 2 3" xfId="40874" xr:uid="{00000000-0005-0000-0000-00000EDC0000}"/>
    <cellStyle name="Normal 9 7 3 2 3 2" xfId="61484" xr:uid="{00000000-0005-0000-0000-00000FDC0000}"/>
    <cellStyle name="Normal 9 7 3 2 3 3" xfId="61485" xr:uid="{00000000-0005-0000-0000-000010DC0000}"/>
    <cellStyle name="Normal 9 7 3 2 4" xfId="40875" xr:uid="{00000000-0005-0000-0000-000011DC0000}"/>
    <cellStyle name="Normal 9 7 3 2 4 2" xfId="61486" xr:uid="{00000000-0005-0000-0000-000012DC0000}"/>
    <cellStyle name="Normal 9 7 3 2 5" xfId="40876" xr:uid="{00000000-0005-0000-0000-000013DC0000}"/>
    <cellStyle name="Normal 9 7 3 2 6" xfId="40877" xr:uid="{00000000-0005-0000-0000-000014DC0000}"/>
    <cellStyle name="Normal 9 7 3 2 7" xfId="40878" xr:uid="{00000000-0005-0000-0000-000015DC0000}"/>
    <cellStyle name="Normal 9 7 3 3" xfId="40879" xr:uid="{00000000-0005-0000-0000-000016DC0000}"/>
    <cellStyle name="Normal 9 7 3 3 2" xfId="40880" xr:uid="{00000000-0005-0000-0000-000017DC0000}"/>
    <cellStyle name="Normal 9 7 3 3 2 2" xfId="61487" xr:uid="{00000000-0005-0000-0000-000018DC0000}"/>
    <cellStyle name="Normal 9 7 3 3 2 3" xfId="61488" xr:uid="{00000000-0005-0000-0000-000019DC0000}"/>
    <cellStyle name="Normal 9 7 3 3 3" xfId="40881" xr:uid="{00000000-0005-0000-0000-00001ADC0000}"/>
    <cellStyle name="Normal 9 7 3 3 3 2" xfId="61489" xr:uid="{00000000-0005-0000-0000-00001BDC0000}"/>
    <cellStyle name="Normal 9 7 3 3 4" xfId="40882" xr:uid="{00000000-0005-0000-0000-00001CDC0000}"/>
    <cellStyle name="Normal 9 7 3 3 5" xfId="40883" xr:uid="{00000000-0005-0000-0000-00001DDC0000}"/>
    <cellStyle name="Normal 9 7 3 3 6" xfId="40884" xr:uid="{00000000-0005-0000-0000-00001EDC0000}"/>
    <cellStyle name="Normal 9 7 3 4" xfId="40885" xr:uid="{00000000-0005-0000-0000-00001FDC0000}"/>
    <cellStyle name="Normal 9 7 3 4 2" xfId="61490" xr:uid="{00000000-0005-0000-0000-000020DC0000}"/>
    <cellStyle name="Normal 9 7 3 4 3" xfId="61491" xr:uid="{00000000-0005-0000-0000-000021DC0000}"/>
    <cellStyle name="Normal 9 7 3 5" xfId="40886" xr:uid="{00000000-0005-0000-0000-000022DC0000}"/>
    <cellStyle name="Normal 9 7 3 5 2" xfId="61492" xr:uid="{00000000-0005-0000-0000-000023DC0000}"/>
    <cellStyle name="Normal 9 7 3 6" xfId="40887" xr:uid="{00000000-0005-0000-0000-000024DC0000}"/>
    <cellStyle name="Normal 9 7 3 7" xfId="40888" xr:uid="{00000000-0005-0000-0000-000025DC0000}"/>
    <cellStyle name="Normal 9 7 3 8" xfId="40889" xr:uid="{00000000-0005-0000-0000-000026DC0000}"/>
    <cellStyle name="Normal 9 7 4" xfId="40890" xr:uid="{00000000-0005-0000-0000-000027DC0000}"/>
    <cellStyle name="Normal 9 7 4 2" xfId="40891" xr:uid="{00000000-0005-0000-0000-000028DC0000}"/>
    <cellStyle name="Normal 9 7 4 2 2" xfId="40892" xr:uid="{00000000-0005-0000-0000-000029DC0000}"/>
    <cellStyle name="Normal 9 7 4 2 2 2" xfId="61493" xr:uid="{00000000-0005-0000-0000-00002ADC0000}"/>
    <cellStyle name="Normal 9 7 4 2 2 3" xfId="61494" xr:uid="{00000000-0005-0000-0000-00002BDC0000}"/>
    <cellStyle name="Normal 9 7 4 2 3" xfId="40893" xr:uid="{00000000-0005-0000-0000-00002CDC0000}"/>
    <cellStyle name="Normal 9 7 4 2 3 2" xfId="61495" xr:uid="{00000000-0005-0000-0000-00002DDC0000}"/>
    <cellStyle name="Normal 9 7 4 2 4" xfId="40894" xr:uid="{00000000-0005-0000-0000-00002EDC0000}"/>
    <cellStyle name="Normal 9 7 4 2 5" xfId="40895" xr:uid="{00000000-0005-0000-0000-00002FDC0000}"/>
    <cellStyle name="Normal 9 7 4 2 6" xfId="40896" xr:uid="{00000000-0005-0000-0000-000030DC0000}"/>
    <cellStyle name="Normal 9 7 4 3" xfId="40897" xr:uid="{00000000-0005-0000-0000-000031DC0000}"/>
    <cellStyle name="Normal 9 7 4 3 2" xfId="61496" xr:uid="{00000000-0005-0000-0000-000032DC0000}"/>
    <cellStyle name="Normal 9 7 4 3 3" xfId="61497" xr:uid="{00000000-0005-0000-0000-000033DC0000}"/>
    <cellStyle name="Normal 9 7 4 4" xfId="40898" xr:uid="{00000000-0005-0000-0000-000034DC0000}"/>
    <cellStyle name="Normal 9 7 4 4 2" xfId="61498" xr:uid="{00000000-0005-0000-0000-000035DC0000}"/>
    <cellStyle name="Normal 9 7 4 5" xfId="40899" xr:uid="{00000000-0005-0000-0000-000036DC0000}"/>
    <cellStyle name="Normal 9 7 4 6" xfId="40900" xr:uid="{00000000-0005-0000-0000-000037DC0000}"/>
    <cellStyle name="Normal 9 7 4 7" xfId="40901" xr:uid="{00000000-0005-0000-0000-000038DC0000}"/>
    <cellStyle name="Normal 9 7 5" xfId="40902" xr:uid="{00000000-0005-0000-0000-000039DC0000}"/>
    <cellStyle name="Normal 9 7 5 2" xfId="40903" xr:uid="{00000000-0005-0000-0000-00003ADC0000}"/>
    <cellStyle name="Normal 9 7 5 2 2" xfId="61499" xr:uid="{00000000-0005-0000-0000-00003BDC0000}"/>
    <cellStyle name="Normal 9 7 5 2 3" xfId="61500" xr:uid="{00000000-0005-0000-0000-00003CDC0000}"/>
    <cellStyle name="Normal 9 7 5 3" xfId="40904" xr:uid="{00000000-0005-0000-0000-00003DDC0000}"/>
    <cellStyle name="Normal 9 7 5 3 2" xfId="61501" xr:uid="{00000000-0005-0000-0000-00003EDC0000}"/>
    <cellStyle name="Normal 9 7 5 4" xfId="40905" xr:uid="{00000000-0005-0000-0000-00003FDC0000}"/>
    <cellStyle name="Normal 9 7 5 5" xfId="40906" xr:uid="{00000000-0005-0000-0000-000040DC0000}"/>
    <cellStyle name="Normal 9 7 5 6" xfId="40907" xr:uid="{00000000-0005-0000-0000-000041DC0000}"/>
    <cellStyle name="Normal 9 7 6" xfId="40908" xr:uid="{00000000-0005-0000-0000-000042DC0000}"/>
    <cellStyle name="Normal 9 7 6 2" xfId="61502" xr:uid="{00000000-0005-0000-0000-000043DC0000}"/>
    <cellStyle name="Normal 9 7 6 3" xfId="61503" xr:uid="{00000000-0005-0000-0000-000044DC0000}"/>
    <cellStyle name="Normal 9 7 7" xfId="40909" xr:uid="{00000000-0005-0000-0000-000045DC0000}"/>
    <cellStyle name="Normal 9 7 7 2" xfId="61504" xr:uid="{00000000-0005-0000-0000-000046DC0000}"/>
    <cellStyle name="Normal 9 7 8" xfId="40910" xr:uid="{00000000-0005-0000-0000-000047DC0000}"/>
    <cellStyle name="Normal 9 7 9" xfId="40911" xr:uid="{00000000-0005-0000-0000-000048DC0000}"/>
    <cellStyle name="Normal 9 8" xfId="40912" xr:uid="{00000000-0005-0000-0000-000049DC0000}"/>
    <cellStyle name="Normal 9 8 10" xfId="40913" xr:uid="{00000000-0005-0000-0000-00004ADC0000}"/>
    <cellStyle name="Normal 9 8 11" xfId="40914" xr:uid="{00000000-0005-0000-0000-00004BDC0000}"/>
    <cellStyle name="Normal 9 8 12" xfId="40915" xr:uid="{00000000-0005-0000-0000-00004CDC0000}"/>
    <cellStyle name="Normal 9 8 13" xfId="40916" xr:uid="{00000000-0005-0000-0000-00004DDC0000}"/>
    <cellStyle name="Normal 9 8 2" xfId="40917" xr:uid="{00000000-0005-0000-0000-00004EDC0000}"/>
    <cellStyle name="Normal 9 8 2 2" xfId="40918" xr:uid="{00000000-0005-0000-0000-00004FDC0000}"/>
    <cellStyle name="Normal 9 8 2 2 2" xfId="40919" xr:uid="{00000000-0005-0000-0000-000050DC0000}"/>
    <cellStyle name="Normal 9 8 2 2 2 2" xfId="40920" xr:uid="{00000000-0005-0000-0000-000051DC0000}"/>
    <cellStyle name="Normal 9 8 2 2 2 2 2" xfId="61505" xr:uid="{00000000-0005-0000-0000-000052DC0000}"/>
    <cellStyle name="Normal 9 8 2 2 2 2 3" xfId="61506" xr:uid="{00000000-0005-0000-0000-000053DC0000}"/>
    <cellStyle name="Normal 9 8 2 2 2 3" xfId="40921" xr:uid="{00000000-0005-0000-0000-000054DC0000}"/>
    <cellStyle name="Normal 9 8 2 2 2 3 2" xfId="61507" xr:uid="{00000000-0005-0000-0000-000055DC0000}"/>
    <cellStyle name="Normal 9 8 2 2 2 4" xfId="40922" xr:uid="{00000000-0005-0000-0000-000056DC0000}"/>
    <cellStyle name="Normal 9 8 2 2 2 5" xfId="40923" xr:uid="{00000000-0005-0000-0000-000057DC0000}"/>
    <cellStyle name="Normal 9 8 2 2 2 6" xfId="40924" xr:uid="{00000000-0005-0000-0000-000058DC0000}"/>
    <cellStyle name="Normal 9 8 2 2 3" xfId="40925" xr:uid="{00000000-0005-0000-0000-000059DC0000}"/>
    <cellStyle name="Normal 9 8 2 2 3 2" xfId="61508" xr:uid="{00000000-0005-0000-0000-00005ADC0000}"/>
    <cellStyle name="Normal 9 8 2 2 3 3" xfId="61509" xr:uid="{00000000-0005-0000-0000-00005BDC0000}"/>
    <cellStyle name="Normal 9 8 2 2 4" xfId="40926" xr:uid="{00000000-0005-0000-0000-00005CDC0000}"/>
    <cellStyle name="Normal 9 8 2 2 4 2" xfId="61510" xr:uid="{00000000-0005-0000-0000-00005DDC0000}"/>
    <cellStyle name="Normal 9 8 2 2 5" xfId="40927" xr:uid="{00000000-0005-0000-0000-00005EDC0000}"/>
    <cellStyle name="Normal 9 8 2 2 6" xfId="40928" xr:uid="{00000000-0005-0000-0000-00005FDC0000}"/>
    <cellStyle name="Normal 9 8 2 2 7" xfId="40929" xr:uid="{00000000-0005-0000-0000-000060DC0000}"/>
    <cellStyle name="Normal 9 8 2 3" xfId="40930" xr:uid="{00000000-0005-0000-0000-000061DC0000}"/>
    <cellStyle name="Normal 9 8 2 3 2" xfId="40931" xr:uid="{00000000-0005-0000-0000-000062DC0000}"/>
    <cellStyle name="Normal 9 8 2 3 2 2" xfId="61511" xr:uid="{00000000-0005-0000-0000-000063DC0000}"/>
    <cellStyle name="Normal 9 8 2 3 2 3" xfId="61512" xr:uid="{00000000-0005-0000-0000-000064DC0000}"/>
    <cellStyle name="Normal 9 8 2 3 3" xfId="40932" xr:uid="{00000000-0005-0000-0000-000065DC0000}"/>
    <cellStyle name="Normal 9 8 2 3 3 2" xfId="61513" xr:uid="{00000000-0005-0000-0000-000066DC0000}"/>
    <cellStyle name="Normal 9 8 2 3 4" xfId="40933" xr:uid="{00000000-0005-0000-0000-000067DC0000}"/>
    <cellStyle name="Normal 9 8 2 3 5" xfId="40934" xr:uid="{00000000-0005-0000-0000-000068DC0000}"/>
    <cellStyle name="Normal 9 8 2 3 6" xfId="40935" xr:uid="{00000000-0005-0000-0000-000069DC0000}"/>
    <cellStyle name="Normal 9 8 2 4" xfId="40936" xr:uid="{00000000-0005-0000-0000-00006ADC0000}"/>
    <cellStyle name="Normal 9 8 2 4 2" xfId="61514" xr:uid="{00000000-0005-0000-0000-00006BDC0000}"/>
    <cellStyle name="Normal 9 8 2 4 3" xfId="61515" xr:uid="{00000000-0005-0000-0000-00006CDC0000}"/>
    <cellStyle name="Normal 9 8 2 5" xfId="40937" xr:uid="{00000000-0005-0000-0000-00006DDC0000}"/>
    <cellStyle name="Normal 9 8 2 5 2" xfId="61516" xr:uid="{00000000-0005-0000-0000-00006EDC0000}"/>
    <cellStyle name="Normal 9 8 2 6" xfId="40938" xr:uid="{00000000-0005-0000-0000-00006FDC0000}"/>
    <cellStyle name="Normal 9 8 2 7" xfId="40939" xr:uid="{00000000-0005-0000-0000-000070DC0000}"/>
    <cellStyle name="Normal 9 8 2 8" xfId="40940" xr:uid="{00000000-0005-0000-0000-000071DC0000}"/>
    <cellStyle name="Normal 9 8 2 9" xfId="40941" xr:uid="{00000000-0005-0000-0000-000072DC0000}"/>
    <cellStyle name="Normal 9 8 3" xfId="40942" xr:uid="{00000000-0005-0000-0000-000073DC0000}"/>
    <cellStyle name="Normal 9 8 3 2" xfId="40943" xr:uid="{00000000-0005-0000-0000-000074DC0000}"/>
    <cellStyle name="Normal 9 8 3 2 2" xfId="40944" xr:uid="{00000000-0005-0000-0000-000075DC0000}"/>
    <cellStyle name="Normal 9 8 3 2 2 2" xfId="61517" xr:uid="{00000000-0005-0000-0000-000076DC0000}"/>
    <cellStyle name="Normal 9 8 3 2 2 3" xfId="61518" xr:uid="{00000000-0005-0000-0000-000077DC0000}"/>
    <cellStyle name="Normal 9 8 3 2 3" xfId="40945" xr:uid="{00000000-0005-0000-0000-000078DC0000}"/>
    <cellStyle name="Normal 9 8 3 2 3 2" xfId="61519" xr:uid="{00000000-0005-0000-0000-000079DC0000}"/>
    <cellStyle name="Normal 9 8 3 2 4" xfId="40946" xr:uid="{00000000-0005-0000-0000-00007ADC0000}"/>
    <cellStyle name="Normal 9 8 3 2 5" xfId="40947" xr:uid="{00000000-0005-0000-0000-00007BDC0000}"/>
    <cellStyle name="Normal 9 8 3 2 6" xfId="40948" xr:uid="{00000000-0005-0000-0000-00007CDC0000}"/>
    <cellStyle name="Normal 9 8 3 3" xfId="40949" xr:uid="{00000000-0005-0000-0000-00007DDC0000}"/>
    <cellStyle name="Normal 9 8 3 3 2" xfId="61520" xr:uid="{00000000-0005-0000-0000-00007EDC0000}"/>
    <cellStyle name="Normal 9 8 3 3 3" xfId="61521" xr:uid="{00000000-0005-0000-0000-00007FDC0000}"/>
    <cellStyle name="Normal 9 8 3 4" xfId="40950" xr:uid="{00000000-0005-0000-0000-000080DC0000}"/>
    <cellStyle name="Normal 9 8 3 4 2" xfId="61522" xr:uid="{00000000-0005-0000-0000-000081DC0000}"/>
    <cellStyle name="Normal 9 8 3 5" xfId="40951" xr:uid="{00000000-0005-0000-0000-000082DC0000}"/>
    <cellStyle name="Normal 9 8 3 6" xfId="40952" xr:uid="{00000000-0005-0000-0000-000083DC0000}"/>
    <cellStyle name="Normal 9 8 3 7" xfId="40953" xr:uid="{00000000-0005-0000-0000-000084DC0000}"/>
    <cellStyle name="Normal 9 8 4" xfId="40954" xr:uid="{00000000-0005-0000-0000-000085DC0000}"/>
    <cellStyle name="Normal 9 8 4 2" xfId="40955" xr:uid="{00000000-0005-0000-0000-000086DC0000}"/>
    <cellStyle name="Normal 9 8 4 2 2" xfId="61523" xr:uid="{00000000-0005-0000-0000-000087DC0000}"/>
    <cellStyle name="Normal 9 8 4 2 3" xfId="61524" xr:uid="{00000000-0005-0000-0000-000088DC0000}"/>
    <cellStyle name="Normal 9 8 4 3" xfId="40956" xr:uid="{00000000-0005-0000-0000-000089DC0000}"/>
    <cellStyle name="Normal 9 8 4 3 2" xfId="61525" xr:uid="{00000000-0005-0000-0000-00008ADC0000}"/>
    <cellStyle name="Normal 9 8 4 4" xfId="40957" xr:uid="{00000000-0005-0000-0000-00008BDC0000}"/>
    <cellStyle name="Normal 9 8 4 5" xfId="40958" xr:uid="{00000000-0005-0000-0000-00008CDC0000}"/>
    <cellStyle name="Normal 9 8 4 6" xfId="40959" xr:uid="{00000000-0005-0000-0000-00008DDC0000}"/>
    <cellStyle name="Normal 9 8 5" xfId="40960" xr:uid="{00000000-0005-0000-0000-00008EDC0000}"/>
    <cellStyle name="Normal 9 8 5 2" xfId="61526" xr:uid="{00000000-0005-0000-0000-00008FDC0000}"/>
    <cellStyle name="Normal 9 8 5 3" xfId="61527" xr:uid="{00000000-0005-0000-0000-000090DC0000}"/>
    <cellStyle name="Normal 9 8 6" xfId="40961" xr:uid="{00000000-0005-0000-0000-000091DC0000}"/>
    <cellStyle name="Normal 9 8 6 2" xfId="61528" xr:uid="{00000000-0005-0000-0000-000092DC0000}"/>
    <cellStyle name="Normal 9 8 7" xfId="40962" xr:uid="{00000000-0005-0000-0000-000093DC0000}"/>
    <cellStyle name="Normal 9 8 8" xfId="40963" xr:uid="{00000000-0005-0000-0000-000094DC0000}"/>
    <cellStyle name="Normal 9 8 9" xfId="40964" xr:uid="{00000000-0005-0000-0000-000095DC0000}"/>
    <cellStyle name="Normal 9 9" xfId="40965" xr:uid="{00000000-0005-0000-0000-000096DC0000}"/>
    <cellStyle name="Normal 9 9 2" xfId="40966" xr:uid="{00000000-0005-0000-0000-000097DC0000}"/>
    <cellStyle name="Normal 9 9 2 2" xfId="40967" xr:uid="{00000000-0005-0000-0000-000098DC0000}"/>
    <cellStyle name="Normal 9 9 2 2 2" xfId="40968" xr:uid="{00000000-0005-0000-0000-000099DC0000}"/>
    <cellStyle name="Normal 9 9 2 2 2 2" xfId="61529" xr:uid="{00000000-0005-0000-0000-00009ADC0000}"/>
    <cellStyle name="Normal 9 9 2 2 2 3" xfId="61530" xr:uid="{00000000-0005-0000-0000-00009BDC0000}"/>
    <cellStyle name="Normal 9 9 2 2 3" xfId="40969" xr:uid="{00000000-0005-0000-0000-00009CDC0000}"/>
    <cellStyle name="Normal 9 9 2 2 3 2" xfId="61531" xr:uid="{00000000-0005-0000-0000-00009DDC0000}"/>
    <cellStyle name="Normal 9 9 2 2 4" xfId="40970" xr:uid="{00000000-0005-0000-0000-00009EDC0000}"/>
    <cellStyle name="Normal 9 9 2 2 5" xfId="40971" xr:uid="{00000000-0005-0000-0000-00009FDC0000}"/>
    <cellStyle name="Normal 9 9 2 2 6" xfId="40972" xr:uid="{00000000-0005-0000-0000-0000A0DC0000}"/>
    <cellStyle name="Normal 9 9 2 3" xfId="40973" xr:uid="{00000000-0005-0000-0000-0000A1DC0000}"/>
    <cellStyle name="Normal 9 9 2 3 2" xfId="61532" xr:uid="{00000000-0005-0000-0000-0000A2DC0000}"/>
    <cellStyle name="Normal 9 9 2 3 3" xfId="61533" xr:uid="{00000000-0005-0000-0000-0000A3DC0000}"/>
    <cellStyle name="Normal 9 9 2 4" xfId="40974" xr:uid="{00000000-0005-0000-0000-0000A4DC0000}"/>
    <cellStyle name="Normal 9 9 2 4 2" xfId="61534" xr:uid="{00000000-0005-0000-0000-0000A5DC0000}"/>
    <cellStyle name="Normal 9 9 2 5" xfId="40975" xr:uid="{00000000-0005-0000-0000-0000A6DC0000}"/>
    <cellStyle name="Normal 9 9 2 6" xfId="40976" xr:uid="{00000000-0005-0000-0000-0000A7DC0000}"/>
    <cellStyle name="Normal 9 9 2 7" xfId="40977" xr:uid="{00000000-0005-0000-0000-0000A8DC0000}"/>
    <cellStyle name="Normal 9 9 3" xfId="40978" xr:uid="{00000000-0005-0000-0000-0000A9DC0000}"/>
    <cellStyle name="Normal 9 9 3 2" xfId="40979" xr:uid="{00000000-0005-0000-0000-0000AADC0000}"/>
    <cellStyle name="Normal 9 9 3 2 2" xfId="61535" xr:uid="{00000000-0005-0000-0000-0000ABDC0000}"/>
    <cellStyle name="Normal 9 9 3 2 3" xfId="61536" xr:uid="{00000000-0005-0000-0000-0000ACDC0000}"/>
    <cellStyle name="Normal 9 9 3 3" xfId="40980" xr:uid="{00000000-0005-0000-0000-0000ADDC0000}"/>
    <cellStyle name="Normal 9 9 3 3 2" xfId="61537" xr:uid="{00000000-0005-0000-0000-0000AEDC0000}"/>
    <cellStyle name="Normal 9 9 3 4" xfId="40981" xr:uid="{00000000-0005-0000-0000-0000AFDC0000}"/>
    <cellStyle name="Normal 9 9 3 5" xfId="40982" xr:uid="{00000000-0005-0000-0000-0000B0DC0000}"/>
    <cellStyle name="Normal 9 9 3 6" xfId="40983" xr:uid="{00000000-0005-0000-0000-0000B1DC0000}"/>
    <cellStyle name="Normal 9 9 4" xfId="40984" xr:uid="{00000000-0005-0000-0000-0000B2DC0000}"/>
    <cellStyle name="Normal 9 9 4 2" xfId="61538" xr:uid="{00000000-0005-0000-0000-0000B3DC0000}"/>
    <cellStyle name="Normal 9 9 4 3" xfId="61539" xr:uid="{00000000-0005-0000-0000-0000B4DC0000}"/>
    <cellStyle name="Normal 9 9 5" xfId="40985" xr:uid="{00000000-0005-0000-0000-0000B5DC0000}"/>
    <cellStyle name="Normal 9 9 5 2" xfId="61540" xr:uid="{00000000-0005-0000-0000-0000B6DC0000}"/>
    <cellStyle name="Normal 9 9 6" xfId="40986" xr:uid="{00000000-0005-0000-0000-0000B7DC0000}"/>
    <cellStyle name="Normal 9 9 7" xfId="40987" xr:uid="{00000000-0005-0000-0000-0000B8DC0000}"/>
    <cellStyle name="Normal 9 9 8" xfId="40988" xr:uid="{00000000-0005-0000-0000-0000B9DC0000}"/>
    <cellStyle name="Normal 9 9 9" xfId="40989" xr:uid="{00000000-0005-0000-0000-0000BADC0000}"/>
    <cellStyle name="Normal 9_Sheet2" xfId="40990" xr:uid="{00000000-0005-0000-0000-0000BBDC0000}"/>
    <cellStyle name="Normal 90" xfId="40991" xr:uid="{00000000-0005-0000-0000-0000BCDC0000}"/>
    <cellStyle name="Normal 90 10" xfId="40992" xr:uid="{00000000-0005-0000-0000-0000BDDC0000}"/>
    <cellStyle name="Normal 90 10 2" xfId="40993" xr:uid="{00000000-0005-0000-0000-0000BEDC0000}"/>
    <cellStyle name="Normal 90 11" xfId="40994" xr:uid="{00000000-0005-0000-0000-0000BFDC0000}"/>
    <cellStyle name="Normal 90 11 2" xfId="40995" xr:uid="{00000000-0005-0000-0000-0000C0DC0000}"/>
    <cellStyle name="Normal 90 12" xfId="40996" xr:uid="{00000000-0005-0000-0000-0000C1DC0000}"/>
    <cellStyle name="Normal 90 13" xfId="40997" xr:uid="{00000000-0005-0000-0000-0000C2DC0000}"/>
    <cellStyle name="Normal 90 2" xfId="40998" xr:uid="{00000000-0005-0000-0000-0000C3DC0000}"/>
    <cellStyle name="Normal 90 2 10" xfId="40999" xr:uid="{00000000-0005-0000-0000-0000C4DC0000}"/>
    <cellStyle name="Normal 90 2 10 2" xfId="41000" xr:uid="{00000000-0005-0000-0000-0000C5DC0000}"/>
    <cellStyle name="Normal 90 2 11" xfId="41001" xr:uid="{00000000-0005-0000-0000-0000C6DC0000}"/>
    <cellStyle name="Normal 90 2 2" xfId="41002" xr:uid="{00000000-0005-0000-0000-0000C7DC0000}"/>
    <cellStyle name="Normal 90 2 2 2" xfId="41003" xr:uid="{00000000-0005-0000-0000-0000C8DC0000}"/>
    <cellStyle name="Normal 90 2 2 2 2" xfId="41004" xr:uid="{00000000-0005-0000-0000-0000C9DC0000}"/>
    <cellStyle name="Normal 90 2 2 2 2 2" xfId="41005" xr:uid="{00000000-0005-0000-0000-0000CADC0000}"/>
    <cellStyle name="Normal 90 2 2 2 3" xfId="41006" xr:uid="{00000000-0005-0000-0000-0000CBDC0000}"/>
    <cellStyle name="Normal 90 2 2 2 3 2" xfId="41007" xr:uid="{00000000-0005-0000-0000-0000CCDC0000}"/>
    <cellStyle name="Normal 90 2 2 2 4" xfId="41008" xr:uid="{00000000-0005-0000-0000-0000CDDC0000}"/>
    <cellStyle name="Normal 90 2 2 3" xfId="41009" xr:uid="{00000000-0005-0000-0000-0000CEDC0000}"/>
    <cellStyle name="Normal 90 2 2 3 2" xfId="41010" xr:uid="{00000000-0005-0000-0000-0000CFDC0000}"/>
    <cellStyle name="Normal 90 2 2 3 2 2" xfId="41011" xr:uid="{00000000-0005-0000-0000-0000D0DC0000}"/>
    <cellStyle name="Normal 90 2 2 3 3" xfId="41012" xr:uid="{00000000-0005-0000-0000-0000D1DC0000}"/>
    <cellStyle name="Normal 90 2 2 3 3 2" xfId="41013" xr:uid="{00000000-0005-0000-0000-0000D2DC0000}"/>
    <cellStyle name="Normal 90 2 2 3 4" xfId="41014" xr:uid="{00000000-0005-0000-0000-0000D3DC0000}"/>
    <cellStyle name="Normal 90 2 2 4" xfId="41015" xr:uid="{00000000-0005-0000-0000-0000D4DC0000}"/>
    <cellStyle name="Normal 90 2 2 4 2" xfId="41016" xr:uid="{00000000-0005-0000-0000-0000D5DC0000}"/>
    <cellStyle name="Normal 90 2 2 5" xfId="41017" xr:uid="{00000000-0005-0000-0000-0000D6DC0000}"/>
    <cellStyle name="Normal 90 2 2 5 2" xfId="41018" xr:uid="{00000000-0005-0000-0000-0000D7DC0000}"/>
    <cellStyle name="Normal 90 2 2 6" xfId="41019" xr:uid="{00000000-0005-0000-0000-0000D8DC0000}"/>
    <cellStyle name="Normal 90 2 3" xfId="41020" xr:uid="{00000000-0005-0000-0000-0000D9DC0000}"/>
    <cellStyle name="Normal 90 2 3 2" xfId="41021" xr:uid="{00000000-0005-0000-0000-0000DADC0000}"/>
    <cellStyle name="Normal 90 2 3 2 2" xfId="41022" xr:uid="{00000000-0005-0000-0000-0000DBDC0000}"/>
    <cellStyle name="Normal 90 2 3 3" xfId="41023" xr:uid="{00000000-0005-0000-0000-0000DCDC0000}"/>
    <cellStyle name="Normal 90 2 3 3 2" xfId="41024" xr:uid="{00000000-0005-0000-0000-0000DDDC0000}"/>
    <cellStyle name="Normal 90 2 3 4" xfId="41025" xr:uid="{00000000-0005-0000-0000-0000DEDC0000}"/>
    <cellStyle name="Normal 90 2 4" xfId="41026" xr:uid="{00000000-0005-0000-0000-0000DFDC0000}"/>
    <cellStyle name="Normal 90 2 4 2" xfId="41027" xr:uid="{00000000-0005-0000-0000-0000E0DC0000}"/>
    <cellStyle name="Normal 90 2 4 2 2" xfId="41028" xr:uid="{00000000-0005-0000-0000-0000E1DC0000}"/>
    <cellStyle name="Normal 90 2 4 3" xfId="41029" xr:uid="{00000000-0005-0000-0000-0000E2DC0000}"/>
    <cellStyle name="Normal 90 2 4 3 2" xfId="41030" xr:uid="{00000000-0005-0000-0000-0000E3DC0000}"/>
    <cellStyle name="Normal 90 2 4 4" xfId="41031" xr:uid="{00000000-0005-0000-0000-0000E4DC0000}"/>
    <cellStyle name="Normal 90 2 5" xfId="41032" xr:uid="{00000000-0005-0000-0000-0000E5DC0000}"/>
    <cellStyle name="Normal 90 2 5 2" xfId="41033" xr:uid="{00000000-0005-0000-0000-0000E6DC0000}"/>
    <cellStyle name="Normal 90 2 5 2 2" xfId="41034" xr:uid="{00000000-0005-0000-0000-0000E7DC0000}"/>
    <cellStyle name="Normal 90 2 5 3" xfId="41035" xr:uid="{00000000-0005-0000-0000-0000E8DC0000}"/>
    <cellStyle name="Normal 90 2 5 3 2" xfId="41036" xr:uid="{00000000-0005-0000-0000-0000E9DC0000}"/>
    <cellStyle name="Normal 90 2 5 4" xfId="41037" xr:uid="{00000000-0005-0000-0000-0000EADC0000}"/>
    <cellStyle name="Normal 90 2 6" xfId="41038" xr:uid="{00000000-0005-0000-0000-0000EBDC0000}"/>
    <cellStyle name="Normal 90 2 6 2" xfId="41039" xr:uid="{00000000-0005-0000-0000-0000ECDC0000}"/>
    <cellStyle name="Normal 90 2 6 2 2" xfId="41040" xr:uid="{00000000-0005-0000-0000-0000EDDC0000}"/>
    <cellStyle name="Normal 90 2 6 3" xfId="41041" xr:uid="{00000000-0005-0000-0000-0000EEDC0000}"/>
    <cellStyle name="Normal 90 2 6 3 2" xfId="41042" xr:uid="{00000000-0005-0000-0000-0000EFDC0000}"/>
    <cellStyle name="Normal 90 2 6 4" xfId="41043" xr:uid="{00000000-0005-0000-0000-0000F0DC0000}"/>
    <cellStyle name="Normal 90 2 7" xfId="41044" xr:uid="{00000000-0005-0000-0000-0000F1DC0000}"/>
    <cellStyle name="Normal 90 2 7 2" xfId="41045" xr:uid="{00000000-0005-0000-0000-0000F2DC0000}"/>
    <cellStyle name="Normal 90 2 7 2 2" xfId="41046" xr:uid="{00000000-0005-0000-0000-0000F3DC0000}"/>
    <cellStyle name="Normal 90 2 7 3" xfId="41047" xr:uid="{00000000-0005-0000-0000-0000F4DC0000}"/>
    <cellStyle name="Normal 90 2 7 3 2" xfId="41048" xr:uid="{00000000-0005-0000-0000-0000F5DC0000}"/>
    <cellStyle name="Normal 90 2 7 4" xfId="41049" xr:uid="{00000000-0005-0000-0000-0000F6DC0000}"/>
    <cellStyle name="Normal 90 2 8" xfId="41050" xr:uid="{00000000-0005-0000-0000-0000F7DC0000}"/>
    <cellStyle name="Normal 90 2 8 2" xfId="41051" xr:uid="{00000000-0005-0000-0000-0000F8DC0000}"/>
    <cellStyle name="Normal 90 2 8 2 2" xfId="41052" xr:uid="{00000000-0005-0000-0000-0000F9DC0000}"/>
    <cellStyle name="Normal 90 2 8 3" xfId="41053" xr:uid="{00000000-0005-0000-0000-0000FADC0000}"/>
    <cellStyle name="Normal 90 2 9" xfId="41054" xr:uid="{00000000-0005-0000-0000-0000FBDC0000}"/>
    <cellStyle name="Normal 90 2 9 2" xfId="41055" xr:uid="{00000000-0005-0000-0000-0000FCDC0000}"/>
    <cellStyle name="Normal 90 3" xfId="41056" xr:uid="{00000000-0005-0000-0000-0000FDDC0000}"/>
    <cellStyle name="Normal 90 3 2" xfId="41057" xr:uid="{00000000-0005-0000-0000-0000FEDC0000}"/>
    <cellStyle name="Normal 90 3 2 2" xfId="41058" xr:uid="{00000000-0005-0000-0000-0000FFDC0000}"/>
    <cellStyle name="Normal 90 3 2 2 2" xfId="41059" xr:uid="{00000000-0005-0000-0000-000000DD0000}"/>
    <cellStyle name="Normal 90 3 2 3" xfId="41060" xr:uid="{00000000-0005-0000-0000-000001DD0000}"/>
    <cellStyle name="Normal 90 3 2 3 2" xfId="41061" xr:uid="{00000000-0005-0000-0000-000002DD0000}"/>
    <cellStyle name="Normal 90 3 2 4" xfId="41062" xr:uid="{00000000-0005-0000-0000-000003DD0000}"/>
    <cellStyle name="Normal 90 3 3" xfId="41063" xr:uid="{00000000-0005-0000-0000-000004DD0000}"/>
    <cellStyle name="Normal 90 3 3 2" xfId="41064" xr:uid="{00000000-0005-0000-0000-000005DD0000}"/>
    <cellStyle name="Normal 90 3 3 2 2" xfId="41065" xr:uid="{00000000-0005-0000-0000-000006DD0000}"/>
    <cellStyle name="Normal 90 3 3 3" xfId="41066" xr:uid="{00000000-0005-0000-0000-000007DD0000}"/>
    <cellStyle name="Normal 90 3 3 3 2" xfId="41067" xr:uid="{00000000-0005-0000-0000-000008DD0000}"/>
    <cellStyle name="Normal 90 3 3 4" xfId="41068" xr:uid="{00000000-0005-0000-0000-000009DD0000}"/>
    <cellStyle name="Normal 90 3 4" xfId="41069" xr:uid="{00000000-0005-0000-0000-00000ADD0000}"/>
    <cellStyle name="Normal 90 3 4 2" xfId="41070" xr:uid="{00000000-0005-0000-0000-00000BDD0000}"/>
    <cellStyle name="Normal 90 3 5" xfId="41071" xr:uid="{00000000-0005-0000-0000-00000CDD0000}"/>
    <cellStyle name="Normal 90 3 5 2" xfId="41072" xr:uid="{00000000-0005-0000-0000-00000DDD0000}"/>
    <cellStyle name="Normal 90 3 6" xfId="41073" xr:uid="{00000000-0005-0000-0000-00000EDD0000}"/>
    <cellStyle name="Normal 90 4" xfId="41074" xr:uid="{00000000-0005-0000-0000-00000FDD0000}"/>
    <cellStyle name="Normal 90 4 2" xfId="41075" xr:uid="{00000000-0005-0000-0000-000010DD0000}"/>
    <cellStyle name="Normal 90 4 2 2" xfId="41076" xr:uid="{00000000-0005-0000-0000-000011DD0000}"/>
    <cellStyle name="Normal 90 4 3" xfId="41077" xr:uid="{00000000-0005-0000-0000-000012DD0000}"/>
    <cellStyle name="Normal 90 4 3 2" xfId="41078" xr:uid="{00000000-0005-0000-0000-000013DD0000}"/>
    <cellStyle name="Normal 90 4 4" xfId="41079" xr:uid="{00000000-0005-0000-0000-000014DD0000}"/>
    <cellStyle name="Normal 90 5" xfId="41080" xr:uid="{00000000-0005-0000-0000-000015DD0000}"/>
    <cellStyle name="Normal 90 5 2" xfId="41081" xr:uid="{00000000-0005-0000-0000-000016DD0000}"/>
    <cellStyle name="Normal 90 5 2 2" xfId="41082" xr:uid="{00000000-0005-0000-0000-000017DD0000}"/>
    <cellStyle name="Normal 90 5 3" xfId="41083" xr:uid="{00000000-0005-0000-0000-000018DD0000}"/>
    <cellStyle name="Normal 90 5 3 2" xfId="41084" xr:uid="{00000000-0005-0000-0000-000019DD0000}"/>
    <cellStyle name="Normal 90 5 4" xfId="41085" xr:uid="{00000000-0005-0000-0000-00001ADD0000}"/>
    <cellStyle name="Normal 90 6" xfId="41086" xr:uid="{00000000-0005-0000-0000-00001BDD0000}"/>
    <cellStyle name="Normal 90 6 2" xfId="41087" xr:uid="{00000000-0005-0000-0000-00001CDD0000}"/>
    <cellStyle name="Normal 90 6 2 2" xfId="41088" xr:uid="{00000000-0005-0000-0000-00001DDD0000}"/>
    <cellStyle name="Normal 90 6 3" xfId="41089" xr:uid="{00000000-0005-0000-0000-00001EDD0000}"/>
    <cellStyle name="Normal 90 6 3 2" xfId="41090" xr:uid="{00000000-0005-0000-0000-00001FDD0000}"/>
    <cellStyle name="Normal 90 6 4" xfId="41091" xr:uid="{00000000-0005-0000-0000-000020DD0000}"/>
    <cellStyle name="Normal 90 7" xfId="41092" xr:uid="{00000000-0005-0000-0000-000021DD0000}"/>
    <cellStyle name="Normal 90 7 2" xfId="41093" xr:uid="{00000000-0005-0000-0000-000022DD0000}"/>
    <cellStyle name="Normal 90 7 2 2" xfId="41094" xr:uid="{00000000-0005-0000-0000-000023DD0000}"/>
    <cellStyle name="Normal 90 7 3" xfId="41095" xr:uid="{00000000-0005-0000-0000-000024DD0000}"/>
    <cellStyle name="Normal 90 7 3 2" xfId="41096" xr:uid="{00000000-0005-0000-0000-000025DD0000}"/>
    <cellStyle name="Normal 90 7 4" xfId="41097" xr:uid="{00000000-0005-0000-0000-000026DD0000}"/>
    <cellStyle name="Normal 90 8" xfId="41098" xr:uid="{00000000-0005-0000-0000-000027DD0000}"/>
    <cellStyle name="Normal 90 8 2" xfId="41099" xr:uid="{00000000-0005-0000-0000-000028DD0000}"/>
    <cellStyle name="Normal 90 8 2 2" xfId="41100" xr:uid="{00000000-0005-0000-0000-000029DD0000}"/>
    <cellStyle name="Normal 90 8 3" xfId="41101" xr:uid="{00000000-0005-0000-0000-00002ADD0000}"/>
    <cellStyle name="Normal 90 8 3 2" xfId="41102" xr:uid="{00000000-0005-0000-0000-00002BDD0000}"/>
    <cellStyle name="Normal 90 8 4" xfId="41103" xr:uid="{00000000-0005-0000-0000-00002CDD0000}"/>
    <cellStyle name="Normal 90 9" xfId="41104" xr:uid="{00000000-0005-0000-0000-00002DDD0000}"/>
    <cellStyle name="Normal 90 9 2" xfId="41105" xr:uid="{00000000-0005-0000-0000-00002EDD0000}"/>
    <cellStyle name="Normal 90 9 2 2" xfId="41106" xr:uid="{00000000-0005-0000-0000-00002FDD0000}"/>
    <cellStyle name="Normal 90 9 3" xfId="41107" xr:uid="{00000000-0005-0000-0000-000030DD0000}"/>
    <cellStyle name="Normal 91" xfId="41108" xr:uid="{00000000-0005-0000-0000-000031DD0000}"/>
    <cellStyle name="Normal 91 10" xfId="41109" xr:uid="{00000000-0005-0000-0000-000032DD0000}"/>
    <cellStyle name="Normal 91 10 2" xfId="41110" xr:uid="{00000000-0005-0000-0000-000033DD0000}"/>
    <cellStyle name="Normal 91 11" xfId="41111" xr:uid="{00000000-0005-0000-0000-000034DD0000}"/>
    <cellStyle name="Normal 91 11 2" xfId="41112" xr:uid="{00000000-0005-0000-0000-000035DD0000}"/>
    <cellStyle name="Normal 91 12" xfId="41113" xr:uid="{00000000-0005-0000-0000-000036DD0000}"/>
    <cellStyle name="Normal 91 13" xfId="41114" xr:uid="{00000000-0005-0000-0000-000037DD0000}"/>
    <cellStyle name="Normal 91 2" xfId="41115" xr:uid="{00000000-0005-0000-0000-000038DD0000}"/>
    <cellStyle name="Normal 91 2 10" xfId="41116" xr:uid="{00000000-0005-0000-0000-000039DD0000}"/>
    <cellStyle name="Normal 91 2 10 2" xfId="41117" xr:uid="{00000000-0005-0000-0000-00003ADD0000}"/>
    <cellStyle name="Normal 91 2 11" xfId="41118" xr:uid="{00000000-0005-0000-0000-00003BDD0000}"/>
    <cellStyle name="Normal 91 2 2" xfId="41119" xr:uid="{00000000-0005-0000-0000-00003CDD0000}"/>
    <cellStyle name="Normal 91 2 2 2" xfId="41120" xr:uid="{00000000-0005-0000-0000-00003DDD0000}"/>
    <cellStyle name="Normal 91 2 2 2 2" xfId="41121" xr:uid="{00000000-0005-0000-0000-00003EDD0000}"/>
    <cellStyle name="Normal 91 2 2 2 2 2" xfId="41122" xr:uid="{00000000-0005-0000-0000-00003FDD0000}"/>
    <cellStyle name="Normal 91 2 2 2 3" xfId="41123" xr:uid="{00000000-0005-0000-0000-000040DD0000}"/>
    <cellStyle name="Normal 91 2 2 2 3 2" xfId="41124" xr:uid="{00000000-0005-0000-0000-000041DD0000}"/>
    <cellStyle name="Normal 91 2 2 2 4" xfId="41125" xr:uid="{00000000-0005-0000-0000-000042DD0000}"/>
    <cellStyle name="Normal 91 2 2 3" xfId="41126" xr:uid="{00000000-0005-0000-0000-000043DD0000}"/>
    <cellStyle name="Normal 91 2 2 3 2" xfId="41127" xr:uid="{00000000-0005-0000-0000-000044DD0000}"/>
    <cellStyle name="Normal 91 2 2 3 2 2" xfId="41128" xr:uid="{00000000-0005-0000-0000-000045DD0000}"/>
    <cellStyle name="Normal 91 2 2 3 3" xfId="41129" xr:uid="{00000000-0005-0000-0000-000046DD0000}"/>
    <cellStyle name="Normal 91 2 2 3 3 2" xfId="41130" xr:uid="{00000000-0005-0000-0000-000047DD0000}"/>
    <cellStyle name="Normal 91 2 2 3 4" xfId="41131" xr:uid="{00000000-0005-0000-0000-000048DD0000}"/>
    <cellStyle name="Normal 91 2 2 4" xfId="41132" xr:uid="{00000000-0005-0000-0000-000049DD0000}"/>
    <cellStyle name="Normal 91 2 2 4 2" xfId="41133" xr:uid="{00000000-0005-0000-0000-00004ADD0000}"/>
    <cellStyle name="Normal 91 2 2 5" xfId="41134" xr:uid="{00000000-0005-0000-0000-00004BDD0000}"/>
    <cellStyle name="Normal 91 2 2 5 2" xfId="41135" xr:uid="{00000000-0005-0000-0000-00004CDD0000}"/>
    <cellStyle name="Normal 91 2 2 6" xfId="41136" xr:uid="{00000000-0005-0000-0000-00004DDD0000}"/>
    <cellStyle name="Normal 91 2 3" xfId="41137" xr:uid="{00000000-0005-0000-0000-00004EDD0000}"/>
    <cellStyle name="Normal 91 2 3 2" xfId="41138" xr:uid="{00000000-0005-0000-0000-00004FDD0000}"/>
    <cellStyle name="Normal 91 2 3 2 2" xfId="41139" xr:uid="{00000000-0005-0000-0000-000050DD0000}"/>
    <cellStyle name="Normal 91 2 3 3" xfId="41140" xr:uid="{00000000-0005-0000-0000-000051DD0000}"/>
    <cellStyle name="Normal 91 2 3 3 2" xfId="41141" xr:uid="{00000000-0005-0000-0000-000052DD0000}"/>
    <cellStyle name="Normal 91 2 3 4" xfId="41142" xr:uid="{00000000-0005-0000-0000-000053DD0000}"/>
    <cellStyle name="Normal 91 2 4" xfId="41143" xr:uid="{00000000-0005-0000-0000-000054DD0000}"/>
    <cellStyle name="Normal 91 2 4 2" xfId="41144" xr:uid="{00000000-0005-0000-0000-000055DD0000}"/>
    <cellStyle name="Normal 91 2 4 2 2" xfId="41145" xr:uid="{00000000-0005-0000-0000-000056DD0000}"/>
    <cellStyle name="Normal 91 2 4 3" xfId="41146" xr:uid="{00000000-0005-0000-0000-000057DD0000}"/>
    <cellStyle name="Normal 91 2 4 3 2" xfId="41147" xr:uid="{00000000-0005-0000-0000-000058DD0000}"/>
    <cellStyle name="Normal 91 2 4 4" xfId="41148" xr:uid="{00000000-0005-0000-0000-000059DD0000}"/>
    <cellStyle name="Normal 91 2 5" xfId="41149" xr:uid="{00000000-0005-0000-0000-00005ADD0000}"/>
    <cellStyle name="Normal 91 2 5 2" xfId="41150" xr:uid="{00000000-0005-0000-0000-00005BDD0000}"/>
    <cellStyle name="Normal 91 2 5 2 2" xfId="41151" xr:uid="{00000000-0005-0000-0000-00005CDD0000}"/>
    <cellStyle name="Normal 91 2 5 3" xfId="41152" xr:uid="{00000000-0005-0000-0000-00005DDD0000}"/>
    <cellStyle name="Normal 91 2 5 3 2" xfId="41153" xr:uid="{00000000-0005-0000-0000-00005EDD0000}"/>
    <cellStyle name="Normal 91 2 5 4" xfId="41154" xr:uid="{00000000-0005-0000-0000-00005FDD0000}"/>
    <cellStyle name="Normal 91 2 6" xfId="41155" xr:uid="{00000000-0005-0000-0000-000060DD0000}"/>
    <cellStyle name="Normal 91 2 6 2" xfId="41156" xr:uid="{00000000-0005-0000-0000-000061DD0000}"/>
    <cellStyle name="Normal 91 2 6 2 2" xfId="41157" xr:uid="{00000000-0005-0000-0000-000062DD0000}"/>
    <cellStyle name="Normal 91 2 6 3" xfId="41158" xr:uid="{00000000-0005-0000-0000-000063DD0000}"/>
    <cellStyle name="Normal 91 2 6 3 2" xfId="41159" xr:uid="{00000000-0005-0000-0000-000064DD0000}"/>
    <cellStyle name="Normal 91 2 6 4" xfId="41160" xr:uid="{00000000-0005-0000-0000-000065DD0000}"/>
    <cellStyle name="Normal 91 2 7" xfId="41161" xr:uid="{00000000-0005-0000-0000-000066DD0000}"/>
    <cellStyle name="Normal 91 2 7 2" xfId="41162" xr:uid="{00000000-0005-0000-0000-000067DD0000}"/>
    <cellStyle name="Normal 91 2 7 2 2" xfId="41163" xr:uid="{00000000-0005-0000-0000-000068DD0000}"/>
    <cellStyle name="Normal 91 2 7 3" xfId="41164" xr:uid="{00000000-0005-0000-0000-000069DD0000}"/>
    <cellStyle name="Normal 91 2 7 3 2" xfId="41165" xr:uid="{00000000-0005-0000-0000-00006ADD0000}"/>
    <cellStyle name="Normal 91 2 7 4" xfId="41166" xr:uid="{00000000-0005-0000-0000-00006BDD0000}"/>
    <cellStyle name="Normal 91 2 8" xfId="41167" xr:uid="{00000000-0005-0000-0000-00006CDD0000}"/>
    <cellStyle name="Normal 91 2 8 2" xfId="41168" xr:uid="{00000000-0005-0000-0000-00006DDD0000}"/>
    <cellStyle name="Normal 91 2 8 2 2" xfId="41169" xr:uid="{00000000-0005-0000-0000-00006EDD0000}"/>
    <cellStyle name="Normal 91 2 8 3" xfId="41170" xr:uid="{00000000-0005-0000-0000-00006FDD0000}"/>
    <cellStyle name="Normal 91 2 9" xfId="41171" xr:uid="{00000000-0005-0000-0000-000070DD0000}"/>
    <cellStyle name="Normal 91 2 9 2" xfId="41172" xr:uid="{00000000-0005-0000-0000-000071DD0000}"/>
    <cellStyle name="Normal 91 3" xfId="41173" xr:uid="{00000000-0005-0000-0000-000072DD0000}"/>
    <cellStyle name="Normal 91 3 2" xfId="41174" xr:uid="{00000000-0005-0000-0000-000073DD0000}"/>
    <cellStyle name="Normal 91 3 2 2" xfId="41175" xr:uid="{00000000-0005-0000-0000-000074DD0000}"/>
    <cellStyle name="Normal 91 3 2 2 2" xfId="41176" xr:uid="{00000000-0005-0000-0000-000075DD0000}"/>
    <cellStyle name="Normal 91 3 2 3" xfId="41177" xr:uid="{00000000-0005-0000-0000-000076DD0000}"/>
    <cellStyle name="Normal 91 3 2 3 2" xfId="41178" xr:uid="{00000000-0005-0000-0000-000077DD0000}"/>
    <cellStyle name="Normal 91 3 2 4" xfId="41179" xr:uid="{00000000-0005-0000-0000-000078DD0000}"/>
    <cellStyle name="Normal 91 3 3" xfId="41180" xr:uid="{00000000-0005-0000-0000-000079DD0000}"/>
    <cellStyle name="Normal 91 3 3 2" xfId="41181" xr:uid="{00000000-0005-0000-0000-00007ADD0000}"/>
    <cellStyle name="Normal 91 3 3 2 2" xfId="41182" xr:uid="{00000000-0005-0000-0000-00007BDD0000}"/>
    <cellStyle name="Normal 91 3 3 3" xfId="41183" xr:uid="{00000000-0005-0000-0000-00007CDD0000}"/>
    <cellStyle name="Normal 91 3 3 3 2" xfId="41184" xr:uid="{00000000-0005-0000-0000-00007DDD0000}"/>
    <cellStyle name="Normal 91 3 3 4" xfId="41185" xr:uid="{00000000-0005-0000-0000-00007EDD0000}"/>
    <cellStyle name="Normal 91 3 4" xfId="41186" xr:uid="{00000000-0005-0000-0000-00007FDD0000}"/>
    <cellStyle name="Normal 91 3 4 2" xfId="41187" xr:uid="{00000000-0005-0000-0000-000080DD0000}"/>
    <cellStyle name="Normal 91 3 5" xfId="41188" xr:uid="{00000000-0005-0000-0000-000081DD0000}"/>
    <cellStyle name="Normal 91 3 5 2" xfId="41189" xr:uid="{00000000-0005-0000-0000-000082DD0000}"/>
    <cellStyle name="Normal 91 3 6" xfId="41190" xr:uid="{00000000-0005-0000-0000-000083DD0000}"/>
    <cellStyle name="Normal 91 4" xfId="41191" xr:uid="{00000000-0005-0000-0000-000084DD0000}"/>
    <cellStyle name="Normal 91 4 2" xfId="41192" xr:uid="{00000000-0005-0000-0000-000085DD0000}"/>
    <cellStyle name="Normal 91 4 2 2" xfId="41193" xr:uid="{00000000-0005-0000-0000-000086DD0000}"/>
    <cellStyle name="Normal 91 4 3" xfId="41194" xr:uid="{00000000-0005-0000-0000-000087DD0000}"/>
    <cellStyle name="Normal 91 4 3 2" xfId="41195" xr:uid="{00000000-0005-0000-0000-000088DD0000}"/>
    <cellStyle name="Normal 91 4 4" xfId="41196" xr:uid="{00000000-0005-0000-0000-000089DD0000}"/>
    <cellStyle name="Normal 91 5" xfId="41197" xr:uid="{00000000-0005-0000-0000-00008ADD0000}"/>
    <cellStyle name="Normal 91 5 2" xfId="41198" xr:uid="{00000000-0005-0000-0000-00008BDD0000}"/>
    <cellStyle name="Normal 91 5 2 2" xfId="41199" xr:uid="{00000000-0005-0000-0000-00008CDD0000}"/>
    <cellStyle name="Normal 91 5 3" xfId="41200" xr:uid="{00000000-0005-0000-0000-00008DDD0000}"/>
    <cellStyle name="Normal 91 5 3 2" xfId="41201" xr:uid="{00000000-0005-0000-0000-00008EDD0000}"/>
    <cellStyle name="Normal 91 5 4" xfId="41202" xr:uid="{00000000-0005-0000-0000-00008FDD0000}"/>
    <cellStyle name="Normal 91 6" xfId="41203" xr:uid="{00000000-0005-0000-0000-000090DD0000}"/>
    <cellStyle name="Normal 91 6 2" xfId="41204" xr:uid="{00000000-0005-0000-0000-000091DD0000}"/>
    <cellStyle name="Normal 91 6 2 2" xfId="41205" xr:uid="{00000000-0005-0000-0000-000092DD0000}"/>
    <cellStyle name="Normal 91 6 3" xfId="41206" xr:uid="{00000000-0005-0000-0000-000093DD0000}"/>
    <cellStyle name="Normal 91 6 3 2" xfId="41207" xr:uid="{00000000-0005-0000-0000-000094DD0000}"/>
    <cellStyle name="Normal 91 6 4" xfId="41208" xr:uid="{00000000-0005-0000-0000-000095DD0000}"/>
    <cellStyle name="Normal 91 7" xfId="41209" xr:uid="{00000000-0005-0000-0000-000096DD0000}"/>
    <cellStyle name="Normal 91 7 2" xfId="41210" xr:uid="{00000000-0005-0000-0000-000097DD0000}"/>
    <cellStyle name="Normal 91 7 2 2" xfId="41211" xr:uid="{00000000-0005-0000-0000-000098DD0000}"/>
    <cellStyle name="Normal 91 7 3" xfId="41212" xr:uid="{00000000-0005-0000-0000-000099DD0000}"/>
    <cellStyle name="Normal 91 7 3 2" xfId="41213" xr:uid="{00000000-0005-0000-0000-00009ADD0000}"/>
    <cellStyle name="Normal 91 7 4" xfId="41214" xr:uid="{00000000-0005-0000-0000-00009BDD0000}"/>
    <cellStyle name="Normal 91 8" xfId="41215" xr:uid="{00000000-0005-0000-0000-00009CDD0000}"/>
    <cellStyle name="Normal 91 8 2" xfId="41216" xr:uid="{00000000-0005-0000-0000-00009DDD0000}"/>
    <cellStyle name="Normal 91 8 2 2" xfId="41217" xr:uid="{00000000-0005-0000-0000-00009EDD0000}"/>
    <cellStyle name="Normal 91 8 3" xfId="41218" xr:uid="{00000000-0005-0000-0000-00009FDD0000}"/>
    <cellStyle name="Normal 91 8 3 2" xfId="41219" xr:uid="{00000000-0005-0000-0000-0000A0DD0000}"/>
    <cellStyle name="Normal 91 8 4" xfId="41220" xr:uid="{00000000-0005-0000-0000-0000A1DD0000}"/>
    <cellStyle name="Normal 91 9" xfId="41221" xr:uid="{00000000-0005-0000-0000-0000A2DD0000}"/>
    <cellStyle name="Normal 91 9 2" xfId="41222" xr:uid="{00000000-0005-0000-0000-0000A3DD0000}"/>
    <cellStyle name="Normal 91 9 2 2" xfId="41223" xr:uid="{00000000-0005-0000-0000-0000A4DD0000}"/>
    <cellStyle name="Normal 91 9 3" xfId="41224" xr:uid="{00000000-0005-0000-0000-0000A5DD0000}"/>
    <cellStyle name="Normal 92" xfId="41225" xr:uid="{00000000-0005-0000-0000-0000A6DD0000}"/>
    <cellStyle name="Normal 92 10" xfId="41226" xr:uid="{00000000-0005-0000-0000-0000A7DD0000}"/>
    <cellStyle name="Normal 92 10 2" xfId="41227" xr:uid="{00000000-0005-0000-0000-0000A8DD0000}"/>
    <cellStyle name="Normal 92 11" xfId="41228" xr:uid="{00000000-0005-0000-0000-0000A9DD0000}"/>
    <cellStyle name="Normal 92 11 2" xfId="41229" xr:uid="{00000000-0005-0000-0000-0000AADD0000}"/>
    <cellStyle name="Normal 92 12" xfId="41230" xr:uid="{00000000-0005-0000-0000-0000ABDD0000}"/>
    <cellStyle name="Normal 92 13" xfId="41231" xr:uid="{00000000-0005-0000-0000-0000ACDD0000}"/>
    <cellStyle name="Normal 92 2" xfId="41232" xr:uid="{00000000-0005-0000-0000-0000ADDD0000}"/>
    <cellStyle name="Normal 92 2 10" xfId="41233" xr:uid="{00000000-0005-0000-0000-0000AEDD0000}"/>
    <cellStyle name="Normal 92 2 10 2" xfId="41234" xr:uid="{00000000-0005-0000-0000-0000AFDD0000}"/>
    <cellStyle name="Normal 92 2 11" xfId="41235" xr:uid="{00000000-0005-0000-0000-0000B0DD0000}"/>
    <cellStyle name="Normal 92 2 2" xfId="41236" xr:uid="{00000000-0005-0000-0000-0000B1DD0000}"/>
    <cellStyle name="Normal 92 2 2 2" xfId="41237" xr:uid="{00000000-0005-0000-0000-0000B2DD0000}"/>
    <cellStyle name="Normal 92 2 2 2 2" xfId="41238" xr:uid="{00000000-0005-0000-0000-0000B3DD0000}"/>
    <cellStyle name="Normal 92 2 2 2 2 2" xfId="41239" xr:uid="{00000000-0005-0000-0000-0000B4DD0000}"/>
    <cellStyle name="Normal 92 2 2 2 3" xfId="41240" xr:uid="{00000000-0005-0000-0000-0000B5DD0000}"/>
    <cellStyle name="Normal 92 2 2 2 3 2" xfId="41241" xr:uid="{00000000-0005-0000-0000-0000B6DD0000}"/>
    <cellStyle name="Normal 92 2 2 2 4" xfId="41242" xr:uid="{00000000-0005-0000-0000-0000B7DD0000}"/>
    <cellStyle name="Normal 92 2 2 3" xfId="41243" xr:uid="{00000000-0005-0000-0000-0000B8DD0000}"/>
    <cellStyle name="Normal 92 2 2 3 2" xfId="41244" xr:uid="{00000000-0005-0000-0000-0000B9DD0000}"/>
    <cellStyle name="Normal 92 2 2 3 2 2" xfId="41245" xr:uid="{00000000-0005-0000-0000-0000BADD0000}"/>
    <cellStyle name="Normal 92 2 2 3 3" xfId="41246" xr:uid="{00000000-0005-0000-0000-0000BBDD0000}"/>
    <cellStyle name="Normal 92 2 2 3 3 2" xfId="41247" xr:uid="{00000000-0005-0000-0000-0000BCDD0000}"/>
    <cellStyle name="Normal 92 2 2 3 4" xfId="41248" xr:uid="{00000000-0005-0000-0000-0000BDDD0000}"/>
    <cellStyle name="Normal 92 2 2 4" xfId="41249" xr:uid="{00000000-0005-0000-0000-0000BEDD0000}"/>
    <cellStyle name="Normal 92 2 2 4 2" xfId="41250" xr:uid="{00000000-0005-0000-0000-0000BFDD0000}"/>
    <cellStyle name="Normal 92 2 2 5" xfId="41251" xr:uid="{00000000-0005-0000-0000-0000C0DD0000}"/>
    <cellStyle name="Normal 92 2 2 5 2" xfId="41252" xr:uid="{00000000-0005-0000-0000-0000C1DD0000}"/>
    <cellStyle name="Normal 92 2 2 6" xfId="41253" xr:uid="{00000000-0005-0000-0000-0000C2DD0000}"/>
    <cellStyle name="Normal 92 2 3" xfId="41254" xr:uid="{00000000-0005-0000-0000-0000C3DD0000}"/>
    <cellStyle name="Normal 92 2 3 2" xfId="41255" xr:uid="{00000000-0005-0000-0000-0000C4DD0000}"/>
    <cellStyle name="Normal 92 2 3 2 2" xfId="41256" xr:uid="{00000000-0005-0000-0000-0000C5DD0000}"/>
    <cellStyle name="Normal 92 2 3 3" xfId="41257" xr:uid="{00000000-0005-0000-0000-0000C6DD0000}"/>
    <cellStyle name="Normal 92 2 3 3 2" xfId="41258" xr:uid="{00000000-0005-0000-0000-0000C7DD0000}"/>
    <cellStyle name="Normal 92 2 3 4" xfId="41259" xr:uid="{00000000-0005-0000-0000-0000C8DD0000}"/>
    <cellStyle name="Normal 92 2 4" xfId="41260" xr:uid="{00000000-0005-0000-0000-0000C9DD0000}"/>
    <cellStyle name="Normal 92 2 4 2" xfId="41261" xr:uid="{00000000-0005-0000-0000-0000CADD0000}"/>
    <cellStyle name="Normal 92 2 4 2 2" xfId="41262" xr:uid="{00000000-0005-0000-0000-0000CBDD0000}"/>
    <cellStyle name="Normal 92 2 4 3" xfId="41263" xr:uid="{00000000-0005-0000-0000-0000CCDD0000}"/>
    <cellStyle name="Normal 92 2 4 3 2" xfId="41264" xr:uid="{00000000-0005-0000-0000-0000CDDD0000}"/>
    <cellStyle name="Normal 92 2 4 4" xfId="41265" xr:uid="{00000000-0005-0000-0000-0000CEDD0000}"/>
    <cellStyle name="Normal 92 2 5" xfId="41266" xr:uid="{00000000-0005-0000-0000-0000CFDD0000}"/>
    <cellStyle name="Normal 92 2 5 2" xfId="41267" xr:uid="{00000000-0005-0000-0000-0000D0DD0000}"/>
    <cellStyle name="Normal 92 2 5 2 2" xfId="41268" xr:uid="{00000000-0005-0000-0000-0000D1DD0000}"/>
    <cellStyle name="Normal 92 2 5 3" xfId="41269" xr:uid="{00000000-0005-0000-0000-0000D2DD0000}"/>
    <cellStyle name="Normal 92 2 5 3 2" xfId="41270" xr:uid="{00000000-0005-0000-0000-0000D3DD0000}"/>
    <cellStyle name="Normal 92 2 5 4" xfId="41271" xr:uid="{00000000-0005-0000-0000-0000D4DD0000}"/>
    <cellStyle name="Normal 92 2 6" xfId="41272" xr:uid="{00000000-0005-0000-0000-0000D5DD0000}"/>
    <cellStyle name="Normal 92 2 6 2" xfId="41273" xr:uid="{00000000-0005-0000-0000-0000D6DD0000}"/>
    <cellStyle name="Normal 92 2 6 2 2" xfId="41274" xr:uid="{00000000-0005-0000-0000-0000D7DD0000}"/>
    <cellStyle name="Normal 92 2 6 3" xfId="41275" xr:uid="{00000000-0005-0000-0000-0000D8DD0000}"/>
    <cellStyle name="Normal 92 2 6 3 2" xfId="41276" xr:uid="{00000000-0005-0000-0000-0000D9DD0000}"/>
    <cellStyle name="Normal 92 2 6 4" xfId="41277" xr:uid="{00000000-0005-0000-0000-0000DADD0000}"/>
    <cellStyle name="Normal 92 2 7" xfId="41278" xr:uid="{00000000-0005-0000-0000-0000DBDD0000}"/>
    <cellStyle name="Normal 92 2 7 2" xfId="41279" xr:uid="{00000000-0005-0000-0000-0000DCDD0000}"/>
    <cellStyle name="Normal 92 2 7 2 2" xfId="41280" xr:uid="{00000000-0005-0000-0000-0000DDDD0000}"/>
    <cellStyle name="Normal 92 2 7 3" xfId="41281" xr:uid="{00000000-0005-0000-0000-0000DEDD0000}"/>
    <cellStyle name="Normal 92 2 7 3 2" xfId="41282" xr:uid="{00000000-0005-0000-0000-0000DFDD0000}"/>
    <cellStyle name="Normal 92 2 7 4" xfId="41283" xr:uid="{00000000-0005-0000-0000-0000E0DD0000}"/>
    <cellStyle name="Normal 92 2 8" xfId="41284" xr:uid="{00000000-0005-0000-0000-0000E1DD0000}"/>
    <cellStyle name="Normal 92 2 8 2" xfId="41285" xr:uid="{00000000-0005-0000-0000-0000E2DD0000}"/>
    <cellStyle name="Normal 92 2 8 2 2" xfId="41286" xr:uid="{00000000-0005-0000-0000-0000E3DD0000}"/>
    <cellStyle name="Normal 92 2 8 3" xfId="41287" xr:uid="{00000000-0005-0000-0000-0000E4DD0000}"/>
    <cellStyle name="Normal 92 2 9" xfId="41288" xr:uid="{00000000-0005-0000-0000-0000E5DD0000}"/>
    <cellStyle name="Normal 92 2 9 2" xfId="41289" xr:uid="{00000000-0005-0000-0000-0000E6DD0000}"/>
    <cellStyle name="Normal 92 3" xfId="41290" xr:uid="{00000000-0005-0000-0000-0000E7DD0000}"/>
    <cellStyle name="Normal 92 3 2" xfId="41291" xr:uid="{00000000-0005-0000-0000-0000E8DD0000}"/>
    <cellStyle name="Normal 92 3 2 2" xfId="41292" xr:uid="{00000000-0005-0000-0000-0000E9DD0000}"/>
    <cellStyle name="Normal 92 3 2 2 2" xfId="41293" xr:uid="{00000000-0005-0000-0000-0000EADD0000}"/>
    <cellStyle name="Normal 92 3 2 3" xfId="41294" xr:uid="{00000000-0005-0000-0000-0000EBDD0000}"/>
    <cellStyle name="Normal 92 3 2 3 2" xfId="41295" xr:uid="{00000000-0005-0000-0000-0000ECDD0000}"/>
    <cellStyle name="Normal 92 3 2 4" xfId="41296" xr:uid="{00000000-0005-0000-0000-0000EDDD0000}"/>
    <cellStyle name="Normal 92 3 3" xfId="41297" xr:uid="{00000000-0005-0000-0000-0000EEDD0000}"/>
    <cellStyle name="Normal 92 3 3 2" xfId="41298" xr:uid="{00000000-0005-0000-0000-0000EFDD0000}"/>
    <cellStyle name="Normal 92 3 3 2 2" xfId="41299" xr:uid="{00000000-0005-0000-0000-0000F0DD0000}"/>
    <cellStyle name="Normal 92 3 3 3" xfId="41300" xr:uid="{00000000-0005-0000-0000-0000F1DD0000}"/>
    <cellStyle name="Normal 92 3 3 3 2" xfId="41301" xr:uid="{00000000-0005-0000-0000-0000F2DD0000}"/>
    <cellStyle name="Normal 92 3 3 4" xfId="41302" xr:uid="{00000000-0005-0000-0000-0000F3DD0000}"/>
    <cellStyle name="Normal 92 3 4" xfId="41303" xr:uid="{00000000-0005-0000-0000-0000F4DD0000}"/>
    <cellStyle name="Normal 92 3 4 2" xfId="41304" xr:uid="{00000000-0005-0000-0000-0000F5DD0000}"/>
    <cellStyle name="Normal 92 3 5" xfId="41305" xr:uid="{00000000-0005-0000-0000-0000F6DD0000}"/>
    <cellStyle name="Normal 92 3 5 2" xfId="41306" xr:uid="{00000000-0005-0000-0000-0000F7DD0000}"/>
    <cellStyle name="Normal 92 3 6" xfId="41307" xr:uid="{00000000-0005-0000-0000-0000F8DD0000}"/>
    <cellStyle name="Normal 92 4" xfId="41308" xr:uid="{00000000-0005-0000-0000-0000F9DD0000}"/>
    <cellStyle name="Normal 92 4 2" xfId="41309" xr:uid="{00000000-0005-0000-0000-0000FADD0000}"/>
    <cellStyle name="Normal 92 4 2 2" xfId="41310" xr:uid="{00000000-0005-0000-0000-0000FBDD0000}"/>
    <cellStyle name="Normal 92 4 3" xfId="41311" xr:uid="{00000000-0005-0000-0000-0000FCDD0000}"/>
    <cellStyle name="Normal 92 4 3 2" xfId="41312" xr:uid="{00000000-0005-0000-0000-0000FDDD0000}"/>
    <cellStyle name="Normal 92 4 4" xfId="41313" xr:uid="{00000000-0005-0000-0000-0000FEDD0000}"/>
    <cellStyle name="Normal 92 5" xfId="41314" xr:uid="{00000000-0005-0000-0000-0000FFDD0000}"/>
    <cellStyle name="Normal 92 5 2" xfId="41315" xr:uid="{00000000-0005-0000-0000-000000DE0000}"/>
    <cellStyle name="Normal 92 5 2 2" xfId="41316" xr:uid="{00000000-0005-0000-0000-000001DE0000}"/>
    <cellStyle name="Normal 92 5 3" xfId="41317" xr:uid="{00000000-0005-0000-0000-000002DE0000}"/>
    <cellStyle name="Normal 92 5 3 2" xfId="41318" xr:uid="{00000000-0005-0000-0000-000003DE0000}"/>
    <cellStyle name="Normal 92 5 4" xfId="41319" xr:uid="{00000000-0005-0000-0000-000004DE0000}"/>
    <cellStyle name="Normal 92 6" xfId="41320" xr:uid="{00000000-0005-0000-0000-000005DE0000}"/>
    <cellStyle name="Normal 92 6 2" xfId="41321" xr:uid="{00000000-0005-0000-0000-000006DE0000}"/>
    <cellStyle name="Normal 92 6 2 2" xfId="41322" xr:uid="{00000000-0005-0000-0000-000007DE0000}"/>
    <cellStyle name="Normal 92 6 3" xfId="41323" xr:uid="{00000000-0005-0000-0000-000008DE0000}"/>
    <cellStyle name="Normal 92 6 3 2" xfId="41324" xr:uid="{00000000-0005-0000-0000-000009DE0000}"/>
    <cellStyle name="Normal 92 6 4" xfId="41325" xr:uid="{00000000-0005-0000-0000-00000ADE0000}"/>
    <cellStyle name="Normal 92 7" xfId="41326" xr:uid="{00000000-0005-0000-0000-00000BDE0000}"/>
    <cellStyle name="Normal 92 7 2" xfId="41327" xr:uid="{00000000-0005-0000-0000-00000CDE0000}"/>
    <cellStyle name="Normal 92 7 2 2" xfId="41328" xr:uid="{00000000-0005-0000-0000-00000DDE0000}"/>
    <cellStyle name="Normal 92 7 3" xfId="41329" xr:uid="{00000000-0005-0000-0000-00000EDE0000}"/>
    <cellStyle name="Normal 92 7 3 2" xfId="41330" xr:uid="{00000000-0005-0000-0000-00000FDE0000}"/>
    <cellStyle name="Normal 92 7 4" xfId="41331" xr:uid="{00000000-0005-0000-0000-000010DE0000}"/>
    <cellStyle name="Normal 92 8" xfId="41332" xr:uid="{00000000-0005-0000-0000-000011DE0000}"/>
    <cellStyle name="Normal 92 8 2" xfId="41333" xr:uid="{00000000-0005-0000-0000-000012DE0000}"/>
    <cellStyle name="Normal 92 8 2 2" xfId="41334" xr:uid="{00000000-0005-0000-0000-000013DE0000}"/>
    <cellStyle name="Normal 92 8 3" xfId="41335" xr:uid="{00000000-0005-0000-0000-000014DE0000}"/>
    <cellStyle name="Normal 92 8 3 2" xfId="41336" xr:uid="{00000000-0005-0000-0000-000015DE0000}"/>
    <cellStyle name="Normal 92 8 4" xfId="41337" xr:uid="{00000000-0005-0000-0000-000016DE0000}"/>
    <cellStyle name="Normal 92 9" xfId="41338" xr:uid="{00000000-0005-0000-0000-000017DE0000}"/>
    <cellStyle name="Normal 92 9 2" xfId="41339" xr:uid="{00000000-0005-0000-0000-000018DE0000}"/>
    <cellStyle name="Normal 92 9 2 2" xfId="41340" xr:uid="{00000000-0005-0000-0000-000019DE0000}"/>
    <cellStyle name="Normal 92 9 3" xfId="41341" xr:uid="{00000000-0005-0000-0000-00001ADE0000}"/>
    <cellStyle name="Normal 93" xfId="41342" xr:uid="{00000000-0005-0000-0000-00001BDE0000}"/>
    <cellStyle name="Normal 93 10" xfId="41343" xr:uid="{00000000-0005-0000-0000-00001CDE0000}"/>
    <cellStyle name="Normal 93 10 2" xfId="41344" xr:uid="{00000000-0005-0000-0000-00001DDE0000}"/>
    <cellStyle name="Normal 93 11" xfId="41345" xr:uid="{00000000-0005-0000-0000-00001EDE0000}"/>
    <cellStyle name="Normal 93 11 2" xfId="41346" xr:uid="{00000000-0005-0000-0000-00001FDE0000}"/>
    <cellStyle name="Normal 93 12" xfId="41347" xr:uid="{00000000-0005-0000-0000-000020DE0000}"/>
    <cellStyle name="Normal 93 13" xfId="41348" xr:uid="{00000000-0005-0000-0000-000021DE0000}"/>
    <cellStyle name="Normal 93 2" xfId="41349" xr:uid="{00000000-0005-0000-0000-000022DE0000}"/>
    <cellStyle name="Normal 93 2 10" xfId="41350" xr:uid="{00000000-0005-0000-0000-000023DE0000}"/>
    <cellStyle name="Normal 93 2 10 2" xfId="41351" xr:uid="{00000000-0005-0000-0000-000024DE0000}"/>
    <cellStyle name="Normal 93 2 11" xfId="41352" xr:uid="{00000000-0005-0000-0000-000025DE0000}"/>
    <cellStyle name="Normal 93 2 12" xfId="41353" xr:uid="{00000000-0005-0000-0000-000026DE0000}"/>
    <cellStyle name="Normal 93 2 2" xfId="41354" xr:uid="{00000000-0005-0000-0000-000027DE0000}"/>
    <cellStyle name="Normal 93 2 2 2" xfId="41355" xr:uid="{00000000-0005-0000-0000-000028DE0000}"/>
    <cellStyle name="Normal 93 2 2 2 2" xfId="41356" xr:uid="{00000000-0005-0000-0000-000029DE0000}"/>
    <cellStyle name="Normal 93 2 2 2 2 2" xfId="41357" xr:uid="{00000000-0005-0000-0000-00002ADE0000}"/>
    <cellStyle name="Normal 93 2 2 2 3" xfId="41358" xr:uid="{00000000-0005-0000-0000-00002BDE0000}"/>
    <cellStyle name="Normal 93 2 2 2 3 2" xfId="41359" xr:uid="{00000000-0005-0000-0000-00002CDE0000}"/>
    <cellStyle name="Normal 93 2 2 2 4" xfId="41360" xr:uid="{00000000-0005-0000-0000-00002DDE0000}"/>
    <cellStyle name="Normal 93 2 2 3" xfId="41361" xr:uid="{00000000-0005-0000-0000-00002EDE0000}"/>
    <cellStyle name="Normal 93 2 2 3 2" xfId="41362" xr:uid="{00000000-0005-0000-0000-00002FDE0000}"/>
    <cellStyle name="Normal 93 2 2 3 2 2" xfId="41363" xr:uid="{00000000-0005-0000-0000-000030DE0000}"/>
    <cellStyle name="Normal 93 2 2 3 3" xfId="41364" xr:uid="{00000000-0005-0000-0000-000031DE0000}"/>
    <cellStyle name="Normal 93 2 2 3 3 2" xfId="41365" xr:uid="{00000000-0005-0000-0000-000032DE0000}"/>
    <cellStyle name="Normal 93 2 2 3 4" xfId="41366" xr:uid="{00000000-0005-0000-0000-000033DE0000}"/>
    <cellStyle name="Normal 93 2 2 4" xfId="41367" xr:uid="{00000000-0005-0000-0000-000034DE0000}"/>
    <cellStyle name="Normal 93 2 2 4 2" xfId="41368" xr:uid="{00000000-0005-0000-0000-000035DE0000}"/>
    <cellStyle name="Normal 93 2 2 5" xfId="41369" xr:uid="{00000000-0005-0000-0000-000036DE0000}"/>
    <cellStyle name="Normal 93 2 2 5 2" xfId="41370" xr:uid="{00000000-0005-0000-0000-000037DE0000}"/>
    <cellStyle name="Normal 93 2 2 6" xfId="41371" xr:uid="{00000000-0005-0000-0000-000038DE0000}"/>
    <cellStyle name="Normal 93 2 3" xfId="41372" xr:uid="{00000000-0005-0000-0000-000039DE0000}"/>
    <cellStyle name="Normal 93 2 3 2" xfId="41373" xr:uid="{00000000-0005-0000-0000-00003ADE0000}"/>
    <cellStyle name="Normal 93 2 3 2 2" xfId="41374" xr:uid="{00000000-0005-0000-0000-00003BDE0000}"/>
    <cellStyle name="Normal 93 2 3 3" xfId="41375" xr:uid="{00000000-0005-0000-0000-00003CDE0000}"/>
    <cellStyle name="Normal 93 2 3 3 2" xfId="41376" xr:uid="{00000000-0005-0000-0000-00003DDE0000}"/>
    <cellStyle name="Normal 93 2 3 4" xfId="41377" xr:uid="{00000000-0005-0000-0000-00003EDE0000}"/>
    <cellStyle name="Normal 93 2 4" xfId="41378" xr:uid="{00000000-0005-0000-0000-00003FDE0000}"/>
    <cellStyle name="Normal 93 2 4 2" xfId="41379" xr:uid="{00000000-0005-0000-0000-000040DE0000}"/>
    <cellStyle name="Normal 93 2 4 2 2" xfId="41380" xr:uid="{00000000-0005-0000-0000-000041DE0000}"/>
    <cellStyle name="Normal 93 2 4 3" xfId="41381" xr:uid="{00000000-0005-0000-0000-000042DE0000}"/>
    <cellStyle name="Normal 93 2 4 3 2" xfId="41382" xr:uid="{00000000-0005-0000-0000-000043DE0000}"/>
    <cellStyle name="Normal 93 2 4 4" xfId="41383" xr:uid="{00000000-0005-0000-0000-000044DE0000}"/>
    <cellStyle name="Normal 93 2 5" xfId="41384" xr:uid="{00000000-0005-0000-0000-000045DE0000}"/>
    <cellStyle name="Normal 93 2 5 2" xfId="41385" xr:uid="{00000000-0005-0000-0000-000046DE0000}"/>
    <cellStyle name="Normal 93 2 5 2 2" xfId="41386" xr:uid="{00000000-0005-0000-0000-000047DE0000}"/>
    <cellStyle name="Normal 93 2 5 3" xfId="41387" xr:uid="{00000000-0005-0000-0000-000048DE0000}"/>
    <cellStyle name="Normal 93 2 5 3 2" xfId="41388" xr:uid="{00000000-0005-0000-0000-000049DE0000}"/>
    <cellStyle name="Normal 93 2 5 4" xfId="41389" xr:uid="{00000000-0005-0000-0000-00004ADE0000}"/>
    <cellStyle name="Normal 93 2 6" xfId="41390" xr:uid="{00000000-0005-0000-0000-00004BDE0000}"/>
    <cellStyle name="Normal 93 2 6 2" xfId="41391" xr:uid="{00000000-0005-0000-0000-00004CDE0000}"/>
    <cellStyle name="Normal 93 2 6 2 2" xfId="41392" xr:uid="{00000000-0005-0000-0000-00004DDE0000}"/>
    <cellStyle name="Normal 93 2 6 3" xfId="41393" xr:uid="{00000000-0005-0000-0000-00004EDE0000}"/>
    <cellStyle name="Normal 93 2 6 3 2" xfId="41394" xr:uid="{00000000-0005-0000-0000-00004FDE0000}"/>
    <cellStyle name="Normal 93 2 6 4" xfId="41395" xr:uid="{00000000-0005-0000-0000-000050DE0000}"/>
    <cellStyle name="Normal 93 2 7" xfId="41396" xr:uid="{00000000-0005-0000-0000-000051DE0000}"/>
    <cellStyle name="Normal 93 2 7 2" xfId="41397" xr:uid="{00000000-0005-0000-0000-000052DE0000}"/>
    <cellStyle name="Normal 93 2 7 2 2" xfId="41398" xr:uid="{00000000-0005-0000-0000-000053DE0000}"/>
    <cellStyle name="Normal 93 2 7 3" xfId="41399" xr:uid="{00000000-0005-0000-0000-000054DE0000}"/>
    <cellStyle name="Normal 93 2 7 3 2" xfId="41400" xr:uid="{00000000-0005-0000-0000-000055DE0000}"/>
    <cellStyle name="Normal 93 2 7 4" xfId="41401" xr:uid="{00000000-0005-0000-0000-000056DE0000}"/>
    <cellStyle name="Normal 93 2 8" xfId="41402" xr:uid="{00000000-0005-0000-0000-000057DE0000}"/>
    <cellStyle name="Normal 93 2 8 2" xfId="41403" xr:uid="{00000000-0005-0000-0000-000058DE0000}"/>
    <cellStyle name="Normal 93 2 8 2 2" xfId="41404" xr:uid="{00000000-0005-0000-0000-000059DE0000}"/>
    <cellStyle name="Normal 93 2 8 3" xfId="41405" xr:uid="{00000000-0005-0000-0000-00005ADE0000}"/>
    <cellStyle name="Normal 93 2 9" xfId="41406" xr:uid="{00000000-0005-0000-0000-00005BDE0000}"/>
    <cellStyle name="Normal 93 2 9 2" xfId="41407" xr:uid="{00000000-0005-0000-0000-00005CDE0000}"/>
    <cellStyle name="Normal 93 3" xfId="41408" xr:uid="{00000000-0005-0000-0000-00005DDE0000}"/>
    <cellStyle name="Normal 93 3 2" xfId="41409" xr:uid="{00000000-0005-0000-0000-00005EDE0000}"/>
    <cellStyle name="Normal 93 3 2 2" xfId="41410" xr:uid="{00000000-0005-0000-0000-00005FDE0000}"/>
    <cellStyle name="Normal 93 3 2 2 2" xfId="41411" xr:uid="{00000000-0005-0000-0000-000060DE0000}"/>
    <cellStyle name="Normal 93 3 2 3" xfId="41412" xr:uid="{00000000-0005-0000-0000-000061DE0000}"/>
    <cellStyle name="Normal 93 3 2 3 2" xfId="41413" xr:uid="{00000000-0005-0000-0000-000062DE0000}"/>
    <cellStyle name="Normal 93 3 2 4" xfId="41414" xr:uid="{00000000-0005-0000-0000-000063DE0000}"/>
    <cellStyle name="Normal 93 3 3" xfId="41415" xr:uid="{00000000-0005-0000-0000-000064DE0000}"/>
    <cellStyle name="Normal 93 3 3 2" xfId="41416" xr:uid="{00000000-0005-0000-0000-000065DE0000}"/>
    <cellStyle name="Normal 93 3 3 2 2" xfId="41417" xr:uid="{00000000-0005-0000-0000-000066DE0000}"/>
    <cellStyle name="Normal 93 3 3 3" xfId="41418" xr:uid="{00000000-0005-0000-0000-000067DE0000}"/>
    <cellStyle name="Normal 93 3 3 3 2" xfId="41419" xr:uid="{00000000-0005-0000-0000-000068DE0000}"/>
    <cellStyle name="Normal 93 3 3 4" xfId="41420" xr:uid="{00000000-0005-0000-0000-000069DE0000}"/>
    <cellStyle name="Normal 93 3 4" xfId="41421" xr:uid="{00000000-0005-0000-0000-00006ADE0000}"/>
    <cellStyle name="Normal 93 3 4 2" xfId="41422" xr:uid="{00000000-0005-0000-0000-00006BDE0000}"/>
    <cellStyle name="Normal 93 3 5" xfId="41423" xr:uid="{00000000-0005-0000-0000-00006CDE0000}"/>
    <cellStyle name="Normal 93 3 5 2" xfId="41424" xr:uid="{00000000-0005-0000-0000-00006DDE0000}"/>
    <cellStyle name="Normal 93 3 6" xfId="41425" xr:uid="{00000000-0005-0000-0000-00006EDE0000}"/>
    <cellStyle name="Normal 93 4" xfId="41426" xr:uid="{00000000-0005-0000-0000-00006FDE0000}"/>
    <cellStyle name="Normal 93 4 2" xfId="41427" xr:uid="{00000000-0005-0000-0000-000070DE0000}"/>
    <cellStyle name="Normal 93 4 2 2" xfId="41428" xr:uid="{00000000-0005-0000-0000-000071DE0000}"/>
    <cellStyle name="Normal 93 4 3" xfId="41429" xr:uid="{00000000-0005-0000-0000-000072DE0000}"/>
    <cellStyle name="Normal 93 4 3 2" xfId="41430" xr:uid="{00000000-0005-0000-0000-000073DE0000}"/>
    <cellStyle name="Normal 93 4 4" xfId="41431" xr:uid="{00000000-0005-0000-0000-000074DE0000}"/>
    <cellStyle name="Normal 93 5" xfId="41432" xr:uid="{00000000-0005-0000-0000-000075DE0000}"/>
    <cellStyle name="Normal 93 5 2" xfId="41433" xr:uid="{00000000-0005-0000-0000-000076DE0000}"/>
    <cellStyle name="Normal 93 5 2 2" xfId="41434" xr:uid="{00000000-0005-0000-0000-000077DE0000}"/>
    <cellStyle name="Normal 93 5 3" xfId="41435" xr:uid="{00000000-0005-0000-0000-000078DE0000}"/>
    <cellStyle name="Normal 93 5 3 2" xfId="41436" xr:uid="{00000000-0005-0000-0000-000079DE0000}"/>
    <cellStyle name="Normal 93 5 4" xfId="41437" xr:uid="{00000000-0005-0000-0000-00007ADE0000}"/>
    <cellStyle name="Normal 93 6" xfId="41438" xr:uid="{00000000-0005-0000-0000-00007BDE0000}"/>
    <cellStyle name="Normal 93 6 2" xfId="41439" xr:uid="{00000000-0005-0000-0000-00007CDE0000}"/>
    <cellStyle name="Normal 93 6 2 2" xfId="41440" xr:uid="{00000000-0005-0000-0000-00007DDE0000}"/>
    <cellStyle name="Normal 93 6 3" xfId="41441" xr:uid="{00000000-0005-0000-0000-00007EDE0000}"/>
    <cellStyle name="Normal 93 6 3 2" xfId="41442" xr:uid="{00000000-0005-0000-0000-00007FDE0000}"/>
    <cellStyle name="Normal 93 6 4" xfId="41443" xr:uid="{00000000-0005-0000-0000-000080DE0000}"/>
    <cellStyle name="Normal 93 7" xfId="41444" xr:uid="{00000000-0005-0000-0000-000081DE0000}"/>
    <cellStyle name="Normal 93 7 2" xfId="41445" xr:uid="{00000000-0005-0000-0000-000082DE0000}"/>
    <cellStyle name="Normal 93 7 2 2" xfId="41446" xr:uid="{00000000-0005-0000-0000-000083DE0000}"/>
    <cellStyle name="Normal 93 7 3" xfId="41447" xr:uid="{00000000-0005-0000-0000-000084DE0000}"/>
    <cellStyle name="Normal 93 7 3 2" xfId="41448" xr:uid="{00000000-0005-0000-0000-000085DE0000}"/>
    <cellStyle name="Normal 93 7 4" xfId="41449" xr:uid="{00000000-0005-0000-0000-000086DE0000}"/>
    <cellStyle name="Normal 93 8" xfId="41450" xr:uid="{00000000-0005-0000-0000-000087DE0000}"/>
    <cellStyle name="Normal 93 8 2" xfId="41451" xr:uid="{00000000-0005-0000-0000-000088DE0000}"/>
    <cellStyle name="Normal 93 8 2 2" xfId="41452" xr:uid="{00000000-0005-0000-0000-000089DE0000}"/>
    <cellStyle name="Normal 93 8 3" xfId="41453" xr:uid="{00000000-0005-0000-0000-00008ADE0000}"/>
    <cellStyle name="Normal 93 8 3 2" xfId="41454" xr:uid="{00000000-0005-0000-0000-00008BDE0000}"/>
    <cellStyle name="Normal 93 8 4" xfId="41455" xr:uid="{00000000-0005-0000-0000-00008CDE0000}"/>
    <cellStyle name="Normal 93 9" xfId="41456" xr:uid="{00000000-0005-0000-0000-00008DDE0000}"/>
    <cellStyle name="Normal 93 9 2" xfId="41457" xr:uid="{00000000-0005-0000-0000-00008EDE0000}"/>
    <cellStyle name="Normal 93 9 2 2" xfId="41458" xr:uid="{00000000-0005-0000-0000-00008FDE0000}"/>
    <cellStyle name="Normal 93 9 3" xfId="41459" xr:uid="{00000000-0005-0000-0000-000090DE0000}"/>
    <cellStyle name="Normal 94" xfId="41460" xr:uid="{00000000-0005-0000-0000-000091DE0000}"/>
    <cellStyle name="Normal 94 10" xfId="41461" xr:uid="{00000000-0005-0000-0000-000092DE0000}"/>
    <cellStyle name="Normal 94 10 2" xfId="41462" xr:uid="{00000000-0005-0000-0000-000093DE0000}"/>
    <cellStyle name="Normal 94 11" xfId="41463" xr:uid="{00000000-0005-0000-0000-000094DE0000}"/>
    <cellStyle name="Normal 94 11 2" xfId="41464" xr:uid="{00000000-0005-0000-0000-000095DE0000}"/>
    <cellStyle name="Normal 94 12" xfId="41465" xr:uid="{00000000-0005-0000-0000-000096DE0000}"/>
    <cellStyle name="Normal 94 13" xfId="41466" xr:uid="{00000000-0005-0000-0000-000097DE0000}"/>
    <cellStyle name="Normal 94 2" xfId="41467" xr:uid="{00000000-0005-0000-0000-000098DE0000}"/>
    <cellStyle name="Normal 94 2 10" xfId="41468" xr:uid="{00000000-0005-0000-0000-000099DE0000}"/>
    <cellStyle name="Normal 94 2 10 2" xfId="41469" xr:uid="{00000000-0005-0000-0000-00009ADE0000}"/>
    <cellStyle name="Normal 94 2 11" xfId="41470" xr:uid="{00000000-0005-0000-0000-00009BDE0000}"/>
    <cellStyle name="Normal 94 2 2" xfId="41471" xr:uid="{00000000-0005-0000-0000-00009CDE0000}"/>
    <cellStyle name="Normal 94 2 2 2" xfId="41472" xr:uid="{00000000-0005-0000-0000-00009DDE0000}"/>
    <cellStyle name="Normal 94 2 2 2 2" xfId="41473" xr:uid="{00000000-0005-0000-0000-00009EDE0000}"/>
    <cellStyle name="Normal 94 2 2 2 2 2" xfId="41474" xr:uid="{00000000-0005-0000-0000-00009FDE0000}"/>
    <cellStyle name="Normal 94 2 2 2 3" xfId="41475" xr:uid="{00000000-0005-0000-0000-0000A0DE0000}"/>
    <cellStyle name="Normal 94 2 2 2 3 2" xfId="41476" xr:uid="{00000000-0005-0000-0000-0000A1DE0000}"/>
    <cellStyle name="Normal 94 2 2 2 4" xfId="41477" xr:uid="{00000000-0005-0000-0000-0000A2DE0000}"/>
    <cellStyle name="Normal 94 2 2 3" xfId="41478" xr:uid="{00000000-0005-0000-0000-0000A3DE0000}"/>
    <cellStyle name="Normal 94 2 2 3 2" xfId="41479" xr:uid="{00000000-0005-0000-0000-0000A4DE0000}"/>
    <cellStyle name="Normal 94 2 2 3 2 2" xfId="41480" xr:uid="{00000000-0005-0000-0000-0000A5DE0000}"/>
    <cellStyle name="Normal 94 2 2 3 3" xfId="41481" xr:uid="{00000000-0005-0000-0000-0000A6DE0000}"/>
    <cellStyle name="Normal 94 2 2 3 3 2" xfId="41482" xr:uid="{00000000-0005-0000-0000-0000A7DE0000}"/>
    <cellStyle name="Normal 94 2 2 3 4" xfId="41483" xr:uid="{00000000-0005-0000-0000-0000A8DE0000}"/>
    <cellStyle name="Normal 94 2 2 4" xfId="41484" xr:uid="{00000000-0005-0000-0000-0000A9DE0000}"/>
    <cellStyle name="Normal 94 2 2 4 2" xfId="41485" xr:uid="{00000000-0005-0000-0000-0000AADE0000}"/>
    <cellStyle name="Normal 94 2 2 5" xfId="41486" xr:uid="{00000000-0005-0000-0000-0000ABDE0000}"/>
    <cellStyle name="Normal 94 2 2 5 2" xfId="41487" xr:uid="{00000000-0005-0000-0000-0000ACDE0000}"/>
    <cellStyle name="Normal 94 2 2 6" xfId="41488" xr:uid="{00000000-0005-0000-0000-0000ADDE0000}"/>
    <cellStyle name="Normal 94 2 3" xfId="41489" xr:uid="{00000000-0005-0000-0000-0000AEDE0000}"/>
    <cellStyle name="Normal 94 2 3 2" xfId="41490" xr:uid="{00000000-0005-0000-0000-0000AFDE0000}"/>
    <cellStyle name="Normal 94 2 3 2 2" xfId="41491" xr:uid="{00000000-0005-0000-0000-0000B0DE0000}"/>
    <cellStyle name="Normal 94 2 3 3" xfId="41492" xr:uid="{00000000-0005-0000-0000-0000B1DE0000}"/>
    <cellStyle name="Normal 94 2 3 3 2" xfId="41493" xr:uid="{00000000-0005-0000-0000-0000B2DE0000}"/>
    <cellStyle name="Normal 94 2 3 4" xfId="41494" xr:uid="{00000000-0005-0000-0000-0000B3DE0000}"/>
    <cellStyle name="Normal 94 2 4" xfId="41495" xr:uid="{00000000-0005-0000-0000-0000B4DE0000}"/>
    <cellStyle name="Normal 94 2 4 2" xfId="41496" xr:uid="{00000000-0005-0000-0000-0000B5DE0000}"/>
    <cellStyle name="Normal 94 2 4 2 2" xfId="41497" xr:uid="{00000000-0005-0000-0000-0000B6DE0000}"/>
    <cellStyle name="Normal 94 2 4 3" xfId="41498" xr:uid="{00000000-0005-0000-0000-0000B7DE0000}"/>
    <cellStyle name="Normal 94 2 4 3 2" xfId="41499" xr:uid="{00000000-0005-0000-0000-0000B8DE0000}"/>
    <cellStyle name="Normal 94 2 4 4" xfId="41500" xr:uid="{00000000-0005-0000-0000-0000B9DE0000}"/>
    <cellStyle name="Normal 94 2 5" xfId="41501" xr:uid="{00000000-0005-0000-0000-0000BADE0000}"/>
    <cellStyle name="Normal 94 2 5 2" xfId="41502" xr:uid="{00000000-0005-0000-0000-0000BBDE0000}"/>
    <cellStyle name="Normal 94 2 5 2 2" xfId="41503" xr:uid="{00000000-0005-0000-0000-0000BCDE0000}"/>
    <cellStyle name="Normal 94 2 5 3" xfId="41504" xr:uid="{00000000-0005-0000-0000-0000BDDE0000}"/>
    <cellStyle name="Normal 94 2 5 3 2" xfId="41505" xr:uid="{00000000-0005-0000-0000-0000BEDE0000}"/>
    <cellStyle name="Normal 94 2 5 4" xfId="41506" xr:uid="{00000000-0005-0000-0000-0000BFDE0000}"/>
    <cellStyle name="Normal 94 2 6" xfId="41507" xr:uid="{00000000-0005-0000-0000-0000C0DE0000}"/>
    <cellStyle name="Normal 94 2 6 2" xfId="41508" xr:uid="{00000000-0005-0000-0000-0000C1DE0000}"/>
    <cellStyle name="Normal 94 2 6 2 2" xfId="41509" xr:uid="{00000000-0005-0000-0000-0000C2DE0000}"/>
    <cellStyle name="Normal 94 2 6 3" xfId="41510" xr:uid="{00000000-0005-0000-0000-0000C3DE0000}"/>
    <cellStyle name="Normal 94 2 6 3 2" xfId="41511" xr:uid="{00000000-0005-0000-0000-0000C4DE0000}"/>
    <cellStyle name="Normal 94 2 6 4" xfId="41512" xr:uid="{00000000-0005-0000-0000-0000C5DE0000}"/>
    <cellStyle name="Normal 94 2 7" xfId="41513" xr:uid="{00000000-0005-0000-0000-0000C6DE0000}"/>
    <cellStyle name="Normal 94 2 7 2" xfId="41514" xr:uid="{00000000-0005-0000-0000-0000C7DE0000}"/>
    <cellStyle name="Normal 94 2 7 2 2" xfId="41515" xr:uid="{00000000-0005-0000-0000-0000C8DE0000}"/>
    <cellStyle name="Normal 94 2 7 3" xfId="41516" xr:uid="{00000000-0005-0000-0000-0000C9DE0000}"/>
    <cellStyle name="Normal 94 2 7 3 2" xfId="41517" xr:uid="{00000000-0005-0000-0000-0000CADE0000}"/>
    <cellStyle name="Normal 94 2 7 4" xfId="41518" xr:uid="{00000000-0005-0000-0000-0000CBDE0000}"/>
    <cellStyle name="Normal 94 2 8" xfId="41519" xr:uid="{00000000-0005-0000-0000-0000CCDE0000}"/>
    <cellStyle name="Normal 94 2 8 2" xfId="41520" xr:uid="{00000000-0005-0000-0000-0000CDDE0000}"/>
    <cellStyle name="Normal 94 2 8 2 2" xfId="41521" xr:uid="{00000000-0005-0000-0000-0000CEDE0000}"/>
    <cellStyle name="Normal 94 2 8 3" xfId="41522" xr:uid="{00000000-0005-0000-0000-0000CFDE0000}"/>
    <cellStyle name="Normal 94 2 9" xfId="41523" xr:uid="{00000000-0005-0000-0000-0000D0DE0000}"/>
    <cellStyle name="Normal 94 2 9 2" xfId="41524" xr:uid="{00000000-0005-0000-0000-0000D1DE0000}"/>
    <cellStyle name="Normal 94 3" xfId="41525" xr:uid="{00000000-0005-0000-0000-0000D2DE0000}"/>
    <cellStyle name="Normal 94 3 2" xfId="41526" xr:uid="{00000000-0005-0000-0000-0000D3DE0000}"/>
    <cellStyle name="Normal 94 3 2 2" xfId="41527" xr:uid="{00000000-0005-0000-0000-0000D4DE0000}"/>
    <cellStyle name="Normal 94 3 2 2 2" xfId="41528" xr:uid="{00000000-0005-0000-0000-0000D5DE0000}"/>
    <cellStyle name="Normal 94 3 2 3" xfId="41529" xr:uid="{00000000-0005-0000-0000-0000D6DE0000}"/>
    <cellStyle name="Normal 94 3 2 3 2" xfId="41530" xr:uid="{00000000-0005-0000-0000-0000D7DE0000}"/>
    <cellStyle name="Normal 94 3 2 4" xfId="41531" xr:uid="{00000000-0005-0000-0000-0000D8DE0000}"/>
    <cellStyle name="Normal 94 3 3" xfId="41532" xr:uid="{00000000-0005-0000-0000-0000D9DE0000}"/>
    <cellStyle name="Normal 94 3 3 2" xfId="41533" xr:uid="{00000000-0005-0000-0000-0000DADE0000}"/>
    <cellStyle name="Normal 94 3 3 2 2" xfId="41534" xr:uid="{00000000-0005-0000-0000-0000DBDE0000}"/>
    <cellStyle name="Normal 94 3 3 3" xfId="41535" xr:uid="{00000000-0005-0000-0000-0000DCDE0000}"/>
    <cellStyle name="Normal 94 3 3 3 2" xfId="41536" xr:uid="{00000000-0005-0000-0000-0000DDDE0000}"/>
    <cellStyle name="Normal 94 3 3 4" xfId="41537" xr:uid="{00000000-0005-0000-0000-0000DEDE0000}"/>
    <cellStyle name="Normal 94 3 4" xfId="41538" xr:uid="{00000000-0005-0000-0000-0000DFDE0000}"/>
    <cellStyle name="Normal 94 3 4 2" xfId="41539" xr:uid="{00000000-0005-0000-0000-0000E0DE0000}"/>
    <cellStyle name="Normal 94 3 5" xfId="41540" xr:uid="{00000000-0005-0000-0000-0000E1DE0000}"/>
    <cellStyle name="Normal 94 3 5 2" xfId="41541" xr:uid="{00000000-0005-0000-0000-0000E2DE0000}"/>
    <cellStyle name="Normal 94 3 6" xfId="41542" xr:uid="{00000000-0005-0000-0000-0000E3DE0000}"/>
    <cellStyle name="Normal 94 4" xfId="41543" xr:uid="{00000000-0005-0000-0000-0000E4DE0000}"/>
    <cellStyle name="Normal 94 4 2" xfId="41544" xr:uid="{00000000-0005-0000-0000-0000E5DE0000}"/>
    <cellStyle name="Normal 94 4 2 2" xfId="41545" xr:uid="{00000000-0005-0000-0000-0000E6DE0000}"/>
    <cellStyle name="Normal 94 4 3" xfId="41546" xr:uid="{00000000-0005-0000-0000-0000E7DE0000}"/>
    <cellStyle name="Normal 94 4 3 2" xfId="41547" xr:uid="{00000000-0005-0000-0000-0000E8DE0000}"/>
    <cellStyle name="Normal 94 4 4" xfId="41548" xr:uid="{00000000-0005-0000-0000-0000E9DE0000}"/>
    <cellStyle name="Normal 94 5" xfId="41549" xr:uid="{00000000-0005-0000-0000-0000EADE0000}"/>
    <cellStyle name="Normal 94 5 2" xfId="41550" xr:uid="{00000000-0005-0000-0000-0000EBDE0000}"/>
    <cellStyle name="Normal 94 5 2 2" xfId="41551" xr:uid="{00000000-0005-0000-0000-0000ECDE0000}"/>
    <cellStyle name="Normal 94 5 3" xfId="41552" xr:uid="{00000000-0005-0000-0000-0000EDDE0000}"/>
    <cellStyle name="Normal 94 5 3 2" xfId="41553" xr:uid="{00000000-0005-0000-0000-0000EEDE0000}"/>
    <cellStyle name="Normal 94 5 4" xfId="41554" xr:uid="{00000000-0005-0000-0000-0000EFDE0000}"/>
    <cellStyle name="Normal 94 6" xfId="41555" xr:uid="{00000000-0005-0000-0000-0000F0DE0000}"/>
    <cellStyle name="Normal 94 6 2" xfId="41556" xr:uid="{00000000-0005-0000-0000-0000F1DE0000}"/>
    <cellStyle name="Normal 94 6 2 2" xfId="41557" xr:uid="{00000000-0005-0000-0000-0000F2DE0000}"/>
    <cellStyle name="Normal 94 6 3" xfId="41558" xr:uid="{00000000-0005-0000-0000-0000F3DE0000}"/>
    <cellStyle name="Normal 94 6 3 2" xfId="41559" xr:uid="{00000000-0005-0000-0000-0000F4DE0000}"/>
    <cellStyle name="Normal 94 6 4" xfId="41560" xr:uid="{00000000-0005-0000-0000-0000F5DE0000}"/>
    <cellStyle name="Normal 94 7" xfId="41561" xr:uid="{00000000-0005-0000-0000-0000F6DE0000}"/>
    <cellStyle name="Normal 94 7 2" xfId="41562" xr:uid="{00000000-0005-0000-0000-0000F7DE0000}"/>
    <cellStyle name="Normal 94 7 2 2" xfId="41563" xr:uid="{00000000-0005-0000-0000-0000F8DE0000}"/>
    <cellStyle name="Normal 94 7 3" xfId="41564" xr:uid="{00000000-0005-0000-0000-0000F9DE0000}"/>
    <cellStyle name="Normal 94 7 3 2" xfId="41565" xr:uid="{00000000-0005-0000-0000-0000FADE0000}"/>
    <cellStyle name="Normal 94 7 4" xfId="41566" xr:uid="{00000000-0005-0000-0000-0000FBDE0000}"/>
    <cellStyle name="Normal 94 8" xfId="41567" xr:uid="{00000000-0005-0000-0000-0000FCDE0000}"/>
    <cellStyle name="Normal 94 8 2" xfId="41568" xr:uid="{00000000-0005-0000-0000-0000FDDE0000}"/>
    <cellStyle name="Normal 94 8 2 2" xfId="41569" xr:uid="{00000000-0005-0000-0000-0000FEDE0000}"/>
    <cellStyle name="Normal 94 8 3" xfId="41570" xr:uid="{00000000-0005-0000-0000-0000FFDE0000}"/>
    <cellStyle name="Normal 94 8 3 2" xfId="41571" xr:uid="{00000000-0005-0000-0000-000000DF0000}"/>
    <cellStyle name="Normal 94 8 4" xfId="41572" xr:uid="{00000000-0005-0000-0000-000001DF0000}"/>
    <cellStyle name="Normal 94 9" xfId="41573" xr:uid="{00000000-0005-0000-0000-000002DF0000}"/>
    <cellStyle name="Normal 94 9 2" xfId="41574" xr:uid="{00000000-0005-0000-0000-000003DF0000}"/>
    <cellStyle name="Normal 94 9 2 2" xfId="41575" xr:uid="{00000000-0005-0000-0000-000004DF0000}"/>
    <cellStyle name="Normal 94 9 3" xfId="41576" xr:uid="{00000000-0005-0000-0000-000005DF0000}"/>
    <cellStyle name="Normal 95" xfId="41577" xr:uid="{00000000-0005-0000-0000-000006DF0000}"/>
    <cellStyle name="Normal 95 10" xfId="41578" xr:uid="{00000000-0005-0000-0000-000007DF0000}"/>
    <cellStyle name="Normal 95 10 2" xfId="41579" xr:uid="{00000000-0005-0000-0000-000008DF0000}"/>
    <cellStyle name="Normal 95 11" xfId="41580" xr:uid="{00000000-0005-0000-0000-000009DF0000}"/>
    <cellStyle name="Normal 95 11 2" xfId="41581" xr:uid="{00000000-0005-0000-0000-00000ADF0000}"/>
    <cellStyle name="Normal 95 12" xfId="41582" xr:uid="{00000000-0005-0000-0000-00000BDF0000}"/>
    <cellStyle name="Normal 95 2" xfId="41583" xr:uid="{00000000-0005-0000-0000-00000CDF0000}"/>
    <cellStyle name="Normal 95 2 10" xfId="41584" xr:uid="{00000000-0005-0000-0000-00000DDF0000}"/>
    <cellStyle name="Normal 95 2 10 2" xfId="41585" xr:uid="{00000000-0005-0000-0000-00000EDF0000}"/>
    <cellStyle name="Normal 95 2 11" xfId="41586" xr:uid="{00000000-0005-0000-0000-00000FDF0000}"/>
    <cellStyle name="Normal 95 2 2" xfId="41587" xr:uid="{00000000-0005-0000-0000-000010DF0000}"/>
    <cellStyle name="Normal 95 2 2 2" xfId="41588" xr:uid="{00000000-0005-0000-0000-000011DF0000}"/>
    <cellStyle name="Normal 95 2 2 2 2" xfId="41589" xr:uid="{00000000-0005-0000-0000-000012DF0000}"/>
    <cellStyle name="Normal 95 2 2 2 2 2" xfId="41590" xr:uid="{00000000-0005-0000-0000-000013DF0000}"/>
    <cellStyle name="Normal 95 2 2 2 3" xfId="41591" xr:uid="{00000000-0005-0000-0000-000014DF0000}"/>
    <cellStyle name="Normal 95 2 2 2 3 2" xfId="41592" xr:uid="{00000000-0005-0000-0000-000015DF0000}"/>
    <cellStyle name="Normal 95 2 2 2 4" xfId="41593" xr:uid="{00000000-0005-0000-0000-000016DF0000}"/>
    <cellStyle name="Normal 95 2 2 3" xfId="41594" xr:uid="{00000000-0005-0000-0000-000017DF0000}"/>
    <cellStyle name="Normal 95 2 2 3 2" xfId="41595" xr:uid="{00000000-0005-0000-0000-000018DF0000}"/>
    <cellStyle name="Normal 95 2 2 3 2 2" xfId="41596" xr:uid="{00000000-0005-0000-0000-000019DF0000}"/>
    <cellStyle name="Normal 95 2 2 3 3" xfId="41597" xr:uid="{00000000-0005-0000-0000-00001ADF0000}"/>
    <cellStyle name="Normal 95 2 2 3 3 2" xfId="41598" xr:uid="{00000000-0005-0000-0000-00001BDF0000}"/>
    <cellStyle name="Normal 95 2 2 3 4" xfId="41599" xr:uid="{00000000-0005-0000-0000-00001CDF0000}"/>
    <cellStyle name="Normal 95 2 2 4" xfId="41600" xr:uid="{00000000-0005-0000-0000-00001DDF0000}"/>
    <cellStyle name="Normal 95 2 2 4 2" xfId="41601" xr:uid="{00000000-0005-0000-0000-00001EDF0000}"/>
    <cellStyle name="Normal 95 2 2 5" xfId="41602" xr:uid="{00000000-0005-0000-0000-00001FDF0000}"/>
    <cellStyle name="Normal 95 2 2 5 2" xfId="41603" xr:uid="{00000000-0005-0000-0000-000020DF0000}"/>
    <cellStyle name="Normal 95 2 2 6" xfId="41604" xr:uid="{00000000-0005-0000-0000-000021DF0000}"/>
    <cellStyle name="Normal 95 2 3" xfId="41605" xr:uid="{00000000-0005-0000-0000-000022DF0000}"/>
    <cellStyle name="Normal 95 2 3 2" xfId="41606" xr:uid="{00000000-0005-0000-0000-000023DF0000}"/>
    <cellStyle name="Normal 95 2 3 2 2" xfId="41607" xr:uid="{00000000-0005-0000-0000-000024DF0000}"/>
    <cellStyle name="Normal 95 2 3 3" xfId="41608" xr:uid="{00000000-0005-0000-0000-000025DF0000}"/>
    <cellStyle name="Normal 95 2 3 3 2" xfId="41609" xr:uid="{00000000-0005-0000-0000-000026DF0000}"/>
    <cellStyle name="Normal 95 2 3 4" xfId="41610" xr:uid="{00000000-0005-0000-0000-000027DF0000}"/>
    <cellStyle name="Normal 95 2 4" xfId="41611" xr:uid="{00000000-0005-0000-0000-000028DF0000}"/>
    <cellStyle name="Normal 95 2 4 2" xfId="41612" xr:uid="{00000000-0005-0000-0000-000029DF0000}"/>
    <cellStyle name="Normal 95 2 4 2 2" xfId="41613" xr:uid="{00000000-0005-0000-0000-00002ADF0000}"/>
    <cellStyle name="Normal 95 2 4 3" xfId="41614" xr:uid="{00000000-0005-0000-0000-00002BDF0000}"/>
    <cellStyle name="Normal 95 2 4 3 2" xfId="41615" xr:uid="{00000000-0005-0000-0000-00002CDF0000}"/>
    <cellStyle name="Normal 95 2 4 4" xfId="41616" xr:uid="{00000000-0005-0000-0000-00002DDF0000}"/>
    <cellStyle name="Normal 95 2 5" xfId="41617" xr:uid="{00000000-0005-0000-0000-00002EDF0000}"/>
    <cellStyle name="Normal 95 2 5 2" xfId="41618" xr:uid="{00000000-0005-0000-0000-00002FDF0000}"/>
    <cellStyle name="Normal 95 2 5 2 2" xfId="41619" xr:uid="{00000000-0005-0000-0000-000030DF0000}"/>
    <cellStyle name="Normal 95 2 5 3" xfId="41620" xr:uid="{00000000-0005-0000-0000-000031DF0000}"/>
    <cellStyle name="Normal 95 2 5 3 2" xfId="41621" xr:uid="{00000000-0005-0000-0000-000032DF0000}"/>
    <cellStyle name="Normal 95 2 5 4" xfId="41622" xr:uid="{00000000-0005-0000-0000-000033DF0000}"/>
    <cellStyle name="Normal 95 2 6" xfId="41623" xr:uid="{00000000-0005-0000-0000-000034DF0000}"/>
    <cellStyle name="Normal 95 2 6 2" xfId="41624" xr:uid="{00000000-0005-0000-0000-000035DF0000}"/>
    <cellStyle name="Normal 95 2 6 2 2" xfId="41625" xr:uid="{00000000-0005-0000-0000-000036DF0000}"/>
    <cellStyle name="Normal 95 2 6 3" xfId="41626" xr:uid="{00000000-0005-0000-0000-000037DF0000}"/>
    <cellStyle name="Normal 95 2 6 3 2" xfId="41627" xr:uid="{00000000-0005-0000-0000-000038DF0000}"/>
    <cellStyle name="Normal 95 2 6 4" xfId="41628" xr:uid="{00000000-0005-0000-0000-000039DF0000}"/>
    <cellStyle name="Normal 95 2 7" xfId="41629" xr:uid="{00000000-0005-0000-0000-00003ADF0000}"/>
    <cellStyle name="Normal 95 2 7 2" xfId="41630" xr:uid="{00000000-0005-0000-0000-00003BDF0000}"/>
    <cellStyle name="Normal 95 2 7 2 2" xfId="41631" xr:uid="{00000000-0005-0000-0000-00003CDF0000}"/>
    <cellStyle name="Normal 95 2 7 3" xfId="41632" xr:uid="{00000000-0005-0000-0000-00003DDF0000}"/>
    <cellStyle name="Normal 95 2 7 3 2" xfId="41633" xr:uid="{00000000-0005-0000-0000-00003EDF0000}"/>
    <cellStyle name="Normal 95 2 7 4" xfId="41634" xr:uid="{00000000-0005-0000-0000-00003FDF0000}"/>
    <cellStyle name="Normal 95 2 8" xfId="41635" xr:uid="{00000000-0005-0000-0000-000040DF0000}"/>
    <cellStyle name="Normal 95 2 8 2" xfId="41636" xr:uid="{00000000-0005-0000-0000-000041DF0000}"/>
    <cellStyle name="Normal 95 2 8 2 2" xfId="41637" xr:uid="{00000000-0005-0000-0000-000042DF0000}"/>
    <cellStyle name="Normal 95 2 8 3" xfId="41638" xr:uid="{00000000-0005-0000-0000-000043DF0000}"/>
    <cellStyle name="Normal 95 2 9" xfId="41639" xr:uid="{00000000-0005-0000-0000-000044DF0000}"/>
    <cellStyle name="Normal 95 2 9 2" xfId="41640" xr:uid="{00000000-0005-0000-0000-000045DF0000}"/>
    <cellStyle name="Normal 95 3" xfId="41641" xr:uid="{00000000-0005-0000-0000-000046DF0000}"/>
    <cellStyle name="Normal 95 3 2" xfId="41642" xr:uid="{00000000-0005-0000-0000-000047DF0000}"/>
    <cellStyle name="Normal 95 3 2 2" xfId="41643" xr:uid="{00000000-0005-0000-0000-000048DF0000}"/>
    <cellStyle name="Normal 95 3 2 2 2" xfId="41644" xr:uid="{00000000-0005-0000-0000-000049DF0000}"/>
    <cellStyle name="Normal 95 3 2 3" xfId="41645" xr:uid="{00000000-0005-0000-0000-00004ADF0000}"/>
    <cellStyle name="Normal 95 3 2 3 2" xfId="41646" xr:uid="{00000000-0005-0000-0000-00004BDF0000}"/>
    <cellStyle name="Normal 95 3 2 4" xfId="41647" xr:uid="{00000000-0005-0000-0000-00004CDF0000}"/>
    <cellStyle name="Normal 95 3 3" xfId="41648" xr:uid="{00000000-0005-0000-0000-00004DDF0000}"/>
    <cellStyle name="Normal 95 3 3 2" xfId="41649" xr:uid="{00000000-0005-0000-0000-00004EDF0000}"/>
    <cellStyle name="Normal 95 3 3 2 2" xfId="41650" xr:uid="{00000000-0005-0000-0000-00004FDF0000}"/>
    <cellStyle name="Normal 95 3 3 3" xfId="41651" xr:uid="{00000000-0005-0000-0000-000050DF0000}"/>
    <cellStyle name="Normal 95 3 3 3 2" xfId="41652" xr:uid="{00000000-0005-0000-0000-000051DF0000}"/>
    <cellStyle name="Normal 95 3 3 4" xfId="41653" xr:uid="{00000000-0005-0000-0000-000052DF0000}"/>
    <cellStyle name="Normal 95 3 4" xfId="41654" xr:uid="{00000000-0005-0000-0000-000053DF0000}"/>
    <cellStyle name="Normal 95 3 4 2" xfId="41655" xr:uid="{00000000-0005-0000-0000-000054DF0000}"/>
    <cellStyle name="Normal 95 3 5" xfId="41656" xr:uid="{00000000-0005-0000-0000-000055DF0000}"/>
    <cellStyle name="Normal 95 3 5 2" xfId="41657" xr:uid="{00000000-0005-0000-0000-000056DF0000}"/>
    <cellStyle name="Normal 95 3 6" xfId="41658" xr:uid="{00000000-0005-0000-0000-000057DF0000}"/>
    <cellStyle name="Normal 95 4" xfId="41659" xr:uid="{00000000-0005-0000-0000-000058DF0000}"/>
    <cellStyle name="Normal 95 4 2" xfId="41660" xr:uid="{00000000-0005-0000-0000-000059DF0000}"/>
    <cellStyle name="Normal 95 4 2 2" xfId="41661" xr:uid="{00000000-0005-0000-0000-00005ADF0000}"/>
    <cellStyle name="Normal 95 4 3" xfId="41662" xr:uid="{00000000-0005-0000-0000-00005BDF0000}"/>
    <cellStyle name="Normal 95 4 3 2" xfId="41663" xr:uid="{00000000-0005-0000-0000-00005CDF0000}"/>
    <cellStyle name="Normal 95 4 4" xfId="41664" xr:uid="{00000000-0005-0000-0000-00005DDF0000}"/>
    <cellStyle name="Normal 95 5" xfId="41665" xr:uid="{00000000-0005-0000-0000-00005EDF0000}"/>
    <cellStyle name="Normal 95 5 2" xfId="41666" xr:uid="{00000000-0005-0000-0000-00005FDF0000}"/>
    <cellStyle name="Normal 95 5 2 2" xfId="41667" xr:uid="{00000000-0005-0000-0000-000060DF0000}"/>
    <cellStyle name="Normal 95 5 3" xfId="41668" xr:uid="{00000000-0005-0000-0000-000061DF0000}"/>
    <cellStyle name="Normal 95 5 3 2" xfId="41669" xr:uid="{00000000-0005-0000-0000-000062DF0000}"/>
    <cellStyle name="Normal 95 5 4" xfId="41670" xr:uid="{00000000-0005-0000-0000-000063DF0000}"/>
    <cellStyle name="Normal 95 6" xfId="41671" xr:uid="{00000000-0005-0000-0000-000064DF0000}"/>
    <cellStyle name="Normal 95 6 2" xfId="41672" xr:uid="{00000000-0005-0000-0000-000065DF0000}"/>
    <cellStyle name="Normal 95 6 2 2" xfId="41673" xr:uid="{00000000-0005-0000-0000-000066DF0000}"/>
    <cellStyle name="Normal 95 6 3" xfId="41674" xr:uid="{00000000-0005-0000-0000-000067DF0000}"/>
    <cellStyle name="Normal 95 6 3 2" xfId="41675" xr:uid="{00000000-0005-0000-0000-000068DF0000}"/>
    <cellStyle name="Normal 95 6 4" xfId="41676" xr:uid="{00000000-0005-0000-0000-000069DF0000}"/>
    <cellStyle name="Normal 95 7" xfId="41677" xr:uid="{00000000-0005-0000-0000-00006ADF0000}"/>
    <cellStyle name="Normal 95 7 2" xfId="41678" xr:uid="{00000000-0005-0000-0000-00006BDF0000}"/>
    <cellStyle name="Normal 95 7 2 2" xfId="41679" xr:uid="{00000000-0005-0000-0000-00006CDF0000}"/>
    <cellStyle name="Normal 95 7 3" xfId="41680" xr:uid="{00000000-0005-0000-0000-00006DDF0000}"/>
    <cellStyle name="Normal 95 7 3 2" xfId="41681" xr:uid="{00000000-0005-0000-0000-00006EDF0000}"/>
    <cellStyle name="Normal 95 7 4" xfId="41682" xr:uid="{00000000-0005-0000-0000-00006FDF0000}"/>
    <cellStyle name="Normal 95 8" xfId="41683" xr:uid="{00000000-0005-0000-0000-000070DF0000}"/>
    <cellStyle name="Normal 95 8 2" xfId="41684" xr:uid="{00000000-0005-0000-0000-000071DF0000}"/>
    <cellStyle name="Normal 95 8 2 2" xfId="41685" xr:uid="{00000000-0005-0000-0000-000072DF0000}"/>
    <cellStyle name="Normal 95 8 3" xfId="41686" xr:uid="{00000000-0005-0000-0000-000073DF0000}"/>
    <cellStyle name="Normal 95 8 3 2" xfId="41687" xr:uid="{00000000-0005-0000-0000-000074DF0000}"/>
    <cellStyle name="Normal 95 8 4" xfId="41688" xr:uid="{00000000-0005-0000-0000-000075DF0000}"/>
    <cellStyle name="Normal 95 9" xfId="41689" xr:uid="{00000000-0005-0000-0000-000076DF0000}"/>
    <cellStyle name="Normal 95 9 2" xfId="41690" xr:uid="{00000000-0005-0000-0000-000077DF0000}"/>
    <cellStyle name="Normal 95 9 2 2" xfId="41691" xr:uid="{00000000-0005-0000-0000-000078DF0000}"/>
    <cellStyle name="Normal 95 9 3" xfId="41692" xr:uid="{00000000-0005-0000-0000-000079DF0000}"/>
    <cellStyle name="Normal 96" xfId="41693" xr:uid="{00000000-0005-0000-0000-00007ADF0000}"/>
    <cellStyle name="Normal 96 10" xfId="41694" xr:uid="{00000000-0005-0000-0000-00007BDF0000}"/>
    <cellStyle name="Normal 96 10 2" xfId="41695" xr:uid="{00000000-0005-0000-0000-00007CDF0000}"/>
    <cellStyle name="Normal 96 11" xfId="41696" xr:uid="{00000000-0005-0000-0000-00007DDF0000}"/>
    <cellStyle name="Normal 96 11 2" xfId="41697" xr:uid="{00000000-0005-0000-0000-00007EDF0000}"/>
    <cellStyle name="Normal 96 12" xfId="41698" xr:uid="{00000000-0005-0000-0000-00007FDF0000}"/>
    <cellStyle name="Normal 96 2" xfId="41699" xr:uid="{00000000-0005-0000-0000-000080DF0000}"/>
    <cellStyle name="Normal 96 2 10" xfId="41700" xr:uid="{00000000-0005-0000-0000-000081DF0000}"/>
    <cellStyle name="Normal 96 2 10 2" xfId="41701" xr:uid="{00000000-0005-0000-0000-000082DF0000}"/>
    <cellStyle name="Normal 96 2 11" xfId="41702" xr:uid="{00000000-0005-0000-0000-000083DF0000}"/>
    <cellStyle name="Normal 96 2 2" xfId="41703" xr:uid="{00000000-0005-0000-0000-000084DF0000}"/>
    <cellStyle name="Normal 96 2 2 2" xfId="41704" xr:uid="{00000000-0005-0000-0000-000085DF0000}"/>
    <cellStyle name="Normal 96 2 2 2 2" xfId="41705" xr:uid="{00000000-0005-0000-0000-000086DF0000}"/>
    <cellStyle name="Normal 96 2 2 2 2 2" xfId="41706" xr:uid="{00000000-0005-0000-0000-000087DF0000}"/>
    <cellStyle name="Normal 96 2 2 2 3" xfId="41707" xr:uid="{00000000-0005-0000-0000-000088DF0000}"/>
    <cellStyle name="Normal 96 2 2 2 3 2" xfId="41708" xr:uid="{00000000-0005-0000-0000-000089DF0000}"/>
    <cellStyle name="Normal 96 2 2 2 4" xfId="41709" xr:uid="{00000000-0005-0000-0000-00008ADF0000}"/>
    <cellStyle name="Normal 96 2 2 3" xfId="41710" xr:uid="{00000000-0005-0000-0000-00008BDF0000}"/>
    <cellStyle name="Normal 96 2 2 3 2" xfId="41711" xr:uid="{00000000-0005-0000-0000-00008CDF0000}"/>
    <cellStyle name="Normal 96 2 2 3 2 2" xfId="41712" xr:uid="{00000000-0005-0000-0000-00008DDF0000}"/>
    <cellStyle name="Normal 96 2 2 3 3" xfId="41713" xr:uid="{00000000-0005-0000-0000-00008EDF0000}"/>
    <cellStyle name="Normal 96 2 2 3 3 2" xfId="41714" xr:uid="{00000000-0005-0000-0000-00008FDF0000}"/>
    <cellStyle name="Normal 96 2 2 3 4" xfId="41715" xr:uid="{00000000-0005-0000-0000-000090DF0000}"/>
    <cellStyle name="Normal 96 2 2 4" xfId="41716" xr:uid="{00000000-0005-0000-0000-000091DF0000}"/>
    <cellStyle name="Normal 96 2 2 4 2" xfId="41717" xr:uid="{00000000-0005-0000-0000-000092DF0000}"/>
    <cellStyle name="Normal 96 2 2 5" xfId="41718" xr:uid="{00000000-0005-0000-0000-000093DF0000}"/>
    <cellStyle name="Normal 96 2 2 5 2" xfId="41719" xr:uid="{00000000-0005-0000-0000-000094DF0000}"/>
    <cellStyle name="Normal 96 2 2 6" xfId="41720" xr:uid="{00000000-0005-0000-0000-000095DF0000}"/>
    <cellStyle name="Normal 96 2 3" xfId="41721" xr:uid="{00000000-0005-0000-0000-000096DF0000}"/>
    <cellStyle name="Normal 96 2 3 2" xfId="41722" xr:uid="{00000000-0005-0000-0000-000097DF0000}"/>
    <cellStyle name="Normal 96 2 3 2 2" xfId="41723" xr:uid="{00000000-0005-0000-0000-000098DF0000}"/>
    <cellStyle name="Normal 96 2 3 3" xfId="41724" xr:uid="{00000000-0005-0000-0000-000099DF0000}"/>
    <cellStyle name="Normal 96 2 3 3 2" xfId="41725" xr:uid="{00000000-0005-0000-0000-00009ADF0000}"/>
    <cellStyle name="Normal 96 2 3 4" xfId="41726" xr:uid="{00000000-0005-0000-0000-00009BDF0000}"/>
    <cellStyle name="Normal 96 2 4" xfId="41727" xr:uid="{00000000-0005-0000-0000-00009CDF0000}"/>
    <cellStyle name="Normal 96 2 4 2" xfId="41728" xr:uid="{00000000-0005-0000-0000-00009DDF0000}"/>
    <cellStyle name="Normal 96 2 4 2 2" xfId="41729" xr:uid="{00000000-0005-0000-0000-00009EDF0000}"/>
    <cellStyle name="Normal 96 2 4 3" xfId="41730" xr:uid="{00000000-0005-0000-0000-00009FDF0000}"/>
    <cellStyle name="Normal 96 2 4 3 2" xfId="41731" xr:uid="{00000000-0005-0000-0000-0000A0DF0000}"/>
    <cellStyle name="Normal 96 2 4 4" xfId="41732" xr:uid="{00000000-0005-0000-0000-0000A1DF0000}"/>
    <cellStyle name="Normal 96 2 5" xfId="41733" xr:uid="{00000000-0005-0000-0000-0000A2DF0000}"/>
    <cellStyle name="Normal 96 2 5 2" xfId="41734" xr:uid="{00000000-0005-0000-0000-0000A3DF0000}"/>
    <cellStyle name="Normal 96 2 5 2 2" xfId="41735" xr:uid="{00000000-0005-0000-0000-0000A4DF0000}"/>
    <cellStyle name="Normal 96 2 5 3" xfId="41736" xr:uid="{00000000-0005-0000-0000-0000A5DF0000}"/>
    <cellStyle name="Normal 96 2 5 3 2" xfId="41737" xr:uid="{00000000-0005-0000-0000-0000A6DF0000}"/>
    <cellStyle name="Normal 96 2 5 4" xfId="41738" xr:uid="{00000000-0005-0000-0000-0000A7DF0000}"/>
    <cellStyle name="Normal 96 2 6" xfId="41739" xr:uid="{00000000-0005-0000-0000-0000A8DF0000}"/>
    <cellStyle name="Normal 96 2 6 2" xfId="41740" xr:uid="{00000000-0005-0000-0000-0000A9DF0000}"/>
    <cellStyle name="Normal 96 2 6 2 2" xfId="41741" xr:uid="{00000000-0005-0000-0000-0000AADF0000}"/>
    <cellStyle name="Normal 96 2 6 3" xfId="41742" xr:uid="{00000000-0005-0000-0000-0000ABDF0000}"/>
    <cellStyle name="Normal 96 2 6 3 2" xfId="41743" xr:uid="{00000000-0005-0000-0000-0000ACDF0000}"/>
    <cellStyle name="Normal 96 2 6 4" xfId="41744" xr:uid="{00000000-0005-0000-0000-0000ADDF0000}"/>
    <cellStyle name="Normal 96 2 7" xfId="41745" xr:uid="{00000000-0005-0000-0000-0000AEDF0000}"/>
    <cellStyle name="Normal 96 2 7 2" xfId="41746" xr:uid="{00000000-0005-0000-0000-0000AFDF0000}"/>
    <cellStyle name="Normal 96 2 7 2 2" xfId="41747" xr:uid="{00000000-0005-0000-0000-0000B0DF0000}"/>
    <cellStyle name="Normal 96 2 7 3" xfId="41748" xr:uid="{00000000-0005-0000-0000-0000B1DF0000}"/>
    <cellStyle name="Normal 96 2 7 3 2" xfId="41749" xr:uid="{00000000-0005-0000-0000-0000B2DF0000}"/>
    <cellStyle name="Normal 96 2 7 4" xfId="41750" xr:uid="{00000000-0005-0000-0000-0000B3DF0000}"/>
    <cellStyle name="Normal 96 2 8" xfId="41751" xr:uid="{00000000-0005-0000-0000-0000B4DF0000}"/>
    <cellStyle name="Normal 96 2 8 2" xfId="41752" xr:uid="{00000000-0005-0000-0000-0000B5DF0000}"/>
    <cellStyle name="Normal 96 2 8 2 2" xfId="41753" xr:uid="{00000000-0005-0000-0000-0000B6DF0000}"/>
    <cellStyle name="Normal 96 2 8 3" xfId="41754" xr:uid="{00000000-0005-0000-0000-0000B7DF0000}"/>
    <cellStyle name="Normal 96 2 9" xfId="41755" xr:uid="{00000000-0005-0000-0000-0000B8DF0000}"/>
    <cellStyle name="Normal 96 2 9 2" xfId="41756" xr:uid="{00000000-0005-0000-0000-0000B9DF0000}"/>
    <cellStyle name="Normal 96 3" xfId="41757" xr:uid="{00000000-0005-0000-0000-0000BADF0000}"/>
    <cellStyle name="Normal 96 3 2" xfId="41758" xr:uid="{00000000-0005-0000-0000-0000BBDF0000}"/>
    <cellStyle name="Normal 96 3 2 2" xfId="41759" xr:uid="{00000000-0005-0000-0000-0000BCDF0000}"/>
    <cellStyle name="Normal 96 3 2 2 2" xfId="41760" xr:uid="{00000000-0005-0000-0000-0000BDDF0000}"/>
    <cellStyle name="Normal 96 3 2 3" xfId="41761" xr:uid="{00000000-0005-0000-0000-0000BEDF0000}"/>
    <cellStyle name="Normal 96 3 2 3 2" xfId="41762" xr:uid="{00000000-0005-0000-0000-0000BFDF0000}"/>
    <cellStyle name="Normal 96 3 2 4" xfId="41763" xr:uid="{00000000-0005-0000-0000-0000C0DF0000}"/>
    <cellStyle name="Normal 96 3 3" xfId="41764" xr:uid="{00000000-0005-0000-0000-0000C1DF0000}"/>
    <cellStyle name="Normal 96 3 3 2" xfId="41765" xr:uid="{00000000-0005-0000-0000-0000C2DF0000}"/>
    <cellStyle name="Normal 96 3 3 2 2" xfId="41766" xr:uid="{00000000-0005-0000-0000-0000C3DF0000}"/>
    <cellStyle name="Normal 96 3 3 3" xfId="41767" xr:uid="{00000000-0005-0000-0000-0000C4DF0000}"/>
    <cellStyle name="Normal 96 3 3 3 2" xfId="41768" xr:uid="{00000000-0005-0000-0000-0000C5DF0000}"/>
    <cellStyle name="Normal 96 3 3 4" xfId="41769" xr:uid="{00000000-0005-0000-0000-0000C6DF0000}"/>
    <cellStyle name="Normal 96 3 4" xfId="41770" xr:uid="{00000000-0005-0000-0000-0000C7DF0000}"/>
    <cellStyle name="Normal 96 3 4 2" xfId="41771" xr:uid="{00000000-0005-0000-0000-0000C8DF0000}"/>
    <cellStyle name="Normal 96 3 5" xfId="41772" xr:uid="{00000000-0005-0000-0000-0000C9DF0000}"/>
    <cellStyle name="Normal 96 3 5 2" xfId="41773" xr:uid="{00000000-0005-0000-0000-0000CADF0000}"/>
    <cellStyle name="Normal 96 3 6" xfId="41774" xr:uid="{00000000-0005-0000-0000-0000CBDF0000}"/>
    <cellStyle name="Normal 96 4" xfId="41775" xr:uid="{00000000-0005-0000-0000-0000CCDF0000}"/>
    <cellStyle name="Normal 96 4 2" xfId="41776" xr:uid="{00000000-0005-0000-0000-0000CDDF0000}"/>
    <cellStyle name="Normal 96 4 2 2" xfId="41777" xr:uid="{00000000-0005-0000-0000-0000CEDF0000}"/>
    <cellStyle name="Normal 96 4 3" xfId="41778" xr:uid="{00000000-0005-0000-0000-0000CFDF0000}"/>
    <cellStyle name="Normal 96 4 3 2" xfId="41779" xr:uid="{00000000-0005-0000-0000-0000D0DF0000}"/>
    <cellStyle name="Normal 96 4 4" xfId="41780" xr:uid="{00000000-0005-0000-0000-0000D1DF0000}"/>
    <cellStyle name="Normal 96 5" xfId="41781" xr:uid="{00000000-0005-0000-0000-0000D2DF0000}"/>
    <cellStyle name="Normal 96 5 2" xfId="41782" xr:uid="{00000000-0005-0000-0000-0000D3DF0000}"/>
    <cellStyle name="Normal 96 5 2 2" xfId="41783" xr:uid="{00000000-0005-0000-0000-0000D4DF0000}"/>
    <cellStyle name="Normal 96 5 3" xfId="41784" xr:uid="{00000000-0005-0000-0000-0000D5DF0000}"/>
    <cellStyle name="Normal 96 5 3 2" xfId="41785" xr:uid="{00000000-0005-0000-0000-0000D6DF0000}"/>
    <cellStyle name="Normal 96 5 4" xfId="41786" xr:uid="{00000000-0005-0000-0000-0000D7DF0000}"/>
    <cellStyle name="Normal 96 6" xfId="41787" xr:uid="{00000000-0005-0000-0000-0000D8DF0000}"/>
    <cellStyle name="Normal 96 6 2" xfId="41788" xr:uid="{00000000-0005-0000-0000-0000D9DF0000}"/>
    <cellStyle name="Normal 96 6 2 2" xfId="41789" xr:uid="{00000000-0005-0000-0000-0000DADF0000}"/>
    <cellStyle name="Normal 96 6 3" xfId="41790" xr:uid="{00000000-0005-0000-0000-0000DBDF0000}"/>
    <cellStyle name="Normal 96 6 3 2" xfId="41791" xr:uid="{00000000-0005-0000-0000-0000DCDF0000}"/>
    <cellStyle name="Normal 96 6 4" xfId="41792" xr:uid="{00000000-0005-0000-0000-0000DDDF0000}"/>
    <cellStyle name="Normal 96 7" xfId="41793" xr:uid="{00000000-0005-0000-0000-0000DEDF0000}"/>
    <cellStyle name="Normal 96 7 2" xfId="41794" xr:uid="{00000000-0005-0000-0000-0000DFDF0000}"/>
    <cellStyle name="Normal 96 7 2 2" xfId="41795" xr:uid="{00000000-0005-0000-0000-0000E0DF0000}"/>
    <cellStyle name="Normal 96 7 3" xfId="41796" xr:uid="{00000000-0005-0000-0000-0000E1DF0000}"/>
    <cellStyle name="Normal 96 7 3 2" xfId="41797" xr:uid="{00000000-0005-0000-0000-0000E2DF0000}"/>
    <cellStyle name="Normal 96 7 4" xfId="41798" xr:uid="{00000000-0005-0000-0000-0000E3DF0000}"/>
    <cellStyle name="Normal 96 8" xfId="41799" xr:uid="{00000000-0005-0000-0000-0000E4DF0000}"/>
    <cellStyle name="Normal 96 8 2" xfId="41800" xr:uid="{00000000-0005-0000-0000-0000E5DF0000}"/>
    <cellStyle name="Normal 96 8 2 2" xfId="41801" xr:uid="{00000000-0005-0000-0000-0000E6DF0000}"/>
    <cellStyle name="Normal 96 8 3" xfId="41802" xr:uid="{00000000-0005-0000-0000-0000E7DF0000}"/>
    <cellStyle name="Normal 96 8 3 2" xfId="41803" xr:uid="{00000000-0005-0000-0000-0000E8DF0000}"/>
    <cellStyle name="Normal 96 8 4" xfId="41804" xr:uid="{00000000-0005-0000-0000-0000E9DF0000}"/>
    <cellStyle name="Normal 96 9" xfId="41805" xr:uid="{00000000-0005-0000-0000-0000EADF0000}"/>
    <cellStyle name="Normal 96 9 2" xfId="41806" xr:uid="{00000000-0005-0000-0000-0000EBDF0000}"/>
    <cellStyle name="Normal 96 9 2 2" xfId="41807" xr:uid="{00000000-0005-0000-0000-0000ECDF0000}"/>
    <cellStyle name="Normal 96 9 3" xfId="41808" xr:uid="{00000000-0005-0000-0000-0000EDDF0000}"/>
    <cellStyle name="Normal 97" xfId="41809" xr:uid="{00000000-0005-0000-0000-0000EEDF0000}"/>
    <cellStyle name="Normal 97 10" xfId="41810" xr:uid="{00000000-0005-0000-0000-0000EFDF0000}"/>
    <cellStyle name="Normal 97 10 2" xfId="41811" xr:uid="{00000000-0005-0000-0000-0000F0DF0000}"/>
    <cellStyle name="Normal 97 11" xfId="41812" xr:uid="{00000000-0005-0000-0000-0000F1DF0000}"/>
    <cellStyle name="Normal 97 11 2" xfId="41813" xr:uid="{00000000-0005-0000-0000-0000F2DF0000}"/>
    <cellStyle name="Normal 97 12" xfId="41814" xr:uid="{00000000-0005-0000-0000-0000F3DF0000}"/>
    <cellStyle name="Normal 97 2" xfId="41815" xr:uid="{00000000-0005-0000-0000-0000F4DF0000}"/>
    <cellStyle name="Normal 97 2 10" xfId="41816" xr:uid="{00000000-0005-0000-0000-0000F5DF0000}"/>
    <cellStyle name="Normal 97 2 10 2" xfId="41817" xr:uid="{00000000-0005-0000-0000-0000F6DF0000}"/>
    <cellStyle name="Normal 97 2 11" xfId="41818" xr:uid="{00000000-0005-0000-0000-0000F7DF0000}"/>
    <cellStyle name="Normal 97 2 2" xfId="41819" xr:uid="{00000000-0005-0000-0000-0000F8DF0000}"/>
    <cellStyle name="Normal 97 2 2 2" xfId="41820" xr:uid="{00000000-0005-0000-0000-0000F9DF0000}"/>
    <cellStyle name="Normal 97 2 2 2 2" xfId="41821" xr:uid="{00000000-0005-0000-0000-0000FADF0000}"/>
    <cellStyle name="Normal 97 2 2 2 2 2" xfId="41822" xr:uid="{00000000-0005-0000-0000-0000FBDF0000}"/>
    <cellStyle name="Normal 97 2 2 2 3" xfId="41823" xr:uid="{00000000-0005-0000-0000-0000FCDF0000}"/>
    <cellStyle name="Normal 97 2 2 2 3 2" xfId="41824" xr:uid="{00000000-0005-0000-0000-0000FDDF0000}"/>
    <cellStyle name="Normal 97 2 2 2 4" xfId="41825" xr:uid="{00000000-0005-0000-0000-0000FEDF0000}"/>
    <cellStyle name="Normal 97 2 2 3" xfId="41826" xr:uid="{00000000-0005-0000-0000-0000FFDF0000}"/>
    <cellStyle name="Normal 97 2 2 3 2" xfId="41827" xr:uid="{00000000-0005-0000-0000-000000E00000}"/>
    <cellStyle name="Normal 97 2 2 3 2 2" xfId="41828" xr:uid="{00000000-0005-0000-0000-000001E00000}"/>
    <cellStyle name="Normal 97 2 2 3 3" xfId="41829" xr:uid="{00000000-0005-0000-0000-000002E00000}"/>
    <cellStyle name="Normal 97 2 2 3 3 2" xfId="41830" xr:uid="{00000000-0005-0000-0000-000003E00000}"/>
    <cellStyle name="Normal 97 2 2 3 4" xfId="41831" xr:uid="{00000000-0005-0000-0000-000004E00000}"/>
    <cellStyle name="Normal 97 2 2 4" xfId="41832" xr:uid="{00000000-0005-0000-0000-000005E00000}"/>
    <cellStyle name="Normal 97 2 2 4 2" xfId="41833" xr:uid="{00000000-0005-0000-0000-000006E00000}"/>
    <cellStyle name="Normal 97 2 2 5" xfId="41834" xr:uid="{00000000-0005-0000-0000-000007E00000}"/>
    <cellStyle name="Normal 97 2 2 5 2" xfId="41835" xr:uid="{00000000-0005-0000-0000-000008E00000}"/>
    <cellStyle name="Normal 97 2 2 6" xfId="41836" xr:uid="{00000000-0005-0000-0000-000009E00000}"/>
    <cellStyle name="Normal 97 2 3" xfId="41837" xr:uid="{00000000-0005-0000-0000-00000AE00000}"/>
    <cellStyle name="Normal 97 2 3 2" xfId="41838" xr:uid="{00000000-0005-0000-0000-00000BE00000}"/>
    <cellStyle name="Normal 97 2 3 2 2" xfId="41839" xr:uid="{00000000-0005-0000-0000-00000CE00000}"/>
    <cellStyle name="Normal 97 2 3 3" xfId="41840" xr:uid="{00000000-0005-0000-0000-00000DE00000}"/>
    <cellStyle name="Normal 97 2 3 3 2" xfId="41841" xr:uid="{00000000-0005-0000-0000-00000EE00000}"/>
    <cellStyle name="Normal 97 2 3 4" xfId="41842" xr:uid="{00000000-0005-0000-0000-00000FE00000}"/>
    <cellStyle name="Normal 97 2 4" xfId="41843" xr:uid="{00000000-0005-0000-0000-000010E00000}"/>
    <cellStyle name="Normal 97 2 4 2" xfId="41844" xr:uid="{00000000-0005-0000-0000-000011E00000}"/>
    <cellStyle name="Normal 97 2 4 2 2" xfId="41845" xr:uid="{00000000-0005-0000-0000-000012E00000}"/>
    <cellStyle name="Normal 97 2 4 3" xfId="41846" xr:uid="{00000000-0005-0000-0000-000013E00000}"/>
    <cellStyle name="Normal 97 2 4 3 2" xfId="41847" xr:uid="{00000000-0005-0000-0000-000014E00000}"/>
    <cellStyle name="Normal 97 2 4 4" xfId="41848" xr:uid="{00000000-0005-0000-0000-000015E00000}"/>
    <cellStyle name="Normal 97 2 5" xfId="41849" xr:uid="{00000000-0005-0000-0000-000016E00000}"/>
    <cellStyle name="Normal 97 2 5 2" xfId="41850" xr:uid="{00000000-0005-0000-0000-000017E00000}"/>
    <cellStyle name="Normal 97 2 5 2 2" xfId="41851" xr:uid="{00000000-0005-0000-0000-000018E00000}"/>
    <cellStyle name="Normal 97 2 5 3" xfId="41852" xr:uid="{00000000-0005-0000-0000-000019E00000}"/>
    <cellStyle name="Normal 97 2 5 3 2" xfId="41853" xr:uid="{00000000-0005-0000-0000-00001AE00000}"/>
    <cellStyle name="Normal 97 2 5 4" xfId="41854" xr:uid="{00000000-0005-0000-0000-00001BE00000}"/>
    <cellStyle name="Normal 97 2 6" xfId="41855" xr:uid="{00000000-0005-0000-0000-00001CE00000}"/>
    <cellStyle name="Normal 97 2 6 2" xfId="41856" xr:uid="{00000000-0005-0000-0000-00001DE00000}"/>
    <cellStyle name="Normal 97 2 6 2 2" xfId="41857" xr:uid="{00000000-0005-0000-0000-00001EE00000}"/>
    <cellStyle name="Normal 97 2 6 3" xfId="41858" xr:uid="{00000000-0005-0000-0000-00001FE00000}"/>
    <cellStyle name="Normal 97 2 6 3 2" xfId="41859" xr:uid="{00000000-0005-0000-0000-000020E00000}"/>
    <cellStyle name="Normal 97 2 6 4" xfId="41860" xr:uid="{00000000-0005-0000-0000-000021E00000}"/>
    <cellStyle name="Normal 97 2 7" xfId="41861" xr:uid="{00000000-0005-0000-0000-000022E00000}"/>
    <cellStyle name="Normal 97 2 7 2" xfId="41862" xr:uid="{00000000-0005-0000-0000-000023E00000}"/>
    <cellStyle name="Normal 97 2 7 2 2" xfId="41863" xr:uid="{00000000-0005-0000-0000-000024E00000}"/>
    <cellStyle name="Normal 97 2 7 3" xfId="41864" xr:uid="{00000000-0005-0000-0000-000025E00000}"/>
    <cellStyle name="Normal 97 2 7 3 2" xfId="41865" xr:uid="{00000000-0005-0000-0000-000026E00000}"/>
    <cellStyle name="Normal 97 2 7 4" xfId="41866" xr:uid="{00000000-0005-0000-0000-000027E00000}"/>
    <cellStyle name="Normal 97 2 8" xfId="41867" xr:uid="{00000000-0005-0000-0000-000028E00000}"/>
    <cellStyle name="Normal 97 2 8 2" xfId="41868" xr:uid="{00000000-0005-0000-0000-000029E00000}"/>
    <cellStyle name="Normal 97 2 8 2 2" xfId="41869" xr:uid="{00000000-0005-0000-0000-00002AE00000}"/>
    <cellStyle name="Normal 97 2 8 3" xfId="41870" xr:uid="{00000000-0005-0000-0000-00002BE00000}"/>
    <cellStyle name="Normal 97 2 9" xfId="41871" xr:uid="{00000000-0005-0000-0000-00002CE00000}"/>
    <cellStyle name="Normal 97 2 9 2" xfId="41872" xr:uid="{00000000-0005-0000-0000-00002DE00000}"/>
    <cellStyle name="Normal 97 3" xfId="41873" xr:uid="{00000000-0005-0000-0000-00002EE00000}"/>
    <cellStyle name="Normal 97 3 2" xfId="41874" xr:uid="{00000000-0005-0000-0000-00002FE00000}"/>
    <cellStyle name="Normal 97 3 2 2" xfId="41875" xr:uid="{00000000-0005-0000-0000-000030E00000}"/>
    <cellStyle name="Normal 97 3 2 2 2" xfId="41876" xr:uid="{00000000-0005-0000-0000-000031E00000}"/>
    <cellStyle name="Normal 97 3 2 3" xfId="41877" xr:uid="{00000000-0005-0000-0000-000032E00000}"/>
    <cellStyle name="Normal 97 3 2 3 2" xfId="41878" xr:uid="{00000000-0005-0000-0000-000033E00000}"/>
    <cellStyle name="Normal 97 3 2 4" xfId="41879" xr:uid="{00000000-0005-0000-0000-000034E00000}"/>
    <cellStyle name="Normal 97 3 3" xfId="41880" xr:uid="{00000000-0005-0000-0000-000035E00000}"/>
    <cellStyle name="Normal 97 3 3 2" xfId="41881" xr:uid="{00000000-0005-0000-0000-000036E00000}"/>
    <cellStyle name="Normal 97 3 3 2 2" xfId="41882" xr:uid="{00000000-0005-0000-0000-000037E00000}"/>
    <cellStyle name="Normal 97 3 3 3" xfId="41883" xr:uid="{00000000-0005-0000-0000-000038E00000}"/>
    <cellStyle name="Normal 97 3 3 3 2" xfId="41884" xr:uid="{00000000-0005-0000-0000-000039E00000}"/>
    <cellStyle name="Normal 97 3 3 4" xfId="41885" xr:uid="{00000000-0005-0000-0000-00003AE00000}"/>
    <cellStyle name="Normal 97 3 4" xfId="41886" xr:uid="{00000000-0005-0000-0000-00003BE00000}"/>
    <cellStyle name="Normal 97 3 4 2" xfId="41887" xr:uid="{00000000-0005-0000-0000-00003CE00000}"/>
    <cellStyle name="Normal 97 3 5" xfId="41888" xr:uid="{00000000-0005-0000-0000-00003DE00000}"/>
    <cellStyle name="Normal 97 3 5 2" xfId="41889" xr:uid="{00000000-0005-0000-0000-00003EE00000}"/>
    <cellStyle name="Normal 97 3 6" xfId="41890" xr:uid="{00000000-0005-0000-0000-00003FE00000}"/>
    <cellStyle name="Normal 97 4" xfId="41891" xr:uid="{00000000-0005-0000-0000-000040E00000}"/>
    <cellStyle name="Normal 97 4 2" xfId="41892" xr:uid="{00000000-0005-0000-0000-000041E00000}"/>
    <cellStyle name="Normal 97 4 2 2" xfId="41893" xr:uid="{00000000-0005-0000-0000-000042E00000}"/>
    <cellStyle name="Normal 97 4 3" xfId="41894" xr:uid="{00000000-0005-0000-0000-000043E00000}"/>
    <cellStyle name="Normal 97 4 3 2" xfId="41895" xr:uid="{00000000-0005-0000-0000-000044E00000}"/>
    <cellStyle name="Normal 97 4 4" xfId="41896" xr:uid="{00000000-0005-0000-0000-000045E00000}"/>
    <cellStyle name="Normal 97 5" xfId="41897" xr:uid="{00000000-0005-0000-0000-000046E00000}"/>
    <cellStyle name="Normal 97 5 2" xfId="41898" xr:uid="{00000000-0005-0000-0000-000047E00000}"/>
    <cellStyle name="Normal 97 5 2 2" xfId="41899" xr:uid="{00000000-0005-0000-0000-000048E00000}"/>
    <cellStyle name="Normal 97 5 3" xfId="41900" xr:uid="{00000000-0005-0000-0000-000049E00000}"/>
    <cellStyle name="Normal 97 5 3 2" xfId="41901" xr:uid="{00000000-0005-0000-0000-00004AE00000}"/>
    <cellStyle name="Normal 97 5 4" xfId="41902" xr:uid="{00000000-0005-0000-0000-00004BE00000}"/>
    <cellStyle name="Normal 97 6" xfId="41903" xr:uid="{00000000-0005-0000-0000-00004CE00000}"/>
    <cellStyle name="Normal 97 6 2" xfId="41904" xr:uid="{00000000-0005-0000-0000-00004DE00000}"/>
    <cellStyle name="Normal 97 6 2 2" xfId="41905" xr:uid="{00000000-0005-0000-0000-00004EE00000}"/>
    <cellStyle name="Normal 97 6 3" xfId="41906" xr:uid="{00000000-0005-0000-0000-00004FE00000}"/>
    <cellStyle name="Normal 97 6 3 2" xfId="41907" xr:uid="{00000000-0005-0000-0000-000050E00000}"/>
    <cellStyle name="Normal 97 6 4" xfId="41908" xr:uid="{00000000-0005-0000-0000-000051E00000}"/>
    <cellStyle name="Normal 97 7" xfId="41909" xr:uid="{00000000-0005-0000-0000-000052E00000}"/>
    <cellStyle name="Normal 97 7 2" xfId="41910" xr:uid="{00000000-0005-0000-0000-000053E00000}"/>
    <cellStyle name="Normal 97 7 2 2" xfId="41911" xr:uid="{00000000-0005-0000-0000-000054E00000}"/>
    <cellStyle name="Normal 97 7 3" xfId="41912" xr:uid="{00000000-0005-0000-0000-000055E00000}"/>
    <cellStyle name="Normal 97 7 3 2" xfId="41913" xr:uid="{00000000-0005-0000-0000-000056E00000}"/>
    <cellStyle name="Normal 97 7 4" xfId="41914" xr:uid="{00000000-0005-0000-0000-000057E00000}"/>
    <cellStyle name="Normal 97 8" xfId="41915" xr:uid="{00000000-0005-0000-0000-000058E00000}"/>
    <cellStyle name="Normal 97 8 2" xfId="41916" xr:uid="{00000000-0005-0000-0000-000059E00000}"/>
    <cellStyle name="Normal 97 8 2 2" xfId="41917" xr:uid="{00000000-0005-0000-0000-00005AE00000}"/>
    <cellStyle name="Normal 97 8 3" xfId="41918" xr:uid="{00000000-0005-0000-0000-00005BE00000}"/>
    <cellStyle name="Normal 97 8 3 2" xfId="41919" xr:uid="{00000000-0005-0000-0000-00005CE00000}"/>
    <cellStyle name="Normal 97 8 4" xfId="41920" xr:uid="{00000000-0005-0000-0000-00005DE00000}"/>
    <cellStyle name="Normal 97 9" xfId="41921" xr:uid="{00000000-0005-0000-0000-00005EE00000}"/>
    <cellStyle name="Normal 97 9 2" xfId="41922" xr:uid="{00000000-0005-0000-0000-00005FE00000}"/>
    <cellStyle name="Normal 97 9 2 2" xfId="41923" xr:uid="{00000000-0005-0000-0000-000060E00000}"/>
    <cellStyle name="Normal 97 9 3" xfId="41924" xr:uid="{00000000-0005-0000-0000-000061E00000}"/>
    <cellStyle name="Normal 98" xfId="41925" xr:uid="{00000000-0005-0000-0000-000062E00000}"/>
    <cellStyle name="Normal 98 10" xfId="41926" xr:uid="{00000000-0005-0000-0000-000063E00000}"/>
    <cellStyle name="Normal 98 10 2" xfId="41927" xr:uid="{00000000-0005-0000-0000-000064E00000}"/>
    <cellStyle name="Normal 98 11" xfId="41928" xr:uid="{00000000-0005-0000-0000-000065E00000}"/>
    <cellStyle name="Normal 98 11 2" xfId="41929" xr:uid="{00000000-0005-0000-0000-000066E00000}"/>
    <cellStyle name="Normal 98 12" xfId="41930" xr:uid="{00000000-0005-0000-0000-000067E00000}"/>
    <cellStyle name="Normal 98 2" xfId="41931" xr:uid="{00000000-0005-0000-0000-000068E00000}"/>
    <cellStyle name="Normal 98 2 10" xfId="41932" xr:uid="{00000000-0005-0000-0000-000069E00000}"/>
    <cellStyle name="Normal 98 2 10 2" xfId="41933" xr:uid="{00000000-0005-0000-0000-00006AE00000}"/>
    <cellStyle name="Normal 98 2 11" xfId="41934" xr:uid="{00000000-0005-0000-0000-00006BE00000}"/>
    <cellStyle name="Normal 98 2 2" xfId="41935" xr:uid="{00000000-0005-0000-0000-00006CE00000}"/>
    <cellStyle name="Normal 98 2 2 2" xfId="41936" xr:uid="{00000000-0005-0000-0000-00006DE00000}"/>
    <cellStyle name="Normal 98 2 2 2 2" xfId="41937" xr:uid="{00000000-0005-0000-0000-00006EE00000}"/>
    <cellStyle name="Normal 98 2 2 2 2 2" xfId="41938" xr:uid="{00000000-0005-0000-0000-00006FE00000}"/>
    <cellStyle name="Normal 98 2 2 2 3" xfId="41939" xr:uid="{00000000-0005-0000-0000-000070E00000}"/>
    <cellStyle name="Normal 98 2 2 2 3 2" xfId="41940" xr:uid="{00000000-0005-0000-0000-000071E00000}"/>
    <cellStyle name="Normal 98 2 2 2 4" xfId="41941" xr:uid="{00000000-0005-0000-0000-000072E00000}"/>
    <cellStyle name="Normal 98 2 2 3" xfId="41942" xr:uid="{00000000-0005-0000-0000-000073E00000}"/>
    <cellStyle name="Normal 98 2 2 3 2" xfId="41943" xr:uid="{00000000-0005-0000-0000-000074E00000}"/>
    <cellStyle name="Normal 98 2 2 3 2 2" xfId="41944" xr:uid="{00000000-0005-0000-0000-000075E00000}"/>
    <cellStyle name="Normal 98 2 2 3 3" xfId="41945" xr:uid="{00000000-0005-0000-0000-000076E00000}"/>
    <cellStyle name="Normal 98 2 2 3 3 2" xfId="41946" xr:uid="{00000000-0005-0000-0000-000077E00000}"/>
    <cellStyle name="Normal 98 2 2 3 4" xfId="41947" xr:uid="{00000000-0005-0000-0000-000078E00000}"/>
    <cellStyle name="Normal 98 2 2 4" xfId="41948" xr:uid="{00000000-0005-0000-0000-000079E00000}"/>
    <cellStyle name="Normal 98 2 2 4 2" xfId="41949" xr:uid="{00000000-0005-0000-0000-00007AE00000}"/>
    <cellStyle name="Normal 98 2 2 5" xfId="41950" xr:uid="{00000000-0005-0000-0000-00007BE00000}"/>
    <cellStyle name="Normal 98 2 2 5 2" xfId="41951" xr:uid="{00000000-0005-0000-0000-00007CE00000}"/>
    <cellStyle name="Normal 98 2 2 6" xfId="41952" xr:uid="{00000000-0005-0000-0000-00007DE00000}"/>
    <cellStyle name="Normal 98 2 3" xfId="41953" xr:uid="{00000000-0005-0000-0000-00007EE00000}"/>
    <cellStyle name="Normal 98 2 3 2" xfId="41954" xr:uid="{00000000-0005-0000-0000-00007FE00000}"/>
    <cellStyle name="Normal 98 2 3 2 2" xfId="41955" xr:uid="{00000000-0005-0000-0000-000080E00000}"/>
    <cellStyle name="Normal 98 2 3 3" xfId="41956" xr:uid="{00000000-0005-0000-0000-000081E00000}"/>
    <cellStyle name="Normal 98 2 3 3 2" xfId="41957" xr:uid="{00000000-0005-0000-0000-000082E00000}"/>
    <cellStyle name="Normal 98 2 3 4" xfId="41958" xr:uid="{00000000-0005-0000-0000-000083E00000}"/>
    <cellStyle name="Normal 98 2 4" xfId="41959" xr:uid="{00000000-0005-0000-0000-000084E00000}"/>
    <cellStyle name="Normal 98 2 4 2" xfId="41960" xr:uid="{00000000-0005-0000-0000-000085E00000}"/>
    <cellStyle name="Normal 98 2 4 2 2" xfId="41961" xr:uid="{00000000-0005-0000-0000-000086E00000}"/>
    <cellStyle name="Normal 98 2 4 3" xfId="41962" xr:uid="{00000000-0005-0000-0000-000087E00000}"/>
    <cellStyle name="Normal 98 2 4 3 2" xfId="41963" xr:uid="{00000000-0005-0000-0000-000088E00000}"/>
    <cellStyle name="Normal 98 2 4 4" xfId="41964" xr:uid="{00000000-0005-0000-0000-000089E00000}"/>
    <cellStyle name="Normal 98 2 5" xfId="41965" xr:uid="{00000000-0005-0000-0000-00008AE00000}"/>
    <cellStyle name="Normal 98 2 5 2" xfId="41966" xr:uid="{00000000-0005-0000-0000-00008BE00000}"/>
    <cellStyle name="Normal 98 2 5 2 2" xfId="41967" xr:uid="{00000000-0005-0000-0000-00008CE00000}"/>
    <cellStyle name="Normal 98 2 5 3" xfId="41968" xr:uid="{00000000-0005-0000-0000-00008DE00000}"/>
    <cellStyle name="Normal 98 2 5 3 2" xfId="41969" xr:uid="{00000000-0005-0000-0000-00008EE00000}"/>
    <cellStyle name="Normal 98 2 5 4" xfId="41970" xr:uid="{00000000-0005-0000-0000-00008FE00000}"/>
    <cellStyle name="Normal 98 2 6" xfId="41971" xr:uid="{00000000-0005-0000-0000-000090E00000}"/>
    <cellStyle name="Normal 98 2 6 2" xfId="41972" xr:uid="{00000000-0005-0000-0000-000091E00000}"/>
    <cellStyle name="Normal 98 2 6 2 2" xfId="41973" xr:uid="{00000000-0005-0000-0000-000092E00000}"/>
    <cellStyle name="Normal 98 2 6 3" xfId="41974" xr:uid="{00000000-0005-0000-0000-000093E00000}"/>
    <cellStyle name="Normal 98 2 6 3 2" xfId="41975" xr:uid="{00000000-0005-0000-0000-000094E00000}"/>
    <cellStyle name="Normal 98 2 6 4" xfId="41976" xr:uid="{00000000-0005-0000-0000-000095E00000}"/>
    <cellStyle name="Normal 98 2 7" xfId="41977" xr:uid="{00000000-0005-0000-0000-000096E00000}"/>
    <cellStyle name="Normal 98 2 7 2" xfId="41978" xr:uid="{00000000-0005-0000-0000-000097E00000}"/>
    <cellStyle name="Normal 98 2 7 2 2" xfId="41979" xr:uid="{00000000-0005-0000-0000-000098E00000}"/>
    <cellStyle name="Normal 98 2 7 3" xfId="41980" xr:uid="{00000000-0005-0000-0000-000099E00000}"/>
    <cellStyle name="Normal 98 2 7 3 2" xfId="41981" xr:uid="{00000000-0005-0000-0000-00009AE00000}"/>
    <cellStyle name="Normal 98 2 7 4" xfId="41982" xr:uid="{00000000-0005-0000-0000-00009BE00000}"/>
    <cellStyle name="Normal 98 2 8" xfId="41983" xr:uid="{00000000-0005-0000-0000-00009CE00000}"/>
    <cellStyle name="Normal 98 2 8 2" xfId="41984" xr:uid="{00000000-0005-0000-0000-00009DE00000}"/>
    <cellStyle name="Normal 98 2 8 2 2" xfId="41985" xr:uid="{00000000-0005-0000-0000-00009EE00000}"/>
    <cellStyle name="Normal 98 2 8 3" xfId="41986" xr:uid="{00000000-0005-0000-0000-00009FE00000}"/>
    <cellStyle name="Normal 98 2 9" xfId="41987" xr:uid="{00000000-0005-0000-0000-0000A0E00000}"/>
    <cellStyle name="Normal 98 2 9 2" xfId="41988" xr:uid="{00000000-0005-0000-0000-0000A1E00000}"/>
    <cellStyle name="Normal 98 3" xfId="41989" xr:uid="{00000000-0005-0000-0000-0000A2E00000}"/>
    <cellStyle name="Normal 98 3 2" xfId="41990" xr:uid="{00000000-0005-0000-0000-0000A3E00000}"/>
    <cellStyle name="Normal 98 3 2 2" xfId="41991" xr:uid="{00000000-0005-0000-0000-0000A4E00000}"/>
    <cellStyle name="Normal 98 3 2 2 2" xfId="41992" xr:uid="{00000000-0005-0000-0000-0000A5E00000}"/>
    <cellStyle name="Normal 98 3 2 3" xfId="41993" xr:uid="{00000000-0005-0000-0000-0000A6E00000}"/>
    <cellStyle name="Normal 98 3 2 3 2" xfId="41994" xr:uid="{00000000-0005-0000-0000-0000A7E00000}"/>
    <cellStyle name="Normal 98 3 2 4" xfId="41995" xr:uid="{00000000-0005-0000-0000-0000A8E00000}"/>
    <cellStyle name="Normal 98 3 3" xfId="41996" xr:uid="{00000000-0005-0000-0000-0000A9E00000}"/>
    <cellStyle name="Normal 98 3 3 2" xfId="41997" xr:uid="{00000000-0005-0000-0000-0000AAE00000}"/>
    <cellStyle name="Normal 98 3 3 2 2" xfId="41998" xr:uid="{00000000-0005-0000-0000-0000ABE00000}"/>
    <cellStyle name="Normal 98 3 3 3" xfId="41999" xr:uid="{00000000-0005-0000-0000-0000ACE00000}"/>
    <cellStyle name="Normal 98 3 3 3 2" xfId="42000" xr:uid="{00000000-0005-0000-0000-0000ADE00000}"/>
    <cellStyle name="Normal 98 3 3 4" xfId="42001" xr:uid="{00000000-0005-0000-0000-0000AEE00000}"/>
    <cellStyle name="Normal 98 3 4" xfId="42002" xr:uid="{00000000-0005-0000-0000-0000AFE00000}"/>
    <cellStyle name="Normal 98 3 4 2" xfId="42003" xr:uid="{00000000-0005-0000-0000-0000B0E00000}"/>
    <cellStyle name="Normal 98 3 5" xfId="42004" xr:uid="{00000000-0005-0000-0000-0000B1E00000}"/>
    <cellStyle name="Normal 98 3 5 2" xfId="42005" xr:uid="{00000000-0005-0000-0000-0000B2E00000}"/>
    <cellStyle name="Normal 98 3 6" xfId="42006" xr:uid="{00000000-0005-0000-0000-0000B3E00000}"/>
    <cellStyle name="Normal 98 4" xfId="42007" xr:uid="{00000000-0005-0000-0000-0000B4E00000}"/>
    <cellStyle name="Normal 98 4 2" xfId="42008" xr:uid="{00000000-0005-0000-0000-0000B5E00000}"/>
    <cellStyle name="Normal 98 4 2 2" xfId="42009" xr:uid="{00000000-0005-0000-0000-0000B6E00000}"/>
    <cellStyle name="Normal 98 4 3" xfId="42010" xr:uid="{00000000-0005-0000-0000-0000B7E00000}"/>
    <cellStyle name="Normal 98 4 3 2" xfId="42011" xr:uid="{00000000-0005-0000-0000-0000B8E00000}"/>
    <cellStyle name="Normal 98 4 4" xfId="42012" xr:uid="{00000000-0005-0000-0000-0000B9E00000}"/>
    <cellStyle name="Normal 98 5" xfId="42013" xr:uid="{00000000-0005-0000-0000-0000BAE00000}"/>
    <cellStyle name="Normal 98 5 2" xfId="42014" xr:uid="{00000000-0005-0000-0000-0000BBE00000}"/>
    <cellStyle name="Normal 98 5 2 2" xfId="42015" xr:uid="{00000000-0005-0000-0000-0000BCE00000}"/>
    <cellStyle name="Normal 98 5 3" xfId="42016" xr:uid="{00000000-0005-0000-0000-0000BDE00000}"/>
    <cellStyle name="Normal 98 5 3 2" xfId="42017" xr:uid="{00000000-0005-0000-0000-0000BEE00000}"/>
    <cellStyle name="Normal 98 5 4" xfId="42018" xr:uid="{00000000-0005-0000-0000-0000BFE00000}"/>
    <cellStyle name="Normal 98 6" xfId="42019" xr:uid="{00000000-0005-0000-0000-0000C0E00000}"/>
    <cellStyle name="Normal 98 6 2" xfId="42020" xr:uid="{00000000-0005-0000-0000-0000C1E00000}"/>
    <cellStyle name="Normal 98 6 2 2" xfId="42021" xr:uid="{00000000-0005-0000-0000-0000C2E00000}"/>
    <cellStyle name="Normal 98 6 3" xfId="42022" xr:uid="{00000000-0005-0000-0000-0000C3E00000}"/>
    <cellStyle name="Normal 98 6 3 2" xfId="42023" xr:uid="{00000000-0005-0000-0000-0000C4E00000}"/>
    <cellStyle name="Normal 98 6 4" xfId="42024" xr:uid="{00000000-0005-0000-0000-0000C5E00000}"/>
    <cellStyle name="Normal 98 7" xfId="42025" xr:uid="{00000000-0005-0000-0000-0000C6E00000}"/>
    <cellStyle name="Normal 98 7 2" xfId="42026" xr:uid="{00000000-0005-0000-0000-0000C7E00000}"/>
    <cellStyle name="Normal 98 7 2 2" xfId="42027" xr:uid="{00000000-0005-0000-0000-0000C8E00000}"/>
    <cellStyle name="Normal 98 7 3" xfId="42028" xr:uid="{00000000-0005-0000-0000-0000C9E00000}"/>
    <cellStyle name="Normal 98 7 3 2" xfId="42029" xr:uid="{00000000-0005-0000-0000-0000CAE00000}"/>
    <cellStyle name="Normal 98 7 4" xfId="42030" xr:uid="{00000000-0005-0000-0000-0000CBE00000}"/>
    <cellStyle name="Normal 98 8" xfId="42031" xr:uid="{00000000-0005-0000-0000-0000CCE00000}"/>
    <cellStyle name="Normal 98 8 2" xfId="42032" xr:uid="{00000000-0005-0000-0000-0000CDE00000}"/>
    <cellStyle name="Normal 98 8 2 2" xfId="42033" xr:uid="{00000000-0005-0000-0000-0000CEE00000}"/>
    <cellStyle name="Normal 98 8 3" xfId="42034" xr:uid="{00000000-0005-0000-0000-0000CFE00000}"/>
    <cellStyle name="Normal 98 8 3 2" xfId="42035" xr:uid="{00000000-0005-0000-0000-0000D0E00000}"/>
    <cellStyle name="Normal 98 8 4" xfId="42036" xr:uid="{00000000-0005-0000-0000-0000D1E00000}"/>
    <cellStyle name="Normal 98 9" xfId="42037" xr:uid="{00000000-0005-0000-0000-0000D2E00000}"/>
    <cellStyle name="Normal 98 9 2" xfId="42038" xr:uid="{00000000-0005-0000-0000-0000D3E00000}"/>
    <cellStyle name="Normal 98 9 2 2" xfId="42039" xr:uid="{00000000-0005-0000-0000-0000D4E00000}"/>
    <cellStyle name="Normal 98 9 3" xfId="42040" xr:uid="{00000000-0005-0000-0000-0000D5E00000}"/>
    <cellStyle name="Normal 99" xfId="42041" xr:uid="{00000000-0005-0000-0000-0000D6E00000}"/>
    <cellStyle name="Normal 99 10" xfId="42042" xr:uid="{00000000-0005-0000-0000-0000D7E00000}"/>
    <cellStyle name="Normal 99 10 2" xfId="42043" xr:uid="{00000000-0005-0000-0000-0000D8E00000}"/>
    <cellStyle name="Normal 99 11" xfId="42044" xr:uid="{00000000-0005-0000-0000-0000D9E00000}"/>
    <cellStyle name="Normal 99 11 2" xfId="42045" xr:uid="{00000000-0005-0000-0000-0000DAE00000}"/>
    <cellStyle name="Normal 99 12" xfId="42046" xr:uid="{00000000-0005-0000-0000-0000DBE00000}"/>
    <cellStyle name="Normal 99 2" xfId="42047" xr:uid="{00000000-0005-0000-0000-0000DCE00000}"/>
    <cellStyle name="Normal 99 2 10" xfId="42048" xr:uid="{00000000-0005-0000-0000-0000DDE00000}"/>
    <cellStyle name="Normal 99 2 10 2" xfId="42049" xr:uid="{00000000-0005-0000-0000-0000DEE00000}"/>
    <cellStyle name="Normal 99 2 11" xfId="42050" xr:uid="{00000000-0005-0000-0000-0000DFE00000}"/>
    <cellStyle name="Normal 99 2 2" xfId="42051" xr:uid="{00000000-0005-0000-0000-0000E0E00000}"/>
    <cellStyle name="Normal 99 2 2 2" xfId="42052" xr:uid="{00000000-0005-0000-0000-0000E1E00000}"/>
    <cellStyle name="Normal 99 2 2 2 2" xfId="42053" xr:uid="{00000000-0005-0000-0000-0000E2E00000}"/>
    <cellStyle name="Normal 99 2 2 2 2 2" xfId="42054" xr:uid="{00000000-0005-0000-0000-0000E3E00000}"/>
    <cellStyle name="Normal 99 2 2 2 3" xfId="42055" xr:uid="{00000000-0005-0000-0000-0000E4E00000}"/>
    <cellStyle name="Normal 99 2 2 2 3 2" xfId="42056" xr:uid="{00000000-0005-0000-0000-0000E5E00000}"/>
    <cellStyle name="Normal 99 2 2 2 4" xfId="42057" xr:uid="{00000000-0005-0000-0000-0000E6E00000}"/>
    <cellStyle name="Normal 99 2 2 3" xfId="42058" xr:uid="{00000000-0005-0000-0000-0000E7E00000}"/>
    <cellStyle name="Normal 99 2 2 3 2" xfId="42059" xr:uid="{00000000-0005-0000-0000-0000E8E00000}"/>
    <cellStyle name="Normal 99 2 2 3 2 2" xfId="42060" xr:uid="{00000000-0005-0000-0000-0000E9E00000}"/>
    <cellStyle name="Normal 99 2 2 3 3" xfId="42061" xr:uid="{00000000-0005-0000-0000-0000EAE00000}"/>
    <cellStyle name="Normal 99 2 2 3 3 2" xfId="42062" xr:uid="{00000000-0005-0000-0000-0000EBE00000}"/>
    <cellStyle name="Normal 99 2 2 3 4" xfId="42063" xr:uid="{00000000-0005-0000-0000-0000ECE00000}"/>
    <cellStyle name="Normal 99 2 2 4" xfId="42064" xr:uid="{00000000-0005-0000-0000-0000EDE00000}"/>
    <cellStyle name="Normal 99 2 2 4 2" xfId="42065" xr:uid="{00000000-0005-0000-0000-0000EEE00000}"/>
    <cellStyle name="Normal 99 2 2 5" xfId="42066" xr:uid="{00000000-0005-0000-0000-0000EFE00000}"/>
    <cellStyle name="Normal 99 2 2 5 2" xfId="42067" xr:uid="{00000000-0005-0000-0000-0000F0E00000}"/>
    <cellStyle name="Normal 99 2 2 6" xfId="42068" xr:uid="{00000000-0005-0000-0000-0000F1E00000}"/>
    <cellStyle name="Normal 99 2 3" xfId="42069" xr:uid="{00000000-0005-0000-0000-0000F2E00000}"/>
    <cellStyle name="Normal 99 2 3 2" xfId="42070" xr:uid="{00000000-0005-0000-0000-0000F3E00000}"/>
    <cellStyle name="Normal 99 2 3 2 2" xfId="42071" xr:uid="{00000000-0005-0000-0000-0000F4E00000}"/>
    <cellStyle name="Normal 99 2 3 3" xfId="42072" xr:uid="{00000000-0005-0000-0000-0000F5E00000}"/>
    <cellStyle name="Normal 99 2 3 3 2" xfId="42073" xr:uid="{00000000-0005-0000-0000-0000F6E00000}"/>
    <cellStyle name="Normal 99 2 3 4" xfId="42074" xr:uid="{00000000-0005-0000-0000-0000F7E00000}"/>
    <cellStyle name="Normal 99 2 4" xfId="42075" xr:uid="{00000000-0005-0000-0000-0000F8E00000}"/>
    <cellStyle name="Normal 99 2 4 2" xfId="42076" xr:uid="{00000000-0005-0000-0000-0000F9E00000}"/>
    <cellStyle name="Normal 99 2 4 2 2" xfId="42077" xr:uid="{00000000-0005-0000-0000-0000FAE00000}"/>
    <cellStyle name="Normal 99 2 4 3" xfId="42078" xr:uid="{00000000-0005-0000-0000-0000FBE00000}"/>
    <cellStyle name="Normal 99 2 4 3 2" xfId="42079" xr:uid="{00000000-0005-0000-0000-0000FCE00000}"/>
    <cellStyle name="Normal 99 2 4 4" xfId="42080" xr:uid="{00000000-0005-0000-0000-0000FDE00000}"/>
    <cellStyle name="Normal 99 2 5" xfId="42081" xr:uid="{00000000-0005-0000-0000-0000FEE00000}"/>
    <cellStyle name="Normal 99 2 5 2" xfId="42082" xr:uid="{00000000-0005-0000-0000-0000FFE00000}"/>
    <cellStyle name="Normal 99 2 5 2 2" xfId="42083" xr:uid="{00000000-0005-0000-0000-000000E10000}"/>
    <cellStyle name="Normal 99 2 5 3" xfId="42084" xr:uid="{00000000-0005-0000-0000-000001E10000}"/>
    <cellStyle name="Normal 99 2 5 3 2" xfId="42085" xr:uid="{00000000-0005-0000-0000-000002E10000}"/>
    <cellStyle name="Normal 99 2 5 4" xfId="42086" xr:uid="{00000000-0005-0000-0000-000003E10000}"/>
    <cellStyle name="Normal 99 2 6" xfId="42087" xr:uid="{00000000-0005-0000-0000-000004E10000}"/>
    <cellStyle name="Normal 99 2 6 2" xfId="42088" xr:uid="{00000000-0005-0000-0000-000005E10000}"/>
    <cellStyle name="Normal 99 2 6 2 2" xfId="42089" xr:uid="{00000000-0005-0000-0000-000006E10000}"/>
    <cellStyle name="Normal 99 2 6 3" xfId="42090" xr:uid="{00000000-0005-0000-0000-000007E10000}"/>
    <cellStyle name="Normal 99 2 6 3 2" xfId="42091" xr:uid="{00000000-0005-0000-0000-000008E10000}"/>
    <cellStyle name="Normal 99 2 6 4" xfId="42092" xr:uid="{00000000-0005-0000-0000-000009E10000}"/>
    <cellStyle name="Normal 99 2 7" xfId="42093" xr:uid="{00000000-0005-0000-0000-00000AE10000}"/>
    <cellStyle name="Normal 99 2 7 2" xfId="42094" xr:uid="{00000000-0005-0000-0000-00000BE10000}"/>
    <cellStyle name="Normal 99 2 7 2 2" xfId="42095" xr:uid="{00000000-0005-0000-0000-00000CE10000}"/>
    <cellStyle name="Normal 99 2 7 3" xfId="42096" xr:uid="{00000000-0005-0000-0000-00000DE10000}"/>
    <cellStyle name="Normal 99 2 7 3 2" xfId="42097" xr:uid="{00000000-0005-0000-0000-00000EE10000}"/>
    <cellStyle name="Normal 99 2 7 4" xfId="42098" xr:uid="{00000000-0005-0000-0000-00000FE10000}"/>
    <cellStyle name="Normal 99 2 8" xfId="42099" xr:uid="{00000000-0005-0000-0000-000010E10000}"/>
    <cellStyle name="Normal 99 2 8 2" xfId="42100" xr:uid="{00000000-0005-0000-0000-000011E10000}"/>
    <cellStyle name="Normal 99 2 8 2 2" xfId="42101" xr:uid="{00000000-0005-0000-0000-000012E10000}"/>
    <cellStyle name="Normal 99 2 8 3" xfId="42102" xr:uid="{00000000-0005-0000-0000-000013E10000}"/>
    <cellStyle name="Normal 99 2 9" xfId="42103" xr:uid="{00000000-0005-0000-0000-000014E10000}"/>
    <cellStyle name="Normal 99 2 9 2" xfId="42104" xr:uid="{00000000-0005-0000-0000-000015E10000}"/>
    <cellStyle name="Normal 99 3" xfId="42105" xr:uid="{00000000-0005-0000-0000-000016E10000}"/>
    <cellStyle name="Normal 99 3 2" xfId="42106" xr:uid="{00000000-0005-0000-0000-000017E10000}"/>
    <cellStyle name="Normal 99 3 2 2" xfId="42107" xr:uid="{00000000-0005-0000-0000-000018E10000}"/>
    <cellStyle name="Normal 99 3 2 2 2" xfId="42108" xr:uid="{00000000-0005-0000-0000-000019E10000}"/>
    <cellStyle name="Normal 99 3 2 3" xfId="42109" xr:uid="{00000000-0005-0000-0000-00001AE10000}"/>
    <cellStyle name="Normal 99 3 2 3 2" xfId="42110" xr:uid="{00000000-0005-0000-0000-00001BE10000}"/>
    <cellStyle name="Normal 99 3 2 4" xfId="42111" xr:uid="{00000000-0005-0000-0000-00001CE10000}"/>
    <cellStyle name="Normal 99 3 3" xfId="42112" xr:uid="{00000000-0005-0000-0000-00001DE10000}"/>
    <cellStyle name="Normal 99 3 3 2" xfId="42113" xr:uid="{00000000-0005-0000-0000-00001EE10000}"/>
    <cellStyle name="Normal 99 3 3 2 2" xfId="42114" xr:uid="{00000000-0005-0000-0000-00001FE10000}"/>
    <cellStyle name="Normal 99 3 3 3" xfId="42115" xr:uid="{00000000-0005-0000-0000-000020E10000}"/>
    <cellStyle name="Normal 99 3 3 3 2" xfId="42116" xr:uid="{00000000-0005-0000-0000-000021E10000}"/>
    <cellStyle name="Normal 99 3 3 4" xfId="42117" xr:uid="{00000000-0005-0000-0000-000022E10000}"/>
    <cellStyle name="Normal 99 3 4" xfId="42118" xr:uid="{00000000-0005-0000-0000-000023E10000}"/>
    <cellStyle name="Normal 99 3 4 2" xfId="42119" xr:uid="{00000000-0005-0000-0000-000024E10000}"/>
    <cellStyle name="Normal 99 3 5" xfId="42120" xr:uid="{00000000-0005-0000-0000-000025E10000}"/>
    <cellStyle name="Normal 99 3 5 2" xfId="42121" xr:uid="{00000000-0005-0000-0000-000026E10000}"/>
    <cellStyle name="Normal 99 3 6" xfId="42122" xr:uid="{00000000-0005-0000-0000-000027E10000}"/>
    <cellStyle name="Normal 99 4" xfId="42123" xr:uid="{00000000-0005-0000-0000-000028E10000}"/>
    <cellStyle name="Normal 99 4 2" xfId="42124" xr:uid="{00000000-0005-0000-0000-000029E10000}"/>
    <cellStyle name="Normal 99 4 2 2" xfId="42125" xr:uid="{00000000-0005-0000-0000-00002AE10000}"/>
    <cellStyle name="Normal 99 4 3" xfId="42126" xr:uid="{00000000-0005-0000-0000-00002BE10000}"/>
    <cellStyle name="Normal 99 4 3 2" xfId="42127" xr:uid="{00000000-0005-0000-0000-00002CE10000}"/>
    <cellStyle name="Normal 99 4 4" xfId="42128" xr:uid="{00000000-0005-0000-0000-00002DE10000}"/>
    <cellStyle name="Normal 99 5" xfId="42129" xr:uid="{00000000-0005-0000-0000-00002EE10000}"/>
    <cellStyle name="Normal 99 5 2" xfId="42130" xr:uid="{00000000-0005-0000-0000-00002FE10000}"/>
    <cellStyle name="Normal 99 5 2 2" xfId="42131" xr:uid="{00000000-0005-0000-0000-000030E10000}"/>
    <cellStyle name="Normal 99 5 3" xfId="42132" xr:uid="{00000000-0005-0000-0000-000031E10000}"/>
    <cellStyle name="Normal 99 5 3 2" xfId="42133" xr:uid="{00000000-0005-0000-0000-000032E10000}"/>
    <cellStyle name="Normal 99 5 4" xfId="42134" xr:uid="{00000000-0005-0000-0000-000033E10000}"/>
    <cellStyle name="Normal 99 6" xfId="42135" xr:uid="{00000000-0005-0000-0000-000034E10000}"/>
    <cellStyle name="Normal 99 6 2" xfId="42136" xr:uid="{00000000-0005-0000-0000-000035E10000}"/>
    <cellStyle name="Normal 99 6 2 2" xfId="42137" xr:uid="{00000000-0005-0000-0000-000036E10000}"/>
    <cellStyle name="Normal 99 6 3" xfId="42138" xr:uid="{00000000-0005-0000-0000-000037E10000}"/>
    <cellStyle name="Normal 99 6 3 2" xfId="42139" xr:uid="{00000000-0005-0000-0000-000038E10000}"/>
    <cellStyle name="Normal 99 6 4" xfId="42140" xr:uid="{00000000-0005-0000-0000-000039E10000}"/>
    <cellStyle name="Normal 99 7" xfId="42141" xr:uid="{00000000-0005-0000-0000-00003AE10000}"/>
    <cellStyle name="Normal 99 7 2" xfId="42142" xr:uid="{00000000-0005-0000-0000-00003BE10000}"/>
    <cellStyle name="Normal 99 7 2 2" xfId="42143" xr:uid="{00000000-0005-0000-0000-00003CE10000}"/>
    <cellStyle name="Normal 99 7 3" xfId="42144" xr:uid="{00000000-0005-0000-0000-00003DE10000}"/>
    <cellStyle name="Normal 99 7 3 2" xfId="42145" xr:uid="{00000000-0005-0000-0000-00003EE10000}"/>
    <cellStyle name="Normal 99 7 4" xfId="42146" xr:uid="{00000000-0005-0000-0000-00003FE10000}"/>
    <cellStyle name="Normal 99 8" xfId="42147" xr:uid="{00000000-0005-0000-0000-000040E10000}"/>
    <cellStyle name="Normal 99 8 2" xfId="42148" xr:uid="{00000000-0005-0000-0000-000041E10000}"/>
    <cellStyle name="Normal 99 8 2 2" xfId="42149" xr:uid="{00000000-0005-0000-0000-000042E10000}"/>
    <cellStyle name="Normal 99 8 3" xfId="42150" xr:uid="{00000000-0005-0000-0000-000043E10000}"/>
    <cellStyle name="Normal 99 8 3 2" xfId="42151" xr:uid="{00000000-0005-0000-0000-000044E10000}"/>
    <cellStyle name="Normal 99 8 4" xfId="42152" xr:uid="{00000000-0005-0000-0000-000045E10000}"/>
    <cellStyle name="Normal 99 9" xfId="42153" xr:uid="{00000000-0005-0000-0000-000046E10000}"/>
    <cellStyle name="Normal 99 9 2" xfId="42154" xr:uid="{00000000-0005-0000-0000-000047E10000}"/>
    <cellStyle name="Normal 99 9 2 2" xfId="42155" xr:uid="{00000000-0005-0000-0000-000048E10000}"/>
    <cellStyle name="Normal 99 9 3" xfId="42156" xr:uid="{00000000-0005-0000-0000-000049E10000}"/>
    <cellStyle name="Normal_Escape" xfId="42157" xr:uid="{00000000-0005-0000-0000-00004AE10000}"/>
    <cellStyle name="Note 10" xfId="61541" xr:uid="{00000000-0005-0000-0000-00004BE10000}"/>
    <cellStyle name="Note 2" xfId="42158" xr:uid="{00000000-0005-0000-0000-00004CE10000}"/>
    <cellStyle name="Note 2 10" xfId="42159" xr:uid="{00000000-0005-0000-0000-00004DE10000}"/>
    <cellStyle name="Note 2 10 2" xfId="42160" xr:uid="{00000000-0005-0000-0000-00004EE10000}"/>
    <cellStyle name="Note 2 10 2 2" xfId="42161" xr:uid="{00000000-0005-0000-0000-00004FE10000}"/>
    <cellStyle name="Note 2 10 2 2 2" xfId="61542" xr:uid="{00000000-0005-0000-0000-000050E10000}"/>
    <cellStyle name="Note 2 10 2 2 3" xfId="61543" xr:uid="{00000000-0005-0000-0000-000051E10000}"/>
    <cellStyle name="Note 2 10 2 3" xfId="42162" xr:uid="{00000000-0005-0000-0000-000052E10000}"/>
    <cellStyle name="Note 2 10 2 3 2" xfId="61544" xr:uid="{00000000-0005-0000-0000-000053E10000}"/>
    <cellStyle name="Note 2 10 2 4" xfId="42163" xr:uid="{00000000-0005-0000-0000-000054E10000}"/>
    <cellStyle name="Note 2 10 2 5" xfId="42164" xr:uid="{00000000-0005-0000-0000-000055E10000}"/>
    <cellStyle name="Note 2 10 2 6" xfId="42165" xr:uid="{00000000-0005-0000-0000-000056E10000}"/>
    <cellStyle name="Note 2 10 3" xfId="42166" xr:uid="{00000000-0005-0000-0000-000057E10000}"/>
    <cellStyle name="Note 2 10 3 2" xfId="61545" xr:uid="{00000000-0005-0000-0000-000058E10000}"/>
    <cellStyle name="Note 2 10 3 3" xfId="61546" xr:uid="{00000000-0005-0000-0000-000059E10000}"/>
    <cellStyle name="Note 2 10 4" xfId="42167" xr:uid="{00000000-0005-0000-0000-00005AE10000}"/>
    <cellStyle name="Note 2 10 4 2" xfId="61547" xr:uid="{00000000-0005-0000-0000-00005BE10000}"/>
    <cellStyle name="Note 2 10 5" xfId="42168" xr:uid="{00000000-0005-0000-0000-00005CE10000}"/>
    <cellStyle name="Note 2 10 6" xfId="42169" xr:uid="{00000000-0005-0000-0000-00005DE10000}"/>
    <cellStyle name="Note 2 10 7" xfId="42170" xr:uid="{00000000-0005-0000-0000-00005EE10000}"/>
    <cellStyle name="Note 2 11" xfId="42171" xr:uid="{00000000-0005-0000-0000-00005FE10000}"/>
    <cellStyle name="Note 2 11 2" xfId="42172" xr:uid="{00000000-0005-0000-0000-000060E10000}"/>
    <cellStyle name="Note 2 11 2 2" xfId="61548" xr:uid="{00000000-0005-0000-0000-000061E10000}"/>
    <cellStyle name="Note 2 11 2 3" xfId="61549" xr:uid="{00000000-0005-0000-0000-000062E10000}"/>
    <cellStyle name="Note 2 11 3" xfId="42173" xr:uid="{00000000-0005-0000-0000-000063E10000}"/>
    <cellStyle name="Note 2 11 3 2" xfId="61550" xr:uid="{00000000-0005-0000-0000-000064E10000}"/>
    <cellStyle name="Note 2 11 4" xfId="42174" xr:uid="{00000000-0005-0000-0000-000065E10000}"/>
    <cellStyle name="Note 2 11 5" xfId="42175" xr:uid="{00000000-0005-0000-0000-000066E10000}"/>
    <cellStyle name="Note 2 11 6" xfId="42176" xr:uid="{00000000-0005-0000-0000-000067E10000}"/>
    <cellStyle name="Note 2 12" xfId="42177" xr:uid="{00000000-0005-0000-0000-000068E10000}"/>
    <cellStyle name="Note 2 12 2" xfId="61551" xr:uid="{00000000-0005-0000-0000-000069E10000}"/>
    <cellStyle name="Note 2 12 3" xfId="61552" xr:uid="{00000000-0005-0000-0000-00006AE10000}"/>
    <cellStyle name="Note 2 13" xfId="42178" xr:uid="{00000000-0005-0000-0000-00006BE10000}"/>
    <cellStyle name="Note 2 13 2" xfId="61553" xr:uid="{00000000-0005-0000-0000-00006CE10000}"/>
    <cellStyle name="Note 2 14" xfId="42179" xr:uid="{00000000-0005-0000-0000-00006DE10000}"/>
    <cellStyle name="Note 2 14 2" xfId="61554" xr:uid="{00000000-0005-0000-0000-00006EE10000}"/>
    <cellStyle name="Note 2 15" xfId="42180" xr:uid="{00000000-0005-0000-0000-00006FE10000}"/>
    <cellStyle name="Note 2 16" xfId="42181" xr:uid="{00000000-0005-0000-0000-000070E10000}"/>
    <cellStyle name="Note 2 17" xfId="42182" xr:uid="{00000000-0005-0000-0000-000071E10000}"/>
    <cellStyle name="Note 2 18" xfId="42183" xr:uid="{00000000-0005-0000-0000-000072E10000}"/>
    <cellStyle name="Note 2 19" xfId="42184" xr:uid="{00000000-0005-0000-0000-000073E10000}"/>
    <cellStyle name="Note 2 2" xfId="42185" xr:uid="{00000000-0005-0000-0000-000074E10000}"/>
    <cellStyle name="Note 2 2 10" xfId="42186" xr:uid="{00000000-0005-0000-0000-000075E10000}"/>
    <cellStyle name="Note 2 2 11" xfId="42187" xr:uid="{00000000-0005-0000-0000-000076E10000}"/>
    <cellStyle name="Note 2 2 12" xfId="42188" xr:uid="{00000000-0005-0000-0000-000077E10000}"/>
    <cellStyle name="Note 2 2 13" xfId="42189" xr:uid="{00000000-0005-0000-0000-000078E10000}"/>
    <cellStyle name="Note 2 2 14" xfId="42190" xr:uid="{00000000-0005-0000-0000-000079E10000}"/>
    <cellStyle name="Note 2 2 15" xfId="42191" xr:uid="{00000000-0005-0000-0000-00007AE10000}"/>
    <cellStyle name="Note 2 2 16" xfId="42192" xr:uid="{00000000-0005-0000-0000-00007BE10000}"/>
    <cellStyle name="Note 2 2 2" xfId="42193" xr:uid="{00000000-0005-0000-0000-00007CE10000}"/>
    <cellStyle name="Note 2 2 2 10" xfId="42194" xr:uid="{00000000-0005-0000-0000-00007DE10000}"/>
    <cellStyle name="Note 2 2 2 11" xfId="42195" xr:uid="{00000000-0005-0000-0000-00007EE10000}"/>
    <cellStyle name="Note 2 2 2 12" xfId="42196" xr:uid="{00000000-0005-0000-0000-00007FE10000}"/>
    <cellStyle name="Note 2 2 2 13" xfId="42197" xr:uid="{00000000-0005-0000-0000-000080E10000}"/>
    <cellStyle name="Note 2 2 2 14" xfId="42198" xr:uid="{00000000-0005-0000-0000-000081E10000}"/>
    <cellStyle name="Note 2 2 2 15" xfId="42199" xr:uid="{00000000-0005-0000-0000-000082E10000}"/>
    <cellStyle name="Note 2 2 2 2" xfId="42200" xr:uid="{00000000-0005-0000-0000-000083E10000}"/>
    <cellStyle name="Note 2 2 2 2 2" xfId="42201" xr:uid="{00000000-0005-0000-0000-000084E10000}"/>
    <cellStyle name="Note 2 2 2 2 2 2" xfId="42202" xr:uid="{00000000-0005-0000-0000-000085E10000}"/>
    <cellStyle name="Note 2 2 2 2 2 2 2" xfId="42203" xr:uid="{00000000-0005-0000-0000-000086E10000}"/>
    <cellStyle name="Note 2 2 2 2 2 2 2 2" xfId="61555" xr:uid="{00000000-0005-0000-0000-000087E10000}"/>
    <cellStyle name="Note 2 2 2 2 2 2 2 3" xfId="61556" xr:uid="{00000000-0005-0000-0000-000088E10000}"/>
    <cellStyle name="Note 2 2 2 2 2 2 3" xfId="42204" xr:uid="{00000000-0005-0000-0000-000089E10000}"/>
    <cellStyle name="Note 2 2 2 2 2 2 3 2" xfId="61557" xr:uid="{00000000-0005-0000-0000-00008AE10000}"/>
    <cellStyle name="Note 2 2 2 2 2 2 4" xfId="42205" xr:uid="{00000000-0005-0000-0000-00008BE10000}"/>
    <cellStyle name="Note 2 2 2 2 2 2 5" xfId="42206" xr:uid="{00000000-0005-0000-0000-00008CE10000}"/>
    <cellStyle name="Note 2 2 2 2 2 2 6" xfId="42207" xr:uid="{00000000-0005-0000-0000-00008DE10000}"/>
    <cellStyle name="Note 2 2 2 2 2 3" xfId="42208" xr:uid="{00000000-0005-0000-0000-00008EE10000}"/>
    <cellStyle name="Note 2 2 2 2 2 3 2" xfId="61558" xr:uid="{00000000-0005-0000-0000-00008FE10000}"/>
    <cellStyle name="Note 2 2 2 2 2 3 3" xfId="61559" xr:uid="{00000000-0005-0000-0000-000090E10000}"/>
    <cellStyle name="Note 2 2 2 2 2 4" xfId="42209" xr:uid="{00000000-0005-0000-0000-000091E10000}"/>
    <cellStyle name="Note 2 2 2 2 2 4 2" xfId="61560" xr:uid="{00000000-0005-0000-0000-000092E10000}"/>
    <cellStyle name="Note 2 2 2 2 2 5" xfId="42210" xr:uid="{00000000-0005-0000-0000-000093E10000}"/>
    <cellStyle name="Note 2 2 2 2 2 6" xfId="42211" xr:uid="{00000000-0005-0000-0000-000094E10000}"/>
    <cellStyle name="Note 2 2 2 2 2 7" xfId="42212" xr:uid="{00000000-0005-0000-0000-000095E10000}"/>
    <cellStyle name="Note 2 2 2 2 3" xfId="42213" xr:uid="{00000000-0005-0000-0000-000096E10000}"/>
    <cellStyle name="Note 2 2 2 2 3 2" xfId="42214" xr:uid="{00000000-0005-0000-0000-000097E10000}"/>
    <cellStyle name="Note 2 2 2 2 3 2 2" xfId="61561" xr:uid="{00000000-0005-0000-0000-000098E10000}"/>
    <cellStyle name="Note 2 2 2 2 3 2 3" xfId="61562" xr:uid="{00000000-0005-0000-0000-000099E10000}"/>
    <cellStyle name="Note 2 2 2 2 3 3" xfId="42215" xr:uid="{00000000-0005-0000-0000-00009AE10000}"/>
    <cellStyle name="Note 2 2 2 2 3 3 2" xfId="61563" xr:uid="{00000000-0005-0000-0000-00009BE10000}"/>
    <cellStyle name="Note 2 2 2 2 3 4" xfId="42216" xr:uid="{00000000-0005-0000-0000-00009CE10000}"/>
    <cellStyle name="Note 2 2 2 2 3 5" xfId="42217" xr:uid="{00000000-0005-0000-0000-00009DE10000}"/>
    <cellStyle name="Note 2 2 2 2 3 6" xfId="42218" xr:uid="{00000000-0005-0000-0000-00009EE10000}"/>
    <cellStyle name="Note 2 2 2 2 4" xfId="42219" xr:uid="{00000000-0005-0000-0000-00009FE10000}"/>
    <cellStyle name="Note 2 2 2 2 4 2" xfId="61564" xr:uid="{00000000-0005-0000-0000-0000A0E10000}"/>
    <cellStyle name="Note 2 2 2 2 4 3" xfId="61565" xr:uid="{00000000-0005-0000-0000-0000A1E10000}"/>
    <cellStyle name="Note 2 2 2 2 5" xfId="42220" xr:uid="{00000000-0005-0000-0000-0000A2E10000}"/>
    <cellStyle name="Note 2 2 2 2 5 2" xfId="61566" xr:uid="{00000000-0005-0000-0000-0000A3E10000}"/>
    <cellStyle name="Note 2 2 2 2 6" xfId="42221" xr:uid="{00000000-0005-0000-0000-0000A4E10000}"/>
    <cellStyle name="Note 2 2 2 2 7" xfId="42222" xr:uid="{00000000-0005-0000-0000-0000A5E10000}"/>
    <cellStyle name="Note 2 2 2 2 8" xfId="42223" xr:uid="{00000000-0005-0000-0000-0000A6E10000}"/>
    <cellStyle name="Note 2 2 2 2 9" xfId="42224" xr:uid="{00000000-0005-0000-0000-0000A7E10000}"/>
    <cellStyle name="Note 2 2 2 3" xfId="42225" xr:uid="{00000000-0005-0000-0000-0000A8E10000}"/>
    <cellStyle name="Note 2 2 2 3 2" xfId="42226" xr:uid="{00000000-0005-0000-0000-0000A9E10000}"/>
    <cellStyle name="Note 2 2 2 3 2 2" xfId="42227" xr:uid="{00000000-0005-0000-0000-0000AAE10000}"/>
    <cellStyle name="Note 2 2 2 3 2 2 2" xfId="42228" xr:uid="{00000000-0005-0000-0000-0000ABE10000}"/>
    <cellStyle name="Note 2 2 2 3 2 2 2 2" xfId="61567" xr:uid="{00000000-0005-0000-0000-0000ACE10000}"/>
    <cellStyle name="Note 2 2 2 3 2 2 2 3" xfId="61568" xr:uid="{00000000-0005-0000-0000-0000ADE10000}"/>
    <cellStyle name="Note 2 2 2 3 2 2 3" xfId="42229" xr:uid="{00000000-0005-0000-0000-0000AEE10000}"/>
    <cellStyle name="Note 2 2 2 3 2 2 3 2" xfId="61569" xr:uid="{00000000-0005-0000-0000-0000AFE10000}"/>
    <cellStyle name="Note 2 2 2 3 2 2 4" xfId="42230" xr:uid="{00000000-0005-0000-0000-0000B0E10000}"/>
    <cellStyle name="Note 2 2 2 3 2 2 5" xfId="42231" xr:uid="{00000000-0005-0000-0000-0000B1E10000}"/>
    <cellStyle name="Note 2 2 2 3 2 2 6" xfId="42232" xr:uid="{00000000-0005-0000-0000-0000B2E10000}"/>
    <cellStyle name="Note 2 2 2 3 2 3" xfId="42233" xr:uid="{00000000-0005-0000-0000-0000B3E10000}"/>
    <cellStyle name="Note 2 2 2 3 2 3 2" xfId="61570" xr:uid="{00000000-0005-0000-0000-0000B4E10000}"/>
    <cellStyle name="Note 2 2 2 3 2 3 3" xfId="61571" xr:uid="{00000000-0005-0000-0000-0000B5E10000}"/>
    <cellStyle name="Note 2 2 2 3 2 4" xfId="42234" xr:uid="{00000000-0005-0000-0000-0000B6E10000}"/>
    <cellStyle name="Note 2 2 2 3 2 4 2" xfId="61572" xr:uid="{00000000-0005-0000-0000-0000B7E10000}"/>
    <cellStyle name="Note 2 2 2 3 2 5" xfId="42235" xr:uid="{00000000-0005-0000-0000-0000B8E10000}"/>
    <cellStyle name="Note 2 2 2 3 2 6" xfId="42236" xr:uid="{00000000-0005-0000-0000-0000B9E10000}"/>
    <cellStyle name="Note 2 2 2 3 2 7" xfId="42237" xr:uid="{00000000-0005-0000-0000-0000BAE10000}"/>
    <cellStyle name="Note 2 2 2 3 3" xfId="42238" xr:uid="{00000000-0005-0000-0000-0000BBE10000}"/>
    <cellStyle name="Note 2 2 2 3 3 2" xfId="42239" xr:uid="{00000000-0005-0000-0000-0000BCE10000}"/>
    <cellStyle name="Note 2 2 2 3 3 2 2" xfId="61573" xr:uid="{00000000-0005-0000-0000-0000BDE10000}"/>
    <cellStyle name="Note 2 2 2 3 3 2 3" xfId="61574" xr:uid="{00000000-0005-0000-0000-0000BEE10000}"/>
    <cellStyle name="Note 2 2 2 3 3 3" xfId="42240" xr:uid="{00000000-0005-0000-0000-0000BFE10000}"/>
    <cellStyle name="Note 2 2 2 3 3 3 2" xfId="61575" xr:uid="{00000000-0005-0000-0000-0000C0E10000}"/>
    <cellStyle name="Note 2 2 2 3 3 4" xfId="42241" xr:uid="{00000000-0005-0000-0000-0000C1E10000}"/>
    <cellStyle name="Note 2 2 2 3 3 5" xfId="42242" xr:uid="{00000000-0005-0000-0000-0000C2E10000}"/>
    <cellStyle name="Note 2 2 2 3 3 6" xfId="42243" xr:uid="{00000000-0005-0000-0000-0000C3E10000}"/>
    <cellStyle name="Note 2 2 2 3 4" xfId="42244" xr:uid="{00000000-0005-0000-0000-0000C4E10000}"/>
    <cellStyle name="Note 2 2 2 3 4 2" xfId="61576" xr:uid="{00000000-0005-0000-0000-0000C5E10000}"/>
    <cellStyle name="Note 2 2 2 3 4 3" xfId="61577" xr:uid="{00000000-0005-0000-0000-0000C6E10000}"/>
    <cellStyle name="Note 2 2 2 3 5" xfId="42245" xr:uid="{00000000-0005-0000-0000-0000C7E10000}"/>
    <cellStyle name="Note 2 2 2 3 5 2" xfId="61578" xr:uid="{00000000-0005-0000-0000-0000C8E10000}"/>
    <cellStyle name="Note 2 2 2 3 6" xfId="42246" xr:uid="{00000000-0005-0000-0000-0000C9E10000}"/>
    <cellStyle name="Note 2 2 2 3 7" xfId="42247" xr:uid="{00000000-0005-0000-0000-0000CAE10000}"/>
    <cellStyle name="Note 2 2 2 3 8" xfId="42248" xr:uid="{00000000-0005-0000-0000-0000CBE10000}"/>
    <cellStyle name="Note 2 2 2 4" xfId="42249" xr:uid="{00000000-0005-0000-0000-0000CCE10000}"/>
    <cellStyle name="Note 2 2 2 4 2" xfId="42250" xr:uid="{00000000-0005-0000-0000-0000CDE10000}"/>
    <cellStyle name="Note 2 2 2 4 2 2" xfId="42251" xr:uid="{00000000-0005-0000-0000-0000CEE10000}"/>
    <cellStyle name="Note 2 2 2 4 2 2 2" xfId="61579" xr:uid="{00000000-0005-0000-0000-0000CFE10000}"/>
    <cellStyle name="Note 2 2 2 4 2 2 3" xfId="61580" xr:uid="{00000000-0005-0000-0000-0000D0E10000}"/>
    <cellStyle name="Note 2 2 2 4 2 3" xfId="42252" xr:uid="{00000000-0005-0000-0000-0000D1E10000}"/>
    <cellStyle name="Note 2 2 2 4 2 3 2" xfId="61581" xr:uid="{00000000-0005-0000-0000-0000D2E10000}"/>
    <cellStyle name="Note 2 2 2 4 2 4" xfId="42253" xr:uid="{00000000-0005-0000-0000-0000D3E10000}"/>
    <cellStyle name="Note 2 2 2 4 2 5" xfId="42254" xr:uid="{00000000-0005-0000-0000-0000D4E10000}"/>
    <cellStyle name="Note 2 2 2 4 2 6" xfId="42255" xr:uid="{00000000-0005-0000-0000-0000D5E10000}"/>
    <cellStyle name="Note 2 2 2 4 3" xfId="42256" xr:uid="{00000000-0005-0000-0000-0000D6E10000}"/>
    <cellStyle name="Note 2 2 2 4 3 2" xfId="61582" xr:uid="{00000000-0005-0000-0000-0000D7E10000}"/>
    <cellStyle name="Note 2 2 2 4 3 3" xfId="61583" xr:uid="{00000000-0005-0000-0000-0000D8E10000}"/>
    <cellStyle name="Note 2 2 2 4 4" xfId="42257" xr:uid="{00000000-0005-0000-0000-0000D9E10000}"/>
    <cellStyle name="Note 2 2 2 4 4 2" xfId="61584" xr:uid="{00000000-0005-0000-0000-0000DAE10000}"/>
    <cellStyle name="Note 2 2 2 4 5" xfId="42258" xr:uid="{00000000-0005-0000-0000-0000DBE10000}"/>
    <cellStyle name="Note 2 2 2 4 6" xfId="42259" xr:uid="{00000000-0005-0000-0000-0000DCE10000}"/>
    <cellStyle name="Note 2 2 2 4 7" xfId="42260" xr:uid="{00000000-0005-0000-0000-0000DDE10000}"/>
    <cellStyle name="Note 2 2 2 5" xfId="42261" xr:uid="{00000000-0005-0000-0000-0000DEE10000}"/>
    <cellStyle name="Note 2 2 2 5 2" xfId="42262" xr:uid="{00000000-0005-0000-0000-0000DFE10000}"/>
    <cellStyle name="Note 2 2 2 5 2 2" xfId="61585" xr:uid="{00000000-0005-0000-0000-0000E0E10000}"/>
    <cellStyle name="Note 2 2 2 5 2 3" xfId="61586" xr:uid="{00000000-0005-0000-0000-0000E1E10000}"/>
    <cellStyle name="Note 2 2 2 5 3" xfId="42263" xr:uid="{00000000-0005-0000-0000-0000E2E10000}"/>
    <cellStyle name="Note 2 2 2 5 3 2" xfId="61587" xr:uid="{00000000-0005-0000-0000-0000E3E10000}"/>
    <cellStyle name="Note 2 2 2 5 4" xfId="42264" xr:uid="{00000000-0005-0000-0000-0000E4E10000}"/>
    <cellStyle name="Note 2 2 2 5 5" xfId="42265" xr:uid="{00000000-0005-0000-0000-0000E5E10000}"/>
    <cellStyle name="Note 2 2 2 5 6" xfId="42266" xr:uid="{00000000-0005-0000-0000-0000E6E10000}"/>
    <cellStyle name="Note 2 2 2 6" xfId="42267" xr:uid="{00000000-0005-0000-0000-0000E7E10000}"/>
    <cellStyle name="Note 2 2 2 6 2" xfId="61588" xr:uid="{00000000-0005-0000-0000-0000E8E10000}"/>
    <cellStyle name="Note 2 2 2 6 3" xfId="61589" xr:uid="{00000000-0005-0000-0000-0000E9E10000}"/>
    <cellStyle name="Note 2 2 2 7" xfId="42268" xr:uid="{00000000-0005-0000-0000-0000EAE10000}"/>
    <cellStyle name="Note 2 2 2 7 2" xfId="61590" xr:uid="{00000000-0005-0000-0000-0000EBE10000}"/>
    <cellStyle name="Note 2 2 2 8" xfId="42269" xr:uid="{00000000-0005-0000-0000-0000ECE10000}"/>
    <cellStyle name="Note 2 2 2 8 2" xfId="61591" xr:uid="{00000000-0005-0000-0000-0000EDE10000}"/>
    <cellStyle name="Note 2 2 2 9" xfId="42270" xr:uid="{00000000-0005-0000-0000-0000EEE10000}"/>
    <cellStyle name="Note 2 2 3" xfId="42271" xr:uid="{00000000-0005-0000-0000-0000EFE10000}"/>
    <cellStyle name="Note 2 2 3 10" xfId="42272" xr:uid="{00000000-0005-0000-0000-0000F0E10000}"/>
    <cellStyle name="Note 2 2 3 2" xfId="42273" xr:uid="{00000000-0005-0000-0000-0000F1E10000}"/>
    <cellStyle name="Note 2 2 3 2 2" xfId="42274" xr:uid="{00000000-0005-0000-0000-0000F2E10000}"/>
    <cellStyle name="Note 2 2 3 2 2 2" xfId="42275" xr:uid="{00000000-0005-0000-0000-0000F3E10000}"/>
    <cellStyle name="Note 2 2 3 2 2 2 2" xfId="61592" xr:uid="{00000000-0005-0000-0000-0000F4E10000}"/>
    <cellStyle name="Note 2 2 3 2 2 2 3" xfId="61593" xr:uid="{00000000-0005-0000-0000-0000F5E10000}"/>
    <cellStyle name="Note 2 2 3 2 2 3" xfId="42276" xr:uid="{00000000-0005-0000-0000-0000F6E10000}"/>
    <cellStyle name="Note 2 2 3 2 2 3 2" xfId="61594" xr:uid="{00000000-0005-0000-0000-0000F7E10000}"/>
    <cellStyle name="Note 2 2 3 2 2 4" xfId="42277" xr:uid="{00000000-0005-0000-0000-0000F8E10000}"/>
    <cellStyle name="Note 2 2 3 2 2 5" xfId="42278" xr:uid="{00000000-0005-0000-0000-0000F9E10000}"/>
    <cellStyle name="Note 2 2 3 2 2 6" xfId="42279" xr:uid="{00000000-0005-0000-0000-0000FAE10000}"/>
    <cellStyle name="Note 2 2 3 2 3" xfId="42280" xr:uid="{00000000-0005-0000-0000-0000FBE10000}"/>
    <cellStyle name="Note 2 2 3 2 3 2" xfId="61595" xr:uid="{00000000-0005-0000-0000-0000FCE10000}"/>
    <cellStyle name="Note 2 2 3 2 3 3" xfId="61596" xr:uid="{00000000-0005-0000-0000-0000FDE10000}"/>
    <cellStyle name="Note 2 2 3 2 4" xfId="42281" xr:uid="{00000000-0005-0000-0000-0000FEE10000}"/>
    <cellStyle name="Note 2 2 3 2 4 2" xfId="61597" xr:uid="{00000000-0005-0000-0000-0000FFE10000}"/>
    <cellStyle name="Note 2 2 3 2 5" xfId="42282" xr:uid="{00000000-0005-0000-0000-000000E20000}"/>
    <cellStyle name="Note 2 2 3 2 6" xfId="42283" xr:uid="{00000000-0005-0000-0000-000001E20000}"/>
    <cellStyle name="Note 2 2 3 2 7" xfId="42284" xr:uid="{00000000-0005-0000-0000-000002E20000}"/>
    <cellStyle name="Note 2 2 3 3" xfId="42285" xr:uid="{00000000-0005-0000-0000-000003E20000}"/>
    <cellStyle name="Note 2 2 3 3 2" xfId="42286" xr:uid="{00000000-0005-0000-0000-000004E20000}"/>
    <cellStyle name="Note 2 2 3 3 2 2" xfId="61598" xr:uid="{00000000-0005-0000-0000-000005E20000}"/>
    <cellStyle name="Note 2 2 3 3 2 3" xfId="61599" xr:uid="{00000000-0005-0000-0000-000006E20000}"/>
    <cellStyle name="Note 2 2 3 3 3" xfId="42287" xr:uid="{00000000-0005-0000-0000-000007E20000}"/>
    <cellStyle name="Note 2 2 3 3 3 2" xfId="61600" xr:uid="{00000000-0005-0000-0000-000008E20000}"/>
    <cellStyle name="Note 2 2 3 3 4" xfId="42288" xr:uid="{00000000-0005-0000-0000-000009E20000}"/>
    <cellStyle name="Note 2 2 3 3 5" xfId="42289" xr:uid="{00000000-0005-0000-0000-00000AE20000}"/>
    <cellStyle name="Note 2 2 3 3 6" xfId="42290" xr:uid="{00000000-0005-0000-0000-00000BE20000}"/>
    <cellStyle name="Note 2 2 3 4" xfId="42291" xr:uid="{00000000-0005-0000-0000-00000CE20000}"/>
    <cellStyle name="Note 2 2 3 4 2" xfId="61601" xr:uid="{00000000-0005-0000-0000-00000DE20000}"/>
    <cellStyle name="Note 2 2 3 4 3" xfId="61602" xr:uid="{00000000-0005-0000-0000-00000EE20000}"/>
    <cellStyle name="Note 2 2 3 5" xfId="42292" xr:uid="{00000000-0005-0000-0000-00000FE20000}"/>
    <cellStyle name="Note 2 2 3 5 2" xfId="61603" xr:uid="{00000000-0005-0000-0000-000010E20000}"/>
    <cellStyle name="Note 2 2 3 6" xfId="42293" xr:uid="{00000000-0005-0000-0000-000011E20000}"/>
    <cellStyle name="Note 2 2 3 7" xfId="42294" xr:uid="{00000000-0005-0000-0000-000012E20000}"/>
    <cellStyle name="Note 2 2 3 8" xfId="42295" xr:uid="{00000000-0005-0000-0000-000013E20000}"/>
    <cellStyle name="Note 2 2 3 9" xfId="42296" xr:uid="{00000000-0005-0000-0000-000014E20000}"/>
    <cellStyle name="Note 2 2 4" xfId="42297" xr:uid="{00000000-0005-0000-0000-000015E20000}"/>
    <cellStyle name="Note 2 2 4 10" xfId="42298" xr:uid="{00000000-0005-0000-0000-000016E20000}"/>
    <cellStyle name="Note 2 2 4 2" xfId="42299" xr:uid="{00000000-0005-0000-0000-000017E20000}"/>
    <cellStyle name="Note 2 2 4 2 2" xfId="42300" xr:uid="{00000000-0005-0000-0000-000018E20000}"/>
    <cellStyle name="Note 2 2 4 2 2 2" xfId="42301" xr:uid="{00000000-0005-0000-0000-000019E20000}"/>
    <cellStyle name="Note 2 2 4 2 2 2 2" xfId="61604" xr:uid="{00000000-0005-0000-0000-00001AE20000}"/>
    <cellStyle name="Note 2 2 4 2 2 2 3" xfId="61605" xr:uid="{00000000-0005-0000-0000-00001BE20000}"/>
    <cellStyle name="Note 2 2 4 2 2 3" xfId="42302" xr:uid="{00000000-0005-0000-0000-00001CE20000}"/>
    <cellStyle name="Note 2 2 4 2 2 3 2" xfId="61606" xr:uid="{00000000-0005-0000-0000-00001DE20000}"/>
    <cellStyle name="Note 2 2 4 2 2 4" xfId="42303" xr:uid="{00000000-0005-0000-0000-00001EE20000}"/>
    <cellStyle name="Note 2 2 4 2 2 5" xfId="42304" xr:uid="{00000000-0005-0000-0000-00001FE20000}"/>
    <cellStyle name="Note 2 2 4 2 2 6" xfId="42305" xr:uid="{00000000-0005-0000-0000-000020E20000}"/>
    <cellStyle name="Note 2 2 4 2 3" xfId="42306" xr:uid="{00000000-0005-0000-0000-000021E20000}"/>
    <cellStyle name="Note 2 2 4 2 3 2" xfId="61607" xr:uid="{00000000-0005-0000-0000-000022E20000}"/>
    <cellStyle name="Note 2 2 4 2 3 3" xfId="61608" xr:uid="{00000000-0005-0000-0000-000023E20000}"/>
    <cellStyle name="Note 2 2 4 2 4" xfId="42307" xr:uid="{00000000-0005-0000-0000-000024E20000}"/>
    <cellStyle name="Note 2 2 4 2 4 2" xfId="61609" xr:uid="{00000000-0005-0000-0000-000025E20000}"/>
    <cellStyle name="Note 2 2 4 2 5" xfId="42308" xr:uid="{00000000-0005-0000-0000-000026E20000}"/>
    <cellStyle name="Note 2 2 4 2 6" xfId="42309" xr:uid="{00000000-0005-0000-0000-000027E20000}"/>
    <cellStyle name="Note 2 2 4 2 7" xfId="42310" xr:uid="{00000000-0005-0000-0000-000028E20000}"/>
    <cellStyle name="Note 2 2 4 3" xfId="42311" xr:uid="{00000000-0005-0000-0000-000029E20000}"/>
    <cellStyle name="Note 2 2 4 3 2" xfId="42312" xr:uid="{00000000-0005-0000-0000-00002AE20000}"/>
    <cellStyle name="Note 2 2 4 3 2 2" xfId="61610" xr:uid="{00000000-0005-0000-0000-00002BE20000}"/>
    <cellStyle name="Note 2 2 4 3 2 3" xfId="61611" xr:uid="{00000000-0005-0000-0000-00002CE20000}"/>
    <cellStyle name="Note 2 2 4 3 3" xfId="42313" xr:uid="{00000000-0005-0000-0000-00002DE20000}"/>
    <cellStyle name="Note 2 2 4 3 3 2" xfId="61612" xr:uid="{00000000-0005-0000-0000-00002EE20000}"/>
    <cellStyle name="Note 2 2 4 3 4" xfId="42314" xr:uid="{00000000-0005-0000-0000-00002FE20000}"/>
    <cellStyle name="Note 2 2 4 3 5" xfId="42315" xr:uid="{00000000-0005-0000-0000-000030E20000}"/>
    <cellStyle name="Note 2 2 4 3 6" xfId="42316" xr:uid="{00000000-0005-0000-0000-000031E20000}"/>
    <cellStyle name="Note 2 2 4 4" xfId="42317" xr:uid="{00000000-0005-0000-0000-000032E20000}"/>
    <cellStyle name="Note 2 2 4 4 2" xfId="61613" xr:uid="{00000000-0005-0000-0000-000033E20000}"/>
    <cellStyle name="Note 2 2 4 4 3" xfId="61614" xr:uid="{00000000-0005-0000-0000-000034E20000}"/>
    <cellStyle name="Note 2 2 4 5" xfId="42318" xr:uid="{00000000-0005-0000-0000-000035E20000}"/>
    <cellStyle name="Note 2 2 4 5 2" xfId="61615" xr:uid="{00000000-0005-0000-0000-000036E20000}"/>
    <cellStyle name="Note 2 2 4 6" xfId="42319" xr:uid="{00000000-0005-0000-0000-000037E20000}"/>
    <cellStyle name="Note 2 2 4 7" xfId="42320" xr:uid="{00000000-0005-0000-0000-000038E20000}"/>
    <cellStyle name="Note 2 2 4 8" xfId="42321" xr:uid="{00000000-0005-0000-0000-000039E20000}"/>
    <cellStyle name="Note 2 2 4 9" xfId="42322" xr:uid="{00000000-0005-0000-0000-00003AE20000}"/>
    <cellStyle name="Note 2 2 5" xfId="42323" xr:uid="{00000000-0005-0000-0000-00003BE20000}"/>
    <cellStyle name="Note 2 2 5 10" xfId="42324" xr:uid="{00000000-0005-0000-0000-00003CE20000}"/>
    <cellStyle name="Note 2 2 5 2" xfId="42325" xr:uid="{00000000-0005-0000-0000-00003DE20000}"/>
    <cellStyle name="Note 2 2 5 2 2" xfId="42326" xr:uid="{00000000-0005-0000-0000-00003EE20000}"/>
    <cellStyle name="Note 2 2 5 2 2 2" xfId="61616" xr:uid="{00000000-0005-0000-0000-00003FE20000}"/>
    <cellStyle name="Note 2 2 5 2 2 3" xfId="61617" xr:uid="{00000000-0005-0000-0000-000040E20000}"/>
    <cellStyle name="Note 2 2 5 2 3" xfId="42327" xr:uid="{00000000-0005-0000-0000-000041E20000}"/>
    <cellStyle name="Note 2 2 5 2 3 2" xfId="61618" xr:uid="{00000000-0005-0000-0000-000042E20000}"/>
    <cellStyle name="Note 2 2 5 2 4" xfId="42328" xr:uid="{00000000-0005-0000-0000-000043E20000}"/>
    <cellStyle name="Note 2 2 5 2 5" xfId="42329" xr:uid="{00000000-0005-0000-0000-000044E20000}"/>
    <cellStyle name="Note 2 2 5 2 6" xfId="42330" xr:uid="{00000000-0005-0000-0000-000045E20000}"/>
    <cellStyle name="Note 2 2 5 3" xfId="42331" xr:uid="{00000000-0005-0000-0000-000046E20000}"/>
    <cellStyle name="Note 2 2 5 3 2" xfId="61619" xr:uid="{00000000-0005-0000-0000-000047E20000}"/>
    <cellStyle name="Note 2 2 5 3 3" xfId="61620" xr:uid="{00000000-0005-0000-0000-000048E20000}"/>
    <cellStyle name="Note 2 2 5 4" xfId="42332" xr:uid="{00000000-0005-0000-0000-000049E20000}"/>
    <cellStyle name="Note 2 2 5 4 2" xfId="61621" xr:uid="{00000000-0005-0000-0000-00004AE20000}"/>
    <cellStyle name="Note 2 2 5 5" xfId="42333" xr:uid="{00000000-0005-0000-0000-00004BE20000}"/>
    <cellStyle name="Note 2 2 5 6" xfId="42334" xr:uid="{00000000-0005-0000-0000-00004CE20000}"/>
    <cellStyle name="Note 2 2 5 7" xfId="42335" xr:uid="{00000000-0005-0000-0000-00004DE20000}"/>
    <cellStyle name="Note 2 2 5 8" xfId="42336" xr:uid="{00000000-0005-0000-0000-00004EE20000}"/>
    <cellStyle name="Note 2 2 5 9" xfId="42337" xr:uid="{00000000-0005-0000-0000-00004FE20000}"/>
    <cellStyle name="Note 2 2 6" xfId="42338" xr:uid="{00000000-0005-0000-0000-000050E20000}"/>
    <cellStyle name="Note 2 2 6 10" xfId="42339" xr:uid="{00000000-0005-0000-0000-000051E20000}"/>
    <cellStyle name="Note 2 2 6 2" xfId="42340" xr:uid="{00000000-0005-0000-0000-000052E20000}"/>
    <cellStyle name="Note 2 2 6 2 2" xfId="61622" xr:uid="{00000000-0005-0000-0000-000053E20000}"/>
    <cellStyle name="Note 2 2 6 2 3" xfId="61623" xr:uid="{00000000-0005-0000-0000-000054E20000}"/>
    <cellStyle name="Note 2 2 6 3" xfId="42341" xr:uid="{00000000-0005-0000-0000-000055E20000}"/>
    <cellStyle name="Note 2 2 6 3 2" xfId="61624" xr:uid="{00000000-0005-0000-0000-000056E20000}"/>
    <cellStyle name="Note 2 2 6 4" xfId="42342" xr:uid="{00000000-0005-0000-0000-000057E20000}"/>
    <cellStyle name="Note 2 2 6 5" xfId="42343" xr:uid="{00000000-0005-0000-0000-000058E20000}"/>
    <cellStyle name="Note 2 2 6 6" xfId="42344" xr:uid="{00000000-0005-0000-0000-000059E20000}"/>
    <cellStyle name="Note 2 2 6 7" xfId="42345" xr:uid="{00000000-0005-0000-0000-00005AE20000}"/>
    <cellStyle name="Note 2 2 6 8" xfId="42346" xr:uid="{00000000-0005-0000-0000-00005BE20000}"/>
    <cellStyle name="Note 2 2 6 9" xfId="42347" xr:uid="{00000000-0005-0000-0000-00005CE20000}"/>
    <cellStyle name="Note 2 2 7" xfId="42348" xr:uid="{00000000-0005-0000-0000-00005DE20000}"/>
    <cellStyle name="Note 2 2 7 10" xfId="42349" xr:uid="{00000000-0005-0000-0000-00005EE20000}"/>
    <cellStyle name="Note 2 2 7 2" xfId="42350" xr:uid="{00000000-0005-0000-0000-00005FE20000}"/>
    <cellStyle name="Note 2 2 7 3" xfId="42351" xr:uid="{00000000-0005-0000-0000-000060E20000}"/>
    <cellStyle name="Note 2 2 7 4" xfId="42352" xr:uid="{00000000-0005-0000-0000-000061E20000}"/>
    <cellStyle name="Note 2 2 7 5" xfId="42353" xr:uid="{00000000-0005-0000-0000-000062E20000}"/>
    <cellStyle name="Note 2 2 7 6" xfId="42354" xr:uid="{00000000-0005-0000-0000-000063E20000}"/>
    <cellStyle name="Note 2 2 7 7" xfId="42355" xr:uid="{00000000-0005-0000-0000-000064E20000}"/>
    <cellStyle name="Note 2 2 7 8" xfId="42356" xr:uid="{00000000-0005-0000-0000-000065E20000}"/>
    <cellStyle name="Note 2 2 7 9" xfId="42357" xr:uid="{00000000-0005-0000-0000-000066E20000}"/>
    <cellStyle name="Note 2 2 8" xfId="42358" xr:uid="{00000000-0005-0000-0000-000067E20000}"/>
    <cellStyle name="Note 2 2 8 2" xfId="61625" xr:uid="{00000000-0005-0000-0000-000068E20000}"/>
    <cellStyle name="Note 2 2 9" xfId="42359" xr:uid="{00000000-0005-0000-0000-000069E20000}"/>
    <cellStyle name="Note 2 2 9 2" xfId="61626" xr:uid="{00000000-0005-0000-0000-00006AE20000}"/>
    <cellStyle name="Note 2 20" xfId="42360" xr:uid="{00000000-0005-0000-0000-00006BE20000}"/>
    <cellStyle name="Note 2 21" xfId="42361" xr:uid="{00000000-0005-0000-0000-00006CE20000}"/>
    <cellStyle name="Note 2 3" xfId="42362" xr:uid="{00000000-0005-0000-0000-00006DE20000}"/>
    <cellStyle name="Note 2 3 10" xfId="42363" xr:uid="{00000000-0005-0000-0000-00006EE20000}"/>
    <cellStyle name="Note 2 3 11" xfId="42364" xr:uid="{00000000-0005-0000-0000-00006FE20000}"/>
    <cellStyle name="Note 2 3 12" xfId="42365" xr:uid="{00000000-0005-0000-0000-000070E20000}"/>
    <cellStyle name="Note 2 3 13" xfId="42366" xr:uid="{00000000-0005-0000-0000-000071E20000}"/>
    <cellStyle name="Note 2 3 14" xfId="42367" xr:uid="{00000000-0005-0000-0000-000072E20000}"/>
    <cellStyle name="Note 2 3 15" xfId="42368" xr:uid="{00000000-0005-0000-0000-000073E20000}"/>
    <cellStyle name="Note 2 3 16" xfId="42369" xr:uid="{00000000-0005-0000-0000-000074E20000}"/>
    <cellStyle name="Note 2 3 17" xfId="42370" xr:uid="{00000000-0005-0000-0000-000075E20000}"/>
    <cellStyle name="Note 2 3 2" xfId="42371" xr:uid="{00000000-0005-0000-0000-000076E20000}"/>
    <cellStyle name="Note 2 3 2 10" xfId="42372" xr:uid="{00000000-0005-0000-0000-000077E20000}"/>
    <cellStyle name="Note 2 3 2 11" xfId="42373" xr:uid="{00000000-0005-0000-0000-000078E20000}"/>
    <cellStyle name="Note 2 3 2 12" xfId="42374" xr:uid="{00000000-0005-0000-0000-000079E20000}"/>
    <cellStyle name="Note 2 3 2 13" xfId="42375" xr:uid="{00000000-0005-0000-0000-00007AE20000}"/>
    <cellStyle name="Note 2 3 2 14" xfId="42376" xr:uid="{00000000-0005-0000-0000-00007BE20000}"/>
    <cellStyle name="Note 2 3 2 15" xfId="42377" xr:uid="{00000000-0005-0000-0000-00007CE20000}"/>
    <cellStyle name="Note 2 3 2 16" xfId="42378" xr:uid="{00000000-0005-0000-0000-00007DE20000}"/>
    <cellStyle name="Note 2 3 2 2" xfId="42379" xr:uid="{00000000-0005-0000-0000-00007EE20000}"/>
    <cellStyle name="Note 2 3 2 2 10" xfId="42380" xr:uid="{00000000-0005-0000-0000-00007FE20000}"/>
    <cellStyle name="Note 2 3 2 2 2" xfId="42381" xr:uid="{00000000-0005-0000-0000-000080E20000}"/>
    <cellStyle name="Note 2 3 2 2 2 2" xfId="42382" xr:uid="{00000000-0005-0000-0000-000081E20000}"/>
    <cellStyle name="Note 2 3 2 2 2 2 2" xfId="42383" xr:uid="{00000000-0005-0000-0000-000082E20000}"/>
    <cellStyle name="Note 2 3 2 2 2 2 2 2" xfId="61627" xr:uid="{00000000-0005-0000-0000-000083E20000}"/>
    <cellStyle name="Note 2 3 2 2 2 2 2 3" xfId="61628" xr:uid="{00000000-0005-0000-0000-000084E20000}"/>
    <cellStyle name="Note 2 3 2 2 2 2 3" xfId="42384" xr:uid="{00000000-0005-0000-0000-000085E20000}"/>
    <cellStyle name="Note 2 3 2 2 2 2 3 2" xfId="61629" xr:uid="{00000000-0005-0000-0000-000086E20000}"/>
    <cellStyle name="Note 2 3 2 2 2 2 4" xfId="42385" xr:uid="{00000000-0005-0000-0000-000087E20000}"/>
    <cellStyle name="Note 2 3 2 2 2 2 5" xfId="42386" xr:uid="{00000000-0005-0000-0000-000088E20000}"/>
    <cellStyle name="Note 2 3 2 2 2 2 6" xfId="42387" xr:uid="{00000000-0005-0000-0000-000089E20000}"/>
    <cellStyle name="Note 2 3 2 2 2 3" xfId="42388" xr:uid="{00000000-0005-0000-0000-00008AE20000}"/>
    <cellStyle name="Note 2 3 2 2 2 3 2" xfId="61630" xr:uid="{00000000-0005-0000-0000-00008BE20000}"/>
    <cellStyle name="Note 2 3 2 2 2 4" xfId="42389" xr:uid="{00000000-0005-0000-0000-00008CE20000}"/>
    <cellStyle name="Note 2 3 2 2 2 5" xfId="42390" xr:uid="{00000000-0005-0000-0000-00008DE20000}"/>
    <cellStyle name="Note 2 3 2 2 2 6" xfId="42391" xr:uid="{00000000-0005-0000-0000-00008EE20000}"/>
    <cellStyle name="Note 2 3 2 2 2 7" xfId="42392" xr:uid="{00000000-0005-0000-0000-00008FE20000}"/>
    <cellStyle name="Note 2 3 2 2 2 8" xfId="42393" xr:uid="{00000000-0005-0000-0000-000090E20000}"/>
    <cellStyle name="Note 2 3 2 2 3" xfId="42394" xr:uid="{00000000-0005-0000-0000-000091E20000}"/>
    <cellStyle name="Note 2 3 2 2 3 2" xfId="42395" xr:uid="{00000000-0005-0000-0000-000092E20000}"/>
    <cellStyle name="Note 2 3 2 2 3 2 2" xfId="61631" xr:uid="{00000000-0005-0000-0000-000093E20000}"/>
    <cellStyle name="Note 2 3 2 2 3 2 3" xfId="61632" xr:uid="{00000000-0005-0000-0000-000094E20000}"/>
    <cellStyle name="Note 2 3 2 2 3 3" xfId="42396" xr:uid="{00000000-0005-0000-0000-000095E20000}"/>
    <cellStyle name="Note 2 3 2 2 3 3 2" xfId="61633" xr:uid="{00000000-0005-0000-0000-000096E20000}"/>
    <cellStyle name="Note 2 3 2 2 3 4" xfId="42397" xr:uid="{00000000-0005-0000-0000-000097E20000}"/>
    <cellStyle name="Note 2 3 2 2 3 5" xfId="42398" xr:uid="{00000000-0005-0000-0000-000098E20000}"/>
    <cellStyle name="Note 2 3 2 2 3 6" xfId="42399" xr:uid="{00000000-0005-0000-0000-000099E20000}"/>
    <cellStyle name="Note 2 3 2 2 4" xfId="42400" xr:uid="{00000000-0005-0000-0000-00009AE20000}"/>
    <cellStyle name="Note 2 3 2 2 4 2" xfId="42401" xr:uid="{00000000-0005-0000-0000-00009BE20000}"/>
    <cellStyle name="Note 2 3 2 2 5" xfId="42402" xr:uid="{00000000-0005-0000-0000-00009CE20000}"/>
    <cellStyle name="Note 2 3 2 2 5 2" xfId="61634" xr:uid="{00000000-0005-0000-0000-00009DE20000}"/>
    <cellStyle name="Note 2 3 2 2 6" xfId="42403" xr:uid="{00000000-0005-0000-0000-00009EE20000}"/>
    <cellStyle name="Note 2 3 2 2 7" xfId="42404" xr:uid="{00000000-0005-0000-0000-00009FE20000}"/>
    <cellStyle name="Note 2 3 2 2 8" xfId="42405" xr:uid="{00000000-0005-0000-0000-0000A0E20000}"/>
    <cellStyle name="Note 2 3 2 2 9" xfId="42406" xr:uid="{00000000-0005-0000-0000-0000A1E20000}"/>
    <cellStyle name="Note 2 3 2 3" xfId="42407" xr:uid="{00000000-0005-0000-0000-0000A2E20000}"/>
    <cellStyle name="Note 2 3 2 3 2" xfId="42408" xr:uid="{00000000-0005-0000-0000-0000A3E20000}"/>
    <cellStyle name="Note 2 3 2 3 2 2" xfId="42409" xr:uid="{00000000-0005-0000-0000-0000A4E20000}"/>
    <cellStyle name="Note 2 3 2 3 2 2 2" xfId="42410" xr:uid="{00000000-0005-0000-0000-0000A5E20000}"/>
    <cellStyle name="Note 2 3 2 3 2 2 2 2" xfId="61635" xr:uid="{00000000-0005-0000-0000-0000A6E20000}"/>
    <cellStyle name="Note 2 3 2 3 2 2 2 3" xfId="61636" xr:uid="{00000000-0005-0000-0000-0000A7E20000}"/>
    <cellStyle name="Note 2 3 2 3 2 2 3" xfId="42411" xr:uid="{00000000-0005-0000-0000-0000A8E20000}"/>
    <cellStyle name="Note 2 3 2 3 2 2 3 2" xfId="61637" xr:uid="{00000000-0005-0000-0000-0000A9E20000}"/>
    <cellStyle name="Note 2 3 2 3 2 2 4" xfId="42412" xr:uid="{00000000-0005-0000-0000-0000AAE20000}"/>
    <cellStyle name="Note 2 3 2 3 2 2 5" xfId="42413" xr:uid="{00000000-0005-0000-0000-0000ABE20000}"/>
    <cellStyle name="Note 2 3 2 3 2 2 6" xfId="42414" xr:uid="{00000000-0005-0000-0000-0000ACE20000}"/>
    <cellStyle name="Note 2 3 2 3 2 3" xfId="42415" xr:uid="{00000000-0005-0000-0000-0000ADE20000}"/>
    <cellStyle name="Note 2 3 2 3 2 3 2" xfId="61638" xr:uid="{00000000-0005-0000-0000-0000AEE20000}"/>
    <cellStyle name="Note 2 3 2 3 2 3 3" xfId="61639" xr:uid="{00000000-0005-0000-0000-0000AFE20000}"/>
    <cellStyle name="Note 2 3 2 3 2 4" xfId="42416" xr:uid="{00000000-0005-0000-0000-0000B0E20000}"/>
    <cellStyle name="Note 2 3 2 3 2 4 2" xfId="61640" xr:uid="{00000000-0005-0000-0000-0000B1E20000}"/>
    <cellStyle name="Note 2 3 2 3 2 5" xfId="42417" xr:uid="{00000000-0005-0000-0000-0000B2E20000}"/>
    <cellStyle name="Note 2 3 2 3 2 6" xfId="42418" xr:uid="{00000000-0005-0000-0000-0000B3E20000}"/>
    <cellStyle name="Note 2 3 2 3 2 7" xfId="42419" xr:uid="{00000000-0005-0000-0000-0000B4E20000}"/>
    <cellStyle name="Note 2 3 2 3 3" xfId="42420" xr:uid="{00000000-0005-0000-0000-0000B5E20000}"/>
    <cellStyle name="Note 2 3 2 3 3 2" xfId="42421" xr:uid="{00000000-0005-0000-0000-0000B6E20000}"/>
    <cellStyle name="Note 2 3 2 3 3 2 2" xfId="61641" xr:uid="{00000000-0005-0000-0000-0000B7E20000}"/>
    <cellStyle name="Note 2 3 2 3 3 2 3" xfId="61642" xr:uid="{00000000-0005-0000-0000-0000B8E20000}"/>
    <cellStyle name="Note 2 3 2 3 3 3" xfId="42422" xr:uid="{00000000-0005-0000-0000-0000B9E20000}"/>
    <cellStyle name="Note 2 3 2 3 3 3 2" xfId="61643" xr:uid="{00000000-0005-0000-0000-0000BAE20000}"/>
    <cellStyle name="Note 2 3 2 3 3 4" xfId="42423" xr:uid="{00000000-0005-0000-0000-0000BBE20000}"/>
    <cellStyle name="Note 2 3 2 3 3 5" xfId="42424" xr:uid="{00000000-0005-0000-0000-0000BCE20000}"/>
    <cellStyle name="Note 2 3 2 3 3 6" xfId="42425" xr:uid="{00000000-0005-0000-0000-0000BDE20000}"/>
    <cellStyle name="Note 2 3 2 3 4" xfId="42426" xr:uid="{00000000-0005-0000-0000-0000BEE20000}"/>
    <cellStyle name="Note 2 3 2 3 4 2" xfId="42427" xr:uid="{00000000-0005-0000-0000-0000BFE20000}"/>
    <cellStyle name="Note 2 3 2 3 5" xfId="42428" xr:uid="{00000000-0005-0000-0000-0000C0E20000}"/>
    <cellStyle name="Note 2 3 2 3 5 2" xfId="61644" xr:uid="{00000000-0005-0000-0000-0000C1E20000}"/>
    <cellStyle name="Note 2 3 2 3 6" xfId="42429" xr:uid="{00000000-0005-0000-0000-0000C2E20000}"/>
    <cellStyle name="Note 2 3 2 3 7" xfId="42430" xr:uid="{00000000-0005-0000-0000-0000C3E20000}"/>
    <cellStyle name="Note 2 3 2 3 8" xfId="42431" xr:uid="{00000000-0005-0000-0000-0000C4E20000}"/>
    <cellStyle name="Note 2 3 2 3 9" xfId="42432" xr:uid="{00000000-0005-0000-0000-0000C5E20000}"/>
    <cellStyle name="Note 2 3 2 4" xfId="42433" xr:uid="{00000000-0005-0000-0000-0000C6E20000}"/>
    <cellStyle name="Note 2 3 2 4 2" xfId="42434" xr:uid="{00000000-0005-0000-0000-0000C7E20000}"/>
    <cellStyle name="Note 2 3 2 4 2 2" xfId="42435" xr:uid="{00000000-0005-0000-0000-0000C8E20000}"/>
    <cellStyle name="Note 2 3 2 4 2 2 2" xfId="61645" xr:uid="{00000000-0005-0000-0000-0000C9E20000}"/>
    <cellStyle name="Note 2 3 2 4 2 2 3" xfId="61646" xr:uid="{00000000-0005-0000-0000-0000CAE20000}"/>
    <cellStyle name="Note 2 3 2 4 2 3" xfId="42436" xr:uid="{00000000-0005-0000-0000-0000CBE20000}"/>
    <cellStyle name="Note 2 3 2 4 2 3 2" xfId="61647" xr:uid="{00000000-0005-0000-0000-0000CCE20000}"/>
    <cellStyle name="Note 2 3 2 4 2 4" xfId="42437" xr:uid="{00000000-0005-0000-0000-0000CDE20000}"/>
    <cellStyle name="Note 2 3 2 4 2 5" xfId="42438" xr:uid="{00000000-0005-0000-0000-0000CEE20000}"/>
    <cellStyle name="Note 2 3 2 4 2 6" xfId="42439" xr:uid="{00000000-0005-0000-0000-0000CFE20000}"/>
    <cellStyle name="Note 2 3 2 4 3" xfId="42440" xr:uid="{00000000-0005-0000-0000-0000D0E20000}"/>
    <cellStyle name="Note 2 3 2 4 3 2" xfId="42441" xr:uid="{00000000-0005-0000-0000-0000D1E20000}"/>
    <cellStyle name="Note 2 3 2 4 4" xfId="42442" xr:uid="{00000000-0005-0000-0000-0000D2E20000}"/>
    <cellStyle name="Note 2 3 2 4 4 2" xfId="61648" xr:uid="{00000000-0005-0000-0000-0000D3E20000}"/>
    <cellStyle name="Note 2 3 2 4 5" xfId="42443" xr:uid="{00000000-0005-0000-0000-0000D4E20000}"/>
    <cellStyle name="Note 2 3 2 4 6" xfId="42444" xr:uid="{00000000-0005-0000-0000-0000D5E20000}"/>
    <cellStyle name="Note 2 3 2 4 7" xfId="42445" xr:uid="{00000000-0005-0000-0000-0000D6E20000}"/>
    <cellStyle name="Note 2 3 2 4 8" xfId="42446" xr:uid="{00000000-0005-0000-0000-0000D7E20000}"/>
    <cellStyle name="Note 2 3 2 5" xfId="42447" xr:uid="{00000000-0005-0000-0000-0000D8E20000}"/>
    <cellStyle name="Note 2 3 2 5 2" xfId="42448" xr:uid="{00000000-0005-0000-0000-0000D9E20000}"/>
    <cellStyle name="Note 2 3 2 5 2 2" xfId="61649" xr:uid="{00000000-0005-0000-0000-0000DAE20000}"/>
    <cellStyle name="Note 2 3 2 5 2 3" xfId="61650" xr:uid="{00000000-0005-0000-0000-0000DBE20000}"/>
    <cellStyle name="Note 2 3 2 5 3" xfId="42449" xr:uid="{00000000-0005-0000-0000-0000DCE20000}"/>
    <cellStyle name="Note 2 3 2 5 3 2" xfId="61651" xr:uid="{00000000-0005-0000-0000-0000DDE20000}"/>
    <cellStyle name="Note 2 3 2 5 4" xfId="42450" xr:uid="{00000000-0005-0000-0000-0000DEE20000}"/>
    <cellStyle name="Note 2 3 2 5 5" xfId="42451" xr:uid="{00000000-0005-0000-0000-0000DFE20000}"/>
    <cellStyle name="Note 2 3 2 5 6" xfId="42452" xr:uid="{00000000-0005-0000-0000-0000E0E20000}"/>
    <cellStyle name="Note 2 3 2 6" xfId="42453" xr:uid="{00000000-0005-0000-0000-0000E1E20000}"/>
    <cellStyle name="Note 2 3 2 6 2" xfId="42454" xr:uid="{00000000-0005-0000-0000-0000E2E20000}"/>
    <cellStyle name="Note 2 3 2 7" xfId="42455" xr:uid="{00000000-0005-0000-0000-0000E3E20000}"/>
    <cellStyle name="Note 2 3 2 7 2" xfId="61652" xr:uid="{00000000-0005-0000-0000-0000E4E20000}"/>
    <cellStyle name="Note 2 3 2 8" xfId="42456" xr:uid="{00000000-0005-0000-0000-0000E5E20000}"/>
    <cellStyle name="Note 2 3 2 9" xfId="42457" xr:uid="{00000000-0005-0000-0000-0000E6E20000}"/>
    <cellStyle name="Note 2 3 3" xfId="42458" xr:uid="{00000000-0005-0000-0000-0000E7E20000}"/>
    <cellStyle name="Note 2 3 3 10" xfId="42459" xr:uid="{00000000-0005-0000-0000-0000E8E20000}"/>
    <cellStyle name="Note 2 3 3 2" xfId="42460" xr:uid="{00000000-0005-0000-0000-0000E9E20000}"/>
    <cellStyle name="Note 2 3 3 2 2" xfId="42461" xr:uid="{00000000-0005-0000-0000-0000EAE20000}"/>
    <cellStyle name="Note 2 3 3 2 2 2" xfId="42462" xr:uid="{00000000-0005-0000-0000-0000EBE20000}"/>
    <cellStyle name="Note 2 3 3 2 2 2 2" xfId="61653" xr:uid="{00000000-0005-0000-0000-0000ECE20000}"/>
    <cellStyle name="Note 2 3 3 2 2 3" xfId="42463" xr:uid="{00000000-0005-0000-0000-0000EDE20000}"/>
    <cellStyle name="Note 2 3 3 2 2 4" xfId="42464" xr:uid="{00000000-0005-0000-0000-0000EEE20000}"/>
    <cellStyle name="Note 2 3 3 2 2 5" xfId="42465" xr:uid="{00000000-0005-0000-0000-0000EFE20000}"/>
    <cellStyle name="Note 2 3 3 2 2 6" xfId="42466" xr:uid="{00000000-0005-0000-0000-0000F0E20000}"/>
    <cellStyle name="Note 2 3 3 2 2 7" xfId="42467" xr:uid="{00000000-0005-0000-0000-0000F1E20000}"/>
    <cellStyle name="Note 2 3 3 2 3" xfId="42468" xr:uid="{00000000-0005-0000-0000-0000F2E20000}"/>
    <cellStyle name="Note 2 3 3 2 3 2" xfId="42469" xr:uid="{00000000-0005-0000-0000-0000F3E20000}"/>
    <cellStyle name="Note 2 3 3 2 4" xfId="42470" xr:uid="{00000000-0005-0000-0000-0000F4E20000}"/>
    <cellStyle name="Note 2 3 3 2 4 2" xfId="61654" xr:uid="{00000000-0005-0000-0000-0000F5E20000}"/>
    <cellStyle name="Note 2 3 3 2 5" xfId="42471" xr:uid="{00000000-0005-0000-0000-0000F6E20000}"/>
    <cellStyle name="Note 2 3 3 2 6" xfId="42472" xr:uid="{00000000-0005-0000-0000-0000F7E20000}"/>
    <cellStyle name="Note 2 3 3 2 7" xfId="42473" xr:uid="{00000000-0005-0000-0000-0000F8E20000}"/>
    <cellStyle name="Note 2 3 3 2 8" xfId="42474" xr:uid="{00000000-0005-0000-0000-0000F9E20000}"/>
    <cellStyle name="Note 2 3 3 3" xfId="42475" xr:uid="{00000000-0005-0000-0000-0000FAE20000}"/>
    <cellStyle name="Note 2 3 3 3 2" xfId="42476" xr:uid="{00000000-0005-0000-0000-0000FBE20000}"/>
    <cellStyle name="Note 2 3 3 3 2 2" xfId="42477" xr:uid="{00000000-0005-0000-0000-0000FCE20000}"/>
    <cellStyle name="Note 2 3 3 3 3" xfId="42478" xr:uid="{00000000-0005-0000-0000-0000FDE20000}"/>
    <cellStyle name="Note 2 3 3 3 3 2" xfId="61655" xr:uid="{00000000-0005-0000-0000-0000FEE20000}"/>
    <cellStyle name="Note 2 3 3 3 4" xfId="42479" xr:uid="{00000000-0005-0000-0000-0000FFE20000}"/>
    <cellStyle name="Note 2 3 3 3 5" xfId="42480" xr:uid="{00000000-0005-0000-0000-000000E30000}"/>
    <cellStyle name="Note 2 3 3 3 6" xfId="42481" xr:uid="{00000000-0005-0000-0000-000001E30000}"/>
    <cellStyle name="Note 2 3 3 3 7" xfId="42482" xr:uid="{00000000-0005-0000-0000-000002E30000}"/>
    <cellStyle name="Note 2 3 3 4" xfId="42483" xr:uid="{00000000-0005-0000-0000-000003E30000}"/>
    <cellStyle name="Note 2 3 3 4 2" xfId="42484" xr:uid="{00000000-0005-0000-0000-000004E30000}"/>
    <cellStyle name="Note 2 3 3 4 3" xfId="42485" xr:uid="{00000000-0005-0000-0000-000005E30000}"/>
    <cellStyle name="Note 2 3 3 5" xfId="42486" xr:uid="{00000000-0005-0000-0000-000006E30000}"/>
    <cellStyle name="Note 2 3 3 5 2" xfId="42487" xr:uid="{00000000-0005-0000-0000-000007E30000}"/>
    <cellStyle name="Note 2 3 3 6" xfId="42488" xr:uid="{00000000-0005-0000-0000-000008E30000}"/>
    <cellStyle name="Note 2 3 3 6 2" xfId="61656" xr:uid="{00000000-0005-0000-0000-000009E30000}"/>
    <cellStyle name="Note 2 3 3 7" xfId="42489" xr:uid="{00000000-0005-0000-0000-00000AE30000}"/>
    <cellStyle name="Note 2 3 3 8" xfId="42490" xr:uid="{00000000-0005-0000-0000-00000BE30000}"/>
    <cellStyle name="Note 2 3 3 9" xfId="42491" xr:uid="{00000000-0005-0000-0000-00000CE30000}"/>
    <cellStyle name="Note 2 3 4" xfId="42492" xr:uid="{00000000-0005-0000-0000-00000DE30000}"/>
    <cellStyle name="Note 2 3 4 10" xfId="42493" xr:uid="{00000000-0005-0000-0000-00000EE30000}"/>
    <cellStyle name="Note 2 3 4 2" xfId="42494" xr:uid="{00000000-0005-0000-0000-00000FE30000}"/>
    <cellStyle name="Note 2 3 4 2 2" xfId="42495" xr:uid="{00000000-0005-0000-0000-000010E30000}"/>
    <cellStyle name="Note 2 3 4 2 2 2" xfId="42496" xr:uid="{00000000-0005-0000-0000-000011E30000}"/>
    <cellStyle name="Note 2 3 4 2 2 2 2" xfId="61657" xr:uid="{00000000-0005-0000-0000-000012E30000}"/>
    <cellStyle name="Note 2 3 4 2 2 2 3" xfId="61658" xr:uid="{00000000-0005-0000-0000-000013E30000}"/>
    <cellStyle name="Note 2 3 4 2 2 3" xfId="42497" xr:uid="{00000000-0005-0000-0000-000014E30000}"/>
    <cellStyle name="Note 2 3 4 2 2 3 2" xfId="61659" xr:uid="{00000000-0005-0000-0000-000015E30000}"/>
    <cellStyle name="Note 2 3 4 2 2 4" xfId="42498" xr:uid="{00000000-0005-0000-0000-000016E30000}"/>
    <cellStyle name="Note 2 3 4 2 2 5" xfId="42499" xr:uid="{00000000-0005-0000-0000-000017E30000}"/>
    <cellStyle name="Note 2 3 4 2 2 6" xfId="42500" xr:uid="{00000000-0005-0000-0000-000018E30000}"/>
    <cellStyle name="Note 2 3 4 2 3" xfId="42501" xr:uid="{00000000-0005-0000-0000-000019E30000}"/>
    <cellStyle name="Note 2 3 4 2 3 2" xfId="61660" xr:uid="{00000000-0005-0000-0000-00001AE30000}"/>
    <cellStyle name="Note 2 3 4 2 4" xfId="42502" xr:uid="{00000000-0005-0000-0000-00001BE30000}"/>
    <cellStyle name="Note 2 3 4 2 5" xfId="42503" xr:uid="{00000000-0005-0000-0000-00001CE30000}"/>
    <cellStyle name="Note 2 3 4 2 6" xfId="42504" xr:uid="{00000000-0005-0000-0000-00001DE30000}"/>
    <cellStyle name="Note 2 3 4 2 7" xfId="42505" xr:uid="{00000000-0005-0000-0000-00001EE30000}"/>
    <cellStyle name="Note 2 3 4 2 8" xfId="42506" xr:uid="{00000000-0005-0000-0000-00001FE30000}"/>
    <cellStyle name="Note 2 3 4 3" xfId="42507" xr:uid="{00000000-0005-0000-0000-000020E30000}"/>
    <cellStyle name="Note 2 3 4 3 2" xfId="42508" xr:uid="{00000000-0005-0000-0000-000021E30000}"/>
    <cellStyle name="Note 2 3 4 3 2 2" xfId="61661" xr:uid="{00000000-0005-0000-0000-000022E30000}"/>
    <cellStyle name="Note 2 3 4 3 2 3" xfId="61662" xr:uid="{00000000-0005-0000-0000-000023E30000}"/>
    <cellStyle name="Note 2 3 4 3 3" xfId="42509" xr:uid="{00000000-0005-0000-0000-000024E30000}"/>
    <cellStyle name="Note 2 3 4 3 3 2" xfId="61663" xr:uid="{00000000-0005-0000-0000-000025E30000}"/>
    <cellStyle name="Note 2 3 4 3 4" xfId="42510" xr:uid="{00000000-0005-0000-0000-000026E30000}"/>
    <cellStyle name="Note 2 3 4 3 5" xfId="42511" xr:uid="{00000000-0005-0000-0000-000027E30000}"/>
    <cellStyle name="Note 2 3 4 3 6" xfId="42512" xr:uid="{00000000-0005-0000-0000-000028E30000}"/>
    <cellStyle name="Note 2 3 4 4" xfId="42513" xr:uid="{00000000-0005-0000-0000-000029E30000}"/>
    <cellStyle name="Note 2 3 4 4 2" xfId="42514" xr:uid="{00000000-0005-0000-0000-00002AE30000}"/>
    <cellStyle name="Note 2 3 4 5" xfId="42515" xr:uid="{00000000-0005-0000-0000-00002BE30000}"/>
    <cellStyle name="Note 2 3 4 5 2" xfId="61664" xr:uid="{00000000-0005-0000-0000-00002CE30000}"/>
    <cellStyle name="Note 2 3 4 6" xfId="42516" xr:uid="{00000000-0005-0000-0000-00002DE30000}"/>
    <cellStyle name="Note 2 3 4 7" xfId="42517" xr:uid="{00000000-0005-0000-0000-00002EE30000}"/>
    <cellStyle name="Note 2 3 4 8" xfId="42518" xr:uid="{00000000-0005-0000-0000-00002FE30000}"/>
    <cellStyle name="Note 2 3 4 9" xfId="42519" xr:uid="{00000000-0005-0000-0000-000030E30000}"/>
    <cellStyle name="Note 2 3 5" xfId="42520" xr:uid="{00000000-0005-0000-0000-000031E30000}"/>
    <cellStyle name="Note 2 3 5 10" xfId="42521" xr:uid="{00000000-0005-0000-0000-000032E30000}"/>
    <cellStyle name="Note 2 3 5 2" xfId="42522" xr:uid="{00000000-0005-0000-0000-000033E30000}"/>
    <cellStyle name="Note 2 3 5 2 2" xfId="42523" xr:uid="{00000000-0005-0000-0000-000034E30000}"/>
    <cellStyle name="Note 2 3 5 2 2 2" xfId="61665" xr:uid="{00000000-0005-0000-0000-000035E30000}"/>
    <cellStyle name="Note 2 3 5 2 2 3" xfId="61666" xr:uid="{00000000-0005-0000-0000-000036E30000}"/>
    <cellStyle name="Note 2 3 5 2 3" xfId="42524" xr:uid="{00000000-0005-0000-0000-000037E30000}"/>
    <cellStyle name="Note 2 3 5 2 3 2" xfId="61667" xr:uid="{00000000-0005-0000-0000-000038E30000}"/>
    <cellStyle name="Note 2 3 5 2 4" xfId="42525" xr:uid="{00000000-0005-0000-0000-000039E30000}"/>
    <cellStyle name="Note 2 3 5 2 5" xfId="42526" xr:uid="{00000000-0005-0000-0000-00003AE30000}"/>
    <cellStyle name="Note 2 3 5 2 6" xfId="42527" xr:uid="{00000000-0005-0000-0000-00003BE30000}"/>
    <cellStyle name="Note 2 3 5 3" xfId="42528" xr:uid="{00000000-0005-0000-0000-00003CE30000}"/>
    <cellStyle name="Note 2 3 5 3 2" xfId="42529" xr:uid="{00000000-0005-0000-0000-00003DE30000}"/>
    <cellStyle name="Note 2 3 5 4" xfId="42530" xr:uid="{00000000-0005-0000-0000-00003EE30000}"/>
    <cellStyle name="Note 2 3 5 4 2" xfId="61668" xr:uid="{00000000-0005-0000-0000-00003FE30000}"/>
    <cellStyle name="Note 2 3 5 5" xfId="42531" xr:uid="{00000000-0005-0000-0000-000040E30000}"/>
    <cellStyle name="Note 2 3 5 6" xfId="42532" xr:uid="{00000000-0005-0000-0000-000041E30000}"/>
    <cellStyle name="Note 2 3 5 7" xfId="42533" xr:uid="{00000000-0005-0000-0000-000042E30000}"/>
    <cellStyle name="Note 2 3 5 8" xfId="42534" xr:uid="{00000000-0005-0000-0000-000043E30000}"/>
    <cellStyle name="Note 2 3 5 9" xfId="42535" xr:uid="{00000000-0005-0000-0000-000044E30000}"/>
    <cellStyle name="Note 2 3 6" xfId="42536" xr:uid="{00000000-0005-0000-0000-000045E30000}"/>
    <cellStyle name="Note 2 3 6 10" xfId="42537" xr:uid="{00000000-0005-0000-0000-000046E30000}"/>
    <cellStyle name="Note 2 3 6 2" xfId="42538" xr:uid="{00000000-0005-0000-0000-000047E30000}"/>
    <cellStyle name="Note 2 3 6 2 2" xfId="42539" xr:uid="{00000000-0005-0000-0000-000048E30000}"/>
    <cellStyle name="Note 2 3 6 3" xfId="42540" xr:uid="{00000000-0005-0000-0000-000049E30000}"/>
    <cellStyle name="Note 2 3 6 3 2" xfId="61669" xr:uid="{00000000-0005-0000-0000-00004AE30000}"/>
    <cellStyle name="Note 2 3 6 4" xfId="42541" xr:uid="{00000000-0005-0000-0000-00004BE30000}"/>
    <cellStyle name="Note 2 3 6 5" xfId="42542" xr:uid="{00000000-0005-0000-0000-00004CE30000}"/>
    <cellStyle name="Note 2 3 6 6" xfId="42543" xr:uid="{00000000-0005-0000-0000-00004DE30000}"/>
    <cellStyle name="Note 2 3 6 7" xfId="42544" xr:uid="{00000000-0005-0000-0000-00004EE30000}"/>
    <cellStyle name="Note 2 3 6 8" xfId="42545" xr:uid="{00000000-0005-0000-0000-00004FE30000}"/>
    <cellStyle name="Note 2 3 6 9" xfId="42546" xr:uid="{00000000-0005-0000-0000-000050E30000}"/>
    <cellStyle name="Note 2 3 7" xfId="42547" xr:uid="{00000000-0005-0000-0000-000051E30000}"/>
    <cellStyle name="Note 2 3 7 10" xfId="42548" xr:uid="{00000000-0005-0000-0000-000052E30000}"/>
    <cellStyle name="Note 2 3 7 2" xfId="42549" xr:uid="{00000000-0005-0000-0000-000053E30000}"/>
    <cellStyle name="Note 2 3 7 3" xfId="42550" xr:uid="{00000000-0005-0000-0000-000054E30000}"/>
    <cellStyle name="Note 2 3 7 4" xfId="42551" xr:uid="{00000000-0005-0000-0000-000055E30000}"/>
    <cellStyle name="Note 2 3 7 5" xfId="42552" xr:uid="{00000000-0005-0000-0000-000056E30000}"/>
    <cellStyle name="Note 2 3 7 6" xfId="42553" xr:uid="{00000000-0005-0000-0000-000057E30000}"/>
    <cellStyle name="Note 2 3 7 7" xfId="42554" xr:uid="{00000000-0005-0000-0000-000058E30000}"/>
    <cellStyle name="Note 2 3 7 8" xfId="42555" xr:uid="{00000000-0005-0000-0000-000059E30000}"/>
    <cellStyle name="Note 2 3 7 9" xfId="42556" xr:uid="{00000000-0005-0000-0000-00005AE30000}"/>
    <cellStyle name="Note 2 3 8" xfId="42557" xr:uid="{00000000-0005-0000-0000-00005BE30000}"/>
    <cellStyle name="Note 2 3 8 2" xfId="61670" xr:uid="{00000000-0005-0000-0000-00005CE30000}"/>
    <cellStyle name="Note 2 3 9" xfId="42558" xr:uid="{00000000-0005-0000-0000-00005DE30000}"/>
    <cellStyle name="Note 2 4" xfId="42559" xr:uid="{00000000-0005-0000-0000-00005EE30000}"/>
    <cellStyle name="Note 2 4 10" xfId="42560" xr:uid="{00000000-0005-0000-0000-00005FE30000}"/>
    <cellStyle name="Note 2 4 11" xfId="42561" xr:uid="{00000000-0005-0000-0000-000060E30000}"/>
    <cellStyle name="Note 2 4 12" xfId="42562" xr:uid="{00000000-0005-0000-0000-000061E30000}"/>
    <cellStyle name="Note 2 4 13" xfId="42563" xr:uid="{00000000-0005-0000-0000-000062E30000}"/>
    <cellStyle name="Note 2 4 14" xfId="42564" xr:uid="{00000000-0005-0000-0000-000063E30000}"/>
    <cellStyle name="Note 2 4 15" xfId="42565" xr:uid="{00000000-0005-0000-0000-000064E30000}"/>
    <cellStyle name="Note 2 4 16" xfId="42566" xr:uid="{00000000-0005-0000-0000-000065E30000}"/>
    <cellStyle name="Note 2 4 2" xfId="42567" xr:uid="{00000000-0005-0000-0000-000066E30000}"/>
    <cellStyle name="Note 2 4 2 10" xfId="42568" xr:uid="{00000000-0005-0000-0000-000067E30000}"/>
    <cellStyle name="Note 2 4 2 2" xfId="42569" xr:uid="{00000000-0005-0000-0000-000068E30000}"/>
    <cellStyle name="Note 2 4 2 2 2" xfId="42570" xr:uid="{00000000-0005-0000-0000-000069E30000}"/>
    <cellStyle name="Note 2 4 2 2 2 2" xfId="42571" xr:uid="{00000000-0005-0000-0000-00006AE30000}"/>
    <cellStyle name="Note 2 4 2 2 2 2 2" xfId="61671" xr:uid="{00000000-0005-0000-0000-00006BE30000}"/>
    <cellStyle name="Note 2 4 2 2 2 2 3" xfId="61672" xr:uid="{00000000-0005-0000-0000-00006CE30000}"/>
    <cellStyle name="Note 2 4 2 2 2 3" xfId="42572" xr:uid="{00000000-0005-0000-0000-00006DE30000}"/>
    <cellStyle name="Note 2 4 2 2 2 3 2" xfId="61673" xr:uid="{00000000-0005-0000-0000-00006EE30000}"/>
    <cellStyle name="Note 2 4 2 2 2 4" xfId="42573" xr:uid="{00000000-0005-0000-0000-00006FE30000}"/>
    <cellStyle name="Note 2 4 2 2 2 5" xfId="42574" xr:uid="{00000000-0005-0000-0000-000070E30000}"/>
    <cellStyle name="Note 2 4 2 2 2 6" xfId="42575" xr:uid="{00000000-0005-0000-0000-000071E30000}"/>
    <cellStyle name="Note 2 4 2 2 3" xfId="42576" xr:uid="{00000000-0005-0000-0000-000072E30000}"/>
    <cellStyle name="Note 2 4 2 2 3 2" xfId="61674" xr:uid="{00000000-0005-0000-0000-000073E30000}"/>
    <cellStyle name="Note 2 4 2 2 4" xfId="42577" xr:uid="{00000000-0005-0000-0000-000074E30000}"/>
    <cellStyle name="Note 2 4 2 2 5" xfId="42578" xr:uid="{00000000-0005-0000-0000-000075E30000}"/>
    <cellStyle name="Note 2 4 2 2 6" xfId="42579" xr:uid="{00000000-0005-0000-0000-000076E30000}"/>
    <cellStyle name="Note 2 4 2 2 7" xfId="42580" xr:uid="{00000000-0005-0000-0000-000077E30000}"/>
    <cellStyle name="Note 2 4 2 2 8" xfId="42581" xr:uid="{00000000-0005-0000-0000-000078E30000}"/>
    <cellStyle name="Note 2 4 2 3" xfId="42582" xr:uid="{00000000-0005-0000-0000-000079E30000}"/>
    <cellStyle name="Note 2 4 2 3 2" xfId="42583" xr:uid="{00000000-0005-0000-0000-00007AE30000}"/>
    <cellStyle name="Note 2 4 2 3 2 2" xfId="61675" xr:uid="{00000000-0005-0000-0000-00007BE30000}"/>
    <cellStyle name="Note 2 4 2 3 2 3" xfId="61676" xr:uid="{00000000-0005-0000-0000-00007CE30000}"/>
    <cellStyle name="Note 2 4 2 3 3" xfId="42584" xr:uid="{00000000-0005-0000-0000-00007DE30000}"/>
    <cellStyle name="Note 2 4 2 3 3 2" xfId="61677" xr:uid="{00000000-0005-0000-0000-00007EE30000}"/>
    <cellStyle name="Note 2 4 2 3 4" xfId="42585" xr:uid="{00000000-0005-0000-0000-00007FE30000}"/>
    <cellStyle name="Note 2 4 2 3 5" xfId="42586" xr:uid="{00000000-0005-0000-0000-000080E30000}"/>
    <cellStyle name="Note 2 4 2 3 6" xfId="42587" xr:uid="{00000000-0005-0000-0000-000081E30000}"/>
    <cellStyle name="Note 2 4 2 4" xfId="42588" xr:uid="{00000000-0005-0000-0000-000082E30000}"/>
    <cellStyle name="Note 2 4 2 4 2" xfId="42589" xr:uid="{00000000-0005-0000-0000-000083E30000}"/>
    <cellStyle name="Note 2 4 2 5" xfId="42590" xr:uid="{00000000-0005-0000-0000-000084E30000}"/>
    <cellStyle name="Note 2 4 2 5 2" xfId="61678" xr:uid="{00000000-0005-0000-0000-000085E30000}"/>
    <cellStyle name="Note 2 4 2 6" xfId="42591" xr:uid="{00000000-0005-0000-0000-000086E30000}"/>
    <cellStyle name="Note 2 4 2 7" xfId="42592" xr:uid="{00000000-0005-0000-0000-000087E30000}"/>
    <cellStyle name="Note 2 4 2 8" xfId="42593" xr:uid="{00000000-0005-0000-0000-000088E30000}"/>
    <cellStyle name="Note 2 4 2 9" xfId="42594" xr:uid="{00000000-0005-0000-0000-000089E30000}"/>
    <cellStyle name="Note 2 4 3" xfId="42595" xr:uid="{00000000-0005-0000-0000-00008AE30000}"/>
    <cellStyle name="Note 2 4 3 2" xfId="42596" xr:uid="{00000000-0005-0000-0000-00008BE30000}"/>
    <cellStyle name="Note 2 4 3 2 2" xfId="42597" xr:uid="{00000000-0005-0000-0000-00008CE30000}"/>
    <cellStyle name="Note 2 4 3 2 2 2" xfId="42598" xr:uid="{00000000-0005-0000-0000-00008DE30000}"/>
    <cellStyle name="Note 2 4 3 2 2 2 2" xfId="61679" xr:uid="{00000000-0005-0000-0000-00008EE30000}"/>
    <cellStyle name="Note 2 4 3 2 2 2 3" xfId="61680" xr:uid="{00000000-0005-0000-0000-00008FE30000}"/>
    <cellStyle name="Note 2 4 3 2 2 3" xfId="42599" xr:uid="{00000000-0005-0000-0000-000090E30000}"/>
    <cellStyle name="Note 2 4 3 2 2 3 2" xfId="61681" xr:uid="{00000000-0005-0000-0000-000091E30000}"/>
    <cellStyle name="Note 2 4 3 2 2 4" xfId="42600" xr:uid="{00000000-0005-0000-0000-000092E30000}"/>
    <cellStyle name="Note 2 4 3 2 2 5" xfId="42601" xr:uid="{00000000-0005-0000-0000-000093E30000}"/>
    <cellStyle name="Note 2 4 3 2 2 6" xfId="42602" xr:uid="{00000000-0005-0000-0000-000094E30000}"/>
    <cellStyle name="Note 2 4 3 2 3" xfId="42603" xr:uid="{00000000-0005-0000-0000-000095E30000}"/>
    <cellStyle name="Note 2 4 3 2 3 2" xfId="61682" xr:uid="{00000000-0005-0000-0000-000096E30000}"/>
    <cellStyle name="Note 2 4 3 2 3 3" xfId="61683" xr:uid="{00000000-0005-0000-0000-000097E30000}"/>
    <cellStyle name="Note 2 4 3 2 4" xfId="42604" xr:uid="{00000000-0005-0000-0000-000098E30000}"/>
    <cellStyle name="Note 2 4 3 2 4 2" xfId="61684" xr:uid="{00000000-0005-0000-0000-000099E30000}"/>
    <cellStyle name="Note 2 4 3 2 5" xfId="42605" xr:uid="{00000000-0005-0000-0000-00009AE30000}"/>
    <cellStyle name="Note 2 4 3 2 6" xfId="42606" xr:uid="{00000000-0005-0000-0000-00009BE30000}"/>
    <cellStyle name="Note 2 4 3 2 7" xfId="42607" xr:uid="{00000000-0005-0000-0000-00009CE30000}"/>
    <cellStyle name="Note 2 4 3 3" xfId="42608" xr:uid="{00000000-0005-0000-0000-00009DE30000}"/>
    <cellStyle name="Note 2 4 3 3 2" xfId="42609" xr:uid="{00000000-0005-0000-0000-00009EE30000}"/>
    <cellStyle name="Note 2 4 3 3 2 2" xfId="61685" xr:uid="{00000000-0005-0000-0000-00009FE30000}"/>
    <cellStyle name="Note 2 4 3 3 2 3" xfId="61686" xr:uid="{00000000-0005-0000-0000-0000A0E30000}"/>
    <cellStyle name="Note 2 4 3 3 3" xfId="42610" xr:uid="{00000000-0005-0000-0000-0000A1E30000}"/>
    <cellStyle name="Note 2 4 3 3 3 2" xfId="61687" xr:uid="{00000000-0005-0000-0000-0000A2E30000}"/>
    <cellStyle name="Note 2 4 3 3 4" xfId="42611" xr:uid="{00000000-0005-0000-0000-0000A3E30000}"/>
    <cellStyle name="Note 2 4 3 3 5" xfId="42612" xr:uid="{00000000-0005-0000-0000-0000A4E30000}"/>
    <cellStyle name="Note 2 4 3 3 6" xfId="42613" xr:uid="{00000000-0005-0000-0000-0000A5E30000}"/>
    <cellStyle name="Note 2 4 3 4" xfId="42614" xr:uid="{00000000-0005-0000-0000-0000A6E30000}"/>
    <cellStyle name="Note 2 4 3 4 2" xfId="42615" xr:uid="{00000000-0005-0000-0000-0000A7E30000}"/>
    <cellStyle name="Note 2 4 3 5" xfId="42616" xr:uid="{00000000-0005-0000-0000-0000A8E30000}"/>
    <cellStyle name="Note 2 4 3 5 2" xfId="61688" xr:uid="{00000000-0005-0000-0000-0000A9E30000}"/>
    <cellStyle name="Note 2 4 3 6" xfId="42617" xr:uid="{00000000-0005-0000-0000-0000AAE30000}"/>
    <cellStyle name="Note 2 4 3 7" xfId="42618" xr:uid="{00000000-0005-0000-0000-0000ABE30000}"/>
    <cellStyle name="Note 2 4 3 8" xfId="42619" xr:uid="{00000000-0005-0000-0000-0000ACE30000}"/>
    <cellStyle name="Note 2 4 3 9" xfId="42620" xr:uid="{00000000-0005-0000-0000-0000ADE30000}"/>
    <cellStyle name="Note 2 4 4" xfId="42621" xr:uid="{00000000-0005-0000-0000-0000AEE30000}"/>
    <cellStyle name="Note 2 4 4 2" xfId="42622" xr:uid="{00000000-0005-0000-0000-0000AFE30000}"/>
    <cellStyle name="Note 2 4 4 2 2" xfId="42623" xr:uid="{00000000-0005-0000-0000-0000B0E30000}"/>
    <cellStyle name="Note 2 4 4 2 2 2" xfId="61689" xr:uid="{00000000-0005-0000-0000-0000B1E30000}"/>
    <cellStyle name="Note 2 4 4 2 2 3" xfId="61690" xr:uid="{00000000-0005-0000-0000-0000B2E30000}"/>
    <cellStyle name="Note 2 4 4 2 3" xfId="42624" xr:uid="{00000000-0005-0000-0000-0000B3E30000}"/>
    <cellStyle name="Note 2 4 4 2 3 2" xfId="61691" xr:uid="{00000000-0005-0000-0000-0000B4E30000}"/>
    <cellStyle name="Note 2 4 4 2 4" xfId="42625" xr:uid="{00000000-0005-0000-0000-0000B5E30000}"/>
    <cellStyle name="Note 2 4 4 2 5" xfId="42626" xr:uid="{00000000-0005-0000-0000-0000B6E30000}"/>
    <cellStyle name="Note 2 4 4 2 6" xfId="42627" xr:uid="{00000000-0005-0000-0000-0000B7E30000}"/>
    <cellStyle name="Note 2 4 4 3" xfId="42628" xr:uid="{00000000-0005-0000-0000-0000B8E30000}"/>
    <cellStyle name="Note 2 4 4 3 2" xfId="42629" xr:uid="{00000000-0005-0000-0000-0000B9E30000}"/>
    <cellStyle name="Note 2 4 4 4" xfId="42630" xr:uid="{00000000-0005-0000-0000-0000BAE30000}"/>
    <cellStyle name="Note 2 4 4 4 2" xfId="61692" xr:uid="{00000000-0005-0000-0000-0000BBE30000}"/>
    <cellStyle name="Note 2 4 4 5" xfId="42631" xr:uid="{00000000-0005-0000-0000-0000BCE30000}"/>
    <cellStyle name="Note 2 4 4 6" xfId="42632" xr:uid="{00000000-0005-0000-0000-0000BDE30000}"/>
    <cellStyle name="Note 2 4 4 7" xfId="42633" xr:uid="{00000000-0005-0000-0000-0000BEE30000}"/>
    <cellStyle name="Note 2 4 4 8" xfId="42634" xr:uid="{00000000-0005-0000-0000-0000BFE30000}"/>
    <cellStyle name="Note 2 4 5" xfId="42635" xr:uid="{00000000-0005-0000-0000-0000C0E30000}"/>
    <cellStyle name="Note 2 4 5 2" xfId="42636" xr:uid="{00000000-0005-0000-0000-0000C1E30000}"/>
    <cellStyle name="Note 2 4 5 2 2" xfId="61693" xr:uid="{00000000-0005-0000-0000-0000C2E30000}"/>
    <cellStyle name="Note 2 4 5 2 3" xfId="61694" xr:uid="{00000000-0005-0000-0000-0000C3E30000}"/>
    <cellStyle name="Note 2 4 5 3" xfId="42637" xr:uid="{00000000-0005-0000-0000-0000C4E30000}"/>
    <cellStyle name="Note 2 4 5 3 2" xfId="61695" xr:uid="{00000000-0005-0000-0000-0000C5E30000}"/>
    <cellStyle name="Note 2 4 5 4" xfId="42638" xr:uid="{00000000-0005-0000-0000-0000C6E30000}"/>
    <cellStyle name="Note 2 4 5 5" xfId="42639" xr:uid="{00000000-0005-0000-0000-0000C7E30000}"/>
    <cellStyle name="Note 2 4 5 6" xfId="42640" xr:uid="{00000000-0005-0000-0000-0000C8E30000}"/>
    <cellStyle name="Note 2 4 6" xfId="42641" xr:uid="{00000000-0005-0000-0000-0000C9E30000}"/>
    <cellStyle name="Note 2 4 6 2" xfId="42642" xr:uid="{00000000-0005-0000-0000-0000CAE30000}"/>
    <cellStyle name="Note 2 4 7" xfId="42643" xr:uid="{00000000-0005-0000-0000-0000CBE30000}"/>
    <cellStyle name="Note 2 4 7 2" xfId="61696" xr:uid="{00000000-0005-0000-0000-0000CCE30000}"/>
    <cellStyle name="Note 2 4 8" xfId="42644" xr:uid="{00000000-0005-0000-0000-0000CDE30000}"/>
    <cellStyle name="Note 2 4 9" xfId="42645" xr:uid="{00000000-0005-0000-0000-0000CEE30000}"/>
    <cellStyle name="Note 2 5" xfId="42646" xr:uid="{00000000-0005-0000-0000-0000CFE30000}"/>
    <cellStyle name="Note 2 5 10" xfId="42647" xr:uid="{00000000-0005-0000-0000-0000D0E30000}"/>
    <cellStyle name="Note 2 5 11" xfId="42648" xr:uid="{00000000-0005-0000-0000-0000D1E30000}"/>
    <cellStyle name="Note 2 5 12" xfId="42649" xr:uid="{00000000-0005-0000-0000-0000D2E30000}"/>
    <cellStyle name="Note 2 5 13" xfId="42650" xr:uid="{00000000-0005-0000-0000-0000D3E30000}"/>
    <cellStyle name="Note 2 5 14" xfId="42651" xr:uid="{00000000-0005-0000-0000-0000D4E30000}"/>
    <cellStyle name="Note 2 5 15" xfId="42652" xr:uid="{00000000-0005-0000-0000-0000D5E30000}"/>
    <cellStyle name="Note 2 5 16" xfId="42653" xr:uid="{00000000-0005-0000-0000-0000D6E30000}"/>
    <cellStyle name="Note 2 5 2" xfId="42654" xr:uid="{00000000-0005-0000-0000-0000D7E30000}"/>
    <cellStyle name="Note 2 5 2 10" xfId="42655" xr:uid="{00000000-0005-0000-0000-0000D8E30000}"/>
    <cellStyle name="Note 2 5 2 2" xfId="42656" xr:uid="{00000000-0005-0000-0000-0000D9E30000}"/>
    <cellStyle name="Note 2 5 2 2 2" xfId="42657" xr:uid="{00000000-0005-0000-0000-0000DAE30000}"/>
    <cellStyle name="Note 2 5 2 2 2 2" xfId="42658" xr:uid="{00000000-0005-0000-0000-0000DBE30000}"/>
    <cellStyle name="Note 2 5 2 2 2 2 2" xfId="61697" xr:uid="{00000000-0005-0000-0000-0000DCE30000}"/>
    <cellStyle name="Note 2 5 2 2 2 2 3" xfId="61698" xr:uid="{00000000-0005-0000-0000-0000DDE30000}"/>
    <cellStyle name="Note 2 5 2 2 2 3" xfId="42659" xr:uid="{00000000-0005-0000-0000-0000DEE30000}"/>
    <cellStyle name="Note 2 5 2 2 2 3 2" xfId="61699" xr:uid="{00000000-0005-0000-0000-0000DFE30000}"/>
    <cellStyle name="Note 2 5 2 2 2 4" xfId="42660" xr:uid="{00000000-0005-0000-0000-0000E0E30000}"/>
    <cellStyle name="Note 2 5 2 2 2 5" xfId="42661" xr:uid="{00000000-0005-0000-0000-0000E1E30000}"/>
    <cellStyle name="Note 2 5 2 2 2 6" xfId="42662" xr:uid="{00000000-0005-0000-0000-0000E2E30000}"/>
    <cellStyle name="Note 2 5 2 2 3" xfId="42663" xr:uid="{00000000-0005-0000-0000-0000E3E30000}"/>
    <cellStyle name="Note 2 5 2 2 3 2" xfId="61700" xr:uid="{00000000-0005-0000-0000-0000E4E30000}"/>
    <cellStyle name="Note 2 5 2 2 4" xfId="42664" xr:uid="{00000000-0005-0000-0000-0000E5E30000}"/>
    <cellStyle name="Note 2 5 2 2 5" xfId="42665" xr:uid="{00000000-0005-0000-0000-0000E6E30000}"/>
    <cellStyle name="Note 2 5 2 2 6" xfId="42666" xr:uid="{00000000-0005-0000-0000-0000E7E30000}"/>
    <cellStyle name="Note 2 5 2 2 7" xfId="42667" xr:uid="{00000000-0005-0000-0000-0000E8E30000}"/>
    <cellStyle name="Note 2 5 2 2 8" xfId="42668" xr:uid="{00000000-0005-0000-0000-0000E9E30000}"/>
    <cellStyle name="Note 2 5 2 3" xfId="42669" xr:uid="{00000000-0005-0000-0000-0000EAE30000}"/>
    <cellStyle name="Note 2 5 2 3 2" xfId="42670" xr:uid="{00000000-0005-0000-0000-0000EBE30000}"/>
    <cellStyle name="Note 2 5 2 3 2 2" xfId="61701" xr:uid="{00000000-0005-0000-0000-0000ECE30000}"/>
    <cellStyle name="Note 2 5 2 3 2 3" xfId="61702" xr:uid="{00000000-0005-0000-0000-0000EDE30000}"/>
    <cellStyle name="Note 2 5 2 3 3" xfId="42671" xr:uid="{00000000-0005-0000-0000-0000EEE30000}"/>
    <cellStyle name="Note 2 5 2 3 3 2" xfId="61703" xr:uid="{00000000-0005-0000-0000-0000EFE30000}"/>
    <cellStyle name="Note 2 5 2 3 4" xfId="42672" xr:uid="{00000000-0005-0000-0000-0000F0E30000}"/>
    <cellStyle name="Note 2 5 2 3 5" xfId="42673" xr:uid="{00000000-0005-0000-0000-0000F1E30000}"/>
    <cellStyle name="Note 2 5 2 3 6" xfId="42674" xr:uid="{00000000-0005-0000-0000-0000F2E30000}"/>
    <cellStyle name="Note 2 5 2 4" xfId="42675" xr:uid="{00000000-0005-0000-0000-0000F3E30000}"/>
    <cellStyle name="Note 2 5 2 4 2" xfId="42676" xr:uid="{00000000-0005-0000-0000-0000F4E30000}"/>
    <cellStyle name="Note 2 5 2 5" xfId="42677" xr:uid="{00000000-0005-0000-0000-0000F5E30000}"/>
    <cellStyle name="Note 2 5 2 5 2" xfId="61704" xr:uid="{00000000-0005-0000-0000-0000F6E30000}"/>
    <cellStyle name="Note 2 5 2 6" xfId="42678" xr:uid="{00000000-0005-0000-0000-0000F7E30000}"/>
    <cellStyle name="Note 2 5 2 7" xfId="42679" xr:uid="{00000000-0005-0000-0000-0000F8E30000}"/>
    <cellStyle name="Note 2 5 2 8" xfId="42680" xr:uid="{00000000-0005-0000-0000-0000F9E30000}"/>
    <cellStyle name="Note 2 5 2 9" xfId="42681" xr:uid="{00000000-0005-0000-0000-0000FAE30000}"/>
    <cellStyle name="Note 2 5 3" xfId="42682" xr:uid="{00000000-0005-0000-0000-0000FBE30000}"/>
    <cellStyle name="Note 2 5 3 2" xfId="42683" xr:uid="{00000000-0005-0000-0000-0000FCE30000}"/>
    <cellStyle name="Note 2 5 3 2 2" xfId="42684" xr:uid="{00000000-0005-0000-0000-0000FDE30000}"/>
    <cellStyle name="Note 2 5 3 2 2 2" xfId="42685" xr:uid="{00000000-0005-0000-0000-0000FEE30000}"/>
    <cellStyle name="Note 2 5 3 2 2 2 2" xfId="61705" xr:uid="{00000000-0005-0000-0000-0000FFE30000}"/>
    <cellStyle name="Note 2 5 3 2 2 2 3" xfId="61706" xr:uid="{00000000-0005-0000-0000-000000E40000}"/>
    <cellStyle name="Note 2 5 3 2 2 3" xfId="42686" xr:uid="{00000000-0005-0000-0000-000001E40000}"/>
    <cellStyle name="Note 2 5 3 2 2 3 2" xfId="61707" xr:uid="{00000000-0005-0000-0000-000002E40000}"/>
    <cellStyle name="Note 2 5 3 2 2 4" xfId="42687" xr:uid="{00000000-0005-0000-0000-000003E40000}"/>
    <cellStyle name="Note 2 5 3 2 2 5" xfId="42688" xr:uid="{00000000-0005-0000-0000-000004E40000}"/>
    <cellStyle name="Note 2 5 3 2 2 6" xfId="42689" xr:uid="{00000000-0005-0000-0000-000005E40000}"/>
    <cellStyle name="Note 2 5 3 2 3" xfId="42690" xr:uid="{00000000-0005-0000-0000-000006E40000}"/>
    <cellStyle name="Note 2 5 3 2 3 2" xfId="61708" xr:uid="{00000000-0005-0000-0000-000007E40000}"/>
    <cellStyle name="Note 2 5 3 2 3 3" xfId="61709" xr:uid="{00000000-0005-0000-0000-000008E40000}"/>
    <cellStyle name="Note 2 5 3 2 4" xfId="42691" xr:uid="{00000000-0005-0000-0000-000009E40000}"/>
    <cellStyle name="Note 2 5 3 2 4 2" xfId="61710" xr:uid="{00000000-0005-0000-0000-00000AE40000}"/>
    <cellStyle name="Note 2 5 3 2 5" xfId="42692" xr:uid="{00000000-0005-0000-0000-00000BE40000}"/>
    <cellStyle name="Note 2 5 3 2 6" xfId="42693" xr:uid="{00000000-0005-0000-0000-00000CE40000}"/>
    <cellStyle name="Note 2 5 3 2 7" xfId="42694" xr:uid="{00000000-0005-0000-0000-00000DE40000}"/>
    <cellStyle name="Note 2 5 3 3" xfId="42695" xr:uid="{00000000-0005-0000-0000-00000EE40000}"/>
    <cellStyle name="Note 2 5 3 3 2" xfId="42696" xr:uid="{00000000-0005-0000-0000-00000FE40000}"/>
    <cellStyle name="Note 2 5 3 3 2 2" xfId="61711" xr:uid="{00000000-0005-0000-0000-000010E40000}"/>
    <cellStyle name="Note 2 5 3 3 2 3" xfId="61712" xr:uid="{00000000-0005-0000-0000-000011E40000}"/>
    <cellStyle name="Note 2 5 3 3 3" xfId="42697" xr:uid="{00000000-0005-0000-0000-000012E40000}"/>
    <cellStyle name="Note 2 5 3 3 3 2" xfId="61713" xr:uid="{00000000-0005-0000-0000-000013E40000}"/>
    <cellStyle name="Note 2 5 3 3 4" xfId="42698" xr:uid="{00000000-0005-0000-0000-000014E40000}"/>
    <cellStyle name="Note 2 5 3 3 5" xfId="42699" xr:uid="{00000000-0005-0000-0000-000015E40000}"/>
    <cellStyle name="Note 2 5 3 3 6" xfId="42700" xr:uid="{00000000-0005-0000-0000-000016E40000}"/>
    <cellStyle name="Note 2 5 3 4" xfId="42701" xr:uid="{00000000-0005-0000-0000-000017E40000}"/>
    <cellStyle name="Note 2 5 3 4 2" xfId="42702" xr:uid="{00000000-0005-0000-0000-000018E40000}"/>
    <cellStyle name="Note 2 5 3 5" xfId="42703" xr:uid="{00000000-0005-0000-0000-000019E40000}"/>
    <cellStyle name="Note 2 5 3 5 2" xfId="61714" xr:uid="{00000000-0005-0000-0000-00001AE40000}"/>
    <cellStyle name="Note 2 5 3 6" xfId="42704" xr:uid="{00000000-0005-0000-0000-00001BE40000}"/>
    <cellStyle name="Note 2 5 3 7" xfId="42705" xr:uid="{00000000-0005-0000-0000-00001CE40000}"/>
    <cellStyle name="Note 2 5 3 8" xfId="42706" xr:uid="{00000000-0005-0000-0000-00001DE40000}"/>
    <cellStyle name="Note 2 5 3 9" xfId="42707" xr:uid="{00000000-0005-0000-0000-00001EE40000}"/>
    <cellStyle name="Note 2 5 4" xfId="42708" xr:uid="{00000000-0005-0000-0000-00001FE40000}"/>
    <cellStyle name="Note 2 5 4 2" xfId="42709" xr:uid="{00000000-0005-0000-0000-000020E40000}"/>
    <cellStyle name="Note 2 5 4 2 2" xfId="42710" xr:uid="{00000000-0005-0000-0000-000021E40000}"/>
    <cellStyle name="Note 2 5 4 2 2 2" xfId="61715" xr:uid="{00000000-0005-0000-0000-000022E40000}"/>
    <cellStyle name="Note 2 5 4 2 2 3" xfId="61716" xr:uid="{00000000-0005-0000-0000-000023E40000}"/>
    <cellStyle name="Note 2 5 4 2 3" xfId="42711" xr:uid="{00000000-0005-0000-0000-000024E40000}"/>
    <cellStyle name="Note 2 5 4 2 3 2" xfId="61717" xr:uid="{00000000-0005-0000-0000-000025E40000}"/>
    <cellStyle name="Note 2 5 4 2 4" xfId="42712" xr:uid="{00000000-0005-0000-0000-000026E40000}"/>
    <cellStyle name="Note 2 5 4 2 5" xfId="42713" xr:uid="{00000000-0005-0000-0000-000027E40000}"/>
    <cellStyle name="Note 2 5 4 2 6" xfId="42714" xr:uid="{00000000-0005-0000-0000-000028E40000}"/>
    <cellStyle name="Note 2 5 4 3" xfId="42715" xr:uid="{00000000-0005-0000-0000-000029E40000}"/>
    <cellStyle name="Note 2 5 4 3 2" xfId="42716" xr:uid="{00000000-0005-0000-0000-00002AE40000}"/>
    <cellStyle name="Note 2 5 4 4" xfId="42717" xr:uid="{00000000-0005-0000-0000-00002BE40000}"/>
    <cellStyle name="Note 2 5 4 4 2" xfId="61718" xr:uid="{00000000-0005-0000-0000-00002CE40000}"/>
    <cellStyle name="Note 2 5 4 5" xfId="42718" xr:uid="{00000000-0005-0000-0000-00002DE40000}"/>
    <cellStyle name="Note 2 5 4 6" xfId="42719" xr:uid="{00000000-0005-0000-0000-00002EE40000}"/>
    <cellStyle name="Note 2 5 4 7" xfId="42720" xr:uid="{00000000-0005-0000-0000-00002FE40000}"/>
    <cellStyle name="Note 2 5 4 8" xfId="42721" xr:uid="{00000000-0005-0000-0000-000030E40000}"/>
    <cellStyle name="Note 2 5 5" xfId="42722" xr:uid="{00000000-0005-0000-0000-000031E40000}"/>
    <cellStyle name="Note 2 5 5 2" xfId="42723" xr:uid="{00000000-0005-0000-0000-000032E40000}"/>
    <cellStyle name="Note 2 5 5 2 2" xfId="61719" xr:uid="{00000000-0005-0000-0000-000033E40000}"/>
    <cellStyle name="Note 2 5 5 2 3" xfId="61720" xr:uid="{00000000-0005-0000-0000-000034E40000}"/>
    <cellStyle name="Note 2 5 5 3" xfId="42724" xr:uid="{00000000-0005-0000-0000-000035E40000}"/>
    <cellStyle name="Note 2 5 5 3 2" xfId="61721" xr:uid="{00000000-0005-0000-0000-000036E40000}"/>
    <cellStyle name="Note 2 5 5 4" xfId="42725" xr:uid="{00000000-0005-0000-0000-000037E40000}"/>
    <cellStyle name="Note 2 5 5 5" xfId="42726" xr:uid="{00000000-0005-0000-0000-000038E40000}"/>
    <cellStyle name="Note 2 5 5 6" xfId="42727" xr:uid="{00000000-0005-0000-0000-000039E40000}"/>
    <cellStyle name="Note 2 5 6" xfId="42728" xr:uid="{00000000-0005-0000-0000-00003AE40000}"/>
    <cellStyle name="Note 2 5 6 2" xfId="42729" xr:uid="{00000000-0005-0000-0000-00003BE40000}"/>
    <cellStyle name="Note 2 5 7" xfId="42730" xr:uid="{00000000-0005-0000-0000-00003CE40000}"/>
    <cellStyle name="Note 2 5 7 2" xfId="61722" xr:uid="{00000000-0005-0000-0000-00003DE40000}"/>
    <cellStyle name="Note 2 5 8" xfId="42731" xr:uid="{00000000-0005-0000-0000-00003EE40000}"/>
    <cellStyle name="Note 2 5 9" xfId="42732" xr:uid="{00000000-0005-0000-0000-00003FE40000}"/>
    <cellStyle name="Note 2 6" xfId="42733" xr:uid="{00000000-0005-0000-0000-000040E40000}"/>
    <cellStyle name="Note 2 6 10" xfId="42734" xr:uid="{00000000-0005-0000-0000-000041E40000}"/>
    <cellStyle name="Note 2 6 11" xfId="42735" xr:uid="{00000000-0005-0000-0000-000042E40000}"/>
    <cellStyle name="Note 2 6 12" xfId="42736" xr:uid="{00000000-0005-0000-0000-000043E40000}"/>
    <cellStyle name="Note 2 6 13" xfId="42737" xr:uid="{00000000-0005-0000-0000-000044E40000}"/>
    <cellStyle name="Note 2 6 14" xfId="42738" xr:uid="{00000000-0005-0000-0000-000045E40000}"/>
    <cellStyle name="Note 2 6 15" xfId="42739" xr:uid="{00000000-0005-0000-0000-000046E40000}"/>
    <cellStyle name="Note 2 6 2" xfId="42740" xr:uid="{00000000-0005-0000-0000-000047E40000}"/>
    <cellStyle name="Note 2 6 2 10" xfId="42741" xr:uid="{00000000-0005-0000-0000-000048E40000}"/>
    <cellStyle name="Note 2 6 2 2" xfId="42742" xr:uid="{00000000-0005-0000-0000-000049E40000}"/>
    <cellStyle name="Note 2 6 2 2 2" xfId="42743" xr:uid="{00000000-0005-0000-0000-00004AE40000}"/>
    <cellStyle name="Note 2 6 2 2 2 2" xfId="42744" xr:uid="{00000000-0005-0000-0000-00004BE40000}"/>
    <cellStyle name="Note 2 6 2 2 2 2 2" xfId="61723" xr:uid="{00000000-0005-0000-0000-00004CE40000}"/>
    <cellStyle name="Note 2 6 2 2 2 2 3" xfId="61724" xr:uid="{00000000-0005-0000-0000-00004DE40000}"/>
    <cellStyle name="Note 2 6 2 2 2 3" xfId="42745" xr:uid="{00000000-0005-0000-0000-00004EE40000}"/>
    <cellStyle name="Note 2 6 2 2 2 3 2" xfId="61725" xr:uid="{00000000-0005-0000-0000-00004FE40000}"/>
    <cellStyle name="Note 2 6 2 2 2 4" xfId="42746" xr:uid="{00000000-0005-0000-0000-000050E40000}"/>
    <cellStyle name="Note 2 6 2 2 2 5" xfId="42747" xr:uid="{00000000-0005-0000-0000-000051E40000}"/>
    <cellStyle name="Note 2 6 2 2 2 6" xfId="42748" xr:uid="{00000000-0005-0000-0000-000052E40000}"/>
    <cellStyle name="Note 2 6 2 2 3" xfId="42749" xr:uid="{00000000-0005-0000-0000-000053E40000}"/>
    <cellStyle name="Note 2 6 2 2 3 2" xfId="61726" xr:uid="{00000000-0005-0000-0000-000054E40000}"/>
    <cellStyle name="Note 2 6 2 2 4" xfId="42750" xr:uid="{00000000-0005-0000-0000-000055E40000}"/>
    <cellStyle name="Note 2 6 2 2 5" xfId="42751" xr:uid="{00000000-0005-0000-0000-000056E40000}"/>
    <cellStyle name="Note 2 6 2 2 6" xfId="42752" xr:uid="{00000000-0005-0000-0000-000057E40000}"/>
    <cellStyle name="Note 2 6 2 2 7" xfId="42753" xr:uid="{00000000-0005-0000-0000-000058E40000}"/>
    <cellStyle name="Note 2 6 2 2 8" xfId="42754" xr:uid="{00000000-0005-0000-0000-000059E40000}"/>
    <cellStyle name="Note 2 6 2 3" xfId="42755" xr:uid="{00000000-0005-0000-0000-00005AE40000}"/>
    <cellStyle name="Note 2 6 2 3 2" xfId="42756" xr:uid="{00000000-0005-0000-0000-00005BE40000}"/>
    <cellStyle name="Note 2 6 2 3 2 2" xfId="61727" xr:uid="{00000000-0005-0000-0000-00005CE40000}"/>
    <cellStyle name="Note 2 6 2 3 2 3" xfId="61728" xr:uid="{00000000-0005-0000-0000-00005DE40000}"/>
    <cellStyle name="Note 2 6 2 3 3" xfId="42757" xr:uid="{00000000-0005-0000-0000-00005EE40000}"/>
    <cellStyle name="Note 2 6 2 3 3 2" xfId="61729" xr:uid="{00000000-0005-0000-0000-00005FE40000}"/>
    <cellStyle name="Note 2 6 2 3 4" xfId="42758" xr:uid="{00000000-0005-0000-0000-000060E40000}"/>
    <cellStyle name="Note 2 6 2 3 5" xfId="42759" xr:uid="{00000000-0005-0000-0000-000061E40000}"/>
    <cellStyle name="Note 2 6 2 3 6" xfId="42760" xr:uid="{00000000-0005-0000-0000-000062E40000}"/>
    <cellStyle name="Note 2 6 2 4" xfId="42761" xr:uid="{00000000-0005-0000-0000-000063E40000}"/>
    <cellStyle name="Note 2 6 2 4 2" xfId="42762" xr:uid="{00000000-0005-0000-0000-000064E40000}"/>
    <cellStyle name="Note 2 6 2 5" xfId="42763" xr:uid="{00000000-0005-0000-0000-000065E40000}"/>
    <cellStyle name="Note 2 6 2 5 2" xfId="61730" xr:uid="{00000000-0005-0000-0000-000066E40000}"/>
    <cellStyle name="Note 2 6 2 6" xfId="42764" xr:uid="{00000000-0005-0000-0000-000067E40000}"/>
    <cellStyle name="Note 2 6 2 7" xfId="42765" xr:uid="{00000000-0005-0000-0000-000068E40000}"/>
    <cellStyle name="Note 2 6 2 8" xfId="42766" xr:uid="{00000000-0005-0000-0000-000069E40000}"/>
    <cellStyle name="Note 2 6 2 9" xfId="42767" xr:uid="{00000000-0005-0000-0000-00006AE40000}"/>
    <cellStyle name="Note 2 6 3" xfId="42768" xr:uid="{00000000-0005-0000-0000-00006BE40000}"/>
    <cellStyle name="Note 2 6 3 2" xfId="42769" xr:uid="{00000000-0005-0000-0000-00006CE40000}"/>
    <cellStyle name="Note 2 6 3 2 2" xfId="42770" xr:uid="{00000000-0005-0000-0000-00006DE40000}"/>
    <cellStyle name="Note 2 6 3 2 2 2" xfId="61731" xr:uid="{00000000-0005-0000-0000-00006EE40000}"/>
    <cellStyle name="Note 2 6 3 2 2 3" xfId="61732" xr:uid="{00000000-0005-0000-0000-00006FE40000}"/>
    <cellStyle name="Note 2 6 3 2 3" xfId="42771" xr:uid="{00000000-0005-0000-0000-000070E40000}"/>
    <cellStyle name="Note 2 6 3 2 3 2" xfId="61733" xr:uid="{00000000-0005-0000-0000-000071E40000}"/>
    <cellStyle name="Note 2 6 3 2 4" xfId="42772" xr:uid="{00000000-0005-0000-0000-000072E40000}"/>
    <cellStyle name="Note 2 6 3 2 5" xfId="42773" xr:uid="{00000000-0005-0000-0000-000073E40000}"/>
    <cellStyle name="Note 2 6 3 2 6" xfId="42774" xr:uid="{00000000-0005-0000-0000-000074E40000}"/>
    <cellStyle name="Note 2 6 3 3" xfId="42775" xr:uid="{00000000-0005-0000-0000-000075E40000}"/>
    <cellStyle name="Note 2 6 3 3 2" xfId="42776" xr:uid="{00000000-0005-0000-0000-000076E40000}"/>
    <cellStyle name="Note 2 6 3 4" xfId="42777" xr:uid="{00000000-0005-0000-0000-000077E40000}"/>
    <cellStyle name="Note 2 6 3 4 2" xfId="61734" xr:uid="{00000000-0005-0000-0000-000078E40000}"/>
    <cellStyle name="Note 2 6 3 5" xfId="42778" xr:uid="{00000000-0005-0000-0000-000079E40000}"/>
    <cellStyle name="Note 2 6 3 6" xfId="42779" xr:uid="{00000000-0005-0000-0000-00007AE40000}"/>
    <cellStyle name="Note 2 6 3 7" xfId="42780" xr:uid="{00000000-0005-0000-0000-00007BE40000}"/>
    <cellStyle name="Note 2 6 3 8" xfId="42781" xr:uid="{00000000-0005-0000-0000-00007CE40000}"/>
    <cellStyle name="Note 2 6 4" xfId="42782" xr:uid="{00000000-0005-0000-0000-00007DE40000}"/>
    <cellStyle name="Note 2 6 4 2" xfId="42783" xr:uid="{00000000-0005-0000-0000-00007EE40000}"/>
    <cellStyle name="Note 2 6 4 2 2" xfId="42784" xr:uid="{00000000-0005-0000-0000-00007FE40000}"/>
    <cellStyle name="Note 2 6 4 3" xfId="42785" xr:uid="{00000000-0005-0000-0000-000080E40000}"/>
    <cellStyle name="Note 2 6 4 3 2" xfId="61735" xr:uid="{00000000-0005-0000-0000-000081E40000}"/>
    <cellStyle name="Note 2 6 4 4" xfId="42786" xr:uid="{00000000-0005-0000-0000-000082E40000}"/>
    <cellStyle name="Note 2 6 4 5" xfId="42787" xr:uid="{00000000-0005-0000-0000-000083E40000}"/>
    <cellStyle name="Note 2 6 4 6" xfId="42788" xr:uid="{00000000-0005-0000-0000-000084E40000}"/>
    <cellStyle name="Note 2 6 4 7" xfId="42789" xr:uid="{00000000-0005-0000-0000-000085E40000}"/>
    <cellStyle name="Note 2 6 5" xfId="42790" xr:uid="{00000000-0005-0000-0000-000086E40000}"/>
    <cellStyle name="Note 2 6 5 2" xfId="42791" xr:uid="{00000000-0005-0000-0000-000087E40000}"/>
    <cellStyle name="Note 2 6 6" xfId="42792" xr:uid="{00000000-0005-0000-0000-000088E40000}"/>
    <cellStyle name="Note 2 6 6 2" xfId="61736" xr:uid="{00000000-0005-0000-0000-000089E40000}"/>
    <cellStyle name="Note 2 6 7" xfId="42793" xr:uid="{00000000-0005-0000-0000-00008AE40000}"/>
    <cellStyle name="Note 2 6 8" xfId="42794" xr:uid="{00000000-0005-0000-0000-00008BE40000}"/>
    <cellStyle name="Note 2 6 9" xfId="42795" xr:uid="{00000000-0005-0000-0000-00008CE40000}"/>
    <cellStyle name="Note 2 7" xfId="42796" xr:uid="{00000000-0005-0000-0000-00008DE40000}"/>
    <cellStyle name="Note 2 7 10" xfId="42797" xr:uid="{00000000-0005-0000-0000-00008EE40000}"/>
    <cellStyle name="Note 2 7 11" xfId="42798" xr:uid="{00000000-0005-0000-0000-00008FE40000}"/>
    <cellStyle name="Note 2 7 2" xfId="42799" xr:uid="{00000000-0005-0000-0000-000090E40000}"/>
    <cellStyle name="Note 2 7 2 2" xfId="42800" xr:uid="{00000000-0005-0000-0000-000091E40000}"/>
    <cellStyle name="Note 2 7 2 2 2" xfId="42801" xr:uid="{00000000-0005-0000-0000-000092E40000}"/>
    <cellStyle name="Note 2 7 2 2 2 2" xfId="61737" xr:uid="{00000000-0005-0000-0000-000093E40000}"/>
    <cellStyle name="Note 2 7 2 2 3" xfId="42802" xr:uid="{00000000-0005-0000-0000-000094E40000}"/>
    <cellStyle name="Note 2 7 2 2 4" xfId="42803" xr:uid="{00000000-0005-0000-0000-000095E40000}"/>
    <cellStyle name="Note 2 7 2 2 5" xfId="42804" xr:uid="{00000000-0005-0000-0000-000096E40000}"/>
    <cellStyle name="Note 2 7 2 2 6" xfId="42805" xr:uid="{00000000-0005-0000-0000-000097E40000}"/>
    <cellStyle name="Note 2 7 2 2 7" xfId="42806" xr:uid="{00000000-0005-0000-0000-000098E40000}"/>
    <cellStyle name="Note 2 7 2 3" xfId="42807" xr:uid="{00000000-0005-0000-0000-000099E40000}"/>
    <cellStyle name="Note 2 7 2 3 2" xfId="42808" xr:uid="{00000000-0005-0000-0000-00009AE40000}"/>
    <cellStyle name="Note 2 7 2 4" xfId="42809" xr:uid="{00000000-0005-0000-0000-00009BE40000}"/>
    <cellStyle name="Note 2 7 2 4 2" xfId="61738" xr:uid="{00000000-0005-0000-0000-00009CE40000}"/>
    <cellStyle name="Note 2 7 2 5" xfId="42810" xr:uid="{00000000-0005-0000-0000-00009DE40000}"/>
    <cellStyle name="Note 2 7 2 6" xfId="42811" xr:uid="{00000000-0005-0000-0000-00009EE40000}"/>
    <cellStyle name="Note 2 7 2 7" xfId="42812" xr:uid="{00000000-0005-0000-0000-00009FE40000}"/>
    <cellStyle name="Note 2 7 2 8" xfId="42813" xr:uid="{00000000-0005-0000-0000-0000A0E40000}"/>
    <cellStyle name="Note 2 7 3" xfId="42814" xr:uid="{00000000-0005-0000-0000-0000A1E40000}"/>
    <cellStyle name="Note 2 7 3 2" xfId="42815" xr:uid="{00000000-0005-0000-0000-0000A2E40000}"/>
    <cellStyle name="Note 2 7 3 2 2" xfId="42816" xr:uid="{00000000-0005-0000-0000-0000A3E40000}"/>
    <cellStyle name="Note 2 7 3 3" xfId="42817" xr:uid="{00000000-0005-0000-0000-0000A4E40000}"/>
    <cellStyle name="Note 2 7 3 3 2" xfId="61739" xr:uid="{00000000-0005-0000-0000-0000A5E40000}"/>
    <cellStyle name="Note 2 7 3 4" xfId="42818" xr:uid="{00000000-0005-0000-0000-0000A6E40000}"/>
    <cellStyle name="Note 2 7 3 5" xfId="42819" xr:uid="{00000000-0005-0000-0000-0000A7E40000}"/>
    <cellStyle name="Note 2 7 3 6" xfId="42820" xr:uid="{00000000-0005-0000-0000-0000A8E40000}"/>
    <cellStyle name="Note 2 7 3 7" xfId="42821" xr:uid="{00000000-0005-0000-0000-0000A9E40000}"/>
    <cellStyle name="Note 2 7 4" xfId="42822" xr:uid="{00000000-0005-0000-0000-0000AAE40000}"/>
    <cellStyle name="Note 2 7 4 2" xfId="42823" xr:uid="{00000000-0005-0000-0000-0000ABE40000}"/>
    <cellStyle name="Note 2 7 5" xfId="42824" xr:uid="{00000000-0005-0000-0000-0000ACE40000}"/>
    <cellStyle name="Note 2 7 5 2" xfId="61740" xr:uid="{00000000-0005-0000-0000-0000ADE40000}"/>
    <cellStyle name="Note 2 7 6" xfId="42825" xr:uid="{00000000-0005-0000-0000-0000AEE40000}"/>
    <cellStyle name="Note 2 7 7" xfId="42826" xr:uid="{00000000-0005-0000-0000-0000AFE40000}"/>
    <cellStyle name="Note 2 7 8" xfId="42827" xr:uid="{00000000-0005-0000-0000-0000B0E40000}"/>
    <cellStyle name="Note 2 7 9" xfId="42828" xr:uid="{00000000-0005-0000-0000-0000B1E40000}"/>
    <cellStyle name="Note 2 8" xfId="42829" xr:uid="{00000000-0005-0000-0000-0000B2E40000}"/>
    <cellStyle name="Note 2 8 10" xfId="42830" xr:uid="{00000000-0005-0000-0000-0000B3E40000}"/>
    <cellStyle name="Note 2 8 2" xfId="42831" xr:uid="{00000000-0005-0000-0000-0000B4E40000}"/>
    <cellStyle name="Note 2 8 2 2" xfId="42832" xr:uid="{00000000-0005-0000-0000-0000B5E40000}"/>
    <cellStyle name="Note 2 8 2 2 2" xfId="42833" xr:uid="{00000000-0005-0000-0000-0000B6E40000}"/>
    <cellStyle name="Note 2 8 2 2 2 2" xfId="61741" xr:uid="{00000000-0005-0000-0000-0000B7E40000}"/>
    <cellStyle name="Note 2 8 2 2 2 3" xfId="61742" xr:uid="{00000000-0005-0000-0000-0000B8E40000}"/>
    <cellStyle name="Note 2 8 2 2 3" xfId="42834" xr:uid="{00000000-0005-0000-0000-0000B9E40000}"/>
    <cellStyle name="Note 2 8 2 2 3 2" xfId="61743" xr:uid="{00000000-0005-0000-0000-0000BAE40000}"/>
    <cellStyle name="Note 2 8 2 2 4" xfId="42835" xr:uid="{00000000-0005-0000-0000-0000BBE40000}"/>
    <cellStyle name="Note 2 8 2 2 5" xfId="42836" xr:uid="{00000000-0005-0000-0000-0000BCE40000}"/>
    <cellStyle name="Note 2 8 2 2 6" xfId="42837" xr:uid="{00000000-0005-0000-0000-0000BDE40000}"/>
    <cellStyle name="Note 2 8 2 3" xfId="42838" xr:uid="{00000000-0005-0000-0000-0000BEE40000}"/>
    <cellStyle name="Note 2 8 2 3 2" xfId="61744" xr:uid="{00000000-0005-0000-0000-0000BFE40000}"/>
    <cellStyle name="Note 2 8 2 3 3" xfId="61745" xr:uid="{00000000-0005-0000-0000-0000C0E40000}"/>
    <cellStyle name="Note 2 8 2 4" xfId="42839" xr:uid="{00000000-0005-0000-0000-0000C1E40000}"/>
    <cellStyle name="Note 2 8 2 4 2" xfId="61746" xr:uid="{00000000-0005-0000-0000-0000C2E40000}"/>
    <cellStyle name="Note 2 8 2 5" xfId="42840" xr:uid="{00000000-0005-0000-0000-0000C3E40000}"/>
    <cellStyle name="Note 2 8 2 6" xfId="42841" xr:uid="{00000000-0005-0000-0000-0000C4E40000}"/>
    <cellStyle name="Note 2 8 2 7" xfId="42842" xr:uid="{00000000-0005-0000-0000-0000C5E40000}"/>
    <cellStyle name="Note 2 8 3" xfId="42843" xr:uid="{00000000-0005-0000-0000-0000C6E40000}"/>
    <cellStyle name="Note 2 8 3 2" xfId="42844" xr:uid="{00000000-0005-0000-0000-0000C7E40000}"/>
    <cellStyle name="Note 2 8 3 2 2" xfId="61747" xr:uid="{00000000-0005-0000-0000-0000C8E40000}"/>
    <cellStyle name="Note 2 8 3 2 3" xfId="61748" xr:uid="{00000000-0005-0000-0000-0000C9E40000}"/>
    <cellStyle name="Note 2 8 3 3" xfId="42845" xr:uid="{00000000-0005-0000-0000-0000CAE40000}"/>
    <cellStyle name="Note 2 8 3 3 2" xfId="61749" xr:uid="{00000000-0005-0000-0000-0000CBE40000}"/>
    <cellStyle name="Note 2 8 3 4" xfId="42846" xr:uid="{00000000-0005-0000-0000-0000CCE40000}"/>
    <cellStyle name="Note 2 8 3 5" xfId="42847" xr:uid="{00000000-0005-0000-0000-0000CDE40000}"/>
    <cellStyle name="Note 2 8 3 6" xfId="42848" xr:uid="{00000000-0005-0000-0000-0000CEE40000}"/>
    <cellStyle name="Note 2 8 4" xfId="42849" xr:uid="{00000000-0005-0000-0000-0000CFE40000}"/>
    <cellStyle name="Note 2 8 4 2" xfId="61750" xr:uid="{00000000-0005-0000-0000-0000D0E40000}"/>
    <cellStyle name="Note 2 8 4 3" xfId="61751" xr:uid="{00000000-0005-0000-0000-0000D1E40000}"/>
    <cellStyle name="Note 2 8 5" xfId="42850" xr:uid="{00000000-0005-0000-0000-0000D2E40000}"/>
    <cellStyle name="Note 2 8 5 2" xfId="61752" xr:uid="{00000000-0005-0000-0000-0000D3E40000}"/>
    <cellStyle name="Note 2 8 6" xfId="42851" xr:uid="{00000000-0005-0000-0000-0000D4E40000}"/>
    <cellStyle name="Note 2 8 6 2" xfId="61753" xr:uid="{00000000-0005-0000-0000-0000D5E40000}"/>
    <cellStyle name="Note 2 8 7" xfId="42852" xr:uid="{00000000-0005-0000-0000-0000D6E40000}"/>
    <cellStyle name="Note 2 8 8" xfId="42853" xr:uid="{00000000-0005-0000-0000-0000D7E40000}"/>
    <cellStyle name="Note 2 8 9" xfId="42854" xr:uid="{00000000-0005-0000-0000-0000D8E40000}"/>
    <cellStyle name="Note 2 9" xfId="42855" xr:uid="{00000000-0005-0000-0000-0000D9E40000}"/>
    <cellStyle name="Note 2 9 10" xfId="42856" xr:uid="{00000000-0005-0000-0000-0000DAE40000}"/>
    <cellStyle name="Note 2 9 2" xfId="42857" xr:uid="{00000000-0005-0000-0000-0000DBE40000}"/>
    <cellStyle name="Note 2 9 2 2" xfId="42858" xr:uid="{00000000-0005-0000-0000-0000DCE40000}"/>
    <cellStyle name="Note 2 9 2 2 2" xfId="42859" xr:uid="{00000000-0005-0000-0000-0000DDE40000}"/>
    <cellStyle name="Note 2 9 2 2 2 2" xfId="61754" xr:uid="{00000000-0005-0000-0000-0000DEE40000}"/>
    <cellStyle name="Note 2 9 2 2 2 3" xfId="61755" xr:uid="{00000000-0005-0000-0000-0000DFE40000}"/>
    <cellStyle name="Note 2 9 2 2 3" xfId="42860" xr:uid="{00000000-0005-0000-0000-0000E0E40000}"/>
    <cellStyle name="Note 2 9 2 2 3 2" xfId="61756" xr:uid="{00000000-0005-0000-0000-0000E1E40000}"/>
    <cellStyle name="Note 2 9 2 2 4" xfId="42861" xr:uid="{00000000-0005-0000-0000-0000E2E40000}"/>
    <cellStyle name="Note 2 9 2 2 5" xfId="42862" xr:uid="{00000000-0005-0000-0000-0000E3E40000}"/>
    <cellStyle name="Note 2 9 2 2 6" xfId="42863" xr:uid="{00000000-0005-0000-0000-0000E4E40000}"/>
    <cellStyle name="Note 2 9 2 3" xfId="42864" xr:uid="{00000000-0005-0000-0000-0000E5E40000}"/>
    <cellStyle name="Note 2 9 2 3 2" xfId="61757" xr:uid="{00000000-0005-0000-0000-0000E6E40000}"/>
    <cellStyle name="Note 2 9 2 3 3" xfId="61758" xr:uid="{00000000-0005-0000-0000-0000E7E40000}"/>
    <cellStyle name="Note 2 9 2 4" xfId="42865" xr:uid="{00000000-0005-0000-0000-0000E8E40000}"/>
    <cellStyle name="Note 2 9 2 4 2" xfId="61759" xr:uid="{00000000-0005-0000-0000-0000E9E40000}"/>
    <cellStyle name="Note 2 9 2 5" xfId="42866" xr:uid="{00000000-0005-0000-0000-0000EAE40000}"/>
    <cellStyle name="Note 2 9 2 6" xfId="42867" xr:uid="{00000000-0005-0000-0000-0000EBE40000}"/>
    <cellStyle name="Note 2 9 2 7" xfId="42868" xr:uid="{00000000-0005-0000-0000-0000ECE40000}"/>
    <cellStyle name="Note 2 9 3" xfId="42869" xr:uid="{00000000-0005-0000-0000-0000EDE40000}"/>
    <cellStyle name="Note 2 9 3 2" xfId="42870" xr:uid="{00000000-0005-0000-0000-0000EEE40000}"/>
    <cellStyle name="Note 2 9 3 2 2" xfId="61760" xr:uid="{00000000-0005-0000-0000-0000EFE40000}"/>
    <cellStyle name="Note 2 9 3 2 3" xfId="61761" xr:uid="{00000000-0005-0000-0000-0000F0E40000}"/>
    <cellStyle name="Note 2 9 3 3" xfId="42871" xr:uid="{00000000-0005-0000-0000-0000F1E40000}"/>
    <cellStyle name="Note 2 9 3 3 2" xfId="61762" xr:uid="{00000000-0005-0000-0000-0000F2E40000}"/>
    <cellStyle name="Note 2 9 3 4" xfId="42872" xr:uid="{00000000-0005-0000-0000-0000F3E40000}"/>
    <cellStyle name="Note 2 9 3 5" xfId="42873" xr:uid="{00000000-0005-0000-0000-0000F4E40000}"/>
    <cellStyle name="Note 2 9 3 6" xfId="42874" xr:uid="{00000000-0005-0000-0000-0000F5E40000}"/>
    <cellStyle name="Note 2 9 4" xfId="42875" xr:uid="{00000000-0005-0000-0000-0000F6E40000}"/>
    <cellStyle name="Note 2 9 4 2" xfId="61763" xr:uid="{00000000-0005-0000-0000-0000F7E40000}"/>
    <cellStyle name="Note 2 9 4 3" xfId="61764" xr:uid="{00000000-0005-0000-0000-0000F8E40000}"/>
    <cellStyle name="Note 2 9 5" xfId="42876" xr:uid="{00000000-0005-0000-0000-0000F9E40000}"/>
    <cellStyle name="Note 2 9 5 2" xfId="61765" xr:uid="{00000000-0005-0000-0000-0000FAE40000}"/>
    <cellStyle name="Note 2 9 6" xfId="42877" xr:uid="{00000000-0005-0000-0000-0000FBE40000}"/>
    <cellStyle name="Note 2 9 7" xfId="42878" xr:uid="{00000000-0005-0000-0000-0000FCE40000}"/>
    <cellStyle name="Note 2 9 8" xfId="42879" xr:uid="{00000000-0005-0000-0000-0000FDE40000}"/>
    <cellStyle name="Note 2 9 9" xfId="42880" xr:uid="{00000000-0005-0000-0000-0000FEE40000}"/>
    <cellStyle name="Note 3" xfId="42881" xr:uid="{00000000-0005-0000-0000-0000FFE40000}"/>
    <cellStyle name="Note 3 10" xfId="42882" xr:uid="{00000000-0005-0000-0000-000000E50000}"/>
    <cellStyle name="Note 3 10 2" xfId="42883" xr:uid="{00000000-0005-0000-0000-000001E50000}"/>
    <cellStyle name="Note 3 10 2 2" xfId="42884" xr:uid="{00000000-0005-0000-0000-000002E50000}"/>
    <cellStyle name="Note 3 10 2 2 2" xfId="61766" xr:uid="{00000000-0005-0000-0000-000003E50000}"/>
    <cellStyle name="Note 3 10 2 2 3" xfId="61767" xr:uid="{00000000-0005-0000-0000-000004E50000}"/>
    <cellStyle name="Note 3 10 2 3" xfId="42885" xr:uid="{00000000-0005-0000-0000-000005E50000}"/>
    <cellStyle name="Note 3 10 2 3 2" xfId="61768" xr:uid="{00000000-0005-0000-0000-000006E50000}"/>
    <cellStyle name="Note 3 10 2 4" xfId="42886" xr:uid="{00000000-0005-0000-0000-000007E50000}"/>
    <cellStyle name="Note 3 10 2 5" xfId="42887" xr:uid="{00000000-0005-0000-0000-000008E50000}"/>
    <cellStyle name="Note 3 10 2 6" xfId="42888" xr:uid="{00000000-0005-0000-0000-000009E50000}"/>
    <cellStyle name="Note 3 10 3" xfId="42889" xr:uid="{00000000-0005-0000-0000-00000AE50000}"/>
    <cellStyle name="Note 3 10 3 2" xfId="61769" xr:uid="{00000000-0005-0000-0000-00000BE50000}"/>
    <cellStyle name="Note 3 10 3 3" xfId="61770" xr:uid="{00000000-0005-0000-0000-00000CE50000}"/>
    <cellStyle name="Note 3 10 4" xfId="42890" xr:uid="{00000000-0005-0000-0000-00000DE50000}"/>
    <cellStyle name="Note 3 10 4 2" xfId="61771" xr:uid="{00000000-0005-0000-0000-00000EE50000}"/>
    <cellStyle name="Note 3 10 5" xfId="42891" xr:uid="{00000000-0005-0000-0000-00000FE50000}"/>
    <cellStyle name="Note 3 10 6" xfId="42892" xr:uid="{00000000-0005-0000-0000-000010E50000}"/>
    <cellStyle name="Note 3 10 7" xfId="42893" xr:uid="{00000000-0005-0000-0000-000011E50000}"/>
    <cellStyle name="Note 3 11" xfId="42894" xr:uid="{00000000-0005-0000-0000-000012E50000}"/>
    <cellStyle name="Note 3 11 2" xfId="42895" xr:uid="{00000000-0005-0000-0000-000013E50000}"/>
    <cellStyle name="Note 3 11 2 2" xfId="61772" xr:uid="{00000000-0005-0000-0000-000014E50000}"/>
    <cellStyle name="Note 3 11 2 3" xfId="61773" xr:uid="{00000000-0005-0000-0000-000015E50000}"/>
    <cellStyle name="Note 3 11 3" xfId="42896" xr:uid="{00000000-0005-0000-0000-000016E50000}"/>
    <cellStyle name="Note 3 11 3 2" xfId="61774" xr:uid="{00000000-0005-0000-0000-000017E50000}"/>
    <cellStyle name="Note 3 11 4" xfId="42897" xr:uid="{00000000-0005-0000-0000-000018E50000}"/>
    <cellStyle name="Note 3 11 5" xfId="42898" xr:uid="{00000000-0005-0000-0000-000019E50000}"/>
    <cellStyle name="Note 3 11 6" xfId="42899" xr:uid="{00000000-0005-0000-0000-00001AE50000}"/>
    <cellStyle name="Note 3 12" xfId="42900" xr:uid="{00000000-0005-0000-0000-00001BE50000}"/>
    <cellStyle name="Note 3 12 2" xfId="61775" xr:uid="{00000000-0005-0000-0000-00001CE50000}"/>
    <cellStyle name="Note 3 12 3" xfId="61776" xr:uid="{00000000-0005-0000-0000-00001DE50000}"/>
    <cellStyle name="Note 3 13" xfId="42901" xr:uid="{00000000-0005-0000-0000-00001EE50000}"/>
    <cellStyle name="Note 3 13 2" xfId="61777" xr:uid="{00000000-0005-0000-0000-00001FE50000}"/>
    <cellStyle name="Note 3 14" xfId="42902" xr:uid="{00000000-0005-0000-0000-000020E50000}"/>
    <cellStyle name="Note 3 14 2" xfId="61778" xr:uid="{00000000-0005-0000-0000-000021E50000}"/>
    <cellStyle name="Note 3 15" xfId="42903" xr:uid="{00000000-0005-0000-0000-000022E50000}"/>
    <cellStyle name="Note 3 16" xfId="42904" xr:uid="{00000000-0005-0000-0000-000023E50000}"/>
    <cellStyle name="Note 3 17" xfId="42905" xr:uid="{00000000-0005-0000-0000-000024E50000}"/>
    <cellStyle name="Note 3 18" xfId="42906" xr:uid="{00000000-0005-0000-0000-000025E50000}"/>
    <cellStyle name="Note 3 19" xfId="42907" xr:uid="{00000000-0005-0000-0000-000026E50000}"/>
    <cellStyle name="Note 3 2" xfId="42908" xr:uid="{00000000-0005-0000-0000-000027E50000}"/>
    <cellStyle name="Note 3 2 10" xfId="42909" xr:uid="{00000000-0005-0000-0000-000028E50000}"/>
    <cellStyle name="Note 3 2 11" xfId="42910" xr:uid="{00000000-0005-0000-0000-000029E50000}"/>
    <cellStyle name="Note 3 2 12" xfId="42911" xr:uid="{00000000-0005-0000-0000-00002AE50000}"/>
    <cellStyle name="Note 3 2 13" xfId="42912" xr:uid="{00000000-0005-0000-0000-00002BE50000}"/>
    <cellStyle name="Note 3 2 14" xfId="42913" xr:uid="{00000000-0005-0000-0000-00002CE50000}"/>
    <cellStyle name="Note 3 2 15" xfId="42914" xr:uid="{00000000-0005-0000-0000-00002DE50000}"/>
    <cellStyle name="Note 3 2 16" xfId="42915" xr:uid="{00000000-0005-0000-0000-00002EE50000}"/>
    <cellStyle name="Note 3 2 2" xfId="42916" xr:uid="{00000000-0005-0000-0000-00002FE50000}"/>
    <cellStyle name="Note 3 2 2 10" xfId="42917" xr:uid="{00000000-0005-0000-0000-000030E50000}"/>
    <cellStyle name="Note 3 2 2 11" xfId="42918" xr:uid="{00000000-0005-0000-0000-000031E50000}"/>
    <cellStyle name="Note 3 2 2 12" xfId="42919" xr:uid="{00000000-0005-0000-0000-000032E50000}"/>
    <cellStyle name="Note 3 2 2 13" xfId="42920" xr:uid="{00000000-0005-0000-0000-000033E50000}"/>
    <cellStyle name="Note 3 2 2 14" xfId="42921" xr:uid="{00000000-0005-0000-0000-000034E50000}"/>
    <cellStyle name="Note 3 2 2 15" xfId="42922" xr:uid="{00000000-0005-0000-0000-000035E50000}"/>
    <cellStyle name="Note 3 2 2 2" xfId="42923" xr:uid="{00000000-0005-0000-0000-000036E50000}"/>
    <cellStyle name="Note 3 2 2 2 2" xfId="42924" xr:uid="{00000000-0005-0000-0000-000037E50000}"/>
    <cellStyle name="Note 3 2 2 2 2 2" xfId="42925" xr:uid="{00000000-0005-0000-0000-000038E50000}"/>
    <cellStyle name="Note 3 2 2 2 2 2 2" xfId="42926" xr:uid="{00000000-0005-0000-0000-000039E50000}"/>
    <cellStyle name="Note 3 2 2 2 2 2 2 2" xfId="61779" xr:uid="{00000000-0005-0000-0000-00003AE50000}"/>
    <cellStyle name="Note 3 2 2 2 2 2 2 3" xfId="61780" xr:uid="{00000000-0005-0000-0000-00003BE50000}"/>
    <cellStyle name="Note 3 2 2 2 2 2 3" xfId="42927" xr:uid="{00000000-0005-0000-0000-00003CE50000}"/>
    <cellStyle name="Note 3 2 2 2 2 2 3 2" xfId="61781" xr:uid="{00000000-0005-0000-0000-00003DE50000}"/>
    <cellStyle name="Note 3 2 2 2 2 2 4" xfId="42928" xr:uid="{00000000-0005-0000-0000-00003EE50000}"/>
    <cellStyle name="Note 3 2 2 2 2 2 5" xfId="42929" xr:uid="{00000000-0005-0000-0000-00003FE50000}"/>
    <cellStyle name="Note 3 2 2 2 2 2 6" xfId="42930" xr:uid="{00000000-0005-0000-0000-000040E50000}"/>
    <cellStyle name="Note 3 2 2 2 2 3" xfId="42931" xr:uid="{00000000-0005-0000-0000-000041E50000}"/>
    <cellStyle name="Note 3 2 2 2 2 3 2" xfId="61782" xr:uid="{00000000-0005-0000-0000-000042E50000}"/>
    <cellStyle name="Note 3 2 2 2 2 3 3" xfId="61783" xr:uid="{00000000-0005-0000-0000-000043E50000}"/>
    <cellStyle name="Note 3 2 2 2 2 4" xfId="42932" xr:uid="{00000000-0005-0000-0000-000044E50000}"/>
    <cellStyle name="Note 3 2 2 2 2 4 2" xfId="61784" xr:uid="{00000000-0005-0000-0000-000045E50000}"/>
    <cellStyle name="Note 3 2 2 2 2 5" xfId="42933" xr:uid="{00000000-0005-0000-0000-000046E50000}"/>
    <cellStyle name="Note 3 2 2 2 2 6" xfId="42934" xr:uid="{00000000-0005-0000-0000-000047E50000}"/>
    <cellStyle name="Note 3 2 2 2 2 7" xfId="42935" xr:uid="{00000000-0005-0000-0000-000048E50000}"/>
    <cellStyle name="Note 3 2 2 2 3" xfId="42936" xr:uid="{00000000-0005-0000-0000-000049E50000}"/>
    <cellStyle name="Note 3 2 2 2 3 2" xfId="42937" xr:uid="{00000000-0005-0000-0000-00004AE50000}"/>
    <cellStyle name="Note 3 2 2 2 3 2 2" xfId="61785" xr:uid="{00000000-0005-0000-0000-00004BE50000}"/>
    <cellStyle name="Note 3 2 2 2 3 2 3" xfId="61786" xr:uid="{00000000-0005-0000-0000-00004CE50000}"/>
    <cellStyle name="Note 3 2 2 2 3 3" xfId="42938" xr:uid="{00000000-0005-0000-0000-00004DE50000}"/>
    <cellStyle name="Note 3 2 2 2 3 3 2" xfId="61787" xr:uid="{00000000-0005-0000-0000-00004EE50000}"/>
    <cellStyle name="Note 3 2 2 2 3 4" xfId="42939" xr:uid="{00000000-0005-0000-0000-00004FE50000}"/>
    <cellStyle name="Note 3 2 2 2 3 5" xfId="42940" xr:uid="{00000000-0005-0000-0000-000050E50000}"/>
    <cellStyle name="Note 3 2 2 2 3 6" xfId="42941" xr:uid="{00000000-0005-0000-0000-000051E50000}"/>
    <cellStyle name="Note 3 2 2 2 4" xfId="42942" xr:uid="{00000000-0005-0000-0000-000052E50000}"/>
    <cellStyle name="Note 3 2 2 2 4 2" xfId="61788" xr:uid="{00000000-0005-0000-0000-000053E50000}"/>
    <cellStyle name="Note 3 2 2 2 4 3" xfId="61789" xr:uid="{00000000-0005-0000-0000-000054E50000}"/>
    <cellStyle name="Note 3 2 2 2 5" xfId="42943" xr:uid="{00000000-0005-0000-0000-000055E50000}"/>
    <cellStyle name="Note 3 2 2 2 5 2" xfId="61790" xr:uid="{00000000-0005-0000-0000-000056E50000}"/>
    <cellStyle name="Note 3 2 2 2 6" xfId="42944" xr:uid="{00000000-0005-0000-0000-000057E50000}"/>
    <cellStyle name="Note 3 2 2 2 7" xfId="42945" xr:uid="{00000000-0005-0000-0000-000058E50000}"/>
    <cellStyle name="Note 3 2 2 2 8" xfId="42946" xr:uid="{00000000-0005-0000-0000-000059E50000}"/>
    <cellStyle name="Note 3 2 2 2 9" xfId="42947" xr:uid="{00000000-0005-0000-0000-00005AE50000}"/>
    <cellStyle name="Note 3 2 2 3" xfId="42948" xr:uid="{00000000-0005-0000-0000-00005BE50000}"/>
    <cellStyle name="Note 3 2 2 3 2" xfId="42949" xr:uid="{00000000-0005-0000-0000-00005CE50000}"/>
    <cellStyle name="Note 3 2 2 3 2 2" xfId="42950" xr:uid="{00000000-0005-0000-0000-00005DE50000}"/>
    <cellStyle name="Note 3 2 2 3 2 2 2" xfId="42951" xr:uid="{00000000-0005-0000-0000-00005EE50000}"/>
    <cellStyle name="Note 3 2 2 3 2 2 2 2" xfId="61791" xr:uid="{00000000-0005-0000-0000-00005FE50000}"/>
    <cellStyle name="Note 3 2 2 3 2 2 2 3" xfId="61792" xr:uid="{00000000-0005-0000-0000-000060E50000}"/>
    <cellStyle name="Note 3 2 2 3 2 2 3" xfId="42952" xr:uid="{00000000-0005-0000-0000-000061E50000}"/>
    <cellStyle name="Note 3 2 2 3 2 2 3 2" xfId="61793" xr:uid="{00000000-0005-0000-0000-000062E50000}"/>
    <cellStyle name="Note 3 2 2 3 2 2 4" xfId="42953" xr:uid="{00000000-0005-0000-0000-000063E50000}"/>
    <cellStyle name="Note 3 2 2 3 2 2 5" xfId="42954" xr:uid="{00000000-0005-0000-0000-000064E50000}"/>
    <cellStyle name="Note 3 2 2 3 2 2 6" xfId="42955" xr:uid="{00000000-0005-0000-0000-000065E50000}"/>
    <cellStyle name="Note 3 2 2 3 2 3" xfId="42956" xr:uid="{00000000-0005-0000-0000-000066E50000}"/>
    <cellStyle name="Note 3 2 2 3 2 3 2" xfId="61794" xr:uid="{00000000-0005-0000-0000-000067E50000}"/>
    <cellStyle name="Note 3 2 2 3 2 3 3" xfId="61795" xr:uid="{00000000-0005-0000-0000-000068E50000}"/>
    <cellStyle name="Note 3 2 2 3 2 4" xfId="42957" xr:uid="{00000000-0005-0000-0000-000069E50000}"/>
    <cellStyle name="Note 3 2 2 3 2 4 2" xfId="61796" xr:uid="{00000000-0005-0000-0000-00006AE50000}"/>
    <cellStyle name="Note 3 2 2 3 2 5" xfId="42958" xr:uid="{00000000-0005-0000-0000-00006BE50000}"/>
    <cellStyle name="Note 3 2 2 3 2 6" xfId="42959" xr:uid="{00000000-0005-0000-0000-00006CE50000}"/>
    <cellStyle name="Note 3 2 2 3 2 7" xfId="42960" xr:uid="{00000000-0005-0000-0000-00006DE50000}"/>
    <cellStyle name="Note 3 2 2 3 3" xfId="42961" xr:uid="{00000000-0005-0000-0000-00006EE50000}"/>
    <cellStyle name="Note 3 2 2 3 3 2" xfId="42962" xr:uid="{00000000-0005-0000-0000-00006FE50000}"/>
    <cellStyle name="Note 3 2 2 3 3 2 2" xfId="61797" xr:uid="{00000000-0005-0000-0000-000070E50000}"/>
    <cellStyle name="Note 3 2 2 3 3 2 3" xfId="61798" xr:uid="{00000000-0005-0000-0000-000071E50000}"/>
    <cellStyle name="Note 3 2 2 3 3 3" xfId="42963" xr:uid="{00000000-0005-0000-0000-000072E50000}"/>
    <cellStyle name="Note 3 2 2 3 3 3 2" xfId="61799" xr:uid="{00000000-0005-0000-0000-000073E50000}"/>
    <cellStyle name="Note 3 2 2 3 3 4" xfId="42964" xr:uid="{00000000-0005-0000-0000-000074E50000}"/>
    <cellStyle name="Note 3 2 2 3 3 5" xfId="42965" xr:uid="{00000000-0005-0000-0000-000075E50000}"/>
    <cellStyle name="Note 3 2 2 3 3 6" xfId="42966" xr:uid="{00000000-0005-0000-0000-000076E50000}"/>
    <cellStyle name="Note 3 2 2 3 4" xfId="42967" xr:uid="{00000000-0005-0000-0000-000077E50000}"/>
    <cellStyle name="Note 3 2 2 3 4 2" xfId="61800" xr:uid="{00000000-0005-0000-0000-000078E50000}"/>
    <cellStyle name="Note 3 2 2 3 4 3" xfId="61801" xr:uid="{00000000-0005-0000-0000-000079E50000}"/>
    <cellStyle name="Note 3 2 2 3 5" xfId="42968" xr:uid="{00000000-0005-0000-0000-00007AE50000}"/>
    <cellStyle name="Note 3 2 2 3 5 2" xfId="61802" xr:uid="{00000000-0005-0000-0000-00007BE50000}"/>
    <cellStyle name="Note 3 2 2 3 6" xfId="42969" xr:uid="{00000000-0005-0000-0000-00007CE50000}"/>
    <cellStyle name="Note 3 2 2 3 7" xfId="42970" xr:uid="{00000000-0005-0000-0000-00007DE50000}"/>
    <cellStyle name="Note 3 2 2 3 8" xfId="42971" xr:uid="{00000000-0005-0000-0000-00007EE50000}"/>
    <cellStyle name="Note 3 2 2 4" xfId="42972" xr:uid="{00000000-0005-0000-0000-00007FE50000}"/>
    <cellStyle name="Note 3 2 2 4 2" xfId="42973" xr:uid="{00000000-0005-0000-0000-000080E50000}"/>
    <cellStyle name="Note 3 2 2 4 2 2" xfId="42974" xr:uid="{00000000-0005-0000-0000-000081E50000}"/>
    <cellStyle name="Note 3 2 2 4 2 2 2" xfId="61803" xr:uid="{00000000-0005-0000-0000-000082E50000}"/>
    <cellStyle name="Note 3 2 2 4 2 2 3" xfId="61804" xr:uid="{00000000-0005-0000-0000-000083E50000}"/>
    <cellStyle name="Note 3 2 2 4 2 3" xfId="42975" xr:uid="{00000000-0005-0000-0000-000084E50000}"/>
    <cellStyle name="Note 3 2 2 4 2 3 2" xfId="61805" xr:uid="{00000000-0005-0000-0000-000085E50000}"/>
    <cellStyle name="Note 3 2 2 4 2 4" xfId="42976" xr:uid="{00000000-0005-0000-0000-000086E50000}"/>
    <cellStyle name="Note 3 2 2 4 2 5" xfId="42977" xr:uid="{00000000-0005-0000-0000-000087E50000}"/>
    <cellStyle name="Note 3 2 2 4 2 6" xfId="42978" xr:uid="{00000000-0005-0000-0000-000088E50000}"/>
    <cellStyle name="Note 3 2 2 4 3" xfId="42979" xr:uid="{00000000-0005-0000-0000-000089E50000}"/>
    <cellStyle name="Note 3 2 2 4 3 2" xfId="61806" xr:uid="{00000000-0005-0000-0000-00008AE50000}"/>
    <cellStyle name="Note 3 2 2 4 3 3" xfId="61807" xr:uid="{00000000-0005-0000-0000-00008BE50000}"/>
    <cellStyle name="Note 3 2 2 4 4" xfId="42980" xr:uid="{00000000-0005-0000-0000-00008CE50000}"/>
    <cellStyle name="Note 3 2 2 4 4 2" xfId="61808" xr:uid="{00000000-0005-0000-0000-00008DE50000}"/>
    <cellStyle name="Note 3 2 2 4 5" xfId="42981" xr:uid="{00000000-0005-0000-0000-00008EE50000}"/>
    <cellStyle name="Note 3 2 2 4 6" xfId="42982" xr:uid="{00000000-0005-0000-0000-00008FE50000}"/>
    <cellStyle name="Note 3 2 2 4 7" xfId="42983" xr:uid="{00000000-0005-0000-0000-000090E50000}"/>
    <cellStyle name="Note 3 2 2 5" xfId="42984" xr:uid="{00000000-0005-0000-0000-000091E50000}"/>
    <cellStyle name="Note 3 2 2 5 2" xfId="42985" xr:uid="{00000000-0005-0000-0000-000092E50000}"/>
    <cellStyle name="Note 3 2 2 5 2 2" xfId="61809" xr:uid="{00000000-0005-0000-0000-000093E50000}"/>
    <cellStyle name="Note 3 2 2 5 2 3" xfId="61810" xr:uid="{00000000-0005-0000-0000-000094E50000}"/>
    <cellStyle name="Note 3 2 2 5 3" xfId="42986" xr:uid="{00000000-0005-0000-0000-000095E50000}"/>
    <cellStyle name="Note 3 2 2 5 3 2" xfId="61811" xr:uid="{00000000-0005-0000-0000-000096E50000}"/>
    <cellStyle name="Note 3 2 2 5 4" xfId="42987" xr:uid="{00000000-0005-0000-0000-000097E50000}"/>
    <cellStyle name="Note 3 2 2 5 5" xfId="42988" xr:uid="{00000000-0005-0000-0000-000098E50000}"/>
    <cellStyle name="Note 3 2 2 5 6" xfId="42989" xr:uid="{00000000-0005-0000-0000-000099E50000}"/>
    <cellStyle name="Note 3 2 2 6" xfId="42990" xr:uid="{00000000-0005-0000-0000-00009AE50000}"/>
    <cellStyle name="Note 3 2 2 6 2" xfId="61812" xr:uid="{00000000-0005-0000-0000-00009BE50000}"/>
    <cellStyle name="Note 3 2 2 6 3" xfId="61813" xr:uid="{00000000-0005-0000-0000-00009CE50000}"/>
    <cellStyle name="Note 3 2 2 7" xfId="42991" xr:uid="{00000000-0005-0000-0000-00009DE50000}"/>
    <cellStyle name="Note 3 2 2 7 2" xfId="61814" xr:uid="{00000000-0005-0000-0000-00009EE50000}"/>
    <cellStyle name="Note 3 2 2 8" xfId="42992" xr:uid="{00000000-0005-0000-0000-00009FE50000}"/>
    <cellStyle name="Note 3 2 2 9" xfId="42993" xr:uid="{00000000-0005-0000-0000-0000A0E50000}"/>
    <cellStyle name="Note 3 2 3" xfId="42994" xr:uid="{00000000-0005-0000-0000-0000A1E50000}"/>
    <cellStyle name="Note 3 2 3 2" xfId="42995" xr:uid="{00000000-0005-0000-0000-0000A2E50000}"/>
    <cellStyle name="Note 3 2 3 2 2" xfId="42996" xr:uid="{00000000-0005-0000-0000-0000A3E50000}"/>
    <cellStyle name="Note 3 2 3 2 2 2" xfId="42997" xr:uid="{00000000-0005-0000-0000-0000A4E50000}"/>
    <cellStyle name="Note 3 2 3 2 2 2 2" xfId="61815" xr:uid="{00000000-0005-0000-0000-0000A5E50000}"/>
    <cellStyle name="Note 3 2 3 2 2 2 3" xfId="61816" xr:uid="{00000000-0005-0000-0000-0000A6E50000}"/>
    <cellStyle name="Note 3 2 3 2 2 3" xfId="42998" xr:uid="{00000000-0005-0000-0000-0000A7E50000}"/>
    <cellStyle name="Note 3 2 3 2 2 3 2" xfId="61817" xr:uid="{00000000-0005-0000-0000-0000A8E50000}"/>
    <cellStyle name="Note 3 2 3 2 2 4" xfId="42999" xr:uid="{00000000-0005-0000-0000-0000A9E50000}"/>
    <cellStyle name="Note 3 2 3 2 2 5" xfId="43000" xr:uid="{00000000-0005-0000-0000-0000AAE50000}"/>
    <cellStyle name="Note 3 2 3 2 2 6" xfId="43001" xr:uid="{00000000-0005-0000-0000-0000ABE50000}"/>
    <cellStyle name="Note 3 2 3 2 3" xfId="43002" xr:uid="{00000000-0005-0000-0000-0000ACE50000}"/>
    <cellStyle name="Note 3 2 3 2 3 2" xfId="61818" xr:uid="{00000000-0005-0000-0000-0000ADE50000}"/>
    <cellStyle name="Note 3 2 3 2 3 3" xfId="61819" xr:uid="{00000000-0005-0000-0000-0000AEE50000}"/>
    <cellStyle name="Note 3 2 3 2 4" xfId="43003" xr:uid="{00000000-0005-0000-0000-0000AFE50000}"/>
    <cellStyle name="Note 3 2 3 2 4 2" xfId="61820" xr:uid="{00000000-0005-0000-0000-0000B0E50000}"/>
    <cellStyle name="Note 3 2 3 2 5" xfId="43004" xr:uid="{00000000-0005-0000-0000-0000B1E50000}"/>
    <cellStyle name="Note 3 2 3 2 6" xfId="43005" xr:uid="{00000000-0005-0000-0000-0000B2E50000}"/>
    <cellStyle name="Note 3 2 3 2 7" xfId="43006" xr:uid="{00000000-0005-0000-0000-0000B3E50000}"/>
    <cellStyle name="Note 3 2 3 3" xfId="43007" xr:uid="{00000000-0005-0000-0000-0000B4E50000}"/>
    <cellStyle name="Note 3 2 3 3 2" xfId="43008" xr:uid="{00000000-0005-0000-0000-0000B5E50000}"/>
    <cellStyle name="Note 3 2 3 3 2 2" xfId="61821" xr:uid="{00000000-0005-0000-0000-0000B6E50000}"/>
    <cellStyle name="Note 3 2 3 3 2 3" xfId="61822" xr:uid="{00000000-0005-0000-0000-0000B7E50000}"/>
    <cellStyle name="Note 3 2 3 3 3" xfId="43009" xr:uid="{00000000-0005-0000-0000-0000B8E50000}"/>
    <cellStyle name="Note 3 2 3 3 3 2" xfId="61823" xr:uid="{00000000-0005-0000-0000-0000B9E50000}"/>
    <cellStyle name="Note 3 2 3 3 4" xfId="43010" xr:uid="{00000000-0005-0000-0000-0000BAE50000}"/>
    <cellStyle name="Note 3 2 3 3 5" xfId="43011" xr:uid="{00000000-0005-0000-0000-0000BBE50000}"/>
    <cellStyle name="Note 3 2 3 3 6" xfId="43012" xr:uid="{00000000-0005-0000-0000-0000BCE50000}"/>
    <cellStyle name="Note 3 2 3 4" xfId="43013" xr:uid="{00000000-0005-0000-0000-0000BDE50000}"/>
    <cellStyle name="Note 3 2 3 4 2" xfId="61824" xr:uid="{00000000-0005-0000-0000-0000BEE50000}"/>
    <cellStyle name="Note 3 2 3 4 3" xfId="61825" xr:uid="{00000000-0005-0000-0000-0000BFE50000}"/>
    <cellStyle name="Note 3 2 3 5" xfId="43014" xr:uid="{00000000-0005-0000-0000-0000C0E50000}"/>
    <cellStyle name="Note 3 2 3 5 2" xfId="61826" xr:uid="{00000000-0005-0000-0000-0000C1E50000}"/>
    <cellStyle name="Note 3 2 3 6" xfId="43015" xr:uid="{00000000-0005-0000-0000-0000C2E50000}"/>
    <cellStyle name="Note 3 2 3 7" xfId="43016" xr:uid="{00000000-0005-0000-0000-0000C3E50000}"/>
    <cellStyle name="Note 3 2 3 8" xfId="43017" xr:uid="{00000000-0005-0000-0000-0000C4E50000}"/>
    <cellStyle name="Note 3 2 3 9" xfId="43018" xr:uid="{00000000-0005-0000-0000-0000C5E50000}"/>
    <cellStyle name="Note 3 2 4" xfId="43019" xr:uid="{00000000-0005-0000-0000-0000C6E50000}"/>
    <cellStyle name="Note 3 2 4 2" xfId="43020" xr:uid="{00000000-0005-0000-0000-0000C7E50000}"/>
    <cellStyle name="Note 3 2 4 2 2" xfId="43021" xr:uid="{00000000-0005-0000-0000-0000C8E50000}"/>
    <cellStyle name="Note 3 2 4 2 2 2" xfId="43022" xr:uid="{00000000-0005-0000-0000-0000C9E50000}"/>
    <cellStyle name="Note 3 2 4 2 2 2 2" xfId="61827" xr:uid="{00000000-0005-0000-0000-0000CAE50000}"/>
    <cellStyle name="Note 3 2 4 2 2 2 3" xfId="61828" xr:uid="{00000000-0005-0000-0000-0000CBE50000}"/>
    <cellStyle name="Note 3 2 4 2 2 3" xfId="43023" xr:uid="{00000000-0005-0000-0000-0000CCE50000}"/>
    <cellStyle name="Note 3 2 4 2 2 3 2" xfId="61829" xr:uid="{00000000-0005-0000-0000-0000CDE50000}"/>
    <cellStyle name="Note 3 2 4 2 2 4" xfId="43024" xr:uid="{00000000-0005-0000-0000-0000CEE50000}"/>
    <cellStyle name="Note 3 2 4 2 2 5" xfId="43025" xr:uid="{00000000-0005-0000-0000-0000CFE50000}"/>
    <cellStyle name="Note 3 2 4 2 2 6" xfId="43026" xr:uid="{00000000-0005-0000-0000-0000D0E50000}"/>
    <cellStyle name="Note 3 2 4 2 3" xfId="43027" xr:uid="{00000000-0005-0000-0000-0000D1E50000}"/>
    <cellStyle name="Note 3 2 4 2 3 2" xfId="61830" xr:uid="{00000000-0005-0000-0000-0000D2E50000}"/>
    <cellStyle name="Note 3 2 4 2 3 3" xfId="61831" xr:uid="{00000000-0005-0000-0000-0000D3E50000}"/>
    <cellStyle name="Note 3 2 4 2 4" xfId="43028" xr:uid="{00000000-0005-0000-0000-0000D4E50000}"/>
    <cellStyle name="Note 3 2 4 2 4 2" xfId="61832" xr:uid="{00000000-0005-0000-0000-0000D5E50000}"/>
    <cellStyle name="Note 3 2 4 2 5" xfId="43029" xr:uid="{00000000-0005-0000-0000-0000D6E50000}"/>
    <cellStyle name="Note 3 2 4 2 6" xfId="43030" xr:uid="{00000000-0005-0000-0000-0000D7E50000}"/>
    <cellStyle name="Note 3 2 4 2 7" xfId="43031" xr:uid="{00000000-0005-0000-0000-0000D8E50000}"/>
    <cellStyle name="Note 3 2 4 3" xfId="43032" xr:uid="{00000000-0005-0000-0000-0000D9E50000}"/>
    <cellStyle name="Note 3 2 4 3 2" xfId="43033" xr:uid="{00000000-0005-0000-0000-0000DAE50000}"/>
    <cellStyle name="Note 3 2 4 3 2 2" xfId="61833" xr:uid="{00000000-0005-0000-0000-0000DBE50000}"/>
    <cellStyle name="Note 3 2 4 3 2 3" xfId="61834" xr:uid="{00000000-0005-0000-0000-0000DCE50000}"/>
    <cellStyle name="Note 3 2 4 3 3" xfId="43034" xr:uid="{00000000-0005-0000-0000-0000DDE50000}"/>
    <cellStyle name="Note 3 2 4 3 3 2" xfId="61835" xr:uid="{00000000-0005-0000-0000-0000DEE50000}"/>
    <cellStyle name="Note 3 2 4 3 4" xfId="43035" xr:uid="{00000000-0005-0000-0000-0000DFE50000}"/>
    <cellStyle name="Note 3 2 4 3 5" xfId="43036" xr:uid="{00000000-0005-0000-0000-0000E0E50000}"/>
    <cellStyle name="Note 3 2 4 3 6" xfId="43037" xr:uid="{00000000-0005-0000-0000-0000E1E50000}"/>
    <cellStyle name="Note 3 2 4 4" xfId="43038" xr:uid="{00000000-0005-0000-0000-0000E2E50000}"/>
    <cellStyle name="Note 3 2 4 4 2" xfId="61836" xr:uid="{00000000-0005-0000-0000-0000E3E50000}"/>
    <cellStyle name="Note 3 2 4 4 3" xfId="61837" xr:uid="{00000000-0005-0000-0000-0000E4E50000}"/>
    <cellStyle name="Note 3 2 4 5" xfId="43039" xr:uid="{00000000-0005-0000-0000-0000E5E50000}"/>
    <cellStyle name="Note 3 2 4 5 2" xfId="61838" xr:uid="{00000000-0005-0000-0000-0000E6E50000}"/>
    <cellStyle name="Note 3 2 4 6" xfId="43040" xr:uid="{00000000-0005-0000-0000-0000E7E50000}"/>
    <cellStyle name="Note 3 2 4 7" xfId="43041" xr:uid="{00000000-0005-0000-0000-0000E8E50000}"/>
    <cellStyle name="Note 3 2 4 8" xfId="43042" xr:uid="{00000000-0005-0000-0000-0000E9E50000}"/>
    <cellStyle name="Note 3 2 5" xfId="43043" xr:uid="{00000000-0005-0000-0000-0000EAE50000}"/>
    <cellStyle name="Note 3 2 5 2" xfId="43044" xr:uid="{00000000-0005-0000-0000-0000EBE50000}"/>
    <cellStyle name="Note 3 2 5 2 2" xfId="43045" xr:uid="{00000000-0005-0000-0000-0000ECE50000}"/>
    <cellStyle name="Note 3 2 5 2 2 2" xfId="61839" xr:uid="{00000000-0005-0000-0000-0000EDE50000}"/>
    <cellStyle name="Note 3 2 5 2 2 3" xfId="61840" xr:uid="{00000000-0005-0000-0000-0000EEE50000}"/>
    <cellStyle name="Note 3 2 5 2 3" xfId="43046" xr:uid="{00000000-0005-0000-0000-0000EFE50000}"/>
    <cellStyle name="Note 3 2 5 2 3 2" xfId="61841" xr:uid="{00000000-0005-0000-0000-0000F0E50000}"/>
    <cellStyle name="Note 3 2 5 2 4" xfId="43047" xr:uid="{00000000-0005-0000-0000-0000F1E50000}"/>
    <cellStyle name="Note 3 2 5 2 5" xfId="43048" xr:uid="{00000000-0005-0000-0000-0000F2E50000}"/>
    <cellStyle name="Note 3 2 5 2 6" xfId="43049" xr:uid="{00000000-0005-0000-0000-0000F3E50000}"/>
    <cellStyle name="Note 3 2 5 3" xfId="43050" xr:uid="{00000000-0005-0000-0000-0000F4E50000}"/>
    <cellStyle name="Note 3 2 5 3 2" xfId="61842" xr:uid="{00000000-0005-0000-0000-0000F5E50000}"/>
    <cellStyle name="Note 3 2 5 3 3" xfId="61843" xr:uid="{00000000-0005-0000-0000-0000F6E50000}"/>
    <cellStyle name="Note 3 2 5 4" xfId="43051" xr:uid="{00000000-0005-0000-0000-0000F7E50000}"/>
    <cellStyle name="Note 3 2 5 4 2" xfId="61844" xr:uid="{00000000-0005-0000-0000-0000F8E50000}"/>
    <cellStyle name="Note 3 2 5 5" xfId="43052" xr:uid="{00000000-0005-0000-0000-0000F9E50000}"/>
    <cellStyle name="Note 3 2 5 6" xfId="43053" xr:uid="{00000000-0005-0000-0000-0000FAE50000}"/>
    <cellStyle name="Note 3 2 5 7" xfId="43054" xr:uid="{00000000-0005-0000-0000-0000FBE50000}"/>
    <cellStyle name="Note 3 2 6" xfId="43055" xr:uid="{00000000-0005-0000-0000-0000FCE50000}"/>
    <cellStyle name="Note 3 2 6 2" xfId="43056" xr:uid="{00000000-0005-0000-0000-0000FDE50000}"/>
    <cellStyle name="Note 3 2 6 2 2" xfId="61845" xr:uid="{00000000-0005-0000-0000-0000FEE50000}"/>
    <cellStyle name="Note 3 2 6 2 3" xfId="61846" xr:uid="{00000000-0005-0000-0000-0000FFE50000}"/>
    <cellStyle name="Note 3 2 6 3" xfId="43057" xr:uid="{00000000-0005-0000-0000-000000E60000}"/>
    <cellStyle name="Note 3 2 6 3 2" xfId="61847" xr:uid="{00000000-0005-0000-0000-000001E60000}"/>
    <cellStyle name="Note 3 2 6 4" xfId="43058" xr:uid="{00000000-0005-0000-0000-000002E60000}"/>
    <cellStyle name="Note 3 2 6 5" xfId="43059" xr:uid="{00000000-0005-0000-0000-000003E60000}"/>
    <cellStyle name="Note 3 2 6 6" xfId="43060" xr:uid="{00000000-0005-0000-0000-000004E60000}"/>
    <cellStyle name="Note 3 2 7" xfId="43061" xr:uid="{00000000-0005-0000-0000-000005E60000}"/>
    <cellStyle name="Note 3 2 7 2" xfId="61848" xr:uid="{00000000-0005-0000-0000-000006E60000}"/>
    <cellStyle name="Note 3 2 7 3" xfId="61849" xr:uid="{00000000-0005-0000-0000-000007E60000}"/>
    <cellStyle name="Note 3 2 8" xfId="43062" xr:uid="{00000000-0005-0000-0000-000008E60000}"/>
    <cellStyle name="Note 3 2 8 2" xfId="61850" xr:uid="{00000000-0005-0000-0000-000009E60000}"/>
    <cellStyle name="Note 3 2 9" xfId="43063" xr:uid="{00000000-0005-0000-0000-00000AE60000}"/>
    <cellStyle name="Note 3 2 9 2" xfId="61851" xr:uid="{00000000-0005-0000-0000-00000BE60000}"/>
    <cellStyle name="Note 3 20" xfId="43064" xr:uid="{00000000-0005-0000-0000-00000CE60000}"/>
    <cellStyle name="Note 3 3" xfId="43065" xr:uid="{00000000-0005-0000-0000-00000DE60000}"/>
    <cellStyle name="Note 3 3 10" xfId="43066" xr:uid="{00000000-0005-0000-0000-00000EE60000}"/>
    <cellStyle name="Note 3 3 11" xfId="43067" xr:uid="{00000000-0005-0000-0000-00000FE60000}"/>
    <cellStyle name="Note 3 3 12" xfId="43068" xr:uid="{00000000-0005-0000-0000-000010E60000}"/>
    <cellStyle name="Note 3 3 13" xfId="43069" xr:uid="{00000000-0005-0000-0000-000011E60000}"/>
    <cellStyle name="Note 3 3 14" xfId="43070" xr:uid="{00000000-0005-0000-0000-000012E60000}"/>
    <cellStyle name="Note 3 3 15" xfId="43071" xr:uid="{00000000-0005-0000-0000-000013E60000}"/>
    <cellStyle name="Note 3 3 16" xfId="43072" xr:uid="{00000000-0005-0000-0000-000014E60000}"/>
    <cellStyle name="Note 3 3 2" xfId="43073" xr:uid="{00000000-0005-0000-0000-000015E60000}"/>
    <cellStyle name="Note 3 3 2 10" xfId="43074" xr:uid="{00000000-0005-0000-0000-000016E60000}"/>
    <cellStyle name="Note 3 3 2 11" xfId="43075" xr:uid="{00000000-0005-0000-0000-000017E60000}"/>
    <cellStyle name="Note 3 3 2 12" xfId="43076" xr:uid="{00000000-0005-0000-0000-000018E60000}"/>
    <cellStyle name="Note 3 3 2 13" xfId="43077" xr:uid="{00000000-0005-0000-0000-000019E60000}"/>
    <cellStyle name="Note 3 3 2 14" xfId="43078" xr:uid="{00000000-0005-0000-0000-00001AE60000}"/>
    <cellStyle name="Note 3 3 2 15" xfId="43079" xr:uid="{00000000-0005-0000-0000-00001BE60000}"/>
    <cellStyle name="Note 3 3 2 2" xfId="43080" xr:uid="{00000000-0005-0000-0000-00001CE60000}"/>
    <cellStyle name="Note 3 3 2 2 2" xfId="43081" xr:uid="{00000000-0005-0000-0000-00001DE60000}"/>
    <cellStyle name="Note 3 3 2 2 2 2" xfId="43082" xr:uid="{00000000-0005-0000-0000-00001EE60000}"/>
    <cellStyle name="Note 3 3 2 2 2 2 2" xfId="43083" xr:uid="{00000000-0005-0000-0000-00001FE60000}"/>
    <cellStyle name="Note 3 3 2 2 2 2 2 2" xfId="61852" xr:uid="{00000000-0005-0000-0000-000020E60000}"/>
    <cellStyle name="Note 3 3 2 2 2 2 2 3" xfId="61853" xr:uid="{00000000-0005-0000-0000-000021E60000}"/>
    <cellStyle name="Note 3 3 2 2 2 2 3" xfId="43084" xr:uid="{00000000-0005-0000-0000-000022E60000}"/>
    <cellStyle name="Note 3 3 2 2 2 2 3 2" xfId="61854" xr:uid="{00000000-0005-0000-0000-000023E60000}"/>
    <cellStyle name="Note 3 3 2 2 2 2 4" xfId="43085" xr:uid="{00000000-0005-0000-0000-000024E60000}"/>
    <cellStyle name="Note 3 3 2 2 2 2 5" xfId="43086" xr:uid="{00000000-0005-0000-0000-000025E60000}"/>
    <cellStyle name="Note 3 3 2 2 2 2 6" xfId="43087" xr:uid="{00000000-0005-0000-0000-000026E60000}"/>
    <cellStyle name="Note 3 3 2 2 2 3" xfId="43088" xr:uid="{00000000-0005-0000-0000-000027E60000}"/>
    <cellStyle name="Note 3 3 2 2 2 3 2" xfId="61855" xr:uid="{00000000-0005-0000-0000-000028E60000}"/>
    <cellStyle name="Note 3 3 2 2 2 3 3" xfId="61856" xr:uid="{00000000-0005-0000-0000-000029E60000}"/>
    <cellStyle name="Note 3 3 2 2 2 4" xfId="43089" xr:uid="{00000000-0005-0000-0000-00002AE60000}"/>
    <cellStyle name="Note 3 3 2 2 2 4 2" xfId="61857" xr:uid="{00000000-0005-0000-0000-00002BE60000}"/>
    <cellStyle name="Note 3 3 2 2 2 5" xfId="43090" xr:uid="{00000000-0005-0000-0000-00002CE60000}"/>
    <cellStyle name="Note 3 3 2 2 2 6" xfId="43091" xr:uid="{00000000-0005-0000-0000-00002DE60000}"/>
    <cellStyle name="Note 3 3 2 2 2 7" xfId="43092" xr:uid="{00000000-0005-0000-0000-00002EE60000}"/>
    <cellStyle name="Note 3 3 2 2 3" xfId="43093" xr:uid="{00000000-0005-0000-0000-00002FE60000}"/>
    <cellStyle name="Note 3 3 2 2 3 2" xfId="43094" xr:uid="{00000000-0005-0000-0000-000030E60000}"/>
    <cellStyle name="Note 3 3 2 2 3 2 2" xfId="61858" xr:uid="{00000000-0005-0000-0000-000031E60000}"/>
    <cellStyle name="Note 3 3 2 2 3 2 3" xfId="61859" xr:uid="{00000000-0005-0000-0000-000032E60000}"/>
    <cellStyle name="Note 3 3 2 2 3 3" xfId="43095" xr:uid="{00000000-0005-0000-0000-000033E60000}"/>
    <cellStyle name="Note 3 3 2 2 3 3 2" xfId="61860" xr:uid="{00000000-0005-0000-0000-000034E60000}"/>
    <cellStyle name="Note 3 3 2 2 3 4" xfId="43096" xr:uid="{00000000-0005-0000-0000-000035E60000}"/>
    <cellStyle name="Note 3 3 2 2 3 5" xfId="43097" xr:uid="{00000000-0005-0000-0000-000036E60000}"/>
    <cellStyle name="Note 3 3 2 2 3 6" xfId="43098" xr:uid="{00000000-0005-0000-0000-000037E60000}"/>
    <cellStyle name="Note 3 3 2 2 4" xfId="43099" xr:uid="{00000000-0005-0000-0000-000038E60000}"/>
    <cellStyle name="Note 3 3 2 2 4 2" xfId="61861" xr:uid="{00000000-0005-0000-0000-000039E60000}"/>
    <cellStyle name="Note 3 3 2 2 4 3" xfId="61862" xr:uid="{00000000-0005-0000-0000-00003AE60000}"/>
    <cellStyle name="Note 3 3 2 2 5" xfId="43100" xr:uid="{00000000-0005-0000-0000-00003BE60000}"/>
    <cellStyle name="Note 3 3 2 2 5 2" xfId="61863" xr:uid="{00000000-0005-0000-0000-00003CE60000}"/>
    <cellStyle name="Note 3 3 2 2 6" xfId="43101" xr:uid="{00000000-0005-0000-0000-00003DE60000}"/>
    <cellStyle name="Note 3 3 2 2 7" xfId="43102" xr:uid="{00000000-0005-0000-0000-00003EE60000}"/>
    <cellStyle name="Note 3 3 2 2 8" xfId="43103" xr:uid="{00000000-0005-0000-0000-00003FE60000}"/>
    <cellStyle name="Note 3 3 2 2 9" xfId="43104" xr:uid="{00000000-0005-0000-0000-000040E60000}"/>
    <cellStyle name="Note 3 3 2 3" xfId="43105" xr:uid="{00000000-0005-0000-0000-000041E60000}"/>
    <cellStyle name="Note 3 3 2 3 2" xfId="43106" xr:uid="{00000000-0005-0000-0000-000042E60000}"/>
    <cellStyle name="Note 3 3 2 3 2 2" xfId="43107" xr:uid="{00000000-0005-0000-0000-000043E60000}"/>
    <cellStyle name="Note 3 3 2 3 2 2 2" xfId="43108" xr:uid="{00000000-0005-0000-0000-000044E60000}"/>
    <cellStyle name="Note 3 3 2 3 2 2 2 2" xfId="61864" xr:uid="{00000000-0005-0000-0000-000045E60000}"/>
    <cellStyle name="Note 3 3 2 3 2 2 2 3" xfId="61865" xr:uid="{00000000-0005-0000-0000-000046E60000}"/>
    <cellStyle name="Note 3 3 2 3 2 2 3" xfId="43109" xr:uid="{00000000-0005-0000-0000-000047E60000}"/>
    <cellStyle name="Note 3 3 2 3 2 2 3 2" xfId="61866" xr:uid="{00000000-0005-0000-0000-000048E60000}"/>
    <cellStyle name="Note 3 3 2 3 2 2 4" xfId="43110" xr:uid="{00000000-0005-0000-0000-000049E60000}"/>
    <cellStyle name="Note 3 3 2 3 2 2 5" xfId="43111" xr:uid="{00000000-0005-0000-0000-00004AE60000}"/>
    <cellStyle name="Note 3 3 2 3 2 2 6" xfId="43112" xr:uid="{00000000-0005-0000-0000-00004BE60000}"/>
    <cellStyle name="Note 3 3 2 3 2 3" xfId="43113" xr:uid="{00000000-0005-0000-0000-00004CE60000}"/>
    <cellStyle name="Note 3 3 2 3 2 3 2" xfId="61867" xr:uid="{00000000-0005-0000-0000-00004DE60000}"/>
    <cellStyle name="Note 3 3 2 3 2 3 3" xfId="61868" xr:uid="{00000000-0005-0000-0000-00004EE60000}"/>
    <cellStyle name="Note 3 3 2 3 2 4" xfId="43114" xr:uid="{00000000-0005-0000-0000-00004FE60000}"/>
    <cellStyle name="Note 3 3 2 3 2 4 2" xfId="61869" xr:uid="{00000000-0005-0000-0000-000050E60000}"/>
    <cellStyle name="Note 3 3 2 3 2 5" xfId="43115" xr:uid="{00000000-0005-0000-0000-000051E60000}"/>
    <cellStyle name="Note 3 3 2 3 2 6" xfId="43116" xr:uid="{00000000-0005-0000-0000-000052E60000}"/>
    <cellStyle name="Note 3 3 2 3 2 7" xfId="43117" xr:uid="{00000000-0005-0000-0000-000053E60000}"/>
    <cellStyle name="Note 3 3 2 3 3" xfId="43118" xr:uid="{00000000-0005-0000-0000-000054E60000}"/>
    <cellStyle name="Note 3 3 2 3 3 2" xfId="43119" xr:uid="{00000000-0005-0000-0000-000055E60000}"/>
    <cellStyle name="Note 3 3 2 3 3 2 2" xfId="61870" xr:uid="{00000000-0005-0000-0000-000056E60000}"/>
    <cellStyle name="Note 3 3 2 3 3 2 3" xfId="61871" xr:uid="{00000000-0005-0000-0000-000057E60000}"/>
    <cellStyle name="Note 3 3 2 3 3 3" xfId="43120" xr:uid="{00000000-0005-0000-0000-000058E60000}"/>
    <cellStyle name="Note 3 3 2 3 3 3 2" xfId="61872" xr:uid="{00000000-0005-0000-0000-000059E60000}"/>
    <cellStyle name="Note 3 3 2 3 3 4" xfId="43121" xr:uid="{00000000-0005-0000-0000-00005AE60000}"/>
    <cellStyle name="Note 3 3 2 3 3 5" xfId="43122" xr:uid="{00000000-0005-0000-0000-00005BE60000}"/>
    <cellStyle name="Note 3 3 2 3 3 6" xfId="43123" xr:uid="{00000000-0005-0000-0000-00005CE60000}"/>
    <cellStyle name="Note 3 3 2 3 4" xfId="43124" xr:uid="{00000000-0005-0000-0000-00005DE60000}"/>
    <cellStyle name="Note 3 3 2 3 4 2" xfId="61873" xr:uid="{00000000-0005-0000-0000-00005EE60000}"/>
    <cellStyle name="Note 3 3 2 3 4 3" xfId="61874" xr:uid="{00000000-0005-0000-0000-00005FE60000}"/>
    <cellStyle name="Note 3 3 2 3 5" xfId="43125" xr:uid="{00000000-0005-0000-0000-000060E60000}"/>
    <cellStyle name="Note 3 3 2 3 5 2" xfId="61875" xr:uid="{00000000-0005-0000-0000-000061E60000}"/>
    <cellStyle name="Note 3 3 2 3 6" xfId="43126" xr:uid="{00000000-0005-0000-0000-000062E60000}"/>
    <cellStyle name="Note 3 3 2 3 7" xfId="43127" xr:uid="{00000000-0005-0000-0000-000063E60000}"/>
    <cellStyle name="Note 3 3 2 3 8" xfId="43128" xr:uid="{00000000-0005-0000-0000-000064E60000}"/>
    <cellStyle name="Note 3 3 2 4" xfId="43129" xr:uid="{00000000-0005-0000-0000-000065E60000}"/>
    <cellStyle name="Note 3 3 2 4 2" xfId="43130" xr:uid="{00000000-0005-0000-0000-000066E60000}"/>
    <cellStyle name="Note 3 3 2 4 2 2" xfId="43131" xr:uid="{00000000-0005-0000-0000-000067E60000}"/>
    <cellStyle name="Note 3 3 2 4 2 2 2" xfId="61876" xr:uid="{00000000-0005-0000-0000-000068E60000}"/>
    <cellStyle name="Note 3 3 2 4 2 2 3" xfId="61877" xr:uid="{00000000-0005-0000-0000-000069E60000}"/>
    <cellStyle name="Note 3 3 2 4 2 3" xfId="43132" xr:uid="{00000000-0005-0000-0000-00006AE60000}"/>
    <cellStyle name="Note 3 3 2 4 2 3 2" xfId="61878" xr:uid="{00000000-0005-0000-0000-00006BE60000}"/>
    <cellStyle name="Note 3 3 2 4 2 4" xfId="43133" xr:uid="{00000000-0005-0000-0000-00006CE60000}"/>
    <cellStyle name="Note 3 3 2 4 2 5" xfId="43134" xr:uid="{00000000-0005-0000-0000-00006DE60000}"/>
    <cellStyle name="Note 3 3 2 4 2 6" xfId="43135" xr:uid="{00000000-0005-0000-0000-00006EE60000}"/>
    <cellStyle name="Note 3 3 2 4 3" xfId="43136" xr:uid="{00000000-0005-0000-0000-00006FE60000}"/>
    <cellStyle name="Note 3 3 2 4 3 2" xfId="61879" xr:uid="{00000000-0005-0000-0000-000070E60000}"/>
    <cellStyle name="Note 3 3 2 4 3 3" xfId="61880" xr:uid="{00000000-0005-0000-0000-000071E60000}"/>
    <cellStyle name="Note 3 3 2 4 4" xfId="43137" xr:uid="{00000000-0005-0000-0000-000072E60000}"/>
    <cellStyle name="Note 3 3 2 4 4 2" xfId="61881" xr:uid="{00000000-0005-0000-0000-000073E60000}"/>
    <cellStyle name="Note 3 3 2 4 5" xfId="43138" xr:uid="{00000000-0005-0000-0000-000074E60000}"/>
    <cellStyle name="Note 3 3 2 4 6" xfId="43139" xr:uid="{00000000-0005-0000-0000-000075E60000}"/>
    <cellStyle name="Note 3 3 2 4 7" xfId="43140" xr:uid="{00000000-0005-0000-0000-000076E60000}"/>
    <cellStyle name="Note 3 3 2 5" xfId="43141" xr:uid="{00000000-0005-0000-0000-000077E60000}"/>
    <cellStyle name="Note 3 3 2 5 2" xfId="43142" xr:uid="{00000000-0005-0000-0000-000078E60000}"/>
    <cellStyle name="Note 3 3 2 5 2 2" xfId="61882" xr:uid="{00000000-0005-0000-0000-000079E60000}"/>
    <cellStyle name="Note 3 3 2 5 2 3" xfId="61883" xr:uid="{00000000-0005-0000-0000-00007AE60000}"/>
    <cellStyle name="Note 3 3 2 5 3" xfId="43143" xr:uid="{00000000-0005-0000-0000-00007BE60000}"/>
    <cellStyle name="Note 3 3 2 5 3 2" xfId="61884" xr:uid="{00000000-0005-0000-0000-00007CE60000}"/>
    <cellStyle name="Note 3 3 2 5 4" xfId="43144" xr:uid="{00000000-0005-0000-0000-00007DE60000}"/>
    <cellStyle name="Note 3 3 2 5 5" xfId="43145" xr:uid="{00000000-0005-0000-0000-00007EE60000}"/>
    <cellStyle name="Note 3 3 2 5 6" xfId="43146" xr:uid="{00000000-0005-0000-0000-00007FE60000}"/>
    <cellStyle name="Note 3 3 2 6" xfId="43147" xr:uid="{00000000-0005-0000-0000-000080E60000}"/>
    <cellStyle name="Note 3 3 2 6 2" xfId="61885" xr:uid="{00000000-0005-0000-0000-000081E60000}"/>
    <cellStyle name="Note 3 3 2 6 3" xfId="61886" xr:uid="{00000000-0005-0000-0000-000082E60000}"/>
    <cellStyle name="Note 3 3 2 7" xfId="43148" xr:uid="{00000000-0005-0000-0000-000083E60000}"/>
    <cellStyle name="Note 3 3 2 7 2" xfId="61887" xr:uid="{00000000-0005-0000-0000-000084E60000}"/>
    <cellStyle name="Note 3 3 2 8" xfId="43149" xr:uid="{00000000-0005-0000-0000-000085E60000}"/>
    <cellStyle name="Note 3 3 2 9" xfId="43150" xr:uid="{00000000-0005-0000-0000-000086E60000}"/>
    <cellStyle name="Note 3 3 3" xfId="43151" xr:uid="{00000000-0005-0000-0000-000087E60000}"/>
    <cellStyle name="Note 3 3 3 2" xfId="43152" xr:uid="{00000000-0005-0000-0000-000088E60000}"/>
    <cellStyle name="Note 3 3 3 2 2" xfId="43153" xr:uid="{00000000-0005-0000-0000-000089E60000}"/>
    <cellStyle name="Note 3 3 3 2 2 2" xfId="43154" xr:uid="{00000000-0005-0000-0000-00008AE60000}"/>
    <cellStyle name="Note 3 3 3 2 2 2 2" xfId="61888" xr:uid="{00000000-0005-0000-0000-00008BE60000}"/>
    <cellStyle name="Note 3 3 3 2 2 2 3" xfId="61889" xr:uid="{00000000-0005-0000-0000-00008CE60000}"/>
    <cellStyle name="Note 3 3 3 2 2 3" xfId="43155" xr:uid="{00000000-0005-0000-0000-00008DE60000}"/>
    <cellStyle name="Note 3 3 3 2 2 3 2" xfId="61890" xr:uid="{00000000-0005-0000-0000-00008EE60000}"/>
    <cellStyle name="Note 3 3 3 2 2 4" xfId="43156" xr:uid="{00000000-0005-0000-0000-00008FE60000}"/>
    <cellStyle name="Note 3 3 3 2 2 5" xfId="43157" xr:uid="{00000000-0005-0000-0000-000090E60000}"/>
    <cellStyle name="Note 3 3 3 2 2 6" xfId="43158" xr:uid="{00000000-0005-0000-0000-000091E60000}"/>
    <cellStyle name="Note 3 3 3 2 3" xfId="43159" xr:uid="{00000000-0005-0000-0000-000092E60000}"/>
    <cellStyle name="Note 3 3 3 2 3 2" xfId="61891" xr:uid="{00000000-0005-0000-0000-000093E60000}"/>
    <cellStyle name="Note 3 3 3 2 3 3" xfId="61892" xr:uid="{00000000-0005-0000-0000-000094E60000}"/>
    <cellStyle name="Note 3 3 3 2 4" xfId="43160" xr:uid="{00000000-0005-0000-0000-000095E60000}"/>
    <cellStyle name="Note 3 3 3 2 4 2" xfId="61893" xr:uid="{00000000-0005-0000-0000-000096E60000}"/>
    <cellStyle name="Note 3 3 3 2 5" xfId="43161" xr:uid="{00000000-0005-0000-0000-000097E60000}"/>
    <cellStyle name="Note 3 3 3 2 6" xfId="43162" xr:uid="{00000000-0005-0000-0000-000098E60000}"/>
    <cellStyle name="Note 3 3 3 2 7" xfId="43163" xr:uid="{00000000-0005-0000-0000-000099E60000}"/>
    <cellStyle name="Note 3 3 3 3" xfId="43164" xr:uid="{00000000-0005-0000-0000-00009AE60000}"/>
    <cellStyle name="Note 3 3 3 3 2" xfId="43165" xr:uid="{00000000-0005-0000-0000-00009BE60000}"/>
    <cellStyle name="Note 3 3 3 3 2 2" xfId="61894" xr:uid="{00000000-0005-0000-0000-00009CE60000}"/>
    <cellStyle name="Note 3 3 3 3 2 3" xfId="61895" xr:uid="{00000000-0005-0000-0000-00009DE60000}"/>
    <cellStyle name="Note 3 3 3 3 3" xfId="43166" xr:uid="{00000000-0005-0000-0000-00009EE60000}"/>
    <cellStyle name="Note 3 3 3 3 3 2" xfId="61896" xr:uid="{00000000-0005-0000-0000-00009FE60000}"/>
    <cellStyle name="Note 3 3 3 3 4" xfId="43167" xr:uid="{00000000-0005-0000-0000-0000A0E60000}"/>
    <cellStyle name="Note 3 3 3 3 5" xfId="43168" xr:uid="{00000000-0005-0000-0000-0000A1E60000}"/>
    <cellStyle name="Note 3 3 3 3 6" xfId="43169" xr:uid="{00000000-0005-0000-0000-0000A2E60000}"/>
    <cellStyle name="Note 3 3 3 4" xfId="43170" xr:uid="{00000000-0005-0000-0000-0000A3E60000}"/>
    <cellStyle name="Note 3 3 3 4 2" xfId="61897" xr:uid="{00000000-0005-0000-0000-0000A4E60000}"/>
    <cellStyle name="Note 3 3 3 4 3" xfId="61898" xr:uid="{00000000-0005-0000-0000-0000A5E60000}"/>
    <cellStyle name="Note 3 3 3 5" xfId="43171" xr:uid="{00000000-0005-0000-0000-0000A6E60000}"/>
    <cellStyle name="Note 3 3 3 5 2" xfId="61899" xr:uid="{00000000-0005-0000-0000-0000A7E60000}"/>
    <cellStyle name="Note 3 3 3 6" xfId="43172" xr:uid="{00000000-0005-0000-0000-0000A8E60000}"/>
    <cellStyle name="Note 3 3 3 7" xfId="43173" xr:uid="{00000000-0005-0000-0000-0000A9E60000}"/>
    <cellStyle name="Note 3 3 3 8" xfId="43174" xr:uid="{00000000-0005-0000-0000-0000AAE60000}"/>
    <cellStyle name="Note 3 3 3 9" xfId="43175" xr:uid="{00000000-0005-0000-0000-0000ABE60000}"/>
    <cellStyle name="Note 3 3 4" xfId="43176" xr:uid="{00000000-0005-0000-0000-0000ACE60000}"/>
    <cellStyle name="Note 3 3 4 2" xfId="43177" xr:uid="{00000000-0005-0000-0000-0000ADE60000}"/>
    <cellStyle name="Note 3 3 4 2 2" xfId="43178" xr:uid="{00000000-0005-0000-0000-0000AEE60000}"/>
    <cellStyle name="Note 3 3 4 2 2 2" xfId="43179" xr:uid="{00000000-0005-0000-0000-0000AFE60000}"/>
    <cellStyle name="Note 3 3 4 2 2 2 2" xfId="61900" xr:uid="{00000000-0005-0000-0000-0000B0E60000}"/>
    <cellStyle name="Note 3 3 4 2 2 2 3" xfId="61901" xr:uid="{00000000-0005-0000-0000-0000B1E60000}"/>
    <cellStyle name="Note 3 3 4 2 2 3" xfId="43180" xr:uid="{00000000-0005-0000-0000-0000B2E60000}"/>
    <cellStyle name="Note 3 3 4 2 2 3 2" xfId="61902" xr:uid="{00000000-0005-0000-0000-0000B3E60000}"/>
    <cellStyle name="Note 3 3 4 2 2 4" xfId="43181" xr:uid="{00000000-0005-0000-0000-0000B4E60000}"/>
    <cellStyle name="Note 3 3 4 2 2 5" xfId="43182" xr:uid="{00000000-0005-0000-0000-0000B5E60000}"/>
    <cellStyle name="Note 3 3 4 2 2 6" xfId="43183" xr:uid="{00000000-0005-0000-0000-0000B6E60000}"/>
    <cellStyle name="Note 3 3 4 2 3" xfId="43184" xr:uid="{00000000-0005-0000-0000-0000B7E60000}"/>
    <cellStyle name="Note 3 3 4 2 3 2" xfId="61903" xr:uid="{00000000-0005-0000-0000-0000B8E60000}"/>
    <cellStyle name="Note 3 3 4 2 3 3" xfId="61904" xr:uid="{00000000-0005-0000-0000-0000B9E60000}"/>
    <cellStyle name="Note 3 3 4 2 4" xfId="43185" xr:uid="{00000000-0005-0000-0000-0000BAE60000}"/>
    <cellStyle name="Note 3 3 4 2 4 2" xfId="61905" xr:uid="{00000000-0005-0000-0000-0000BBE60000}"/>
    <cellStyle name="Note 3 3 4 2 5" xfId="43186" xr:uid="{00000000-0005-0000-0000-0000BCE60000}"/>
    <cellStyle name="Note 3 3 4 2 6" xfId="43187" xr:uid="{00000000-0005-0000-0000-0000BDE60000}"/>
    <cellStyle name="Note 3 3 4 2 7" xfId="43188" xr:uid="{00000000-0005-0000-0000-0000BEE60000}"/>
    <cellStyle name="Note 3 3 4 3" xfId="43189" xr:uid="{00000000-0005-0000-0000-0000BFE60000}"/>
    <cellStyle name="Note 3 3 4 3 2" xfId="43190" xr:uid="{00000000-0005-0000-0000-0000C0E60000}"/>
    <cellStyle name="Note 3 3 4 3 2 2" xfId="61906" xr:uid="{00000000-0005-0000-0000-0000C1E60000}"/>
    <cellStyle name="Note 3 3 4 3 2 3" xfId="61907" xr:uid="{00000000-0005-0000-0000-0000C2E60000}"/>
    <cellStyle name="Note 3 3 4 3 3" xfId="43191" xr:uid="{00000000-0005-0000-0000-0000C3E60000}"/>
    <cellStyle name="Note 3 3 4 3 3 2" xfId="61908" xr:uid="{00000000-0005-0000-0000-0000C4E60000}"/>
    <cellStyle name="Note 3 3 4 3 4" xfId="43192" xr:uid="{00000000-0005-0000-0000-0000C5E60000}"/>
    <cellStyle name="Note 3 3 4 3 5" xfId="43193" xr:uid="{00000000-0005-0000-0000-0000C6E60000}"/>
    <cellStyle name="Note 3 3 4 3 6" xfId="43194" xr:uid="{00000000-0005-0000-0000-0000C7E60000}"/>
    <cellStyle name="Note 3 3 4 4" xfId="43195" xr:uid="{00000000-0005-0000-0000-0000C8E60000}"/>
    <cellStyle name="Note 3 3 4 4 2" xfId="61909" xr:uid="{00000000-0005-0000-0000-0000C9E60000}"/>
    <cellStyle name="Note 3 3 4 4 3" xfId="61910" xr:uid="{00000000-0005-0000-0000-0000CAE60000}"/>
    <cellStyle name="Note 3 3 4 5" xfId="43196" xr:uid="{00000000-0005-0000-0000-0000CBE60000}"/>
    <cellStyle name="Note 3 3 4 5 2" xfId="61911" xr:uid="{00000000-0005-0000-0000-0000CCE60000}"/>
    <cellStyle name="Note 3 3 4 6" xfId="43197" xr:uid="{00000000-0005-0000-0000-0000CDE60000}"/>
    <cellStyle name="Note 3 3 4 7" xfId="43198" xr:uid="{00000000-0005-0000-0000-0000CEE60000}"/>
    <cellStyle name="Note 3 3 4 8" xfId="43199" xr:uid="{00000000-0005-0000-0000-0000CFE60000}"/>
    <cellStyle name="Note 3 3 5" xfId="43200" xr:uid="{00000000-0005-0000-0000-0000D0E60000}"/>
    <cellStyle name="Note 3 3 5 2" xfId="43201" xr:uid="{00000000-0005-0000-0000-0000D1E60000}"/>
    <cellStyle name="Note 3 3 5 2 2" xfId="43202" xr:uid="{00000000-0005-0000-0000-0000D2E60000}"/>
    <cellStyle name="Note 3 3 5 2 2 2" xfId="61912" xr:uid="{00000000-0005-0000-0000-0000D3E60000}"/>
    <cellStyle name="Note 3 3 5 2 2 3" xfId="61913" xr:uid="{00000000-0005-0000-0000-0000D4E60000}"/>
    <cellStyle name="Note 3 3 5 2 3" xfId="43203" xr:uid="{00000000-0005-0000-0000-0000D5E60000}"/>
    <cellStyle name="Note 3 3 5 2 3 2" xfId="61914" xr:uid="{00000000-0005-0000-0000-0000D6E60000}"/>
    <cellStyle name="Note 3 3 5 2 4" xfId="43204" xr:uid="{00000000-0005-0000-0000-0000D7E60000}"/>
    <cellStyle name="Note 3 3 5 2 5" xfId="43205" xr:uid="{00000000-0005-0000-0000-0000D8E60000}"/>
    <cellStyle name="Note 3 3 5 2 6" xfId="43206" xr:uid="{00000000-0005-0000-0000-0000D9E60000}"/>
    <cellStyle name="Note 3 3 5 3" xfId="43207" xr:uid="{00000000-0005-0000-0000-0000DAE60000}"/>
    <cellStyle name="Note 3 3 5 3 2" xfId="61915" xr:uid="{00000000-0005-0000-0000-0000DBE60000}"/>
    <cellStyle name="Note 3 3 5 3 3" xfId="61916" xr:uid="{00000000-0005-0000-0000-0000DCE60000}"/>
    <cellStyle name="Note 3 3 5 4" xfId="43208" xr:uid="{00000000-0005-0000-0000-0000DDE60000}"/>
    <cellStyle name="Note 3 3 5 4 2" xfId="61917" xr:uid="{00000000-0005-0000-0000-0000DEE60000}"/>
    <cellStyle name="Note 3 3 5 5" xfId="43209" xr:uid="{00000000-0005-0000-0000-0000DFE60000}"/>
    <cellStyle name="Note 3 3 5 6" xfId="43210" xr:uid="{00000000-0005-0000-0000-0000E0E60000}"/>
    <cellStyle name="Note 3 3 5 7" xfId="43211" xr:uid="{00000000-0005-0000-0000-0000E1E60000}"/>
    <cellStyle name="Note 3 3 6" xfId="43212" xr:uid="{00000000-0005-0000-0000-0000E2E60000}"/>
    <cellStyle name="Note 3 3 6 2" xfId="43213" xr:uid="{00000000-0005-0000-0000-0000E3E60000}"/>
    <cellStyle name="Note 3 3 6 2 2" xfId="61918" xr:uid="{00000000-0005-0000-0000-0000E4E60000}"/>
    <cellStyle name="Note 3 3 6 2 3" xfId="61919" xr:uid="{00000000-0005-0000-0000-0000E5E60000}"/>
    <cellStyle name="Note 3 3 6 3" xfId="43214" xr:uid="{00000000-0005-0000-0000-0000E6E60000}"/>
    <cellStyle name="Note 3 3 6 3 2" xfId="61920" xr:uid="{00000000-0005-0000-0000-0000E7E60000}"/>
    <cellStyle name="Note 3 3 6 4" xfId="43215" xr:uid="{00000000-0005-0000-0000-0000E8E60000}"/>
    <cellStyle name="Note 3 3 6 5" xfId="43216" xr:uid="{00000000-0005-0000-0000-0000E9E60000}"/>
    <cellStyle name="Note 3 3 6 6" xfId="43217" xr:uid="{00000000-0005-0000-0000-0000EAE60000}"/>
    <cellStyle name="Note 3 3 7" xfId="43218" xr:uid="{00000000-0005-0000-0000-0000EBE60000}"/>
    <cellStyle name="Note 3 3 7 2" xfId="61921" xr:uid="{00000000-0005-0000-0000-0000ECE60000}"/>
    <cellStyle name="Note 3 3 7 3" xfId="61922" xr:uid="{00000000-0005-0000-0000-0000EDE60000}"/>
    <cellStyle name="Note 3 3 8" xfId="43219" xr:uid="{00000000-0005-0000-0000-0000EEE60000}"/>
    <cellStyle name="Note 3 3 8 2" xfId="61923" xr:uid="{00000000-0005-0000-0000-0000EFE60000}"/>
    <cellStyle name="Note 3 3 9" xfId="43220" xr:uid="{00000000-0005-0000-0000-0000F0E60000}"/>
    <cellStyle name="Note 3 4" xfId="43221" xr:uid="{00000000-0005-0000-0000-0000F1E60000}"/>
    <cellStyle name="Note 3 4 10" xfId="43222" xr:uid="{00000000-0005-0000-0000-0000F2E60000}"/>
    <cellStyle name="Note 3 4 11" xfId="43223" xr:uid="{00000000-0005-0000-0000-0000F3E60000}"/>
    <cellStyle name="Note 3 4 12" xfId="43224" xr:uid="{00000000-0005-0000-0000-0000F4E60000}"/>
    <cellStyle name="Note 3 4 13" xfId="43225" xr:uid="{00000000-0005-0000-0000-0000F5E60000}"/>
    <cellStyle name="Note 3 4 14" xfId="43226" xr:uid="{00000000-0005-0000-0000-0000F6E60000}"/>
    <cellStyle name="Note 3 4 15" xfId="43227" xr:uid="{00000000-0005-0000-0000-0000F7E60000}"/>
    <cellStyle name="Note 3 4 2" xfId="43228" xr:uid="{00000000-0005-0000-0000-0000F8E60000}"/>
    <cellStyle name="Note 3 4 2 2" xfId="43229" xr:uid="{00000000-0005-0000-0000-0000F9E60000}"/>
    <cellStyle name="Note 3 4 2 2 2" xfId="43230" xr:uid="{00000000-0005-0000-0000-0000FAE60000}"/>
    <cellStyle name="Note 3 4 2 2 2 2" xfId="43231" xr:uid="{00000000-0005-0000-0000-0000FBE60000}"/>
    <cellStyle name="Note 3 4 2 2 2 2 2" xfId="61924" xr:uid="{00000000-0005-0000-0000-0000FCE60000}"/>
    <cellStyle name="Note 3 4 2 2 2 2 3" xfId="61925" xr:uid="{00000000-0005-0000-0000-0000FDE60000}"/>
    <cellStyle name="Note 3 4 2 2 2 3" xfId="43232" xr:uid="{00000000-0005-0000-0000-0000FEE60000}"/>
    <cellStyle name="Note 3 4 2 2 2 3 2" xfId="61926" xr:uid="{00000000-0005-0000-0000-0000FFE60000}"/>
    <cellStyle name="Note 3 4 2 2 2 4" xfId="43233" xr:uid="{00000000-0005-0000-0000-000000E70000}"/>
    <cellStyle name="Note 3 4 2 2 2 5" xfId="43234" xr:uid="{00000000-0005-0000-0000-000001E70000}"/>
    <cellStyle name="Note 3 4 2 2 2 6" xfId="43235" xr:uid="{00000000-0005-0000-0000-000002E70000}"/>
    <cellStyle name="Note 3 4 2 2 3" xfId="43236" xr:uid="{00000000-0005-0000-0000-000003E70000}"/>
    <cellStyle name="Note 3 4 2 2 3 2" xfId="61927" xr:uid="{00000000-0005-0000-0000-000004E70000}"/>
    <cellStyle name="Note 3 4 2 2 3 3" xfId="61928" xr:uid="{00000000-0005-0000-0000-000005E70000}"/>
    <cellStyle name="Note 3 4 2 2 4" xfId="43237" xr:uid="{00000000-0005-0000-0000-000006E70000}"/>
    <cellStyle name="Note 3 4 2 2 4 2" xfId="61929" xr:uid="{00000000-0005-0000-0000-000007E70000}"/>
    <cellStyle name="Note 3 4 2 2 5" xfId="43238" xr:uid="{00000000-0005-0000-0000-000008E70000}"/>
    <cellStyle name="Note 3 4 2 2 6" xfId="43239" xr:uid="{00000000-0005-0000-0000-000009E70000}"/>
    <cellStyle name="Note 3 4 2 2 7" xfId="43240" xr:uid="{00000000-0005-0000-0000-00000AE70000}"/>
    <cellStyle name="Note 3 4 2 3" xfId="43241" xr:uid="{00000000-0005-0000-0000-00000BE70000}"/>
    <cellStyle name="Note 3 4 2 3 2" xfId="43242" xr:uid="{00000000-0005-0000-0000-00000CE70000}"/>
    <cellStyle name="Note 3 4 2 3 2 2" xfId="61930" xr:uid="{00000000-0005-0000-0000-00000DE70000}"/>
    <cellStyle name="Note 3 4 2 3 2 3" xfId="61931" xr:uid="{00000000-0005-0000-0000-00000EE70000}"/>
    <cellStyle name="Note 3 4 2 3 3" xfId="43243" xr:uid="{00000000-0005-0000-0000-00000FE70000}"/>
    <cellStyle name="Note 3 4 2 3 3 2" xfId="61932" xr:uid="{00000000-0005-0000-0000-000010E70000}"/>
    <cellStyle name="Note 3 4 2 3 4" xfId="43244" xr:uid="{00000000-0005-0000-0000-000011E70000}"/>
    <cellStyle name="Note 3 4 2 3 5" xfId="43245" xr:uid="{00000000-0005-0000-0000-000012E70000}"/>
    <cellStyle name="Note 3 4 2 3 6" xfId="43246" xr:uid="{00000000-0005-0000-0000-000013E70000}"/>
    <cellStyle name="Note 3 4 2 4" xfId="43247" xr:uid="{00000000-0005-0000-0000-000014E70000}"/>
    <cellStyle name="Note 3 4 2 4 2" xfId="61933" xr:uid="{00000000-0005-0000-0000-000015E70000}"/>
    <cellStyle name="Note 3 4 2 4 3" xfId="61934" xr:uid="{00000000-0005-0000-0000-000016E70000}"/>
    <cellStyle name="Note 3 4 2 5" xfId="43248" xr:uid="{00000000-0005-0000-0000-000017E70000}"/>
    <cellStyle name="Note 3 4 2 5 2" xfId="61935" xr:uid="{00000000-0005-0000-0000-000018E70000}"/>
    <cellStyle name="Note 3 4 2 6" xfId="43249" xr:uid="{00000000-0005-0000-0000-000019E70000}"/>
    <cellStyle name="Note 3 4 2 7" xfId="43250" xr:uid="{00000000-0005-0000-0000-00001AE70000}"/>
    <cellStyle name="Note 3 4 2 8" xfId="43251" xr:uid="{00000000-0005-0000-0000-00001BE70000}"/>
    <cellStyle name="Note 3 4 2 9" xfId="43252" xr:uid="{00000000-0005-0000-0000-00001CE70000}"/>
    <cellStyle name="Note 3 4 3" xfId="43253" xr:uid="{00000000-0005-0000-0000-00001DE70000}"/>
    <cellStyle name="Note 3 4 3 2" xfId="43254" xr:uid="{00000000-0005-0000-0000-00001EE70000}"/>
    <cellStyle name="Note 3 4 3 2 2" xfId="43255" xr:uid="{00000000-0005-0000-0000-00001FE70000}"/>
    <cellStyle name="Note 3 4 3 2 2 2" xfId="43256" xr:uid="{00000000-0005-0000-0000-000020E70000}"/>
    <cellStyle name="Note 3 4 3 2 2 2 2" xfId="61936" xr:uid="{00000000-0005-0000-0000-000021E70000}"/>
    <cellStyle name="Note 3 4 3 2 2 2 3" xfId="61937" xr:uid="{00000000-0005-0000-0000-000022E70000}"/>
    <cellStyle name="Note 3 4 3 2 2 3" xfId="43257" xr:uid="{00000000-0005-0000-0000-000023E70000}"/>
    <cellStyle name="Note 3 4 3 2 2 3 2" xfId="61938" xr:uid="{00000000-0005-0000-0000-000024E70000}"/>
    <cellStyle name="Note 3 4 3 2 2 4" xfId="43258" xr:uid="{00000000-0005-0000-0000-000025E70000}"/>
    <cellStyle name="Note 3 4 3 2 2 5" xfId="43259" xr:uid="{00000000-0005-0000-0000-000026E70000}"/>
    <cellStyle name="Note 3 4 3 2 2 6" xfId="43260" xr:uid="{00000000-0005-0000-0000-000027E70000}"/>
    <cellStyle name="Note 3 4 3 2 3" xfId="43261" xr:uid="{00000000-0005-0000-0000-000028E70000}"/>
    <cellStyle name="Note 3 4 3 2 3 2" xfId="61939" xr:uid="{00000000-0005-0000-0000-000029E70000}"/>
    <cellStyle name="Note 3 4 3 2 3 3" xfId="61940" xr:uid="{00000000-0005-0000-0000-00002AE70000}"/>
    <cellStyle name="Note 3 4 3 2 4" xfId="43262" xr:uid="{00000000-0005-0000-0000-00002BE70000}"/>
    <cellStyle name="Note 3 4 3 2 4 2" xfId="61941" xr:uid="{00000000-0005-0000-0000-00002CE70000}"/>
    <cellStyle name="Note 3 4 3 2 5" xfId="43263" xr:uid="{00000000-0005-0000-0000-00002DE70000}"/>
    <cellStyle name="Note 3 4 3 2 6" xfId="43264" xr:uid="{00000000-0005-0000-0000-00002EE70000}"/>
    <cellStyle name="Note 3 4 3 2 7" xfId="43265" xr:uid="{00000000-0005-0000-0000-00002FE70000}"/>
    <cellStyle name="Note 3 4 3 3" xfId="43266" xr:uid="{00000000-0005-0000-0000-000030E70000}"/>
    <cellStyle name="Note 3 4 3 3 2" xfId="43267" xr:uid="{00000000-0005-0000-0000-000031E70000}"/>
    <cellStyle name="Note 3 4 3 3 2 2" xfId="61942" xr:uid="{00000000-0005-0000-0000-000032E70000}"/>
    <cellStyle name="Note 3 4 3 3 2 3" xfId="61943" xr:uid="{00000000-0005-0000-0000-000033E70000}"/>
    <cellStyle name="Note 3 4 3 3 3" xfId="43268" xr:uid="{00000000-0005-0000-0000-000034E70000}"/>
    <cellStyle name="Note 3 4 3 3 3 2" xfId="61944" xr:uid="{00000000-0005-0000-0000-000035E70000}"/>
    <cellStyle name="Note 3 4 3 3 4" xfId="43269" xr:uid="{00000000-0005-0000-0000-000036E70000}"/>
    <cellStyle name="Note 3 4 3 3 5" xfId="43270" xr:uid="{00000000-0005-0000-0000-000037E70000}"/>
    <cellStyle name="Note 3 4 3 3 6" xfId="43271" xr:uid="{00000000-0005-0000-0000-000038E70000}"/>
    <cellStyle name="Note 3 4 3 4" xfId="43272" xr:uid="{00000000-0005-0000-0000-000039E70000}"/>
    <cellStyle name="Note 3 4 3 4 2" xfId="61945" xr:uid="{00000000-0005-0000-0000-00003AE70000}"/>
    <cellStyle name="Note 3 4 3 4 3" xfId="61946" xr:uid="{00000000-0005-0000-0000-00003BE70000}"/>
    <cellStyle name="Note 3 4 3 5" xfId="43273" xr:uid="{00000000-0005-0000-0000-00003CE70000}"/>
    <cellStyle name="Note 3 4 3 5 2" xfId="61947" xr:uid="{00000000-0005-0000-0000-00003DE70000}"/>
    <cellStyle name="Note 3 4 3 6" xfId="43274" xr:uid="{00000000-0005-0000-0000-00003EE70000}"/>
    <cellStyle name="Note 3 4 3 7" xfId="43275" xr:uid="{00000000-0005-0000-0000-00003FE70000}"/>
    <cellStyle name="Note 3 4 3 8" xfId="43276" xr:uid="{00000000-0005-0000-0000-000040E70000}"/>
    <cellStyle name="Note 3 4 4" xfId="43277" xr:uid="{00000000-0005-0000-0000-000041E70000}"/>
    <cellStyle name="Note 3 4 4 2" xfId="43278" xr:uid="{00000000-0005-0000-0000-000042E70000}"/>
    <cellStyle name="Note 3 4 4 2 2" xfId="43279" xr:uid="{00000000-0005-0000-0000-000043E70000}"/>
    <cellStyle name="Note 3 4 4 2 2 2" xfId="61948" xr:uid="{00000000-0005-0000-0000-000044E70000}"/>
    <cellStyle name="Note 3 4 4 2 2 3" xfId="61949" xr:uid="{00000000-0005-0000-0000-000045E70000}"/>
    <cellStyle name="Note 3 4 4 2 3" xfId="43280" xr:uid="{00000000-0005-0000-0000-000046E70000}"/>
    <cellStyle name="Note 3 4 4 2 3 2" xfId="61950" xr:uid="{00000000-0005-0000-0000-000047E70000}"/>
    <cellStyle name="Note 3 4 4 2 4" xfId="43281" xr:uid="{00000000-0005-0000-0000-000048E70000}"/>
    <cellStyle name="Note 3 4 4 2 5" xfId="43282" xr:uid="{00000000-0005-0000-0000-000049E70000}"/>
    <cellStyle name="Note 3 4 4 2 6" xfId="43283" xr:uid="{00000000-0005-0000-0000-00004AE70000}"/>
    <cellStyle name="Note 3 4 4 3" xfId="43284" xr:uid="{00000000-0005-0000-0000-00004BE70000}"/>
    <cellStyle name="Note 3 4 4 3 2" xfId="61951" xr:uid="{00000000-0005-0000-0000-00004CE70000}"/>
    <cellStyle name="Note 3 4 4 3 3" xfId="61952" xr:uid="{00000000-0005-0000-0000-00004DE70000}"/>
    <cellStyle name="Note 3 4 4 4" xfId="43285" xr:uid="{00000000-0005-0000-0000-00004EE70000}"/>
    <cellStyle name="Note 3 4 4 4 2" xfId="61953" xr:uid="{00000000-0005-0000-0000-00004FE70000}"/>
    <cellStyle name="Note 3 4 4 5" xfId="43286" xr:uid="{00000000-0005-0000-0000-000050E70000}"/>
    <cellStyle name="Note 3 4 4 6" xfId="43287" xr:uid="{00000000-0005-0000-0000-000051E70000}"/>
    <cellStyle name="Note 3 4 4 7" xfId="43288" xr:uid="{00000000-0005-0000-0000-000052E70000}"/>
    <cellStyle name="Note 3 4 5" xfId="43289" xr:uid="{00000000-0005-0000-0000-000053E70000}"/>
    <cellStyle name="Note 3 4 5 2" xfId="43290" xr:uid="{00000000-0005-0000-0000-000054E70000}"/>
    <cellStyle name="Note 3 4 5 2 2" xfId="61954" xr:uid="{00000000-0005-0000-0000-000055E70000}"/>
    <cellStyle name="Note 3 4 5 2 3" xfId="61955" xr:uid="{00000000-0005-0000-0000-000056E70000}"/>
    <cellStyle name="Note 3 4 5 3" xfId="43291" xr:uid="{00000000-0005-0000-0000-000057E70000}"/>
    <cellStyle name="Note 3 4 5 3 2" xfId="61956" xr:uid="{00000000-0005-0000-0000-000058E70000}"/>
    <cellStyle name="Note 3 4 5 4" xfId="43292" xr:uid="{00000000-0005-0000-0000-000059E70000}"/>
    <cellStyle name="Note 3 4 5 5" xfId="43293" xr:uid="{00000000-0005-0000-0000-00005AE70000}"/>
    <cellStyle name="Note 3 4 5 6" xfId="43294" xr:uid="{00000000-0005-0000-0000-00005BE70000}"/>
    <cellStyle name="Note 3 4 6" xfId="43295" xr:uid="{00000000-0005-0000-0000-00005CE70000}"/>
    <cellStyle name="Note 3 4 6 2" xfId="61957" xr:uid="{00000000-0005-0000-0000-00005DE70000}"/>
    <cellStyle name="Note 3 4 6 3" xfId="61958" xr:uid="{00000000-0005-0000-0000-00005EE70000}"/>
    <cellStyle name="Note 3 4 7" xfId="43296" xr:uid="{00000000-0005-0000-0000-00005FE70000}"/>
    <cellStyle name="Note 3 4 7 2" xfId="61959" xr:uid="{00000000-0005-0000-0000-000060E70000}"/>
    <cellStyle name="Note 3 4 8" xfId="43297" xr:uid="{00000000-0005-0000-0000-000061E70000}"/>
    <cellStyle name="Note 3 4 9" xfId="43298" xr:uid="{00000000-0005-0000-0000-000062E70000}"/>
    <cellStyle name="Note 3 5" xfId="43299" xr:uid="{00000000-0005-0000-0000-000063E70000}"/>
    <cellStyle name="Note 3 5 10" xfId="43300" xr:uid="{00000000-0005-0000-0000-000064E70000}"/>
    <cellStyle name="Note 3 5 11" xfId="43301" xr:uid="{00000000-0005-0000-0000-000065E70000}"/>
    <cellStyle name="Note 3 5 12" xfId="43302" xr:uid="{00000000-0005-0000-0000-000066E70000}"/>
    <cellStyle name="Note 3 5 13" xfId="43303" xr:uid="{00000000-0005-0000-0000-000067E70000}"/>
    <cellStyle name="Note 3 5 14" xfId="43304" xr:uid="{00000000-0005-0000-0000-000068E70000}"/>
    <cellStyle name="Note 3 5 15" xfId="43305" xr:uid="{00000000-0005-0000-0000-000069E70000}"/>
    <cellStyle name="Note 3 5 2" xfId="43306" xr:uid="{00000000-0005-0000-0000-00006AE70000}"/>
    <cellStyle name="Note 3 5 2 2" xfId="43307" xr:uid="{00000000-0005-0000-0000-00006BE70000}"/>
    <cellStyle name="Note 3 5 2 2 2" xfId="43308" xr:uid="{00000000-0005-0000-0000-00006CE70000}"/>
    <cellStyle name="Note 3 5 2 2 2 2" xfId="43309" xr:uid="{00000000-0005-0000-0000-00006DE70000}"/>
    <cellStyle name="Note 3 5 2 2 2 2 2" xfId="61960" xr:uid="{00000000-0005-0000-0000-00006EE70000}"/>
    <cellStyle name="Note 3 5 2 2 2 2 3" xfId="61961" xr:uid="{00000000-0005-0000-0000-00006FE70000}"/>
    <cellStyle name="Note 3 5 2 2 2 3" xfId="43310" xr:uid="{00000000-0005-0000-0000-000070E70000}"/>
    <cellStyle name="Note 3 5 2 2 2 3 2" xfId="61962" xr:uid="{00000000-0005-0000-0000-000071E70000}"/>
    <cellStyle name="Note 3 5 2 2 2 4" xfId="43311" xr:uid="{00000000-0005-0000-0000-000072E70000}"/>
    <cellStyle name="Note 3 5 2 2 2 5" xfId="43312" xr:uid="{00000000-0005-0000-0000-000073E70000}"/>
    <cellStyle name="Note 3 5 2 2 2 6" xfId="43313" xr:uid="{00000000-0005-0000-0000-000074E70000}"/>
    <cellStyle name="Note 3 5 2 2 3" xfId="43314" xr:uid="{00000000-0005-0000-0000-000075E70000}"/>
    <cellStyle name="Note 3 5 2 2 3 2" xfId="61963" xr:uid="{00000000-0005-0000-0000-000076E70000}"/>
    <cellStyle name="Note 3 5 2 2 3 3" xfId="61964" xr:uid="{00000000-0005-0000-0000-000077E70000}"/>
    <cellStyle name="Note 3 5 2 2 4" xfId="43315" xr:uid="{00000000-0005-0000-0000-000078E70000}"/>
    <cellStyle name="Note 3 5 2 2 4 2" xfId="61965" xr:uid="{00000000-0005-0000-0000-000079E70000}"/>
    <cellStyle name="Note 3 5 2 2 5" xfId="43316" xr:uid="{00000000-0005-0000-0000-00007AE70000}"/>
    <cellStyle name="Note 3 5 2 2 6" xfId="43317" xr:uid="{00000000-0005-0000-0000-00007BE70000}"/>
    <cellStyle name="Note 3 5 2 2 7" xfId="43318" xr:uid="{00000000-0005-0000-0000-00007CE70000}"/>
    <cellStyle name="Note 3 5 2 3" xfId="43319" xr:uid="{00000000-0005-0000-0000-00007DE70000}"/>
    <cellStyle name="Note 3 5 2 3 2" xfId="43320" xr:uid="{00000000-0005-0000-0000-00007EE70000}"/>
    <cellStyle name="Note 3 5 2 3 2 2" xfId="61966" xr:uid="{00000000-0005-0000-0000-00007FE70000}"/>
    <cellStyle name="Note 3 5 2 3 2 3" xfId="61967" xr:uid="{00000000-0005-0000-0000-000080E70000}"/>
    <cellStyle name="Note 3 5 2 3 3" xfId="43321" xr:uid="{00000000-0005-0000-0000-000081E70000}"/>
    <cellStyle name="Note 3 5 2 3 3 2" xfId="61968" xr:uid="{00000000-0005-0000-0000-000082E70000}"/>
    <cellStyle name="Note 3 5 2 3 4" xfId="43322" xr:uid="{00000000-0005-0000-0000-000083E70000}"/>
    <cellStyle name="Note 3 5 2 3 5" xfId="43323" xr:uid="{00000000-0005-0000-0000-000084E70000}"/>
    <cellStyle name="Note 3 5 2 3 6" xfId="43324" xr:uid="{00000000-0005-0000-0000-000085E70000}"/>
    <cellStyle name="Note 3 5 2 4" xfId="43325" xr:uid="{00000000-0005-0000-0000-000086E70000}"/>
    <cellStyle name="Note 3 5 2 4 2" xfId="61969" xr:uid="{00000000-0005-0000-0000-000087E70000}"/>
    <cellStyle name="Note 3 5 2 4 3" xfId="61970" xr:uid="{00000000-0005-0000-0000-000088E70000}"/>
    <cellStyle name="Note 3 5 2 5" xfId="43326" xr:uid="{00000000-0005-0000-0000-000089E70000}"/>
    <cellStyle name="Note 3 5 2 5 2" xfId="61971" xr:uid="{00000000-0005-0000-0000-00008AE70000}"/>
    <cellStyle name="Note 3 5 2 6" xfId="43327" xr:uid="{00000000-0005-0000-0000-00008BE70000}"/>
    <cellStyle name="Note 3 5 2 7" xfId="43328" xr:uid="{00000000-0005-0000-0000-00008CE70000}"/>
    <cellStyle name="Note 3 5 2 8" xfId="43329" xr:uid="{00000000-0005-0000-0000-00008DE70000}"/>
    <cellStyle name="Note 3 5 2 9" xfId="43330" xr:uid="{00000000-0005-0000-0000-00008EE70000}"/>
    <cellStyle name="Note 3 5 3" xfId="43331" xr:uid="{00000000-0005-0000-0000-00008FE70000}"/>
    <cellStyle name="Note 3 5 3 2" xfId="43332" xr:uid="{00000000-0005-0000-0000-000090E70000}"/>
    <cellStyle name="Note 3 5 3 2 2" xfId="43333" xr:uid="{00000000-0005-0000-0000-000091E70000}"/>
    <cellStyle name="Note 3 5 3 2 2 2" xfId="43334" xr:uid="{00000000-0005-0000-0000-000092E70000}"/>
    <cellStyle name="Note 3 5 3 2 2 2 2" xfId="61972" xr:uid="{00000000-0005-0000-0000-000093E70000}"/>
    <cellStyle name="Note 3 5 3 2 2 2 3" xfId="61973" xr:uid="{00000000-0005-0000-0000-000094E70000}"/>
    <cellStyle name="Note 3 5 3 2 2 3" xfId="43335" xr:uid="{00000000-0005-0000-0000-000095E70000}"/>
    <cellStyle name="Note 3 5 3 2 2 3 2" xfId="61974" xr:uid="{00000000-0005-0000-0000-000096E70000}"/>
    <cellStyle name="Note 3 5 3 2 2 4" xfId="43336" xr:uid="{00000000-0005-0000-0000-000097E70000}"/>
    <cellStyle name="Note 3 5 3 2 2 5" xfId="43337" xr:uid="{00000000-0005-0000-0000-000098E70000}"/>
    <cellStyle name="Note 3 5 3 2 2 6" xfId="43338" xr:uid="{00000000-0005-0000-0000-000099E70000}"/>
    <cellStyle name="Note 3 5 3 2 3" xfId="43339" xr:uid="{00000000-0005-0000-0000-00009AE70000}"/>
    <cellStyle name="Note 3 5 3 2 3 2" xfId="61975" xr:uid="{00000000-0005-0000-0000-00009BE70000}"/>
    <cellStyle name="Note 3 5 3 2 3 3" xfId="61976" xr:uid="{00000000-0005-0000-0000-00009CE70000}"/>
    <cellStyle name="Note 3 5 3 2 4" xfId="43340" xr:uid="{00000000-0005-0000-0000-00009DE70000}"/>
    <cellStyle name="Note 3 5 3 2 4 2" xfId="61977" xr:uid="{00000000-0005-0000-0000-00009EE70000}"/>
    <cellStyle name="Note 3 5 3 2 5" xfId="43341" xr:uid="{00000000-0005-0000-0000-00009FE70000}"/>
    <cellStyle name="Note 3 5 3 2 6" xfId="43342" xr:uid="{00000000-0005-0000-0000-0000A0E70000}"/>
    <cellStyle name="Note 3 5 3 2 7" xfId="43343" xr:uid="{00000000-0005-0000-0000-0000A1E70000}"/>
    <cellStyle name="Note 3 5 3 3" xfId="43344" xr:uid="{00000000-0005-0000-0000-0000A2E70000}"/>
    <cellStyle name="Note 3 5 3 3 2" xfId="43345" xr:uid="{00000000-0005-0000-0000-0000A3E70000}"/>
    <cellStyle name="Note 3 5 3 3 2 2" xfId="61978" xr:uid="{00000000-0005-0000-0000-0000A4E70000}"/>
    <cellStyle name="Note 3 5 3 3 2 3" xfId="61979" xr:uid="{00000000-0005-0000-0000-0000A5E70000}"/>
    <cellStyle name="Note 3 5 3 3 3" xfId="43346" xr:uid="{00000000-0005-0000-0000-0000A6E70000}"/>
    <cellStyle name="Note 3 5 3 3 3 2" xfId="61980" xr:uid="{00000000-0005-0000-0000-0000A7E70000}"/>
    <cellStyle name="Note 3 5 3 3 4" xfId="43347" xr:uid="{00000000-0005-0000-0000-0000A8E70000}"/>
    <cellStyle name="Note 3 5 3 3 5" xfId="43348" xr:uid="{00000000-0005-0000-0000-0000A9E70000}"/>
    <cellStyle name="Note 3 5 3 3 6" xfId="43349" xr:uid="{00000000-0005-0000-0000-0000AAE70000}"/>
    <cellStyle name="Note 3 5 3 4" xfId="43350" xr:uid="{00000000-0005-0000-0000-0000ABE70000}"/>
    <cellStyle name="Note 3 5 3 4 2" xfId="61981" xr:uid="{00000000-0005-0000-0000-0000ACE70000}"/>
    <cellStyle name="Note 3 5 3 4 3" xfId="61982" xr:uid="{00000000-0005-0000-0000-0000ADE70000}"/>
    <cellStyle name="Note 3 5 3 5" xfId="43351" xr:uid="{00000000-0005-0000-0000-0000AEE70000}"/>
    <cellStyle name="Note 3 5 3 5 2" xfId="61983" xr:uid="{00000000-0005-0000-0000-0000AFE70000}"/>
    <cellStyle name="Note 3 5 3 6" xfId="43352" xr:uid="{00000000-0005-0000-0000-0000B0E70000}"/>
    <cellStyle name="Note 3 5 3 7" xfId="43353" xr:uid="{00000000-0005-0000-0000-0000B1E70000}"/>
    <cellStyle name="Note 3 5 3 8" xfId="43354" xr:uid="{00000000-0005-0000-0000-0000B2E70000}"/>
    <cellStyle name="Note 3 5 4" xfId="43355" xr:uid="{00000000-0005-0000-0000-0000B3E70000}"/>
    <cellStyle name="Note 3 5 4 2" xfId="43356" xr:uid="{00000000-0005-0000-0000-0000B4E70000}"/>
    <cellStyle name="Note 3 5 4 2 2" xfId="43357" xr:uid="{00000000-0005-0000-0000-0000B5E70000}"/>
    <cellStyle name="Note 3 5 4 2 2 2" xfId="61984" xr:uid="{00000000-0005-0000-0000-0000B6E70000}"/>
    <cellStyle name="Note 3 5 4 2 2 3" xfId="61985" xr:uid="{00000000-0005-0000-0000-0000B7E70000}"/>
    <cellStyle name="Note 3 5 4 2 3" xfId="43358" xr:uid="{00000000-0005-0000-0000-0000B8E70000}"/>
    <cellStyle name="Note 3 5 4 2 3 2" xfId="61986" xr:uid="{00000000-0005-0000-0000-0000B9E70000}"/>
    <cellStyle name="Note 3 5 4 2 4" xfId="43359" xr:uid="{00000000-0005-0000-0000-0000BAE70000}"/>
    <cellStyle name="Note 3 5 4 2 5" xfId="43360" xr:uid="{00000000-0005-0000-0000-0000BBE70000}"/>
    <cellStyle name="Note 3 5 4 2 6" xfId="43361" xr:uid="{00000000-0005-0000-0000-0000BCE70000}"/>
    <cellStyle name="Note 3 5 4 3" xfId="43362" xr:uid="{00000000-0005-0000-0000-0000BDE70000}"/>
    <cellStyle name="Note 3 5 4 3 2" xfId="61987" xr:uid="{00000000-0005-0000-0000-0000BEE70000}"/>
    <cellStyle name="Note 3 5 4 3 3" xfId="61988" xr:uid="{00000000-0005-0000-0000-0000BFE70000}"/>
    <cellStyle name="Note 3 5 4 4" xfId="43363" xr:uid="{00000000-0005-0000-0000-0000C0E70000}"/>
    <cellStyle name="Note 3 5 4 4 2" xfId="61989" xr:uid="{00000000-0005-0000-0000-0000C1E70000}"/>
    <cellStyle name="Note 3 5 4 5" xfId="43364" xr:uid="{00000000-0005-0000-0000-0000C2E70000}"/>
    <cellStyle name="Note 3 5 4 6" xfId="43365" xr:uid="{00000000-0005-0000-0000-0000C3E70000}"/>
    <cellStyle name="Note 3 5 4 7" xfId="43366" xr:uid="{00000000-0005-0000-0000-0000C4E70000}"/>
    <cellStyle name="Note 3 5 5" xfId="43367" xr:uid="{00000000-0005-0000-0000-0000C5E70000}"/>
    <cellStyle name="Note 3 5 5 2" xfId="43368" xr:uid="{00000000-0005-0000-0000-0000C6E70000}"/>
    <cellStyle name="Note 3 5 5 2 2" xfId="61990" xr:uid="{00000000-0005-0000-0000-0000C7E70000}"/>
    <cellStyle name="Note 3 5 5 2 3" xfId="61991" xr:uid="{00000000-0005-0000-0000-0000C8E70000}"/>
    <cellStyle name="Note 3 5 5 3" xfId="43369" xr:uid="{00000000-0005-0000-0000-0000C9E70000}"/>
    <cellStyle name="Note 3 5 5 3 2" xfId="61992" xr:uid="{00000000-0005-0000-0000-0000CAE70000}"/>
    <cellStyle name="Note 3 5 5 4" xfId="43370" xr:uid="{00000000-0005-0000-0000-0000CBE70000}"/>
    <cellStyle name="Note 3 5 5 5" xfId="43371" xr:uid="{00000000-0005-0000-0000-0000CCE70000}"/>
    <cellStyle name="Note 3 5 5 6" xfId="43372" xr:uid="{00000000-0005-0000-0000-0000CDE70000}"/>
    <cellStyle name="Note 3 5 6" xfId="43373" xr:uid="{00000000-0005-0000-0000-0000CEE70000}"/>
    <cellStyle name="Note 3 5 6 2" xfId="61993" xr:uid="{00000000-0005-0000-0000-0000CFE70000}"/>
    <cellStyle name="Note 3 5 6 3" xfId="61994" xr:uid="{00000000-0005-0000-0000-0000D0E70000}"/>
    <cellStyle name="Note 3 5 7" xfId="43374" xr:uid="{00000000-0005-0000-0000-0000D1E70000}"/>
    <cellStyle name="Note 3 5 7 2" xfId="61995" xr:uid="{00000000-0005-0000-0000-0000D2E70000}"/>
    <cellStyle name="Note 3 5 8" xfId="43375" xr:uid="{00000000-0005-0000-0000-0000D3E70000}"/>
    <cellStyle name="Note 3 5 9" xfId="43376" xr:uid="{00000000-0005-0000-0000-0000D4E70000}"/>
    <cellStyle name="Note 3 6" xfId="43377" xr:uid="{00000000-0005-0000-0000-0000D5E70000}"/>
    <cellStyle name="Note 3 6 10" xfId="43378" xr:uid="{00000000-0005-0000-0000-0000D6E70000}"/>
    <cellStyle name="Note 3 6 11" xfId="43379" xr:uid="{00000000-0005-0000-0000-0000D7E70000}"/>
    <cellStyle name="Note 3 6 12" xfId="43380" xr:uid="{00000000-0005-0000-0000-0000D8E70000}"/>
    <cellStyle name="Note 3 6 13" xfId="43381" xr:uid="{00000000-0005-0000-0000-0000D9E70000}"/>
    <cellStyle name="Note 3 6 2" xfId="43382" xr:uid="{00000000-0005-0000-0000-0000DAE70000}"/>
    <cellStyle name="Note 3 6 2 2" xfId="43383" xr:uid="{00000000-0005-0000-0000-0000DBE70000}"/>
    <cellStyle name="Note 3 6 2 2 2" xfId="43384" xr:uid="{00000000-0005-0000-0000-0000DCE70000}"/>
    <cellStyle name="Note 3 6 2 2 2 2" xfId="43385" xr:uid="{00000000-0005-0000-0000-0000DDE70000}"/>
    <cellStyle name="Note 3 6 2 2 2 2 2" xfId="61996" xr:uid="{00000000-0005-0000-0000-0000DEE70000}"/>
    <cellStyle name="Note 3 6 2 2 2 2 3" xfId="61997" xr:uid="{00000000-0005-0000-0000-0000DFE70000}"/>
    <cellStyle name="Note 3 6 2 2 2 3" xfId="43386" xr:uid="{00000000-0005-0000-0000-0000E0E70000}"/>
    <cellStyle name="Note 3 6 2 2 2 3 2" xfId="61998" xr:uid="{00000000-0005-0000-0000-0000E1E70000}"/>
    <cellStyle name="Note 3 6 2 2 2 4" xfId="43387" xr:uid="{00000000-0005-0000-0000-0000E2E70000}"/>
    <cellStyle name="Note 3 6 2 2 2 5" xfId="43388" xr:uid="{00000000-0005-0000-0000-0000E3E70000}"/>
    <cellStyle name="Note 3 6 2 2 2 6" xfId="43389" xr:uid="{00000000-0005-0000-0000-0000E4E70000}"/>
    <cellStyle name="Note 3 6 2 2 3" xfId="43390" xr:uid="{00000000-0005-0000-0000-0000E5E70000}"/>
    <cellStyle name="Note 3 6 2 2 3 2" xfId="61999" xr:uid="{00000000-0005-0000-0000-0000E6E70000}"/>
    <cellStyle name="Note 3 6 2 2 3 3" xfId="62000" xr:uid="{00000000-0005-0000-0000-0000E7E70000}"/>
    <cellStyle name="Note 3 6 2 2 4" xfId="43391" xr:uid="{00000000-0005-0000-0000-0000E8E70000}"/>
    <cellStyle name="Note 3 6 2 2 4 2" xfId="62001" xr:uid="{00000000-0005-0000-0000-0000E9E70000}"/>
    <cellStyle name="Note 3 6 2 2 5" xfId="43392" xr:uid="{00000000-0005-0000-0000-0000EAE70000}"/>
    <cellStyle name="Note 3 6 2 2 6" xfId="43393" xr:uid="{00000000-0005-0000-0000-0000EBE70000}"/>
    <cellStyle name="Note 3 6 2 2 7" xfId="43394" xr:uid="{00000000-0005-0000-0000-0000ECE70000}"/>
    <cellStyle name="Note 3 6 2 3" xfId="43395" xr:uid="{00000000-0005-0000-0000-0000EDE70000}"/>
    <cellStyle name="Note 3 6 2 3 2" xfId="43396" xr:uid="{00000000-0005-0000-0000-0000EEE70000}"/>
    <cellStyle name="Note 3 6 2 3 2 2" xfId="62002" xr:uid="{00000000-0005-0000-0000-0000EFE70000}"/>
    <cellStyle name="Note 3 6 2 3 2 3" xfId="62003" xr:uid="{00000000-0005-0000-0000-0000F0E70000}"/>
    <cellStyle name="Note 3 6 2 3 3" xfId="43397" xr:uid="{00000000-0005-0000-0000-0000F1E70000}"/>
    <cellStyle name="Note 3 6 2 3 3 2" xfId="62004" xr:uid="{00000000-0005-0000-0000-0000F2E70000}"/>
    <cellStyle name="Note 3 6 2 3 4" xfId="43398" xr:uid="{00000000-0005-0000-0000-0000F3E70000}"/>
    <cellStyle name="Note 3 6 2 3 5" xfId="43399" xr:uid="{00000000-0005-0000-0000-0000F4E70000}"/>
    <cellStyle name="Note 3 6 2 3 6" xfId="43400" xr:uid="{00000000-0005-0000-0000-0000F5E70000}"/>
    <cellStyle name="Note 3 6 2 4" xfId="43401" xr:uid="{00000000-0005-0000-0000-0000F6E70000}"/>
    <cellStyle name="Note 3 6 2 4 2" xfId="62005" xr:uid="{00000000-0005-0000-0000-0000F7E70000}"/>
    <cellStyle name="Note 3 6 2 4 3" xfId="62006" xr:uid="{00000000-0005-0000-0000-0000F8E70000}"/>
    <cellStyle name="Note 3 6 2 5" xfId="43402" xr:uid="{00000000-0005-0000-0000-0000F9E70000}"/>
    <cellStyle name="Note 3 6 2 5 2" xfId="62007" xr:uid="{00000000-0005-0000-0000-0000FAE70000}"/>
    <cellStyle name="Note 3 6 2 6" xfId="43403" xr:uid="{00000000-0005-0000-0000-0000FBE70000}"/>
    <cellStyle name="Note 3 6 2 7" xfId="43404" xr:uid="{00000000-0005-0000-0000-0000FCE70000}"/>
    <cellStyle name="Note 3 6 2 8" xfId="43405" xr:uid="{00000000-0005-0000-0000-0000FDE70000}"/>
    <cellStyle name="Note 3 6 2 9" xfId="43406" xr:uid="{00000000-0005-0000-0000-0000FEE70000}"/>
    <cellStyle name="Note 3 6 3" xfId="43407" xr:uid="{00000000-0005-0000-0000-0000FFE70000}"/>
    <cellStyle name="Note 3 6 3 2" xfId="43408" xr:uid="{00000000-0005-0000-0000-000000E80000}"/>
    <cellStyle name="Note 3 6 3 2 2" xfId="43409" xr:uid="{00000000-0005-0000-0000-000001E80000}"/>
    <cellStyle name="Note 3 6 3 2 2 2" xfId="62008" xr:uid="{00000000-0005-0000-0000-000002E80000}"/>
    <cellStyle name="Note 3 6 3 2 2 3" xfId="62009" xr:uid="{00000000-0005-0000-0000-000003E80000}"/>
    <cellStyle name="Note 3 6 3 2 3" xfId="43410" xr:uid="{00000000-0005-0000-0000-000004E80000}"/>
    <cellStyle name="Note 3 6 3 2 3 2" xfId="62010" xr:uid="{00000000-0005-0000-0000-000005E80000}"/>
    <cellStyle name="Note 3 6 3 2 4" xfId="43411" xr:uid="{00000000-0005-0000-0000-000006E80000}"/>
    <cellStyle name="Note 3 6 3 2 5" xfId="43412" xr:uid="{00000000-0005-0000-0000-000007E80000}"/>
    <cellStyle name="Note 3 6 3 2 6" xfId="43413" xr:uid="{00000000-0005-0000-0000-000008E80000}"/>
    <cellStyle name="Note 3 6 3 3" xfId="43414" xr:uid="{00000000-0005-0000-0000-000009E80000}"/>
    <cellStyle name="Note 3 6 3 3 2" xfId="62011" xr:uid="{00000000-0005-0000-0000-00000AE80000}"/>
    <cellStyle name="Note 3 6 3 3 3" xfId="62012" xr:uid="{00000000-0005-0000-0000-00000BE80000}"/>
    <cellStyle name="Note 3 6 3 4" xfId="43415" xr:uid="{00000000-0005-0000-0000-00000CE80000}"/>
    <cellStyle name="Note 3 6 3 4 2" xfId="62013" xr:uid="{00000000-0005-0000-0000-00000DE80000}"/>
    <cellStyle name="Note 3 6 3 5" xfId="43416" xr:uid="{00000000-0005-0000-0000-00000EE80000}"/>
    <cellStyle name="Note 3 6 3 6" xfId="43417" xr:uid="{00000000-0005-0000-0000-00000FE80000}"/>
    <cellStyle name="Note 3 6 3 7" xfId="43418" xr:uid="{00000000-0005-0000-0000-000010E80000}"/>
    <cellStyle name="Note 3 6 4" xfId="43419" xr:uid="{00000000-0005-0000-0000-000011E80000}"/>
    <cellStyle name="Note 3 6 4 2" xfId="43420" xr:uid="{00000000-0005-0000-0000-000012E80000}"/>
    <cellStyle name="Note 3 6 4 2 2" xfId="62014" xr:uid="{00000000-0005-0000-0000-000013E80000}"/>
    <cellStyle name="Note 3 6 4 2 3" xfId="62015" xr:uid="{00000000-0005-0000-0000-000014E80000}"/>
    <cellStyle name="Note 3 6 4 3" xfId="43421" xr:uid="{00000000-0005-0000-0000-000015E80000}"/>
    <cellStyle name="Note 3 6 4 3 2" xfId="62016" xr:uid="{00000000-0005-0000-0000-000016E80000}"/>
    <cellStyle name="Note 3 6 4 4" xfId="43422" xr:uid="{00000000-0005-0000-0000-000017E80000}"/>
    <cellStyle name="Note 3 6 4 5" xfId="43423" xr:uid="{00000000-0005-0000-0000-000018E80000}"/>
    <cellStyle name="Note 3 6 4 6" xfId="43424" xr:uid="{00000000-0005-0000-0000-000019E80000}"/>
    <cellStyle name="Note 3 6 5" xfId="43425" xr:uid="{00000000-0005-0000-0000-00001AE80000}"/>
    <cellStyle name="Note 3 6 5 2" xfId="62017" xr:uid="{00000000-0005-0000-0000-00001BE80000}"/>
    <cellStyle name="Note 3 6 5 3" xfId="62018" xr:uid="{00000000-0005-0000-0000-00001CE80000}"/>
    <cellStyle name="Note 3 6 6" xfId="43426" xr:uid="{00000000-0005-0000-0000-00001DE80000}"/>
    <cellStyle name="Note 3 6 6 2" xfId="62019" xr:uid="{00000000-0005-0000-0000-00001EE80000}"/>
    <cellStyle name="Note 3 6 7" xfId="43427" xr:uid="{00000000-0005-0000-0000-00001FE80000}"/>
    <cellStyle name="Note 3 6 8" xfId="43428" xr:uid="{00000000-0005-0000-0000-000020E80000}"/>
    <cellStyle name="Note 3 6 9" xfId="43429" xr:uid="{00000000-0005-0000-0000-000021E80000}"/>
    <cellStyle name="Note 3 7" xfId="43430" xr:uid="{00000000-0005-0000-0000-000022E80000}"/>
    <cellStyle name="Note 3 7 2" xfId="43431" xr:uid="{00000000-0005-0000-0000-000023E80000}"/>
    <cellStyle name="Note 3 7 2 2" xfId="43432" xr:uid="{00000000-0005-0000-0000-000024E80000}"/>
    <cellStyle name="Note 3 7 2 2 2" xfId="43433" xr:uid="{00000000-0005-0000-0000-000025E80000}"/>
    <cellStyle name="Note 3 7 2 2 2 2" xfId="62020" xr:uid="{00000000-0005-0000-0000-000026E80000}"/>
    <cellStyle name="Note 3 7 2 2 2 3" xfId="62021" xr:uid="{00000000-0005-0000-0000-000027E80000}"/>
    <cellStyle name="Note 3 7 2 2 3" xfId="43434" xr:uid="{00000000-0005-0000-0000-000028E80000}"/>
    <cellStyle name="Note 3 7 2 2 3 2" xfId="62022" xr:uid="{00000000-0005-0000-0000-000029E80000}"/>
    <cellStyle name="Note 3 7 2 2 4" xfId="43435" xr:uid="{00000000-0005-0000-0000-00002AE80000}"/>
    <cellStyle name="Note 3 7 2 2 5" xfId="43436" xr:uid="{00000000-0005-0000-0000-00002BE80000}"/>
    <cellStyle name="Note 3 7 2 2 6" xfId="43437" xr:uid="{00000000-0005-0000-0000-00002CE80000}"/>
    <cellStyle name="Note 3 7 2 3" xfId="43438" xr:uid="{00000000-0005-0000-0000-00002DE80000}"/>
    <cellStyle name="Note 3 7 2 3 2" xfId="62023" xr:uid="{00000000-0005-0000-0000-00002EE80000}"/>
    <cellStyle name="Note 3 7 2 3 3" xfId="62024" xr:uid="{00000000-0005-0000-0000-00002FE80000}"/>
    <cellStyle name="Note 3 7 2 4" xfId="43439" xr:uid="{00000000-0005-0000-0000-000030E80000}"/>
    <cellStyle name="Note 3 7 2 4 2" xfId="62025" xr:uid="{00000000-0005-0000-0000-000031E80000}"/>
    <cellStyle name="Note 3 7 2 5" xfId="43440" xr:uid="{00000000-0005-0000-0000-000032E80000}"/>
    <cellStyle name="Note 3 7 2 6" xfId="43441" xr:uid="{00000000-0005-0000-0000-000033E80000}"/>
    <cellStyle name="Note 3 7 2 7" xfId="43442" xr:uid="{00000000-0005-0000-0000-000034E80000}"/>
    <cellStyle name="Note 3 7 3" xfId="43443" xr:uid="{00000000-0005-0000-0000-000035E80000}"/>
    <cellStyle name="Note 3 7 3 2" xfId="43444" xr:uid="{00000000-0005-0000-0000-000036E80000}"/>
    <cellStyle name="Note 3 7 3 2 2" xfId="62026" xr:uid="{00000000-0005-0000-0000-000037E80000}"/>
    <cellStyle name="Note 3 7 3 2 3" xfId="62027" xr:uid="{00000000-0005-0000-0000-000038E80000}"/>
    <cellStyle name="Note 3 7 3 3" xfId="43445" xr:uid="{00000000-0005-0000-0000-000039E80000}"/>
    <cellStyle name="Note 3 7 3 3 2" xfId="62028" xr:uid="{00000000-0005-0000-0000-00003AE80000}"/>
    <cellStyle name="Note 3 7 3 4" xfId="43446" xr:uid="{00000000-0005-0000-0000-00003BE80000}"/>
    <cellStyle name="Note 3 7 3 5" xfId="43447" xr:uid="{00000000-0005-0000-0000-00003CE80000}"/>
    <cellStyle name="Note 3 7 3 6" xfId="43448" xr:uid="{00000000-0005-0000-0000-00003DE80000}"/>
    <cellStyle name="Note 3 7 4" xfId="43449" xr:uid="{00000000-0005-0000-0000-00003EE80000}"/>
    <cellStyle name="Note 3 7 4 2" xfId="62029" xr:uid="{00000000-0005-0000-0000-00003FE80000}"/>
    <cellStyle name="Note 3 7 4 3" xfId="62030" xr:uid="{00000000-0005-0000-0000-000040E80000}"/>
    <cellStyle name="Note 3 7 5" xfId="43450" xr:uid="{00000000-0005-0000-0000-000041E80000}"/>
    <cellStyle name="Note 3 7 5 2" xfId="62031" xr:uid="{00000000-0005-0000-0000-000042E80000}"/>
    <cellStyle name="Note 3 7 6" xfId="43451" xr:uid="{00000000-0005-0000-0000-000043E80000}"/>
    <cellStyle name="Note 3 7 7" xfId="43452" xr:uid="{00000000-0005-0000-0000-000044E80000}"/>
    <cellStyle name="Note 3 7 8" xfId="43453" xr:uid="{00000000-0005-0000-0000-000045E80000}"/>
    <cellStyle name="Note 3 7 9" xfId="43454" xr:uid="{00000000-0005-0000-0000-000046E80000}"/>
    <cellStyle name="Note 3 8" xfId="43455" xr:uid="{00000000-0005-0000-0000-000047E80000}"/>
    <cellStyle name="Note 3 8 2" xfId="43456" xr:uid="{00000000-0005-0000-0000-000048E80000}"/>
    <cellStyle name="Note 3 8 2 2" xfId="43457" xr:uid="{00000000-0005-0000-0000-000049E80000}"/>
    <cellStyle name="Note 3 8 2 2 2" xfId="43458" xr:uid="{00000000-0005-0000-0000-00004AE80000}"/>
    <cellStyle name="Note 3 8 2 2 2 2" xfId="62032" xr:uid="{00000000-0005-0000-0000-00004BE80000}"/>
    <cellStyle name="Note 3 8 2 2 2 3" xfId="62033" xr:uid="{00000000-0005-0000-0000-00004CE80000}"/>
    <cellStyle name="Note 3 8 2 2 3" xfId="43459" xr:uid="{00000000-0005-0000-0000-00004DE80000}"/>
    <cellStyle name="Note 3 8 2 2 3 2" xfId="62034" xr:uid="{00000000-0005-0000-0000-00004EE80000}"/>
    <cellStyle name="Note 3 8 2 2 4" xfId="43460" xr:uid="{00000000-0005-0000-0000-00004FE80000}"/>
    <cellStyle name="Note 3 8 2 2 5" xfId="43461" xr:uid="{00000000-0005-0000-0000-000050E80000}"/>
    <cellStyle name="Note 3 8 2 2 6" xfId="43462" xr:uid="{00000000-0005-0000-0000-000051E80000}"/>
    <cellStyle name="Note 3 8 2 3" xfId="43463" xr:uid="{00000000-0005-0000-0000-000052E80000}"/>
    <cellStyle name="Note 3 8 2 3 2" xfId="62035" xr:uid="{00000000-0005-0000-0000-000053E80000}"/>
    <cellStyle name="Note 3 8 2 3 3" xfId="62036" xr:uid="{00000000-0005-0000-0000-000054E80000}"/>
    <cellStyle name="Note 3 8 2 4" xfId="43464" xr:uid="{00000000-0005-0000-0000-000055E80000}"/>
    <cellStyle name="Note 3 8 2 4 2" xfId="62037" xr:uid="{00000000-0005-0000-0000-000056E80000}"/>
    <cellStyle name="Note 3 8 2 5" xfId="43465" xr:uid="{00000000-0005-0000-0000-000057E80000}"/>
    <cellStyle name="Note 3 8 2 6" xfId="43466" xr:uid="{00000000-0005-0000-0000-000058E80000}"/>
    <cellStyle name="Note 3 8 2 7" xfId="43467" xr:uid="{00000000-0005-0000-0000-000059E80000}"/>
    <cellStyle name="Note 3 8 3" xfId="43468" xr:uid="{00000000-0005-0000-0000-00005AE80000}"/>
    <cellStyle name="Note 3 8 3 2" xfId="43469" xr:uid="{00000000-0005-0000-0000-00005BE80000}"/>
    <cellStyle name="Note 3 8 3 2 2" xfId="62038" xr:uid="{00000000-0005-0000-0000-00005CE80000}"/>
    <cellStyle name="Note 3 8 3 2 3" xfId="62039" xr:uid="{00000000-0005-0000-0000-00005DE80000}"/>
    <cellStyle name="Note 3 8 3 3" xfId="43470" xr:uid="{00000000-0005-0000-0000-00005EE80000}"/>
    <cellStyle name="Note 3 8 3 3 2" xfId="62040" xr:uid="{00000000-0005-0000-0000-00005FE80000}"/>
    <cellStyle name="Note 3 8 3 4" xfId="43471" xr:uid="{00000000-0005-0000-0000-000060E80000}"/>
    <cellStyle name="Note 3 8 3 5" xfId="43472" xr:uid="{00000000-0005-0000-0000-000061E80000}"/>
    <cellStyle name="Note 3 8 3 6" xfId="43473" xr:uid="{00000000-0005-0000-0000-000062E80000}"/>
    <cellStyle name="Note 3 8 4" xfId="43474" xr:uid="{00000000-0005-0000-0000-000063E80000}"/>
    <cellStyle name="Note 3 8 4 2" xfId="62041" xr:uid="{00000000-0005-0000-0000-000064E80000}"/>
    <cellStyle name="Note 3 8 4 3" xfId="62042" xr:uid="{00000000-0005-0000-0000-000065E80000}"/>
    <cellStyle name="Note 3 8 5" xfId="43475" xr:uid="{00000000-0005-0000-0000-000066E80000}"/>
    <cellStyle name="Note 3 8 5 2" xfId="62043" xr:uid="{00000000-0005-0000-0000-000067E80000}"/>
    <cellStyle name="Note 3 8 6" xfId="43476" xr:uid="{00000000-0005-0000-0000-000068E80000}"/>
    <cellStyle name="Note 3 8 7" xfId="43477" xr:uid="{00000000-0005-0000-0000-000069E80000}"/>
    <cellStyle name="Note 3 8 8" xfId="43478" xr:uid="{00000000-0005-0000-0000-00006AE80000}"/>
    <cellStyle name="Note 3 9" xfId="43479" xr:uid="{00000000-0005-0000-0000-00006BE80000}"/>
    <cellStyle name="Note 3 9 2" xfId="43480" xr:uid="{00000000-0005-0000-0000-00006CE80000}"/>
    <cellStyle name="Note 3 9 2 2" xfId="43481" xr:uid="{00000000-0005-0000-0000-00006DE80000}"/>
    <cellStyle name="Note 3 9 2 2 2" xfId="43482" xr:uid="{00000000-0005-0000-0000-00006EE80000}"/>
    <cellStyle name="Note 3 9 2 2 2 2" xfId="62044" xr:uid="{00000000-0005-0000-0000-00006FE80000}"/>
    <cellStyle name="Note 3 9 2 2 2 3" xfId="62045" xr:uid="{00000000-0005-0000-0000-000070E80000}"/>
    <cellStyle name="Note 3 9 2 2 3" xfId="43483" xr:uid="{00000000-0005-0000-0000-000071E80000}"/>
    <cellStyle name="Note 3 9 2 2 3 2" xfId="62046" xr:uid="{00000000-0005-0000-0000-000072E80000}"/>
    <cellStyle name="Note 3 9 2 2 4" xfId="43484" xr:uid="{00000000-0005-0000-0000-000073E80000}"/>
    <cellStyle name="Note 3 9 2 2 5" xfId="43485" xr:uid="{00000000-0005-0000-0000-000074E80000}"/>
    <cellStyle name="Note 3 9 2 2 6" xfId="43486" xr:uid="{00000000-0005-0000-0000-000075E80000}"/>
    <cellStyle name="Note 3 9 2 3" xfId="43487" xr:uid="{00000000-0005-0000-0000-000076E80000}"/>
    <cellStyle name="Note 3 9 2 3 2" xfId="62047" xr:uid="{00000000-0005-0000-0000-000077E80000}"/>
    <cellStyle name="Note 3 9 2 3 3" xfId="62048" xr:uid="{00000000-0005-0000-0000-000078E80000}"/>
    <cellStyle name="Note 3 9 2 4" xfId="43488" xr:uid="{00000000-0005-0000-0000-000079E80000}"/>
    <cellStyle name="Note 3 9 2 4 2" xfId="62049" xr:uid="{00000000-0005-0000-0000-00007AE80000}"/>
    <cellStyle name="Note 3 9 2 5" xfId="43489" xr:uid="{00000000-0005-0000-0000-00007BE80000}"/>
    <cellStyle name="Note 3 9 2 6" xfId="43490" xr:uid="{00000000-0005-0000-0000-00007CE80000}"/>
    <cellStyle name="Note 3 9 2 7" xfId="43491" xr:uid="{00000000-0005-0000-0000-00007DE80000}"/>
    <cellStyle name="Note 3 9 3" xfId="43492" xr:uid="{00000000-0005-0000-0000-00007EE80000}"/>
    <cellStyle name="Note 3 9 3 2" xfId="43493" xr:uid="{00000000-0005-0000-0000-00007FE80000}"/>
    <cellStyle name="Note 3 9 3 2 2" xfId="62050" xr:uid="{00000000-0005-0000-0000-000080E80000}"/>
    <cellStyle name="Note 3 9 3 2 3" xfId="62051" xr:uid="{00000000-0005-0000-0000-000081E80000}"/>
    <cellStyle name="Note 3 9 3 3" xfId="43494" xr:uid="{00000000-0005-0000-0000-000082E80000}"/>
    <cellStyle name="Note 3 9 3 3 2" xfId="62052" xr:uid="{00000000-0005-0000-0000-000083E80000}"/>
    <cellStyle name="Note 3 9 3 4" xfId="43495" xr:uid="{00000000-0005-0000-0000-000084E80000}"/>
    <cellStyle name="Note 3 9 3 5" xfId="43496" xr:uid="{00000000-0005-0000-0000-000085E80000}"/>
    <cellStyle name="Note 3 9 3 6" xfId="43497" xr:uid="{00000000-0005-0000-0000-000086E80000}"/>
    <cellStyle name="Note 3 9 4" xfId="43498" xr:uid="{00000000-0005-0000-0000-000087E80000}"/>
    <cellStyle name="Note 3 9 4 2" xfId="62053" xr:uid="{00000000-0005-0000-0000-000088E80000}"/>
    <cellStyle name="Note 3 9 4 3" xfId="62054" xr:uid="{00000000-0005-0000-0000-000089E80000}"/>
    <cellStyle name="Note 3 9 5" xfId="43499" xr:uid="{00000000-0005-0000-0000-00008AE80000}"/>
    <cellStyle name="Note 3 9 5 2" xfId="62055" xr:uid="{00000000-0005-0000-0000-00008BE80000}"/>
    <cellStyle name="Note 3 9 6" xfId="43500" xr:uid="{00000000-0005-0000-0000-00008CE80000}"/>
    <cellStyle name="Note 3 9 7" xfId="43501" xr:uid="{00000000-0005-0000-0000-00008DE80000}"/>
    <cellStyle name="Note 3 9 8" xfId="43502" xr:uid="{00000000-0005-0000-0000-00008EE80000}"/>
    <cellStyle name="Note 4" xfId="43503" xr:uid="{00000000-0005-0000-0000-00008FE80000}"/>
    <cellStyle name="Note 4 10" xfId="43504" xr:uid="{00000000-0005-0000-0000-000090E80000}"/>
    <cellStyle name="Note 4 10 2" xfId="62056" xr:uid="{00000000-0005-0000-0000-000091E80000}"/>
    <cellStyle name="Note 4 10 3" xfId="62057" xr:uid="{00000000-0005-0000-0000-000092E80000}"/>
    <cellStyle name="Note 4 11" xfId="43505" xr:uid="{00000000-0005-0000-0000-000093E80000}"/>
    <cellStyle name="Note 4 11 2" xfId="62058" xr:uid="{00000000-0005-0000-0000-000094E80000}"/>
    <cellStyle name="Note 4 12" xfId="43506" xr:uid="{00000000-0005-0000-0000-000095E80000}"/>
    <cellStyle name="Note 4 13" xfId="43507" xr:uid="{00000000-0005-0000-0000-000096E80000}"/>
    <cellStyle name="Note 4 14" xfId="43508" xr:uid="{00000000-0005-0000-0000-000097E80000}"/>
    <cellStyle name="Note 4 15" xfId="43509" xr:uid="{00000000-0005-0000-0000-000098E80000}"/>
    <cellStyle name="Note 4 16" xfId="43510" xr:uid="{00000000-0005-0000-0000-000099E80000}"/>
    <cellStyle name="Note 4 17" xfId="43511" xr:uid="{00000000-0005-0000-0000-00009AE80000}"/>
    <cellStyle name="Note 4 18" xfId="43512" xr:uid="{00000000-0005-0000-0000-00009BE80000}"/>
    <cellStyle name="Note 4 19" xfId="43513" xr:uid="{00000000-0005-0000-0000-00009CE80000}"/>
    <cellStyle name="Note 4 2" xfId="43514" xr:uid="{00000000-0005-0000-0000-00009DE80000}"/>
    <cellStyle name="Note 4 2 10" xfId="43515" xr:uid="{00000000-0005-0000-0000-00009EE80000}"/>
    <cellStyle name="Note 4 2 11" xfId="43516" xr:uid="{00000000-0005-0000-0000-00009FE80000}"/>
    <cellStyle name="Note 4 2 12" xfId="43517" xr:uid="{00000000-0005-0000-0000-0000A0E80000}"/>
    <cellStyle name="Note 4 2 13" xfId="43518" xr:uid="{00000000-0005-0000-0000-0000A1E80000}"/>
    <cellStyle name="Note 4 2 14" xfId="43519" xr:uid="{00000000-0005-0000-0000-0000A2E80000}"/>
    <cellStyle name="Note 4 2 15" xfId="43520" xr:uid="{00000000-0005-0000-0000-0000A3E80000}"/>
    <cellStyle name="Note 4 2 2" xfId="43521" xr:uid="{00000000-0005-0000-0000-0000A4E80000}"/>
    <cellStyle name="Note 4 2 2 2" xfId="43522" xr:uid="{00000000-0005-0000-0000-0000A5E80000}"/>
    <cellStyle name="Note 4 2 2 2 2" xfId="43523" xr:uid="{00000000-0005-0000-0000-0000A6E80000}"/>
    <cellStyle name="Note 4 2 2 2 2 2" xfId="43524" xr:uid="{00000000-0005-0000-0000-0000A7E80000}"/>
    <cellStyle name="Note 4 2 2 2 2 2 2" xfId="62059" xr:uid="{00000000-0005-0000-0000-0000A8E80000}"/>
    <cellStyle name="Note 4 2 2 2 2 2 3" xfId="62060" xr:uid="{00000000-0005-0000-0000-0000A9E80000}"/>
    <cellStyle name="Note 4 2 2 2 2 3" xfId="43525" xr:uid="{00000000-0005-0000-0000-0000AAE80000}"/>
    <cellStyle name="Note 4 2 2 2 2 3 2" xfId="62061" xr:uid="{00000000-0005-0000-0000-0000ABE80000}"/>
    <cellStyle name="Note 4 2 2 2 2 4" xfId="43526" xr:uid="{00000000-0005-0000-0000-0000ACE80000}"/>
    <cellStyle name="Note 4 2 2 2 2 5" xfId="43527" xr:uid="{00000000-0005-0000-0000-0000ADE80000}"/>
    <cellStyle name="Note 4 2 2 2 2 6" xfId="43528" xr:uid="{00000000-0005-0000-0000-0000AEE80000}"/>
    <cellStyle name="Note 4 2 2 2 3" xfId="43529" xr:uid="{00000000-0005-0000-0000-0000AFE80000}"/>
    <cellStyle name="Note 4 2 2 2 3 2" xfId="62062" xr:uid="{00000000-0005-0000-0000-0000B0E80000}"/>
    <cellStyle name="Note 4 2 2 2 3 3" xfId="62063" xr:uid="{00000000-0005-0000-0000-0000B1E80000}"/>
    <cellStyle name="Note 4 2 2 2 4" xfId="43530" xr:uid="{00000000-0005-0000-0000-0000B2E80000}"/>
    <cellStyle name="Note 4 2 2 2 4 2" xfId="62064" xr:uid="{00000000-0005-0000-0000-0000B3E80000}"/>
    <cellStyle name="Note 4 2 2 2 5" xfId="43531" xr:uid="{00000000-0005-0000-0000-0000B4E80000}"/>
    <cellStyle name="Note 4 2 2 2 6" xfId="43532" xr:uid="{00000000-0005-0000-0000-0000B5E80000}"/>
    <cellStyle name="Note 4 2 2 2 7" xfId="43533" xr:uid="{00000000-0005-0000-0000-0000B6E80000}"/>
    <cellStyle name="Note 4 2 2 3" xfId="43534" xr:uid="{00000000-0005-0000-0000-0000B7E80000}"/>
    <cellStyle name="Note 4 2 2 3 2" xfId="43535" xr:uid="{00000000-0005-0000-0000-0000B8E80000}"/>
    <cellStyle name="Note 4 2 2 3 2 2" xfId="62065" xr:uid="{00000000-0005-0000-0000-0000B9E80000}"/>
    <cellStyle name="Note 4 2 2 3 2 3" xfId="62066" xr:uid="{00000000-0005-0000-0000-0000BAE80000}"/>
    <cellStyle name="Note 4 2 2 3 3" xfId="43536" xr:uid="{00000000-0005-0000-0000-0000BBE80000}"/>
    <cellStyle name="Note 4 2 2 3 3 2" xfId="62067" xr:uid="{00000000-0005-0000-0000-0000BCE80000}"/>
    <cellStyle name="Note 4 2 2 3 4" xfId="43537" xr:uid="{00000000-0005-0000-0000-0000BDE80000}"/>
    <cellStyle name="Note 4 2 2 3 5" xfId="43538" xr:uid="{00000000-0005-0000-0000-0000BEE80000}"/>
    <cellStyle name="Note 4 2 2 3 6" xfId="43539" xr:uid="{00000000-0005-0000-0000-0000BFE80000}"/>
    <cellStyle name="Note 4 2 2 4" xfId="43540" xr:uid="{00000000-0005-0000-0000-0000C0E80000}"/>
    <cellStyle name="Note 4 2 2 4 2" xfId="62068" xr:uid="{00000000-0005-0000-0000-0000C1E80000}"/>
    <cellStyle name="Note 4 2 2 4 3" xfId="62069" xr:uid="{00000000-0005-0000-0000-0000C2E80000}"/>
    <cellStyle name="Note 4 2 2 5" xfId="43541" xr:uid="{00000000-0005-0000-0000-0000C3E80000}"/>
    <cellStyle name="Note 4 2 2 5 2" xfId="62070" xr:uid="{00000000-0005-0000-0000-0000C4E80000}"/>
    <cellStyle name="Note 4 2 2 6" xfId="43542" xr:uid="{00000000-0005-0000-0000-0000C5E80000}"/>
    <cellStyle name="Note 4 2 2 7" xfId="43543" xr:uid="{00000000-0005-0000-0000-0000C6E80000}"/>
    <cellStyle name="Note 4 2 2 8" xfId="43544" xr:uid="{00000000-0005-0000-0000-0000C7E80000}"/>
    <cellStyle name="Note 4 2 2 9" xfId="43545" xr:uid="{00000000-0005-0000-0000-0000C8E80000}"/>
    <cellStyle name="Note 4 2 3" xfId="43546" xr:uid="{00000000-0005-0000-0000-0000C9E80000}"/>
    <cellStyle name="Note 4 2 3 2" xfId="43547" xr:uid="{00000000-0005-0000-0000-0000CAE80000}"/>
    <cellStyle name="Note 4 2 3 2 2" xfId="43548" xr:uid="{00000000-0005-0000-0000-0000CBE80000}"/>
    <cellStyle name="Note 4 2 3 2 2 2" xfId="43549" xr:uid="{00000000-0005-0000-0000-0000CCE80000}"/>
    <cellStyle name="Note 4 2 3 2 2 2 2" xfId="62071" xr:uid="{00000000-0005-0000-0000-0000CDE80000}"/>
    <cellStyle name="Note 4 2 3 2 2 2 3" xfId="62072" xr:uid="{00000000-0005-0000-0000-0000CEE80000}"/>
    <cellStyle name="Note 4 2 3 2 2 3" xfId="43550" xr:uid="{00000000-0005-0000-0000-0000CFE80000}"/>
    <cellStyle name="Note 4 2 3 2 2 3 2" xfId="62073" xr:uid="{00000000-0005-0000-0000-0000D0E80000}"/>
    <cellStyle name="Note 4 2 3 2 2 4" xfId="43551" xr:uid="{00000000-0005-0000-0000-0000D1E80000}"/>
    <cellStyle name="Note 4 2 3 2 2 5" xfId="43552" xr:uid="{00000000-0005-0000-0000-0000D2E80000}"/>
    <cellStyle name="Note 4 2 3 2 2 6" xfId="43553" xr:uid="{00000000-0005-0000-0000-0000D3E80000}"/>
    <cellStyle name="Note 4 2 3 2 3" xfId="43554" xr:uid="{00000000-0005-0000-0000-0000D4E80000}"/>
    <cellStyle name="Note 4 2 3 2 3 2" xfId="62074" xr:uid="{00000000-0005-0000-0000-0000D5E80000}"/>
    <cellStyle name="Note 4 2 3 2 3 3" xfId="62075" xr:uid="{00000000-0005-0000-0000-0000D6E80000}"/>
    <cellStyle name="Note 4 2 3 2 4" xfId="43555" xr:uid="{00000000-0005-0000-0000-0000D7E80000}"/>
    <cellStyle name="Note 4 2 3 2 4 2" xfId="62076" xr:uid="{00000000-0005-0000-0000-0000D8E80000}"/>
    <cellStyle name="Note 4 2 3 2 5" xfId="43556" xr:uid="{00000000-0005-0000-0000-0000D9E80000}"/>
    <cellStyle name="Note 4 2 3 2 6" xfId="43557" xr:uid="{00000000-0005-0000-0000-0000DAE80000}"/>
    <cellStyle name="Note 4 2 3 2 7" xfId="43558" xr:uid="{00000000-0005-0000-0000-0000DBE80000}"/>
    <cellStyle name="Note 4 2 3 3" xfId="43559" xr:uid="{00000000-0005-0000-0000-0000DCE80000}"/>
    <cellStyle name="Note 4 2 3 3 2" xfId="43560" xr:uid="{00000000-0005-0000-0000-0000DDE80000}"/>
    <cellStyle name="Note 4 2 3 3 2 2" xfId="62077" xr:uid="{00000000-0005-0000-0000-0000DEE80000}"/>
    <cellStyle name="Note 4 2 3 3 2 3" xfId="62078" xr:uid="{00000000-0005-0000-0000-0000DFE80000}"/>
    <cellStyle name="Note 4 2 3 3 3" xfId="43561" xr:uid="{00000000-0005-0000-0000-0000E0E80000}"/>
    <cellStyle name="Note 4 2 3 3 3 2" xfId="62079" xr:uid="{00000000-0005-0000-0000-0000E1E80000}"/>
    <cellStyle name="Note 4 2 3 3 4" xfId="43562" xr:uid="{00000000-0005-0000-0000-0000E2E80000}"/>
    <cellStyle name="Note 4 2 3 3 5" xfId="43563" xr:uid="{00000000-0005-0000-0000-0000E3E80000}"/>
    <cellStyle name="Note 4 2 3 3 6" xfId="43564" xr:uid="{00000000-0005-0000-0000-0000E4E80000}"/>
    <cellStyle name="Note 4 2 3 4" xfId="43565" xr:uid="{00000000-0005-0000-0000-0000E5E80000}"/>
    <cellStyle name="Note 4 2 3 4 2" xfId="62080" xr:uid="{00000000-0005-0000-0000-0000E6E80000}"/>
    <cellStyle name="Note 4 2 3 4 3" xfId="62081" xr:uid="{00000000-0005-0000-0000-0000E7E80000}"/>
    <cellStyle name="Note 4 2 3 5" xfId="43566" xr:uid="{00000000-0005-0000-0000-0000E8E80000}"/>
    <cellStyle name="Note 4 2 3 5 2" xfId="62082" xr:uid="{00000000-0005-0000-0000-0000E9E80000}"/>
    <cellStyle name="Note 4 2 3 6" xfId="43567" xr:uid="{00000000-0005-0000-0000-0000EAE80000}"/>
    <cellStyle name="Note 4 2 3 7" xfId="43568" xr:uid="{00000000-0005-0000-0000-0000EBE80000}"/>
    <cellStyle name="Note 4 2 3 8" xfId="43569" xr:uid="{00000000-0005-0000-0000-0000ECE80000}"/>
    <cellStyle name="Note 4 2 4" xfId="43570" xr:uid="{00000000-0005-0000-0000-0000EDE80000}"/>
    <cellStyle name="Note 4 2 4 2" xfId="43571" xr:uid="{00000000-0005-0000-0000-0000EEE80000}"/>
    <cellStyle name="Note 4 2 4 2 2" xfId="43572" xr:uid="{00000000-0005-0000-0000-0000EFE80000}"/>
    <cellStyle name="Note 4 2 4 2 2 2" xfId="62083" xr:uid="{00000000-0005-0000-0000-0000F0E80000}"/>
    <cellStyle name="Note 4 2 4 2 2 3" xfId="62084" xr:uid="{00000000-0005-0000-0000-0000F1E80000}"/>
    <cellStyle name="Note 4 2 4 2 3" xfId="43573" xr:uid="{00000000-0005-0000-0000-0000F2E80000}"/>
    <cellStyle name="Note 4 2 4 2 3 2" xfId="62085" xr:uid="{00000000-0005-0000-0000-0000F3E80000}"/>
    <cellStyle name="Note 4 2 4 2 4" xfId="43574" xr:uid="{00000000-0005-0000-0000-0000F4E80000}"/>
    <cellStyle name="Note 4 2 4 2 5" xfId="43575" xr:uid="{00000000-0005-0000-0000-0000F5E80000}"/>
    <cellStyle name="Note 4 2 4 2 6" xfId="43576" xr:uid="{00000000-0005-0000-0000-0000F6E80000}"/>
    <cellStyle name="Note 4 2 4 3" xfId="43577" xr:uid="{00000000-0005-0000-0000-0000F7E80000}"/>
    <cellStyle name="Note 4 2 4 3 2" xfId="62086" xr:uid="{00000000-0005-0000-0000-0000F8E80000}"/>
    <cellStyle name="Note 4 2 4 3 3" xfId="62087" xr:uid="{00000000-0005-0000-0000-0000F9E80000}"/>
    <cellStyle name="Note 4 2 4 4" xfId="43578" xr:uid="{00000000-0005-0000-0000-0000FAE80000}"/>
    <cellStyle name="Note 4 2 4 4 2" xfId="62088" xr:uid="{00000000-0005-0000-0000-0000FBE80000}"/>
    <cellStyle name="Note 4 2 4 5" xfId="43579" xr:uid="{00000000-0005-0000-0000-0000FCE80000}"/>
    <cellStyle name="Note 4 2 4 6" xfId="43580" xr:uid="{00000000-0005-0000-0000-0000FDE80000}"/>
    <cellStyle name="Note 4 2 4 7" xfId="43581" xr:uid="{00000000-0005-0000-0000-0000FEE80000}"/>
    <cellStyle name="Note 4 2 5" xfId="43582" xr:uid="{00000000-0005-0000-0000-0000FFE80000}"/>
    <cellStyle name="Note 4 2 5 2" xfId="43583" xr:uid="{00000000-0005-0000-0000-000000E90000}"/>
    <cellStyle name="Note 4 2 5 2 2" xfId="62089" xr:uid="{00000000-0005-0000-0000-000001E90000}"/>
    <cellStyle name="Note 4 2 5 2 3" xfId="62090" xr:uid="{00000000-0005-0000-0000-000002E90000}"/>
    <cellStyle name="Note 4 2 5 3" xfId="43584" xr:uid="{00000000-0005-0000-0000-000003E90000}"/>
    <cellStyle name="Note 4 2 5 3 2" xfId="62091" xr:uid="{00000000-0005-0000-0000-000004E90000}"/>
    <cellStyle name="Note 4 2 5 4" xfId="43585" xr:uid="{00000000-0005-0000-0000-000005E90000}"/>
    <cellStyle name="Note 4 2 5 5" xfId="43586" xr:uid="{00000000-0005-0000-0000-000006E90000}"/>
    <cellStyle name="Note 4 2 5 6" xfId="43587" xr:uid="{00000000-0005-0000-0000-000007E90000}"/>
    <cellStyle name="Note 4 2 6" xfId="43588" xr:uid="{00000000-0005-0000-0000-000008E90000}"/>
    <cellStyle name="Note 4 2 6 2" xfId="62092" xr:uid="{00000000-0005-0000-0000-000009E90000}"/>
    <cellStyle name="Note 4 2 6 3" xfId="62093" xr:uid="{00000000-0005-0000-0000-00000AE90000}"/>
    <cellStyle name="Note 4 2 7" xfId="43589" xr:uid="{00000000-0005-0000-0000-00000BE90000}"/>
    <cellStyle name="Note 4 2 7 2" xfId="62094" xr:uid="{00000000-0005-0000-0000-00000CE90000}"/>
    <cellStyle name="Note 4 2 8" xfId="43590" xr:uid="{00000000-0005-0000-0000-00000DE90000}"/>
    <cellStyle name="Note 4 2 9" xfId="43591" xr:uid="{00000000-0005-0000-0000-00000EE90000}"/>
    <cellStyle name="Note 4 3" xfId="43592" xr:uid="{00000000-0005-0000-0000-00000FE90000}"/>
    <cellStyle name="Note 4 3 10" xfId="43593" xr:uid="{00000000-0005-0000-0000-000010E90000}"/>
    <cellStyle name="Note 4 3 11" xfId="43594" xr:uid="{00000000-0005-0000-0000-000011E90000}"/>
    <cellStyle name="Note 4 3 12" xfId="43595" xr:uid="{00000000-0005-0000-0000-000012E90000}"/>
    <cellStyle name="Note 4 3 13" xfId="43596" xr:uid="{00000000-0005-0000-0000-000013E90000}"/>
    <cellStyle name="Note 4 3 14" xfId="43597" xr:uid="{00000000-0005-0000-0000-000014E90000}"/>
    <cellStyle name="Note 4 3 2" xfId="43598" xr:uid="{00000000-0005-0000-0000-000015E90000}"/>
    <cellStyle name="Note 4 3 2 2" xfId="43599" xr:uid="{00000000-0005-0000-0000-000016E90000}"/>
    <cellStyle name="Note 4 3 2 2 2" xfId="43600" xr:uid="{00000000-0005-0000-0000-000017E90000}"/>
    <cellStyle name="Note 4 3 2 2 2 2" xfId="43601" xr:uid="{00000000-0005-0000-0000-000018E90000}"/>
    <cellStyle name="Note 4 3 2 2 2 2 2" xfId="62095" xr:uid="{00000000-0005-0000-0000-000019E90000}"/>
    <cellStyle name="Note 4 3 2 2 2 2 3" xfId="62096" xr:uid="{00000000-0005-0000-0000-00001AE90000}"/>
    <cellStyle name="Note 4 3 2 2 2 3" xfId="43602" xr:uid="{00000000-0005-0000-0000-00001BE90000}"/>
    <cellStyle name="Note 4 3 2 2 2 3 2" xfId="62097" xr:uid="{00000000-0005-0000-0000-00001CE90000}"/>
    <cellStyle name="Note 4 3 2 2 2 4" xfId="43603" xr:uid="{00000000-0005-0000-0000-00001DE90000}"/>
    <cellStyle name="Note 4 3 2 2 2 5" xfId="43604" xr:uid="{00000000-0005-0000-0000-00001EE90000}"/>
    <cellStyle name="Note 4 3 2 2 2 6" xfId="43605" xr:uid="{00000000-0005-0000-0000-00001FE90000}"/>
    <cellStyle name="Note 4 3 2 2 3" xfId="43606" xr:uid="{00000000-0005-0000-0000-000020E90000}"/>
    <cellStyle name="Note 4 3 2 2 3 2" xfId="62098" xr:uid="{00000000-0005-0000-0000-000021E90000}"/>
    <cellStyle name="Note 4 3 2 2 3 3" xfId="62099" xr:uid="{00000000-0005-0000-0000-000022E90000}"/>
    <cellStyle name="Note 4 3 2 2 4" xfId="43607" xr:uid="{00000000-0005-0000-0000-000023E90000}"/>
    <cellStyle name="Note 4 3 2 2 4 2" xfId="62100" xr:uid="{00000000-0005-0000-0000-000024E90000}"/>
    <cellStyle name="Note 4 3 2 2 5" xfId="43608" xr:uid="{00000000-0005-0000-0000-000025E90000}"/>
    <cellStyle name="Note 4 3 2 2 6" xfId="43609" xr:uid="{00000000-0005-0000-0000-000026E90000}"/>
    <cellStyle name="Note 4 3 2 2 7" xfId="43610" xr:uid="{00000000-0005-0000-0000-000027E90000}"/>
    <cellStyle name="Note 4 3 2 3" xfId="43611" xr:uid="{00000000-0005-0000-0000-000028E90000}"/>
    <cellStyle name="Note 4 3 2 3 2" xfId="43612" xr:uid="{00000000-0005-0000-0000-000029E90000}"/>
    <cellStyle name="Note 4 3 2 3 2 2" xfId="62101" xr:uid="{00000000-0005-0000-0000-00002AE90000}"/>
    <cellStyle name="Note 4 3 2 3 2 3" xfId="62102" xr:uid="{00000000-0005-0000-0000-00002BE90000}"/>
    <cellStyle name="Note 4 3 2 3 3" xfId="43613" xr:uid="{00000000-0005-0000-0000-00002CE90000}"/>
    <cellStyle name="Note 4 3 2 3 3 2" xfId="62103" xr:uid="{00000000-0005-0000-0000-00002DE90000}"/>
    <cellStyle name="Note 4 3 2 3 4" xfId="43614" xr:uid="{00000000-0005-0000-0000-00002EE90000}"/>
    <cellStyle name="Note 4 3 2 3 5" xfId="43615" xr:uid="{00000000-0005-0000-0000-00002FE90000}"/>
    <cellStyle name="Note 4 3 2 3 6" xfId="43616" xr:uid="{00000000-0005-0000-0000-000030E90000}"/>
    <cellStyle name="Note 4 3 2 4" xfId="43617" xr:uid="{00000000-0005-0000-0000-000031E90000}"/>
    <cellStyle name="Note 4 3 2 4 2" xfId="62104" xr:uid="{00000000-0005-0000-0000-000032E90000}"/>
    <cellStyle name="Note 4 3 2 4 3" xfId="62105" xr:uid="{00000000-0005-0000-0000-000033E90000}"/>
    <cellStyle name="Note 4 3 2 5" xfId="43618" xr:uid="{00000000-0005-0000-0000-000034E90000}"/>
    <cellStyle name="Note 4 3 2 5 2" xfId="62106" xr:uid="{00000000-0005-0000-0000-000035E90000}"/>
    <cellStyle name="Note 4 3 2 6" xfId="43619" xr:uid="{00000000-0005-0000-0000-000036E90000}"/>
    <cellStyle name="Note 4 3 2 7" xfId="43620" xr:uid="{00000000-0005-0000-0000-000037E90000}"/>
    <cellStyle name="Note 4 3 2 8" xfId="43621" xr:uid="{00000000-0005-0000-0000-000038E90000}"/>
    <cellStyle name="Note 4 3 2 9" xfId="43622" xr:uid="{00000000-0005-0000-0000-000039E90000}"/>
    <cellStyle name="Note 4 3 3" xfId="43623" xr:uid="{00000000-0005-0000-0000-00003AE90000}"/>
    <cellStyle name="Note 4 3 3 2" xfId="43624" xr:uid="{00000000-0005-0000-0000-00003BE90000}"/>
    <cellStyle name="Note 4 3 3 2 2" xfId="43625" xr:uid="{00000000-0005-0000-0000-00003CE90000}"/>
    <cellStyle name="Note 4 3 3 2 2 2" xfId="43626" xr:uid="{00000000-0005-0000-0000-00003DE90000}"/>
    <cellStyle name="Note 4 3 3 2 2 2 2" xfId="62107" xr:uid="{00000000-0005-0000-0000-00003EE90000}"/>
    <cellStyle name="Note 4 3 3 2 2 2 3" xfId="62108" xr:uid="{00000000-0005-0000-0000-00003FE90000}"/>
    <cellStyle name="Note 4 3 3 2 2 3" xfId="43627" xr:uid="{00000000-0005-0000-0000-000040E90000}"/>
    <cellStyle name="Note 4 3 3 2 2 3 2" xfId="62109" xr:uid="{00000000-0005-0000-0000-000041E90000}"/>
    <cellStyle name="Note 4 3 3 2 2 4" xfId="43628" xr:uid="{00000000-0005-0000-0000-000042E90000}"/>
    <cellStyle name="Note 4 3 3 2 2 5" xfId="43629" xr:uid="{00000000-0005-0000-0000-000043E90000}"/>
    <cellStyle name="Note 4 3 3 2 2 6" xfId="43630" xr:uid="{00000000-0005-0000-0000-000044E90000}"/>
    <cellStyle name="Note 4 3 3 2 3" xfId="43631" xr:uid="{00000000-0005-0000-0000-000045E90000}"/>
    <cellStyle name="Note 4 3 3 2 3 2" xfId="62110" xr:uid="{00000000-0005-0000-0000-000046E90000}"/>
    <cellStyle name="Note 4 3 3 2 3 3" xfId="62111" xr:uid="{00000000-0005-0000-0000-000047E90000}"/>
    <cellStyle name="Note 4 3 3 2 4" xfId="43632" xr:uid="{00000000-0005-0000-0000-000048E90000}"/>
    <cellStyle name="Note 4 3 3 2 4 2" xfId="62112" xr:uid="{00000000-0005-0000-0000-000049E90000}"/>
    <cellStyle name="Note 4 3 3 2 5" xfId="43633" xr:uid="{00000000-0005-0000-0000-00004AE90000}"/>
    <cellStyle name="Note 4 3 3 2 6" xfId="43634" xr:uid="{00000000-0005-0000-0000-00004BE90000}"/>
    <cellStyle name="Note 4 3 3 2 7" xfId="43635" xr:uid="{00000000-0005-0000-0000-00004CE90000}"/>
    <cellStyle name="Note 4 3 3 3" xfId="43636" xr:uid="{00000000-0005-0000-0000-00004DE90000}"/>
    <cellStyle name="Note 4 3 3 3 2" xfId="43637" xr:uid="{00000000-0005-0000-0000-00004EE90000}"/>
    <cellStyle name="Note 4 3 3 3 2 2" xfId="62113" xr:uid="{00000000-0005-0000-0000-00004FE90000}"/>
    <cellStyle name="Note 4 3 3 3 2 3" xfId="62114" xr:uid="{00000000-0005-0000-0000-000050E90000}"/>
    <cellStyle name="Note 4 3 3 3 3" xfId="43638" xr:uid="{00000000-0005-0000-0000-000051E90000}"/>
    <cellStyle name="Note 4 3 3 3 3 2" xfId="62115" xr:uid="{00000000-0005-0000-0000-000052E90000}"/>
    <cellStyle name="Note 4 3 3 3 4" xfId="43639" xr:uid="{00000000-0005-0000-0000-000053E90000}"/>
    <cellStyle name="Note 4 3 3 3 5" xfId="43640" xr:uid="{00000000-0005-0000-0000-000054E90000}"/>
    <cellStyle name="Note 4 3 3 3 6" xfId="43641" xr:uid="{00000000-0005-0000-0000-000055E90000}"/>
    <cellStyle name="Note 4 3 3 4" xfId="43642" xr:uid="{00000000-0005-0000-0000-000056E90000}"/>
    <cellStyle name="Note 4 3 3 4 2" xfId="62116" xr:uid="{00000000-0005-0000-0000-000057E90000}"/>
    <cellStyle name="Note 4 3 3 4 3" xfId="62117" xr:uid="{00000000-0005-0000-0000-000058E90000}"/>
    <cellStyle name="Note 4 3 3 5" xfId="43643" xr:uid="{00000000-0005-0000-0000-000059E90000}"/>
    <cellStyle name="Note 4 3 3 5 2" xfId="62118" xr:uid="{00000000-0005-0000-0000-00005AE90000}"/>
    <cellStyle name="Note 4 3 3 6" xfId="43644" xr:uid="{00000000-0005-0000-0000-00005BE90000}"/>
    <cellStyle name="Note 4 3 3 7" xfId="43645" xr:uid="{00000000-0005-0000-0000-00005CE90000}"/>
    <cellStyle name="Note 4 3 3 8" xfId="43646" xr:uid="{00000000-0005-0000-0000-00005DE90000}"/>
    <cellStyle name="Note 4 3 4" xfId="43647" xr:uid="{00000000-0005-0000-0000-00005EE90000}"/>
    <cellStyle name="Note 4 3 4 2" xfId="43648" xr:uid="{00000000-0005-0000-0000-00005FE90000}"/>
    <cellStyle name="Note 4 3 4 2 2" xfId="43649" xr:uid="{00000000-0005-0000-0000-000060E90000}"/>
    <cellStyle name="Note 4 3 4 2 2 2" xfId="62119" xr:uid="{00000000-0005-0000-0000-000061E90000}"/>
    <cellStyle name="Note 4 3 4 2 2 3" xfId="62120" xr:uid="{00000000-0005-0000-0000-000062E90000}"/>
    <cellStyle name="Note 4 3 4 2 3" xfId="43650" xr:uid="{00000000-0005-0000-0000-000063E90000}"/>
    <cellStyle name="Note 4 3 4 2 3 2" xfId="62121" xr:uid="{00000000-0005-0000-0000-000064E90000}"/>
    <cellStyle name="Note 4 3 4 2 4" xfId="43651" xr:uid="{00000000-0005-0000-0000-000065E90000}"/>
    <cellStyle name="Note 4 3 4 2 5" xfId="43652" xr:uid="{00000000-0005-0000-0000-000066E90000}"/>
    <cellStyle name="Note 4 3 4 2 6" xfId="43653" xr:uid="{00000000-0005-0000-0000-000067E90000}"/>
    <cellStyle name="Note 4 3 4 3" xfId="43654" xr:uid="{00000000-0005-0000-0000-000068E90000}"/>
    <cellStyle name="Note 4 3 4 3 2" xfId="62122" xr:uid="{00000000-0005-0000-0000-000069E90000}"/>
    <cellStyle name="Note 4 3 4 3 3" xfId="62123" xr:uid="{00000000-0005-0000-0000-00006AE90000}"/>
    <cellStyle name="Note 4 3 4 4" xfId="43655" xr:uid="{00000000-0005-0000-0000-00006BE90000}"/>
    <cellStyle name="Note 4 3 4 4 2" xfId="62124" xr:uid="{00000000-0005-0000-0000-00006CE90000}"/>
    <cellStyle name="Note 4 3 4 5" xfId="43656" xr:uid="{00000000-0005-0000-0000-00006DE90000}"/>
    <cellStyle name="Note 4 3 4 6" xfId="43657" xr:uid="{00000000-0005-0000-0000-00006EE90000}"/>
    <cellStyle name="Note 4 3 4 7" xfId="43658" xr:uid="{00000000-0005-0000-0000-00006FE90000}"/>
    <cellStyle name="Note 4 3 5" xfId="43659" xr:uid="{00000000-0005-0000-0000-000070E90000}"/>
    <cellStyle name="Note 4 3 5 2" xfId="43660" xr:uid="{00000000-0005-0000-0000-000071E90000}"/>
    <cellStyle name="Note 4 3 5 2 2" xfId="62125" xr:uid="{00000000-0005-0000-0000-000072E90000}"/>
    <cellStyle name="Note 4 3 5 2 3" xfId="62126" xr:uid="{00000000-0005-0000-0000-000073E90000}"/>
    <cellStyle name="Note 4 3 5 3" xfId="43661" xr:uid="{00000000-0005-0000-0000-000074E90000}"/>
    <cellStyle name="Note 4 3 5 3 2" xfId="62127" xr:uid="{00000000-0005-0000-0000-000075E90000}"/>
    <cellStyle name="Note 4 3 5 4" xfId="43662" xr:uid="{00000000-0005-0000-0000-000076E90000}"/>
    <cellStyle name="Note 4 3 5 5" xfId="43663" xr:uid="{00000000-0005-0000-0000-000077E90000}"/>
    <cellStyle name="Note 4 3 5 6" xfId="43664" xr:uid="{00000000-0005-0000-0000-000078E90000}"/>
    <cellStyle name="Note 4 3 6" xfId="43665" xr:uid="{00000000-0005-0000-0000-000079E90000}"/>
    <cellStyle name="Note 4 3 6 2" xfId="62128" xr:uid="{00000000-0005-0000-0000-00007AE90000}"/>
    <cellStyle name="Note 4 3 6 3" xfId="62129" xr:uid="{00000000-0005-0000-0000-00007BE90000}"/>
    <cellStyle name="Note 4 3 7" xfId="43666" xr:uid="{00000000-0005-0000-0000-00007CE90000}"/>
    <cellStyle name="Note 4 3 7 2" xfId="62130" xr:uid="{00000000-0005-0000-0000-00007DE90000}"/>
    <cellStyle name="Note 4 3 8" xfId="43667" xr:uid="{00000000-0005-0000-0000-00007EE90000}"/>
    <cellStyle name="Note 4 3 9" xfId="43668" xr:uid="{00000000-0005-0000-0000-00007FE90000}"/>
    <cellStyle name="Note 4 4" xfId="43669" xr:uid="{00000000-0005-0000-0000-000080E90000}"/>
    <cellStyle name="Note 4 4 10" xfId="43670" xr:uid="{00000000-0005-0000-0000-000081E90000}"/>
    <cellStyle name="Note 4 4 11" xfId="43671" xr:uid="{00000000-0005-0000-0000-000082E90000}"/>
    <cellStyle name="Note 4 4 12" xfId="43672" xr:uid="{00000000-0005-0000-0000-000083E90000}"/>
    <cellStyle name="Note 4 4 13" xfId="43673" xr:uid="{00000000-0005-0000-0000-000084E90000}"/>
    <cellStyle name="Note 4 4 2" xfId="43674" xr:uid="{00000000-0005-0000-0000-000085E90000}"/>
    <cellStyle name="Note 4 4 2 2" xfId="43675" xr:uid="{00000000-0005-0000-0000-000086E90000}"/>
    <cellStyle name="Note 4 4 2 2 2" xfId="43676" xr:uid="{00000000-0005-0000-0000-000087E90000}"/>
    <cellStyle name="Note 4 4 2 2 2 2" xfId="43677" xr:uid="{00000000-0005-0000-0000-000088E90000}"/>
    <cellStyle name="Note 4 4 2 2 2 2 2" xfId="62131" xr:uid="{00000000-0005-0000-0000-000089E90000}"/>
    <cellStyle name="Note 4 4 2 2 2 2 3" xfId="62132" xr:uid="{00000000-0005-0000-0000-00008AE90000}"/>
    <cellStyle name="Note 4 4 2 2 2 3" xfId="43678" xr:uid="{00000000-0005-0000-0000-00008BE90000}"/>
    <cellStyle name="Note 4 4 2 2 2 3 2" xfId="62133" xr:uid="{00000000-0005-0000-0000-00008CE90000}"/>
    <cellStyle name="Note 4 4 2 2 2 4" xfId="43679" xr:uid="{00000000-0005-0000-0000-00008DE90000}"/>
    <cellStyle name="Note 4 4 2 2 2 5" xfId="43680" xr:uid="{00000000-0005-0000-0000-00008EE90000}"/>
    <cellStyle name="Note 4 4 2 2 2 6" xfId="43681" xr:uid="{00000000-0005-0000-0000-00008FE90000}"/>
    <cellStyle name="Note 4 4 2 2 3" xfId="43682" xr:uid="{00000000-0005-0000-0000-000090E90000}"/>
    <cellStyle name="Note 4 4 2 2 3 2" xfId="62134" xr:uid="{00000000-0005-0000-0000-000091E90000}"/>
    <cellStyle name="Note 4 4 2 2 3 3" xfId="62135" xr:uid="{00000000-0005-0000-0000-000092E90000}"/>
    <cellStyle name="Note 4 4 2 2 4" xfId="43683" xr:uid="{00000000-0005-0000-0000-000093E90000}"/>
    <cellStyle name="Note 4 4 2 2 4 2" xfId="62136" xr:uid="{00000000-0005-0000-0000-000094E90000}"/>
    <cellStyle name="Note 4 4 2 2 5" xfId="43684" xr:uid="{00000000-0005-0000-0000-000095E90000}"/>
    <cellStyle name="Note 4 4 2 2 6" xfId="43685" xr:uid="{00000000-0005-0000-0000-000096E90000}"/>
    <cellStyle name="Note 4 4 2 2 7" xfId="43686" xr:uid="{00000000-0005-0000-0000-000097E90000}"/>
    <cellStyle name="Note 4 4 2 3" xfId="43687" xr:uid="{00000000-0005-0000-0000-000098E90000}"/>
    <cellStyle name="Note 4 4 2 3 2" xfId="43688" xr:uid="{00000000-0005-0000-0000-000099E90000}"/>
    <cellStyle name="Note 4 4 2 3 2 2" xfId="62137" xr:uid="{00000000-0005-0000-0000-00009AE90000}"/>
    <cellStyle name="Note 4 4 2 3 2 3" xfId="62138" xr:uid="{00000000-0005-0000-0000-00009BE90000}"/>
    <cellStyle name="Note 4 4 2 3 3" xfId="43689" xr:uid="{00000000-0005-0000-0000-00009CE90000}"/>
    <cellStyle name="Note 4 4 2 3 3 2" xfId="62139" xr:uid="{00000000-0005-0000-0000-00009DE90000}"/>
    <cellStyle name="Note 4 4 2 3 4" xfId="43690" xr:uid="{00000000-0005-0000-0000-00009EE90000}"/>
    <cellStyle name="Note 4 4 2 3 5" xfId="43691" xr:uid="{00000000-0005-0000-0000-00009FE90000}"/>
    <cellStyle name="Note 4 4 2 3 6" xfId="43692" xr:uid="{00000000-0005-0000-0000-0000A0E90000}"/>
    <cellStyle name="Note 4 4 2 4" xfId="43693" xr:uid="{00000000-0005-0000-0000-0000A1E90000}"/>
    <cellStyle name="Note 4 4 2 4 2" xfId="62140" xr:uid="{00000000-0005-0000-0000-0000A2E90000}"/>
    <cellStyle name="Note 4 4 2 4 3" xfId="62141" xr:uid="{00000000-0005-0000-0000-0000A3E90000}"/>
    <cellStyle name="Note 4 4 2 5" xfId="43694" xr:uid="{00000000-0005-0000-0000-0000A4E90000}"/>
    <cellStyle name="Note 4 4 2 5 2" xfId="62142" xr:uid="{00000000-0005-0000-0000-0000A5E90000}"/>
    <cellStyle name="Note 4 4 2 6" xfId="43695" xr:uid="{00000000-0005-0000-0000-0000A6E90000}"/>
    <cellStyle name="Note 4 4 2 7" xfId="43696" xr:uid="{00000000-0005-0000-0000-0000A7E90000}"/>
    <cellStyle name="Note 4 4 2 8" xfId="43697" xr:uid="{00000000-0005-0000-0000-0000A8E90000}"/>
    <cellStyle name="Note 4 4 2 9" xfId="43698" xr:uid="{00000000-0005-0000-0000-0000A9E90000}"/>
    <cellStyle name="Note 4 4 3" xfId="43699" xr:uid="{00000000-0005-0000-0000-0000AAE90000}"/>
    <cellStyle name="Note 4 4 3 2" xfId="43700" xr:uid="{00000000-0005-0000-0000-0000ABE90000}"/>
    <cellStyle name="Note 4 4 3 2 2" xfId="43701" xr:uid="{00000000-0005-0000-0000-0000ACE90000}"/>
    <cellStyle name="Note 4 4 3 2 2 2" xfId="62143" xr:uid="{00000000-0005-0000-0000-0000ADE90000}"/>
    <cellStyle name="Note 4 4 3 2 2 3" xfId="62144" xr:uid="{00000000-0005-0000-0000-0000AEE90000}"/>
    <cellStyle name="Note 4 4 3 2 3" xfId="43702" xr:uid="{00000000-0005-0000-0000-0000AFE90000}"/>
    <cellStyle name="Note 4 4 3 2 3 2" xfId="62145" xr:uid="{00000000-0005-0000-0000-0000B0E90000}"/>
    <cellStyle name="Note 4 4 3 2 4" xfId="43703" xr:uid="{00000000-0005-0000-0000-0000B1E90000}"/>
    <cellStyle name="Note 4 4 3 2 5" xfId="43704" xr:uid="{00000000-0005-0000-0000-0000B2E90000}"/>
    <cellStyle name="Note 4 4 3 2 6" xfId="43705" xr:uid="{00000000-0005-0000-0000-0000B3E90000}"/>
    <cellStyle name="Note 4 4 3 3" xfId="43706" xr:uid="{00000000-0005-0000-0000-0000B4E90000}"/>
    <cellStyle name="Note 4 4 3 3 2" xfId="62146" xr:uid="{00000000-0005-0000-0000-0000B5E90000}"/>
    <cellStyle name="Note 4 4 3 3 3" xfId="62147" xr:uid="{00000000-0005-0000-0000-0000B6E90000}"/>
    <cellStyle name="Note 4 4 3 4" xfId="43707" xr:uid="{00000000-0005-0000-0000-0000B7E90000}"/>
    <cellStyle name="Note 4 4 3 4 2" xfId="62148" xr:uid="{00000000-0005-0000-0000-0000B8E90000}"/>
    <cellStyle name="Note 4 4 3 5" xfId="43708" xr:uid="{00000000-0005-0000-0000-0000B9E90000}"/>
    <cellStyle name="Note 4 4 3 6" xfId="43709" xr:uid="{00000000-0005-0000-0000-0000BAE90000}"/>
    <cellStyle name="Note 4 4 3 7" xfId="43710" xr:uid="{00000000-0005-0000-0000-0000BBE90000}"/>
    <cellStyle name="Note 4 4 4" xfId="43711" xr:uid="{00000000-0005-0000-0000-0000BCE90000}"/>
    <cellStyle name="Note 4 4 4 2" xfId="43712" xr:uid="{00000000-0005-0000-0000-0000BDE90000}"/>
    <cellStyle name="Note 4 4 4 2 2" xfId="62149" xr:uid="{00000000-0005-0000-0000-0000BEE90000}"/>
    <cellStyle name="Note 4 4 4 2 3" xfId="62150" xr:uid="{00000000-0005-0000-0000-0000BFE90000}"/>
    <cellStyle name="Note 4 4 4 3" xfId="43713" xr:uid="{00000000-0005-0000-0000-0000C0E90000}"/>
    <cellStyle name="Note 4 4 4 3 2" xfId="62151" xr:uid="{00000000-0005-0000-0000-0000C1E90000}"/>
    <cellStyle name="Note 4 4 4 4" xfId="43714" xr:uid="{00000000-0005-0000-0000-0000C2E90000}"/>
    <cellStyle name="Note 4 4 4 5" xfId="43715" xr:uid="{00000000-0005-0000-0000-0000C3E90000}"/>
    <cellStyle name="Note 4 4 4 6" xfId="43716" xr:uid="{00000000-0005-0000-0000-0000C4E90000}"/>
    <cellStyle name="Note 4 4 5" xfId="43717" xr:uid="{00000000-0005-0000-0000-0000C5E90000}"/>
    <cellStyle name="Note 4 4 5 2" xfId="62152" xr:uid="{00000000-0005-0000-0000-0000C6E90000}"/>
    <cellStyle name="Note 4 4 5 3" xfId="62153" xr:uid="{00000000-0005-0000-0000-0000C7E90000}"/>
    <cellStyle name="Note 4 4 6" xfId="43718" xr:uid="{00000000-0005-0000-0000-0000C8E90000}"/>
    <cellStyle name="Note 4 4 6 2" xfId="62154" xr:uid="{00000000-0005-0000-0000-0000C9E90000}"/>
    <cellStyle name="Note 4 4 7" xfId="43719" xr:uid="{00000000-0005-0000-0000-0000CAE90000}"/>
    <cellStyle name="Note 4 4 8" xfId="43720" xr:uid="{00000000-0005-0000-0000-0000CBE90000}"/>
    <cellStyle name="Note 4 4 9" xfId="43721" xr:uid="{00000000-0005-0000-0000-0000CCE90000}"/>
    <cellStyle name="Note 4 5" xfId="43722" xr:uid="{00000000-0005-0000-0000-0000CDE90000}"/>
    <cellStyle name="Note 4 5 2" xfId="43723" xr:uid="{00000000-0005-0000-0000-0000CEE90000}"/>
    <cellStyle name="Note 4 5 2 2" xfId="43724" xr:uid="{00000000-0005-0000-0000-0000CFE90000}"/>
    <cellStyle name="Note 4 5 2 2 2" xfId="43725" xr:uid="{00000000-0005-0000-0000-0000D0E90000}"/>
    <cellStyle name="Note 4 5 2 2 2 2" xfId="62155" xr:uid="{00000000-0005-0000-0000-0000D1E90000}"/>
    <cellStyle name="Note 4 5 2 2 2 3" xfId="62156" xr:uid="{00000000-0005-0000-0000-0000D2E90000}"/>
    <cellStyle name="Note 4 5 2 2 3" xfId="43726" xr:uid="{00000000-0005-0000-0000-0000D3E90000}"/>
    <cellStyle name="Note 4 5 2 2 3 2" xfId="62157" xr:uid="{00000000-0005-0000-0000-0000D4E90000}"/>
    <cellStyle name="Note 4 5 2 2 4" xfId="43727" xr:uid="{00000000-0005-0000-0000-0000D5E90000}"/>
    <cellStyle name="Note 4 5 2 2 5" xfId="43728" xr:uid="{00000000-0005-0000-0000-0000D6E90000}"/>
    <cellStyle name="Note 4 5 2 2 6" xfId="43729" xr:uid="{00000000-0005-0000-0000-0000D7E90000}"/>
    <cellStyle name="Note 4 5 2 3" xfId="43730" xr:uid="{00000000-0005-0000-0000-0000D8E90000}"/>
    <cellStyle name="Note 4 5 2 3 2" xfId="62158" xr:uid="{00000000-0005-0000-0000-0000D9E90000}"/>
    <cellStyle name="Note 4 5 2 3 3" xfId="62159" xr:uid="{00000000-0005-0000-0000-0000DAE90000}"/>
    <cellStyle name="Note 4 5 2 4" xfId="43731" xr:uid="{00000000-0005-0000-0000-0000DBE90000}"/>
    <cellStyle name="Note 4 5 2 4 2" xfId="62160" xr:uid="{00000000-0005-0000-0000-0000DCE90000}"/>
    <cellStyle name="Note 4 5 2 5" xfId="43732" xr:uid="{00000000-0005-0000-0000-0000DDE90000}"/>
    <cellStyle name="Note 4 5 2 6" xfId="43733" xr:uid="{00000000-0005-0000-0000-0000DEE90000}"/>
    <cellStyle name="Note 4 5 2 7" xfId="43734" xr:uid="{00000000-0005-0000-0000-0000DFE90000}"/>
    <cellStyle name="Note 4 5 3" xfId="43735" xr:uid="{00000000-0005-0000-0000-0000E0E90000}"/>
    <cellStyle name="Note 4 5 3 2" xfId="43736" xr:uid="{00000000-0005-0000-0000-0000E1E90000}"/>
    <cellStyle name="Note 4 5 3 2 2" xfId="62161" xr:uid="{00000000-0005-0000-0000-0000E2E90000}"/>
    <cellStyle name="Note 4 5 3 2 3" xfId="62162" xr:uid="{00000000-0005-0000-0000-0000E3E90000}"/>
    <cellStyle name="Note 4 5 3 3" xfId="43737" xr:uid="{00000000-0005-0000-0000-0000E4E90000}"/>
    <cellStyle name="Note 4 5 3 3 2" xfId="62163" xr:uid="{00000000-0005-0000-0000-0000E5E90000}"/>
    <cellStyle name="Note 4 5 3 4" xfId="43738" xr:uid="{00000000-0005-0000-0000-0000E6E90000}"/>
    <cellStyle name="Note 4 5 3 5" xfId="43739" xr:uid="{00000000-0005-0000-0000-0000E7E90000}"/>
    <cellStyle name="Note 4 5 3 6" xfId="43740" xr:uid="{00000000-0005-0000-0000-0000E8E90000}"/>
    <cellStyle name="Note 4 5 4" xfId="43741" xr:uid="{00000000-0005-0000-0000-0000E9E90000}"/>
    <cellStyle name="Note 4 5 4 2" xfId="62164" xr:uid="{00000000-0005-0000-0000-0000EAE90000}"/>
    <cellStyle name="Note 4 5 4 3" xfId="62165" xr:uid="{00000000-0005-0000-0000-0000EBE90000}"/>
    <cellStyle name="Note 4 5 5" xfId="43742" xr:uid="{00000000-0005-0000-0000-0000ECE90000}"/>
    <cellStyle name="Note 4 5 5 2" xfId="62166" xr:uid="{00000000-0005-0000-0000-0000EDE90000}"/>
    <cellStyle name="Note 4 5 6" xfId="43743" xr:uid="{00000000-0005-0000-0000-0000EEE90000}"/>
    <cellStyle name="Note 4 5 7" xfId="43744" xr:uid="{00000000-0005-0000-0000-0000EFE90000}"/>
    <cellStyle name="Note 4 5 8" xfId="43745" xr:uid="{00000000-0005-0000-0000-0000F0E90000}"/>
    <cellStyle name="Note 4 5 9" xfId="43746" xr:uid="{00000000-0005-0000-0000-0000F1E90000}"/>
    <cellStyle name="Note 4 6" xfId="43747" xr:uid="{00000000-0005-0000-0000-0000F2E90000}"/>
    <cellStyle name="Note 4 6 2" xfId="43748" xr:uid="{00000000-0005-0000-0000-0000F3E90000}"/>
    <cellStyle name="Note 4 6 2 2" xfId="43749" xr:uid="{00000000-0005-0000-0000-0000F4E90000}"/>
    <cellStyle name="Note 4 6 2 2 2" xfId="43750" xr:uid="{00000000-0005-0000-0000-0000F5E90000}"/>
    <cellStyle name="Note 4 6 2 2 2 2" xfId="62167" xr:uid="{00000000-0005-0000-0000-0000F6E90000}"/>
    <cellStyle name="Note 4 6 2 2 2 3" xfId="62168" xr:uid="{00000000-0005-0000-0000-0000F7E90000}"/>
    <cellStyle name="Note 4 6 2 2 3" xfId="43751" xr:uid="{00000000-0005-0000-0000-0000F8E90000}"/>
    <cellStyle name="Note 4 6 2 2 3 2" xfId="62169" xr:uid="{00000000-0005-0000-0000-0000F9E90000}"/>
    <cellStyle name="Note 4 6 2 2 4" xfId="43752" xr:uid="{00000000-0005-0000-0000-0000FAE90000}"/>
    <cellStyle name="Note 4 6 2 2 5" xfId="43753" xr:uid="{00000000-0005-0000-0000-0000FBE90000}"/>
    <cellStyle name="Note 4 6 2 2 6" xfId="43754" xr:uid="{00000000-0005-0000-0000-0000FCE90000}"/>
    <cellStyle name="Note 4 6 2 3" xfId="43755" xr:uid="{00000000-0005-0000-0000-0000FDE90000}"/>
    <cellStyle name="Note 4 6 2 3 2" xfId="62170" xr:uid="{00000000-0005-0000-0000-0000FEE90000}"/>
    <cellStyle name="Note 4 6 2 3 3" xfId="62171" xr:uid="{00000000-0005-0000-0000-0000FFE90000}"/>
    <cellStyle name="Note 4 6 2 4" xfId="43756" xr:uid="{00000000-0005-0000-0000-000000EA0000}"/>
    <cellStyle name="Note 4 6 2 4 2" xfId="62172" xr:uid="{00000000-0005-0000-0000-000001EA0000}"/>
    <cellStyle name="Note 4 6 2 5" xfId="43757" xr:uid="{00000000-0005-0000-0000-000002EA0000}"/>
    <cellStyle name="Note 4 6 2 6" xfId="43758" xr:uid="{00000000-0005-0000-0000-000003EA0000}"/>
    <cellStyle name="Note 4 6 2 7" xfId="43759" xr:uid="{00000000-0005-0000-0000-000004EA0000}"/>
    <cellStyle name="Note 4 6 3" xfId="43760" xr:uid="{00000000-0005-0000-0000-000005EA0000}"/>
    <cellStyle name="Note 4 6 3 2" xfId="43761" xr:uid="{00000000-0005-0000-0000-000006EA0000}"/>
    <cellStyle name="Note 4 6 3 2 2" xfId="62173" xr:uid="{00000000-0005-0000-0000-000007EA0000}"/>
    <cellStyle name="Note 4 6 3 2 3" xfId="62174" xr:uid="{00000000-0005-0000-0000-000008EA0000}"/>
    <cellStyle name="Note 4 6 3 3" xfId="43762" xr:uid="{00000000-0005-0000-0000-000009EA0000}"/>
    <cellStyle name="Note 4 6 3 3 2" xfId="62175" xr:uid="{00000000-0005-0000-0000-00000AEA0000}"/>
    <cellStyle name="Note 4 6 3 4" xfId="43763" xr:uid="{00000000-0005-0000-0000-00000BEA0000}"/>
    <cellStyle name="Note 4 6 3 5" xfId="43764" xr:uid="{00000000-0005-0000-0000-00000CEA0000}"/>
    <cellStyle name="Note 4 6 3 6" xfId="43765" xr:uid="{00000000-0005-0000-0000-00000DEA0000}"/>
    <cellStyle name="Note 4 6 4" xfId="43766" xr:uid="{00000000-0005-0000-0000-00000EEA0000}"/>
    <cellStyle name="Note 4 6 4 2" xfId="62176" xr:uid="{00000000-0005-0000-0000-00000FEA0000}"/>
    <cellStyle name="Note 4 6 4 3" xfId="62177" xr:uid="{00000000-0005-0000-0000-000010EA0000}"/>
    <cellStyle name="Note 4 6 5" xfId="43767" xr:uid="{00000000-0005-0000-0000-000011EA0000}"/>
    <cellStyle name="Note 4 6 5 2" xfId="62178" xr:uid="{00000000-0005-0000-0000-000012EA0000}"/>
    <cellStyle name="Note 4 6 6" xfId="43768" xr:uid="{00000000-0005-0000-0000-000013EA0000}"/>
    <cellStyle name="Note 4 6 7" xfId="43769" xr:uid="{00000000-0005-0000-0000-000014EA0000}"/>
    <cellStyle name="Note 4 6 8" xfId="43770" xr:uid="{00000000-0005-0000-0000-000015EA0000}"/>
    <cellStyle name="Note 4 7" xfId="43771" xr:uid="{00000000-0005-0000-0000-000016EA0000}"/>
    <cellStyle name="Note 4 7 2" xfId="43772" xr:uid="{00000000-0005-0000-0000-000017EA0000}"/>
    <cellStyle name="Note 4 7 2 2" xfId="43773" xr:uid="{00000000-0005-0000-0000-000018EA0000}"/>
    <cellStyle name="Note 4 7 2 2 2" xfId="43774" xr:uid="{00000000-0005-0000-0000-000019EA0000}"/>
    <cellStyle name="Note 4 7 2 2 2 2" xfId="62179" xr:uid="{00000000-0005-0000-0000-00001AEA0000}"/>
    <cellStyle name="Note 4 7 2 2 2 3" xfId="62180" xr:uid="{00000000-0005-0000-0000-00001BEA0000}"/>
    <cellStyle name="Note 4 7 2 2 3" xfId="43775" xr:uid="{00000000-0005-0000-0000-00001CEA0000}"/>
    <cellStyle name="Note 4 7 2 2 3 2" xfId="62181" xr:uid="{00000000-0005-0000-0000-00001DEA0000}"/>
    <cellStyle name="Note 4 7 2 2 4" xfId="43776" xr:uid="{00000000-0005-0000-0000-00001EEA0000}"/>
    <cellStyle name="Note 4 7 2 2 5" xfId="43777" xr:uid="{00000000-0005-0000-0000-00001FEA0000}"/>
    <cellStyle name="Note 4 7 2 2 6" xfId="43778" xr:uid="{00000000-0005-0000-0000-000020EA0000}"/>
    <cellStyle name="Note 4 7 2 3" xfId="43779" xr:uid="{00000000-0005-0000-0000-000021EA0000}"/>
    <cellStyle name="Note 4 7 2 3 2" xfId="62182" xr:uid="{00000000-0005-0000-0000-000022EA0000}"/>
    <cellStyle name="Note 4 7 2 3 3" xfId="62183" xr:uid="{00000000-0005-0000-0000-000023EA0000}"/>
    <cellStyle name="Note 4 7 2 4" xfId="43780" xr:uid="{00000000-0005-0000-0000-000024EA0000}"/>
    <cellStyle name="Note 4 7 2 4 2" xfId="62184" xr:uid="{00000000-0005-0000-0000-000025EA0000}"/>
    <cellStyle name="Note 4 7 2 5" xfId="43781" xr:uid="{00000000-0005-0000-0000-000026EA0000}"/>
    <cellStyle name="Note 4 7 2 6" xfId="43782" xr:uid="{00000000-0005-0000-0000-000027EA0000}"/>
    <cellStyle name="Note 4 7 2 7" xfId="43783" xr:uid="{00000000-0005-0000-0000-000028EA0000}"/>
    <cellStyle name="Note 4 7 3" xfId="43784" xr:uid="{00000000-0005-0000-0000-000029EA0000}"/>
    <cellStyle name="Note 4 7 3 2" xfId="43785" xr:uid="{00000000-0005-0000-0000-00002AEA0000}"/>
    <cellStyle name="Note 4 7 3 2 2" xfId="62185" xr:uid="{00000000-0005-0000-0000-00002BEA0000}"/>
    <cellStyle name="Note 4 7 3 2 3" xfId="62186" xr:uid="{00000000-0005-0000-0000-00002CEA0000}"/>
    <cellStyle name="Note 4 7 3 3" xfId="43786" xr:uid="{00000000-0005-0000-0000-00002DEA0000}"/>
    <cellStyle name="Note 4 7 3 3 2" xfId="62187" xr:uid="{00000000-0005-0000-0000-00002EEA0000}"/>
    <cellStyle name="Note 4 7 3 4" xfId="43787" xr:uid="{00000000-0005-0000-0000-00002FEA0000}"/>
    <cellStyle name="Note 4 7 3 5" xfId="43788" xr:uid="{00000000-0005-0000-0000-000030EA0000}"/>
    <cellStyle name="Note 4 7 3 6" xfId="43789" xr:uid="{00000000-0005-0000-0000-000031EA0000}"/>
    <cellStyle name="Note 4 7 4" xfId="43790" xr:uid="{00000000-0005-0000-0000-000032EA0000}"/>
    <cellStyle name="Note 4 7 4 2" xfId="62188" xr:uid="{00000000-0005-0000-0000-000033EA0000}"/>
    <cellStyle name="Note 4 7 4 3" xfId="62189" xr:uid="{00000000-0005-0000-0000-000034EA0000}"/>
    <cellStyle name="Note 4 7 5" xfId="43791" xr:uid="{00000000-0005-0000-0000-000035EA0000}"/>
    <cellStyle name="Note 4 7 5 2" xfId="62190" xr:uid="{00000000-0005-0000-0000-000036EA0000}"/>
    <cellStyle name="Note 4 7 6" xfId="43792" xr:uid="{00000000-0005-0000-0000-000037EA0000}"/>
    <cellStyle name="Note 4 7 7" xfId="43793" xr:uid="{00000000-0005-0000-0000-000038EA0000}"/>
    <cellStyle name="Note 4 7 8" xfId="43794" xr:uid="{00000000-0005-0000-0000-000039EA0000}"/>
    <cellStyle name="Note 4 8" xfId="43795" xr:uid="{00000000-0005-0000-0000-00003AEA0000}"/>
    <cellStyle name="Note 4 8 2" xfId="43796" xr:uid="{00000000-0005-0000-0000-00003BEA0000}"/>
    <cellStyle name="Note 4 8 2 2" xfId="43797" xr:uid="{00000000-0005-0000-0000-00003CEA0000}"/>
    <cellStyle name="Note 4 8 2 2 2" xfId="62191" xr:uid="{00000000-0005-0000-0000-00003DEA0000}"/>
    <cellStyle name="Note 4 8 2 2 3" xfId="62192" xr:uid="{00000000-0005-0000-0000-00003EEA0000}"/>
    <cellStyle name="Note 4 8 2 3" xfId="43798" xr:uid="{00000000-0005-0000-0000-00003FEA0000}"/>
    <cellStyle name="Note 4 8 2 3 2" xfId="62193" xr:uid="{00000000-0005-0000-0000-000040EA0000}"/>
    <cellStyle name="Note 4 8 2 4" xfId="43799" xr:uid="{00000000-0005-0000-0000-000041EA0000}"/>
    <cellStyle name="Note 4 8 2 5" xfId="43800" xr:uid="{00000000-0005-0000-0000-000042EA0000}"/>
    <cellStyle name="Note 4 8 2 6" xfId="43801" xr:uid="{00000000-0005-0000-0000-000043EA0000}"/>
    <cellStyle name="Note 4 8 3" xfId="43802" xr:uid="{00000000-0005-0000-0000-000044EA0000}"/>
    <cellStyle name="Note 4 8 3 2" xfId="62194" xr:uid="{00000000-0005-0000-0000-000045EA0000}"/>
    <cellStyle name="Note 4 8 3 3" xfId="62195" xr:uid="{00000000-0005-0000-0000-000046EA0000}"/>
    <cellStyle name="Note 4 8 4" xfId="43803" xr:uid="{00000000-0005-0000-0000-000047EA0000}"/>
    <cellStyle name="Note 4 8 4 2" xfId="62196" xr:uid="{00000000-0005-0000-0000-000048EA0000}"/>
    <cellStyle name="Note 4 8 5" xfId="43804" xr:uid="{00000000-0005-0000-0000-000049EA0000}"/>
    <cellStyle name="Note 4 8 6" xfId="43805" xr:uid="{00000000-0005-0000-0000-00004AEA0000}"/>
    <cellStyle name="Note 4 8 7" xfId="43806" xr:uid="{00000000-0005-0000-0000-00004BEA0000}"/>
    <cellStyle name="Note 4 9" xfId="43807" xr:uid="{00000000-0005-0000-0000-00004CEA0000}"/>
    <cellStyle name="Note 4 9 2" xfId="43808" xr:uid="{00000000-0005-0000-0000-00004DEA0000}"/>
    <cellStyle name="Note 4 9 2 2" xfId="62197" xr:uid="{00000000-0005-0000-0000-00004EEA0000}"/>
    <cellStyle name="Note 4 9 2 3" xfId="62198" xr:uid="{00000000-0005-0000-0000-00004FEA0000}"/>
    <cellStyle name="Note 4 9 3" xfId="43809" xr:uid="{00000000-0005-0000-0000-000050EA0000}"/>
    <cellStyle name="Note 4 9 3 2" xfId="62199" xr:uid="{00000000-0005-0000-0000-000051EA0000}"/>
    <cellStyle name="Note 4 9 4" xfId="43810" xr:uid="{00000000-0005-0000-0000-000052EA0000}"/>
    <cellStyle name="Note 4 9 5" xfId="43811" xr:uid="{00000000-0005-0000-0000-000053EA0000}"/>
    <cellStyle name="Note 4 9 6" xfId="43812" xr:uid="{00000000-0005-0000-0000-000054EA0000}"/>
    <cellStyle name="Note 5" xfId="43813" xr:uid="{00000000-0005-0000-0000-000055EA0000}"/>
    <cellStyle name="Note 5 10" xfId="43814" xr:uid="{00000000-0005-0000-0000-000056EA0000}"/>
    <cellStyle name="Note 5 11" xfId="43815" xr:uid="{00000000-0005-0000-0000-000057EA0000}"/>
    <cellStyle name="Note 5 12" xfId="43816" xr:uid="{00000000-0005-0000-0000-000058EA0000}"/>
    <cellStyle name="Note 5 13" xfId="43817" xr:uid="{00000000-0005-0000-0000-000059EA0000}"/>
    <cellStyle name="Note 5 14" xfId="43818" xr:uid="{00000000-0005-0000-0000-00005AEA0000}"/>
    <cellStyle name="Note 5 15" xfId="43819" xr:uid="{00000000-0005-0000-0000-00005BEA0000}"/>
    <cellStyle name="Note 5 2" xfId="43820" xr:uid="{00000000-0005-0000-0000-00005CEA0000}"/>
    <cellStyle name="Note 5 2 2" xfId="43821" xr:uid="{00000000-0005-0000-0000-00005DEA0000}"/>
    <cellStyle name="Note 5 2 2 2" xfId="43822" xr:uid="{00000000-0005-0000-0000-00005EEA0000}"/>
    <cellStyle name="Note 5 2 2 2 2" xfId="43823" xr:uid="{00000000-0005-0000-0000-00005FEA0000}"/>
    <cellStyle name="Note 5 2 2 2 2 2" xfId="62200" xr:uid="{00000000-0005-0000-0000-000060EA0000}"/>
    <cellStyle name="Note 5 2 2 2 2 3" xfId="62201" xr:uid="{00000000-0005-0000-0000-000061EA0000}"/>
    <cellStyle name="Note 5 2 2 2 3" xfId="43824" xr:uid="{00000000-0005-0000-0000-000062EA0000}"/>
    <cellStyle name="Note 5 2 2 2 3 2" xfId="62202" xr:uid="{00000000-0005-0000-0000-000063EA0000}"/>
    <cellStyle name="Note 5 2 2 2 4" xfId="43825" xr:uid="{00000000-0005-0000-0000-000064EA0000}"/>
    <cellStyle name="Note 5 2 2 2 5" xfId="43826" xr:uid="{00000000-0005-0000-0000-000065EA0000}"/>
    <cellStyle name="Note 5 2 2 2 6" xfId="43827" xr:uid="{00000000-0005-0000-0000-000066EA0000}"/>
    <cellStyle name="Note 5 2 2 3" xfId="43828" xr:uid="{00000000-0005-0000-0000-000067EA0000}"/>
    <cellStyle name="Note 5 2 2 3 2" xfId="62203" xr:uid="{00000000-0005-0000-0000-000068EA0000}"/>
    <cellStyle name="Note 5 2 2 3 3" xfId="62204" xr:uid="{00000000-0005-0000-0000-000069EA0000}"/>
    <cellStyle name="Note 5 2 2 4" xfId="43829" xr:uid="{00000000-0005-0000-0000-00006AEA0000}"/>
    <cellStyle name="Note 5 2 2 4 2" xfId="62205" xr:uid="{00000000-0005-0000-0000-00006BEA0000}"/>
    <cellStyle name="Note 5 2 2 5" xfId="43830" xr:uid="{00000000-0005-0000-0000-00006CEA0000}"/>
    <cellStyle name="Note 5 2 2 6" xfId="43831" xr:uid="{00000000-0005-0000-0000-00006DEA0000}"/>
    <cellStyle name="Note 5 2 2 7" xfId="43832" xr:uid="{00000000-0005-0000-0000-00006EEA0000}"/>
    <cellStyle name="Note 5 2 3" xfId="43833" xr:uid="{00000000-0005-0000-0000-00006FEA0000}"/>
    <cellStyle name="Note 5 2 3 2" xfId="43834" xr:uid="{00000000-0005-0000-0000-000070EA0000}"/>
    <cellStyle name="Note 5 2 3 2 2" xfId="62206" xr:uid="{00000000-0005-0000-0000-000071EA0000}"/>
    <cellStyle name="Note 5 2 3 2 3" xfId="62207" xr:uid="{00000000-0005-0000-0000-000072EA0000}"/>
    <cellStyle name="Note 5 2 3 3" xfId="43835" xr:uid="{00000000-0005-0000-0000-000073EA0000}"/>
    <cellStyle name="Note 5 2 3 3 2" xfId="62208" xr:uid="{00000000-0005-0000-0000-000074EA0000}"/>
    <cellStyle name="Note 5 2 3 4" xfId="43836" xr:uid="{00000000-0005-0000-0000-000075EA0000}"/>
    <cellStyle name="Note 5 2 3 5" xfId="43837" xr:uid="{00000000-0005-0000-0000-000076EA0000}"/>
    <cellStyle name="Note 5 2 3 6" xfId="43838" xr:uid="{00000000-0005-0000-0000-000077EA0000}"/>
    <cellStyle name="Note 5 2 4" xfId="43839" xr:uid="{00000000-0005-0000-0000-000078EA0000}"/>
    <cellStyle name="Note 5 2 4 2" xfId="62209" xr:uid="{00000000-0005-0000-0000-000079EA0000}"/>
    <cellStyle name="Note 5 2 4 3" xfId="62210" xr:uid="{00000000-0005-0000-0000-00007AEA0000}"/>
    <cellStyle name="Note 5 2 5" xfId="43840" xr:uid="{00000000-0005-0000-0000-00007BEA0000}"/>
    <cellStyle name="Note 5 2 5 2" xfId="62211" xr:uid="{00000000-0005-0000-0000-00007CEA0000}"/>
    <cellStyle name="Note 5 2 6" xfId="43841" xr:uid="{00000000-0005-0000-0000-00007DEA0000}"/>
    <cellStyle name="Note 5 2 7" xfId="43842" xr:uid="{00000000-0005-0000-0000-00007EEA0000}"/>
    <cellStyle name="Note 5 2 8" xfId="43843" xr:uid="{00000000-0005-0000-0000-00007FEA0000}"/>
    <cellStyle name="Note 5 2 9" xfId="43844" xr:uid="{00000000-0005-0000-0000-000080EA0000}"/>
    <cellStyle name="Note 5 3" xfId="43845" xr:uid="{00000000-0005-0000-0000-000081EA0000}"/>
    <cellStyle name="Note 5 3 2" xfId="43846" xr:uid="{00000000-0005-0000-0000-000082EA0000}"/>
    <cellStyle name="Note 5 3 2 2" xfId="43847" xr:uid="{00000000-0005-0000-0000-000083EA0000}"/>
    <cellStyle name="Note 5 3 2 2 2" xfId="43848" xr:uid="{00000000-0005-0000-0000-000084EA0000}"/>
    <cellStyle name="Note 5 3 2 2 2 2" xfId="62212" xr:uid="{00000000-0005-0000-0000-000085EA0000}"/>
    <cellStyle name="Note 5 3 2 2 2 3" xfId="62213" xr:uid="{00000000-0005-0000-0000-000086EA0000}"/>
    <cellStyle name="Note 5 3 2 2 3" xfId="43849" xr:uid="{00000000-0005-0000-0000-000087EA0000}"/>
    <cellStyle name="Note 5 3 2 2 3 2" xfId="62214" xr:uid="{00000000-0005-0000-0000-000088EA0000}"/>
    <cellStyle name="Note 5 3 2 2 4" xfId="43850" xr:uid="{00000000-0005-0000-0000-000089EA0000}"/>
    <cellStyle name="Note 5 3 2 2 5" xfId="43851" xr:uid="{00000000-0005-0000-0000-00008AEA0000}"/>
    <cellStyle name="Note 5 3 2 2 6" xfId="43852" xr:uid="{00000000-0005-0000-0000-00008BEA0000}"/>
    <cellStyle name="Note 5 3 2 3" xfId="43853" xr:uid="{00000000-0005-0000-0000-00008CEA0000}"/>
    <cellStyle name="Note 5 3 2 3 2" xfId="62215" xr:uid="{00000000-0005-0000-0000-00008DEA0000}"/>
    <cellStyle name="Note 5 3 2 3 3" xfId="62216" xr:uid="{00000000-0005-0000-0000-00008EEA0000}"/>
    <cellStyle name="Note 5 3 2 4" xfId="43854" xr:uid="{00000000-0005-0000-0000-00008FEA0000}"/>
    <cellStyle name="Note 5 3 2 4 2" xfId="62217" xr:uid="{00000000-0005-0000-0000-000090EA0000}"/>
    <cellStyle name="Note 5 3 2 5" xfId="43855" xr:uid="{00000000-0005-0000-0000-000091EA0000}"/>
    <cellStyle name="Note 5 3 2 6" xfId="43856" xr:uid="{00000000-0005-0000-0000-000092EA0000}"/>
    <cellStyle name="Note 5 3 2 7" xfId="43857" xr:uid="{00000000-0005-0000-0000-000093EA0000}"/>
    <cellStyle name="Note 5 3 3" xfId="43858" xr:uid="{00000000-0005-0000-0000-000094EA0000}"/>
    <cellStyle name="Note 5 3 3 2" xfId="43859" xr:uid="{00000000-0005-0000-0000-000095EA0000}"/>
    <cellStyle name="Note 5 3 3 2 2" xfId="62218" xr:uid="{00000000-0005-0000-0000-000096EA0000}"/>
    <cellStyle name="Note 5 3 3 2 3" xfId="62219" xr:uid="{00000000-0005-0000-0000-000097EA0000}"/>
    <cellStyle name="Note 5 3 3 3" xfId="43860" xr:uid="{00000000-0005-0000-0000-000098EA0000}"/>
    <cellStyle name="Note 5 3 3 3 2" xfId="62220" xr:uid="{00000000-0005-0000-0000-000099EA0000}"/>
    <cellStyle name="Note 5 3 3 4" xfId="43861" xr:uid="{00000000-0005-0000-0000-00009AEA0000}"/>
    <cellStyle name="Note 5 3 3 5" xfId="43862" xr:uid="{00000000-0005-0000-0000-00009BEA0000}"/>
    <cellStyle name="Note 5 3 3 6" xfId="43863" xr:uid="{00000000-0005-0000-0000-00009CEA0000}"/>
    <cellStyle name="Note 5 3 4" xfId="43864" xr:uid="{00000000-0005-0000-0000-00009DEA0000}"/>
    <cellStyle name="Note 5 3 4 2" xfId="62221" xr:uid="{00000000-0005-0000-0000-00009EEA0000}"/>
    <cellStyle name="Note 5 3 4 3" xfId="62222" xr:uid="{00000000-0005-0000-0000-00009FEA0000}"/>
    <cellStyle name="Note 5 3 5" xfId="43865" xr:uid="{00000000-0005-0000-0000-0000A0EA0000}"/>
    <cellStyle name="Note 5 3 5 2" xfId="62223" xr:uid="{00000000-0005-0000-0000-0000A1EA0000}"/>
    <cellStyle name="Note 5 3 6" xfId="43866" xr:uid="{00000000-0005-0000-0000-0000A2EA0000}"/>
    <cellStyle name="Note 5 3 7" xfId="43867" xr:uid="{00000000-0005-0000-0000-0000A3EA0000}"/>
    <cellStyle name="Note 5 3 8" xfId="43868" xr:uid="{00000000-0005-0000-0000-0000A4EA0000}"/>
    <cellStyle name="Note 5 4" xfId="43869" xr:uid="{00000000-0005-0000-0000-0000A5EA0000}"/>
    <cellStyle name="Note 5 4 2" xfId="43870" xr:uid="{00000000-0005-0000-0000-0000A6EA0000}"/>
    <cellStyle name="Note 5 4 2 2" xfId="43871" xr:uid="{00000000-0005-0000-0000-0000A7EA0000}"/>
    <cellStyle name="Note 5 4 2 2 2" xfId="62224" xr:uid="{00000000-0005-0000-0000-0000A8EA0000}"/>
    <cellStyle name="Note 5 4 2 2 3" xfId="62225" xr:uid="{00000000-0005-0000-0000-0000A9EA0000}"/>
    <cellStyle name="Note 5 4 2 3" xfId="43872" xr:uid="{00000000-0005-0000-0000-0000AAEA0000}"/>
    <cellStyle name="Note 5 4 2 3 2" xfId="62226" xr:uid="{00000000-0005-0000-0000-0000ABEA0000}"/>
    <cellStyle name="Note 5 4 2 4" xfId="43873" xr:uid="{00000000-0005-0000-0000-0000ACEA0000}"/>
    <cellStyle name="Note 5 4 2 5" xfId="43874" xr:uid="{00000000-0005-0000-0000-0000ADEA0000}"/>
    <cellStyle name="Note 5 4 2 6" xfId="43875" xr:uid="{00000000-0005-0000-0000-0000AEEA0000}"/>
    <cellStyle name="Note 5 4 3" xfId="43876" xr:uid="{00000000-0005-0000-0000-0000AFEA0000}"/>
    <cellStyle name="Note 5 4 3 2" xfId="62227" xr:uid="{00000000-0005-0000-0000-0000B0EA0000}"/>
    <cellStyle name="Note 5 4 3 3" xfId="62228" xr:uid="{00000000-0005-0000-0000-0000B1EA0000}"/>
    <cellStyle name="Note 5 4 4" xfId="43877" xr:uid="{00000000-0005-0000-0000-0000B2EA0000}"/>
    <cellStyle name="Note 5 4 4 2" xfId="62229" xr:uid="{00000000-0005-0000-0000-0000B3EA0000}"/>
    <cellStyle name="Note 5 4 5" xfId="43878" xr:uid="{00000000-0005-0000-0000-0000B4EA0000}"/>
    <cellStyle name="Note 5 4 6" xfId="43879" xr:uid="{00000000-0005-0000-0000-0000B5EA0000}"/>
    <cellStyle name="Note 5 4 7" xfId="43880" xr:uid="{00000000-0005-0000-0000-0000B6EA0000}"/>
    <cellStyle name="Note 5 5" xfId="43881" xr:uid="{00000000-0005-0000-0000-0000B7EA0000}"/>
    <cellStyle name="Note 5 5 2" xfId="43882" xr:uid="{00000000-0005-0000-0000-0000B8EA0000}"/>
    <cellStyle name="Note 5 5 2 2" xfId="62230" xr:uid="{00000000-0005-0000-0000-0000B9EA0000}"/>
    <cellStyle name="Note 5 5 2 3" xfId="62231" xr:uid="{00000000-0005-0000-0000-0000BAEA0000}"/>
    <cellStyle name="Note 5 5 3" xfId="43883" xr:uid="{00000000-0005-0000-0000-0000BBEA0000}"/>
    <cellStyle name="Note 5 5 3 2" xfId="62232" xr:uid="{00000000-0005-0000-0000-0000BCEA0000}"/>
    <cellStyle name="Note 5 5 4" xfId="43884" xr:uid="{00000000-0005-0000-0000-0000BDEA0000}"/>
    <cellStyle name="Note 5 5 5" xfId="43885" xr:uid="{00000000-0005-0000-0000-0000BEEA0000}"/>
    <cellStyle name="Note 5 5 6" xfId="43886" xr:uid="{00000000-0005-0000-0000-0000BFEA0000}"/>
    <cellStyle name="Note 5 6" xfId="43887" xr:uid="{00000000-0005-0000-0000-0000C0EA0000}"/>
    <cellStyle name="Note 5 6 2" xfId="62233" xr:uid="{00000000-0005-0000-0000-0000C1EA0000}"/>
    <cellStyle name="Note 5 6 3" xfId="62234" xr:uid="{00000000-0005-0000-0000-0000C2EA0000}"/>
    <cellStyle name="Note 5 7" xfId="43888" xr:uid="{00000000-0005-0000-0000-0000C3EA0000}"/>
    <cellStyle name="Note 5 7 2" xfId="62235" xr:uid="{00000000-0005-0000-0000-0000C4EA0000}"/>
    <cellStyle name="Note 5 8" xfId="43889" xr:uid="{00000000-0005-0000-0000-0000C5EA0000}"/>
    <cellStyle name="Note 5 9" xfId="43890" xr:uid="{00000000-0005-0000-0000-0000C6EA0000}"/>
    <cellStyle name="Note 6" xfId="43891" xr:uid="{00000000-0005-0000-0000-0000C7EA0000}"/>
    <cellStyle name="Note 6 10" xfId="43892" xr:uid="{00000000-0005-0000-0000-0000C8EA0000}"/>
    <cellStyle name="Note 6 11" xfId="43893" xr:uid="{00000000-0005-0000-0000-0000C9EA0000}"/>
    <cellStyle name="Note 6 12" xfId="43894" xr:uid="{00000000-0005-0000-0000-0000CAEA0000}"/>
    <cellStyle name="Note 6 13" xfId="43895" xr:uid="{00000000-0005-0000-0000-0000CBEA0000}"/>
    <cellStyle name="Note 6 14" xfId="43896" xr:uid="{00000000-0005-0000-0000-0000CCEA0000}"/>
    <cellStyle name="Note 6 2" xfId="43897" xr:uid="{00000000-0005-0000-0000-0000CDEA0000}"/>
    <cellStyle name="Note 6 2 2" xfId="43898" xr:uid="{00000000-0005-0000-0000-0000CEEA0000}"/>
    <cellStyle name="Note 6 2 2 2" xfId="43899" xr:uid="{00000000-0005-0000-0000-0000CFEA0000}"/>
    <cellStyle name="Note 6 2 2 2 2" xfId="43900" xr:uid="{00000000-0005-0000-0000-0000D0EA0000}"/>
    <cellStyle name="Note 6 2 2 2 2 2" xfId="62236" xr:uid="{00000000-0005-0000-0000-0000D1EA0000}"/>
    <cellStyle name="Note 6 2 2 2 2 3" xfId="62237" xr:uid="{00000000-0005-0000-0000-0000D2EA0000}"/>
    <cellStyle name="Note 6 2 2 2 3" xfId="43901" xr:uid="{00000000-0005-0000-0000-0000D3EA0000}"/>
    <cellStyle name="Note 6 2 2 2 3 2" xfId="62238" xr:uid="{00000000-0005-0000-0000-0000D4EA0000}"/>
    <cellStyle name="Note 6 2 2 2 4" xfId="43902" xr:uid="{00000000-0005-0000-0000-0000D5EA0000}"/>
    <cellStyle name="Note 6 2 2 2 5" xfId="43903" xr:uid="{00000000-0005-0000-0000-0000D6EA0000}"/>
    <cellStyle name="Note 6 2 2 2 6" xfId="43904" xr:uid="{00000000-0005-0000-0000-0000D7EA0000}"/>
    <cellStyle name="Note 6 2 2 3" xfId="43905" xr:uid="{00000000-0005-0000-0000-0000D8EA0000}"/>
    <cellStyle name="Note 6 2 2 3 2" xfId="62239" xr:uid="{00000000-0005-0000-0000-0000D9EA0000}"/>
    <cellStyle name="Note 6 2 2 3 3" xfId="62240" xr:uid="{00000000-0005-0000-0000-0000DAEA0000}"/>
    <cellStyle name="Note 6 2 2 4" xfId="43906" xr:uid="{00000000-0005-0000-0000-0000DBEA0000}"/>
    <cellStyle name="Note 6 2 2 4 2" xfId="62241" xr:uid="{00000000-0005-0000-0000-0000DCEA0000}"/>
    <cellStyle name="Note 6 2 2 5" xfId="43907" xr:uid="{00000000-0005-0000-0000-0000DDEA0000}"/>
    <cellStyle name="Note 6 2 2 6" xfId="43908" xr:uid="{00000000-0005-0000-0000-0000DEEA0000}"/>
    <cellStyle name="Note 6 2 2 7" xfId="43909" xr:uid="{00000000-0005-0000-0000-0000DFEA0000}"/>
    <cellStyle name="Note 6 2 3" xfId="43910" xr:uid="{00000000-0005-0000-0000-0000E0EA0000}"/>
    <cellStyle name="Note 6 2 3 2" xfId="43911" xr:uid="{00000000-0005-0000-0000-0000E1EA0000}"/>
    <cellStyle name="Note 6 2 3 2 2" xfId="62242" xr:uid="{00000000-0005-0000-0000-0000E2EA0000}"/>
    <cellStyle name="Note 6 2 3 2 3" xfId="62243" xr:uid="{00000000-0005-0000-0000-0000E3EA0000}"/>
    <cellStyle name="Note 6 2 3 3" xfId="43912" xr:uid="{00000000-0005-0000-0000-0000E4EA0000}"/>
    <cellStyle name="Note 6 2 3 3 2" xfId="62244" xr:uid="{00000000-0005-0000-0000-0000E5EA0000}"/>
    <cellStyle name="Note 6 2 3 4" xfId="43913" xr:uid="{00000000-0005-0000-0000-0000E6EA0000}"/>
    <cellStyle name="Note 6 2 3 5" xfId="43914" xr:uid="{00000000-0005-0000-0000-0000E7EA0000}"/>
    <cellStyle name="Note 6 2 3 6" xfId="43915" xr:uid="{00000000-0005-0000-0000-0000E8EA0000}"/>
    <cellStyle name="Note 6 2 4" xfId="43916" xr:uid="{00000000-0005-0000-0000-0000E9EA0000}"/>
    <cellStyle name="Note 6 2 4 2" xfId="62245" xr:uid="{00000000-0005-0000-0000-0000EAEA0000}"/>
    <cellStyle name="Note 6 2 4 3" xfId="62246" xr:uid="{00000000-0005-0000-0000-0000EBEA0000}"/>
    <cellStyle name="Note 6 2 5" xfId="43917" xr:uid="{00000000-0005-0000-0000-0000ECEA0000}"/>
    <cellStyle name="Note 6 2 5 2" xfId="62247" xr:uid="{00000000-0005-0000-0000-0000EDEA0000}"/>
    <cellStyle name="Note 6 2 6" xfId="43918" xr:uid="{00000000-0005-0000-0000-0000EEEA0000}"/>
    <cellStyle name="Note 6 2 7" xfId="43919" xr:uid="{00000000-0005-0000-0000-0000EFEA0000}"/>
    <cellStyle name="Note 6 2 8" xfId="43920" xr:uid="{00000000-0005-0000-0000-0000F0EA0000}"/>
    <cellStyle name="Note 6 2 9" xfId="43921" xr:uid="{00000000-0005-0000-0000-0000F1EA0000}"/>
    <cellStyle name="Note 6 3" xfId="43922" xr:uid="{00000000-0005-0000-0000-0000F2EA0000}"/>
    <cellStyle name="Note 6 3 2" xfId="43923" xr:uid="{00000000-0005-0000-0000-0000F3EA0000}"/>
    <cellStyle name="Note 6 3 2 2" xfId="43924" xr:uid="{00000000-0005-0000-0000-0000F4EA0000}"/>
    <cellStyle name="Note 6 3 2 2 2" xfId="62248" xr:uid="{00000000-0005-0000-0000-0000F5EA0000}"/>
    <cellStyle name="Note 6 3 2 2 3" xfId="62249" xr:uid="{00000000-0005-0000-0000-0000F6EA0000}"/>
    <cellStyle name="Note 6 3 2 3" xfId="43925" xr:uid="{00000000-0005-0000-0000-0000F7EA0000}"/>
    <cellStyle name="Note 6 3 2 3 2" xfId="62250" xr:uid="{00000000-0005-0000-0000-0000F8EA0000}"/>
    <cellStyle name="Note 6 3 2 4" xfId="43926" xr:uid="{00000000-0005-0000-0000-0000F9EA0000}"/>
    <cellStyle name="Note 6 3 2 5" xfId="43927" xr:uid="{00000000-0005-0000-0000-0000FAEA0000}"/>
    <cellStyle name="Note 6 3 2 6" xfId="43928" xr:uid="{00000000-0005-0000-0000-0000FBEA0000}"/>
    <cellStyle name="Note 6 3 3" xfId="43929" xr:uid="{00000000-0005-0000-0000-0000FCEA0000}"/>
    <cellStyle name="Note 6 3 3 2" xfId="62251" xr:uid="{00000000-0005-0000-0000-0000FDEA0000}"/>
    <cellStyle name="Note 6 3 3 3" xfId="62252" xr:uid="{00000000-0005-0000-0000-0000FEEA0000}"/>
    <cellStyle name="Note 6 3 4" xfId="43930" xr:uid="{00000000-0005-0000-0000-0000FFEA0000}"/>
    <cellStyle name="Note 6 3 4 2" xfId="62253" xr:uid="{00000000-0005-0000-0000-000000EB0000}"/>
    <cellStyle name="Note 6 3 5" xfId="43931" xr:uid="{00000000-0005-0000-0000-000001EB0000}"/>
    <cellStyle name="Note 6 3 6" xfId="43932" xr:uid="{00000000-0005-0000-0000-000002EB0000}"/>
    <cellStyle name="Note 6 3 7" xfId="43933" xr:uid="{00000000-0005-0000-0000-000003EB0000}"/>
    <cellStyle name="Note 6 4" xfId="43934" xr:uid="{00000000-0005-0000-0000-000004EB0000}"/>
    <cellStyle name="Note 6 4 2" xfId="43935" xr:uid="{00000000-0005-0000-0000-000005EB0000}"/>
    <cellStyle name="Note 6 4 2 2" xfId="62254" xr:uid="{00000000-0005-0000-0000-000006EB0000}"/>
    <cellStyle name="Note 6 4 2 3" xfId="62255" xr:uid="{00000000-0005-0000-0000-000007EB0000}"/>
    <cellStyle name="Note 6 4 3" xfId="43936" xr:uid="{00000000-0005-0000-0000-000008EB0000}"/>
    <cellStyle name="Note 6 4 3 2" xfId="62256" xr:uid="{00000000-0005-0000-0000-000009EB0000}"/>
    <cellStyle name="Note 6 4 4" xfId="43937" xr:uid="{00000000-0005-0000-0000-00000AEB0000}"/>
    <cellStyle name="Note 6 4 5" xfId="43938" xr:uid="{00000000-0005-0000-0000-00000BEB0000}"/>
    <cellStyle name="Note 6 4 6" xfId="43939" xr:uid="{00000000-0005-0000-0000-00000CEB0000}"/>
    <cellStyle name="Note 6 5" xfId="43940" xr:uid="{00000000-0005-0000-0000-00000DEB0000}"/>
    <cellStyle name="Note 6 5 2" xfId="62257" xr:uid="{00000000-0005-0000-0000-00000EEB0000}"/>
    <cellStyle name="Note 6 5 3" xfId="62258" xr:uid="{00000000-0005-0000-0000-00000FEB0000}"/>
    <cellStyle name="Note 6 6" xfId="43941" xr:uid="{00000000-0005-0000-0000-000010EB0000}"/>
    <cellStyle name="Note 6 6 2" xfId="62259" xr:uid="{00000000-0005-0000-0000-000011EB0000}"/>
    <cellStyle name="Note 6 7" xfId="43942" xr:uid="{00000000-0005-0000-0000-000012EB0000}"/>
    <cellStyle name="Note 6 8" xfId="43943" xr:uid="{00000000-0005-0000-0000-000013EB0000}"/>
    <cellStyle name="Note 6 9" xfId="43944" xr:uid="{00000000-0005-0000-0000-000014EB0000}"/>
    <cellStyle name="Note 7" xfId="43945" xr:uid="{00000000-0005-0000-0000-000015EB0000}"/>
    <cellStyle name="Note 7 2" xfId="43946" xr:uid="{00000000-0005-0000-0000-000016EB0000}"/>
    <cellStyle name="Note 7 2 2" xfId="43947" xr:uid="{00000000-0005-0000-0000-000017EB0000}"/>
    <cellStyle name="Note 7 2 2 2" xfId="43948" xr:uid="{00000000-0005-0000-0000-000018EB0000}"/>
    <cellStyle name="Note 7 2 2 2 2" xfId="62260" xr:uid="{00000000-0005-0000-0000-000019EB0000}"/>
    <cellStyle name="Note 7 2 2 2 3" xfId="62261" xr:uid="{00000000-0005-0000-0000-00001AEB0000}"/>
    <cellStyle name="Note 7 2 2 3" xfId="43949" xr:uid="{00000000-0005-0000-0000-00001BEB0000}"/>
    <cellStyle name="Note 7 2 2 3 2" xfId="62262" xr:uid="{00000000-0005-0000-0000-00001CEB0000}"/>
    <cellStyle name="Note 7 2 2 4" xfId="43950" xr:uid="{00000000-0005-0000-0000-00001DEB0000}"/>
    <cellStyle name="Note 7 2 2 5" xfId="43951" xr:uid="{00000000-0005-0000-0000-00001EEB0000}"/>
    <cellStyle name="Note 7 2 2 6" xfId="43952" xr:uid="{00000000-0005-0000-0000-00001FEB0000}"/>
    <cellStyle name="Note 7 2 3" xfId="43953" xr:uid="{00000000-0005-0000-0000-000020EB0000}"/>
    <cellStyle name="Note 7 2 3 2" xfId="62263" xr:uid="{00000000-0005-0000-0000-000021EB0000}"/>
    <cellStyle name="Note 7 2 3 3" xfId="62264" xr:uid="{00000000-0005-0000-0000-000022EB0000}"/>
    <cellStyle name="Note 7 2 4" xfId="43954" xr:uid="{00000000-0005-0000-0000-000023EB0000}"/>
    <cellStyle name="Note 7 2 4 2" xfId="62265" xr:uid="{00000000-0005-0000-0000-000024EB0000}"/>
    <cellStyle name="Note 7 2 5" xfId="43955" xr:uid="{00000000-0005-0000-0000-000025EB0000}"/>
    <cellStyle name="Note 7 2 6" xfId="43956" xr:uid="{00000000-0005-0000-0000-000026EB0000}"/>
    <cellStyle name="Note 7 2 7" xfId="43957" xr:uid="{00000000-0005-0000-0000-000027EB0000}"/>
    <cellStyle name="Note 7 3" xfId="43958" xr:uid="{00000000-0005-0000-0000-000028EB0000}"/>
    <cellStyle name="Note 7 3 2" xfId="43959" xr:uid="{00000000-0005-0000-0000-000029EB0000}"/>
    <cellStyle name="Note 7 3 2 2" xfId="62266" xr:uid="{00000000-0005-0000-0000-00002AEB0000}"/>
    <cellStyle name="Note 7 3 2 3" xfId="62267" xr:uid="{00000000-0005-0000-0000-00002BEB0000}"/>
    <cellStyle name="Note 7 3 3" xfId="43960" xr:uid="{00000000-0005-0000-0000-00002CEB0000}"/>
    <cellStyle name="Note 7 3 3 2" xfId="62268" xr:uid="{00000000-0005-0000-0000-00002DEB0000}"/>
    <cellStyle name="Note 7 3 4" xfId="43961" xr:uid="{00000000-0005-0000-0000-00002EEB0000}"/>
    <cellStyle name="Note 7 3 5" xfId="43962" xr:uid="{00000000-0005-0000-0000-00002FEB0000}"/>
    <cellStyle name="Note 7 3 6" xfId="43963" xr:uid="{00000000-0005-0000-0000-000030EB0000}"/>
    <cellStyle name="Note 7 4" xfId="43964" xr:uid="{00000000-0005-0000-0000-000031EB0000}"/>
    <cellStyle name="Note 7 4 2" xfId="62269" xr:uid="{00000000-0005-0000-0000-000032EB0000}"/>
    <cellStyle name="Note 7 4 3" xfId="62270" xr:uid="{00000000-0005-0000-0000-000033EB0000}"/>
    <cellStyle name="Note 7 5" xfId="43965" xr:uid="{00000000-0005-0000-0000-000034EB0000}"/>
    <cellStyle name="Note 7 5 2" xfId="62271" xr:uid="{00000000-0005-0000-0000-000035EB0000}"/>
    <cellStyle name="Note 7 6" xfId="43966" xr:uid="{00000000-0005-0000-0000-000036EB0000}"/>
    <cellStyle name="Note 7 7" xfId="43967" xr:uid="{00000000-0005-0000-0000-000037EB0000}"/>
    <cellStyle name="Note 7 8" xfId="43968" xr:uid="{00000000-0005-0000-0000-000038EB0000}"/>
    <cellStyle name="Note 8" xfId="43969" xr:uid="{00000000-0005-0000-0000-000039EB0000}"/>
    <cellStyle name="Note 8 2" xfId="43970" xr:uid="{00000000-0005-0000-0000-00003AEB0000}"/>
    <cellStyle name="Note 8 2 2" xfId="62272" xr:uid="{00000000-0005-0000-0000-00003BEB0000}"/>
    <cellStyle name="Note 8 2 3" xfId="62273" xr:uid="{00000000-0005-0000-0000-00003CEB0000}"/>
    <cellStyle name="Note 8 3" xfId="43971" xr:uid="{00000000-0005-0000-0000-00003DEB0000}"/>
    <cellStyle name="Note 8 3 2" xfId="62274" xr:uid="{00000000-0005-0000-0000-00003EEB0000}"/>
    <cellStyle name="Note 8 4" xfId="43972" xr:uid="{00000000-0005-0000-0000-00003FEB0000}"/>
    <cellStyle name="Note 8 5" xfId="43973" xr:uid="{00000000-0005-0000-0000-000040EB0000}"/>
    <cellStyle name="Note 8 6" xfId="43974" xr:uid="{00000000-0005-0000-0000-000041EB0000}"/>
    <cellStyle name="Note 9" xfId="62275" xr:uid="{00000000-0005-0000-0000-000042EB0000}"/>
    <cellStyle name="Note 9 2" xfId="62276" xr:uid="{00000000-0005-0000-0000-000043EB0000}"/>
    <cellStyle name="Output 2" xfId="43975" xr:uid="{00000000-0005-0000-0000-000044EB0000}"/>
    <cellStyle name="Output 2 2" xfId="43976" xr:uid="{00000000-0005-0000-0000-000045EB0000}"/>
    <cellStyle name="Output 2 2 2" xfId="43977" xr:uid="{00000000-0005-0000-0000-000046EB0000}"/>
    <cellStyle name="Output 2 2 2 10" xfId="43978" xr:uid="{00000000-0005-0000-0000-000047EB0000}"/>
    <cellStyle name="Output 2 2 2 2" xfId="43979" xr:uid="{00000000-0005-0000-0000-000048EB0000}"/>
    <cellStyle name="Output 2 2 2 2 2" xfId="43980" xr:uid="{00000000-0005-0000-0000-000049EB0000}"/>
    <cellStyle name="Output 2 2 2 2 3" xfId="43981" xr:uid="{00000000-0005-0000-0000-00004AEB0000}"/>
    <cellStyle name="Output 2 2 2 3" xfId="43982" xr:uid="{00000000-0005-0000-0000-00004BEB0000}"/>
    <cellStyle name="Output 2 2 2 4" xfId="43983" xr:uid="{00000000-0005-0000-0000-00004CEB0000}"/>
    <cellStyle name="Output 2 2 2 5" xfId="43984" xr:uid="{00000000-0005-0000-0000-00004DEB0000}"/>
    <cellStyle name="Output 2 2 2 6" xfId="43985" xr:uid="{00000000-0005-0000-0000-00004EEB0000}"/>
    <cellStyle name="Output 2 2 2 7" xfId="43986" xr:uid="{00000000-0005-0000-0000-00004FEB0000}"/>
    <cellStyle name="Output 2 2 2 8" xfId="43987" xr:uid="{00000000-0005-0000-0000-000050EB0000}"/>
    <cellStyle name="Output 2 2 2 9" xfId="43988" xr:uid="{00000000-0005-0000-0000-000051EB0000}"/>
    <cellStyle name="Output 2 2 3" xfId="43989" xr:uid="{00000000-0005-0000-0000-000052EB0000}"/>
    <cellStyle name="Output 2 2 3 10" xfId="43990" xr:uid="{00000000-0005-0000-0000-000053EB0000}"/>
    <cellStyle name="Output 2 2 3 2" xfId="43991" xr:uid="{00000000-0005-0000-0000-000054EB0000}"/>
    <cellStyle name="Output 2 2 3 2 2" xfId="43992" xr:uid="{00000000-0005-0000-0000-000055EB0000}"/>
    <cellStyle name="Output 2 2 3 2 3" xfId="43993" xr:uid="{00000000-0005-0000-0000-000056EB0000}"/>
    <cellStyle name="Output 2 2 3 3" xfId="43994" xr:uid="{00000000-0005-0000-0000-000057EB0000}"/>
    <cellStyle name="Output 2 2 3 4" xfId="43995" xr:uid="{00000000-0005-0000-0000-000058EB0000}"/>
    <cellStyle name="Output 2 2 3 5" xfId="43996" xr:uid="{00000000-0005-0000-0000-000059EB0000}"/>
    <cellStyle name="Output 2 2 3 6" xfId="43997" xr:uid="{00000000-0005-0000-0000-00005AEB0000}"/>
    <cellStyle name="Output 2 2 3 7" xfId="43998" xr:uid="{00000000-0005-0000-0000-00005BEB0000}"/>
    <cellStyle name="Output 2 2 3 8" xfId="43999" xr:uid="{00000000-0005-0000-0000-00005CEB0000}"/>
    <cellStyle name="Output 2 2 3 9" xfId="44000" xr:uid="{00000000-0005-0000-0000-00005DEB0000}"/>
    <cellStyle name="Output 2 2 4" xfId="44001" xr:uid="{00000000-0005-0000-0000-00005EEB0000}"/>
    <cellStyle name="Output 2 2 4 10" xfId="44002" xr:uid="{00000000-0005-0000-0000-00005FEB0000}"/>
    <cellStyle name="Output 2 2 4 2" xfId="44003" xr:uid="{00000000-0005-0000-0000-000060EB0000}"/>
    <cellStyle name="Output 2 2 4 3" xfId="44004" xr:uid="{00000000-0005-0000-0000-000061EB0000}"/>
    <cellStyle name="Output 2 2 4 4" xfId="44005" xr:uid="{00000000-0005-0000-0000-000062EB0000}"/>
    <cellStyle name="Output 2 2 4 5" xfId="44006" xr:uid="{00000000-0005-0000-0000-000063EB0000}"/>
    <cellStyle name="Output 2 2 4 6" xfId="44007" xr:uid="{00000000-0005-0000-0000-000064EB0000}"/>
    <cellStyle name="Output 2 2 4 7" xfId="44008" xr:uid="{00000000-0005-0000-0000-000065EB0000}"/>
    <cellStyle name="Output 2 2 4 8" xfId="44009" xr:uid="{00000000-0005-0000-0000-000066EB0000}"/>
    <cellStyle name="Output 2 2 4 9" xfId="44010" xr:uid="{00000000-0005-0000-0000-000067EB0000}"/>
    <cellStyle name="Output 2 2 5" xfId="44011" xr:uid="{00000000-0005-0000-0000-000068EB0000}"/>
    <cellStyle name="Output 2 2 5 10" xfId="44012" xr:uid="{00000000-0005-0000-0000-000069EB0000}"/>
    <cellStyle name="Output 2 2 5 2" xfId="44013" xr:uid="{00000000-0005-0000-0000-00006AEB0000}"/>
    <cellStyle name="Output 2 2 5 3" xfId="44014" xr:uid="{00000000-0005-0000-0000-00006BEB0000}"/>
    <cellStyle name="Output 2 2 5 4" xfId="44015" xr:uid="{00000000-0005-0000-0000-00006CEB0000}"/>
    <cellStyle name="Output 2 2 5 5" xfId="44016" xr:uid="{00000000-0005-0000-0000-00006DEB0000}"/>
    <cellStyle name="Output 2 2 5 6" xfId="44017" xr:uid="{00000000-0005-0000-0000-00006EEB0000}"/>
    <cellStyle name="Output 2 2 5 7" xfId="44018" xr:uid="{00000000-0005-0000-0000-00006FEB0000}"/>
    <cellStyle name="Output 2 2 5 8" xfId="44019" xr:uid="{00000000-0005-0000-0000-000070EB0000}"/>
    <cellStyle name="Output 2 2 5 9" xfId="44020" xr:uid="{00000000-0005-0000-0000-000071EB0000}"/>
    <cellStyle name="Output 2 2 6" xfId="44021" xr:uid="{00000000-0005-0000-0000-000072EB0000}"/>
    <cellStyle name="Output 2 2 6 10" xfId="44022" xr:uid="{00000000-0005-0000-0000-000073EB0000}"/>
    <cellStyle name="Output 2 2 6 2" xfId="44023" xr:uid="{00000000-0005-0000-0000-000074EB0000}"/>
    <cellStyle name="Output 2 2 6 3" xfId="44024" xr:uid="{00000000-0005-0000-0000-000075EB0000}"/>
    <cellStyle name="Output 2 2 6 4" xfId="44025" xr:uid="{00000000-0005-0000-0000-000076EB0000}"/>
    <cellStyle name="Output 2 2 6 5" xfId="44026" xr:uid="{00000000-0005-0000-0000-000077EB0000}"/>
    <cellStyle name="Output 2 2 6 6" xfId="44027" xr:uid="{00000000-0005-0000-0000-000078EB0000}"/>
    <cellStyle name="Output 2 2 6 7" xfId="44028" xr:uid="{00000000-0005-0000-0000-000079EB0000}"/>
    <cellStyle name="Output 2 2 6 8" xfId="44029" xr:uid="{00000000-0005-0000-0000-00007AEB0000}"/>
    <cellStyle name="Output 2 2 6 9" xfId="44030" xr:uid="{00000000-0005-0000-0000-00007BEB0000}"/>
    <cellStyle name="Output 2 2 7" xfId="44031" xr:uid="{00000000-0005-0000-0000-00007CEB0000}"/>
    <cellStyle name="Output 2 2 7 10" xfId="44032" xr:uid="{00000000-0005-0000-0000-00007DEB0000}"/>
    <cellStyle name="Output 2 2 7 2" xfId="44033" xr:uid="{00000000-0005-0000-0000-00007EEB0000}"/>
    <cellStyle name="Output 2 2 7 3" xfId="44034" xr:uid="{00000000-0005-0000-0000-00007FEB0000}"/>
    <cellStyle name="Output 2 2 7 4" xfId="44035" xr:uid="{00000000-0005-0000-0000-000080EB0000}"/>
    <cellStyle name="Output 2 2 7 5" xfId="44036" xr:uid="{00000000-0005-0000-0000-000081EB0000}"/>
    <cellStyle name="Output 2 2 7 6" xfId="44037" xr:uid="{00000000-0005-0000-0000-000082EB0000}"/>
    <cellStyle name="Output 2 2 7 7" xfId="44038" xr:uid="{00000000-0005-0000-0000-000083EB0000}"/>
    <cellStyle name="Output 2 2 7 8" xfId="44039" xr:uid="{00000000-0005-0000-0000-000084EB0000}"/>
    <cellStyle name="Output 2 2 7 9" xfId="44040" xr:uid="{00000000-0005-0000-0000-000085EB0000}"/>
    <cellStyle name="Output 2 2 8" xfId="44041" xr:uid="{00000000-0005-0000-0000-000086EB0000}"/>
    <cellStyle name="Output 2 2 9" xfId="44042" xr:uid="{00000000-0005-0000-0000-000087EB0000}"/>
    <cellStyle name="Output 2 3" xfId="44043" xr:uid="{00000000-0005-0000-0000-000088EB0000}"/>
    <cellStyle name="Output 2 3 10" xfId="44044" xr:uid="{00000000-0005-0000-0000-000089EB0000}"/>
    <cellStyle name="Output 2 3 2" xfId="44045" xr:uid="{00000000-0005-0000-0000-00008AEB0000}"/>
    <cellStyle name="Output 2 3 2 2" xfId="44046" xr:uid="{00000000-0005-0000-0000-00008BEB0000}"/>
    <cellStyle name="Output 2 3 2 3" xfId="44047" xr:uid="{00000000-0005-0000-0000-00008CEB0000}"/>
    <cellStyle name="Output 2 3 3" xfId="44048" xr:uid="{00000000-0005-0000-0000-00008DEB0000}"/>
    <cellStyle name="Output 2 3 4" xfId="44049" xr:uid="{00000000-0005-0000-0000-00008EEB0000}"/>
    <cellStyle name="Output 2 3 5" xfId="44050" xr:uid="{00000000-0005-0000-0000-00008FEB0000}"/>
    <cellStyle name="Output 2 3 6" xfId="44051" xr:uid="{00000000-0005-0000-0000-000090EB0000}"/>
    <cellStyle name="Output 2 3 7" xfId="44052" xr:uid="{00000000-0005-0000-0000-000091EB0000}"/>
    <cellStyle name="Output 2 3 8" xfId="44053" xr:uid="{00000000-0005-0000-0000-000092EB0000}"/>
    <cellStyle name="Output 2 3 9" xfId="44054" xr:uid="{00000000-0005-0000-0000-000093EB0000}"/>
    <cellStyle name="Output 2 4" xfId="44055" xr:uid="{00000000-0005-0000-0000-000094EB0000}"/>
    <cellStyle name="Output 2 4 10" xfId="44056" xr:uid="{00000000-0005-0000-0000-000095EB0000}"/>
    <cellStyle name="Output 2 4 2" xfId="44057" xr:uid="{00000000-0005-0000-0000-000096EB0000}"/>
    <cellStyle name="Output 2 4 2 2" xfId="44058" xr:uid="{00000000-0005-0000-0000-000097EB0000}"/>
    <cellStyle name="Output 2 4 2 3" xfId="44059" xr:uid="{00000000-0005-0000-0000-000098EB0000}"/>
    <cellStyle name="Output 2 4 3" xfId="44060" xr:uid="{00000000-0005-0000-0000-000099EB0000}"/>
    <cellStyle name="Output 2 4 4" xfId="44061" xr:uid="{00000000-0005-0000-0000-00009AEB0000}"/>
    <cellStyle name="Output 2 4 5" xfId="44062" xr:uid="{00000000-0005-0000-0000-00009BEB0000}"/>
    <cellStyle name="Output 2 4 6" xfId="44063" xr:uid="{00000000-0005-0000-0000-00009CEB0000}"/>
    <cellStyle name="Output 2 4 7" xfId="44064" xr:uid="{00000000-0005-0000-0000-00009DEB0000}"/>
    <cellStyle name="Output 2 4 8" xfId="44065" xr:uid="{00000000-0005-0000-0000-00009EEB0000}"/>
    <cellStyle name="Output 2 4 9" xfId="44066" xr:uid="{00000000-0005-0000-0000-00009FEB0000}"/>
    <cellStyle name="Output 2 5" xfId="44067" xr:uid="{00000000-0005-0000-0000-0000A0EB0000}"/>
    <cellStyle name="Output 2 5 10" xfId="44068" xr:uid="{00000000-0005-0000-0000-0000A1EB0000}"/>
    <cellStyle name="Output 2 5 2" xfId="44069" xr:uid="{00000000-0005-0000-0000-0000A2EB0000}"/>
    <cellStyle name="Output 2 5 2 2" xfId="44070" xr:uid="{00000000-0005-0000-0000-0000A3EB0000}"/>
    <cellStyle name="Output 2 5 2 3" xfId="44071" xr:uid="{00000000-0005-0000-0000-0000A4EB0000}"/>
    <cellStyle name="Output 2 5 3" xfId="44072" xr:uid="{00000000-0005-0000-0000-0000A5EB0000}"/>
    <cellStyle name="Output 2 5 3 2" xfId="44073" xr:uid="{00000000-0005-0000-0000-0000A6EB0000}"/>
    <cellStyle name="Output 2 5 4" xfId="44074" xr:uid="{00000000-0005-0000-0000-0000A7EB0000}"/>
    <cellStyle name="Output 2 5 5" xfId="44075" xr:uid="{00000000-0005-0000-0000-0000A8EB0000}"/>
    <cellStyle name="Output 2 5 6" xfId="44076" xr:uid="{00000000-0005-0000-0000-0000A9EB0000}"/>
    <cellStyle name="Output 2 5 7" xfId="44077" xr:uid="{00000000-0005-0000-0000-0000AAEB0000}"/>
    <cellStyle name="Output 2 5 8" xfId="44078" xr:uid="{00000000-0005-0000-0000-0000ABEB0000}"/>
    <cellStyle name="Output 2 5 9" xfId="44079" xr:uid="{00000000-0005-0000-0000-0000ACEB0000}"/>
    <cellStyle name="Output 2 6" xfId="44080" xr:uid="{00000000-0005-0000-0000-0000ADEB0000}"/>
    <cellStyle name="Output 2 6 10" xfId="44081" xr:uid="{00000000-0005-0000-0000-0000AEEB0000}"/>
    <cellStyle name="Output 2 6 11" xfId="44082" xr:uid="{00000000-0005-0000-0000-0000AFEB0000}"/>
    <cellStyle name="Output 2 6 2" xfId="44083" xr:uid="{00000000-0005-0000-0000-0000B0EB0000}"/>
    <cellStyle name="Output 2 6 3" xfId="44084" xr:uid="{00000000-0005-0000-0000-0000B1EB0000}"/>
    <cellStyle name="Output 2 6 4" xfId="44085" xr:uid="{00000000-0005-0000-0000-0000B2EB0000}"/>
    <cellStyle name="Output 2 6 5" xfId="44086" xr:uid="{00000000-0005-0000-0000-0000B3EB0000}"/>
    <cellStyle name="Output 2 6 6" xfId="44087" xr:uid="{00000000-0005-0000-0000-0000B4EB0000}"/>
    <cellStyle name="Output 2 6 7" xfId="44088" xr:uid="{00000000-0005-0000-0000-0000B5EB0000}"/>
    <cellStyle name="Output 2 6 8" xfId="44089" xr:uid="{00000000-0005-0000-0000-0000B6EB0000}"/>
    <cellStyle name="Output 2 6 9" xfId="44090" xr:uid="{00000000-0005-0000-0000-0000B7EB0000}"/>
    <cellStyle name="Output 2 7" xfId="44091" xr:uid="{00000000-0005-0000-0000-0000B8EB0000}"/>
    <cellStyle name="Output 2 7 10" xfId="44092" xr:uid="{00000000-0005-0000-0000-0000B9EB0000}"/>
    <cellStyle name="Output 2 7 11" xfId="44093" xr:uid="{00000000-0005-0000-0000-0000BAEB0000}"/>
    <cellStyle name="Output 2 7 2" xfId="44094" xr:uid="{00000000-0005-0000-0000-0000BBEB0000}"/>
    <cellStyle name="Output 2 7 3" xfId="44095" xr:uid="{00000000-0005-0000-0000-0000BCEB0000}"/>
    <cellStyle name="Output 2 7 4" xfId="44096" xr:uid="{00000000-0005-0000-0000-0000BDEB0000}"/>
    <cellStyle name="Output 2 7 5" xfId="44097" xr:uid="{00000000-0005-0000-0000-0000BEEB0000}"/>
    <cellStyle name="Output 2 7 6" xfId="44098" xr:uid="{00000000-0005-0000-0000-0000BFEB0000}"/>
    <cellStyle name="Output 2 7 7" xfId="44099" xr:uid="{00000000-0005-0000-0000-0000C0EB0000}"/>
    <cellStyle name="Output 2 7 8" xfId="44100" xr:uid="{00000000-0005-0000-0000-0000C1EB0000}"/>
    <cellStyle name="Output 2 7 9" xfId="44101" xr:uid="{00000000-0005-0000-0000-0000C2EB0000}"/>
    <cellStyle name="Output 2 8" xfId="44102" xr:uid="{00000000-0005-0000-0000-0000C3EB0000}"/>
    <cellStyle name="Output 2 8 10" xfId="44103" xr:uid="{00000000-0005-0000-0000-0000C4EB0000}"/>
    <cellStyle name="Output 2 8 2" xfId="44104" xr:uid="{00000000-0005-0000-0000-0000C5EB0000}"/>
    <cellStyle name="Output 2 8 3" xfId="44105" xr:uid="{00000000-0005-0000-0000-0000C6EB0000}"/>
    <cellStyle name="Output 2 8 4" xfId="44106" xr:uid="{00000000-0005-0000-0000-0000C7EB0000}"/>
    <cellStyle name="Output 2 8 5" xfId="44107" xr:uid="{00000000-0005-0000-0000-0000C8EB0000}"/>
    <cellStyle name="Output 2 8 6" xfId="44108" xr:uid="{00000000-0005-0000-0000-0000C9EB0000}"/>
    <cellStyle name="Output 2 8 7" xfId="44109" xr:uid="{00000000-0005-0000-0000-0000CAEB0000}"/>
    <cellStyle name="Output 2 8 8" xfId="44110" xr:uid="{00000000-0005-0000-0000-0000CBEB0000}"/>
    <cellStyle name="Output 2 8 9" xfId="44111" xr:uid="{00000000-0005-0000-0000-0000CCEB0000}"/>
    <cellStyle name="Output 3" xfId="44112" xr:uid="{00000000-0005-0000-0000-0000CDEB0000}"/>
    <cellStyle name="Output 3 2" xfId="44113" xr:uid="{00000000-0005-0000-0000-0000CEEB0000}"/>
    <cellStyle name="Output 3 2 2" xfId="44114" xr:uid="{00000000-0005-0000-0000-0000CFEB0000}"/>
    <cellStyle name="Output 3 3" xfId="44115" xr:uid="{00000000-0005-0000-0000-0000D0EB0000}"/>
    <cellStyle name="Output 3 3 2" xfId="44116" xr:uid="{00000000-0005-0000-0000-0000D1EB0000}"/>
    <cellStyle name="Output 3 4" xfId="44117" xr:uid="{00000000-0005-0000-0000-0000D2EB0000}"/>
    <cellStyle name="Output 4" xfId="44118" xr:uid="{00000000-0005-0000-0000-0000D3EB0000}"/>
    <cellStyle name="Output 4 2" xfId="44119" xr:uid="{00000000-0005-0000-0000-0000D4EB0000}"/>
    <cellStyle name="Output 5" xfId="44120" xr:uid="{00000000-0005-0000-0000-0000D5EB0000}"/>
    <cellStyle name="Percent 10" xfId="44121" xr:uid="{00000000-0005-0000-0000-0000D6EB0000}"/>
    <cellStyle name="Percent 10 2" xfId="44122" xr:uid="{00000000-0005-0000-0000-0000D7EB0000}"/>
    <cellStyle name="Percent 10 3" xfId="44123" xr:uid="{00000000-0005-0000-0000-0000D8EB0000}"/>
    <cellStyle name="Percent 11" xfId="44124" xr:uid="{00000000-0005-0000-0000-0000D9EB0000}"/>
    <cellStyle name="Percent 11 2" xfId="44125" xr:uid="{00000000-0005-0000-0000-0000DAEB0000}"/>
    <cellStyle name="Percent 12" xfId="44126" xr:uid="{00000000-0005-0000-0000-0000DBEB0000}"/>
    <cellStyle name="Percent 13" xfId="44127" xr:uid="{00000000-0005-0000-0000-0000DCEB0000}"/>
    <cellStyle name="Percent 14" xfId="44128" xr:uid="{00000000-0005-0000-0000-0000DDEB0000}"/>
    <cellStyle name="Percent 2" xfId="44129" xr:uid="{00000000-0005-0000-0000-0000DEEB0000}"/>
    <cellStyle name="Percent 2 2" xfId="44130" xr:uid="{00000000-0005-0000-0000-0000DFEB0000}"/>
    <cellStyle name="Percent 2 2 2" xfId="44131" xr:uid="{00000000-0005-0000-0000-0000E0EB0000}"/>
    <cellStyle name="Percent 2 2 2 2" xfId="44132" xr:uid="{00000000-0005-0000-0000-0000E1EB0000}"/>
    <cellStyle name="Percent 2 2 2 2 2" xfId="62277" xr:uid="{00000000-0005-0000-0000-0000E2EB0000}"/>
    <cellStyle name="Percent 2 2 2 3" xfId="44133" xr:uid="{00000000-0005-0000-0000-0000E3EB0000}"/>
    <cellStyle name="Percent 2 2 3" xfId="44134" xr:uid="{00000000-0005-0000-0000-0000E4EB0000}"/>
    <cellStyle name="Percent 2 2 3 2" xfId="44135" xr:uid="{00000000-0005-0000-0000-0000E5EB0000}"/>
    <cellStyle name="Percent 2 2 4" xfId="44136" xr:uid="{00000000-0005-0000-0000-0000E6EB0000}"/>
    <cellStyle name="Percent 2 3" xfId="44137" xr:uid="{00000000-0005-0000-0000-0000E7EB0000}"/>
    <cellStyle name="Percent 2 3 2" xfId="44138" xr:uid="{00000000-0005-0000-0000-0000E8EB0000}"/>
    <cellStyle name="Percent 3" xfId="44139" xr:uid="{00000000-0005-0000-0000-0000E9EB0000}"/>
    <cellStyle name="Percent 3 10" xfId="44140" xr:uid="{00000000-0005-0000-0000-0000EAEB0000}"/>
    <cellStyle name="Percent 3 10 2" xfId="44141" xr:uid="{00000000-0005-0000-0000-0000EBEB0000}"/>
    <cellStyle name="Percent 3 10 2 2" xfId="44142" xr:uid="{00000000-0005-0000-0000-0000ECEB0000}"/>
    <cellStyle name="Percent 3 10 2 2 2" xfId="62278" xr:uid="{00000000-0005-0000-0000-0000EDEB0000}"/>
    <cellStyle name="Percent 3 10 2 2 3" xfId="62279" xr:uid="{00000000-0005-0000-0000-0000EEEB0000}"/>
    <cellStyle name="Percent 3 10 2 3" xfId="44143" xr:uid="{00000000-0005-0000-0000-0000EFEB0000}"/>
    <cellStyle name="Percent 3 10 2 3 2" xfId="62280" xr:uid="{00000000-0005-0000-0000-0000F0EB0000}"/>
    <cellStyle name="Percent 3 10 2 4" xfId="44144" xr:uid="{00000000-0005-0000-0000-0000F1EB0000}"/>
    <cellStyle name="Percent 3 10 2 5" xfId="44145" xr:uid="{00000000-0005-0000-0000-0000F2EB0000}"/>
    <cellStyle name="Percent 3 10 2 6" xfId="44146" xr:uid="{00000000-0005-0000-0000-0000F3EB0000}"/>
    <cellStyle name="Percent 3 10 3" xfId="44147" xr:uid="{00000000-0005-0000-0000-0000F4EB0000}"/>
    <cellStyle name="Percent 3 10 3 2" xfId="62281" xr:uid="{00000000-0005-0000-0000-0000F5EB0000}"/>
    <cellStyle name="Percent 3 10 3 3" xfId="62282" xr:uid="{00000000-0005-0000-0000-0000F6EB0000}"/>
    <cellStyle name="Percent 3 10 4" xfId="44148" xr:uid="{00000000-0005-0000-0000-0000F7EB0000}"/>
    <cellStyle name="Percent 3 10 4 2" xfId="62283" xr:uid="{00000000-0005-0000-0000-0000F8EB0000}"/>
    <cellStyle name="Percent 3 10 5" xfId="44149" xr:uid="{00000000-0005-0000-0000-0000F9EB0000}"/>
    <cellStyle name="Percent 3 10 6" xfId="44150" xr:uid="{00000000-0005-0000-0000-0000FAEB0000}"/>
    <cellStyle name="Percent 3 10 7" xfId="44151" xr:uid="{00000000-0005-0000-0000-0000FBEB0000}"/>
    <cellStyle name="Percent 3 11" xfId="44152" xr:uid="{00000000-0005-0000-0000-0000FCEB0000}"/>
    <cellStyle name="Percent 3 11 2" xfId="44153" xr:uid="{00000000-0005-0000-0000-0000FDEB0000}"/>
    <cellStyle name="Percent 3 11 2 2" xfId="62284" xr:uid="{00000000-0005-0000-0000-0000FEEB0000}"/>
    <cellStyle name="Percent 3 11 2 3" xfId="62285" xr:uid="{00000000-0005-0000-0000-0000FFEB0000}"/>
    <cellStyle name="Percent 3 11 3" xfId="44154" xr:uid="{00000000-0005-0000-0000-000000EC0000}"/>
    <cellStyle name="Percent 3 11 3 2" xfId="62286" xr:uid="{00000000-0005-0000-0000-000001EC0000}"/>
    <cellStyle name="Percent 3 11 4" xfId="44155" xr:uid="{00000000-0005-0000-0000-000002EC0000}"/>
    <cellStyle name="Percent 3 11 5" xfId="44156" xr:uid="{00000000-0005-0000-0000-000003EC0000}"/>
    <cellStyle name="Percent 3 11 6" xfId="44157" xr:uid="{00000000-0005-0000-0000-000004EC0000}"/>
    <cellStyle name="Percent 3 12" xfId="44158" xr:uid="{00000000-0005-0000-0000-000005EC0000}"/>
    <cellStyle name="Percent 3 12 2" xfId="62287" xr:uid="{00000000-0005-0000-0000-000006EC0000}"/>
    <cellStyle name="Percent 3 12 3" xfId="62288" xr:uid="{00000000-0005-0000-0000-000007EC0000}"/>
    <cellStyle name="Percent 3 13" xfId="44159" xr:uid="{00000000-0005-0000-0000-000008EC0000}"/>
    <cellStyle name="Percent 3 13 2" xfId="62289" xr:uid="{00000000-0005-0000-0000-000009EC0000}"/>
    <cellStyle name="Percent 3 14" xfId="44160" xr:uid="{00000000-0005-0000-0000-00000AEC0000}"/>
    <cellStyle name="Percent 3 14 2" xfId="62290" xr:uid="{00000000-0005-0000-0000-00000BEC0000}"/>
    <cellStyle name="Percent 3 15" xfId="44161" xr:uid="{00000000-0005-0000-0000-00000CEC0000}"/>
    <cellStyle name="Percent 3 16" xfId="44162" xr:uid="{00000000-0005-0000-0000-00000DEC0000}"/>
    <cellStyle name="Percent 3 17" xfId="44163" xr:uid="{00000000-0005-0000-0000-00000EEC0000}"/>
    <cellStyle name="Percent 3 18" xfId="44164" xr:uid="{00000000-0005-0000-0000-00000FEC0000}"/>
    <cellStyle name="Percent 3 19" xfId="44165" xr:uid="{00000000-0005-0000-0000-000010EC0000}"/>
    <cellStyle name="Percent 3 2" xfId="44166" xr:uid="{00000000-0005-0000-0000-000011EC0000}"/>
    <cellStyle name="Percent 3 2 10" xfId="44167" xr:uid="{00000000-0005-0000-0000-000012EC0000}"/>
    <cellStyle name="Percent 3 2 10 2" xfId="62291" xr:uid="{00000000-0005-0000-0000-000013EC0000}"/>
    <cellStyle name="Percent 3 2 11" xfId="44168" xr:uid="{00000000-0005-0000-0000-000014EC0000}"/>
    <cellStyle name="Percent 3 2 12" xfId="44169" xr:uid="{00000000-0005-0000-0000-000015EC0000}"/>
    <cellStyle name="Percent 3 2 13" xfId="44170" xr:uid="{00000000-0005-0000-0000-000016EC0000}"/>
    <cellStyle name="Percent 3 2 14" xfId="44171" xr:uid="{00000000-0005-0000-0000-000017EC0000}"/>
    <cellStyle name="Percent 3 2 15" xfId="44172" xr:uid="{00000000-0005-0000-0000-000018EC0000}"/>
    <cellStyle name="Percent 3 2 16" xfId="44173" xr:uid="{00000000-0005-0000-0000-000019EC0000}"/>
    <cellStyle name="Percent 3 2 2" xfId="44174" xr:uid="{00000000-0005-0000-0000-00001AEC0000}"/>
    <cellStyle name="Percent 3 2 2 10" xfId="44175" xr:uid="{00000000-0005-0000-0000-00001BEC0000}"/>
    <cellStyle name="Percent 3 2 2 11" xfId="44176" xr:uid="{00000000-0005-0000-0000-00001CEC0000}"/>
    <cellStyle name="Percent 3 2 2 12" xfId="44177" xr:uid="{00000000-0005-0000-0000-00001DEC0000}"/>
    <cellStyle name="Percent 3 2 2 13" xfId="44178" xr:uid="{00000000-0005-0000-0000-00001EEC0000}"/>
    <cellStyle name="Percent 3 2 2 14" xfId="44179" xr:uid="{00000000-0005-0000-0000-00001FEC0000}"/>
    <cellStyle name="Percent 3 2 2 15" xfId="44180" xr:uid="{00000000-0005-0000-0000-000020EC0000}"/>
    <cellStyle name="Percent 3 2 2 2" xfId="44181" xr:uid="{00000000-0005-0000-0000-000021EC0000}"/>
    <cellStyle name="Percent 3 2 2 2 2" xfId="44182" xr:uid="{00000000-0005-0000-0000-000022EC0000}"/>
    <cellStyle name="Percent 3 2 2 2 2 2" xfId="44183" xr:uid="{00000000-0005-0000-0000-000023EC0000}"/>
    <cellStyle name="Percent 3 2 2 2 2 2 2" xfId="44184" xr:uid="{00000000-0005-0000-0000-000024EC0000}"/>
    <cellStyle name="Percent 3 2 2 2 2 2 2 2" xfId="62292" xr:uid="{00000000-0005-0000-0000-000025EC0000}"/>
    <cellStyle name="Percent 3 2 2 2 2 2 2 3" xfId="62293" xr:uid="{00000000-0005-0000-0000-000026EC0000}"/>
    <cellStyle name="Percent 3 2 2 2 2 2 3" xfId="44185" xr:uid="{00000000-0005-0000-0000-000027EC0000}"/>
    <cellStyle name="Percent 3 2 2 2 2 2 3 2" xfId="62294" xr:uid="{00000000-0005-0000-0000-000028EC0000}"/>
    <cellStyle name="Percent 3 2 2 2 2 2 4" xfId="44186" xr:uid="{00000000-0005-0000-0000-000029EC0000}"/>
    <cellStyle name="Percent 3 2 2 2 2 2 5" xfId="44187" xr:uid="{00000000-0005-0000-0000-00002AEC0000}"/>
    <cellStyle name="Percent 3 2 2 2 2 2 6" xfId="44188" xr:uid="{00000000-0005-0000-0000-00002BEC0000}"/>
    <cellStyle name="Percent 3 2 2 2 2 3" xfId="44189" xr:uid="{00000000-0005-0000-0000-00002CEC0000}"/>
    <cellStyle name="Percent 3 2 2 2 2 3 2" xfId="62295" xr:uid="{00000000-0005-0000-0000-00002DEC0000}"/>
    <cellStyle name="Percent 3 2 2 2 2 3 3" xfId="62296" xr:uid="{00000000-0005-0000-0000-00002EEC0000}"/>
    <cellStyle name="Percent 3 2 2 2 2 4" xfId="44190" xr:uid="{00000000-0005-0000-0000-00002FEC0000}"/>
    <cellStyle name="Percent 3 2 2 2 2 4 2" xfId="62297" xr:uid="{00000000-0005-0000-0000-000030EC0000}"/>
    <cellStyle name="Percent 3 2 2 2 2 5" xfId="44191" xr:uid="{00000000-0005-0000-0000-000031EC0000}"/>
    <cellStyle name="Percent 3 2 2 2 2 6" xfId="44192" xr:uid="{00000000-0005-0000-0000-000032EC0000}"/>
    <cellStyle name="Percent 3 2 2 2 2 7" xfId="44193" xr:uid="{00000000-0005-0000-0000-000033EC0000}"/>
    <cellStyle name="Percent 3 2 2 2 3" xfId="44194" xr:uid="{00000000-0005-0000-0000-000034EC0000}"/>
    <cellStyle name="Percent 3 2 2 2 3 2" xfId="44195" xr:uid="{00000000-0005-0000-0000-000035EC0000}"/>
    <cellStyle name="Percent 3 2 2 2 3 2 2" xfId="62298" xr:uid="{00000000-0005-0000-0000-000036EC0000}"/>
    <cellStyle name="Percent 3 2 2 2 3 2 3" xfId="62299" xr:uid="{00000000-0005-0000-0000-000037EC0000}"/>
    <cellStyle name="Percent 3 2 2 2 3 3" xfId="44196" xr:uid="{00000000-0005-0000-0000-000038EC0000}"/>
    <cellStyle name="Percent 3 2 2 2 3 3 2" xfId="62300" xr:uid="{00000000-0005-0000-0000-000039EC0000}"/>
    <cellStyle name="Percent 3 2 2 2 3 4" xfId="44197" xr:uid="{00000000-0005-0000-0000-00003AEC0000}"/>
    <cellStyle name="Percent 3 2 2 2 3 5" xfId="44198" xr:uid="{00000000-0005-0000-0000-00003BEC0000}"/>
    <cellStyle name="Percent 3 2 2 2 3 6" xfId="44199" xr:uid="{00000000-0005-0000-0000-00003CEC0000}"/>
    <cellStyle name="Percent 3 2 2 2 4" xfId="44200" xr:uid="{00000000-0005-0000-0000-00003DEC0000}"/>
    <cellStyle name="Percent 3 2 2 2 4 2" xfId="62301" xr:uid="{00000000-0005-0000-0000-00003EEC0000}"/>
    <cellStyle name="Percent 3 2 2 2 4 3" xfId="62302" xr:uid="{00000000-0005-0000-0000-00003FEC0000}"/>
    <cellStyle name="Percent 3 2 2 2 5" xfId="44201" xr:uid="{00000000-0005-0000-0000-000040EC0000}"/>
    <cellStyle name="Percent 3 2 2 2 5 2" xfId="62303" xr:uid="{00000000-0005-0000-0000-000041EC0000}"/>
    <cellStyle name="Percent 3 2 2 2 6" xfId="44202" xr:uid="{00000000-0005-0000-0000-000042EC0000}"/>
    <cellStyle name="Percent 3 2 2 2 7" xfId="44203" xr:uid="{00000000-0005-0000-0000-000043EC0000}"/>
    <cellStyle name="Percent 3 2 2 2 8" xfId="44204" xr:uid="{00000000-0005-0000-0000-000044EC0000}"/>
    <cellStyle name="Percent 3 2 2 2 9" xfId="44205" xr:uid="{00000000-0005-0000-0000-000045EC0000}"/>
    <cellStyle name="Percent 3 2 2 3" xfId="44206" xr:uid="{00000000-0005-0000-0000-000046EC0000}"/>
    <cellStyle name="Percent 3 2 2 3 2" xfId="44207" xr:uid="{00000000-0005-0000-0000-000047EC0000}"/>
    <cellStyle name="Percent 3 2 2 3 2 2" xfId="44208" xr:uid="{00000000-0005-0000-0000-000048EC0000}"/>
    <cellStyle name="Percent 3 2 2 3 2 2 2" xfId="44209" xr:uid="{00000000-0005-0000-0000-000049EC0000}"/>
    <cellStyle name="Percent 3 2 2 3 2 2 2 2" xfId="62304" xr:uid="{00000000-0005-0000-0000-00004AEC0000}"/>
    <cellStyle name="Percent 3 2 2 3 2 2 2 3" xfId="62305" xr:uid="{00000000-0005-0000-0000-00004BEC0000}"/>
    <cellStyle name="Percent 3 2 2 3 2 2 3" xfId="44210" xr:uid="{00000000-0005-0000-0000-00004CEC0000}"/>
    <cellStyle name="Percent 3 2 2 3 2 2 3 2" xfId="62306" xr:uid="{00000000-0005-0000-0000-00004DEC0000}"/>
    <cellStyle name="Percent 3 2 2 3 2 2 4" xfId="44211" xr:uid="{00000000-0005-0000-0000-00004EEC0000}"/>
    <cellStyle name="Percent 3 2 2 3 2 2 5" xfId="44212" xr:uid="{00000000-0005-0000-0000-00004FEC0000}"/>
    <cellStyle name="Percent 3 2 2 3 2 2 6" xfId="44213" xr:uid="{00000000-0005-0000-0000-000050EC0000}"/>
    <cellStyle name="Percent 3 2 2 3 2 3" xfId="44214" xr:uid="{00000000-0005-0000-0000-000051EC0000}"/>
    <cellStyle name="Percent 3 2 2 3 2 3 2" xfId="62307" xr:uid="{00000000-0005-0000-0000-000052EC0000}"/>
    <cellStyle name="Percent 3 2 2 3 2 3 3" xfId="62308" xr:uid="{00000000-0005-0000-0000-000053EC0000}"/>
    <cellStyle name="Percent 3 2 2 3 2 4" xfId="44215" xr:uid="{00000000-0005-0000-0000-000054EC0000}"/>
    <cellStyle name="Percent 3 2 2 3 2 4 2" xfId="62309" xr:uid="{00000000-0005-0000-0000-000055EC0000}"/>
    <cellStyle name="Percent 3 2 2 3 2 5" xfId="44216" xr:uid="{00000000-0005-0000-0000-000056EC0000}"/>
    <cellStyle name="Percent 3 2 2 3 2 6" xfId="44217" xr:uid="{00000000-0005-0000-0000-000057EC0000}"/>
    <cellStyle name="Percent 3 2 2 3 2 7" xfId="44218" xr:uid="{00000000-0005-0000-0000-000058EC0000}"/>
    <cellStyle name="Percent 3 2 2 3 3" xfId="44219" xr:uid="{00000000-0005-0000-0000-000059EC0000}"/>
    <cellStyle name="Percent 3 2 2 3 3 2" xfId="44220" xr:uid="{00000000-0005-0000-0000-00005AEC0000}"/>
    <cellStyle name="Percent 3 2 2 3 3 2 2" xfId="62310" xr:uid="{00000000-0005-0000-0000-00005BEC0000}"/>
    <cellStyle name="Percent 3 2 2 3 3 2 3" xfId="62311" xr:uid="{00000000-0005-0000-0000-00005CEC0000}"/>
    <cellStyle name="Percent 3 2 2 3 3 3" xfId="44221" xr:uid="{00000000-0005-0000-0000-00005DEC0000}"/>
    <cellStyle name="Percent 3 2 2 3 3 3 2" xfId="62312" xr:uid="{00000000-0005-0000-0000-00005EEC0000}"/>
    <cellStyle name="Percent 3 2 2 3 3 4" xfId="44222" xr:uid="{00000000-0005-0000-0000-00005FEC0000}"/>
    <cellStyle name="Percent 3 2 2 3 3 5" xfId="44223" xr:uid="{00000000-0005-0000-0000-000060EC0000}"/>
    <cellStyle name="Percent 3 2 2 3 3 6" xfId="44224" xr:uid="{00000000-0005-0000-0000-000061EC0000}"/>
    <cellStyle name="Percent 3 2 2 3 4" xfId="44225" xr:uid="{00000000-0005-0000-0000-000062EC0000}"/>
    <cellStyle name="Percent 3 2 2 3 4 2" xfId="62313" xr:uid="{00000000-0005-0000-0000-000063EC0000}"/>
    <cellStyle name="Percent 3 2 2 3 4 3" xfId="62314" xr:uid="{00000000-0005-0000-0000-000064EC0000}"/>
    <cellStyle name="Percent 3 2 2 3 5" xfId="44226" xr:uid="{00000000-0005-0000-0000-000065EC0000}"/>
    <cellStyle name="Percent 3 2 2 3 5 2" xfId="62315" xr:uid="{00000000-0005-0000-0000-000066EC0000}"/>
    <cellStyle name="Percent 3 2 2 3 6" xfId="44227" xr:uid="{00000000-0005-0000-0000-000067EC0000}"/>
    <cellStyle name="Percent 3 2 2 3 7" xfId="44228" xr:uid="{00000000-0005-0000-0000-000068EC0000}"/>
    <cellStyle name="Percent 3 2 2 3 8" xfId="44229" xr:uid="{00000000-0005-0000-0000-000069EC0000}"/>
    <cellStyle name="Percent 3 2 2 4" xfId="44230" xr:uid="{00000000-0005-0000-0000-00006AEC0000}"/>
    <cellStyle name="Percent 3 2 2 4 2" xfId="44231" xr:uid="{00000000-0005-0000-0000-00006BEC0000}"/>
    <cellStyle name="Percent 3 2 2 4 2 2" xfId="44232" xr:uid="{00000000-0005-0000-0000-00006CEC0000}"/>
    <cellStyle name="Percent 3 2 2 4 2 2 2" xfId="62316" xr:uid="{00000000-0005-0000-0000-00006DEC0000}"/>
    <cellStyle name="Percent 3 2 2 4 2 2 3" xfId="62317" xr:uid="{00000000-0005-0000-0000-00006EEC0000}"/>
    <cellStyle name="Percent 3 2 2 4 2 3" xfId="44233" xr:uid="{00000000-0005-0000-0000-00006FEC0000}"/>
    <cellStyle name="Percent 3 2 2 4 2 3 2" xfId="62318" xr:uid="{00000000-0005-0000-0000-000070EC0000}"/>
    <cellStyle name="Percent 3 2 2 4 2 4" xfId="44234" xr:uid="{00000000-0005-0000-0000-000071EC0000}"/>
    <cellStyle name="Percent 3 2 2 4 2 5" xfId="44235" xr:uid="{00000000-0005-0000-0000-000072EC0000}"/>
    <cellStyle name="Percent 3 2 2 4 2 6" xfId="44236" xr:uid="{00000000-0005-0000-0000-000073EC0000}"/>
    <cellStyle name="Percent 3 2 2 4 3" xfId="44237" xr:uid="{00000000-0005-0000-0000-000074EC0000}"/>
    <cellStyle name="Percent 3 2 2 4 3 2" xfId="62319" xr:uid="{00000000-0005-0000-0000-000075EC0000}"/>
    <cellStyle name="Percent 3 2 2 4 3 3" xfId="62320" xr:uid="{00000000-0005-0000-0000-000076EC0000}"/>
    <cellStyle name="Percent 3 2 2 4 4" xfId="44238" xr:uid="{00000000-0005-0000-0000-000077EC0000}"/>
    <cellStyle name="Percent 3 2 2 4 4 2" xfId="62321" xr:uid="{00000000-0005-0000-0000-000078EC0000}"/>
    <cellStyle name="Percent 3 2 2 4 5" xfId="44239" xr:uid="{00000000-0005-0000-0000-000079EC0000}"/>
    <cellStyle name="Percent 3 2 2 4 6" xfId="44240" xr:uid="{00000000-0005-0000-0000-00007AEC0000}"/>
    <cellStyle name="Percent 3 2 2 4 7" xfId="44241" xr:uid="{00000000-0005-0000-0000-00007BEC0000}"/>
    <cellStyle name="Percent 3 2 2 5" xfId="44242" xr:uid="{00000000-0005-0000-0000-00007CEC0000}"/>
    <cellStyle name="Percent 3 2 2 5 2" xfId="44243" xr:uid="{00000000-0005-0000-0000-00007DEC0000}"/>
    <cellStyle name="Percent 3 2 2 5 2 2" xfId="62322" xr:uid="{00000000-0005-0000-0000-00007EEC0000}"/>
    <cellStyle name="Percent 3 2 2 5 2 3" xfId="62323" xr:uid="{00000000-0005-0000-0000-00007FEC0000}"/>
    <cellStyle name="Percent 3 2 2 5 3" xfId="44244" xr:uid="{00000000-0005-0000-0000-000080EC0000}"/>
    <cellStyle name="Percent 3 2 2 5 3 2" xfId="62324" xr:uid="{00000000-0005-0000-0000-000081EC0000}"/>
    <cellStyle name="Percent 3 2 2 5 4" xfId="44245" xr:uid="{00000000-0005-0000-0000-000082EC0000}"/>
    <cellStyle name="Percent 3 2 2 5 5" xfId="44246" xr:uid="{00000000-0005-0000-0000-000083EC0000}"/>
    <cellStyle name="Percent 3 2 2 5 6" xfId="44247" xr:uid="{00000000-0005-0000-0000-000084EC0000}"/>
    <cellStyle name="Percent 3 2 2 6" xfId="44248" xr:uid="{00000000-0005-0000-0000-000085EC0000}"/>
    <cellStyle name="Percent 3 2 2 6 2" xfId="62325" xr:uid="{00000000-0005-0000-0000-000086EC0000}"/>
    <cellStyle name="Percent 3 2 2 6 3" xfId="62326" xr:uid="{00000000-0005-0000-0000-000087EC0000}"/>
    <cellStyle name="Percent 3 2 2 7" xfId="44249" xr:uid="{00000000-0005-0000-0000-000088EC0000}"/>
    <cellStyle name="Percent 3 2 2 7 2" xfId="62327" xr:uid="{00000000-0005-0000-0000-000089EC0000}"/>
    <cellStyle name="Percent 3 2 2 8" xfId="44250" xr:uid="{00000000-0005-0000-0000-00008AEC0000}"/>
    <cellStyle name="Percent 3 2 2 9" xfId="44251" xr:uid="{00000000-0005-0000-0000-00008BEC0000}"/>
    <cellStyle name="Percent 3 2 3" xfId="44252" xr:uid="{00000000-0005-0000-0000-00008CEC0000}"/>
    <cellStyle name="Percent 3 2 3 10" xfId="44253" xr:uid="{00000000-0005-0000-0000-00008DEC0000}"/>
    <cellStyle name="Percent 3 2 3 2" xfId="44254" xr:uid="{00000000-0005-0000-0000-00008EEC0000}"/>
    <cellStyle name="Percent 3 2 3 2 2" xfId="44255" xr:uid="{00000000-0005-0000-0000-00008FEC0000}"/>
    <cellStyle name="Percent 3 2 3 2 2 2" xfId="44256" xr:uid="{00000000-0005-0000-0000-000090EC0000}"/>
    <cellStyle name="Percent 3 2 3 2 2 2 2" xfId="62328" xr:uid="{00000000-0005-0000-0000-000091EC0000}"/>
    <cellStyle name="Percent 3 2 3 2 2 2 3" xfId="62329" xr:uid="{00000000-0005-0000-0000-000092EC0000}"/>
    <cellStyle name="Percent 3 2 3 2 2 3" xfId="44257" xr:uid="{00000000-0005-0000-0000-000093EC0000}"/>
    <cellStyle name="Percent 3 2 3 2 2 3 2" xfId="62330" xr:uid="{00000000-0005-0000-0000-000094EC0000}"/>
    <cellStyle name="Percent 3 2 3 2 2 4" xfId="44258" xr:uid="{00000000-0005-0000-0000-000095EC0000}"/>
    <cellStyle name="Percent 3 2 3 2 2 5" xfId="44259" xr:uid="{00000000-0005-0000-0000-000096EC0000}"/>
    <cellStyle name="Percent 3 2 3 2 2 6" xfId="44260" xr:uid="{00000000-0005-0000-0000-000097EC0000}"/>
    <cellStyle name="Percent 3 2 3 2 3" xfId="44261" xr:uid="{00000000-0005-0000-0000-000098EC0000}"/>
    <cellStyle name="Percent 3 2 3 2 3 2" xfId="62331" xr:uid="{00000000-0005-0000-0000-000099EC0000}"/>
    <cellStyle name="Percent 3 2 3 2 3 3" xfId="62332" xr:uid="{00000000-0005-0000-0000-00009AEC0000}"/>
    <cellStyle name="Percent 3 2 3 2 4" xfId="44262" xr:uid="{00000000-0005-0000-0000-00009BEC0000}"/>
    <cellStyle name="Percent 3 2 3 2 4 2" xfId="62333" xr:uid="{00000000-0005-0000-0000-00009CEC0000}"/>
    <cellStyle name="Percent 3 2 3 2 5" xfId="44263" xr:uid="{00000000-0005-0000-0000-00009DEC0000}"/>
    <cellStyle name="Percent 3 2 3 2 6" xfId="44264" xr:uid="{00000000-0005-0000-0000-00009EEC0000}"/>
    <cellStyle name="Percent 3 2 3 2 7" xfId="44265" xr:uid="{00000000-0005-0000-0000-00009FEC0000}"/>
    <cellStyle name="Percent 3 2 3 3" xfId="44266" xr:uid="{00000000-0005-0000-0000-0000A0EC0000}"/>
    <cellStyle name="Percent 3 2 3 3 2" xfId="44267" xr:uid="{00000000-0005-0000-0000-0000A1EC0000}"/>
    <cellStyle name="Percent 3 2 3 3 2 2" xfId="62334" xr:uid="{00000000-0005-0000-0000-0000A2EC0000}"/>
    <cellStyle name="Percent 3 2 3 3 2 3" xfId="62335" xr:uid="{00000000-0005-0000-0000-0000A3EC0000}"/>
    <cellStyle name="Percent 3 2 3 3 3" xfId="44268" xr:uid="{00000000-0005-0000-0000-0000A4EC0000}"/>
    <cellStyle name="Percent 3 2 3 3 3 2" xfId="62336" xr:uid="{00000000-0005-0000-0000-0000A5EC0000}"/>
    <cellStyle name="Percent 3 2 3 3 4" xfId="44269" xr:uid="{00000000-0005-0000-0000-0000A6EC0000}"/>
    <cellStyle name="Percent 3 2 3 3 5" xfId="44270" xr:uid="{00000000-0005-0000-0000-0000A7EC0000}"/>
    <cellStyle name="Percent 3 2 3 3 6" xfId="44271" xr:uid="{00000000-0005-0000-0000-0000A8EC0000}"/>
    <cellStyle name="Percent 3 2 3 4" xfId="44272" xr:uid="{00000000-0005-0000-0000-0000A9EC0000}"/>
    <cellStyle name="Percent 3 2 3 4 2" xfId="62337" xr:uid="{00000000-0005-0000-0000-0000AAEC0000}"/>
    <cellStyle name="Percent 3 2 3 4 3" xfId="62338" xr:uid="{00000000-0005-0000-0000-0000ABEC0000}"/>
    <cellStyle name="Percent 3 2 3 5" xfId="44273" xr:uid="{00000000-0005-0000-0000-0000ACEC0000}"/>
    <cellStyle name="Percent 3 2 3 5 2" xfId="62339" xr:uid="{00000000-0005-0000-0000-0000ADEC0000}"/>
    <cellStyle name="Percent 3 2 3 6" xfId="44274" xr:uid="{00000000-0005-0000-0000-0000AEEC0000}"/>
    <cellStyle name="Percent 3 2 3 7" xfId="44275" xr:uid="{00000000-0005-0000-0000-0000AFEC0000}"/>
    <cellStyle name="Percent 3 2 3 8" xfId="44276" xr:uid="{00000000-0005-0000-0000-0000B0EC0000}"/>
    <cellStyle name="Percent 3 2 3 9" xfId="44277" xr:uid="{00000000-0005-0000-0000-0000B1EC0000}"/>
    <cellStyle name="Percent 3 2 4" xfId="44278" xr:uid="{00000000-0005-0000-0000-0000B2EC0000}"/>
    <cellStyle name="Percent 3 2 4 2" xfId="44279" xr:uid="{00000000-0005-0000-0000-0000B3EC0000}"/>
    <cellStyle name="Percent 3 2 4 2 2" xfId="44280" xr:uid="{00000000-0005-0000-0000-0000B4EC0000}"/>
    <cellStyle name="Percent 3 2 4 2 2 2" xfId="44281" xr:uid="{00000000-0005-0000-0000-0000B5EC0000}"/>
    <cellStyle name="Percent 3 2 4 2 2 2 2" xfId="62340" xr:uid="{00000000-0005-0000-0000-0000B6EC0000}"/>
    <cellStyle name="Percent 3 2 4 2 2 2 3" xfId="62341" xr:uid="{00000000-0005-0000-0000-0000B7EC0000}"/>
    <cellStyle name="Percent 3 2 4 2 2 3" xfId="44282" xr:uid="{00000000-0005-0000-0000-0000B8EC0000}"/>
    <cellStyle name="Percent 3 2 4 2 2 3 2" xfId="62342" xr:uid="{00000000-0005-0000-0000-0000B9EC0000}"/>
    <cellStyle name="Percent 3 2 4 2 2 4" xfId="44283" xr:uid="{00000000-0005-0000-0000-0000BAEC0000}"/>
    <cellStyle name="Percent 3 2 4 2 2 5" xfId="44284" xr:uid="{00000000-0005-0000-0000-0000BBEC0000}"/>
    <cellStyle name="Percent 3 2 4 2 2 6" xfId="44285" xr:uid="{00000000-0005-0000-0000-0000BCEC0000}"/>
    <cellStyle name="Percent 3 2 4 2 3" xfId="44286" xr:uid="{00000000-0005-0000-0000-0000BDEC0000}"/>
    <cellStyle name="Percent 3 2 4 2 3 2" xfId="62343" xr:uid="{00000000-0005-0000-0000-0000BEEC0000}"/>
    <cellStyle name="Percent 3 2 4 2 3 3" xfId="62344" xr:uid="{00000000-0005-0000-0000-0000BFEC0000}"/>
    <cellStyle name="Percent 3 2 4 2 4" xfId="44287" xr:uid="{00000000-0005-0000-0000-0000C0EC0000}"/>
    <cellStyle name="Percent 3 2 4 2 4 2" xfId="62345" xr:uid="{00000000-0005-0000-0000-0000C1EC0000}"/>
    <cellStyle name="Percent 3 2 4 2 5" xfId="44288" xr:uid="{00000000-0005-0000-0000-0000C2EC0000}"/>
    <cellStyle name="Percent 3 2 4 2 6" xfId="44289" xr:uid="{00000000-0005-0000-0000-0000C3EC0000}"/>
    <cellStyle name="Percent 3 2 4 2 7" xfId="44290" xr:uid="{00000000-0005-0000-0000-0000C4EC0000}"/>
    <cellStyle name="Percent 3 2 4 3" xfId="44291" xr:uid="{00000000-0005-0000-0000-0000C5EC0000}"/>
    <cellStyle name="Percent 3 2 4 3 2" xfId="44292" xr:uid="{00000000-0005-0000-0000-0000C6EC0000}"/>
    <cellStyle name="Percent 3 2 4 3 2 2" xfId="62346" xr:uid="{00000000-0005-0000-0000-0000C7EC0000}"/>
    <cellStyle name="Percent 3 2 4 3 2 3" xfId="62347" xr:uid="{00000000-0005-0000-0000-0000C8EC0000}"/>
    <cellStyle name="Percent 3 2 4 3 3" xfId="44293" xr:uid="{00000000-0005-0000-0000-0000C9EC0000}"/>
    <cellStyle name="Percent 3 2 4 3 3 2" xfId="62348" xr:uid="{00000000-0005-0000-0000-0000CAEC0000}"/>
    <cellStyle name="Percent 3 2 4 3 4" xfId="44294" xr:uid="{00000000-0005-0000-0000-0000CBEC0000}"/>
    <cellStyle name="Percent 3 2 4 3 5" xfId="44295" xr:uid="{00000000-0005-0000-0000-0000CCEC0000}"/>
    <cellStyle name="Percent 3 2 4 3 6" xfId="44296" xr:uid="{00000000-0005-0000-0000-0000CDEC0000}"/>
    <cellStyle name="Percent 3 2 4 4" xfId="44297" xr:uid="{00000000-0005-0000-0000-0000CEEC0000}"/>
    <cellStyle name="Percent 3 2 4 4 2" xfId="62349" xr:uid="{00000000-0005-0000-0000-0000CFEC0000}"/>
    <cellStyle name="Percent 3 2 4 4 3" xfId="62350" xr:uid="{00000000-0005-0000-0000-0000D0EC0000}"/>
    <cellStyle name="Percent 3 2 4 5" xfId="44298" xr:uid="{00000000-0005-0000-0000-0000D1EC0000}"/>
    <cellStyle name="Percent 3 2 4 5 2" xfId="62351" xr:uid="{00000000-0005-0000-0000-0000D2EC0000}"/>
    <cellStyle name="Percent 3 2 4 6" xfId="44299" xr:uid="{00000000-0005-0000-0000-0000D3EC0000}"/>
    <cellStyle name="Percent 3 2 4 7" xfId="44300" xr:uid="{00000000-0005-0000-0000-0000D4EC0000}"/>
    <cellStyle name="Percent 3 2 4 8" xfId="44301" xr:uid="{00000000-0005-0000-0000-0000D5EC0000}"/>
    <cellStyle name="Percent 3 2 5" xfId="44302" xr:uid="{00000000-0005-0000-0000-0000D6EC0000}"/>
    <cellStyle name="Percent 3 2 5 2" xfId="44303" xr:uid="{00000000-0005-0000-0000-0000D7EC0000}"/>
    <cellStyle name="Percent 3 2 5 2 2" xfId="44304" xr:uid="{00000000-0005-0000-0000-0000D8EC0000}"/>
    <cellStyle name="Percent 3 2 5 2 2 2" xfId="62352" xr:uid="{00000000-0005-0000-0000-0000D9EC0000}"/>
    <cellStyle name="Percent 3 2 5 2 2 3" xfId="62353" xr:uid="{00000000-0005-0000-0000-0000DAEC0000}"/>
    <cellStyle name="Percent 3 2 5 2 3" xfId="44305" xr:uid="{00000000-0005-0000-0000-0000DBEC0000}"/>
    <cellStyle name="Percent 3 2 5 2 3 2" xfId="62354" xr:uid="{00000000-0005-0000-0000-0000DCEC0000}"/>
    <cellStyle name="Percent 3 2 5 2 4" xfId="44306" xr:uid="{00000000-0005-0000-0000-0000DDEC0000}"/>
    <cellStyle name="Percent 3 2 5 2 5" xfId="44307" xr:uid="{00000000-0005-0000-0000-0000DEEC0000}"/>
    <cellStyle name="Percent 3 2 5 2 6" xfId="44308" xr:uid="{00000000-0005-0000-0000-0000DFEC0000}"/>
    <cellStyle name="Percent 3 2 5 3" xfId="44309" xr:uid="{00000000-0005-0000-0000-0000E0EC0000}"/>
    <cellStyle name="Percent 3 2 5 3 2" xfId="62355" xr:uid="{00000000-0005-0000-0000-0000E1EC0000}"/>
    <cellStyle name="Percent 3 2 5 3 3" xfId="62356" xr:uid="{00000000-0005-0000-0000-0000E2EC0000}"/>
    <cellStyle name="Percent 3 2 5 4" xfId="44310" xr:uid="{00000000-0005-0000-0000-0000E3EC0000}"/>
    <cellStyle name="Percent 3 2 5 4 2" xfId="62357" xr:uid="{00000000-0005-0000-0000-0000E4EC0000}"/>
    <cellStyle name="Percent 3 2 5 5" xfId="44311" xr:uid="{00000000-0005-0000-0000-0000E5EC0000}"/>
    <cellStyle name="Percent 3 2 5 6" xfId="44312" xr:uid="{00000000-0005-0000-0000-0000E6EC0000}"/>
    <cellStyle name="Percent 3 2 5 7" xfId="44313" xr:uid="{00000000-0005-0000-0000-0000E7EC0000}"/>
    <cellStyle name="Percent 3 2 6" xfId="44314" xr:uid="{00000000-0005-0000-0000-0000E8EC0000}"/>
    <cellStyle name="Percent 3 2 6 2" xfId="44315" xr:uid="{00000000-0005-0000-0000-0000E9EC0000}"/>
    <cellStyle name="Percent 3 2 6 2 2" xfId="62358" xr:uid="{00000000-0005-0000-0000-0000EAEC0000}"/>
    <cellStyle name="Percent 3 2 6 2 3" xfId="62359" xr:uid="{00000000-0005-0000-0000-0000EBEC0000}"/>
    <cellStyle name="Percent 3 2 6 3" xfId="44316" xr:uid="{00000000-0005-0000-0000-0000ECEC0000}"/>
    <cellStyle name="Percent 3 2 6 3 2" xfId="62360" xr:uid="{00000000-0005-0000-0000-0000EDEC0000}"/>
    <cellStyle name="Percent 3 2 6 4" xfId="44317" xr:uid="{00000000-0005-0000-0000-0000EEEC0000}"/>
    <cellStyle name="Percent 3 2 6 5" xfId="44318" xr:uid="{00000000-0005-0000-0000-0000EFEC0000}"/>
    <cellStyle name="Percent 3 2 6 6" xfId="44319" xr:uid="{00000000-0005-0000-0000-0000F0EC0000}"/>
    <cellStyle name="Percent 3 2 7" xfId="44320" xr:uid="{00000000-0005-0000-0000-0000F1EC0000}"/>
    <cellStyle name="Percent 3 2 7 2" xfId="62361" xr:uid="{00000000-0005-0000-0000-0000F2EC0000}"/>
    <cellStyle name="Percent 3 2 7 3" xfId="62362" xr:uid="{00000000-0005-0000-0000-0000F3EC0000}"/>
    <cellStyle name="Percent 3 2 8" xfId="44321" xr:uid="{00000000-0005-0000-0000-0000F4EC0000}"/>
    <cellStyle name="Percent 3 2 8 2" xfId="62363" xr:uid="{00000000-0005-0000-0000-0000F5EC0000}"/>
    <cellStyle name="Percent 3 2 9" xfId="44322" xr:uid="{00000000-0005-0000-0000-0000F6EC0000}"/>
    <cellStyle name="Percent 3 2 9 2" xfId="44323" xr:uid="{00000000-0005-0000-0000-0000F7EC0000}"/>
    <cellStyle name="Percent 3 20" xfId="44324" xr:uid="{00000000-0005-0000-0000-0000F8EC0000}"/>
    <cellStyle name="Percent 3 21" xfId="44325" xr:uid="{00000000-0005-0000-0000-0000F9EC0000}"/>
    <cellStyle name="Percent 3 3" xfId="44326" xr:uid="{00000000-0005-0000-0000-0000FAEC0000}"/>
    <cellStyle name="Percent 3 3 10" xfId="44327" xr:uid="{00000000-0005-0000-0000-0000FBEC0000}"/>
    <cellStyle name="Percent 3 3 11" xfId="44328" xr:uid="{00000000-0005-0000-0000-0000FCEC0000}"/>
    <cellStyle name="Percent 3 3 12" xfId="44329" xr:uid="{00000000-0005-0000-0000-0000FDEC0000}"/>
    <cellStyle name="Percent 3 3 13" xfId="44330" xr:uid="{00000000-0005-0000-0000-0000FEEC0000}"/>
    <cellStyle name="Percent 3 3 14" xfId="44331" xr:uid="{00000000-0005-0000-0000-0000FFEC0000}"/>
    <cellStyle name="Percent 3 3 15" xfId="44332" xr:uid="{00000000-0005-0000-0000-000000ED0000}"/>
    <cellStyle name="Percent 3 3 16" xfId="44333" xr:uid="{00000000-0005-0000-0000-000001ED0000}"/>
    <cellStyle name="Percent 3 3 2" xfId="44334" xr:uid="{00000000-0005-0000-0000-000002ED0000}"/>
    <cellStyle name="Percent 3 3 2 10" xfId="44335" xr:uid="{00000000-0005-0000-0000-000003ED0000}"/>
    <cellStyle name="Percent 3 3 2 11" xfId="44336" xr:uid="{00000000-0005-0000-0000-000004ED0000}"/>
    <cellStyle name="Percent 3 3 2 12" xfId="44337" xr:uid="{00000000-0005-0000-0000-000005ED0000}"/>
    <cellStyle name="Percent 3 3 2 13" xfId="44338" xr:uid="{00000000-0005-0000-0000-000006ED0000}"/>
    <cellStyle name="Percent 3 3 2 14" xfId="44339" xr:uid="{00000000-0005-0000-0000-000007ED0000}"/>
    <cellStyle name="Percent 3 3 2 2" xfId="44340" xr:uid="{00000000-0005-0000-0000-000008ED0000}"/>
    <cellStyle name="Percent 3 3 2 2 2" xfId="44341" xr:uid="{00000000-0005-0000-0000-000009ED0000}"/>
    <cellStyle name="Percent 3 3 2 2 2 2" xfId="44342" xr:uid="{00000000-0005-0000-0000-00000AED0000}"/>
    <cellStyle name="Percent 3 3 2 2 2 2 2" xfId="44343" xr:uid="{00000000-0005-0000-0000-00000BED0000}"/>
    <cellStyle name="Percent 3 3 2 2 2 2 2 2" xfId="62364" xr:uid="{00000000-0005-0000-0000-00000CED0000}"/>
    <cellStyle name="Percent 3 3 2 2 2 2 2 3" xfId="62365" xr:uid="{00000000-0005-0000-0000-00000DED0000}"/>
    <cellStyle name="Percent 3 3 2 2 2 2 3" xfId="44344" xr:uid="{00000000-0005-0000-0000-00000EED0000}"/>
    <cellStyle name="Percent 3 3 2 2 2 2 3 2" xfId="62366" xr:uid="{00000000-0005-0000-0000-00000FED0000}"/>
    <cellStyle name="Percent 3 3 2 2 2 2 4" xfId="44345" xr:uid="{00000000-0005-0000-0000-000010ED0000}"/>
    <cellStyle name="Percent 3 3 2 2 2 2 5" xfId="44346" xr:uid="{00000000-0005-0000-0000-000011ED0000}"/>
    <cellStyle name="Percent 3 3 2 2 2 2 6" xfId="44347" xr:uid="{00000000-0005-0000-0000-000012ED0000}"/>
    <cellStyle name="Percent 3 3 2 2 2 3" xfId="44348" xr:uid="{00000000-0005-0000-0000-000013ED0000}"/>
    <cellStyle name="Percent 3 3 2 2 2 3 2" xfId="62367" xr:uid="{00000000-0005-0000-0000-000014ED0000}"/>
    <cellStyle name="Percent 3 3 2 2 2 3 3" xfId="62368" xr:uid="{00000000-0005-0000-0000-000015ED0000}"/>
    <cellStyle name="Percent 3 3 2 2 2 4" xfId="44349" xr:uid="{00000000-0005-0000-0000-000016ED0000}"/>
    <cellStyle name="Percent 3 3 2 2 2 4 2" xfId="62369" xr:uid="{00000000-0005-0000-0000-000017ED0000}"/>
    <cellStyle name="Percent 3 3 2 2 2 5" xfId="44350" xr:uid="{00000000-0005-0000-0000-000018ED0000}"/>
    <cellStyle name="Percent 3 3 2 2 2 6" xfId="44351" xr:uid="{00000000-0005-0000-0000-000019ED0000}"/>
    <cellStyle name="Percent 3 3 2 2 2 7" xfId="44352" xr:uid="{00000000-0005-0000-0000-00001AED0000}"/>
    <cellStyle name="Percent 3 3 2 2 3" xfId="44353" xr:uid="{00000000-0005-0000-0000-00001BED0000}"/>
    <cellStyle name="Percent 3 3 2 2 3 2" xfId="44354" xr:uid="{00000000-0005-0000-0000-00001CED0000}"/>
    <cellStyle name="Percent 3 3 2 2 3 2 2" xfId="62370" xr:uid="{00000000-0005-0000-0000-00001DED0000}"/>
    <cellStyle name="Percent 3 3 2 2 3 2 3" xfId="62371" xr:uid="{00000000-0005-0000-0000-00001EED0000}"/>
    <cellStyle name="Percent 3 3 2 2 3 3" xfId="44355" xr:uid="{00000000-0005-0000-0000-00001FED0000}"/>
    <cellStyle name="Percent 3 3 2 2 3 3 2" xfId="62372" xr:uid="{00000000-0005-0000-0000-000020ED0000}"/>
    <cellStyle name="Percent 3 3 2 2 3 4" xfId="44356" xr:uid="{00000000-0005-0000-0000-000021ED0000}"/>
    <cellStyle name="Percent 3 3 2 2 3 5" xfId="44357" xr:uid="{00000000-0005-0000-0000-000022ED0000}"/>
    <cellStyle name="Percent 3 3 2 2 3 6" xfId="44358" xr:uid="{00000000-0005-0000-0000-000023ED0000}"/>
    <cellStyle name="Percent 3 3 2 2 4" xfId="44359" xr:uid="{00000000-0005-0000-0000-000024ED0000}"/>
    <cellStyle name="Percent 3 3 2 2 4 2" xfId="62373" xr:uid="{00000000-0005-0000-0000-000025ED0000}"/>
    <cellStyle name="Percent 3 3 2 2 4 3" xfId="62374" xr:uid="{00000000-0005-0000-0000-000026ED0000}"/>
    <cellStyle name="Percent 3 3 2 2 5" xfId="44360" xr:uid="{00000000-0005-0000-0000-000027ED0000}"/>
    <cellStyle name="Percent 3 3 2 2 5 2" xfId="62375" xr:uid="{00000000-0005-0000-0000-000028ED0000}"/>
    <cellStyle name="Percent 3 3 2 2 6" xfId="44361" xr:uid="{00000000-0005-0000-0000-000029ED0000}"/>
    <cellStyle name="Percent 3 3 2 2 7" xfId="44362" xr:uid="{00000000-0005-0000-0000-00002AED0000}"/>
    <cellStyle name="Percent 3 3 2 2 8" xfId="44363" xr:uid="{00000000-0005-0000-0000-00002BED0000}"/>
    <cellStyle name="Percent 3 3 2 2 9" xfId="44364" xr:uid="{00000000-0005-0000-0000-00002CED0000}"/>
    <cellStyle name="Percent 3 3 2 3" xfId="44365" xr:uid="{00000000-0005-0000-0000-00002DED0000}"/>
    <cellStyle name="Percent 3 3 2 3 2" xfId="44366" xr:uid="{00000000-0005-0000-0000-00002EED0000}"/>
    <cellStyle name="Percent 3 3 2 3 2 2" xfId="44367" xr:uid="{00000000-0005-0000-0000-00002FED0000}"/>
    <cellStyle name="Percent 3 3 2 3 2 2 2" xfId="44368" xr:uid="{00000000-0005-0000-0000-000030ED0000}"/>
    <cellStyle name="Percent 3 3 2 3 2 2 2 2" xfId="62376" xr:uid="{00000000-0005-0000-0000-000031ED0000}"/>
    <cellStyle name="Percent 3 3 2 3 2 2 2 3" xfId="62377" xr:uid="{00000000-0005-0000-0000-000032ED0000}"/>
    <cellStyle name="Percent 3 3 2 3 2 2 3" xfId="44369" xr:uid="{00000000-0005-0000-0000-000033ED0000}"/>
    <cellStyle name="Percent 3 3 2 3 2 2 3 2" xfId="62378" xr:uid="{00000000-0005-0000-0000-000034ED0000}"/>
    <cellStyle name="Percent 3 3 2 3 2 2 4" xfId="44370" xr:uid="{00000000-0005-0000-0000-000035ED0000}"/>
    <cellStyle name="Percent 3 3 2 3 2 2 5" xfId="44371" xr:uid="{00000000-0005-0000-0000-000036ED0000}"/>
    <cellStyle name="Percent 3 3 2 3 2 2 6" xfId="44372" xr:uid="{00000000-0005-0000-0000-000037ED0000}"/>
    <cellStyle name="Percent 3 3 2 3 2 3" xfId="44373" xr:uid="{00000000-0005-0000-0000-000038ED0000}"/>
    <cellStyle name="Percent 3 3 2 3 2 3 2" xfId="62379" xr:uid="{00000000-0005-0000-0000-000039ED0000}"/>
    <cellStyle name="Percent 3 3 2 3 2 3 3" xfId="62380" xr:uid="{00000000-0005-0000-0000-00003AED0000}"/>
    <cellStyle name="Percent 3 3 2 3 2 4" xfId="44374" xr:uid="{00000000-0005-0000-0000-00003BED0000}"/>
    <cellStyle name="Percent 3 3 2 3 2 4 2" xfId="62381" xr:uid="{00000000-0005-0000-0000-00003CED0000}"/>
    <cellStyle name="Percent 3 3 2 3 2 5" xfId="44375" xr:uid="{00000000-0005-0000-0000-00003DED0000}"/>
    <cellStyle name="Percent 3 3 2 3 2 6" xfId="44376" xr:uid="{00000000-0005-0000-0000-00003EED0000}"/>
    <cellStyle name="Percent 3 3 2 3 2 7" xfId="44377" xr:uid="{00000000-0005-0000-0000-00003FED0000}"/>
    <cellStyle name="Percent 3 3 2 3 3" xfId="44378" xr:uid="{00000000-0005-0000-0000-000040ED0000}"/>
    <cellStyle name="Percent 3 3 2 3 3 2" xfId="44379" xr:uid="{00000000-0005-0000-0000-000041ED0000}"/>
    <cellStyle name="Percent 3 3 2 3 3 2 2" xfId="62382" xr:uid="{00000000-0005-0000-0000-000042ED0000}"/>
    <cellStyle name="Percent 3 3 2 3 3 2 3" xfId="62383" xr:uid="{00000000-0005-0000-0000-000043ED0000}"/>
    <cellStyle name="Percent 3 3 2 3 3 3" xfId="44380" xr:uid="{00000000-0005-0000-0000-000044ED0000}"/>
    <cellStyle name="Percent 3 3 2 3 3 3 2" xfId="62384" xr:uid="{00000000-0005-0000-0000-000045ED0000}"/>
    <cellStyle name="Percent 3 3 2 3 3 4" xfId="44381" xr:uid="{00000000-0005-0000-0000-000046ED0000}"/>
    <cellStyle name="Percent 3 3 2 3 3 5" xfId="44382" xr:uid="{00000000-0005-0000-0000-000047ED0000}"/>
    <cellStyle name="Percent 3 3 2 3 3 6" xfId="44383" xr:uid="{00000000-0005-0000-0000-000048ED0000}"/>
    <cellStyle name="Percent 3 3 2 3 4" xfId="44384" xr:uid="{00000000-0005-0000-0000-000049ED0000}"/>
    <cellStyle name="Percent 3 3 2 3 4 2" xfId="62385" xr:uid="{00000000-0005-0000-0000-00004AED0000}"/>
    <cellStyle name="Percent 3 3 2 3 4 3" xfId="62386" xr:uid="{00000000-0005-0000-0000-00004BED0000}"/>
    <cellStyle name="Percent 3 3 2 3 5" xfId="44385" xr:uid="{00000000-0005-0000-0000-00004CED0000}"/>
    <cellStyle name="Percent 3 3 2 3 5 2" xfId="62387" xr:uid="{00000000-0005-0000-0000-00004DED0000}"/>
    <cellStyle name="Percent 3 3 2 3 6" xfId="44386" xr:uid="{00000000-0005-0000-0000-00004EED0000}"/>
    <cellStyle name="Percent 3 3 2 3 7" xfId="44387" xr:uid="{00000000-0005-0000-0000-00004FED0000}"/>
    <cellStyle name="Percent 3 3 2 3 8" xfId="44388" xr:uid="{00000000-0005-0000-0000-000050ED0000}"/>
    <cellStyle name="Percent 3 3 2 4" xfId="44389" xr:uid="{00000000-0005-0000-0000-000051ED0000}"/>
    <cellStyle name="Percent 3 3 2 4 2" xfId="44390" xr:uid="{00000000-0005-0000-0000-000052ED0000}"/>
    <cellStyle name="Percent 3 3 2 4 2 2" xfId="44391" xr:uid="{00000000-0005-0000-0000-000053ED0000}"/>
    <cellStyle name="Percent 3 3 2 4 2 2 2" xfId="62388" xr:uid="{00000000-0005-0000-0000-000054ED0000}"/>
    <cellStyle name="Percent 3 3 2 4 2 2 3" xfId="62389" xr:uid="{00000000-0005-0000-0000-000055ED0000}"/>
    <cellStyle name="Percent 3 3 2 4 2 3" xfId="44392" xr:uid="{00000000-0005-0000-0000-000056ED0000}"/>
    <cellStyle name="Percent 3 3 2 4 2 3 2" xfId="62390" xr:uid="{00000000-0005-0000-0000-000057ED0000}"/>
    <cellStyle name="Percent 3 3 2 4 2 4" xfId="44393" xr:uid="{00000000-0005-0000-0000-000058ED0000}"/>
    <cellStyle name="Percent 3 3 2 4 2 5" xfId="44394" xr:uid="{00000000-0005-0000-0000-000059ED0000}"/>
    <cellStyle name="Percent 3 3 2 4 2 6" xfId="44395" xr:uid="{00000000-0005-0000-0000-00005AED0000}"/>
    <cellStyle name="Percent 3 3 2 4 3" xfId="44396" xr:uid="{00000000-0005-0000-0000-00005BED0000}"/>
    <cellStyle name="Percent 3 3 2 4 3 2" xfId="62391" xr:uid="{00000000-0005-0000-0000-00005CED0000}"/>
    <cellStyle name="Percent 3 3 2 4 3 3" xfId="62392" xr:uid="{00000000-0005-0000-0000-00005DED0000}"/>
    <cellStyle name="Percent 3 3 2 4 4" xfId="44397" xr:uid="{00000000-0005-0000-0000-00005EED0000}"/>
    <cellStyle name="Percent 3 3 2 4 4 2" xfId="62393" xr:uid="{00000000-0005-0000-0000-00005FED0000}"/>
    <cellStyle name="Percent 3 3 2 4 5" xfId="44398" xr:uid="{00000000-0005-0000-0000-000060ED0000}"/>
    <cellStyle name="Percent 3 3 2 4 6" xfId="44399" xr:uid="{00000000-0005-0000-0000-000061ED0000}"/>
    <cellStyle name="Percent 3 3 2 4 7" xfId="44400" xr:uid="{00000000-0005-0000-0000-000062ED0000}"/>
    <cellStyle name="Percent 3 3 2 5" xfId="44401" xr:uid="{00000000-0005-0000-0000-000063ED0000}"/>
    <cellStyle name="Percent 3 3 2 5 2" xfId="44402" xr:uid="{00000000-0005-0000-0000-000064ED0000}"/>
    <cellStyle name="Percent 3 3 2 5 2 2" xfId="62394" xr:uid="{00000000-0005-0000-0000-000065ED0000}"/>
    <cellStyle name="Percent 3 3 2 5 2 3" xfId="62395" xr:uid="{00000000-0005-0000-0000-000066ED0000}"/>
    <cellStyle name="Percent 3 3 2 5 3" xfId="44403" xr:uid="{00000000-0005-0000-0000-000067ED0000}"/>
    <cellStyle name="Percent 3 3 2 5 3 2" xfId="62396" xr:uid="{00000000-0005-0000-0000-000068ED0000}"/>
    <cellStyle name="Percent 3 3 2 5 4" xfId="44404" xr:uid="{00000000-0005-0000-0000-000069ED0000}"/>
    <cellStyle name="Percent 3 3 2 5 5" xfId="44405" xr:uid="{00000000-0005-0000-0000-00006AED0000}"/>
    <cellStyle name="Percent 3 3 2 5 6" xfId="44406" xr:uid="{00000000-0005-0000-0000-00006BED0000}"/>
    <cellStyle name="Percent 3 3 2 6" xfId="44407" xr:uid="{00000000-0005-0000-0000-00006CED0000}"/>
    <cellStyle name="Percent 3 3 2 6 2" xfId="62397" xr:uid="{00000000-0005-0000-0000-00006DED0000}"/>
    <cellStyle name="Percent 3 3 2 6 3" xfId="62398" xr:uid="{00000000-0005-0000-0000-00006EED0000}"/>
    <cellStyle name="Percent 3 3 2 7" xfId="44408" xr:uid="{00000000-0005-0000-0000-00006FED0000}"/>
    <cellStyle name="Percent 3 3 2 7 2" xfId="62399" xr:uid="{00000000-0005-0000-0000-000070ED0000}"/>
    <cellStyle name="Percent 3 3 2 8" xfId="44409" xr:uid="{00000000-0005-0000-0000-000071ED0000}"/>
    <cellStyle name="Percent 3 3 2 9" xfId="44410" xr:uid="{00000000-0005-0000-0000-000072ED0000}"/>
    <cellStyle name="Percent 3 3 3" xfId="44411" xr:uid="{00000000-0005-0000-0000-000073ED0000}"/>
    <cellStyle name="Percent 3 3 3 2" xfId="44412" xr:uid="{00000000-0005-0000-0000-000074ED0000}"/>
    <cellStyle name="Percent 3 3 3 2 2" xfId="44413" xr:uid="{00000000-0005-0000-0000-000075ED0000}"/>
    <cellStyle name="Percent 3 3 3 2 2 2" xfId="44414" xr:uid="{00000000-0005-0000-0000-000076ED0000}"/>
    <cellStyle name="Percent 3 3 3 2 2 2 2" xfId="62400" xr:uid="{00000000-0005-0000-0000-000077ED0000}"/>
    <cellStyle name="Percent 3 3 3 2 2 2 3" xfId="62401" xr:uid="{00000000-0005-0000-0000-000078ED0000}"/>
    <cellStyle name="Percent 3 3 3 2 2 3" xfId="44415" xr:uid="{00000000-0005-0000-0000-000079ED0000}"/>
    <cellStyle name="Percent 3 3 3 2 2 3 2" xfId="62402" xr:uid="{00000000-0005-0000-0000-00007AED0000}"/>
    <cellStyle name="Percent 3 3 3 2 2 4" xfId="44416" xr:uid="{00000000-0005-0000-0000-00007BED0000}"/>
    <cellStyle name="Percent 3 3 3 2 2 5" xfId="44417" xr:uid="{00000000-0005-0000-0000-00007CED0000}"/>
    <cellStyle name="Percent 3 3 3 2 2 6" xfId="44418" xr:uid="{00000000-0005-0000-0000-00007DED0000}"/>
    <cellStyle name="Percent 3 3 3 2 3" xfId="44419" xr:uid="{00000000-0005-0000-0000-00007EED0000}"/>
    <cellStyle name="Percent 3 3 3 2 3 2" xfId="62403" xr:uid="{00000000-0005-0000-0000-00007FED0000}"/>
    <cellStyle name="Percent 3 3 3 2 3 3" xfId="62404" xr:uid="{00000000-0005-0000-0000-000080ED0000}"/>
    <cellStyle name="Percent 3 3 3 2 4" xfId="44420" xr:uid="{00000000-0005-0000-0000-000081ED0000}"/>
    <cellStyle name="Percent 3 3 3 2 4 2" xfId="62405" xr:uid="{00000000-0005-0000-0000-000082ED0000}"/>
    <cellStyle name="Percent 3 3 3 2 5" xfId="44421" xr:uid="{00000000-0005-0000-0000-000083ED0000}"/>
    <cellStyle name="Percent 3 3 3 2 6" xfId="44422" xr:uid="{00000000-0005-0000-0000-000084ED0000}"/>
    <cellStyle name="Percent 3 3 3 2 7" xfId="44423" xr:uid="{00000000-0005-0000-0000-000085ED0000}"/>
    <cellStyle name="Percent 3 3 3 3" xfId="44424" xr:uid="{00000000-0005-0000-0000-000086ED0000}"/>
    <cellStyle name="Percent 3 3 3 3 2" xfId="44425" xr:uid="{00000000-0005-0000-0000-000087ED0000}"/>
    <cellStyle name="Percent 3 3 3 3 2 2" xfId="62406" xr:uid="{00000000-0005-0000-0000-000088ED0000}"/>
    <cellStyle name="Percent 3 3 3 3 2 3" xfId="62407" xr:uid="{00000000-0005-0000-0000-000089ED0000}"/>
    <cellStyle name="Percent 3 3 3 3 3" xfId="44426" xr:uid="{00000000-0005-0000-0000-00008AED0000}"/>
    <cellStyle name="Percent 3 3 3 3 3 2" xfId="62408" xr:uid="{00000000-0005-0000-0000-00008BED0000}"/>
    <cellStyle name="Percent 3 3 3 3 4" xfId="44427" xr:uid="{00000000-0005-0000-0000-00008CED0000}"/>
    <cellStyle name="Percent 3 3 3 3 5" xfId="44428" xr:uid="{00000000-0005-0000-0000-00008DED0000}"/>
    <cellStyle name="Percent 3 3 3 3 6" xfId="44429" xr:uid="{00000000-0005-0000-0000-00008EED0000}"/>
    <cellStyle name="Percent 3 3 3 4" xfId="44430" xr:uid="{00000000-0005-0000-0000-00008FED0000}"/>
    <cellStyle name="Percent 3 3 3 4 2" xfId="62409" xr:uid="{00000000-0005-0000-0000-000090ED0000}"/>
    <cellStyle name="Percent 3 3 3 4 3" xfId="62410" xr:uid="{00000000-0005-0000-0000-000091ED0000}"/>
    <cellStyle name="Percent 3 3 3 5" xfId="44431" xr:uid="{00000000-0005-0000-0000-000092ED0000}"/>
    <cellStyle name="Percent 3 3 3 5 2" xfId="62411" xr:uid="{00000000-0005-0000-0000-000093ED0000}"/>
    <cellStyle name="Percent 3 3 3 6" xfId="44432" xr:uid="{00000000-0005-0000-0000-000094ED0000}"/>
    <cellStyle name="Percent 3 3 3 7" xfId="44433" xr:uid="{00000000-0005-0000-0000-000095ED0000}"/>
    <cellStyle name="Percent 3 3 3 8" xfId="44434" xr:uid="{00000000-0005-0000-0000-000096ED0000}"/>
    <cellStyle name="Percent 3 3 3 9" xfId="44435" xr:uid="{00000000-0005-0000-0000-000097ED0000}"/>
    <cellStyle name="Percent 3 3 4" xfId="44436" xr:uid="{00000000-0005-0000-0000-000098ED0000}"/>
    <cellStyle name="Percent 3 3 4 2" xfId="44437" xr:uid="{00000000-0005-0000-0000-000099ED0000}"/>
    <cellStyle name="Percent 3 3 4 2 2" xfId="44438" xr:uid="{00000000-0005-0000-0000-00009AED0000}"/>
    <cellStyle name="Percent 3 3 4 2 2 2" xfId="44439" xr:uid="{00000000-0005-0000-0000-00009BED0000}"/>
    <cellStyle name="Percent 3 3 4 2 2 2 2" xfId="62412" xr:uid="{00000000-0005-0000-0000-00009CED0000}"/>
    <cellStyle name="Percent 3 3 4 2 2 2 3" xfId="62413" xr:uid="{00000000-0005-0000-0000-00009DED0000}"/>
    <cellStyle name="Percent 3 3 4 2 2 3" xfId="44440" xr:uid="{00000000-0005-0000-0000-00009EED0000}"/>
    <cellStyle name="Percent 3 3 4 2 2 3 2" xfId="62414" xr:uid="{00000000-0005-0000-0000-00009FED0000}"/>
    <cellStyle name="Percent 3 3 4 2 2 4" xfId="44441" xr:uid="{00000000-0005-0000-0000-0000A0ED0000}"/>
    <cellStyle name="Percent 3 3 4 2 2 5" xfId="44442" xr:uid="{00000000-0005-0000-0000-0000A1ED0000}"/>
    <cellStyle name="Percent 3 3 4 2 2 6" xfId="44443" xr:uid="{00000000-0005-0000-0000-0000A2ED0000}"/>
    <cellStyle name="Percent 3 3 4 2 3" xfId="44444" xr:uid="{00000000-0005-0000-0000-0000A3ED0000}"/>
    <cellStyle name="Percent 3 3 4 2 3 2" xfId="62415" xr:uid="{00000000-0005-0000-0000-0000A4ED0000}"/>
    <cellStyle name="Percent 3 3 4 2 3 3" xfId="62416" xr:uid="{00000000-0005-0000-0000-0000A5ED0000}"/>
    <cellStyle name="Percent 3 3 4 2 4" xfId="44445" xr:uid="{00000000-0005-0000-0000-0000A6ED0000}"/>
    <cellStyle name="Percent 3 3 4 2 4 2" xfId="62417" xr:uid="{00000000-0005-0000-0000-0000A7ED0000}"/>
    <cellStyle name="Percent 3 3 4 2 5" xfId="44446" xr:uid="{00000000-0005-0000-0000-0000A8ED0000}"/>
    <cellStyle name="Percent 3 3 4 2 6" xfId="44447" xr:uid="{00000000-0005-0000-0000-0000A9ED0000}"/>
    <cellStyle name="Percent 3 3 4 2 7" xfId="44448" xr:uid="{00000000-0005-0000-0000-0000AAED0000}"/>
    <cellStyle name="Percent 3 3 4 3" xfId="44449" xr:uid="{00000000-0005-0000-0000-0000ABED0000}"/>
    <cellStyle name="Percent 3 3 4 3 2" xfId="44450" xr:uid="{00000000-0005-0000-0000-0000ACED0000}"/>
    <cellStyle name="Percent 3 3 4 3 2 2" xfId="62418" xr:uid="{00000000-0005-0000-0000-0000ADED0000}"/>
    <cellStyle name="Percent 3 3 4 3 2 3" xfId="62419" xr:uid="{00000000-0005-0000-0000-0000AEED0000}"/>
    <cellStyle name="Percent 3 3 4 3 3" xfId="44451" xr:uid="{00000000-0005-0000-0000-0000AFED0000}"/>
    <cellStyle name="Percent 3 3 4 3 3 2" xfId="62420" xr:uid="{00000000-0005-0000-0000-0000B0ED0000}"/>
    <cellStyle name="Percent 3 3 4 3 4" xfId="44452" xr:uid="{00000000-0005-0000-0000-0000B1ED0000}"/>
    <cellStyle name="Percent 3 3 4 3 5" xfId="44453" xr:uid="{00000000-0005-0000-0000-0000B2ED0000}"/>
    <cellStyle name="Percent 3 3 4 3 6" xfId="44454" xr:uid="{00000000-0005-0000-0000-0000B3ED0000}"/>
    <cellStyle name="Percent 3 3 4 4" xfId="44455" xr:uid="{00000000-0005-0000-0000-0000B4ED0000}"/>
    <cellStyle name="Percent 3 3 4 4 2" xfId="62421" xr:uid="{00000000-0005-0000-0000-0000B5ED0000}"/>
    <cellStyle name="Percent 3 3 4 4 3" xfId="62422" xr:uid="{00000000-0005-0000-0000-0000B6ED0000}"/>
    <cellStyle name="Percent 3 3 4 5" xfId="44456" xr:uid="{00000000-0005-0000-0000-0000B7ED0000}"/>
    <cellStyle name="Percent 3 3 4 5 2" xfId="62423" xr:uid="{00000000-0005-0000-0000-0000B8ED0000}"/>
    <cellStyle name="Percent 3 3 4 6" xfId="44457" xr:uid="{00000000-0005-0000-0000-0000B9ED0000}"/>
    <cellStyle name="Percent 3 3 4 7" xfId="44458" xr:uid="{00000000-0005-0000-0000-0000BAED0000}"/>
    <cellStyle name="Percent 3 3 4 8" xfId="44459" xr:uid="{00000000-0005-0000-0000-0000BBED0000}"/>
    <cellStyle name="Percent 3 3 5" xfId="44460" xr:uid="{00000000-0005-0000-0000-0000BCED0000}"/>
    <cellStyle name="Percent 3 3 5 2" xfId="44461" xr:uid="{00000000-0005-0000-0000-0000BDED0000}"/>
    <cellStyle name="Percent 3 3 5 2 2" xfId="44462" xr:uid="{00000000-0005-0000-0000-0000BEED0000}"/>
    <cellStyle name="Percent 3 3 5 2 2 2" xfId="62424" xr:uid="{00000000-0005-0000-0000-0000BFED0000}"/>
    <cellStyle name="Percent 3 3 5 2 2 3" xfId="62425" xr:uid="{00000000-0005-0000-0000-0000C0ED0000}"/>
    <cellStyle name="Percent 3 3 5 2 3" xfId="44463" xr:uid="{00000000-0005-0000-0000-0000C1ED0000}"/>
    <cellStyle name="Percent 3 3 5 2 3 2" xfId="62426" xr:uid="{00000000-0005-0000-0000-0000C2ED0000}"/>
    <cellStyle name="Percent 3 3 5 2 4" xfId="44464" xr:uid="{00000000-0005-0000-0000-0000C3ED0000}"/>
    <cellStyle name="Percent 3 3 5 2 5" xfId="44465" xr:uid="{00000000-0005-0000-0000-0000C4ED0000}"/>
    <cellStyle name="Percent 3 3 5 2 6" xfId="44466" xr:uid="{00000000-0005-0000-0000-0000C5ED0000}"/>
    <cellStyle name="Percent 3 3 5 3" xfId="44467" xr:uid="{00000000-0005-0000-0000-0000C6ED0000}"/>
    <cellStyle name="Percent 3 3 5 3 2" xfId="62427" xr:uid="{00000000-0005-0000-0000-0000C7ED0000}"/>
    <cellStyle name="Percent 3 3 5 3 3" xfId="62428" xr:uid="{00000000-0005-0000-0000-0000C8ED0000}"/>
    <cellStyle name="Percent 3 3 5 4" xfId="44468" xr:uid="{00000000-0005-0000-0000-0000C9ED0000}"/>
    <cellStyle name="Percent 3 3 5 4 2" xfId="62429" xr:uid="{00000000-0005-0000-0000-0000CAED0000}"/>
    <cellStyle name="Percent 3 3 5 5" xfId="44469" xr:uid="{00000000-0005-0000-0000-0000CBED0000}"/>
    <cellStyle name="Percent 3 3 5 6" xfId="44470" xr:uid="{00000000-0005-0000-0000-0000CCED0000}"/>
    <cellStyle name="Percent 3 3 5 7" xfId="44471" xr:uid="{00000000-0005-0000-0000-0000CDED0000}"/>
    <cellStyle name="Percent 3 3 6" xfId="44472" xr:uid="{00000000-0005-0000-0000-0000CEED0000}"/>
    <cellStyle name="Percent 3 3 6 2" xfId="44473" xr:uid="{00000000-0005-0000-0000-0000CFED0000}"/>
    <cellStyle name="Percent 3 3 6 2 2" xfId="62430" xr:uid="{00000000-0005-0000-0000-0000D0ED0000}"/>
    <cellStyle name="Percent 3 3 6 2 3" xfId="62431" xr:uid="{00000000-0005-0000-0000-0000D1ED0000}"/>
    <cellStyle name="Percent 3 3 6 3" xfId="44474" xr:uid="{00000000-0005-0000-0000-0000D2ED0000}"/>
    <cellStyle name="Percent 3 3 6 3 2" xfId="62432" xr:uid="{00000000-0005-0000-0000-0000D3ED0000}"/>
    <cellStyle name="Percent 3 3 6 4" xfId="44475" xr:uid="{00000000-0005-0000-0000-0000D4ED0000}"/>
    <cellStyle name="Percent 3 3 6 5" xfId="44476" xr:uid="{00000000-0005-0000-0000-0000D5ED0000}"/>
    <cellStyle name="Percent 3 3 6 6" xfId="44477" xr:uid="{00000000-0005-0000-0000-0000D6ED0000}"/>
    <cellStyle name="Percent 3 3 7" xfId="44478" xr:uid="{00000000-0005-0000-0000-0000D7ED0000}"/>
    <cellStyle name="Percent 3 3 7 2" xfId="62433" xr:uid="{00000000-0005-0000-0000-0000D8ED0000}"/>
    <cellStyle name="Percent 3 3 7 3" xfId="62434" xr:uid="{00000000-0005-0000-0000-0000D9ED0000}"/>
    <cellStyle name="Percent 3 3 8" xfId="44479" xr:uid="{00000000-0005-0000-0000-0000DAED0000}"/>
    <cellStyle name="Percent 3 3 8 2" xfId="62435" xr:uid="{00000000-0005-0000-0000-0000DBED0000}"/>
    <cellStyle name="Percent 3 3 9" xfId="44480" xr:uid="{00000000-0005-0000-0000-0000DCED0000}"/>
    <cellStyle name="Percent 3 4" xfId="44481" xr:uid="{00000000-0005-0000-0000-0000DDED0000}"/>
    <cellStyle name="Percent 3 4 10" xfId="44482" xr:uid="{00000000-0005-0000-0000-0000DEED0000}"/>
    <cellStyle name="Percent 3 4 11" xfId="44483" xr:uid="{00000000-0005-0000-0000-0000DFED0000}"/>
    <cellStyle name="Percent 3 4 12" xfId="44484" xr:uid="{00000000-0005-0000-0000-0000E0ED0000}"/>
    <cellStyle name="Percent 3 4 13" xfId="44485" xr:uid="{00000000-0005-0000-0000-0000E1ED0000}"/>
    <cellStyle name="Percent 3 4 14" xfId="44486" xr:uid="{00000000-0005-0000-0000-0000E2ED0000}"/>
    <cellStyle name="Percent 3 4 15" xfId="44487" xr:uid="{00000000-0005-0000-0000-0000E3ED0000}"/>
    <cellStyle name="Percent 3 4 2" xfId="44488" xr:uid="{00000000-0005-0000-0000-0000E4ED0000}"/>
    <cellStyle name="Percent 3 4 2 2" xfId="44489" xr:uid="{00000000-0005-0000-0000-0000E5ED0000}"/>
    <cellStyle name="Percent 3 4 2 2 2" xfId="44490" xr:uid="{00000000-0005-0000-0000-0000E6ED0000}"/>
    <cellStyle name="Percent 3 4 2 2 2 2" xfId="44491" xr:uid="{00000000-0005-0000-0000-0000E7ED0000}"/>
    <cellStyle name="Percent 3 4 2 2 2 2 2" xfId="62436" xr:uid="{00000000-0005-0000-0000-0000E8ED0000}"/>
    <cellStyle name="Percent 3 4 2 2 2 2 3" xfId="62437" xr:uid="{00000000-0005-0000-0000-0000E9ED0000}"/>
    <cellStyle name="Percent 3 4 2 2 2 3" xfId="44492" xr:uid="{00000000-0005-0000-0000-0000EAED0000}"/>
    <cellStyle name="Percent 3 4 2 2 2 3 2" xfId="62438" xr:uid="{00000000-0005-0000-0000-0000EBED0000}"/>
    <cellStyle name="Percent 3 4 2 2 2 4" xfId="44493" xr:uid="{00000000-0005-0000-0000-0000ECED0000}"/>
    <cellStyle name="Percent 3 4 2 2 2 5" xfId="44494" xr:uid="{00000000-0005-0000-0000-0000EDED0000}"/>
    <cellStyle name="Percent 3 4 2 2 2 6" xfId="44495" xr:uid="{00000000-0005-0000-0000-0000EEED0000}"/>
    <cellStyle name="Percent 3 4 2 2 3" xfId="44496" xr:uid="{00000000-0005-0000-0000-0000EFED0000}"/>
    <cellStyle name="Percent 3 4 2 2 3 2" xfId="62439" xr:uid="{00000000-0005-0000-0000-0000F0ED0000}"/>
    <cellStyle name="Percent 3 4 2 2 3 3" xfId="62440" xr:uid="{00000000-0005-0000-0000-0000F1ED0000}"/>
    <cellStyle name="Percent 3 4 2 2 4" xfId="44497" xr:uid="{00000000-0005-0000-0000-0000F2ED0000}"/>
    <cellStyle name="Percent 3 4 2 2 4 2" xfId="62441" xr:uid="{00000000-0005-0000-0000-0000F3ED0000}"/>
    <cellStyle name="Percent 3 4 2 2 5" xfId="44498" xr:uid="{00000000-0005-0000-0000-0000F4ED0000}"/>
    <cellStyle name="Percent 3 4 2 2 6" xfId="44499" xr:uid="{00000000-0005-0000-0000-0000F5ED0000}"/>
    <cellStyle name="Percent 3 4 2 2 7" xfId="44500" xr:uid="{00000000-0005-0000-0000-0000F6ED0000}"/>
    <cellStyle name="Percent 3 4 2 3" xfId="44501" xr:uid="{00000000-0005-0000-0000-0000F7ED0000}"/>
    <cellStyle name="Percent 3 4 2 3 2" xfId="44502" xr:uid="{00000000-0005-0000-0000-0000F8ED0000}"/>
    <cellStyle name="Percent 3 4 2 3 2 2" xfId="62442" xr:uid="{00000000-0005-0000-0000-0000F9ED0000}"/>
    <cellStyle name="Percent 3 4 2 3 2 3" xfId="62443" xr:uid="{00000000-0005-0000-0000-0000FAED0000}"/>
    <cellStyle name="Percent 3 4 2 3 3" xfId="44503" xr:uid="{00000000-0005-0000-0000-0000FBED0000}"/>
    <cellStyle name="Percent 3 4 2 3 3 2" xfId="62444" xr:uid="{00000000-0005-0000-0000-0000FCED0000}"/>
    <cellStyle name="Percent 3 4 2 3 4" xfId="44504" xr:uid="{00000000-0005-0000-0000-0000FDED0000}"/>
    <cellStyle name="Percent 3 4 2 3 5" xfId="44505" xr:uid="{00000000-0005-0000-0000-0000FEED0000}"/>
    <cellStyle name="Percent 3 4 2 3 6" xfId="44506" xr:uid="{00000000-0005-0000-0000-0000FFED0000}"/>
    <cellStyle name="Percent 3 4 2 4" xfId="44507" xr:uid="{00000000-0005-0000-0000-000000EE0000}"/>
    <cellStyle name="Percent 3 4 2 4 2" xfId="62445" xr:uid="{00000000-0005-0000-0000-000001EE0000}"/>
    <cellStyle name="Percent 3 4 2 4 3" xfId="62446" xr:uid="{00000000-0005-0000-0000-000002EE0000}"/>
    <cellStyle name="Percent 3 4 2 5" xfId="44508" xr:uid="{00000000-0005-0000-0000-000003EE0000}"/>
    <cellStyle name="Percent 3 4 2 5 2" xfId="62447" xr:uid="{00000000-0005-0000-0000-000004EE0000}"/>
    <cellStyle name="Percent 3 4 2 6" xfId="44509" xr:uid="{00000000-0005-0000-0000-000005EE0000}"/>
    <cellStyle name="Percent 3 4 2 7" xfId="44510" xr:uid="{00000000-0005-0000-0000-000006EE0000}"/>
    <cellStyle name="Percent 3 4 2 8" xfId="44511" xr:uid="{00000000-0005-0000-0000-000007EE0000}"/>
    <cellStyle name="Percent 3 4 2 9" xfId="44512" xr:uid="{00000000-0005-0000-0000-000008EE0000}"/>
    <cellStyle name="Percent 3 4 3" xfId="44513" xr:uid="{00000000-0005-0000-0000-000009EE0000}"/>
    <cellStyle name="Percent 3 4 3 2" xfId="44514" xr:uid="{00000000-0005-0000-0000-00000AEE0000}"/>
    <cellStyle name="Percent 3 4 3 2 2" xfId="44515" xr:uid="{00000000-0005-0000-0000-00000BEE0000}"/>
    <cellStyle name="Percent 3 4 3 2 2 2" xfId="44516" xr:uid="{00000000-0005-0000-0000-00000CEE0000}"/>
    <cellStyle name="Percent 3 4 3 2 2 2 2" xfId="62448" xr:uid="{00000000-0005-0000-0000-00000DEE0000}"/>
    <cellStyle name="Percent 3 4 3 2 2 2 3" xfId="62449" xr:uid="{00000000-0005-0000-0000-00000EEE0000}"/>
    <cellStyle name="Percent 3 4 3 2 2 3" xfId="44517" xr:uid="{00000000-0005-0000-0000-00000FEE0000}"/>
    <cellStyle name="Percent 3 4 3 2 2 3 2" xfId="62450" xr:uid="{00000000-0005-0000-0000-000010EE0000}"/>
    <cellStyle name="Percent 3 4 3 2 2 4" xfId="44518" xr:uid="{00000000-0005-0000-0000-000011EE0000}"/>
    <cellStyle name="Percent 3 4 3 2 2 5" xfId="44519" xr:uid="{00000000-0005-0000-0000-000012EE0000}"/>
    <cellStyle name="Percent 3 4 3 2 2 6" xfId="44520" xr:uid="{00000000-0005-0000-0000-000013EE0000}"/>
    <cellStyle name="Percent 3 4 3 2 3" xfId="44521" xr:uid="{00000000-0005-0000-0000-000014EE0000}"/>
    <cellStyle name="Percent 3 4 3 2 3 2" xfId="62451" xr:uid="{00000000-0005-0000-0000-000015EE0000}"/>
    <cellStyle name="Percent 3 4 3 2 3 3" xfId="62452" xr:uid="{00000000-0005-0000-0000-000016EE0000}"/>
    <cellStyle name="Percent 3 4 3 2 4" xfId="44522" xr:uid="{00000000-0005-0000-0000-000017EE0000}"/>
    <cellStyle name="Percent 3 4 3 2 4 2" xfId="62453" xr:uid="{00000000-0005-0000-0000-000018EE0000}"/>
    <cellStyle name="Percent 3 4 3 2 5" xfId="44523" xr:uid="{00000000-0005-0000-0000-000019EE0000}"/>
    <cellStyle name="Percent 3 4 3 2 6" xfId="44524" xr:uid="{00000000-0005-0000-0000-00001AEE0000}"/>
    <cellStyle name="Percent 3 4 3 2 7" xfId="44525" xr:uid="{00000000-0005-0000-0000-00001BEE0000}"/>
    <cellStyle name="Percent 3 4 3 3" xfId="44526" xr:uid="{00000000-0005-0000-0000-00001CEE0000}"/>
    <cellStyle name="Percent 3 4 3 3 2" xfId="44527" xr:uid="{00000000-0005-0000-0000-00001DEE0000}"/>
    <cellStyle name="Percent 3 4 3 3 2 2" xfId="62454" xr:uid="{00000000-0005-0000-0000-00001EEE0000}"/>
    <cellStyle name="Percent 3 4 3 3 2 3" xfId="62455" xr:uid="{00000000-0005-0000-0000-00001FEE0000}"/>
    <cellStyle name="Percent 3 4 3 3 3" xfId="44528" xr:uid="{00000000-0005-0000-0000-000020EE0000}"/>
    <cellStyle name="Percent 3 4 3 3 3 2" xfId="62456" xr:uid="{00000000-0005-0000-0000-000021EE0000}"/>
    <cellStyle name="Percent 3 4 3 3 4" xfId="44529" xr:uid="{00000000-0005-0000-0000-000022EE0000}"/>
    <cellStyle name="Percent 3 4 3 3 5" xfId="44530" xr:uid="{00000000-0005-0000-0000-000023EE0000}"/>
    <cellStyle name="Percent 3 4 3 3 6" xfId="44531" xr:uid="{00000000-0005-0000-0000-000024EE0000}"/>
    <cellStyle name="Percent 3 4 3 4" xfId="44532" xr:uid="{00000000-0005-0000-0000-000025EE0000}"/>
    <cellStyle name="Percent 3 4 3 4 2" xfId="62457" xr:uid="{00000000-0005-0000-0000-000026EE0000}"/>
    <cellStyle name="Percent 3 4 3 4 3" xfId="62458" xr:uid="{00000000-0005-0000-0000-000027EE0000}"/>
    <cellStyle name="Percent 3 4 3 5" xfId="44533" xr:uid="{00000000-0005-0000-0000-000028EE0000}"/>
    <cellStyle name="Percent 3 4 3 5 2" xfId="62459" xr:uid="{00000000-0005-0000-0000-000029EE0000}"/>
    <cellStyle name="Percent 3 4 3 6" xfId="44534" xr:uid="{00000000-0005-0000-0000-00002AEE0000}"/>
    <cellStyle name="Percent 3 4 3 7" xfId="44535" xr:uid="{00000000-0005-0000-0000-00002BEE0000}"/>
    <cellStyle name="Percent 3 4 3 8" xfId="44536" xr:uid="{00000000-0005-0000-0000-00002CEE0000}"/>
    <cellStyle name="Percent 3 4 4" xfId="44537" xr:uid="{00000000-0005-0000-0000-00002DEE0000}"/>
    <cellStyle name="Percent 3 4 4 2" xfId="44538" xr:uid="{00000000-0005-0000-0000-00002EEE0000}"/>
    <cellStyle name="Percent 3 4 4 2 2" xfId="44539" xr:uid="{00000000-0005-0000-0000-00002FEE0000}"/>
    <cellStyle name="Percent 3 4 4 2 2 2" xfId="62460" xr:uid="{00000000-0005-0000-0000-000030EE0000}"/>
    <cellStyle name="Percent 3 4 4 2 2 3" xfId="62461" xr:uid="{00000000-0005-0000-0000-000031EE0000}"/>
    <cellStyle name="Percent 3 4 4 2 3" xfId="44540" xr:uid="{00000000-0005-0000-0000-000032EE0000}"/>
    <cellStyle name="Percent 3 4 4 2 3 2" xfId="62462" xr:uid="{00000000-0005-0000-0000-000033EE0000}"/>
    <cellStyle name="Percent 3 4 4 2 4" xfId="44541" xr:uid="{00000000-0005-0000-0000-000034EE0000}"/>
    <cellStyle name="Percent 3 4 4 2 5" xfId="44542" xr:uid="{00000000-0005-0000-0000-000035EE0000}"/>
    <cellStyle name="Percent 3 4 4 2 6" xfId="44543" xr:uid="{00000000-0005-0000-0000-000036EE0000}"/>
    <cellStyle name="Percent 3 4 4 3" xfId="44544" xr:uid="{00000000-0005-0000-0000-000037EE0000}"/>
    <cellStyle name="Percent 3 4 4 3 2" xfId="62463" xr:uid="{00000000-0005-0000-0000-000038EE0000}"/>
    <cellStyle name="Percent 3 4 4 3 3" xfId="62464" xr:uid="{00000000-0005-0000-0000-000039EE0000}"/>
    <cellStyle name="Percent 3 4 4 4" xfId="44545" xr:uid="{00000000-0005-0000-0000-00003AEE0000}"/>
    <cellStyle name="Percent 3 4 4 4 2" xfId="62465" xr:uid="{00000000-0005-0000-0000-00003BEE0000}"/>
    <cellStyle name="Percent 3 4 4 5" xfId="44546" xr:uid="{00000000-0005-0000-0000-00003CEE0000}"/>
    <cellStyle name="Percent 3 4 4 6" xfId="44547" xr:uid="{00000000-0005-0000-0000-00003DEE0000}"/>
    <cellStyle name="Percent 3 4 4 7" xfId="44548" xr:uid="{00000000-0005-0000-0000-00003EEE0000}"/>
    <cellStyle name="Percent 3 4 5" xfId="44549" xr:uid="{00000000-0005-0000-0000-00003FEE0000}"/>
    <cellStyle name="Percent 3 4 5 2" xfId="44550" xr:uid="{00000000-0005-0000-0000-000040EE0000}"/>
    <cellStyle name="Percent 3 4 5 2 2" xfId="62466" xr:uid="{00000000-0005-0000-0000-000041EE0000}"/>
    <cellStyle name="Percent 3 4 5 2 3" xfId="62467" xr:uid="{00000000-0005-0000-0000-000042EE0000}"/>
    <cellStyle name="Percent 3 4 5 3" xfId="44551" xr:uid="{00000000-0005-0000-0000-000043EE0000}"/>
    <cellStyle name="Percent 3 4 5 3 2" xfId="62468" xr:uid="{00000000-0005-0000-0000-000044EE0000}"/>
    <cellStyle name="Percent 3 4 5 4" xfId="44552" xr:uid="{00000000-0005-0000-0000-000045EE0000}"/>
    <cellStyle name="Percent 3 4 5 5" xfId="44553" xr:uid="{00000000-0005-0000-0000-000046EE0000}"/>
    <cellStyle name="Percent 3 4 5 6" xfId="44554" xr:uid="{00000000-0005-0000-0000-000047EE0000}"/>
    <cellStyle name="Percent 3 4 6" xfId="44555" xr:uid="{00000000-0005-0000-0000-000048EE0000}"/>
    <cellStyle name="Percent 3 4 6 2" xfId="62469" xr:uid="{00000000-0005-0000-0000-000049EE0000}"/>
    <cellStyle name="Percent 3 4 6 3" xfId="62470" xr:uid="{00000000-0005-0000-0000-00004AEE0000}"/>
    <cellStyle name="Percent 3 4 7" xfId="44556" xr:uid="{00000000-0005-0000-0000-00004BEE0000}"/>
    <cellStyle name="Percent 3 4 7 2" xfId="62471" xr:uid="{00000000-0005-0000-0000-00004CEE0000}"/>
    <cellStyle name="Percent 3 4 8" xfId="44557" xr:uid="{00000000-0005-0000-0000-00004DEE0000}"/>
    <cellStyle name="Percent 3 4 9" xfId="44558" xr:uid="{00000000-0005-0000-0000-00004EEE0000}"/>
    <cellStyle name="Percent 3 5" xfId="44559" xr:uid="{00000000-0005-0000-0000-00004FEE0000}"/>
    <cellStyle name="Percent 3 5 10" xfId="44560" xr:uid="{00000000-0005-0000-0000-000050EE0000}"/>
    <cellStyle name="Percent 3 5 11" xfId="44561" xr:uid="{00000000-0005-0000-0000-000051EE0000}"/>
    <cellStyle name="Percent 3 5 12" xfId="44562" xr:uid="{00000000-0005-0000-0000-000052EE0000}"/>
    <cellStyle name="Percent 3 5 13" xfId="44563" xr:uid="{00000000-0005-0000-0000-000053EE0000}"/>
    <cellStyle name="Percent 3 5 14" xfId="44564" xr:uid="{00000000-0005-0000-0000-000054EE0000}"/>
    <cellStyle name="Percent 3 5 15" xfId="44565" xr:uid="{00000000-0005-0000-0000-000055EE0000}"/>
    <cellStyle name="Percent 3 5 2" xfId="44566" xr:uid="{00000000-0005-0000-0000-000056EE0000}"/>
    <cellStyle name="Percent 3 5 2 2" xfId="44567" xr:uid="{00000000-0005-0000-0000-000057EE0000}"/>
    <cellStyle name="Percent 3 5 2 2 2" xfId="44568" xr:uid="{00000000-0005-0000-0000-000058EE0000}"/>
    <cellStyle name="Percent 3 5 2 2 2 2" xfId="44569" xr:uid="{00000000-0005-0000-0000-000059EE0000}"/>
    <cellStyle name="Percent 3 5 2 2 2 2 2" xfId="62472" xr:uid="{00000000-0005-0000-0000-00005AEE0000}"/>
    <cellStyle name="Percent 3 5 2 2 2 2 3" xfId="62473" xr:uid="{00000000-0005-0000-0000-00005BEE0000}"/>
    <cellStyle name="Percent 3 5 2 2 2 3" xfId="44570" xr:uid="{00000000-0005-0000-0000-00005CEE0000}"/>
    <cellStyle name="Percent 3 5 2 2 2 3 2" xfId="62474" xr:uid="{00000000-0005-0000-0000-00005DEE0000}"/>
    <cellStyle name="Percent 3 5 2 2 2 4" xfId="44571" xr:uid="{00000000-0005-0000-0000-00005EEE0000}"/>
    <cellStyle name="Percent 3 5 2 2 2 5" xfId="44572" xr:uid="{00000000-0005-0000-0000-00005FEE0000}"/>
    <cellStyle name="Percent 3 5 2 2 2 6" xfId="44573" xr:uid="{00000000-0005-0000-0000-000060EE0000}"/>
    <cellStyle name="Percent 3 5 2 2 3" xfId="44574" xr:uid="{00000000-0005-0000-0000-000061EE0000}"/>
    <cellStyle name="Percent 3 5 2 2 3 2" xfId="62475" xr:uid="{00000000-0005-0000-0000-000062EE0000}"/>
    <cellStyle name="Percent 3 5 2 2 3 3" xfId="62476" xr:uid="{00000000-0005-0000-0000-000063EE0000}"/>
    <cellStyle name="Percent 3 5 2 2 4" xfId="44575" xr:uid="{00000000-0005-0000-0000-000064EE0000}"/>
    <cellStyle name="Percent 3 5 2 2 4 2" xfId="62477" xr:uid="{00000000-0005-0000-0000-000065EE0000}"/>
    <cellStyle name="Percent 3 5 2 2 5" xfId="44576" xr:uid="{00000000-0005-0000-0000-000066EE0000}"/>
    <cellStyle name="Percent 3 5 2 2 6" xfId="44577" xr:uid="{00000000-0005-0000-0000-000067EE0000}"/>
    <cellStyle name="Percent 3 5 2 2 7" xfId="44578" xr:uid="{00000000-0005-0000-0000-000068EE0000}"/>
    <cellStyle name="Percent 3 5 2 3" xfId="44579" xr:uid="{00000000-0005-0000-0000-000069EE0000}"/>
    <cellStyle name="Percent 3 5 2 3 2" xfId="44580" xr:uid="{00000000-0005-0000-0000-00006AEE0000}"/>
    <cellStyle name="Percent 3 5 2 3 2 2" xfId="62478" xr:uid="{00000000-0005-0000-0000-00006BEE0000}"/>
    <cellStyle name="Percent 3 5 2 3 2 3" xfId="62479" xr:uid="{00000000-0005-0000-0000-00006CEE0000}"/>
    <cellStyle name="Percent 3 5 2 3 3" xfId="44581" xr:uid="{00000000-0005-0000-0000-00006DEE0000}"/>
    <cellStyle name="Percent 3 5 2 3 3 2" xfId="62480" xr:uid="{00000000-0005-0000-0000-00006EEE0000}"/>
    <cellStyle name="Percent 3 5 2 3 4" xfId="44582" xr:uid="{00000000-0005-0000-0000-00006FEE0000}"/>
    <cellStyle name="Percent 3 5 2 3 5" xfId="44583" xr:uid="{00000000-0005-0000-0000-000070EE0000}"/>
    <cellStyle name="Percent 3 5 2 3 6" xfId="44584" xr:uid="{00000000-0005-0000-0000-000071EE0000}"/>
    <cellStyle name="Percent 3 5 2 4" xfId="44585" xr:uid="{00000000-0005-0000-0000-000072EE0000}"/>
    <cellStyle name="Percent 3 5 2 4 2" xfId="62481" xr:uid="{00000000-0005-0000-0000-000073EE0000}"/>
    <cellStyle name="Percent 3 5 2 4 3" xfId="62482" xr:uid="{00000000-0005-0000-0000-000074EE0000}"/>
    <cellStyle name="Percent 3 5 2 5" xfId="44586" xr:uid="{00000000-0005-0000-0000-000075EE0000}"/>
    <cellStyle name="Percent 3 5 2 5 2" xfId="62483" xr:uid="{00000000-0005-0000-0000-000076EE0000}"/>
    <cellStyle name="Percent 3 5 2 6" xfId="44587" xr:uid="{00000000-0005-0000-0000-000077EE0000}"/>
    <cellStyle name="Percent 3 5 2 7" xfId="44588" xr:uid="{00000000-0005-0000-0000-000078EE0000}"/>
    <cellStyle name="Percent 3 5 2 8" xfId="44589" xr:uid="{00000000-0005-0000-0000-000079EE0000}"/>
    <cellStyle name="Percent 3 5 2 9" xfId="44590" xr:uid="{00000000-0005-0000-0000-00007AEE0000}"/>
    <cellStyle name="Percent 3 5 3" xfId="44591" xr:uid="{00000000-0005-0000-0000-00007BEE0000}"/>
    <cellStyle name="Percent 3 5 3 2" xfId="44592" xr:uid="{00000000-0005-0000-0000-00007CEE0000}"/>
    <cellStyle name="Percent 3 5 3 2 2" xfId="44593" xr:uid="{00000000-0005-0000-0000-00007DEE0000}"/>
    <cellStyle name="Percent 3 5 3 2 2 2" xfId="44594" xr:uid="{00000000-0005-0000-0000-00007EEE0000}"/>
    <cellStyle name="Percent 3 5 3 2 2 2 2" xfId="62484" xr:uid="{00000000-0005-0000-0000-00007FEE0000}"/>
    <cellStyle name="Percent 3 5 3 2 2 2 3" xfId="62485" xr:uid="{00000000-0005-0000-0000-000080EE0000}"/>
    <cellStyle name="Percent 3 5 3 2 2 3" xfId="44595" xr:uid="{00000000-0005-0000-0000-000081EE0000}"/>
    <cellStyle name="Percent 3 5 3 2 2 3 2" xfId="62486" xr:uid="{00000000-0005-0000-0000-000082EE0000}"/>
    <cellStyle name="Percent 3 5 3 2 2 4" xfId="44596" xr:uid="{00000000-0005-0000-0000-000083EE0000}"/>
    <cellStyle name="Percent 3 5 3 2 2 5" xfId="44597" xr:uid="{00000000-0005-0000-0000-000084EE0000}"/>
    <cellStyle name="Percent 3 5 3 2 2 6" xfId="44598" xr:uid="{00000000-0005-0000-0000-000085EE0000}"/>
    <cellStyle name="Percent 3 5 3 2 3" xfId="44599" xr:uid="{00000000-0005-0000-0000-000086EE0000}"/>
    <cellStyle name="Percent 3 5 3 2 3 2" xfId="62487" xr:uid="{00000000-0005-0000-0000-000087EE0000}"/>
    <cellStyle name="Percent 3 5 3 2 3 3" xfId="62488" xr:uid="{00000000-0005-0000-0000-000088EE0000}"/>
    <cellStyle name="Percent 3 5 3 2 4" xfId="44600" xr:uid="{00000000-0005-0000-0000-000089EE0000}"/>
    <cellStyle name="Percent 3 5 3 2 4 2" xfId="62489" xr:uid="{00000000-0005-0000-0000-00008AEE0000}"/>
    <cellStyle name="Percent 3 5 3 2 5" xfId="44601" xr:uid="{00000000-0005-0000-0000-00008BEE0000}"/>
    <cellStyle name="Percent 3 5 3 2 6" xfId="44602" xr:uid="{00000000-0005-0000-0000-00008CEE0000}"/>
    <cellStyle name="Percent 3 5 3 2 7" xfId="44603" xr:uid="{00000000-0005-0000-0000-00008DEE0000}"/>
    <cellStyle name="Percent 3 5 3 3" xfId="44604" xr:uid="{00000000-0005-0000-0000-00008EEE0000}"/>
    <cellStyle name="Percent 3 5 3 3 2" xfId="44605" xr:uid="{00000000-0005-0000-0000-00008FEE0000}"/>
    <cellStyle name="Percent 3 5 3 3 2 2" xfId="62490" xr:uid="{00000000-0005-0000-0000-000090EE0000}"/>
    <cellStyle name="Percent 3 5 3 3 2 3" xfId="62491" xr:uid="{00000000-0005-0000-0000-000091EE0000}"/>
    <cellStyle name="Percent 3 5 3 3 3" xfId="44606" xr:uid="{00000000-0005-0000-0000-000092EE0000}"/>
    <cellStyle name="Percent 3 5 3 3 3 2" xfId="62492" xr:uid="{00000000-0005-0000-0000-000093EE0000}"/>
    <cellStyle name="Percent 3 5 3 3 4" xfId="44607" xr:uid="{00000000-0005-0000-0000-000094EE0000}"/>
    <cellStyle name="Percent 3 5 3 3 5" xfId="44608" xr:uid="{00000000-0005-0000-0000-000095EE0000}"/>
    <cellStyle name="Percent 3 5 3 3 6" xfId="44609" xr:uid="{00000000-0005-0000-0000-000096EE0000}"/>
    <cellStyle name="Percent 3 5 3 4" xfId="44610" xr:uid="{00000000-0005-0000-0000-000097EE0000}"/>
    <cellStyle name="Percent 3 5 3 4 2" xfId="62493" xr:uid="{00000000-0005-0000-0000-000098EE0000}"/>
    <cellStyle name="Percent 3 5 3 4 3" xfId="62494" xr:uid="{00000000-0005-0000-0000-000099EE0000}"/>
    <cellStyle name="Percent 3 5 3 5" xfId="44611" xr:uid="{00000000-0005-0000-0000-00009AEE0000}"/>
    <cellStyle name="Percent 3 5 3 5 2" xfId="62495" xr:uid="{00000000-0005-0000-0000-00009BEE0000}"/>
    <cellStyle name="Percent 3 5 3 6" xfId="44612" xr:uid="{00000000-0005-0000-0000-00009CEE0000}"/>
    <cellStyle name="Percent 3 5 3 7" xfId="44613" xr:uid="{00000000-0005-0000-0000-00009DEE0000}"/>
    <cellStyle name="Percent 3 5 3 8" xfId="44614" xr:uid="{00000000-0005-0000-0000-00009EEE0000}"/>
    <cellStyle name="Percent 3 5 4" xfId="44615" xr:uid="{00000000-0005-0000-0000-00009FEE0000}"/>
    <cellStyle name="Percent 3 5 4 2" xfId="44616" xr:uid="{00000000-0005-0000-0000-0000A0EE0000}"/>
    <cellStyle name="Percent 3 5 4 2 2" xfId="44617" xr:uid="{00000000-0005-0000-0000-0000A1EE0000}"/>
    <cellStyle name="Percent 3 5 4 2 2 2" xfId="62496" xr:uid="{00000000-0005-0000-0000-0000A2EE0000}"/>
    <cellStyle name="Percent 3 5 4 2 2 3" xfId="62497" xr:uid="{00000000-0005-0000-0000-0000A3EE0000}"/>
    <cellStyle name="Percent 3 5 4 2 3" xfId="44618" xr:uid="{00000000-0005-0000-0000-0000A4EE0000}"/>
    <cellStyle name="Percent 3 5 4 2 3 2" xfId="62498" xr:uid="{00000000-0005-0000-0000-0000A5EE0000}"/>
    <cellStyle name="Percent 3 5 4 2 4" xfId="44619" xr:uid="{00000000-0005-0000-0000-0000A6EE0000}"/>
    <cellStyle name="Percent 3 5 4 2 5" xfId="44620" xr:uid="{00000000-0005-0000-0000-0000A7EE0000}"/>
    <cellStyle name="Percent 3 5 4 2 6" xfId="44621" xr:uid="{00000000-0005-0000-0000-0000A8EE0000}"/>
    <cellStyle name="Percent 3 5 4 3" xfId="44622" xr:uid="{00000000-0005-0000-0000-0000A9EE0000}"/>
    <cellStyle name="Percent 3 5 4 3 2" xfId="62499" xr:uid="{00000000-0005-0000-0000-0000AAEE0000}"/>
    <cellStyle name="Percent 3 5 4 3 3" xfId="62500" xr:uid="{00000000-0005-0000-0000-0000ABEE0000}"/>
    <cellStyle name="Percent 3 5 4 4" xfId="44623" xr:uid="{00000000-0005-0000-0000-0000ACEE0000}"/>
    <cellStyle name="Percent 3 5 4 4 2" xfId="62501" xr:uid="{00000000-0005-0000-0000-0000ADEE0000}"/>
    <cellStyle name="Percent 3 5 4 5" xfId="44624" xr:uid="{00000000-0005-0000-0000-0000AEEE0000}"/>
    <cellStyle name="Percent 3 5 4 6" xfId="44625" xr:uid="{00000000-0005-0000-0000-0000AFEE0000}"/>
    <cellStyle name="Percent 3 5 4 7" xfId="44626" xr:uid="{00000000-0005-0000-0000-0000B0EE0000}"/>
    <cellStyle name="Percent 3 5 5" xfId="44627" xr:uid="{00000000-0005-0000-0000-0000B1EE0000}"/>
    <cellStyle name="Percent 3 5 5 2" xfId="44628" xr:uid="{00000000-0005-0000-0000-0000B2EE0000}"/>
    <cellStyle name="Percent 3 5 5 2 2" xfId="62502" xr:uid="{00000000-0005-0000-0000-0000B3EE0000}"/>
    <cellStyle name="Percent 3 5 5 2 3" xfId="62503" xr:uid="{00000000-0005-0000-0000-0000B4EE0000}"/>
    <cellStyle name="Percent 3 5 5 3" xfId="44629" xr:uid="{00000000-0005-0000-0000-0000B5EE0000}"/>
    <cellStyle name="Percent 3 5 5 3 2" xfId="62504" xr:uid="{00000000-0005-0000-0000-0000B6EE0000}"/>
    <cellStyle name="Percent 3 5 5 4" xfId="44630" xr:uid="{00000000-0005-0000-0000-0000B7EE0000}"/>
    <cellStyle name="Percent 3 5 5 5" xfId="44631" xr:uid="{00000000-0005-0000-0000-0000B8EE0000}"/>
    <cellStyle name="Percent 3 5 5 6" xfId="44632" xr:uid="{00000000-0005-0000-0000-0000B9EE0000}"/>
    <cellStyle name="Percent 3 5 6" xfId="44633" xr:uid="{00000000-0005-0000-0000-0000BAEE0000}"/>
    <cellStyle name="Percent 3 5 6 2" xfId="62505" xr:uid="{00000000-0005-0000-0000-0000BBEE0000}"/>
    <cellStyle name="Percent 3 5 6 3" xfId="62506" xr:uid="{00000000-0005-0000-0000-0000BCEE0000}"/>
    <cellStyle name="Percent 3 5 7" xfId="44634" xr:uid="{00000000-0005-0000-0000-0000BDEE0000}"/>
    <cellStyle name="Percent 3 5 7 2" xfId="62507" xr:uid="{00000000-0005-0000-0000-0000BEEE0000}"/>
    <cellStyle name="Percent 3 5 8" xfId="44635" xr:uid="{00000000-0005-0000-0000-0000BFEE0000}"/>
    <cellStyle name="Percent 3 5 9" xfId="44636" xr:uid="{00000000-0005-0000-0000-0000C0EE0000}"/>
    <cellStyle name="Percent 3 6" xfId="44637" xr:uid="{00000000-0005-0000-0000-0000C1EE0000}"/>
    <cellStyle name="Percent 3 6 10" xfId="44638" xr:uid="{00000000-0005-0000-0000-0000C2EE0000}"/>
    <cellStyle name="Percent 3 6 11" xfId="44639" xr:uid="{00000000-0005-0000-0000-0000C3EE0000}"/>
    <cellStyle name="Percent 3 6 12" xfId="44640" xr:uid="{00000000-0005-0000-0000-0000C4EE0000}"/>
    <cellStyle name="Percent 3 6 13" xfId="44641" xr:uid="{00000000-0005-0000-0000-0000C5EE0000}"/>
    <cellStyle name="Percent 3 6 2" xfId="44642" xr:uid="{00000000-0005-0000-0000-0000C6EE0000}"/>
    <cellStyle name="Percent 3 6 2 2" xfId="44643" xr:uid="{00000000-0005-0000-0000-0000C7EE0000}"/>
    <cellStyle name="Percent 3 6 2 2 2" xfId="44644" xr:uid="{00000000-0005-0000-0000-0000C8EE0000}"/>
    <cellStyle name="Percent 3 6 2 2 2 2" xfId="44645" xr:uid="{00000000-0005-0000-0000-0000C9EE0000}"/>
    <cellStyle name="Percent 3 6 2 2 2 2 2" xfId="62508" xr:uid="{00000000-0005-0000-0000-0000CAEE0000}"/>
    <cellStyle name="Percent 3 6 2 2 2 2 3" xfId="62509" xr:uid="{00000000-0005-0000-0000-0000CBEE0000}"/>
    <cellStyle name="Percent 3 6 2 2 2 3" xfId="44646" xr:uid="{00000000-0005-0000-0000-0000CCEE0000}"/>
    <cellStyle name="Percent 3 6 2 2 2 3 2" xfId="62510" xr:uid="{00000000-0005-0000-0000-0000CDEE0000}"/>
    <cellStyle name="Percent 3 6 2 2 2 4" xfId="44647" xr:uid="{00000000-0005-0000-0000-0000CEEE0000}"/>
    <cellStyle name="Percent 3 6 2 2 2 5" xfId="44648" xr:uid="{00000000-0005-0000-0000-0000CFEE0000}"/>
    <cellStyle name="Percent 3 6 2 2 2 6" xfId="44649" xr:uid="{00000000-0005-0000-0000-0000D0EE0000}"/>
    <cellStyle name="Percent 3 6 2 2 3" xfId="44650" xr:uid="{00000000-0005-0000-0000-0000D1EE0000}"/>
    <cellStyle name="Percent 3 6 2 2 3 2" xfId="62511" xr:uid="{00000000-0005-0000-0000-0000D2EE0000}"/>
    <cellStyle name="Percent 3 6 2 2 3 3" xfId="62512" xr:uid="{00000000-0005-0000-0000-0000D3EE0000}"/>
    <cellStyle name="Percent 3 6 2 2 4" xfId="44651" xr:uid="{00000000-0005-0000-0000-0000D4EE0000}"/>
    <cellStyle name="Percent 3 6 2 2 4 2" xfId="62513" xr:uid="{00000000-0005-0000-0000-0000D5EE0000}"/>
    <cellStyle name="Percent 3 6 2 2 5" xfId="44652" xr:uid="{00000000-0005-0000-0000-0000D6EE0000}"/>
    <cellStyle name="Percent 3 6 2 2 6" xfId="44653" xr:uid="{00000000-0005-0000-0000-0000D7EE0000}"/>
    <cellStyle name="Percent 3 6 2 2 7" xfId="44654" xr:uid="{00000000-0005-0000-0000-0000D8EE0000}"/>
    <cellStyle name="Percent 3 6 2 3" xfId="44655" xr:uid="{00000000-0005-0000-0000-0000D9EE0000}"/>
    <cellStyle name="Percent 3 6 2 3 2" xfId="44656" xr:uid="{00000000-0005-0000-0000-0000DAEE0000}"/>
    <cellStyle name="Percent 3 6 2 3 2 2" xfId="62514" xr:uid="{00000000-0005-0000-0000-0000DBEE0000}"/>
    <cellStyle name="Percent 3 6 2 3 2 3" xfId="62515" xr:uid="{00000000-0005-0000-0000-0000DCEE0000}"/>
    <cellStyle name="Percent 3 6 2 3 3" xfId="44657" xr:uid="{00000000-0005-0000-0000-0000DDEE0000}"/>
    <cellStyle name="Percent 3 6 2 3 3 2" xfId="62516" xr:uid="{00000000-0005-0000-0000-0000DEEE0000}"/>
    <cellStyle name="Percent 3 6 2 3 4" xfId="44658" xr:uid="{00000000-0005-0000-0000-0000DFEE0000}"/>
    <cellStyle name="Percent 3 6 2 3 5" xfId="44659" xr:uid="{00000000-0005-0000-0000-0000E0EE0000}"/>
    <cellStyle name="Percent 3 6 2 3 6" xfId="44660" xr:uid="{00000000-0005-0000-0000-0000E1EE0000}"/>
    <cellStyle name="Percent 3 6 2 4" xfId="44661" xr:uid="{00000000-0005-0000-0000-0000E2EE0000}"/>
    <cellStyle name="Percent 3 6 2 4 2" xfId="62517" xr:uid="{00000000-0005-0000-0000-0000E3EE0000}"/>
    <cellStyle name="Percent 3 6 2 4 3" xfId="62518" xr:uid="{00000000-0005-0000-0000-0000E4EE0000}"/>
    <cellStyle name="Percent 3 6 2 5" xfId="44662" xr:uid="{00000000-0005-0000-0000-0000E5EE0000}"/>
    <cellStyle name="Percent 3 6 2 5 2" xfId="62519" xr:uid="{00000000-0005-0000-0000-0000E6EE0000}"/>
    <cellStyle name="Percent 3 6 2 6" xfId="44663" xr:uid="{00000000-0005-0000-0000-0000E7EE0000}"/>
    <cellStyle name="Percent 3 6 2 7" xfId="44664" xr:uid="{00000000-0005-0000-0000-0000E8EE0000}"/>
    <cellStyle name="Percent 3 6 2 8" xfId="44665" xr:uid="{00000000-0005-0000-0000-0000E9EE0000}"/>
    <cellStyle name="Percent 3 6 2 9" xfId="44666" xr:uid="{00000000-0005-0000-0000-0000EAEE0000}"/>
    <cellStyle name="Percent 3 6 3" xfId="44667" xr:uid="{00000000-0005-0000-0000-0000EBEE0000}"/>
    <cellStyle name="Percent 3 6 3 2" xfId="44668" xr:uid="{00000000-0005-0000-0000-0000ECEE0000}"/>
    <cellStyle name="Percent 3 6 3 2 2" xfId="44669" xr:uid="{00000000-0005-0000-0000-0000EDEE0000}"/>
    <cellStyle name="Percent 3 6 3 2 2 2" xfId="62520" xr:uid="{00000000-0005-0000-0000-0000EEEE0000}"/>
    <cellStyle name="Percent 3 6 3 2 2 3" xfId="62521" xr:uid="{00000000-0005-0000-0000-0000EFEE0000}"/>
    <cellStyle name="Percent 3 6 3 2 3" xfId="44670" xr:uid="{00000000-0005-0000-0000-0000F0EE0000}"/>
    <cellStyle name="Percent 3 6 3 2 3 2" xfId="62522" xr:uid="{00000000-0005-0000-0000-0000F1EE0000}"/>
    <cellStyle name="Percent 3 6 3 2 4" xfId="44671" xr:uid="{00000000-0005-0000-0000-0000F2EE0000}"/>
    <cellStyle name="Percent 3 6 3 2 5" xfId="44672" xr:uid="{00000000-0005-0000-0000-0000F3EE0000}"/>
    <cellStyle name="Percent 3 6 3 2 6" xfId="44673" xr:uid="{00000000-0005-0000-0000-0000F4EE0000}"/>
    <cellStyle name="Percent 3 6 3 3" xfId="44674" xr:uid="{00000000-0005-0000-0000-0000F5EE0000}"/>
    <cellStyle name="Percent 3 6 3 3 2" xfId="62523" xr:uid="{00000000-0005-0000-0000-0000F6EE0000}"/>
    <cellStyle name="Percent 3 6 3 3 3" xfId="62524" xr:uid="{00000000-0005-0000-0000-0000F7EE0000}"/>
    <cellStyle name="Percent 3 6 3 4" xfId="44675" xr:uid="{00000000-0005-0000-0000-0000F8EE0000}"/>
    <cellStyle name="Percent 3 6 3 4 2" xfId="62525" xr:uid="{00000000-0005-0000-0000-0000F9EE0000}"/>
    <cellStyle name="Percent 3 6 3 5" xfId="44676" xr:uid="{00000000-0005-0000-0000-0000FAEE0000}"/>
    <cellStyle name="Percent 3 6 3 6" xfId="44677" xr:uid="{00000000-0005-0000-0000-0000FBEE0000}"/>
    <cellStyle name="Percent 3 6 3 7" xfId="44678" xr:uid="{00000000-0005-0000-0000-0000FCEE0000}"/>
    <cellStyle name="Percent 3 6 4" xfId="44679" xr:uid="{00000000-0005-0000-0000-0000FDEE0000}"/>
    <cellStyle name="Percent 3 6 4 2" xfId="44680" xr:uid="{00000000-0005-0000-0000-0000FEEE0000}"/>
    <cellStyle name="Percent 3 6 4 2 2" xfId="62526" xr:uid="{00000000-0005-0000-0000-0000FFEE0000}"/>
    <cellStyle name="Percent 3 6 4 2 3" xfId="62527" xr:uid="{00000000-0005-0000-0000-000000EF0000}"/>
    <cellStyle name="Percent 3 6 4 3" xfId="44681" xr:uid="{00000000-0005-0000-0000-000001EF0000}"/>
    <cellStyle name="Percent 3 6 4 3 2" xfId="62528" xr:uid="{00000000-0005-0000-0000-000002EF0000}"/>
    <cellStyle name="Percent 3 6 4 4" xfId="44682" xr:uid="{00000000-0005-0000-0000-000003EF0000}"/>
    <cellStyle name="Percent 3 6 4 5" xfId="44683" xr:uid="{00000000-0005-0000-0000-000004EF0000}"/>
    <cellStyle name="Percent 3 6 4 6" xfId="44684" xr:uid="{00000000-0005-0000-0000-000005EF0000}"/>
    <cellStyle name="Percent 3 6 5" xfId="44685" xr:uid="{00000000-0005-0000-0000-000006EF0000}"/>
    <cellStyle name="Percent 3 6 5 2" xfId="62529" xr:uid="{00000000-0005-0000-0000-000007EF0000}"/>
    <cellStyle name="Percent 3 6 5 3" xfId="62530" xr:uid="{00000000-0005-0000-0000-000008EF0000}"/>
    <cellStyle name="Percent 3 6 6" xfId="44686" xr:uid="{00000000-0005-0000-0000-000009EF0000}"/>
    <cellStyle name="Percent 3 6 6 2" xfId="62531" xr:uid="{00000000-0005-0000-0000-00000AEF0000}"/>
    <cellStyle name="Percent 3 6 7" xfId="44687" xr:uid="{00000000-0005-0000-0000-00000BEF0000}"/>
    <cellStyle name="Percent 3 6 8" xfId="44688" xr:uid="{00000000-0005-0000-0000-00000CEF0000}"/>
    <cellStyle name="Percent 3 6 9" xfId="44689" xr:uid="{00000000-0005-0000-0000-00000DEF0000}"/>
    <cellStyle name="Percent 3 7" xfId="44690" xr:uid="{00000000-0005-0000-0000-00000EEF0000}"/>
    <cellStyle name="Percent 3 7 2" xfId="44691" xr:uid="{00000000-0005-0000-0000-00000FEF0000}"/>
    <cellStyle name="Percent 3 7 2 2" xfId="44692" xr:uid="{00000000-0005-0000-0000-000010EF0000}"/>
    <cellStyle name="Percent 3 7 2 2 2" xfId="44693" xr:uid="{00000000-0005-0000-0000-000011EF0000}"/>
    <cellStyle name="Percent 3 7 2 2 2 2" xfId="62532" xr:uid="{00000000-0005-0000-0000-000012EF0000}"/>
    <cellStyle name="Percent 3 7 2 2 2 3" xfId="62533" xr:uid="{00000000-0005-0000-0000-000013EF0000}"/>
    <cellStyle name="Percent 3 7 2 2 3" xfId="44694" xr:uid="{00000000-0005-0000-0000-000014EF0000}"/>
    <cellStyle name="Percent 3 7 2 2 3 2" xfId="62534" xr:uid="{00000000-0005-0000-0000-000015EF0000}"/>
    <cellStyle name="Percent 3 7 2 2 4" xfId="44695" xr:uid="{00000000-0005-0000-0000-000016EF0000}"/>
    <cellStyle name="Percent 3 7 2 2 5" xfId="44696" xr:uid="{00000000-0005-0000-0000-000017EF0000}"/>
    <cellStyle name="Percent 3 7 2 2 6" xfId="44697" xr:uid="{00000000-0005-0000-0000-000018EF0000}"/>
    <cellStyle name="Percent 3 7 2 3" xfId="44698" xr:uid="{00000000-0005-0000-0000-000019EF0000}"/>
    <cellStyle name="Percent 3 7 2 3 2" xfId="62535" xr:uid="{00000000-0005-0000-0000-00001AEF0000}"/>
    <cellStyle name="Percent 3 7 2 3 3" xfId="62536" xr:uid="{00000000-0005-0000-0000-00001BEF0000}"/>
    <cellStyle name="Percent 3 7 2 4" xfId="44699" xr:uid="{00000000-0005-0000-0000-00001CEF0000}"/>
    <cellStyle name="Percent 3 7 2 4 2" xfId="62537" xr:uid="{00000000-0005-0000-0000-00001DEF0000}"/>
    <cellStyle name="Percent 3 7 2 5" xfId="44700" xr:uid="{00000000-0005-0000-0000-00001EEF0000}"/>
    <cellStyle name="Percent 3 7 2 6" xfId="44701" xr:uid="{00000000-0005-0000-0000-00001FEF0000}"/>
    <cellStyle name="Percent 3 7 2 7" xfId="44702" xr:uid="{00000000-0005-0000-0000-000020EF0000}"/>
    <cellStyle name="Percent 3 7 3" xfId="44703" xr:uid="{00000000-0005-0000-0000-000021EF0000}"/>
    <cellStyle name="Percent 3 7 3 2" xfId="44704" xr:uid="{00000000-0005-0000-0000-000022EF0000}"/>
    <cellStyle name="Percent 3 7 3 2 2" xfId="62538" xr:uid="{00000000-0005-0000-0000-000023EF0000}"/>
    <cellStyle name="Percent 3 7 3 2 3" xfId="62539" xr:uid="{00000000-0005-0000-0000-000024EF0000}"/>
    <cellStyle name="Percent 3 7 3 3" xfId="44705" xr:uid="{00000000-0005-0000-0000-000025EF0000}"/>
    <cellStyle name="Percent 3 7 3 3 2" xfId="62540" xr:uid="{00000000-0005-0000-0000-000026EF0000}"/>
    <cellStyle name="Percent 3 7 3 4" xfId="44706" xr:uid="{00000000-0005-0000-0000-000027EF0000}"/>
    <cellStyle name="Percent 3 7 3 5" xfId="44707" xr:uid="{00000000-0005-0000-0000-000028EF0000}"/>
    <cellStyle name="Percent 3 7 3 6" xfId="44708" xr:uid="{00000000-0005-0000-0000-000029EF0000}"/>
    <cellStyle name="Percent 3 7 4" xfId="44709" xr:uid="{00000000-0005-0000-0000-00002AEF0000}"/>
    <cellStyle name="Percent 3 7 4 2" xfId="62541" xr:uid="{00000000-0005-0000-0000-00002BEF0000}"/>
    <cellStyle name="Percent 3 7 4 3" xfId="62542" xr:uid="{00000000-0005-0000-0000-00002CEF0000}"/>
    <cellStyle name="Percent 3 7 5" xfId="44710" xr:uid="{00000000-0005-0000-0000-00002DEF0000}"/>
    <cellStyle name="Percent 3 7 5 2" xfId="62543" xr:uid="{00000000-0005-0000-0000-00002EEF0000}"/>
    <cellStyle name="Percent 3 7 6" xfId="44711" xr:uid="{00000000-0005-0000-0000-00002FEF0000}"/>
    <cellStyle name="Percent 3 7 7" xfId="44712" xr:uid="{00000000-0005-0000-0000-000030EF0000}"/>
    <cellStyle name="Percent 3 7 8" xfId="44713" xr:uid="{00000000-0005-0000-0000-000031EF0000}"/>
    <cellStyle name="Percent 3 7 9" xfId="44714" xr:uid="{00000000-0005-0000-0000-000032EF0000}"/>
    <cellStyle name="Percent 3 8" xfId="44715" xr:uid="{00000000-0005-0000-0000-000033EF0000}"/>
    <cellStyle name="Percent 3 8 2" xfId="44716" xr:uid="{00000000-0005-0000-0000-000034EF0000}"/>
    <cellStyle name="Percent 3 8 2 2" xfId="44717" xr:uid="{00000000-0005-0000-0000-000035EF0000}"/>
    <cellStyle name="Percent 3 8 2 2 2" xfId="44718" xr:uid="{00000000-0005-0000-0000-000036EF0000}"/>
    <cellStyle name="Percent 3 8 2 2 2 2" xfId="62544" xr:uid="{00000000-0005-0000-0000-000037EF0000}"/>
    <cellStyle name="Percent 3 8 2 2 2 3" xfId="62545" xr:uid="{00000000-0005-0000-0000-000038EF0000}"/>
    <cellStyle name="Percent 3 8 2 2 3" xfId="44719" xr:uid="{00000000-0005-0000-0000-000039EF0000}"/>
    <cellStyle name="Percent 3 8 2 2 3 2" xfId="62546" xr:uid="{00000000-0005-0000-0000-00003AEF0000}"/>
    <cellStyle name="Percent 3 8 2 2 4" xfId="44720" xr:uid="{00000000-0005-0000-0000-00003BEF0000}"/>
    <cellStyle name="Percent 3 8 2 2 5" xfId="44721" xr:uid="{00000000-0005-0000-0000-00003CEF0000}"/>
    <cellStyle name="Percent 3 8 2 2 6" xfId="44722" xr:uid="{00000000-0005-0000-0000-00003DEF0000}"/>
    <cellStyle name="Percent 3 8 2 3" xfId="44723" xr:uid="{00000000-0005-0000-0000-00003EEF0000}"/>
    <cellStyle name="Percent 3 8 2 3 2" xfId="62547" xr:uid="{00000000-0005-0000-0000-00003FEF0000}"/>
    <cellStyle name="Percent 3 8 2 3 3" xfId="62548" xr:uid="{00000000-0005-0000-0000-000040EF0000}"/>
    <cellStyle name="Percent 3 8 2 4" xfId="44724" xr:uid="{00000000-0005-0000-0000-000041EF0000}"/>
    <cellStyle name="Percent 3 8 2 4 2" xfId="62549" xr:uid="{00000000-0005-0000-0000-000042EF0000}"/>
    <cellStyle name="Percent 3 8 2 5" xfId="44725" xr:uid="{00000000-0005-0000-0000-000043EF0000}"/>
    <cellStyle name="Percent 3 8 2 6" xfId="44726" xr:uid="{00000000-0005-0000-0000-000044EF0000}"/>
    <cellStyle name="Percent 3 8 2 7" xfId="44727" xr:uid="{00000000-0005-0000-0000-000045EF0000}"/>
    <cellStyle name="Percent 3 8 3" xfId="44728" xr:uid="{00000000-0005-0000-0000-000046EF0000}"/>
    <cellStyle name="Percent 3 8 3 2" xfId="44729" xr:uid="{00000000-0005-0000-0000-000047EF0000}"/>
    <cellStyle name="Percent 3 8 3 2 2" xfId="62550" xr:uid="{00000000-0005-0000-0000-000048EF0000}"/>
    <cellStyle name="Percent 3 8 3 2 3" xfId="62551" xr:uid="{00000000-0005-0000-0000-000049EF0000}"/>
    <cellStyle name="Percent 3 8 3 3" xfId="44730" xr:uid="{00000000-0005-0000-0000-00004AEF0000}"/>
    <cellStyle name="Percent 3 8 3 3 2" xfId="62552" xr:uid="{00000000-0005-0000-0000-00004BEF0000}"/>
    <cellStyle name="Percent 3 8 3 4" xfId="44731" xr:uid="{00000000-0005-0000-0000-00004CEF0000}"/>
    <cellStyle name="Percent 3 8 3 5" xfId="44732" xr:uid="{00000000-0005-0000-0000-00004DEF0000}"/>
    <cellStyle name="Percent 3 8 3 6" xfId="44733" xr:uid="{00000000-0005-0000-0000-00004EEF0000}"/>
    <cellStyle name="Percent 3 8 4" xfId="44734" xr:uid="{00000000-0005-0000-0000-00004FEF0000}"/>
    <cellStyle name="Percent 3 8 4 2" xfId="62553" xr:uid="{00000000-0005-0000-0000-000050EF0000}"/>
    <cellStyle name="Percent 3 8 4 3" xfId="62554" xr:uid="{00000000-0005-0000-0000-000051EF0000}"/>
    <cellStyle name="Percent 3 8 5" xfId="44735" xr:uid="{00000000-0005-0000-0000-000052EF0000}"/>
    <cellStyle name="Percent 3 8 5 2" xfId="62555" xr:uid="{00000000-0005-0000-0000-000053EF0000}"/>
    <cellStyle name="Percent 3 8 6" xfId="44736" xr:uid="{00000000-0005-0000-0000-000054EF0000}"/>
    <cellStyle name="Percent 3 8 7" xfId="44737" xr:uid="{00000000-0005-0000-0000-000055EF0000}"/>
    <cellStyle name="Percent 3 8 8" xfId="44738" xr:uid="{00000000-0005-0000-0000-000056EF0000}"/>
    <cellStyle name="Percent 3 9" xfId="44739" xr:uid="{00000000-0005-0000-0000-000057EF0000}"/>
    <cellStyle name="Percent 3 9 2" xfId="44740" xr:uid="{00000000-0005-0000-0000-000058EF0000}"/>
    <cellStyle name="Percent 3 9 2 2" xfId="44741" xr:uid="{00000000-0005-0000-0000-000059EF0000}"/>
    <cellStyle name="Percent 3 9 2 2 2" xfId="44742" xr:uid="{00000000-0005-0000-0000-00005AEF0000}"/>
    <cellStyle name="Percent 3 9 2 2 2 2" xfId="62556" xr:uid="{00000000-0005-0000-0000-00005BEF0000}"/>
    <cellStyle name="Percent 3 9 2 2 2 3" xfId="62557" xr:uid="{00000000-0005-0000-0000-00005CEF0000}"/>
    <cellStyle name="Percent 3 9 2 2 3" xfId="44743" xr:uid="{00000000-0005-0000-0000-00005DEF0000}"/>
    <cellStyle name="Percent 3 9 2 2 3 2" xfId="62558" xr:uid="{00000000-0005-0000-0000-00005EEF0000}"/>
    <cellStyle name="Percent 3 9 2 2 4" xfId="44744" xr:uid="{00000000-0005-0000-0000-00005FEF0000}"/>
    <cellStyle name="Percent 3 9 2 2 5" xfId="44745" xr:uid="{00000000-0005-0000-0000-000060EF0000}"/>
    <cellStyle name="Percent 3 9 2 2 6" xfId="44746" xr:uid="{00000000-0005-0000-0000-000061EF0000}"/>
    <cellStyle name="Percent 3 9 2 3" xfId="44747" xr:uid="{00000000-0005-0000-0000-000062EF0000}"/>
    <cellStyle name="Percent 3 9 2 3 2" xfId="62559" xr:uid="{00000000-0005-0000-0000-000063EF0000}"/>
    <cellStyle name="Percent 3 9 2 3 3" xfId="62560" xr:uid="{00000000-0005-0000-0000-000064EF0000}"/>
    <cellStyle name="Percent 3 9 2 4" xfId="44748" xr:uid="{00000000-0005-0000-0000-000065EF0000}"/>
    <cellStyle name="Percent 3 9 2 4 2" xfId="62561" xr:uid="{00000000-0005-0000-0000-000066EF0000}"/>
    <cellStyle name="Percent 3 9 2 5" xfId="44749" xr:uid="{00000000-0005-0000-0000-000067EF0000}"/>
    <cellStyle name="Percent 3 9 2 6" xfId="44750" xr:uid="{00000000-0005-0000-0000-000068EF0000}"/>
    <cellStyle name="Percent 3 9 2 7" xfId="44751" xr:uid="{00000000-0005-0000-0000-000069EF0000}"/>
    <cellStyle name="Percent 3 9 3" xfId="44752" xr:uid="{00000000-0005-0000-0000-00006AEF0000}"/>
    <cellStyle name="Percent 3 9 3 2" xfId="44753" xr:uid="{00000000-0005-0000-0000-00006BEF0000}"/>
    <cellStyle name="Percent 3 9 3 2 2" xfId="62562" xr:uid="{00000000-0005-0000-0000-00006CEF0000}"/>
    <cellStyle name="Percent 3 9 3 2 3" xfId="62563" xr:uid="{00000000-0005-0000-0000-00006DEF0000}"/>
    <cellStyle name="Percent 3 9 3 3" xfId="44754" xr:uid="{00000000-0005-0000-0000-00006EEF0000}"/>
    <cellStyle name="Percent 3 9 3 3 2" xfId="62564" xr:uid="{00000000-0005-0000-0000-00006FEF0000}"/>
    <cellStyle name="Percent 3 9 3 4" xfId="44755" xr:uid="{00000000-0005-0000-0000-000070EF0000}"/>
    <cellStyle name="Percent 3 9 3 5" xfId="44756" xr:uid="{00000000-0005-0000-0000-000071EF0000}"/>
    <cellStyle name="Percent 3 9 3 6" xfId="44757" xr:uid="{00000000-0005-0000-0000-000072EF0000}"/>
    <cellStyle name="Percent 3 9 4" xfId="44758" xr:uid="{00000000-0005-0000-0000-000073EF0000}"/>
    <cellStyle name="Percent 3 9 4 2" xfId="62565" xr:uid="{00000000-0005-0000-0000-000074EF0000}"/>
    <cellStyle name="Percent 3 9 4 3" xfId="62566" xr:uid="{00000000-0005-0000-0000-000075EF0000}"/>
    <cellStyle name="Percent 3 9 5" xfId="44759" xr:uid="{00000000-0005-0000-0000-000076EF0000}"/>
    <cellStyle name="Percent 3 9 5 2" xfId="62567" xr:uid="{00000000-0005-0000-0000-000077EF0000}"/>
    <cellStyle name="Percent 3 9 6" xfId="44760" xr:uid="{00000000-0005-0000-0000-000078EF0000}"/>
    <cellStyle name="Percent 3 9 7" xfId="44761" xr:uid="{00000000-0005-0000-0000-000079EF0000}"/>
    <cellStyle name="Percent 3 9 8" xfId="44762" xr:uid="{00000000-0005-0000-0000-00007AEF0000}"/>
    <cellStyle name="Percent 4" xfId="44763" xr:uid="{00000000-0005-0000-0000-00007BEF0000}"/>
    <cellStyle name="Percent 4 10" xfId="44764" xr:uid="{00000000-0005-0000-0000-00007CEF0000}"/>
    <cellStyle name="Percent 4 10 2" xfId="44765" xr:uid="{00000000-0005-0000-0000-00007DEF0000}"/>
    <cellStyle name="Percent 4 10 2 2" xfId="44766" xr:uid="{00000000-0005-0000-0000-00007EEF0000}"/>
    <cellStyle name="Percent 4 10 2 2 2" xfId="62568" xr:uid="{00000000-0005-0000-0000-00007FEF0000}"/>
    <cellStyle name="Percent 4 10 2 2 3" xfId="62569" xr:uid="{00000000-0005-0000-0000-000080EF0000}"/>
    <cellStyle name="Percent 4 10 2 3" xfId="44767" xr:uid="{00000000-0005-0000-0000-000081EF0000}"/>
    <cellStyle name="Percent 4 10 2 3 2" xfId="62570" xr:uid="{00000000-0005-0000-0000-000082EF0000}"/>
    <cellStyle name="Percent 4 10 2 4" xfId="44768" xr:uid="{00000000-0005-0000-0000-000083EF0000}"/>
    <cellStyle name="Percent 4 10 2 5" xfId="44769" xr:uid="{00000000-0005-0000-0000-000084EF0000}"/>
    <cellStyle name="Percent 4 10 2 6" xfId="44770" xr:uid="{00000000-0005-0000-0000-000085EF0000}"/>
    <cellStyle name="Percent 4 10 3" xfId="44771" xr:uid="{00000000-0005-0000-0000-000086EF0000}"/>
    <cellStyle name="Percent 4 10 3 2" xfId="62571" xr:uid="{00000000-0005-0000-0000-000087EF0000}"/>
    <cellStyle name="Percent 4 10 3 3" xfId="62572" xr:uid="{00000000-0005-0000-0000-000088EF0000}"/>
    <cellStyle name="Percent 4 10 4" xfId="44772" xr:uid="{00000000-0005-0000-0000-000089EF0000}"/>
    <cellStyle name="Percent 4 10 4 2" xfId="62573" xr:uid="{00000000-0005-0000-0000-00008AEF0000}"/>
    <cellStyle name="Percent 4 10 5" xfId="44773" xr:uid="{00000000-0005-0000-0000-00008BEF0000}"/>
    <cellStyle name="Percent 4 10 6" xfId="44774" xr:uid="{00000000-0005-0000-0000-00008CEF0000}"/>
    <cellStyle name="Percent 4 10 7" xfId="44775" xr:uid="{00000000-0005-0000-0000-00008DEF0000}"/>
    <cellStyle name="Percent 4 11" xfId="44776" xr:uid="{00000000-0005-0000-0000-00008EEF0000}"/>
    <cellStyle name="Percent 4 11 2" xfId="44777" xr:uid="{00000000-0005-0000-0000-00008FEF0000}"/>
    <cellStyle name="Percent 4 11 2 2" xfId="62574" xr:uid="{00000000-0005-0000-0000-000090EF0000}"/>
    <cellStyle name="Percent 4 11 2 3" xfId="62575" xr:uid="{00000000-0005-0000-0000-000091EF0000}"/>
    <cellStyle name="Percent 4 11 3" xfId="44778" xr:uid="{00000000-0005-0000-0000-000092EF0000}"/>
    <cellStyle name="Percent 4 11 3 2" xfId="62576" xr:uid="{00000000-0005-0000-0000-000093EF0000}"/>
    <cellStyle name="Percent 4 11 4" xfId="44779" xr:uid="{00000000-0005-0000-0000-000094EF0000}"/>
    <cellStyle name="Percent 4 11 5" xfId="44780" xr:uid="{00000000-0005-0000-0000-000095EF0000}"/>
    <cellStyle name="Percent 4 11 6" xfId="44781" xr:uid="{00000000-0005-0000-0000-000096EF0000}"/>
    <cellStyle name="Percent 4 12" xfId="44782" xr:uid="{00000000-0005-0000-0000-000097EF0000}"/>
    <cellStyle name="Percent 4 12 2" xfId="62577" xr:uid="{00000000-0005-0000-0000-000098EF0000}"/>
    <cellStyle name="Percent 4 12 3" xfId="62578" xr:uid="{00000000-0005-0000-0000-000099EF0000}"/>
    <cellStyle name="Percent 4 13" xfId="44783" xr:uid="{00000000-0005-0000-0000-00009AEF0000}"/>
    <cellStyle name="Percent 4 13 2" xfId="62579" xr:uid="{00000000-0005-0000-0000-00009BEF0000}"/>
    <cellStyle name="Percent 4 14" xfId="44784" xr:uid="{00000000-0005-0000-0000-00009CEF0000}"/>
    <cellStyle name="Percent 4 14 2" xfId="62580" xr:uid="{00000000-0005-0000-0000-00009DEF0000}"/>
    <cellStyle name="Percent 4 15" xfId="44785" xr:uid="{00000000-0005-0000-0000-00009EEF0000}"/>
    <cellStyle name="Percent 4 16" xfId="44786" xr:uid="{00000000-0005-0000-0000-00009FEF0000}"/>
    <cellStyle name="Percent 4 17" xfId="44787" xr:uid="{00000000-0005-0000-0000-0000A0EF0000}"/>
    <cellStyle name="Percent 4 18" xfId="44788" xr:uid="{00000000-0005-0000-0000-0000A1EF0000}"/>
    <cellStyle name="Percent 4 19" xfId="44789" xr:uid="{00000000-0005-0000-0000-0000A2EF0000}"/>
    <cellStyle name="Percent 4 2" xfId="44790" xr:uid="{00000000-0005-0000-0000-0000A3EF0000}"/>
    <cellStyle name="Percent 4 2 10" xfId="44791" xr:uid="{00000000-0005-0000-0000-0000A4EF0000}"/>
    <cellStyle name="Percent 4 2 11" xfId="44792" xr:uid="{00000000-0005-0000-0000-0000A5EF0000}"/>
    <cellStyle name="Percent 4 2 12" xfId="44793" xr:uid="{00000000-0005-0000-0000-0000A6EF0000}"/>
    <cellStyle name="Percent 4 2 13" xfId="44794" xr:uid="{00000000-0005-0000-0000-0000A7EF0000}"/>
    <cellStyle name="Percent 4 2 14" xfId="44795" xr:uid="{00000000-0005-0000-0000-0000A8EF0000}"/>
    <cellStyle name="Percent 4 2 15" xfId="44796" xr:uid="{00000000-0005-0000-0000-0000A9EF0000}"/>
    <cellStyle name="Percent 4 2 16" xfId="44797" xr:uid="{00000000-0005-0000-0000-0000AAEF0000}"/>
    <cellStyle name="Percent 4 2 2" xfId="44798" xr:uid="{00000000-0005-0000-0000-0000ABEF0000}"/>
    <cellStyle name="Percent 4 2 2 10" xfId="44799" xr:uid="{00000000-0005-0000-0000-0000ACEF0000}"/>
    <cellStyle name="Percent 4 2 2 11" xfId="44800" xr:uid="{00000000-0005-0000-0000-0000ADEF0000}"/>
    <cellStyle name="Percent 4 2 2 12" xfId="44801" xr:uid="{00000000-0005-0000-0000-0000AEEF0000}"/>
    <cellStyle name="Percent 4 2 2 13" xfId="44802" xr:uid="{00000000-0005-0000-0000-0000AFEF0000}"/>
    <cellStyle name="Percent 4 2 2 14" xfId="44803" xr:uid="{00000000-0005-0000-0000-0000B0EF0000}"/>
    <cellStyle name="Percent 4 2 2 15" xfId="44804" xr:uid="{00000000-0005-0000-0000-0000B1EF0000}"/>
    <cellStyle name="Percent 4 2 2 2" xfId="44805" xr:uid="{00000000-0005-0000-0000-0000B2EF0000}"/>
    <cellStyle name="Percent 4 2 2 2 2" xfId="44806" xr:uid="{00000000-0005-0000-0000-0000B3EF0000}"/>
    <cellStyle name="Percent 4 2 2 2 2 2" xfId="44807" xr:uid="{00000000-0005-0000-0000-0000B4EF0000}"/>
    <cellStyle name="Percent 4 2 2 2 2 2 2" xfId="44808" xr:uid="{00000000-0005-0000-0000-0000B5EF0000}"/>
    <cellStyle name="Percent 4 2 2 2 2 2 2 2" xfId="62581" xr:uid="{00000000-0005-0000-0000-0000B6EF0000}"/>
    <cellStyle name="Percent 4 2 2 2 2 2 2 3" xfId="62582" xr:uid="{00000000-0005-0000-0000-0000B7EF0000}"/>
    <cellStyle name="Percent 4 2 2 2 2 2 3" xfId="44809" xr:uid="{00000000-0005-0000-0000-0000B8EF0000}"/>
    <cellStyle name="Percent 4 2 2 2 2 2 3 2" xfId="62583" xr:uid="{00000000-0005-0000-0000-0000B9EF0000}"/>
    <cellStyle name="Percent 4 2 2 2 2 2 4" xfId="44810" xr:uid="{00000000-0005-0000-0000-0000BAEF0000}"/>
    <cellStyle name="Percent 4 2 2 2 2 2 5" xfId="44811" xr:uid="{00000000-0005-0000-0000-0000BBEF0000}"/>
    <cellStyle name="Percent 4 2 2 2 2 2 6" xfId="44812" xr:uid="{00000000-0005-0000-0000-0000BCEF0000}"/>
    <cellStyle name="Percent 4 2 2 2 2 3" xfId="44813" xr:uid="{00000000-0005-0000-0000-0000BDEF0000}"/>
    <cellStyle name="Percent 4 2 2 2 2 3 2" xfId="62584" xr:uid="{00000000-0005-0000-0000-0000BEEF0000}"/>
    <cellStyle name="Percent 4 2 2 2 2 3 3" xfId="62585" xr:uid="{00000000-0005-0000-0000-0000BFEF0000}"/>
    <cellStyle name="Percent 4 2 2 2 2 4" xfId="44814" xr:uid="{00000000-0005-0000-0000-0000C0EF0000}"/>
    <cellStyle name="Percent 4 2 2 2 2 4 2" xfId="62586" xr:uid="{00000000-0005-0000-0000-0000C1EF0000}"/>
    <cellStyle name="Percent 4 2 2 2 2 5" xfId="44815" xr:uid="{00000000-0005-0000-0000-0000C2EF0000}"/>
    <cellStyle name="Percent 4 2 2 2 2 6" xfId="44816" xr:uid="{00000000-0005-0000-0000-0000C3EF0000}"/>
    <cellStyle name="Percent 4 2 2 2 2 7" xfId="44817" xr:uid="{00000000-0005-0000-0000-0000C4EF0000}"/>
    <cellStyle name="Percent 4 2 2 2 3" xfId="44818" xr:uid="{00000000-0005-0000-0000-0000C5EF0000}"/>
    <cellStyle name="Percent 4 2 2 2 3 2" xfId="44819" xr:uid="{00000000-0005-0000-0000-0000C6EF0000}"/>
    <cellStyle name="Percent 4 2 2 2 3 2 2" xfId="62587" xr:uid="{00000000-0005-0000-0000-0000C7EF0000}"/>
    <cellStyle name="Percent 4 2 2 2 3 2 3" xfId="62588" xr:uid="{00000000-0005-0000-0000-0000C8EF0000}"/>
    <cellStyle name="Percent 4 2 2 2 3 3" xfId="44820" xr:uid="{00000000-0005-0000-0000-0000C9EF0000}"/>
    <cellStyle name="Percent 4 2 2 2 3 3 2" xfId="62589" xr:uid="{00000000-0005-0000-0000-0000CAEF0000}"/>
    <cellStyle name="Percent 4 2 2 2 3 4" xfId="44821" xr:uid="{00000000-0005-0000-0000-0000CBEF0000}"/>
    <cellStyle name="Percent 4 2 2 2 3 5" xfId="44822" xr:uid="{00000000-0005-0000-0000-0000CCEF0000}"/>
    <cellStyle name="Percent 4 2 2 2 3 6" xfId="44823" xr:uid="{00000000-0005-0000-0000-0000CDEF0000}"/>
    <cellStyle name="Percent 4 2 2 2 4" xfId="44824" xr:uid="{00000000-0005-0000-0000-0000CEEF0000}"/>
    <cellStyle name="Percent 4 2 2 2 4 2" xfId="62590" xr:uid="{00000000-0005-0000-0000-0000CFEF0000}"/>
    <cellStyle name="Percent 4 2 2 2 4 3" xfId="62591" xr:uid="{00000000-0005-0000-0000-0000D0EF0000}"/>
    <cellStyle name="Percent 4 2 2 2 5" xfId="44825" xr:uid="{00000000-0005-0000-0000-0000D1EF0000}"/>
    <cellStyle name="Percent 4 2 2 2 5 2" xfId="62592" xr:uid="{00000000-0005-0000-0000-0000D2EF0000}"/>
    <cellStyle name="Percent 4 2 2 2 6" xfId="44826" xr:uid="{00000000-0005-0000-0000-0000D3EF0000}"/>
    <cellStyle name="Percent 4 2 2 2 7" xfId="44827" xr:uid="{00000000-0005-0000-0000-0000D4EF0000}"/>
    <cellStyle name="Percent 4 2 2 2 8" xfId="44828" xr:uid="{00000000-0005-0000-0000-0000D5EF0000}"/>
    <cellStyle name="Percent 4 2 2 2 9" xfId="44829" xr:uid="{00000000-0005-0000-0000-0000D6EF0000}"/>
    <cellStyle name="Percent 4 2 2 3" xfId="44830" xr:uid="{00000000-0005-0000-0000-0000D7EF0000}"/>
    <cellStyle name="Percent 4 2 2 3 2" xfId="44831" xr:uid="{00000000-0005-0000-0000-0000D8EF0000}"/>
    <cellStyle name="Percent 4 2 2 3 2 2" xfId="44832" xr:uid="{00000000-0005-0000-0000-0000D9EF0000}"/>
    <cellStyle name="Percent 4 2 2 3 2 2 2" xfId="44833" xr:uid="{00000000-0005-0000-0000-0000DAEF0000}"/>
    <cellStyle name="Percent 4 2 2 3 2 2 2 2" xfId="62593" xr:uid="{00000000-0005-0000-0000-0000DBEF0000}"/>
    <cellStyle name="Percent 4 2 2 3 2 2 2 3" xfId="62594" xr:uid="{00000000-0005-0000-0000-0000DCEF0000}"/>
    <cellStyle name="Percent 4 2 2 3 2 2 3" xfId="44834" xr:uid="{00000000-0005-0000-0000-0000DDEF0000}"/>
    <cellStyle name="Percent 4 2 2 3 2 2 3 2" xfId="62595" xr:uid="{00000000-0005-0000-0000-0000DEEF0000}"/>
    <cellStyle name="Percent 4 2 2 3 2 2 4" xfId="44835" xr:uid="{00000000-0005-0000-0000-0000DFEF0000}"/>
    <cellStyle name="Percent 4 2 2 3 2 2 5" xfId="44836" xr:uid="{00000000-0005-0000-0000-0000E0EF0000}"/>
    <cellStyle name="Percent 4 2 2 3 2 2 6" xfId="44837" xr:uid="{00000000-0005-0000-0000-0000E1EF0000}"/>
    <cellStyle name="Percent 4 2 2 3 2 3" xfId="44838" xr:uid="{00000000-0005-0000-0000-0000E2EF0000}"/>
    <cellStyle name="Percent 4 2 2 3 2 3 2" xfId="62596" xr:uid="{00000000-0005-0000-0000-0000E3EF0000}"/>
    <cellStyle name="Percent 4 2 2 3 2 3 3" xfId="62597" xr:uid="{00000000-0005-0000-0000-0000E4EF0000}"/>
    <cellStyle name="Percent 4 2 2 3 2 4" xfId="44839" xr:uid="{00000000-0005-0000-0000-0000E5EF0000}"/>
    <cellStyle name="Percent 4 2 2 3 2 4 2" xfId="62598" xr:uid="{00000000-0005-0000-0000-0000E6EF0000}"/>
    <cellStyle name="Percent 4 2 2 3 2 5" xfId="44840" xr:uid="{00000000-0005-0000-0000-0000E7EF0000}"/>
    <cellStyle name="Percent 4 2 2 3 2 6" xfId="44841" xr:uid="{00000000-0005-0000-0000-0000E8EF0000}"/>
    <cellStyle name="Percent 4 2 2 3 2 7" xfId="44842" xr:uid="{00000000-0005-0000-0000-0000E9EF0000}"/>
    <cellStyle name="Percent 4 2 2 3 3" xfId="44843" xr:uid="{00000000-0005-0000-0000-0000EAEF0000}"/>
    <cellStyle name="Percent 4 2 2 3 3 2" xfId="44844" xr:uid="{00000000-0005-0000-0000-0000EBEF0000}"/>
    <cellStyle name="Percent 4 2 2 3 3 2 2" xfId="62599" xr:uid="{00000000-0005-0000-0000-0000ECEF0000}"/>
    <cellStyle name="Percent 4 2 2 3 3 2 3" xfId="62600" xr:uid="{00000000-0005-0000-0000-0000EDEF0000}"/>
    <cellStyle name="Percent 4 2 2 3 3 3" xfId="44845" xr:uid="{00000000-0005-0000-0000-0000EEEF0000}"/>
    <cellStyle name="Percent 4 2 2 3 3 3 2" xfId="62601" xr:uid="{00000000-0005-0000-0000-0000EFEF0000}"/>
    <cellStyle name="Percent 4 2 2 3 3 4" xfId="44846" xr:uid="{00000000-0005-0000-0000-0000F0EF0000}"/>
    <cellStyle name="Percent 4 2 2 3 3 5" xfId="44847" xr:uid="{00000000-0005-0000-0000-0000F1EF0000}"/>
    <cellStyle name="Percent 4 2 2 3 3 6" xfId="44848" xr:uid="{00000000-0005-0000-0000-0000F2EF0000}"/>
    <cellStyle name="Percent 4 2 2 3 4" xfId="44849" xr:uid="{00000000-0005-0000-0000-0000F3EF0000}"/>
    <cellStyle name="Percent 4 2 2 3 4 2" xfId="62602" xr:uid="{00000000-0005-0000-0000-0000F4EF0000}"/>
    <cellStyle name="Percent 4 2 2 3 4 3" xfId="62603" xr:uid="{00000000-0005-0000-0000-0000F5EF0000}"/>
    <cellStyle name="Percent 4 2 2 3 5" xfId="44850" xr:uid="{00000000-0005-0000-0000-0000F6EF0000}"/>
    <cellStyle name="Percent 4 2 2 3 5 2" xfId="62604" xr:uid="{00000000-0005-0000-0000-0000F7EF0000}"/>
    <cellStyle name="Percent 4 2 2 3 6" xfId="44851" xr:uid="{00000000-0005-0000-0000-0000F8EF0000}"/>
    <cellStyle name="Percent 4 2 2 3 7" xfId="44852" xr:uid="{00000000-0005-0000-0000-0000F9EF0000}"/>
    <cellStyle name="Percent 4 2 2 3 8" xfId="44853" xr:uid="{00000000-0005-0000-0000-0000FAEF0000}"/>
    <cellStyle name="Percent 4 2 2 4" xfId="44854" xr:uid="{00000000-0005-0000-0000-0000FBEF0000}"/>
    <cellStyle name="Percent 4 2 2 4 2" xfId="44855" xr:uid="{00000000-0005-0000-0000-0000FCEF0000}"/>
    <cellStyle name="Percent 4 2 2 4 2 2" xfId="44856" xr:uid="{00000000-0005-0000-0000-0000FDEF0000}"/>
    <cellStyle name="Percent 4 2 2 4 2 2 2" xfId="62605" xr:uid="{00000000-0005-0000-0000-0000FEEF0000}"/>
    <cellStyle name="Percent 4 2 2 4 2 2 3" xfId="62606" xr:uid="{00000000-0005-0000-0000-0000FFEF0000}"/>
    <cellStyle name="Percent 4 2 2 4 2 3" xfId="44857" xr:uid="{00000000-0005-0000-0000-000000F00000}"/>
    <cellStyle name="Percent 4 2 2 4 2 3 2" xfId="62607" xr:uid="{00000000-0005-0000-0000-000001F00000}"/>
    <cellStyle name="Percent 4 2 2 4 2 4" xfId="44858" xr:uid="{00000000-0005-0000-0000-000002F00000}"/>
    <cellStyle name="Percent 4 2 2 4 2 5" xfId="44859" xr:uid="{00000000-0005-0000-0000-000003F00000}"/>
    <cellStyle name="Percent 4 2 2 4 2 6" xfId="44860" xr:uid="{00000000-0005-0000-0000-000004F00000}"/>
    <cellStyle name="Percent 4 2 2 4 3" xfId="44861" xr:uid="{00000000-0005-0000-0000-000005F00000}"/>
    <cellStyle name="Percent 4 2 2 4 3 2" xfId="62608" xr:uid="{00000000-0005-0000-0000-000006F00000}"/>
    <cellStyle name="Percent 4 2 2 4 3 3" xfId="62609" xr:uid="{00000000-0005-0000-0000-000007F00000}"/>
    <cellStyle name="Percent 4 2 2 4 4" xfId="44862" xr:uid="{00000000-0005-0000-0000-000008F00000}"/>
    <cellStyle name="Percent 4 2 2 4 4 2" xfId="62610" xr:uid="{00000000-0005-0000-0000-000009F00000}"/>
    <cellStyle name="Percent 4 2 2 4 5" xfId="44863" xr:uid="{00000000-0005-0000-0000-00000AF00000}"/>
    <cellStyle name="Percent 4 2 2 4 6" xfId="44864" xr:uid="{00000000-0005-0000-0000-00000BF00000}"/>
    <cellStyle name="Percent 4 2 2 4 7" xfId="44865" xr:uid="{00000000-0005-0000-0000-00000CF00000}"/>
    <cellStyle name="Percent 4 2 2 5" xfId="44866" xr:uid="{00000000-0005-0000-0000-00000DF00000}"/>
    <cellStyle name="Percent 4 2 2 5 2" xfId="44867" xr:uid="{00000000-0005-0000-0000-00000EF00000}"/>
    <cellStyle name="Percent 4 2 2 5 2 2" xfId="62611" xr:uid="{00000000-0005-0000-0000-00000FF00000}"/>
    <cellStyle name="Percent 4 2 2 5 2 3" xfId="62612" xr:uid="{00000000-0005-0000-0000-000010F00000}"/>
    <cellStyle name="Percent 4 2 2 5 3" xfId="44868" xr:uid="{00000000-0005-0000-0000-000011F00000}"/>
    <cellStyle name="Percent 4 2 2 5 3 2" xfId="62613" xr:uid="{00000000-0005-0000-0000-000012F00000}"/>
    <cellStyle name="Percent 4 2 2 5 4" xfId="44869" xr:uid="{00000000-0005-0000-0000-000013F00000}"/>
    <cellStyle name="Percent 4 2 2 5 5" xfId="44870" xr:uid="{00000000-0005-0000-0000-000014F00000}"/>
    <cellStyle name="Percent 4 2 2 5 6" xfId="44871" xr:uid="{00000000-0005-0000-0000-000015F00000}"/>
    <cellStyle name="Percent 4 2 2 6" xfId="44872" xr:uid="{00000000-0005-0000-0000-000016F00000}"/>
    <cellStyle name="Percent 4 2 2 6 2" xfId="62614" xr:uid="{00000000-0005-0000-0000-000017F00000}"/>
    <cellStyle name="Percent 4 2 2 6 3" xfId="62615" xr:uid="{00000000-0005-0000-0000-000018F00000}"/>
    <cellStyle name="Percent 4 2 2 7" xfId="44873" xr:uid="{00000000-0005-0000-0000-000019F00000}"/>
    <cellStyle name="Percent 4 2 2 7 2" xfId="62616" xr:uid="{00000000-0005-0000-0000-00001AF00000}"/>
    <cellStyle name="Percent 4 2 2 8" xfId="44874" xr:uid="{00000000-0005-0000-0000-00001BF00000}"/>
    <cellStyle name="Percent 4 2 2 9" xfId="44875" xr:uid="{00000000-0005-0000-0000-00001CF00000}"/>
    <cellStyle name="Percent 4 2 3" xfId="44876" xr:uid="{00000000-0005-0000-0000-00001DF00000}"/>
    <cellStyle name="Percent 4 2 3 2" xfId="44877" xr:uid="{00000000-0005-0000-0000-00001EF00000}"/>
    <cellStyle name="Percent 4 2 3 2 2" xfId="44878" xr:uid="{00000000-0005-0000-0000-00001FF00000}"/>
    <cellStyle name="Percent 4 2 3 2 2 2" xfId="44879" xr:uid="{00000000-0005-0000-0000-000020F00000}"/>
    <cellStyle name="Percent 4 2 3 2 2 2 2" xfId="62617" xr:uid="{00000000-0005-0000-0000-000021F00000}"/>
    <cellStyle name="Percent 4 2 3 2 2 2 3" xfId="62618" xr:uid="{00000000-0005-0000-0000-000022F00000}"/>
    <cellStyle name="Percent 4 2 3 2 2 3" xfId="44880" xr:uid="{00000000-0005-0000-0000-000023F00000}"/>
    <cellStyle name="Percent 4 2 3 2 2 3 2" xfId="62619" xr:uid="{00000000-0005-0000-0000-000024F00000}"/>
    <cellStyle name="Percent 4 2 3 2 2 4" xfId="44881" xr:uid="{00000000-0005-0000-0000-000025F00000}"/>
    <cellStyle name="Percent 4 2 3 2 2 5" xfId="44882" xr:uid="{00000000-0005-0000-0000-000026F00000}"/>
    <cellStyle name="Percent 4 2 3 2 2 6" xfId="44883" xr:uid="{00000000-0005-0000-0000-000027F00000}"/>
    <cellStyle name="Percent 4 2 3 2 3" xfId="44884" xr:uid="{00000000-0005-0000-0000-000028F00000}"/>
    <cellStyle name="Percent 4 2 3 2 3 2" xfId="62620" xr:uid="{00000000-0005-0000-0000-000029F00000}"/>
    <cellStyle name="Percent 4 2 3 2 3 3" xfId="62621" xr:uid="{00000000-0005-0000-0000-00002AF00000}"/>
    <cellStyle name="Percent 4 2 3 2 4" xfId="44885" xr:uid="{00000000-0005-0000-0000-00002BF00000}"/>
    <cellStyle name="Percent 4 2 3 2 4 2" xfId="62622" xr:uid="{00000000-0005-0000-0000-00002CF00000}"/>
    <cellStyle name="Percent 4 2 3 2 5" xfId="44886" xr:uid="{00000000-0005-0000-0000-00002DF00000}"/>
    <cellStyle name="Percent 4 2 3 2 6" xfId="44887" xr:uid="{00000000-0005-0000-0000-00002EF00000}"/>
    <cellStyle name="Percent 4 2 3 2 7" xfId="44888" xr:uid="{00000000-0005-0000-0000-00002FF00000}"/>
    <cellStyle name="Percent 4 2 3 3" xfId="44889" xr:uid="{00000000-0005-0000-0000-000030F00000}"/>
    <cellStyle name="Percent 4 2 3 3 2" xfId="44890" xr:uid="{00000000-0005-0000-0000-000031F00000}"/>
    <cellStyle name="Percent 4 2 3 3 2 2" xfId="62623" xr:uid="{00000000-0005-0000-0000-000032F00000}"/>
    <cellStyle name="Percent 4 2 3 3 2 3" xfId="62624" xr:uid="{00000000-0005-0000-0000-000033F00000}"/>
    <cellStyle name="Percent 4 2 3 3 3" xfId="44891" xr:uid="{00000000-0005-0000-0000-000034F00000}"/>
    <cellStyle name="Percent 4 2 3 3 3 2" xfId="62625" xr:uid="{00000000-0005-0000-0000-000035F00000}"/>
    <cellStyle name="Percent 4 2 3 3 4" xfId="44892" xr:uid="{00000000-0005-0000-0000-000036F00000}"/>
    <cellStyle name="Percent 4 2 3 3 5" xfId="44893" xr:uid="{00000000-0005-0000-0000-000037F00000}"/>
    <cellStyle name="Percent 4 2 3 3 6" xfId="44894" xr:uid="{00000000-0005-0000-0000-000038F00000}"/>
    <cellStyle name="Percent 4 2 3 4" xfId="44895" xr:uid="{00000000-0005-0000-0000-000039F00000}"/>
    <cellStyle name="Percent 4 2 3 4 2" xfId="62626" xr:uid="{00000000-0005-0000-0000-00003AF00000}"/>
    <cellStyle name="Percent 4 2 3 4 3" xfId="62627" xr:uid="{00000000-0005-0000-0000-00003BF00000}"/>
    <cellStyle name="Percent 4 2 3 5" xfId="44896" xr:uid="{00000000-0005-0000-0000-00003CF00000}"/>
    <cellStyle name="Percent 4 2 3 5 2" xfId="62628" xr:uid="{00000000-0005-0000-0000-00003DF00000}"/>
    <cellStyle name="Percent 4 2 3 6" xfId="44897" xr:uid="{00000000-0005-0000-0000-00003EF00000}"/>
    <cellStyle name="Percent 4 2 3 7" xfId="44898" xr:uid="{00000000-0005-0000-0000-00003FF00000}"/>
    <cellStyle name="Percent 4 2 3 8" xfId="44899" xr:uid="{00000000-0005-0000-0000-000040F00000}"/>
    <cellStyle name="Percent 4 2 3 9" xfId="44900" xr:uid="{00000000-0005-0000-0000-000041F00000}"/>
    <cellStyle name="Percent 4 2 4" xfId="44901" xr:uid="{00000000-0005-0000-0000-000042F00000}"/>
    <cellStyle name="Percent 4 2 4 2" xfId="44902" xr:uid="{00000000-0005-0000-0000-000043F00000}"/>
    <cellStyle name="Percent 4 2 4 2 2" xfId="44903" xr:uid="{00000000-0005-0000-0000-000044F00000}"/>
    <cellStyle name="Percent 4 2 4 2 2 2" xfId="44904" xr:uid="{00000000-0005-0000-0000-000045F00000}"/>
    <cellStyle name="Percent 4 2 4 2 2 2 2" xfId="62629" xr:uid="{00000000-0005-0000-0000-000046F00000}"/>
    <cellStyle name="Percent 4 2 4 2 2 2 3" xfId="62630" xr:uid="{00000000-0005-0000-0000-000047F00000}"/>
    <cellStyle name="Percent 4 2 4 2 2 3" xfId="44905" xr:uid="{00000000-0005-0000-0000-000048F00000}"/>
    <cellStyle name="Percent 4 2 4 2 2 3 2" xfId="62631" xr:uid="{00000000-0005-0000-0000-000049F00000}"/>
    <cellStyle name="Percent 4 2 4 2 2 4" xfId="44906" xr:uid="{00000000-0005-0000-0000-00004AF00000}"/>
    <cellStyle name="Percent 4 2 4 2 2 5" xfId="44907" xr:uid="{00000000-0005-0000-0000-00004BF00000}"/>
    <cellStyle name="Percent 4 2 4 2 2 6" xfId="44908" xr:uid="{00000000-0005-0000-0000-00004CF00000}"/>
    <cellStyle name="Percent 4 2 4 2 3" xfId="44909" xr:uid="{00000000-0005-0000-0000-00004DF00000}"/>
    <cellStyle name="Percent 4 2 4 2 3 2" xfId="62632" xr:uid="{00000000-0005-0000-0000-00004EF00000}"/>
    <cellStyle name="Percent 4 2 4 2 3 3" xfId="62633" xr:uid="{00000000-0005-0000-0000-00004FF00000}"/>
    <cellStyle name="Percent 4 2 4 2 4" xfId="44910" xr:uid="{00000000-0005-0000-0000-000050F00000}"/>
    <cellStyle name="Percent 4 2 4 2 4 2" xfId="62634" xr:uid="{00000000-0005-0000-0000-000051F00000}"/>
    <cellStyle name="Percent 4 2 4 2 5" xfId="44911" xr:uid="{00000000-0005-0000-0000-000052F00000}"/>
    <cellStyle name="Percent 4 2 4 2 6" xfId="44912" xr:uid="{00000000-0005-0000-0000-000053F00000}"/>
    <cellStyle name="Percent 4 2 4 2 7" xfId="44913" xr:uid="{00000000-0005-0000-0000-000054F00000}"/>
    <cellStyle name="Percent 4 2 4 3" xfId="44914" xr:uid="{00000000-0005-0000-0000-000055F00000}"/>
    <cellStyle name="Percent 4 2 4 3 2" xfId="44915" xr:uid="{00000000-0005-0000-0000-000056F00000}"/>
    <cellStyle name="Percent 4 2 4 3 2 2" xfId="62635" xr:uid="{00000000-0005-0000-0000-000057F00000}"/>
    <cellStyle name="Percent 4 2 4 3 2 3" xfId="62636" xr:uid="{00000000-0005-0000-0000-000058F00000}"/>
    <cellStyle name="Percent 4 2 4 3 3" xfId="44916" xr:uid="{00000000-0005-0000-0000-000059F00000}"/>
    <cellStyle name="Percent 4 2 4 3 3 2" xfId="62637" xr:uid="{00000000-0005-0000-0000-00005AF00000}"/>
    <cellStyle name="Percent 4 2 4 3 4" xfId="44917" xr:uid="{00000000-0005-0000-0000-00005BF00000}"/>
    <cellStyle name="Percent 4 2 4 3 5" xfId="44918" xr:uid="{00000000-0005-0000-0000-00005CF00000}"/>
    <cellStyle name="Percent 4 2 4 3 6" xfId="44919" xr:uid="{00000000-0005-0000-0000-00005DF00000}"/>
    <cellStyle name="Percent 4 2 4 4" xfId="44920" xr:uid="{00000000-0005-0000-0000-00005EF00000}"/>
    <cellStyle name="Percent 4 2 4 4 2" xfId="62638" xr:uid="{00000000-0005-0000-0000-00005FF00000}"/>
    <cellStyle name="Percent 4 2 4 4 3" xfId="62639" xr:uid="{00000000-0005-0000-0000-000060F00000}"/>
    <cellStyle name="Percent 4 2 4 5" xfId="44921" xr:uid="{00000000-0005-0000-0000-000061F00000}"/>
    <cellStyle name="Percent 4 2 4 5 2" xfId="62640" xr:uid="{00000000-0005-0000-0000-000062F00000}"/>
    <cellStyle name="Percent 4 2 4 6" xfId="44922" xr:uid="{00000000-0005-0000-0000-000063F00000}"/>
    <cellStyle name="Percent 4 2 4 7" xfId="44923" xr:uid="{00000000-0005-0000-0000-000064F00000}"/>
    <cellStyle name="Percent 4 2 4 8" xfId="44924" xr:uid="{00000000-0005-0000-0000-000065F00000}"/>
    <cellStyle name="Percent 4 2 5" xfId="44925" xr:uid="{00000000-0005-0000-0000-000066F00000}"/>
    <cellStyle name="Percent 4 2 5 2" xfId="44926" xr:uid="{00000000-0005-0000-0000-000067F00000}"/>
    <cellStyle name="Percent 4 2 5 2 2" xfId="44927" xr:uid="{00000000-0005-0000-0000-000068F00000}"/>
    <cellStyle name="Percent 4 2 5 2 2 2" xfId="62641" xr:uid="{00000000-0005-0000-0000-000069F00000}"/>
    <cellStyle name="Percent 4 2 5 2 2 3" xfId="62642" xr:uid="{00000000-0005-0000-0000-00006AF00000}"/>
    <cellStyle name="Percent 4 2 5 2 3" xfId="44928" xr:uid="{00000000-0005-0000-0000-00006BF00000}"/>
    <cellStyle name="Percent 4 2 5 2 3 2" xfId="62643" xr:uid="{00000000-0005-0000-0000-00006CF00000}"/>
    <cellStyle name="Percent 4 2 5 2 4" xfId="44929" xr:uid="{00000000-0005-0000-0000-00006DF00000}"/>
    <cellStyle name="Percent 4 2 5 2 5" xfId="44930" xr:uid="{00000000-0005-0000-0000-00006EF00000}"/>
    <cellStyle name="Percent 4 2 5 2 6" xfId="44931" xr:uid="{00000000-0005-0000-0000-00006FF00000}"/>
    <cellStyle name="Percent 4 2 5 3" xfId="44932" xr:uid="{00000000-0005-0000-0000-000070F00000}"/>
    <cellStyle name="Percent 4 2 5 3 2" xfId="62644" xr:uid="{00000000-0005-0000-0000-000071F00000}"/>
    <cellStyle name="Percent 4 2 5 3 3" xfId="62645" xr:uid="{00000000-0005-0000-0000-000072F00000}"/>
    <cellStyle name="Percent 4 2 5 4" xfId="44933" xr:uid="{00000000-0005-0000-0000-000073F00000}"/>
    <cellStyle name="Percent 4 2 5 4 2" xfId="62646" xr:uid="{00000000-0005-0000-0000-000074F00000}"/>
    <cellStyle name="Percent 4 2 5 5" xfId="44934" xr:uid="{00000000-0005-0000-0000-000075F00000}"/>
    <cellStyle name="Percent 4 2 5 6" xfId="44935" xr:uid="{00000000-0005-0000-0000-000076F00000}"/>
    <cellStyle name="Percent 4 2 5 7" xfId="44936" xr:uid="{00000000-0005-0000-0000-000077F00000}"/>
    <cellStyle name="Percent 4 2 6" xfId="44937" xr:uid="{00000000-0005-0000-0000-000078F00000}"/>
    <cellStyle name="Percent 4 2 6 2" xfId="44938" xr:uid="{00000000-0005-0000-0000-000079F00000}"/>
    <cellStyle name="Percent 4 2 6 2 2" xfId="62647" xr:uid="{00000000-0005-0000-0000-00007AF00000}"/>
    <cellStyle name="Percent 4 2 6 2 3" xfId="62648" xr:uid="{00000000-0005-0000-0000-00007BF00000}"/>
    <cellStyle name="Percent 4 2 6 3" xfId="44939" xr:uid="{00000000-0005-0000-0000-00007CF00000}"/>
    <cellStyle name="Percent 4 2 6 3 2" xfId="62649" xr:uid="{00000000-0005-0000-0000-00007DF00000}"/>
    <cellStyle name="Percent 4 2 6 4" xfId="44940" xr:uid="{00000000-0005-0000-0000-00007EF00000}"/>
    <cellStyle name="Percent 4 2 6 5" xfId="44941" xr:uid="{00000000-0005-0000-0000-00007FF00000}"/>
    <cellStyle name="Percent 4 2 6 6" xfId="44942" xr:uid="{00000000-0005-0000-0000-000080F00000}"/>
    <cellStyle name="Percent 4 2 7" xfId="44943" xr:uid="{00000000-0005-0000-0000-000081F00000}"/>
    <cellStyle name="Percent 4 2 7 2" xfId="62650" xr:uid="{00000000-0005-0000-0000-000082F00000}"/>
    <cellStyle name="Percent 4 2 7 3" xfId="62651" xr:uid="{00000000-0005-0000-0000-000083F00000}"/>
    <cellStyle name="Percent 4 2 8" xfId="44944" xr:uid="{00000000-0005-0000-0000-000084F00000}"/>
    <cellStyle name="Percent 4 2 8 2" xfId="62652" xr:uid="{00000000-0005-0000-0000-000085F00000}"/>
    <cellStyle name="Percent 4 2 9" xfId="44945" xr:uid="{00000000-0005-0000-0000-000086F00000}"/>
    <cellStyle name="Percent 4 2 9 2" xfId="62653" xr:uid="{00000000-0005-0000-0000-000087F00000}"/>
    <cellStyle name="Percent 4 20" xfId="44946" xr:uid="{00000000-0005-0000-0000-000088F00000}"/>
    <cellStyle name="Percent 4 21" xfId="44947" xr:uid="{00000000-0005-0000-0000-000089F00000}"/>
    <cellStyle name="Percent 4 3" xfId="44948" xr:uid="{00000000-0005-0000-0000-00008AF00000}"/>
    <cellStyle name="Percent 4 3 10" xfId="44949" xr:uid="{00000000-0005-0000-0000-00008BF00000}"/>
    <cellStyle name="Percent 4 3 11" xfId="44950" xr:uid="{00000000-0005-0000-0000-00008CF00000}"/>
    <cellStyle name="Percent 4 3 12" xfId="44951" xr:uid="{00000000-0005-0000-0000-00008DF00000}"/>
    <cellStyle name="Percent 4 3 13" xfId="44952" xr:uid="{00000000-0005-0000-0000-00008EF00000}"/>
    <cellStyle name="Percent 4 3 14" xfId="44953" xr:uid="{00000000-0005-0000-0000-00008FF00000}"/>
    <cellStyle name="Percent 4 3 15" xfId="44954" xr:uid="{00000000-0005-0000-0000-000090F00000}"/>
    <cellStyle name="Percent 4 3 16" xfId="44955" xr:uid="{00000000-0005-0000-0000-000091F00000}"/>
    <cellStyle name="Percent 4 3 2" xfId="44956" xr:uid="{00000000-0005-0000-0000-000092F00000}"/>
    <cellStyle name="Percent 4 3 2 10" xfId="44957" xr:uid="{00000000-0005-0000-0000-000093F00000}"/>
    <cellStyle name="Percent 4 3 2 11" xfId="44958" xr:uid="{00000000-0005-0000-0000-000094F00000}"/>
    <cellStyle name="Percent 4 3 2 12" xfId="44959" xr:uid="{00000000-0005-0000-0000-000095F00000}"/>
    <cellStyle name="Percent 4 3 2 13" xfId="44960" xr:uid="{00000000-0005-0000-0000-000096F00000}"/>
    <cellStyle name="Percent 4 3 2 14" xfId="44961" xr:uid="{00000000-0005-0000-0000-000097F00000}"/>
    <cellStyle name="Percent 4 3 2 2" xfId="44962" xr:uid="{00000000-0005-0000-0000-000098F00000}"/>
    <cellStyle name="Percent 4 3 2 2 2" xfId="44963" xr:uid="{00000000-0005-0000-0000-000099F00000}"/>
    <cellStyle name="Percent 4 3 2 2 2 2" xfId="44964" xr:uid="{00000000-0005-0000-0000-00009AF00000}"/>
    <cellStyle name="Percent 4 3 2 2 2 2 2" xfId="44965" xr:uid="{00000000-0005-0000-0000-00009BF00000}"/>
    <cellStyle name="Percent 4 3 2 2 2 2 2 2" xfId="62654" xr:uid="{00000000-0005-0000-0000-00009CF00000}"/>
    <cellStyle name="Percent 4 3 2 2 2 2 2 3" xfId="62655" xr:uid="{00000000-0005-0000-0000-00009DF00000}"/>
    <cellStyle name="Percent 4 3 2 2 2 2 3" xfId="44966" xr:uid="{00000000-0005-0000-0000-00009EF00000}"/>
    <cellStyle name="Percent 4 3 2 2 2 2 3 2" xfId="62656" xr:uid="{00000000-0005-0000-0000-00009FF00000}"/>
    <cellStyle name="Percent 4 3 2 2 2 2 4" xfId="44967" xr:uid="{00000000-0005-0000-0000-0000A0F00000}"/>
    <cellStyle name="Percent 4 3 2 2 2 2 5" xfId="44968" xr:uid="{00000000-0005-0000-0000-0000A1F00000}"/>
    <cellStyle name="Percent 4 3 2 2 2 2 6" xfId="44969" xr:uid="{00000000-0005-0000-0000-0000A2F00000}"/>
    <cellStyle name="Percent 4 3 2 2 2 3" xfId="44970" xr:uid="{00000000-0005-0000-0000-0000A3F00000}"/>
    <cellStyle name="Percent 4 3 2 2 2 3 2" xfId="62657" xr:uid="{00000000-0005-0000-0000-0000A4F00000}"/>
    <cellStyle name="Percent 4 3 2 2 2 3 3" xfId="62658" xr:uid="{00000000-0005-0000-0000-0000A5F00000}"/>
    <cellStyle name="Percent 4 3 2 2 2 4" xfId="44971" xr:uid="{00000000-0005-0000-0000-0000A6F00000}"/>
    <cellStyle name="Percent 4 3 2 2 2 4 2" xfId="62659" xr:uid="{00000000-0005-0000-0000-0000A7F00000}"/>
    <cellStyle name="Percent 4 3 2 2 2 5" xfId="44972" xr:uid="{00000000-0005-0000-0000-0000A8F00000}"/>
    <cellStyle name="Percent 4 3 2 2 2 6" xfId="44973" xr:uid="{00000000-0005-0000-0000-0000A9F00000}"/>
    <cellStyle name="Percent 4 3 2 2 2 7" xfId="44974" xr:uid="{00000000-0005-0000-0000-0000AAF00000}"/>
    <cellStyle name="Percent 4 3 2 2 3" xfId="44975" xr:uid="{00000000-0005-0000-0000-0000ABF00000}"/>
    <cellStyle name="Percent 4 3 2 2 3 2" xfId="44976" xr:uid="{00000000-0005-0000-0000-0000ACF00000}"/>
    <cellStyle name="Percent 4 3 2 2 3 2 2" xfId="62660" xr:uid="{00000000-0005-0000-0000-0000ADF00000}"/>
    <cellStyle name="Percent 4 3 2 2 3 2 3" xfId="62661" xr:uid="{00000000-0005-0000-0000-0000AEF00000}"/>
    <cellStyle name="Percent 4 3 2 2 3 3" xfId="44977" xr:uid="{00000000-0005-0000-0000-0000AFF00000}"/>
    <cellStyle name="Percent 4 3 2 2 3 3 2" xfId="62662" xr:uid="{00000000-0005-0000-0000-0000B0F00000}"/>
    <cellStyle name="Percent 4 3 2 2 3 4" xfId="44978" xr:uid="{00000000-0005-0000-0000-0000B1F00000}"/>
    <cellStyle name="Percent 4 3 2 2 3 5" xfId="44979" xr:uid="{00000000-0005-0000-0000-0000B2F00000}"/>
    <cellStyle name="Percent 4 3 2 2 3 6" xfId="44980" xr:uid="{00000000-0005-0000-0000-0000B3F00000}"/>
    <cellStyle name="Percent 4 3 2 2 4" xfId="44981" xr:uid="{00000000-0005-0000-0000-0000B4F00000}"/>
    <cellStyle name="Percent 4 3 2 2 4 2" xfId="62663" xr:uid="{00000000-0005-0000-0000-0000B5F00000}"/>
    <cellStyle name="Percent 4 3 2 2 4 3" xfId="62664" xr:uid="{00000000-0005-0000-0000-0000B6F00000}"/>
    <cellStyle name="Percent 4 3 2 2 5" xfId="44982" xr:uid="{00000000-0005-0000-0000-0000B7F00000}"/>
    <cellStyle name="Percent 4 3 2 2 5 2" xfId="62665" xr:uid="{00000000-0005-0000-0000-0000B8F00000}"/>
    <cellStyle name="Percent 4 3 2 2 6" xfId="44983" xr:uid="{00000000-0005-0000-0000-0000B9F00000}"/>
    <cellStyle name="Percent 4 3 2 2 7" xfId="44984" xr:uid="{00000000-0005-0000-0000-0000BAF00000}"/>
    <cellStyle name="Percent 4 3 2 2 8" xfId="44985" xr:uid="{00000000-0005-0000-0000-0000BBF00000}"/>
    <cellStyle name="Percent 4 3 2 2 9" xfId="44986" xr:uid="{00000000-0005-0000-0000-0000BCF00000}"/>
    <cellStyle name="Percent 4 3 2 3" xfId="44987" xr:uid="{00000000-0005-0000-0000-0000BDF00000}"/>
    <cellStyle name="Percent 4 3 2 3 2" xfId="44988" xr:uid="{00000000-0005-0000-0000-0000BEF00000}"/>
    <cellStyle name="Percent 4 3 2 3 2 2" xfId="44989" xr:uid="{00000000-0005-0000-0000-0000BFF00000}"/>
    <cellStyle name="Percent 4 3 2 3 2 2 2" xfId="44990" xr:uid="{00000000-0005-0000-0000-0000C0F00000}"/>
    <cellStyle name="Percent 4 3 2 3 2 2 2 2" xfId="62666" xr:uid="{00000000-0005-0000-0000-0000C1F00000}"/>
    <cellStyle name="Percent 4 3 2 3 2 2 2 3" xfId="62667" xr:uid="{00000000-0005-0000-0000-0000C2F00000}"/>
    <cellStyle name="Percent 4 3 2 3 2 2 3" xfId="44991" xr:uid="{00000000-0005-0000-0000-0000C3F00000}"/>
    <cellStyle name="Percent 4 3 2 3 2 2 3 2" xfId="62668" xr:uid="{00000000-0005-0000-0000-0000C4F00000}"/>
    <cellStyle name="Percent 4 3 2 3 2 2 4" xfId="44992" xr:uid="{00000000-0005-0000-0000-0000C5F00000}"/>
    <cellStyle name="Percent 4 3 2 3 2 2 5" xfId="44993" xr:uid="{00000000-0005-0000-0000-0000C6F00000}"/>
    <cellStyle name="Percent 4 3 2 3 2 2 6" xfId="44994" xr:uid="{00000000-0005-0000-0000-0000C7F00000}"/>
    <cellStyle name="Percent 4 3 2 3 2 3" xfId="44995" xr:uid="{00000000-0005-0000-0000-0000C8F00000}"/>
    <cellStyle name="Percent 4 3 2 3 2 3 2" xfId="62669" xr:uid="{00000000-0005-0000-0000-0000C9F00000}"/>
    <cellStyle name="Percent 4 3 2 3 2 3 3" xfId="62670" xr:uid="{00000000-0005-0000-0000-0000CAF00000}"/>
    <cellStyle name="Percent 4 3 2 3 2 4" xfId="44996" xr:uid="{00000000-0005-0000-0000-0000CBF00000}"/>
    <cellStyle name="Percent 4 3 2 3 2 4 2" xfId="62671" xr:uid="{00000000-0005-0000-0000-0000CCF00000}"/>
    <cellStyle name="Percent 4 3 2 3 2 5" xfId="44997" xr:uid="{00000000-0005-0000-0000-0000CDF00000}"/>
    <cellStyle name="Percent 4 3 2 3 2 6" xfId="44998" xr:uid="{00000000-0005-0000-0000-0000CEF00000}"/>
    <cellStyle name="Percent 4 3 2 3 2 7" xfId="44999" xr:uid="{00000000-0005-0000-0000-0000CFF00000}"/>
    <cellStyle name="Percent 4 3 2 3 3" xfId="45000" xr:uid="{00000000-0005-0000-0000-0000D0F00000}"/>
    <cellStyle name="Percent 4 3 2 3 3 2" xfId="45001" xr:uid="{00000000-0005-0000-0000-0000D1F00000}"/>
    <cellStyle name="Percent 4 3 2 3 3 2 2" xfId="62672" xr:uid="{00000000-0005-0000-0000-0000D2F00000}"/>
    <cellStyle name="Percent 4 3 2 3 3 2 3" xfId="62673" xr:uid="{00000000-0005-0000-0000-0000D3F00000}"/>
    <cellStyle name="Percent 4 3 2 3 3 3" xfId="45002" xr:uid="{00000000-0005-0000-0000-0000D4F00000}"/>
    <cellStyle name="Percent 4 3 2 3 3 3 2" xfId="62674" xr:uid="{00000000-0005-0000-0000-0000D5F00000}"/>
    <cellStyle name="Percent 4 3 2 3 3 4" xfId="45003" xr:uid="{00000000-0005-0000-0000-0000D6F00000}"/>
    <cellStyle name="Percent 4 3 2 3 3 5" xfId="45004" xr:uid="{00000000-0005-0000-0000-0000D7F00000}"/>
    <cellStyle name="Percent 4 3 2 3 3 6" xfId="45005" xr:uid="{00000000-0005-0000-0000-0000D8F00000}"/>
    <cellStyle name="Percent 4 3 2 3 4" xfId="45006" xr:uid="{00000000-0005-0000-0000-0000D9F00000}"/>
    <cellStyle name="Percent 4 3 2 3 4 2" xfId="62675" xr:uid="{00000000-0005-0000-0000-0000DAF00000}"/>
    <cellStyle name="Percent 4 3 2 3 4 3" xfId="62676" xr:uid="{00000000-0005-0000-0000-0000DBF00000}"/>
    <cellStyle name="Percent 4 3 2 3 5" xfId="45007" xr:uid="{00000000-0005-0000-0000-0000DCF00000}"/>
    <cellStyle name="Percent 4 3 2 3 5 2" xfId="62677" xr:uid="{00000000-0005-0000-0000-0000DDF00000}"/>
    <cellStyle name="Percent 4 3 2 3 6" xfId="45008" xr:uid="{00000000-0005-0000-0000-0000DEF00000}"/>
    <cellStyle name="Percent 4 3 2 3 7" xfId="45009" xr:uid="{00000000-0005-0000-0000-0000DFF00000}"/>
    <cellStyle name="Percent 4 3 2 3 8" xfId="45010" xr:uid="{00000000-0005-0000-0000-0000E0F00000}"/>
    <cellStyle name="Percent 4 3 2 4" xfId="45011" xr:uid="{00000000-0005-0000-0000-0000E1F00000}"/>
    <cellStyle name="Percent 4 3 2 4 2" xfId="45012" xr:uid="{00000000-0005-0000-0000-0000E2F00000}"/>
    <cellStyle name="Percent 4 3 2 4 2 2" xfId="45013" xr:uid="{00000000-0005-0000-0000-0000E3F00000}"/>
    <cellStyle name="Percent 4 3 2 4 2 2 2" xfId="62678" xr:uid="{00000000-0005-0000-0000-0000E4F00000}"/>
    <cellStyle name="Percent 4 3 2 4 2 2 3" xfId="62679" xr:uid="{00000000-0005-0000-0000-0000E5F00000}"/>
    <cellStyle name="Percent 4 3 2 4 2 3" xfId="45014" xr:uid="{00000000-0005-0000-0000-0000E6F00000}"/>
    <cellStyle name="Percent 4 3 2 4 2 3 2" xfId="62680" xr:uid="{00000000-0005-0000-0000-0000E7F00000}"/>
    <cellStyle name="Percent 4 3 2 4 2 4" xfId="45015" xr:uid="{00000000-0005-0000-0000-0000E8F00000}"/>
    <cellStyle name="Percent 4 3 2 4 2 5" xfId="45016" xr:uid="{00000000-0005-0000-0000-0000E9F00000}"/>
    <cellStyle name="Percent 4 3 2 4 2 6" xfId="45017" xr:uid="{00000000-0005-0000-0000-0000EAF00000}"/>
    <cellStyle name="Percent 4 3 2 4 3" xfId="45018" xr:uid="{00000000-0005-0000-0000-0000EBF00000}"/>
    <cellStyle name="Percent 4 3 2 4 3 2" xfId="62681" xr:uid="{00000000-0005-0000-0000-0000ECF00000}"/>
    <cellStyle name="Percent 4 3 2 4 3 3" xfId="62682" xr:uid="{00000000-0005-0000-0000-0000EDF00000}"/>
    <cellStyle name="Percent 4 3 2 4 4" xfId="45019" xr:uid="{00000000-0005-0000-0000-0000EEF00000}"/>
    <cellStyle name="Percent 4 3 2 4 4 2" xfId="62683" xr:uid="{00000000-0005-0000-0000-0000EFF00000}"/>
    <cellStyle name="Percent 4 3 2 4 5" xfId="45020" xr:uid="{00000000-0005-0000-0000-0000F0F00000}"/>
    <cellStyle name="Percent 4 3 2 4 6" xfId="45021" xr:uid="{00000000-0005-0000-0000-0000F1F00000}"/>
    <cellStyle name="Percent 4 3 2 4 7" xfId="45022" xr:uid="{00000000-0005-0000-0000-0000F2F00000}"/>
    <cellStyle name="Percent 4 3 2 5" xfId="45023" xr:uid="{00000000-0005-0000-0000-0000F3F00000}"/>
    <cellStyle name="Percent 4 3 2 5 2" xfId="45024" xr:uid="{00000000-0005-0000-0000-0000F4F00000}"/>
    <cellStyle name="Percent 4 3 2 5 2 2" xfId="62684" xr:uid="{00000000-0005-0000-0000-0000F5F00000}"/>
    <cellStyle name="Percent 4 3 2 5 2 3" xfId="62685" xr:uid="{00000000-0005-0000-0000-0000F6F00000}"/>
    <cellStyle name="Percent 4 3 2 5 3" xfId="45025" xr:uid="{00000000-0005-0000-0000-0000F7F00000}"/>
    <cellStyle name="Percent 4 3 2 5 3 2" xfId="62686" xr:uid="{00000000-0005-0000-0000-0000F8F00000}"/>
    <cellStyle name="Percent 4 3 2 5 4" xfId="45026" xr:uid="{00000000-0005-0000-0000-0000F9F00000}"/>
    <cellStyle name="Percent 4 3 2 5 5" xfId="45027" xr:uid="{00000000-0005-0000-0000-0000FAF00000}"/>
    <cellStyle name="Percent 4 3 2 5 6" xfId="45028" xr:uid="{00000000-0005-0000-0000-0000FBF00000}"/>
    <cellStyle name="Percent 4 3 2 6" xfId="45029" xr:uid="{00000000-0005-0000-0000-0000FCF00000}"/>
    <cellStyle name="Percent 4 3 2 6 2" xfId="62687" xr:uid="{00000000-0005-0000-0000-0000FDF00000}"/>
    <cellStyle name="Percent 4 3 2 6 3" xfId="62688" xr:uid="{00000000-0005-0000-0000-0000FEF00000}"/>
    <cellStyle name="Percent 4 3 2 7" xfId="45030" xr:uid="{00000000-0005-0000-0000-0000FFF00000}"/>
    <cellStyle name="Percent 4 3 2 7 2" xfId="62689" xr:uid="{00000000-0005-0000-0000-000000F10000}"/>
    <cellStyle name="Percent 4 3 2 8" xfId="45031" xr:uid="{00000000-0005-0000-0000-000001F10000}"/>
    <cellStyle name="Percent 4 3 2 9" xfId="45032" xr:uid="{00000000-0005-0000-0000-000002F10000}"/>
    <cellStyle name="Percent 4 3 3" xfId="45033" xr:uid="{00000000-0005-0000-0000-000003F10000}"/>
    <cellStyle name="Percent 4 3 3 2" xfId="45034" xr:uid="{00000000-0005-0000-0000-000004F10000}"/>
    <cellStyle name="Percent 4 3 3 2 2" xfId="45035" xr:uid="{00000000-0005-0000-0000-000005F10000}"/>
    <cellStyle name="Percent 4 3 3 2 2 2" xfId="45036" xr:uid="{00000000-0005-0000-0000-000006F10000}"/>
    <cellStyle name="Percent 4 3 3 2 2 2 2" xfId="62690" xr:uid="{00000000-0005-0000-0000-000007F10000}"/>
    <cellStyle name="Percent 4 3 3 2 2 2 3" xfId="62691" xr:uid="{00000000-0005-0000-0000-000008F10000}"/>
    <cellStyle name="Percent 4 3 3 2 2 3" xfId="45037" xr:uid="{00000000-0005-0000-0000-000009F10000}"/>
    <cellStyle name="Percent 4 3 3 2 2 3 2" xfId="62692" xr:uid="{00000000-0005-0000-0000-00000AF10000}"/>
    <cellStyle name="Percent 4 3 3 2 2 4" xfId="45038" xr:uid="{00000000-0005-0000-0000-00000BF10000}"/>
    <cellStyle name="Percent 4 3 3 2 2 5" xfId="45039" xr:uid="{00000000-0005-0000-0000-00000CF10000}"/>
    <cellStyle name="Percent 4 3 3 2 2 6" xfId="45040" xr:uid="{00000000-0005-0000-0000-00000DF10000}"/>
    <cellStyle name="Percent 4 3 3 2 3" xfId="45041" xr:uid="{00000000-0005-0000-0000-00000EF10000}"/>
    <cellStyle name="Percent 4 3 3 2 3 2" xfId="62693" xr:uid="{00000000-0005-0000-0000-00000FF10000}"/>
    <cellStyle name="Percent 4 3 3 2 3 3" xfId="62694" xr:uid="{00000000-0005-0000-0000-000010F10000}"/>
    <cellStyle name="Percent 4 3 3 2 4" xfId="45042" xr:uid="{00000000-0005-0000-0000-000011F10000}"/>
    <cellStyle name="Percent 4 3 3 2 4 2" xfId="62695" xr:uid="{00000000-0005-0000-0000-000012F10000}"/>
    <cellStyle name="Percent 4 3 3 2 5" xfId="45043" xr:uid="{00000000-0005-0000-0000-000013F10000}"/>
    <cellStyle name="Percent 4 3 3 2 6" xfId="45044" xr:uid="{00000000-0005-0000-0000-000014F10000}"/>
    <cellStyle name="Percent 4 3 3 2 7" xfId="45045" xr:uid="{00000000-0005-0000-0000-000015F10000}"/>
    <cellStyle name="Percent 4 3 3 3" xfId="45046" xr:uid="{00000000-0005-0000-0000-000016F10000}"/>
    <cellStyle name="Percent 4 3 3 3 2" xfId="45047" xr:uid="{00000000-0005-0000-0000-000017F10000}"/>
    <cellStyle name="Percent 4 3 3 3 2 2" xfId="62696" xr:uid="{00000000-0005-0000-0000-000018F10000}"/>
    <cellStyle name="Percent 4 3 3 3 2 3" xfId="62697" xr:uid="{00000000-0005-0000-0000-000019F10000}"/>
    <cellStyle name="Percent 4 3 3 3 3" xfId="45048" xr:uid="{00000000-0005-0000-0000-00001AF10000}"/>
    <cellStyle name="Percent 4 3 3 3 3 2" xfId="62698" xr:uid="{00000000-0005-0000-0000-00001BF10000}"/>
    <cellStyle name="Percent 4 3 3 3 4" xfId="45049" xr:uid="{00000000-0005-0000-0000-00001CF10000}"/>
    <cellStyle name="Percent 4 3 3 3 5" xfId="45050" xr:uid="{00000000-0005-0000-0000-00001DF10000}"/>
    <cellStyle name="Percent 4 3 3 3 6" xfId="45051" xr:uid="{00000000-0005-0000-0000-00001EF10000}"/>
    <cellStyle name="Percent 4 3 3 4" xfId="45052" xr:uid="{00000000-0005-0000-0000-00001FF10000}"/>
    <cellStyle name="Percent 4 3 3 4 2" xfId="62699" xr:uid="{00000000-0005-0000-0000-000020F10000}"/>
    <cellStyle name="Percent 4 3 3 4 3" xfId="62700" xr:uid="{00000000-0005-0000-0000-000021F10000}"/>
    <cellStyle name="Percent 4 3 3 5" xfId="45053" xr:uid="{00000000-0005-0000-0000-000022F10000}"/>
    <cellStyle name="Percent 4 3 3 5 2" xfId="62701" xr:uid="{00000000-0005-0000-0000-000023F10000}"/>
    <cellStyle name="Percent 4 3 3 6" xfId="45054" xr:uid="{00000000-0005-0000-0000-000024F10000}"/>
    <cellStyle name="Percent 4 3 3 7" xfId="45055" xr:uid="{00000000-0005-0000-0000-000025F10000}"/>
    <cellStyle name="Percent 4 3 3 8" xfId="45056" xr:uid="{00000000-0005-0000-0000-000026F10000}"/>
    <cellStyle name="Percent 4 3 3 9" xfId="45057" xr:uid="{00000000-0005-0000-0000-000027F10000}"/>
    <cellStyle name="Percent 4 3 4" xfId="45058" xr:uid="{00000000-0005-0000-0000-000028F10000}"/>
    <cellStyle name="Percent 4 3 4 2" xfId="45059" xr:uid="{00000000-0005-0000-0000-000029F10000}"/>
    <cellStyle name="Percent 4 3 4 2 2" xfId="45060" xr:uid="{00000000-0005-0000-0000-00002AF10000}"/>
    <cellStyle name="Percent 4 3 4 2 2 2" xfId="45061" xr:uid="{00000000-0005-0000-0000-00002BF10000}"/>
    <cellStyle name="Percent 4 3 4 2 2 2 2" xfId="62702" xr:uid="{00000000-0005-0000-0000-00002CF10000}"/>
    <cellStyle name="Percent 4 3 4 2 2 2 3" xfId="62703" xr:uid="{00000000-0005-0000-0000-00002DF10000}"/>
    <cellStyle name="Percent 4 3 4 2 2 3" xfId="45062" xr:uid="{00000000-0005-0000-0000-00002EF10000}"/>
    <cellStyle name="Percent 4 3 4 2 2 3 2" xfId="62704" xr:uid="{00000000-0005-0000-0000-00002FF10000}"/>
    <cellStyle name="Percent 4 3 4 2 2 4" xfId="45063" xr:uid="{00000000-0005-0000-0000-000030F10000}"/>
    <cellStyle name="Percent 4 3 4 2 2 5" xfId="45064" xr:uid="{00000000-0005-0000-0000-000031F10000}"/>
    <cellStyle name="Percent 4 3 4 2 2 6" xfId="45065" xr:uid="{00000000-0005-0000-0000-000032F10000}"/>
    <cellStyle name="Percent 4 3 4 2 3" xfId="45066" xr:uid="{00000000-0005-0000-0000-000033F10000}"/>
    <cellStyle name="Percent 4 3 4 2 3 2" xfId="62705" xr:uid="{00000000-0005-0000-0000-000034F10000}"/>
    <cellStyle name="Percent 4 3 4 2 3 3" xfId="62706" xr:uid="{00000000-0005-0000-0000-000035F10000}"/>
    <cellStyle name="Percent 4 3 4 2 4" xfId="45067" xr:uid="{00000000-0005-0000-0000-000036F10000}"/>
    <cellStyle name="Percent 4 3 4 2 4 2" xfId="62707" xr:uid="{00000000-0005-0000-0000-000037F10000}"/>
    <cellStyle name="Percent 4 3 4 2 5" xfId="45068" xr:uid="{00000000-0005-0000-0000-000038F10000}"/>
    <cellStyle name="Percent 4 3 4 2 6" xfId="45069" xr:uid="{00000000-0005-0000-0000-000039F10000}"/>
    <cellStyle name="Percent 4 3 4 2 7" xfId="45070" xr:uid="{00000000-0005-0000-0000-00003AF10000}"/>
    <cellStyle name="Percent 4 3 4 3" xfId="45071" xr:uid="{00000000-0005-0000-0000-00003BF10000}"/>
    <cellStyle name="Percent 4 3 4 3 2" xfId="45072" xr:uid="{00000000-0005-0000-0000-00003CF10000}"/>
    <cellStyle name="Percent 4 3 4 3 2 2" xfId="62708" xr:uid="{00000000-0005-0000-0000-00003DF10000}"/>
    <cellStyle name="Percent 4 3 4 3 2 3" xfId="62709" xr:uid="{00000000-0005-0000-0000-00003EF10000}"/>
    <cellStyle name="Percent 4 3 4 3 3" xfId="45073" xr:uid="{00000000-0005-0000-0000-00003FF10000}"/>
    <cellStyle name="Percent 4 3 4 3 3 2" xfId="62710" xr:uid="{00000000-0005-0000-0000-000040F10000}"/>
    <cellStyle name="Percent 4 3 4 3 4" xfId="45074" xr:uid="{00000000-0005-0000-0000-000041F10000}"/>
    <cellStyle name="Percent 4 3 4 3 5" xfId="45075" xr:uid="{00000000-0005-0000-0000-000042F10000}"/>
    <cellStyle name="Percent 4 3 4 3 6" xfId="45076" xr:uid="{00000000-0005-0000-0000-000043F10000}"/>
    <cellStyle name="Percent 4 3 4 4" xfId="45077" xr:uid="{00000000-0005-0000-0000-000044F10000}"/>
    <cellStyle name="Percent 4 3 4 4 2" xfId="62711" xr:uid="{00000000-0005-0000-0000-000045F10000}"/>
    <cellStyle name="Percent 4 3 4 4 3" xfId="62712" xr:uid="{00000000-0005-0000-0000-000046F10000}"/>
    <cellStyle name="Percent 4 3 4 5" xfId="45078" xr:uid="{00000000-0005-0000-0000-000047F10000}"/>
    <cellStyle name="Percent 4 3 4 5 2" xfId="62713" xr:uid="{00000000-0005-0000-0000-000048F10000}"/>
    <cellStyle name="Percent 4 3 4 6" xfId="45079" xr:uid="{00000000-0005-0000-0000-000049F10000}"/>
    <cellStyle name="Percent 4 3 4 7" xfId="45080" xr:uid="{00000000-0005-0000-0000-00004AF10000}"/>
    <cellStyle name="Percent 4 3 4 8" xfId="45081" xr:uid="{00000000-0005-0000-0000-00004BF10000}"/>
    <cellStyle name="Percent 4 3 5" xfId="45082" xr:uid="{00000000-0005-0000-0000-00004CF10000}"/>
    <cellStyle name="Percent 4 3 5 2" xfId="45083" xr:uid="{00000000-0005-0000-0000-00004DF10000}"/>
    <cellStyle name="Percent 4 3 5 2 2" xfId="45084" xr:uid="{00000000-0005-0000-0000-00004EF10000}"/>
    <cellStyle name="Percent 4 3 5 2 2 2" xfId="62714" xr:uid="{00000000-0005-0000-0000-00004FF10000}"/>
    <cellStyle name="Percent 4 3 5 2 2 3" xfId="62715" xr:uid="{00000000-0005-0000-0000-000050F10000}"/>
    <cellStyle name="Percent 4 3 5 2 3" xfId="45085" xr:uid="{00000000-0005-0000-0000-000051F10000}"/>
    <cellStyle name="Percent 4 3 5 2 3 2" xfId="62716" xr:uid="{00000000-0005-0000-0000-000052F10000}"/>
    <cellStyle name="Percent 4 3 5 2 4" xfId="45086" xr:uid="{00000000-0005-0000-0000-000053F10000}"/>
    <cellStyle name="Percent 4 3 5 2 5" xfId="45087" xr:uid="{00000000-0005-0000-0000-000054F10000}"/>
    <cellStyle name="Percent 4 3 5 2 6" xfId="45088" xr:uid="{00000000-0005-0000-0000-000055F10000}"/>
    <cellStyle name="Percent 4 3 5 3" xfId="45089" xr:uid="{00000000-0005-0000-0000-000056F10000}"/>
    <cellStyle name="Percent 4 3 5 3 2" xfId="62717" xr:uid="{00000000-0005-0000-0000-000057F10000}"/>
    <cellStyle name="Percent 4 3 5 3 3" xfId="62718" xr:uid="{00000000-0005-0000-0000-000058F10000}"/>
    <cellStyle name="Percent 4 3 5 4" xfId="45090" xr:uid="{00000000-0005-0000-0000-000059F10000}"/>
    <cellStyle name="Percent 4 3 5 4 2" xfId="62719" xr:uid="{00000000-0005-0000-0000-00005AF10000}"/>
    <cellStyle name="Percent 4 3 5 5" xfId="45091" xr:uid="{00000000-0005-0000-0000-00005BF10000}"/>
    <cellStyle name="Percent 4 3 5 6" xfId="45092" xr:uid="{00000000-0005-0000-0000-00005CF10000}"/>
    <cellStyle name="Percent 4 3 5 7" xfId="45093" xr:uid="{00000000-0005-0000-0000-00005DF10000}"/>
    <cellStyle name="Percent 4 3 6" xfId="45094" xr:uid="{00000000-0005-0000-0000-00005EF10000}"/>
    <cellStyle name="Percent 4 3 6 2" xfId="45095" xr:uid="{00000000-0005-0000-0000-00005FF10000}"/>
    <cellStyle name="Percent 4 3 6 2 2" xfId="62720" xr:uid="{00000000-0005-0000-0000-000060F10000}"/>
    <cellStyle name="Percent 4 3 6 2 3" xfId="62721" xr:uid="{00000000-0005-0000-0000-000061F10000}"/>
    <cellStyle name="Percent 4 3 6 3" xfId="45096" xr:uid="{00000000-0005-0000-0000-000062F10000}"/>
    <cellStyle name="Percent 4 3 6 3 2" xfId="62722" xr:uid="{00000000-0005-0000-0000-000063F10000}"/>
    <cellStyle name="Percent 4 3 6 4" xfId="45097" xr:uid="{00000000-0005-0000-0000-000064F10000}"/>
    <cellStyle name="Percent 4 3 6 5" xfId="45098" xr:uid="{00000000-0005-0000-0000-000065F10000}"/>
    <cellStyle name="Percent 4 3 6 6" xfId="45099" xr:uid="{00000000-0005-0000-0000-000066F10000}"/>
    <cellStyle name="Percent 4 3 7" xfId="45100" xr:uid="{00000000-0005-0000-0000-000067F10000}"/>
    <cellStyle name="Percent 4 3 7 2" xfId="62723" xr:uid="{00000000-0005-0000-0000-000068F10000}"/>
    <cellStyle name="Percent 4 3 7 3" xfId="62724" xr:uid="{00000000-0005-0000-0000-000069F10000}"/>
    <cellStyle name="Percent 4 3 8" xfId="45101" xr:uid="{00000000-0005-0000-0000-00006AF10000}"/>
    <cellStyle name="Percent 4 3 8 2" xfId="62725" xr:uid="{00000000-0005-0000-0000-00006BF10000}"/>
    <cellStyle name="Percent 4 3 9" xfId="45102" xr:uid="{00000000-0005-0000-0000-00006CF10000}"/>
    <cellStyle name="Percent 4 4" xfId="45103" xr:uid="{00000000-0005-0000-0000-00006DF10000}"/>
    <cellStyle name="Percent 4 4 10" xfId="45104" xr:uid="{00000000-0005-0000-0000-00006EF10000}"/>
    <cellStyle name="Percent 4 4 11" xfId="45105" xr:uid="{00000000-0005-0000-0000-00006FF10000}"/>
    <cellStyle name="Percent 4 4 12" xfId="45106" xr:uid="{00000000-0005-0000-0000-000070F10000}"/>
    <cellStyle name="Percent 4 4 13" xfId="45107" xr:uid="{00000000-0005-0000-0000-000071F10000}"/>
    <cellStyle name="Percent 4 4 14" xfId="45108" xr:uid="{00000000-0005-0000-0000-000072F10000}"/>
    <cellStyle name="Percent 4 4 2" xfId="45109" xr:uid="{00000000-0005-0000-0000-000073F10000}"/>
    <cellStyle name="Percent 4 4 2 2" xfId="45110" xr:uid="{00000000-0005-0000-0000-000074F10000}"/>
    <cellStyle name="Percent 4 4 2 2 2" xfId="45111" xr:uid="{00000000-0005-0000-0000-000075F10000}"/>
    <cellStyle name="Percent 4 4 2 2 2 2" xfId="45112" xr:uid="{00000000-0005-0000-0000-000076F10000}"/>
    <cellStyle name="Percent 4 4 2 2 2 2 2" xfId="62726" xr:uid="{00000000-0005-0000-0000-000077F10000}"/>
    <cellStyle name="Percent 4 4 2 2 2 2 3" xfId="62727" xr:uid="{00000000-0005-0000-0000-000078F10000}"/>
    <cellStyle name="Percent 4 4 2 2 2 3" xfId="45113" xr:uid="{00000000-0005-0000-0000-000079F10000}"/>
    <cellStyle name="Percent 4 4 2 2 2 3 2" xfId="62728" xr:uid="{00000000-0005-0000-0000-00007AF10000}"/>
    <cellStyle name="Percent 4 4 2 2 2 4" xfId="45114" xr:uid="{00000000-0005-0000-0000-00007BF10000}"/>
    <cellStyle name="Percent 4 4 2 2 2 5" xfId="45115" xr:uid="{00000000-0005-0000-0000-00007CF10000}"/>
    <cellStyle name="Percent 4 4 2 2 2 6" xfId="45116" xr:uid="{00000000-0005-0000-0000-00007DF10000}"/>
    <cellStyle name="Percent 4 4 2 2 3" xfId="45117" xr:uid="{00000000-0005-0000-0000-00007EF10000}"/>
    <cellStyle name="Percent 4 4 2 2 3 2" xfId="62729" xr:uid="{00000000-0005-0000-0000-00007FF10000}"/>
    <cellStyle name="Percent 4 4 2 2 3 3" xfId="62730" xr:uid="{00000000-0005-0000-0000-000080F10000}"/>
    <cellStyle name="Percent 4 4 2 2 4" xfId="45118" xr:uid="{00000000-0005-0000-0000-000081F10000}"/>
    <cellStyle name="Percent 4 4 2 2 4 2" xfId="62731" xr:uid="{00000000-0005-0000-0000-000082F10000}"/>
    <cellStyle name="Percent 4 4 2 2 5" xfId="45119" xr:uid="{00000000-0005-0000-0000-000083F10000}"/>
    <cellStyle name="Percent 4 4 2 2 6" xfId="45120" xr:uid="{00000000-0005-0000-0000-000084F10000}"/>
    <cellStyle name="Percent 4 4 2 2 7" xfId="45121" xr:uid="{00000000-0005-0000-0000-000085F10000}"/>
    <cellStyle name="Percent 4 4 2 3" xfId="45122" xr:uid="{00000000-0005-0000-0000-000086F10000}"/>
    <cellStyle name="Percent 4 4 2 3 2" xfId="45123" xr:uid="{00000000-0005-0000-0000-000087F10000}"/>
    <cellStyle name="Percent 4 4 2 3 2 2" xfId="62732" xr:uid="{00000000-0005-0000-0000-000088F10000}"/>
    <cellStyle name="Percent 4 4 2 3 2 3" xfId="62733" xr:uid="{00000000-0005-0000-0000-000089F10000}"/>
    <cellStyle name="Percent 4 4 2 3 3" xfId="45124" xr:uid="{00000000-0005-0000-0000-00008AF10000}"/>
    <cellStyle name="Percent 4 4 2 3 3 2" xfId="62734" xr:uid="{00000000-0005-0000-0000-00008BF10000}"/>
    <cellStyle name="Percent 4 4 2 3 4" xfId="45125" xr:uid="{00000000-0005-0000-0000-00008CF10000}"/>
    <cellStyle name="Percent 4 4 2 3 5" xfId="45126" xr:uid="{00000000-0005-0000-0000-00008DF10000}"/>
    <cellStyle name="Percent 4 4 2 3 6" xfId="45127" xr:uid="{00000000-0005-0000-0000-00008EF10000}"/>
    <cellStyle name="Percent 4 4 2 4" xfId="45128" xr:uid="{00000000-0005-0000-0000-00008FF10000}"/>
    <cellStyle name="Percent 4 4 2 4 2" xfId="62735" xr:uid="{00000000-0005-0000-0000-000090F10000}"/>
    <cellStyle name="Percent 4 4 2 4 3" xfId="62736" xr:uid="{00000000-0005-0000-0000-000091F10000}"/>
    <cellStyle name="Percent 4 4 2 5" xfId="45129" xr:uid="{00000000-0005-0000-0000-000092F10000}"/>
    <cellStyle name="Percent 4 4 2 5 2" xfId="62737" xr:uid="{00000000-0005-0000-0000-000093F10000}"/>
    <cellStyle name="Percent 4 4 2 6" xfId="45130" xr:uid="{00000000-0005-0000-0000-000094F10000}"/>
    <cellStyle name="Percent 4 4 2 7" xfId="45131" xr:uid="{00000000-0005-0000-0000-000095F10000}"/>
    <cellStyle name="Percent 4 4 2 8" xfId="45132" xr:uid="{00000000-0005-0000-0000-000096F10000}"/>
    <cellStyle name="Percent 4 4 2 9" xfId="45133" xr:uid="{00000000-0005-0000-0000-000097F10000}"/>
    <cellStyle name="Percent 4 4 3" xfId="45134" xr:uid="{00000000-0005-0000-0000-000098F10000}"/>
    <cellStyle name="Percent 4 4 3 2" xfId="45135" xr:uid="{00000000-0005-0000-0000-000099F10000}"/>
    <cellStyle name="Percent 4 4 3 2 2" xfId="45136" xr:uid="{00000000-0005-0000-0000-00009AF10000}"/>
    <cellStyle name="Percent 4 4 3 2 2 2" xfId="45137" xr:uid="{00000000-0005-0000-0000-00009BF10000}"/>
    <cellStyle name="Percent 4 4 3 2 2 2 2" xfId="62738" xr:uid="{00000000-0005-0000-0000-00009CF10000}"/>
    <cellStyle name="Percent 4 4 3 2 2 2 3" xfId="62739" xr:uid="{00000000-0005-0000-0000-00009DF10000}"/>
    <cellStyle name="Percent 4 4 3 2 2 3" xfId="45138" xr:uid="{00000000-0005-0000-0000-00009EF10000}"/>
    <cellStyle name="Percent 4 4 3 2 2 3 2" xfId="62740" xr:uid="{00000000-0005-0000-0000-00009FF10000}"/>
    <cellStyle name="Percent 4 4 3 2 2 4" xfId="45139" xr:uid="{00000000-0005-0000-0000-0000A0F10000}"/>
    <cellStyle name="Percent 4 4 3 2 2 5" xfId="45140" xr:uid="{00000000-0005-0000-0000-0000A1F10000}"/>
    <cellStyle name="Percent 4 4 3 2 2 6" xfId="45141" xr:uid="{00000000-0005-0000-0000-0000A2F10000}"/>
    <cellStyle name="Percent 4 4 3 2 3" xfId="45142" xr:uid="{00000000-0005-0000-0000-0000A3F10000}"/>
    <cellStyle name="Percent 4 4 3 2 3 2" xfId="62741" xr:uid="{00000000-0005-0000-0000-0000A4F10000}"/>
    <cellStyle name="Percent 4 4 3 2 3 3" xfId="62742" xr:uid="{00000000-0005-0000-0000-0000A5F10000}"/>
    <cellStyle name="Percent 4 4 3 2 4" xfId="45143" xr:uid="{00000000-0005-0000-0000-0000A6F10000}"/>
    <cellStyle name="Percent 4 4 3 2 4 2" xfId="62743" xr:uid="{00000000-0005-0000-0000-0000A7F10000}"/>
    <cellStyle name="Percent 4 4 3 2 5" xfId="45144" xr:uid="{00000000-0005-0000-0000-0000A8F10000}"/>
    <cellStyle name="Percent 4 4 3 2 6" xfId="45145" xr:uid="{00000000-0005-0000-0000-0000A9F10000}"/>
    <cellStyle name="Percent 4 4 3 2 7" xfId="45146" xr:uid="{00000000-0005-0000-0000-0000AAF10000}"/>
    <cellStyle name="Percent 4 4 3 3" xfId="45147" xr:uid="{00000000-0005-0000-0000-0000ABF10000}"/>
    <cellStyle name="Percent 4 4 3 3 2" xfId="45148" xr:uid="{00000000-0005-0000-0000-0000ACF10000}"/>
    <cellStyle name="Percent 4 4 3 3 2 2" xfId="62744" xr:uid="{00000000-0005-0000-0000-0000ADF10000}"/>
    <cellStyle name="Percent 4 4 3 3 2 3" xfId="62745" xr:uid="{00000000-0005-0000-0000-0000AEF10000}"/>
    <cellStyle name="Percent 4 4 3 3 3" xfId="45149" xr:uid="{00000000-0005-0000-0000-0000AFF10000}"/>
    <cellStyle name="Percent 4 4 3 3 3 2" xfId="62746" xr:uid="{00000000-0005-0000-0000-0000B0F10000}"/>
    <cellStyle name="Percent 4 4 3 3 4" xfId="45150" xr:uid="{00000000-0005-0000-0000-0000B1F10000}"/>
    <cellStyle name="Percent 4 4 3 3 5" xfId="45151" xr:uid="{00000000-0005-0000-0000-0000B2F10000}"/>
    <cellStyle name="Percent 4 4 3 3 6" xfId="45152" xr:uid="{00000000-0005-0000-0000-0000B3F10000}"/>
    <cellStyle name="Percent 4 4 3 4" xfId="45153" xr:uid="{00000000-0005-0000-0000-0000B4F10000}"/>
    <cellStyle name="Percent 4 4 3 4 2" xfId="62747" xr:uid="{00000000-0005-0000-0000-0000B5F10000}"/>
    <cellStyle name="Percent 4 4 3 4 3" xfId="62748" xr:uid="{00000000-0005-0000-0000-0000B6F10000}"/>
    <cellStyle name="Percent 4 4 3 5" xfId="45154" xr:uid="{00000000-0005-0000-0000-0000B7F10000}"/>
    <cellStyle name="Percent 4 4 3 5 2" xfId="62749" xr:uid="{00000000-0005-0000-0000-0000B8F10000}"/>
    <cellStyle name="Percent 4 4 3 6" xfId="45155" xr:uid="{00000000-0005-0000-0000-0000B9F10000}"/>
    <cellStyle name="Percent 4 4 3 7" xfId="45156" xr:uid="{00000000-0005-0000-0000-0000BAF10000}"/>
    <cellStyle name="Percent 4 4 3 8" xfId="45157" xr:uid="{00000000-0005-0000-0000-0000BBF10000}"/>
    <cellStyle name="Percent 4 4 4" xfId="45158" xr:uid="{00000000-0005-0000-0000-0000BCF10000}"/>
    <cellStyle name="Percent 4 4 4 2" xfId="45159" xr:uid="{00000000-0005-0000-0000-0000BDF10000}"/>
    <cellStyle name="Percent 4 4 4 2 2" xfId="45160" xr:uid="{00000000-0005-0000-0000-0000BEF10000}"/>
    <cellStyle name="Percent 4 4 4 2 2 2" xfId="62750" xr:uid="{00000000-0005-0000-0000-0000BFF10000}"/>
    <cellStyle name="Percent 4 4 4 2 2 3" xfId="62751" xr:uid="{00000000-0005-0000-0000-0000C0F10000}"/>
    <cellStyle name="Percent 4 4 4 2 3" xfId="45161" xr:uid="{00000000-0005-0000-0000-0000C1F10000}"/>
    <cellStyle name="Percent 4 4 4 2 3 2" xfId="62752" xr:uid="{00000000-0005-0000-0000-0000C2F10000}"/>
    <cellStyle name="Percent 4 4 4 2 4" xfId="45162" xr:uid="{00000000-0005-0000-0000-0000C3F10000}"/>
    <cellStyle name="Percent 4 4 4 2 5" xfId="45163" xr:uid="{00000000-0005-0000-0000-0000C4F10000}"/>
    <cellStyle name="Percent 4 4 4 2 6" xfId="45164" xr:uid="{00000000-0005-0000-0000-0000C5F10000}"/>
    <cellStyle name="Percent 4 4 4 3" xfId="45165" xr:uid="{00000000-0005-0000-0000-0000C6F10000}"/>
    <cellStyle name="Percent 4 4 4 3 2" xfId="62753" xr:uid="{00000000-0005-0000-0000-0000C7F10000}"/>
    <cellStyle name="Percent 4 4 4 3 3" xfId="62754" xr:uid="{00000000-0005-0000-0000-0000C8F10000}"/>
    <cellStyle name="Percent 4 4 4 4" xfId="45166" xr:uid="{00000000-0005-0000-0000-0000C9F10000}"/>
    <cellStyle name="Percent 4 4 4 4 2" xfId="62755" xr:uid="{00000000-0005-0000-0000-0000CAF10000}"/>
    <cellStyle name="Percent 4 4 4 5" xfId="45167" xr:uid="{00000000-0005-0000-0000-0000CBF10000}"/>
    <cellStyle name="Percent 4 4 4 6" xfId="45168" xr:uid="{00000000-0005-0000-0000-0000CCF10000}"/>
    <cellStyle name="Percent 4 4 4 7" xfId="45169" xr:uid="{00000000-0005-0000-0000-0000CDF10000}"/>
    <cellStyle name="Percent 4 4 5" xfId="45170" xr:uid="{00000000-0005-0000-0000-0000CEF10000}"/>
    <cellStyle name="Percent 4 4 5 2" xfId="45171" xr:uid="{00000000-0005-0000-0000-0000CFF10000}"/>
    <cellStyle name="Percent 4 4 5 2 2" xfId="62756" xr:uid="{00000000-0005-0000-0000-0000D0F10000}"/>
    <cellStyle name="Percent 4 4 5 2 3" xfId="62757" xr:uid="{00000000-0005-0000-0000-0000D1F10000}"/>
    <cellStyle name="Percent 4 4 5 3" xfId="45172" xr:uid="{00000000-0005-0000-0000-0000D2F10000}"/>
    <cellStyle name="Percent 4 4 5 3 2" xfId="62758" xr:uid="{00000000-0005-0000-0000-0000D3F10000}"/>
    <cellStyle name="Percent 4 4 5 4" xfId="45173" xr:uid="{00000000-0005-0000-0000-0000D4F10000}"/>
    <cellStyle name="Percent 4 4 5 5" xfId="45174" xr:uid="{00000000-0005-0000-0000-0000D5F10000}"/>
    <cellStyle name="Percent 4 4 5 6" xfId="45175" xr:uid="{00000000-0005-0000-0000-0000D6F10000}"/>
    <cellStyle name="Percent 4 4 6" xfId="45176" xr:uid="{00000000-0005-0000-0000-0000D7F10000}"/>
    <cellStyle name="Percent 4 4 6 2" xfId="62759" xr:uid="{00000000-0005-0000-0000-0000D8F10000}"/>
    <cellStyle name="Percent 4 4 6 3" xfId="62760" xr:uid="{00000000-0005-0000-0000-0000D9F10000}"/>
    <cellStyle name="Percent 4 4 7" xfId="45177" xr:uid="{00000000-0005-0000-0000-0000DAF10000}"/>
    <cellStyle name="Percent 4 4 7 2" xfId="62761" xr:uid="{00000000-0005-0000-0000-0000DBF10000}"/>
    <cellStyle name="Percent 4 4 8" xfId="45178" xr:uid="{00000000-0005-0000-0000-0000DCF10000}"/>
    <cellStyle name="Percent 4 4 9" xfId="45179" xr:uid="{00000000-0005-0000-0000-0000DDF10000}"/>
    <cellStyle name="Percent 4 5" xfId="45180" xr:uid="{00000000-0005-0000-0000-0000DEF10000}"/>
    <cellStyle name="Percent 4 5 10" xfId="45181" xr:uid="{00000000-0005-0000-0000-0000DFF10000}"/>
    <cellStyle name="Percent 4 5 11" xfId="45182" xr:uid="{00000000-0005-0000-0000-0000E0F10000}"/>
    <cellStyle name="Percent 4 5 12" xfId="45183" xr:uid="{00000000-0005-0000-0000-0000E1F10000}"/>
    <cellStyle name="Percent 4 5 13" xfId="45184" xr:uid="{00000000-0005-0000-0000-0000E2F10000}"/>
    <cellStyle name="Percent 4 5 14" xfId="45185" xr:uid="{00000000-0005-0000-0000-0000E3F10000}"/>
    <cellStyle name="Percent 4 5 2" xfId="45186" xr:uid="{00000000-0005-0000-0000-0000E4F10000}"/>
    <cellStyle name="Percent 4 5 2 2" xfId="45187" xr:uid="{00000000-0005-0000-0000-0000E5F10000}"/>
    <cellStyle name="Percent 4 5 2 2 2" xfId="45188" xr:uid="{00000000-0005-0000-0000-0000E6F10000}"/>
    <cellStyle name="Percent 4 5 2 2 2 2" xfId="45189" xr:uid="{00000000-0005-0000-0000-0000E7F10000}"/>
    <cellStyle name="Percent 4 5 2 2 2 2 2" xfId="62762" xr:uid="{00000000-0005-0000-0000-0000E8F10000}"/>
    <cellStyle name="Percent 4 5 2 2 2 2 3" xfId="62763" xr:uid="{00000000-0005-0000-0000-0000E9F10000}"/>
    <cellStyle name="Percent 4 5 2 2 2 3" xfId="45190" xr:uid="{00000000-0005-0000-0000-0000EAF10000}"/>
    <cellStyle name="Percent 4 5 2 2 2 3 2" xfId="62764" xr:uid="{00000000-0005-0000-0000-0000EBF10000}"/>
    <cellStyle name="Percent 4 5 2 2 2 4" xfId="45191" xr:uid="{00000000-0005-0000-0000-0000ECF10000}"/>
    <cellStyle name="Percent 4 5 2 2 2 5" xfId="45192" xr:uid="{00000000-0005-0000-0000-0000EDF10000}"/>
    <cellStyle name="Percent 4 5 2 2 2 6" xfId="45193" xr:uid="{00000000-0005-0000-0000-0000EEF10000}"/>
    <cellStyle name="Percent 4 5 2 2 3" xfId="45194" xr:uid="{00000000-0005-0000-0000-0000EFF10000}"/>
    <cellStyle name="Percent 4 5 2 2 3 2" xfId="62765" xr:uid="{00000000-0005-0000-0000-0000F0F10000}"/>
    <cellStyle name="Percent 4 5 2 2 3 3" xfId="62766" xr:uid="{00000000-0005-0000-0000-0000F1F10000}"/>
    <cellStyle name="Percent 4 5 2 2 4" xfId="45195" xr:uid="{00000000-0005-0000-0000-0000F2F10000}"/>
    <cellStyle name="Percent 4 5 2 2 4 2" xfId="62767" xr:uid="{00000000-0005-0000-0000-0000F3F10000}"/>
    <cellStyle name="Percent 4 5 2 2 5" xfId="45196" xr:uid="{00000000-0005-0000-0000-0000F4F10000}"/>
    <cellStyle name="Percent 4 5 2 2 6" xfId="45197" xr:uid="{00000000-0005-0000-0000-0000F5F10000}"/>
    <cellStyle name="Percent 4 5 2 2 7" xfId="45198" xr:uid="{00000000-0005-0000-0000-0000F6F10000}"/>
    <cellStyle name="Percent 4 5 2 3" xfId="45199" xr:uid="{00000000-0005-0000-0000-0000F7F10000}"/>
    <cellStyle name="Percent 4 5 2 3 2" xfId="45200" xr:uid="{00000000-0005-0000-0000-0000F8F10000}"/>
    <cellStyle name="Percent 4 5 2 3 2 2" xfId="62768" xr:uid="{00000000-0005-0000-0000-0000F9F10000}"/>
    <cellStyle name="Percent 4 5 2 3 2 3" xfId="62769" xr:uid="{00000000-0005-0000-0000-0000FAF10000}"/>
    <cellStyle name="Percent 4 5 2 3 3" xfId="45201" xr:uid="{00000000-0005-0000-0000-0000FBF10000}"/>
    <cellStyle name="Percent 4 5 2 3 3 2" xfId="62770" xr:uid="{00000000-0005-0000-0000-0000FCF10000}"/>
    <cellStyle name="Percent 4 5 2 3 4" xfId="45202" xr:uid="{00000000-0005-0000-0000-0000FDF10000}"/>
    <cellStyle name="Percent 4 5 2 3 5" xfId="45203" xr:uid="{00000000-0005-0000-0000-0000FEF10000}"/>
    <cellStyle name="Percent 4 5 2 3 6" xfId="45204" xr:uid="{00000000-0005-0000-0000-0000FFF10000}"/>
    <cellStyle name="Percent 4 5 2 4" xfId="45205" xr:uid="{00000000-0005-0000-0000-000000F20000}"/>
    <cellStyle name="Percent 4 5 2 4 2" xfId="62771" xr:uid="{00000000-0005-0000-0000-000001F20000}"/>
    <cellStyle name="Percent 4 5 2 4 3" xfId="62772" xr:uid="{00000000-0005-0000-0000-000002F20000}"/>
    <cellStyle name="Percent 4 5 2 5" xfId="45206" xr:uid="{00000000-0005-0000-0000-000003F20000}"/>
    <cellStyle name="Percent 4 5 2 5 2" xfId="62773" xr:uid="{00000000-0005-0000-0000-000004F20000}"/>
    <cellStyle name="Percent 4 5 2 6" xfId="45207" xr:uid="{00000000-0005-0000-0000-000005F20000}"/>
    <cellStyle name="Percent 4 5 2 7" xfId="45208" xr:uid="{00000000-0005-0000-0000-000006F20000}"/>
    <cellStyle name="Percent 4 5 2 8" xfId="45209" xr:uid="{00000000-0005-0000-0000-000007F20000}"/>
    <cellStyle name="Percent 4 5 2 9" xfId="45210" xr:uid="{00000000-0005-0000-0000-000008F20000}"/>
    <cellStyle name="Percent 4 5 3" xfId="45211" xr:uid="{00000000-0005-0000-0000-000009F20000}"/>
    <cellStyle name="Percent 4 5 3 2" xfId="45212" xr:uid="{00000000-0005-0000-0000-00000AF20000}"/>
    <cellStyle name="Percent 4 5 3 2 2" xfId="45213" xr:uid="{00000000-0005-0000-0000-00000BF20000}"/>
    <cellStyle name="Percent 4 5 3 2 2 2" xfId="45214" xr:uid="{00000000-0005-0000-0000-00000CF20000}"/>
    <cellStyle name="Percent 4 5 3 2 2 2 2" xfId="62774" xr:uid="{00000000-0005-0000-0000-00000DF20000}"/>
    <cellStyle name="Percent 4 5 3 2 2 2 3" xfId="62775" xr:uid="{00000000-0005-0000-0000-00000EF20000}"/>
    <cellStyle name="Percent 4 5 3 2 2 3" xfId="45215" xr:uid="{00000000-0005-0000-0000-00000FF20000}"/>
    <cellStyle name="Percent 4 5 3 2 2 3 2" xfId="62776" xr:uid="{00000000-0005-0000-0000-000010F20000}"/>
    <cellStyle name="Percent 4 5 3 2 2 4" xfId="45216" xr:uid="{00000000-0005-0000-0000-000011F20000}"/>
    <cellStyle name="Percent 4 5 3 2 2 5" xfId="45217" xr:uid="{00000000-0005-0000-0000-000012F20000}"/>
    <cellStyle name="Percent 4 5 3 2 2 6" xfId="45218" xr:uid="{00000000-0005-0000-0000-000013F20000}"/>
    <cellStyle name="Percent 4 5 3 2 3" xfId="45219" xr:uid="{00000000-0005-0000-0000-000014F20000}"/>
    <cellStyle name="Percent 4 5 3 2 3 2" xfId="62777" xr:uid="{00000000-0005-0000-0000-000015F20000}"/>
    <cellStyle name="Percent 4 5 3 2 3 3" xfId="62778" xr:uid="{00000000-0005-0000-0000-000016F20000}"/>
    <cellStyle name="Percent 4 5 3 2 4" xfId="45220" xr:uid="{00000000-0005-0000-0000-000017F20000}"/>
    <cellStyle name="Percent 4 5 3 2 4 2" xfId="62779" xr:uid="{00000000-0005-0000-0000-000018F20000}"/>
    <cellStyle name="Percent 4 5 3 2 5" xfId="45221" xr:uid="{00000000-0005-0000-0000-000019F20000}"/>
    <cellStyle name="Percent 4 5 3 2 6" xfId="45222" xr:uid="{00000000-0005-0000-0000-00001AF20000}"/>
    <cellStyle name="Percent 4 5 3 2 7" xfId="45223" xr:uid="{00000000-0005-0000-0000-00001BF20000}"/>
    <cellStyle name="Percent 4 5 3 3" xfId="45224" xr:uid="{00000000-0005-0000-0000-00001CF20000}"/>
    <cellStyle name="Percent 4 5 3 3 2" xfId="45225" xr:uid="{00000000-0005-0000-0000-00001DF20000}"/>
    <cellStyle name="Percent 4 5 3 3 2 2" xfId="62780" xr:uid="{00000000-0005-0000-0000-00001EF20000}"/>
    <cellStyle name="Percent 4 5 3 3 2 3" xfId="62781" xr:uid="{00000000-0005-0000-0000-00001FF20000}"/>
    <cellStyle name="Percent 4 5 3 3 3" xfId="45226" xr:uid="{00000000-0005-0000-0000-000020F20000}"/>
    <cellStyle name="Percent 4 5 3 3 3 2" xfId="62782" xr:uid="{00000000-0005-0000-0000-000021F20000}"/>
    <cellStyle name="Percent 4 5 3 3 4" xfId="45227" xr:uid="{00000000-0005-0000-0000-000022F20000}"/>
    <cellStyle name="Percent 4 5 3 3 5" xfId="45228" xr:uid="{00000000-0005-0000-0000-000023F20000}"/>
    <cellStyle name="Percent 4 5 3 3 6" xfId="45229" xr:uid="{00000000-0005-0000-0000-000024F20000}"/>
    <cellStyle name="Percent 4 5 3 4" xfId="45230" xr:uid="{00000000-0005-0000-0000-000025F20000}"/>
    <cellStyle name="Percent 4 5 3 4 2" xfId="62783" xr:uid="{00000000-0005-0000-0000-000026F20000}"/>
    <cellStyle name="Percent 4 5 3 4 3" xfId="62784" xr:uid="{00000000-0005-0000-0000-000027F20000}"/>
    <cellStyle name="Percent 4 5 3 5" xfId="45231" xr:uid="{00000000-0005-0000-0000-000028F20000}"/>
    <cellStyle name="Percent 4 5 3 5 2" xfId="62785" xr:uid="{00000000-0005-0000-0000-000029F20000}"/>
    <cellStyle name="Percent 4 5 3 6" xfId="45232" xr:uid="{00000000-0005-0000-0000-00002AF20000}"/>
    <cellStyle name="Percent 4 5 3 7" xfId="45233" xr:uid="{00000000-0005-0000-0000-00002BF20000}"/>
    <cellStyle name="Percent 4 5 3 8" xfId="45234" xr:uid="{00000000-0005-0000-0000-00002CF20000}"/>
    <cellStyle name="Percent 4 5 4" xfId="45235" xr:uid="{00000000-0005-0000-0000-00002DF20000}"/>
    <cellStyle name="Percent 4 5 4 2" xfId="45236" xr:uid="{00000000-0005-0000-0000-00002EF20000}"/>
    <cellStyle name="Percent 4 5 4 2 2" xfId="45237" xr:uid="{00000000-0005-0000-0000-00002FF20000}"/>
    <cellStyle name="Percent 4 5 4 2 2 2" xfId="62786" xr:uid="{00000000-0005-0000-0000-000030F20000}"/>
    <cellStyle name="Percent 4 5 4 2 2 3" xfId="62787" xr:uid="{00000000-0005-0000-0000-000031F20000}"/>
    <cellStyle name="Percent 4 5 4 2 3" xfId="45238" xr:uid="{00000000-0005-0000-0000-000032F20000}"/>
    <cellStyle name="Percent 4 5 4 2 3 2" xfId="62788" xr:uid="{00000000-0005-0000-0000-000033F20000}"/>
    <cellStyle name="Percent 4 5 4 2 4" xfId="45239" xr:uid="{00000000-0005-0000-0000-000034F20000}"/>
    <cellStyle name="Percent 4 5 4 2 5" xfId="45240" xr:uid="{00000000-0005-0000-0000-000035F20000}"/>
    <cellStyle name="Percent 4 5 4 2 6" xfId="45241" xr:uid="{00000000-0005-0000-0000-000036F20000}"/>
    <cellStyle name="Percent 4 5 4 3" xfId="45242" xr:uid="{00000000-0005-0000-0000-000037F20000}"/>
    <cellStyle name="Percent 4 5 4 3 2" xfId="62789" xr:uid="{00000000-0005-0000-0000-000038F20000}"/>
    <cellStyle name="Percent 4 5 4 3 3" xfId="62790" xr:uid="{00000000-0005-0000-0000-000039F20000}"/>
    <cellStyle name="Percent 4 5 4 4" xfId="45243" xr:uid="{00000000-0005-0000-0000-00003AF20000}"/>
    <cellStyle name="Percent 4 5 4 4 2" xfId="62791" xr:uid="{00000000-0005-0000-0000-00003BF20000}"/>
    <cellStyle name="Percent 4 5 4 5" xfId="45244" xr:uid="{00000000-0005-0000-0000-00003CF20000}"/>
    <cellStyle name="Percent 4 5 4 6" xfId="45245" xr:uid="{00000000-0005-0000-0000-00003DF20000}"/>
    <cellStyle name="Percent 4 5 4 7" xfId="45246" xr:uid="{00000000-0005-0000-0000-00003EF20000}"/>
    <cellStyle name="Percent 4 5 5" xfId="45247" xr:uid="{00000000-0005-0000-0000-00003FF20000}"/>
    <cellStyle name="Percent 4 5 5 2" xfId="45248" xr:uid="{00000000-0005-0000-0000-000040F20000}"/>
    <cellStyle name="Percent 4 5 5 2 2" xfId="62792" xr:uid="{00000000-0005-0000-0000-000041F20000}"/>
    <cellStyle name="Percent 4 5 5 2 3" xfId="62793" xr:uid="{00000000-0005-0000-0000-000042F20000}"/>
    <cellStyle name="Percent 4 5 5 3" xfId="45249" xr:uid="{00000000-0005-0000-0000-000043F20000}"/>
    <cellStyle name="Percent 4 5 5 3 2" xfId="62794" xr:uid="{00000000-0005-0000-0000-000044F20000}"/>
    <cellStyle name="Percent 4 5 5 4" xfId="45250" xr:uid="{00000000-0005-0000-0000-000045F20000}"/>
    <cellStyle name="Percent 4 5 5 5" xfId="45251" xr:uid="{00000000-0005-0000-0000-000046F20000}"/>
    <cellStyle name="Percent 4 5 5 6" xfId="45252" xr:uid="{00000000-0005-0000-0000-000047F20000}"/>
    <cellStyle name="Percent 4 5 6" xfId="45253" xr:uid="{00000000-0005-0000-0000-000048F20000}"/>
    <cellStyle name="Percent 4 5 6 2" xfId="62795" xr:uid="{00000000-0005-0000-0000-000049F20000}"/>
    <cellStyle name="Percent 4 5 6 3" xfId="62796" xr:uid="{00000000-0005-0000-0000-00004AF20000}"/>
    <cellStyle name="Percent 4 5 7" xfId="45254" xr:uid="{00000000-0005-0000-0000-00004BF20000}"/>
    <cellStyle name="Percent 4 5 7 2" xfId="62797" xr:uid="{00000000-0005-0000-0000-00004CF20000}"/>
    <cellStyle name="Percent 4 5 8" xfId="45255" xr:uid="{00000000-0005-0000-0000-00004DF20000}"/>
    <cellStyle name="Percent 4 5 9" xfId="45256" xr:uid="{00000000-0005-0000-0000-00004EF20000}"/>
    <cellStyle name="Percent 4 6" xfId="45257" xr:uid="{00000000-0005-0000-0000-00004FF20000}"/>
    <cellStyle name="Percent 4 6 10" xfId="45258" xr:uid="{00000000-0005-0000-0000-000050F20000}"/>
    <cellStyle name="Percent 4 6 11" xfId="45259" xr:uid="{00000000-0005-0000-0000-000051F20000}"/>
    <cellStyle name="Percent 4 6 12" xfId="45260" xr:uid="{00000000-0005-0000-0000-000052F20000}"/>
    <cellStyle name="Percent 4 6 13" xfId="45261" xr:uid="{00000000-0005-0000-0000-000053F20000}"/>
    <cellStyle name="Percent 4 6 2" xfId="45262" xr:uid="{00000000-0005-0000-0000-000054F20000}"/>
    <cellStyle name="Percent 4 6 2 2" xfId="45263" xr:uid="{00000000-0005-0000-0000-000055F20000}"/>
    <cellStyle name="Percent 4 6 2 2 2" xfId="45264" xr:uid="{00000000-0005-0000-0000-000056F20000}"/>
    <cellStyle name="Percent 4 6 2 2 2 2" xfId="45265" xr:uid="{00000000-0005-0000-0000-000057F20000}"/>
    <cellStyle name="Percent 4 6 2 2 2 2 2" xfId="62798" xr:uid="{00000000-0005-0000-0000-000058F20000}"/>
    <cellStyle name="Percent 4 6 2 2 2 2 3" xfId="62799" xr:uid="{00000000-0005-0000-0000-000059F20000}"/>
    <cellStyle name="Percent 4 6 2 2 2 3" xfId="45266" xr:uid="{00000000-0005-0000-0000-00005AF20000}"/>
    <cellStyle name="Percent 4 6 2 2 2 3 2" xfId="62800" xr:uid="{00000000-0005-0000-0000-00005BF20000}"/>
    <cellStyle name="Percent 4 6 2 2 2 4" xfId="45267" xr:uid="{00000000-0005-0000-0000-00005CF20000}"/>
    <cellStyle name="Percent 4 6 2 2 2 5" xfId="45268" xr:uid="{00000000-0005-0000-0000-00005DF20000}"/>
    <cellStyle name="Percent 4 6 2 2 2 6" xfId="45269" xr:uid="{00000000-0005-0000-0000-00005EF20000}"/>
    <cellStyle name="Percent 4 6 2 2 3" xfId="45270" xr:uid="{00000000-0005-0000-0000-00005FF20000}"/>
    <cellStyle name="Percent 4 6 2 2 3 2" xfId="62801" xr:uid="{00000000-0005-0000-0000-000060F20000}"/>
    <cellStyle name="Percent 4 6 2 2 3 3" xfId="62802" xr:uid="{00000000-0005-0000-0000-000061F20000}"/>
    <cellStyle name="Percent 4 6 2 2 4" xfId="45271" xr:uid="{00000000-0005-0000-0000-000062F20000}"/>
    <cellStyle name="Percent 4 6 2 2 4 2" xfId="62803" xr:uid="{00000000-0005-0000-0000-000063F20000}"/>
    <cellStyle name="Percent 4 6 2 2 5" xfId="45272" xr:uid="{00000000-0005-0000-0000-000064F20000}"/>
    <cellStyle name="Percent 4 6 2 2 6" xfId="45273" xr:uid="{00000000-0005-0000-0000-000065F20000}"/>
    <cellStyle name="Percent 4 6 2 2 7" xfId="45274" xr:uid="{00000000-0005-0000-0000-000066F20000}"/>
    <cellStyle name="Percent 4 6 2 3" xfId="45275" xr:uid="{00000000-0005-0000-0000-000067F20000}"/>
    <cellStyle name="Percent 4 6 2 3 2" xfId="45276" xr:uid="{00000000-0005-0000-0000-000068F20000}"/>
    <cellStyle name="Percent 4 6 2 3 2 2" xfId="62804" xr:uid="{00000000-0005-0000-0000-000069F20000}"/>
    <cellStyle name="Percent 4 6 2 3 2 3" xfId="62805" xr:uid="{00000000-0005-0000-0000-00006AF20000}"/>
    <cellStyle name="Percent 4 6 2 3 3" xfId="45277" xr:uid="{00000000-0005-0000-0000-00006BF20000}"/>
    <cellStyle name="Percent 4 6 2 3 3 2" xfId="62806" xr:uid="{00000000-0005-0000-0000-00006CF20000}"/>
    <cellStyle name="Percent 4 6 2 3 4" xfId="45278" xr:uid="{00000000-0005-0000-0000-00006DF20000}"/>
    <cellStyle name="Percent 4 6 2 3 5" xfId="45279" xr:uid="{00000000-0005-0000-0000-00006EF20000}"/>
    <cellStyle name="Percent 4 6 2 3 6" xfId="45280" xr:uid="{00000000-0005-0000-0000-00006FF20000}"/>
    <cellStyle name="Percent 4 6 2 4" xfId="45281" xr:uid="{00000000-0005-0000-0000-000070F20000}"/>
    <cellStyle name="Percent 4 6 2 4 2" xfId="62807" xr:uid="{00000000-0005-0000-0000-000071F20000}"/>
    <cellStyle name="Percent 4 6 2 4 3" xfId="62808" xr:uid="{00000000-0005-0000-0000-000072F20000}"/>
    <cellStyle name="Percent 4 6 2 5" xfId="45282" xr:uid="{00000000-0005-0000-0000-000073F20000}"/>
    <cellStyle name="Percent 4 6 2 5 2" xfId="62809" xr:uid="{00000000-0005-0000-0000-000074F20000}"/>
    <cellStyle name="Percent 4 6 2 6" xfId="45283" xr:uid="{00000000-0005-0000-0000-000075F20000}"/>
    <cellStyle name="Percent 4 6 2 7" xfId="45284" xr:uid="{00000000-0005-0000-0000-000076F20000}"/>
    <cellStyle name="Percent 4 6 2 8" xfId="45285" xr:uid="{00000000-0005-0000-0000-000077F20000}"/>
    <cellStyle name="Percent 4 6 2 9" xfId="45286" xr:uid="{00000000-0005-0000-0000-000078F20000}"/>
    <cellStyle name="Percent 4 6 3" xfId="45287" xr:uid="{00000000-0005-0000-0000-000079F20000}"/>
    <cellStyle name="Percent 4 6 3 2" xfId="45288" xr:uid="{00000000-0005-0000-0000-00007AF20000}"/>
    <cellStyle name="Percent 4 6 3 2 2" xfId="45289" xr:uid="{00000000-0005-0000-0000-00007BF20000}"/>
    <cellStyle name="Percent 4 6 3 2 2 2" xfId="62810" xr:uid="{00000000-0005-0000-0000-00007CF20000}"/>
    <cellStyle name="Percent 4 6 3 2 2 3" xfId="62811" xr:uid="{00000000-0005-0000-0000-00007DF20000}"/>
    <cellStyle name="Percent 4 6 3 2 3" xfId="45290" xr:uid="{00000000-0005-0000-0000-00007EF20000}"/>
    <cellStyle name="Percent 4 6 3 2 3 2" xfId="62812" xr:uid="{00000000-0005-0000-0000-00007FF20000}"/>
    <cellStyle name="Percent 4 6 3 2 4" xfId="45291" xr:uid="{00000000-0005-0000-0000-000080F20000}"/>
    <cellStyle name="Percent 4 6 3 2 5" xfId="45292" xr:uid="{00000000-0005-0000-0000-000081F20000}"/>
    <cellStyle name="Percent 4 6 3 2 6" xfId="45293" xr:uid="{00000000-0005-0000-0000-000082F20000}"/>
    <cellStyle name="Percent 4 6 3 3" xfId="45294" xr:uid="{00000000-0005-0000-0000-000083F20000}"/>
    <cellStyle name="Percent 4 6 3 3 2" xfId="62813" xr:uid="{00000000-0005-0000-0000-000084F20000}"/>
    <cellStyle name="Percent 4 6 3 3 3" xfId="62814" xr:uid="{00000000-0005-0000-0000-000085F20000}"/>
    <cellStyle name="Percent 4 6 3 4" xfId="45295" xr:uid="{00000000-0005-0000-0000-000086F20000}"/>
    <cellStyle name="Percent 4 6 3 4 2" xfId="62815" xr:uid="{00000000-0005-0000-0000-000087F20000}"/>
    <cellStyle name="Percent 4 6 3 5" xfId="45296" xr:uid="{00000000-0005-0000-0000-000088F20000}"/>
    <cellStyle name="Percent 4 6 3 6" xfId="45297" xr:uid="{00000000-0005-0000-0000-000089F20000}"/>
    <cellStyle name="Percent 4 6 3 7" xfId="45298" xr:uid="{00000000-0005-0000-0000-00008AF20000}"/>
    <cellStyle name="Percent 4 6 4" xfId="45299" xr:uid="{00000000-0005-0000-0000-00008BF20000}"/>
    <cellStyle name="Percent 4 6 4 2" xfId="45300" xr:uid="{00000000-0005-0000-0000-00008CF20000}"/>
    <cellStyle name="Percent 4 6 4 2 2" xfId="62816" xr:uid="{00000000-0005-0000-0000-00008DF20000}"/>
    <cellStyle name="Percent 4 6 4 2 3" xfId="62817" xr:uid="{00000000-0005-0000-0000-00008EF20000}"/>
    <cellStyle name="Percent 4 6 4 3" xfId="45301" xr:uid="{00000000-0005-0000-0000-00008FF20000}"/>
    <cellStyle name="Percent 4 6 4 3 2" xfId="62818" xr:uid="{00000000-0005-0000-0000-000090F20000}"/>
    <cellStyle name="Percent 4 6 4 4" xfId="45302" xr:uid="{00000000-0005-0000-0000-000091F20000}"/>
    <cellStyle name="Percent 4 6 4 5" xfId="45303" xr:uid="{00000000-0005-0000-0000-000092F20000}"/>
    <cellStyle name="Percent 4 6 4 6" xfId="45304" xr:uid="{00000000-0005-0000-0000-000093F20000}"/>
    <cellStyle name="Percent 4 6 5" xfId="45305" xr:uid="{00000000-0005-0000-0000-000094F20000}"/>
    <cellStyle name="Percent 4 6 5 2" xfId="62819" xr:uid="{00000000-0005-0000-0000-000095F20000}"/>
    <cellStyle name="Percent 4 6 5 3" xfId="62820" xr:uid="{00000000-0005-0000-0000-000096F20000}"/>
    <cellStyle name="Percent 4 6 6" xfId="45306" xr:uid="{00000000-0005-0000-0000-000097F20000}"/>
    <cellStyle name="Percent 4 6 6 2" xfId="62821" xr:uid="{00000000-0005-0000-0000-000098F20000}"/>
    <cellStyle name="Percent 4 6 7" xfId="45307" xr:uid="{00000000-0005-0000-0000-000099F20000}"/>
    <cellStyle name="Percent 4 6 8" xfId="45308" xr:uid="{00000000-0005-0000-0000-00009AF20000}"/>
    <cellStyle name="Percent 4 6 9" xfId="45309" xr:uid="{00000000-0005-0000-0000-00009BF20000}"/>
    <cellStyle name="Percent 4 7" xfId="45310" xr:uid="{00000000-0005-0000-0000-00009CF20000}"/>
    <cellStyle name="Percent 4 7 2" xfId="45311" xr:uid="{00000000-0005-0000-0000-00009DF20000}"/>
    <cellStyle name="Percent 4 7 2 2" xfId="45312" xr:uid="{00000000-0005-0000-0000-00009EF20000}"/>
    <cellStyle name="Percent 4 7 2 2 2" xfId="45313" xr:uid="{00000000-0005-0000-0000-00009FF20000}"/>
    <cellStyle name="Percent 4 7 2 2 2 2" xfId="62822" xr:uid="{00000000-0005-0000-0000-0000A0F20000}"/>
    <cellStyle name="Percent 4 7 2 2 2 3" xfId="62823" xr:uid="{00000000-0005-0000-0000-0000A1F20000}"/>
    <cellStyle name="Percent 4 7 2 2 3" xfId="45314" xr:uid="{00000000-0005-0000-0000-0000A2F20000}"/>
    <cellStyle name="Percent 4 7 2 2 3 2" xfId="62824" xr:uid="{00000000-0005-0000-0000-0000A3F20000}"/>
    <cellStyle name="Percent 4 7 2 2 4" xfId="45315" xr:uid="{00000000-0005-0000-0000-0000A4F20000}"/>
    <cellStyle name="Percent 4 7 2 2 5" xfId="45316" xr:uid="{00000000-0005-0000-0000-0000A5F20000}"/>
    <cellStyle name="Percent 4 7 2 2 6" xfId="45317" xr:uid="{00000000-0005-0000-0000-0000A6F20000}"/>
    <cellStyle name="Percent 4 7 2 3" xfId="45318" xr:uid="{00000000-0005-0000-0000-0000A7F20000}"/>
    <cellStyle name="Percent 4 7 2 3 2" xfId="62825" xr:uid="{00000000-0005-0000-0000-0000A8F20000}"/>
    <cellStyle name="Percent 4 7 2 3 3" xfId="62826" xr:uid="{00000000-0005-0000-0000-0000A9F20000}"/>
    <cellStyle name="Percent 4 7 2 4" xfId="45319" xr:uid="{00000000-0005-0000-0000-0000AAF20000}"/>
    <cellStyle name="Percent 4 7 2 4 2" xfId="62827" xr:uid="{00000000-0005-0000-0000-0000ABF20000}"/>
    <cellStyle name="Percent 4 7 2 5" xfId="45320" xr:uid="{00000000-0005-0000-0000-0000ACF20000}"/>
    <cellStyle name="Percent 4 7 2 6" xfId="45321" xr:uid="{00000000-0005-0000-0000-0000ADF20000}"/>
    <cellStyle name="Percent 4 7 2 7" xfId="45322" xr:uid="{00000000-0005-0000-0000-0000AEF20000}"/>
    <cellStyle name="Percent 4 7 3" xfId="45323" xr:uid="{00000000-0005-0000-0000-0000AFF20000}"/>
    <cellStyle name="Percent 4 7 3 2" xfId="45324" xr:uid="{00000000-0005-0000-0000-0000B0F20000}"/>
    <cellStyle name="Percent 4 7 3 2 2" xfId="62828" xr:uid="{00000000-0005-0000-0000-0000B1F20000}"/>
    <cellStyle name="Percent 4 7 3 2 3" xfId="62829" xr:uid="{00000000-0005-0000-0000-0000B2F20000}"/>
    <cellStyle name="Percent 4 7 3 3" xfId="45325" xr:uid="{00000000-0005-0000-0000-0000B3F20000}"/>
    <cellStyle name="Percent 4 7 3 3 2" xfId="62830" xr:uid="{00000000-0005-0000-0000-0000B4F20000}"/>
    <cellStyle name="Percent 4 7 3 4" xfId="45326" xr:uid="{00000000-0005-0000-0000-0000B5F20000}"/>
    <cellStyle name="Percent 4 7 3 5" xfId="45327" xr:uid="{00000000-0005-0000-0000-0000B6F20000}"/>
    <cellStyle name="Percent 4 7 3 6" xfId="45328" xr:uid="{00000000-0005-0000-0000-0000B7F20000}"/>
    <cellStyle name="Percent 4 7 4" xfId="45329" xr:uid="{00000000-0005-0000-0000-0000B8F20000}"/>
    <cellStyle name="Percent 4 7 4 2" xfId="62831" xr:uid="{00000000-0005-0000-0000-0000B9F20000}"/>
    <cellStyle name="Percent 4 7 4 3" xfId="62832" xr:uid="{00000000-0005-0000-0000-0000BAF20000}"/>
    <cellStyle name="Percent 4 7 5" xfId="45330" xr:uid="{00000000-0005-0000-0000-0000BBF20000}"/>
    <cellStyle name="Percent 4 7 5 2" xfId="62833" xr:uid="{00000000-0005-0000-0000-0000BCF20000}"/>
    <cellStyle name="Percent 4 7 6" xfId="45331" xr:uid="{00000000-0005-0000-0000-0000BDF20000}"/>
    <cellStyle name="Percent 4 7 7" xfId="45332" xr:uid="{00000000-0005-0000-0000-0000BEF20000}"/>
    <cellStyle name="Percent 4 7 8" xfId="45333" xr:uid="{00000000-0005-0000-0000-0000BFF20000}"/>
    <cellStyle name="Percent 4 7 9" xfId="45334" xr:uid="{00000000-0005-0000-0000-0000C0F20000}"/>
    <cellStyle name="Percent 4 8" xfId="45335" xr:uid="{00000000-0005-0000-0000-0000C1F20000}"/>
    <cellStyle name="Percent 4 8 2" xfId="45336" xr:uid="{00000000-0005-0000-0000-0000C2F20000}"/>
    <cellStyle name="Percent 4 8 2 2" xfId="45337" xr:uid="{00000000-0005-0000-0000-0000C3F20000}"/>
    <cellStyle name="Percent 4 8 2 2 2" xfId="45338" xr:uid="{00000000-0005-0000-0000-0000C4F20000}"/>
    <cellStyle name="Percent 4 8 2 2 2 2" xfId="62834" xr:uid="{00000000-0005-0000-0000-0000C5F20000}"/>
    <cellStyle name="Percent 4 8 2 2 2 3" xfId="62835" xr:uid="{00000000-0005-0000-0000-0000C6F20000}"/>
    <cellStyle name="Percent 4 8 2 2 3" xfId="45339" xr:uid="{00000000-0005-0000-0000-0000C7F20000}"/>
    <cellStyle name="Percent 4 8 2 2 3 2" xfId="62836" xr:uid="{00000000-0005-0000-0000-0000C8F20000}"/>
    <cellStyle name="Percent 4 8 2 2 4" xfId="45340" xr:uid="{00000000-0005-0000-0000-0000C9F20000}"/>
    <cellStyle name="Percent 4 8 2 2 5" xfId="45341" xr:uid="{00000000-0005-0000-0000-0000CAF20000}"/>
    <cellStyle name="Percent 4 8 2 2 6" xfId="45342" xr:uid="{00000000-0005-0000-0000-0000CBF20000}"/>
    <cellStyle name="Percent 4 8 2 3" xfId="45343" xr:uid="{00000000-0005-0000-0000-0000CCF20000}"/>
    <cellStyle name="Percent 4 8 2 3 2" xfId="62837" xr:uid="{00000000-0005-0000-0000-0000CDF20000}"/>
    <cellStyle name="Percent 4 8 2 3 3" xfId="62838" xr:uid="{00000000-0005-0000-0000-0000CEF20000}"/>
    <cellStyle name="Percent 4 8 2 4" xfId="45344" xr:uid="{00000000-0005-0000-0000-0000CFF20000}"/>
    <cellStyle name="Percent 4 8 2 4 2" xfId="62839" xr:uid="{00000000-0005-0000-0000-0000D0F20000}"/>
    <cellStyle name="Percent 4 8 2 5" xfId="45345" xr:uid="{00000000-0005-0000-0000-0000D1F20000}"/>
    <cellStyle name="Percent 4 8 2 6" xfId="45346" xr:uid="{00000000-0005-0000-0000-0000D2F20000}"/>
    <cellStyle name="Percent 4 8 2 7" xfId="45347" xr:uid="{00000000-0005-0000-0000-0000D3F20000}"/>
    <cellStyle name="Percent 4 8 3" xfId="45348" xr:uid="{00000000-0005-0000-0000-0000D4F20000}"/>
    <cellStyle name="Percent 4 8 3 2" xfId="45349" xr:uid="{00000000-0005-0000-0000-0000D5F20000}"/>
    <cellStyle name="Percent 4 8 3 2 2" xfId="62840" xr:uid="{00000000-0005-0000-0000-0000D6F20000}"/>
    <cellStyle name="Percent 4 8 3 2 3" xfId="62841" xr:uid="{00000000-0005-0000-0000-0000D7F20000}"/>
    <cellStyle name="Percent 4 8 3 3" xfId="45350" xr:uid="{00000000-0005-0000-0000-0000D8F20000}"/>
    <cellStyle name="Percent 4 8 3 3 2" xfId="62842" xr:uid="{00000000-0005-0000-0000-0000D9F20000}"/>
    <cellStyle name="Percent 4 8 3 4" xfId="45351" xr:uid="{00000000-0005-0000-0000-0000DAF20000}"/>
    <cellStyle name="Percent 4 8 3 5" xfId="45352" xr:uid="{00000000-0005-0000-0000-0000DBF20000}"/>
    <cellStyle name="Percent 4 8 3 6" xfId="45353" xr:uid="{00000000-0005-0000-0000-0000DCF20000}"/>
    <cellStyle name="Percent 4 8 4" xfId="45354" xr:uid="{00000000-0005-0000-0000-0000DDF20000}"/>
    <cellStyle name="Percent 4 8 4 2" xfId="62843" xr:uid="{00000000-0005-0000-0000-0000DEF20000}"/>
    <cellStyle name="Percent 4 8 4 3" xfId="62844" xr:uid="{00000000-0005-0000-0000-0000DFF20000}"/>
    <cellStyle name="Percent 4 8 5" xfId="45355" xr:uid="{00000000-0005-0000-0000-0000E0F20000}"/>
    <cellStyle name="Percent 4 8 5 2" xfId="62845" xr:uid="{00000000-0005-0000-0000-0000E1F20000}"/>
    <cellStyle name="Percent 4 8 6" xfId="45356" xr:uid="{00000000-0005-0000-0000-0000E2F20000}"/>
    <cellStyle name="Percent 4 8 7" xfId="45357" xr:uid="{00000000-0005-0000-0000-0000E3F20000}"/>
    <cellStyle name="Percent 4 8 8" xfId="45358" xr:uid="{00000000-0005-0000-0000-0000E4F20000}"/>
    <cellStyle name="Percent 4 9" xfId="45359" xr:uid="{00000000-0005-0000-0000-0000E5F20000}"/>
    <cellStyle name="Percent 4 9 2" xfId="45360" xr:uid="{00000000-0005-0000-0000-0000E6F20000}"/>
    <cellStyle name="Percent 4 9 2 2" xfId="45361" xr:uid="{00000000-0005-0000-0000-0000E7F20000}"/>
    <cellStyle name="Percent 4 9 2 2 2" xfId="45362" xr:uid="{00000000-0005-0000-0000-0000E8F20000}"/>
    <cellStyle name="Percent 4 9 2 2 2 2" xfId="62846" xr:uid="{00000000-0005-0000-0000-0000E9F20000}"/>
    <cellStyle name="Percent 4 9 2 2 2 3" xfId="62847" xr:uid="{00000000-0005-0000-0000-0000EAF20000}"/>
    <cellStyle name="Percent 4 9 2 2 3" xfId="45363" xr:uid="{00000000-0005-0000-0000-0000EBF20000}"/>
    <cellStyle name="Percent 4 9 2 2 3 2" xfId="62848" xr:uid="{00000000-0005-0000-0000-0000ECF20000}"/>
    <cellStyle name="Percent 4 9 2 2 4" xfId="45364" xr:uid="{00000000-0005-0000-0000-0000EDF20000}"/>
    <cellStyle name="Percent 4 9 2 2 5" xfId="45365" xr:uid="{00000000-0005-0000-0000-0000EEF20000}"/>
    <cellStyle name="Percent 4 9 2 2 6" xfId="45366" xr:uid="{00000000-0005-0000-0000-0000EFF20000}"/>
    <cellStyle name="Percent 4 9 2 3" xfId="45367" xr:uid="{00000000-0005-0000-0000-0000F0F20000}"/>
    <cellStyle name="Percent 4 9 2 3 2" xfId="62849" xr:uid="{00000000-0005-0000-0000-0000F1F20000}"/>
    <cellStyle name="Percent 4 9 2 3 3" xfId="62850" xr:uid="{00000000-0005-0000-0000-0000F2F20000}"/>
    <cellStyle name="Percent 4 9 2 4" xfId="45368" xr:uid="{00000000-0005-0000-0000-0000F3F20000}"/>
    <cellStyle name="Percent 4 9 2 4 2" xfId="62851" xr:uid="{00000000-0005-0000-0000-0000F4F20000}"/>
    <cellStyle name="Percent 4 9 2 5" xfId="45369" xr:uid="{00000000-0005-0000-0000-0000F5F20000}"/>
    <cellStyle name="Percent 4 9 2 6" xfId="45370" xr:uid="{00000000-0005-0000-0000-0000F6F20000}"/>
    <cellStyle name="Percent 4 9 2 7" xfId="45371" xr:uid="{00000000-0005-0000-0000-0000F7F20000}"/>
    <cellStyle name="Percent 4 9 3" xfId="45372" xr:uid="{00000000-0005-0000-0000-0000F8F20000}"/>
    <cellStyle name="Percent 4 9 3 2" xfId="45373" xr:uid="{00000000-0005-0000-0000-0000F9F20000}"/>
    <cellStyle name="Percent 4 9 3 2 2" xfId="62852" xr:uid="{00000000-0005-0000-0000-0000FAF20000}"/>
    <cellStyle name="Percent 4 9 3 2 3" xfId="62853" xr:uid="{00000000-0005-0000-0000-0000FBF20000}"/>
    <cellStyle name="Percent 4 9 3 3" xfId="45374" xr:uid="{00000000-0005-0000-0000-0000FCF20000}"/>
    <cellStyle name="Percent 4 9 3 3 2" xfId="62854" xr:uid="{00000000-0005-0000-0000-0000FDF20000}"/>
    <cellStyle name="Percent 4 9 3 4" xfId="45375" xr:uid="{00000000-0005-0000-0000-0000FEF20000}"/>
    <cellStyle name="Percent 4 9 3 5" xfId="45376" xr:uid="{00000000-0005-0000-0000-0000FFF20000}"/>
    <cellStyle name="Percent 4 9 3 6" xfId="45377" xr:uid="{00000000-0005-0000-0000-000000F30000}"/>
    <cellStyle name="Percent 4 9 4" xfId="45378" xr:uid="{00000000-0005-0000-0000-000001F30000}"/>
    <cellStyle name="Percent 4 9 4 2" xfId="62855" xr:uid="{00000000-0005-0000-0000-000002F30000}"/>
    <cellStyle name="Percent 4 9 4 3" xfId="62856" xr:uid="{00000000-0005-0000-0000-000003F30000}"/>
    <cellStyle name="Percent 4 9 5" xfId="45379" xr:uid="{00000000-0005-0000-0000-000004F30000}"/>
    <cellStyle name="Percent 4 9 5 2" xfId="62857" xr:uid="{00000000-0005-0000-0000-000005F30000}"/>
    <cellStyle name="Percent 4 9 6" xfId="45380" xr:uid="{00000000-0005-0000-0000-000006F30000}"/>
    <cellStyle name="Percent 4 9 7" xfId="45381" xr:uid="{00000000-0005-0000-0000-000007F30000}"/>
    <cellStyle name="Percent 4 9 8" xfId="45382" xr:uid="{00000000-0005-0000-0000-000008F30000}"/>
    <cellStyle name="Percent 5" xfId="45383" xr:uid="{00000000-0005-0000-0000-000009F30000}"/>
    <cellStyle name="Percent 5 10" xfId="45384" xr:uid="{00000000-0005-0000-0000-00000AF30000}"/>
    <cellStyle name="Percent 5 10 2" xfId="62858" xr:uid="{00000000-0005-0000-0000-00000BF30000}"/>
    <cellStyle name="Percent 5 10 3" xfId="62859" xr:uid="{00000000-0005-0000-0000-00000CF30000}"/>
    <cellStyle name="Percent 5 11" xfId="45385" xr:uid="{00000000-0005-0000-0000-00000DF30000}"/>
    <cellStyle name="Percent 5 11 2" xfId="45386" xr:uid="{00000000-0005-0000-0000-00000EF30000}"/>
    <cellStyle name="Percent 5 12" xfId="45387" xr:uid="{00000000-0005-0000-0000-00000FF30000}"/>
    <cellStyle name="Percent 5 12 2" xfId="62860" xr:uid="{00000000-0005-0000-0000-000010F30000}"/>
    <cellStyle name="Percent 5 13" xfId="45388" xr:uid="{00000000-0005-0000-0000-000011F30000}"/>
    <cellStyle name="Percent 5 14" xfId="45389" xr:uid="{00000000-0005-0000-0000-000012F30000}"/>
    <cellStyle name="Percent 5 15" xfId="45390" xr:uid="{00000000-0005-0000-0000-000013F30000}"/>
    <cellStyle name="Percent 5 16" xfId="45391" xr:uid="{00000000-0005-0000-0000-000014F30000}"/>
    <cellStyle name="Percent 5 17" xfId="45392" xr:uid="{00000000-0005-0000-0000-000015F30000}"/>
    <cellStyle name="Percent 5 18" xfId="45393" xr:uid="{00000000-0005-0000-0000-000016F30000}"/>
    <cellStyle name="Percent 5 19" xfId="45394" xr:uid="{00000000-0005-0000-0000-000017F30000}"/>
    <cellStyle name="Percent 5 2" xfId="45395" xr:uid="{00000000-0005-0000-0000-000018F30000}"/>
    <cellStyle name="Percent 5 2 10" xfId="45396" xr:uid="{00000000-0005-0000-0000-000019F30000}"/>
    <cellStyle name="Percent 5 2 11" xfId="45397" xr:uid="{00000000-0005-0000-0000-00001AF30000}"/>
    <cellStyle name="Percent 5 2 12" xfId="45398" xr:uid="{00000000-0005-0000-0000-00001BF30000}"/>
    <cellStyle name="Percent 5 2 13" xfId="45399" xr:uid="{00000000-0005-0000-0000-00001CF30000}"/>
    <cellStyle name="Percent 5 2 14" xfId="45400" xr:uid="{00000000-0005-0000-0000-00001DF30000}"/>
    <cellStyle name="Percent 5 2 15" xfId="45401" xr:uid="{00000000-0005-0000-0000-00001EF30000}"/>
    <cellStyle name="Percent 5 2 2" xfId="45402" xr:uid="{00000000-0005-0000-0000-00001FF30000}"/>
    <cellStyle name="Percent 5 2 2 10" xfId="45403" xr:uid="{00000000-0005-0000-0000-000020F30000}"/>
    <cellStyle name="Percent 5 2 2 2" xfId="45404" xr:uid="{00000000-0005-0000-0000-000021F30000}"/>
    <cellStyle name="Percent 5 2 2 2 2" xfId="45405" xr:uid="{00000000-0005-0000-0000-000022F30000}"/>
    <cellStyle name="Percent 5 2 2 2 2 2" xfId="45406" xr:uid="{00000000-0005-0000-0000-000023F30000}"/>
    <cellStyle name="Percent 5 2 2 2 2 2 2" xfId="62861" xr:uid="{00000000-0005-0000-0000-000024F30000}"/>
    <cellStyle name="Percent 5 2 2 2 2 2 3" xfId="62862" xr:uid="{00000000-0005-0000-0000-000025F30000}"/>
    <cellStyle name="Percent 5 2 2 2 2 3" xfId="45407" xr:uid="{00000000-0005-0000-0000-000026F30000}"/>
    <cellStyle name="Percent 5 2 2 2 2 3 2" xfId="62863" xr:uid="{00000000-0005-0000-0000-000027F30000}"/>
    <cellStyle name="Percent 5 2 2 2 2 4" xfId="45408" xr:uid="{00000000-0005-0000-0000-000028F30000}"/>
    <cellStyle name="Percent 5 2 2 2 2 5" xfId="45409" xr:uid="{00000000-0005-0000-0000-000029F30000}"/>
    <cellStyle name="Percent 5 2 2 2 2 6" xfId="45410" xr:uid="{00000000-0005-0000-0000-00002AF30000}"/>
    <cellStyle name="Percent 5 2 2 2 3" xfId="45411" xr:uid="{00000000-0005-0000-0000-00002BF30000}"/>
    <cellStyle name="Percent 5 2 2 2 3 2" xfId="62864" xr:uid="{00000000-0005-0000-0000-00002CF30000}"/>
    <cellStyle name="Percent 5 2 2 2 3 3" xfId="62865" xr:uid="{00000000-0005-0000-0000-00002DF30000}"/>
    <cellStyle name="Percent 5 2 2 2 4" xfId="45412" xr:uid="{00000000-0005-0000-0000-00002EF30000}"/>
    <cellStyle name="Percent 5 2 2 2 4 2" xfId="62866" xr:uid="{00000000-0005-0000-0000-00002FF30000}"/>
    <cellStyle name="Percent 5 2 2 2 5" xfId="45413" xr:uid="{00000000-0005-0000-0000-000030F30000}"/>
    <cellStyle name="Percent 5 2 2 2 6" xfId="45414" xr:uid="{00000000-0005-0000-0000-000031F30000}"/>
    <cellStyle name="Percent 5 2 2 2 7" xfId="45415" xr:uid="{00000000-0005-0000-0000-000032F30000}"/>
    <cellStyle name="Percent 5 2 2 3" xfId="45416" xr:uid="{00000000-0005-0000-0000-000033F30000}"/>
    <cellStyle name="Percent 5 2 2 3 2" xfId="45417" xr:uid="{00000000-0005-0000-0000-000034F30000}"/>
    <cellStyle name="Percent 5 2 2 3 2 2" xfId="62867" xr:uid="{00000000-0005-0000-0000-000035F30000}"/>
    <cellStyle name="Percent 5 2 2 3 2 3" xfId="62868" xr:uid="{00000000-0005-0000-0000-000036F30000}"/>
    <cellStyle name="Percent 5 2 2 3 3" xfId="45418" xr:uid="{00000000-0005-0000-0000-000037F30000}"/>
    <cellStyle name="Percent 5 2 2 3 3 2" xfId="62869" xr:uid="{00000000-0005-0000-0000-000038F30000}"/>
    <cellStyle name="Percent 5 2 2 3 4" xfId="45419" xr:uid="{00000000-0005-0000-0000-000039F30000}"/>
    <cellStyle name="Percent 5 2 2 3 5" xfId="45420" xr:uid="{00000000-0005-0000-0000-00003AF30000}"/>
    <cellStyle name="Percent 5 2 2 3 6" xfId="45421" xr:uid="{00000000-0005-0000-0000-00003BF30000}"/>
    <cellStyle name="Percent 5 2 2 4" xfId="45422" xr:uid="{00000000-0005-0000-0000-00003CF30000}"/>
    <cellStyle name="Percent 5 2 2 4 2" xfId="62870" xr:uid="{00000000-0005-0000-0000-00003DF30000}"/>
    <cellStyle name="Percent 5 2 2 4 3" xfId="62871" xr:uid="{00000000-0005-0000-0000-00003EF30000}"/>
    <cellStyle name="Percent 5 2 2 5" xfId="45423" xr:uid="{00000000-0005-0000-0000-00003FF30000}"/>
    <cellStyle name="Percent 5 2 2 5 2" xfId="62872" xr:uid="{00000000-0005-0000-0000-000040F30000}"/>
    <cellStyle name="Percent 5 2 2 6" xfId="45424" xr:uid="{00000000-0005-0000-0000-000041F30000}"/>
    <cellStyle name="Percent 5 2 2 7" xfId="45425" xr:uid="{00000000-0005-0000-0000-000042F30000}"/>
    <cellStyle name="Percent 5 2 2 8" xfId="45426" xr:uid="{00000000-0005-0000-0000-000043F30000}"/>
    <cellStyle name="Percent 5 2 2 9" xfId="45427" xr:uid="{00000000-0005-0000-0000-000044F30000}"/>
    <cellStyle name="Percent 5 2 3" xfId="45428" xr:uid="{00000000-0005-0000-0000-000045F30000}"/>
    <cellStyle name="Percent 5 2 3 2" xfId="45429" xr:uid="{00000000-0005-0000-0000-000046F30000}"/>
    <cellStyle name="Percent 5 2 3 2 2" xfId="45430" xr:uid="{00000000-0005-0000-0000-000047F30000}"/>
    <cellStyle name="Percent 5 2 3 2 2 2" xfId="45431" xr:uid="{00000000-0005-0000-0000-000048F30000}"/>
    <cellStyle name="Percent 5 2 3 2 2 2 2" xfId="62873" xr:uid="{00000000-0005-0000-0000-000049F30000}"/>
    <cellStyle name="Percent 5 2 3 2 2 2 3" xfId="62874" xr:uid="{00000000-0005-0000-0000-00004AF30000}"/>
    <cellStyle name="Percent 5 2 3 2 2 3" xfId="45432" xr:uid="{00000000-0005-0000-0000-00004BF30000}"/>
    <cellStyle name="Percent 5 2 3 2 2 3 2" xfId="62875" xr:uid="{00000000-0005-0000-0000-00004CF30000}"/>
    <cellStyle name="Percent 5 2 3 2 2 4" xfId="45433" xr:uid="{00000000-0005-0000-0000-00004DF30000}"/>
    <cellStyle name="Percent 5 2 3 2 2 5" xfId="45434" xr:uid="{00000000-0005-0000-0000-00004EF30000}"/>
    <cellStyle name="Percent 5 2 3 2 2 6" xfId="45435" xr:uid="{00000000-0005-0000-0000-00004FF30000}"/>
    <cellStyle name="Percent 5 2 3 2 3" xfId="45436" xr:uid="{00000000-0005-0000-0000-000050F30000}"/>
    <cellStyle name="Percent 5 2 3 2 3 2" xfId="62876" xr:uid="{00000000-0005-0000-0000-000051F30000}"/>
    <cellStyle name="Percent 5 2 3 2 3 3" xfId="62877" xr:uid="{00000000-0005-0000-0000-000052F30000}"/>
    <cellStyle name="Percent 5 2 3 2 4" xfId="45437" xr:uid="{00000000-0005-0000-0000-000053F30000}"/>
    <cellStyle name="Percent 5 2 3 2 4 2" xfId="62878" xr:uid="{00000000-0005-0000-0000-000054F30000}"/>
    <cellStyle name="Percent 5 2 3 2 5" xfId="45438" xr:uid="{00000000-0005-0000-0000-000055F30000}"/>
    <cellStyle name="Percent 5 2 3 2 6" xfId="45439" xr:uid="{00000000-0005-0000-0000-000056F30000}"/>
    <cellStyle name="Percent 5 2 3 2 7" xfId="45440" xr:uid="{00000000-0005-0000-0000-000057F30000}"/>
    <cellStyle name="Percent 5 2 3 3" xfId="45441" xr:uid="{00000000-0005-0000-0000-000058F30000}"/>
    <cellStyle name="Percent 5 2 3 3 2" xfId="45442" xr:uid="{00000000-0005-0000-0000-000059F30000}"/>
    <cellStyle name="Percent 5 2 3 3 2 2" xfId="62879" xr:uid="{00000000-0005-0000-0000-00005AF30000}"/>
    <cellStyle name="Percent 5 2 3 3 2 3" xfId="62880" xr:uid="{00000000-0005-0000-0000-00005BF30000}"/>
    <cellStyle name="Percent 5 2 3 3 3" xfId="45443" xr:uid="{00000000-0005-0000-0000-00005CF30000}"/>
    <cellStyle name="Percent 5 2 3 3 3 2" xfId="62881" xr:uid="{00000000-0005-0000-0000-00005DF30000}"/>
    <cellStyle name="Percent 5 2 3 3 4" xfId="45444" xr:uid="{00000000-0005-0000-0000-00005EF30000}"/>
    <cellStyle name="Percent 5 2 3 3 5" xfId="45445" xr:uid="{00000000-0005-0000-0000-00005FF30000}"/>
    <cellStyle name="Percent 5 2 3 3 6" xfId="45446" xr:uid="{00000000-0005-0000-0000-000060F30000}"/>
    <cellStyle name="Percent 5 2 3 4" xfId="45447" xr:uid="{00000000-0005-0000-0000-000061F30000}"/>
    <cellStyle name="Percent 5 2 3 4 2" xfId="62882" xr:uid="{00000000-0005-0000-0000-000062F30000}"/>
    <cellStyle name="Percent 5 2 3 4 3" xfId="62883" xr:uid="{00000000-0005-0000-0000-000063F30000}"/>
    <cellStyle name="Percent 5 2 3 5" xfId="45448" xr:uid="{00000000-0005-0000-0000-000064F30000}"/>
    <cellStyle name="Percent 5 2 3 5 2" xfId="62884" xr:uid="{00000000-0005-0000-0000-000065F30000}"/>
    <cellStyle name="Percent 5 2 3 6" xfId="45449" xr:uid="{00000000-0005-0000-0000-000066F30000}"/>
    <cellStyle name="Percent 5 2 3 7" xfId="45450" xr:uid="{00000000-0005-0000-0000-000067F30000}"/>
    <cellStyle name="Percent 5 2 3 8" xfId="45451" xr:uid="{00000000-0005-0000-0000-000068F30000}"/>
    <cellStyle name="Percent 5 2 4" xfId="45452" xr:uid="{00000000-0005-0000-0000-000069F30000}"/>
    <cellStyle name="Percent 5 2 4 2" xfId="45453" xr:uid="{00000000-0005-0000-0000-00006AF30000}"/>
    <cellStyle name="Percent 5 2 4 2 2" xfId="45454" xr:uid="{00000000-0005-0000-0000-00006BF30000}"/>
    <cellStyle name="Percent 5 2 4 2 2 2" xfId="62885" xr:uid="{00000000-0005-0000-0000-00006CF30000}"/>
    <cellStyle name="Percent 5 2 4 2 2 3" xfId="62886" xr:uid="{00000000-0005-0000-0000-00006DF30000}"/>
    <cellStyle name="Percent 5 2 4 2 3" xfId="45455" xr:uid="{00000000-0005-0000-0000-00006EF30000}"/>
    <cellStyle name="Percent 5 2 4 2 3 2" xfId="62887" xr:uid="{00000000-0005-0000-0000-00006FF30000}"/>
    <cellStyle name="Percent 5 2 4 2 4" xfId="45456" xr:uid="{00000000-0005-0000-0000-000070F30000}"/>
    <cellStyle name="Percent 5 2 4 2 5" xfId="45457" xr:uid="{00000000-0005-0000-0000-000071F30000}"/>
    <cellStyle name="Percent 5 2 4 2 6" xfId="45458" xr:uid="{00000000-0005-0000-0000-000072F30000}"/>
    <cellStyle name="Percent 5 2 4 3" xfId="45459" xr:uid="{00000000-0005-0000-0000-000073F30000}"/>
    <cellStyle name="Percent 5 2 4 3 2" xfId="62888" xr:uid="{00000000-0005-0000-0000-000074F30000}"/>
    <cellStyle name="Percent 5 2 4 3 3" xfId="62889" xr:uid="{00000000-0005-0000-0000-000075F30000}"/>
    <cellStyle name="Percent 5 2 4 4" xfId="45460" xr:uid="{00000000-0005-0000-0000-000076F30000}"/>
    <cellStyle name="Percent 5 2 4 4 2" xfId="62890" xr:uid="{00000000-0005-0000-0000-000077F30000}"/>
    <cellStyle name="Percent 5 2 4 5" xfId="45461" xr:uid="{00000000-0005-0000-0000-000078F30000}"/>
    <cellStyle name="Percent 5 2 4 6" xfId="45462" xr:uid="{00000000-0005-0000-0000-000079F30000}"/>
    <cellStyle name="Percent 5 2 4 7" xfId="45463" xr:uid="{00000000-0005-0000-0000-00007AF30000}"/>
    <cellStyle name="Percent 5 2 5" xfId="45464" xr:uid="{00000000-0005-0000-0000-00007BF30000}"/>
    <cellStyle name="Percent 5 2 5 2" xfId="45465" xr:uid="{00000000-0005-0000-0000-00007CF30000}"/>
    <cellStyle name="Percent 5 2 5 2 2" xfId="62891" xr:uid="{00000000-0005-0000-0000-00007DF30000}"/>
    <cellStyle name="Percent 5 2 5 2 3" xfId="62892" xr:uid="{00000000-0005-0000-0000-00007EF30000}"/>
    <cellStyle name="Percent 5 2 5 3" xfId="45466" xr:uid="{00000000-0005-0000-0000-00007FF30000}"/>
    <cellStyle name="Percent 5 2 5 3 2" xfId="62893" xr:uid="{00000000-0005-0000-0000-000080F30000}"/>
    <cellStyle name="Percent 5 2 5 4" xfId="45467" xr:uid="{00000000-0005-0000-0000-000081F30000}"/>
    <cellStyle name="Percent 5 2 5 5" xfId="45468" xr:uid="{00000000-0005-0000-0000-000082F30000}"/>
    <cellStyle name="Percent 5 2 5 6" xfId="45469" xr:uid="{00000000-0005-0000-0000-000083F30000}"/>
    <cellStyle name="Percent 5 2 6" xfId="45470" xr:uid="{00000000-0005-0000-0000-000084F30000}"/>
    <cellStyle name="Percent 5 2 6 2" xfId="62894" xr:uid="{00000000-0005-0000-0000-000085F30000}"/>
    <cellStyle name="Percent 5 2 6 3" xfId="62895" xr:uid="{00000000-0005-0000-0000-000086F30000}"/>
    <cellStyle name="Percent 5 2 7" xfId="45471" xr:uid="{00000000-0005-0000-0000-000087F30000}"/>
    <cellStyle name="Percent 5 2 7 2" xfId="62896" xr:uid="{00000000-0005-0000-0000-000088F30000}"/>
    <cellStyle name="Percent 5 2 8" xfId="45472" xr:uid="{00000000-0005-0000-0000-000089F30000}"/>
    <cellStyle name="Percent 5 2 9" xfId="45473" xr:uid="{00000000-0005-0000-0000-00008AF30000}"/>
    <cellStyle name="Percent 5 3" xfId="45474" xr:uid="{00000000-0005-0000-0000-00008BF30000}"/>
    <cellStyle name="Percent 5 3 10" xfId="45475" xr:uid="{00000000-0005-0000-0000-00008CF30000}"/>
    <cellStyle name="Percent 5 3 11" xfId="45476" xr:uid="{00000000-0005-0000-0000-00008DF30000}"/>
    <cellStyle name="Percent 5 3 12" xfId="45477" xr:uid="{00000000-0005-0000-0000-00008EF30000}"/>
    <cellStyle name="Percent 5 3 13" xfId="45478" xr:uid="{00000000-0005-0000-0000-00008FF30000}"/>
    <cellStyle name="Percent 5 3 14" xfId="45479" xr:uid="{00000000-0005-0000-0000-000090F30000}"/>
    <cellStyle name="Percent 5 3 15" xfId="45480" xr:uid="{00000000-0005-0000-0000-000091F30000}"/>
    <cellStyle name="Percent 5 3 2" xfId="45481" xr:uid="{00000000-0005-0000-0000-000092F30000}"/>
    <cellStyle name="Percent 5 3 2 2" xfId="45482" xr:uid="{00000000-0005-0000-0000-000093F30000}"/>
    <cellStyle name="Percent 5 3 2 2 2" xfId="45483" xr:uid="{00000000-0005-0000-0000-000094F30000}"/>
    <cellStyle name="Percent 5 3 2 2 2 2" xfId="45484" xr:uid="{00000000-0005-0000-0000-000095F30000}"/>
    <cellStyle name="Percent 5 3 2 2 2 2 2" xfId="62897" xr:uid="{00000000-0005-0000-0000-000096F30000}"/>
    <cellStyle name="Percent 5 3 2 2 2 2 3" xfId="62898" xr:uid="{00000000-0005-0000-0000-000097F30000}"/>
    <cellStyle name="Percent 5 3 2 2 2 3" xfId="45485" xr:uid="{00000000-0005-0000-0000-000098F30000}"/>
    <cellStyle name="Percent 5 3 2 2 2 3 2" xfId="62899" xr:uid="{00000000-0005-0000-0000-000099F30000}"/>
    <cellStyle name="Percent 5 3 2 2 2 4" xfId="45486" xr:uid="{00000000-0005-0000-0000-00009AF30000}"/>
    <cellStyle name="Percent 5 3 2 2 2 5" xfId="45487" xr:uid="{00000000-0005-0000-0000-00009BF30000}"/>
    <cellStyle name="Percent 5 3 2 2 2 6" xfId="45488" xr:uid="{00000000-0005-0000-0000-00009CF30000}"/>
    <cellStyle name="Percent 5 3 2 2 3" xfId="45489" xr:uid="{00000000-0005-0000-0000-00009DF30000}"/>
    <cellStyle name="Percent 5 3 2 2 3 2" xfId="62900" xr:uid="{00000000-0005-0000-0000-00009EF30000}"/>
    <cellStyle name="Percent 5 3 2 2 3 3" xfId="62901" xr:uid="{00000000-0005-0000-0000-00009FF30000}"/>
    <cellStyle name="Percent 5 3 2 2 4" xfId="45490" xr:uid="{00000000-0005-0000-0000-0000A0F30000}"/>
    <cellStyle name="Percent 5 3 2 2 4 2" xfId="62902" xr:uid="{00000000-0005-0000-0000-0000A1F30000}"/>
    <cellStyle name="Percent 5 3 2 2 5" xfId="45491" xr:uid="{00000000-0005-0000-0000-0000A2F30000}"/>
    <cellStyle name="Percent 5 3 2 2 6" xfId="45492" xr:uid="{00000000-0005-0000-0000-0000A3F30000}"/>
    <cellStyle name="Percent 5 3 2 2 7" xfId="45493" xr:uid="{00000000-0005-0000-0000-0000A4F30000}"/>
    <cellStyle name="Percent 5 3 2 3" xfId="45494" xr:uid="{00000000-0005-0000-0000-0000A5F30000}"/>
    <cellStyle name="Percent 5 3 2 3 2" xfId="45495" xr:uid="{00000000-0005-0000-0000-0000A6F30000}"/>
    <cellStyle name="Percent 5 3 2 3 2 2" xfId="62903" xr:uid="{00000000-0005-0000-0000-0000A7F30000}"/>
    <cellStyle name="Percent 5 3 2 3 2 3" xfId="62904" xr:uid="{00000000-0005-0000-0000-0000A8F30000}"/>
    <cellStyle name="Percent 5 3 2 3 3" xfId="45496" xr:uid="{00000000-0005-0000-0000-0000A9F30000}"/>
    <cellStyle name="Percent 5 3 2 3 3 2" xfId="62905" xr:uid="{00000000-0005-0000-0000-0000AAF30000}"/>
    <cellStyle name="Percent 5 3 2 3 4" xfId="45497" xr:uid="{00000000-0005-0000-0000-0000ABF30000}"/>
    <cellStyle name="Percent 5 3 2 3 5" xfId="45498" xr:uid="{00000000-0005-0000-0000-0000ACF30000}"/>
    <cellStyle name="Percent 5 3 2 3 6" xfId="45499" xr:uid="{00000000-0005-0000-0000-0000ADF30000}"/>
    <cellStyle name="Percent 5 3 2 4" xfId="45500" xr:uid="{00000000-0005-0000-0000-0000AEF30000}"/>
    <cellStyle name="Percent 5 3 2 4 2" xfId="62906" xr:uid="{00000000-0005-0000-0000-0000AFF30000}"/>
    <cellStyle name="Percent 5 3 2 4 3" xfId="62907" xr:uid="{00000000-0005-0000-0000-0000B0F30000}"/>
    <cellStyle name="Percent 5 3 2 5" xfId="45501" xr:uid="{00000000-0005-0000-0000-0000B1F30000}"/>
    <cellStyle name="Percent 5 3 2 5 2" xfId="62908" xr:uid="{00000000-0005-0000-0000-0000B2F30000}"/>
    <cellStyle name="Percent 5 3 2 6" xfId="45502" xr:uid="{00000000-0005-0000-0000-0000B3F30000}"/>
    <cellStyle name="Percent 5 3 2 7" xfId="45503" xr:uid="{00000000-0005-0000-0000-0000B4F30000}"/>
    <cellStyle name="Percent 5 3 2 8" xfId="45504" xr:uid="{00000000-0005-0000-0000-0000B5F30000}"/>
    <cellStyle name="Percent 5 3 2 9" xfId="45505" xr:uid="{00000000-0005-0000-0000-0000B6F30000}"/>
    <cellStyle name="Percent 5 3 3" xfId="45506" xr:uid="{00000000-0005-0000-0000-0000B7F30000}"/>
    <cellStyle name="Percent 5 3 3 2" xfId="45507" xr:uid="{00000000-0005-0000-0000-0000B8F30000}"/>
    <cellStyle name="Percent 5 3 3 2 2" xfId="45508" xr:uid="{00000000-0005-0000-0000-0000B9F30000}"/>
    <cellStyle name="Percent 5 3 3 2 2 2" xfId="45509" xr:uid="{00000000-0005-0000-0000-0000BAF30000}"/>
    <cellStyle name="Percent 5 3 3 2 2 2 2" xfId="62909" xr:uid="{00000000-0005-0000-0000-0000BBF30000}"/>
    <cellStyle name="Percent 5 3 3 2 2 2 3" xfId="62910" xr:uid="{00000000-0005-0000-0000-0000BCF30000}"/>
    <cellStyle name="Percent 5 3 3 2 2 3" xfId="45510" xr:uid="{00000000-0005-0000-0000-0000BDF30000}"/>
    <cellStyle name="Percent 5 3 3 2 2 3 2" xfId="62911" xr:uid="{00000000-0005-0000-0000-0000BEF30000}"/>
    <cellStyle name="Percent 5 3 3 2 2 4" xfId="45511" xr:uid="{00000000-0005-0000-0000-0000BFF30000}"/>
    <cellStyle name="Percent 5 3 3 2 2 5" xfId="45512" xr:uid="{00000000-0005-0000-0000-0000C0F30000}"/>
    <cellStyle name="Percent 5 3 3 2 2 6" xfId="45513" xr:uid="{00000000-0005-0000-0000-0000C1F30000}"/>
    <cellStyle name="Percent 5 3 3 2 3" xfId="45514" xr:uid="{00000000-0005-0000-0000-0000C2F30000}"/>
    <cellStyle name="Percent 5 3 3 2 3 2" xfId="62912" xr:uid="{00000000-0005-0000-0000-0000C3F30000}"/>
    <cellStyle name="Percent 5 3 3 2 3 3" xfId="62913" xr:uid="{00000000-0005-0000-0000-0000C4F30000}"/>
    <cellStyle name="Percent 5 3 3 2 4" xfId="45515" xr:uid="{00000000-0005-0000-0000-0000C5F30000}"/>
    <cellStyle name="Percent 5 3 3 2 4 2" xfId="62914" xr:uid="{00000000-0005-0000-0000-0000C6F30000}"/>
    <cellStyle name="Percent 5 3 3 2 5" xfId="45516" xr:uid="{00000000-0005-0000-0000-0000C7F30000}"/>
    <cellStyle name="Percent 5 3 3 2 6" xfId="45517" xr:uid="{00000000-0005-0000-0000-0000C8F30000}"/>
    <cellStyle name="Percent 5 3 3 2 7" xfId="45518" xr:uid="{00000000-0005-0000-0000-0000C9F30000}"/>
    <cellStyle name="Percent 5 3 3 3" xfId="45519" xr:uid="{00000000-0005-0000-0000-0000CAF30000}"/>
    <cellStyle name="Percent 5 3 3 3 2" xfId="45520" xr:uid="{00000000-0005-0000-0000-0000CBF30000}"/>
    <cellStyle name="Percent 5 3 3 3 2 2" xfId="62915" xr:uid="{00000000-0005-0000-0000-0000CCF30000}"/>
    <cellStyle name="Percent 5 3 3 3 2 3" xfId="62916" xr:uid="{00000000-0005-0000-0000-0000CDF30000}"/>
    <cellStyle name="Percent 5 3 3 3 3" xfId="45521" xr:uid="{00000000-0005-0000-0000-0000CEF30000}"/>
    <cellStyle name="Percent 5 3 3 3 3 2" xfId="62917" xr:uid="{00000000-0005-0000-0000-0000CFF30000}"/>
    <cellStyle name="Percent 5 3 3 3 4" xfId="45522" xr:uid="{00000000-0005-0000-0000-0000D0F30000}"/>
    <cellStyle name="Percent 5 3 3 3 5" xfId="45523" xr:uid="{00000000-0005-0000-0000-0000D1F30000}"/>
    <cellStyle name="Percent 5 3 3 3 6" xfId="45524" xr:uid="{00000000-0005-0000-0000-0000D2F30000}"/>
    <cellStyle name="Percent 5 3 3 4" xfId="45525" xr:uid="{00000000-0005-0000-0000-0000D3F30000}"/>
    <cellStyle name="Percent 5 3 3 4 2" xfId="62918" xr:uid="{00000000-0005-0000-0000-0000D4F30000}"/>
    <cellStyle name="Percent 5 3 3 4 3" xfId="62919" xr:uid="{00000000-0005-0000-0000-0000D5F30000}"/>
    <cellStyle name="Percent 5 3 3 5" xfId="45526" xr:uid="{00000000-0005-0000-0000-0000D6F30000}"/>
    <cellStyle name="Percent 5 3 3 5 2" xfId="62920" xr:uid="{00000000-0005-0000-0000-0000D7F30000}"/>
    <cellStyle name="Percent 5 3 3 6" xfId="45527" xr:uid="{00000000-0005-0000-0000-0000D8F30000}"/>
    <cellStyle name="Percent 5 3 3 7" xfId="45528" xr:uid="{00000000-0005-0000-0000-0000D9F30000}"/>
    <cellStyle name="Percent 5 3 3 8" xfId="45529" xr:uid="{00000000-0005-0000-0000-0000DAF30000}"/>
    <cellStyle name="Percent 5 3 4" xfId="45530" xr:uid="{00000000-0005-0000-0000-0000DBF30000}"/>
    <cellStyle name="Percent 5 3 4 2" xfId="45531" xr:uid="{00000000-0005-0000-0000-0000DCF30000}"/>
    <cellStyle name="Percent 5 3 4 2 2" xfId="45532" xr:uid="{00000000-0005-0000-0000-0000DDF30000}"/>
    <cellStyle name="Percent 5 3 4 2 2 2" xfId="62921" xr:uid="{00000000-0005-0000-0000-0000DEF30000}"/>
    <cellStyle name="Percent 5 3 4 2 2 3" xfId="62922" xr:uid="{00000000-0005-0000-0000-0000DFF30000}"/>
    <cellStyle name="Percent 5 3 4 2 3" xfId="45533" xr:uid="{00000000-0005-0000-0000-0000E0F30000}"/>
    <cellStyle name="Percent 5 3 4 2 3 2" xfId="62923" xr:uid="{00000000-0005-0000-0000-0000E1F30000}"/>
    <cellStyle name="Percent 5 3 4 2 4" xfId="45534" xr:uid="{00000000-0005-0000-0000-0000E2F30000}"/>
    <cellStyle name="Percent 5 3 4 2 5" xfId="45535" xr:uid="{00000000-0005-0000-0000-0000E3F30000}"/>
    <cellStyle name="Percent 5 3 4 2 6" xfId="45536" xr:uid="{00000000-0005-0000-0000-0000E4F30000}"/>
    <cellStyle name="Percent 5 3 4 3" xfId="45537" xr:uid="{00000000-0005-0000-0000-0000E5F30000}"/>
    <cellStyle name="Percent 5 3 4 3 2" xfId="62924" xr:uid="{00000000-0005-0000-0000-0000E6F30000}"/>
    <cellStyle name="Percent 5 3 4 3 3" xfId="62925" xr:uid="{00000000-0005-0000-0000-0000E7F30000}"/>
    <cellStyle name="Percent 5 3 4 4" xfId="45538" xr:uid="{00000000-0005-0000-0000-0000E8F30000}"/>
    <cellStyle name="Percent 5 3 4 4 2" xfId="62926" xr:uid="{00000000-0005-0000-0000-0000E9F30000}"/>
    <cellStyle name="Percent 5 3 4 5" xfId="45539" xr:uid="{00000000-0005-0000-0000-0000EAF30000}"/>
    <cellStyle name="Percent 5 3 4 6" xfId="45540" xr:uid="{00000000-0005-0000-0000-0000EBF30000}"/>
    <cellStyle name="Percent 5 3 4 7" xfId="45541" xr:uid="{00000000-0005-0000-0000-0000ECF30000}"/>
    <cellStyle name="Percent 5 3 5" xfId="45542" xr:uid="{00000000-0005-0000-0000-0000EDF30000}"/>
    <cellStyle name="Percent 5 3 5 2" xfId="45543" xr:uid="{00000000-0005-0000-0000-0000EEF30000}"/>
    <cellStyle name="Percent 5 3 5 2 2" xfId="62927" xr:uid="{00000000-0005-0000-0000-0000EFF30000}"/>
    <cellStyle name="Percent 5 3 5 2 3" xfId="62928" xr:uid="{00000000-0005-0000-0000-0000F0F30000}"/>
    <cellStyle name="Percent 5 3 5 3" xfId="45544" xr:uid="{00000000-0005-0000-0000-0000F1F30000}"/>
    <cellStyle name="Percent 5 3 5 3 2" xfId="62929" xr:uid="{00000000-0005-0000-0000-0000F2F30000}"/>
    <cellStyle name="Percent 5 3 5 4" xfId="45545" xr:uid="{00000000-0005-0000-0000-0000F3F30000}"/>
    <cellStyle name="Percent 5 3 5 5" xfId="45546" xr:uid="{00000000-0005-0000-0000-0000F4F30000}"/>
    <cellStyle name="Percent 5 3 5 6" xfId="45547" xr:uid="{00000000-0005-0000-0000-0000F5F30000}"/>
    <cellStyle name="Percent 5 3 6" xfId="45548" xr:uid="{00000000-0005-0000-0000-0000F6F30000}"/>
    <cellStyle name="Percent 5 3 6 2" xfId="62930" xr:uid="{00000000-0005-0000-0000-0000F7F30000}"/>
    <cellStyle name="Percent 5 3 6 3" xfId="62931" xr:uid="{00000000-0005-0000-0000-0000F8F30000}"/>
    <cellStyle name="Percent 5 3 7" xfId="45549" xr:uid="{00000000-0005-0000-0000-0000F9F30000}"/>
    <cellStyle name="Percent 5 3 7 2" xfId="62932" xr:uid="{00000000-0005-0000-0000-0000FAF30000}"/>
    <cellStyle name="Percent 5 3 8" xfId="45550" xr:uid="{00000000-0005-0000-0000-0000FBF30000}"/>
    <cellStyle name="Percent 5 3 9" xfId="45551" xr:uid="{00000000-0005-0000-0000-0000FCF30000}"/>
    <cellStyle name="Percent 5 4" xfId="45552" xr:uid="{00000000-0005-0000-0000-0000FDF30000}"/>
    <cellStyle name="Percent 5 4 10" xfId="45553" xr:uid="{00000000-0005-0000-0000-0000FEF30000}"/>
    <cellStyle name="Percent 5 4 11" xfId="45554" xr:uid="{00000000-0005-0000-0000-0000FFF30000}"/>
    <cellStyle name="Percent 5 4 12" xfId="45555" xr:uid="{00000000-0005-0000-0000-000000F40000}"/>
    <cellStyle name="Percent 5 4 13" xfId="45556" xr:uid="{00000000-0005-0000-0000-000001F40000}"/>
    <cellStyle name="Percent 5 4 2" xfId="45557" xr:uid="{00000000-0005-0000-0000-000002F40000}"/>
    <cellStyle name="Percent 5 4 2 2" xfId="45558" xr:uid="{00000000-0005-0000-0000-000003F40000}"/>
    <cellStyle name="Percent 5 4 2 2 2" xfId="45559" xr:uid="{00000000-0005-0000-0000-000004F40000}"/>
    <cellStyle name="Percent 5 4 2 2 2 2" xfId="45560" xr:uid="{00000000-0005-0000-0000-000005F40000}"/>
    <cellStyle name="Percent 5 4 2 2 2 2 2" xfId="62933" xr:uid="{00000000-0005-0000-0000-000006F40000}"/>
    <cellStyle name="Percent 5 4 2 2 2 2 3" xfId="62934" xr:uid="{00000000-0005-0000-0000-000007F40000}"/>
    <cellStyle name="Percent 5 4 2 2 2 3" xfId="45561" xr:uid="{00000000-0005-0000-0000-000008F40000}"/>
    <cellStyle name="Percent 5 4 2 2 2 3 2" xfId="62935" xr:uid="{00000000-0005-0000-0000-000009F40000}"/>
    <cellStyle name="Percent 5 4 2 2 2 4" xfId="45562" xr:uid="{00000000-0005-0000-0000-00000AF40000}"/>
    <cellStyle name="Percent 5 4 2 2 2 5" xfId="45563" xr:uid="{00000000-0005-0000-0000-00000BF40000}"/>
    <cellStyle name="Percent 5 4 2 2 2 6" xfId="45564" xr:uid="{00000000-0005-0000-0000-00000CF40000}"/>
    <cellStyle name="Percent 5 4 2 2 3" xfId="45565" xr:uid="{00000000-0005-0000-0000-00000DF40000}"/>
    <cellStyle name="Percent 5 4 2 2 3 2" xfId="62936" xr:uid="{00000000-0005-0000-0000-00000EF40000}"/>
    <cellStyle name="Percent 5 4 2 2 3 3" xfId="62937" xr:uid="{00000000-0005-0000-0000-00000FF40000}"/>
    <cellStyle name="Percent 5 4 2 2 4" xfId="45566" xr:uid="{00000000-0005-0000-0000-000010F40000}"/>
    <cellStyle name="Percent 5 4 2 2 4 2" xfId="62938" xr:uid="{00000000-0005-0000-0000-000011F40000}"/>
    <cellStyle name="Percent 5 4 2 2 5" xfId="45567" xr:uid="{00000000-0005-0000-0000-000012F40000}"/>
    <cellStyle name="Percent 5 4 2 2 6" xfId="45568" xr:uid="{00000000-0005-0000-0000-000013F40000}"/>
    <cellStyle name="Percent 5 4 2 2 7" xfId="45569" xr:uid="{00000000-0005-0000-0000-000014F40000}"/>
    <cellStyle name="Percent 5 4 2 3" xfId="45570" xr:uid="{00000000-0005-0000-0000-000015F40000}"/>
    <cellStyle name="Percent 5 4 2 3 2" xfId="45571" xr:uid="{00000000-0005-0000-0000-000016F40000}"/>
    <cellStyle name="Percent 5 4 2 3 2 2" xfId="62939" xr:uid="{00000000-0005-0000-0000-000017F40000}"/>
    <cellStyle name="Percent 5 4 2 3 2 3" xfId="62940" xr:uid="{00000000-0005-0000-0000-000018F40000}"/>
    <cellStyle name="Percent 5 4 2 3 3" xfId="45572" xr:uid="{00000000-0005-0000-0000-000019F40000}"/>
    <cellStyle name="Percent 5 4 2 3 3 2" xfId="62941" xr:uid="{00000000-0005-0000-0000-00001AF40000}"/>
    <cellStyle name="Percent 5 4 2 3 4" xfId="45573" xr:uid="{00000000-0005-0000-0000-00001BF40000}"/>
    <cellStyle name="Percent 5 4 2 3 5" xfId="45574" xr:uid="{00000000-0005-0000-0000-00001CF40000}"/>
    <cellStyle name="Percent 5 4 2 3 6" xfId="45575" xr:uid="{00000000-0005-0000-0000-00001DF40000}"/>
    <cellStyle name="Percent 5 4 2 4" xfId="45576" xr:uid="{00000000-0005-0000-0000-00001EF40000}"/>
    <cellStyle name="Percent 5 4 2 4 2" xfId="62942" xr:uid="{00000000-0005-0000-0000-00001FF40000}"/>
    <cellStyle name="Percent 5 4 2 4 3" xfId="62943" xr:uid="{00000000-0005-0000-0000-000020F40000}"/>
    <cellStyle name="Percent 5 4 2 5" xfId="45577" xr:uid="{00000000-0005-0000-0000-000021F40000}"/>
    <cellStyle name="Percent 5 4 2 5 2" xfId="62944" xr:uid="{00000000-0005-0000-0000-000022F40000}"/>
    <cellStyle name="Percent 5 4 2 6" xfId="45578" xr:uid="{00000000-0005-0000-0000-000023F40000}"/>
    <cellStyle name="Percent 5 4 2 7" xfId="45579" xr:uid="{00000000-0005-0000-0000-000024F40000}"/>
    <cellStyle name="Percent 5 4 2 8" xfId="45580" xr:uid="{00000000-0005-0000-0000-000025F40000}"/>
    <cellStyle name="Percent 5 4 2 9" xfId="45581" xr:uid="{00000000-0005-0000-0000-000026F40000}"/>
    <cellStyle name="Percent 5 4 3" xfId="45582" xr:uid="{00000000-0005-0000-0000-000027F40000}"/>
    <cellStyle name="Percent 5 4 3 2" xfId="45583" xr:uid="{00000000-0005-0000-0000-000028F40000}"/>
    <cellStyle name="Percent 5 4 3 2 2" xfId="45584" xr:uid="{00000000-0005-0000-0000-000029F40000}"/>
    <cellStyle name="Percent 5 4 3 2 2 2" xfId="62945" xr:uid="{00000000-0005-0000-0000-00002AF40000}"/>
    <cellStyle name="Percent 5 4 3 2 2 3" xfId="62946" xr:uid="{00000000-0005-0000-0000-00002BF40000}"/>
    <cellStyle name="Percent 5 4 3 2 3" xfId="45585" xr:uid="{00000000-0005-0000-0000-00002CF40000}"/>
    <cellStyle name="Percent 5 4 3 2 3 2" xfId="62947" xr:uid="{00000000-0005-0000-0000-00002DF40000}"/>
    <cellStyle name="Percent 5 4 3 2 4" xfId="45586" xr:uid="{00000000-0005-0000-0000-00002EF40000}"/>
    <cellStyle name="Percent 5 4 3 2 5" xfId="45587" xr:uid="{00000000-0005-0000-0000-00002FF40000}"/>
    <cellStyle name="Percent 5 4 3 2 6" xfId="45588" xr:uid="{00000000-0005-0000-0000-000030F40000}"/>
    <cellStyle name="Percent 5 4 3 3" xfId="45589" xr:uid="{00000000-0005-0000-0000-000031F40000}"/>
    <cellStyle name="Percent 5 4 3 3 2" xfId="62948" xr:uid="{00000000-0005-0000-0000-000032F40000}"/>
    <cellStyle name="Percent 5 4 3 3 3" xfId="62949" xr:uid="{00000000-0005-0000-0000-000033F40000}"/>
    <cellStyle name="Percent 5 4 3 4" xfId="45590" xr:uid="{00000000-0005-0000-0000-000034F40000}"/>
    <cellStyle name="Percent 5 4 3 4 2" xfId="62950" xr:uid="{00000000-0005-0000-0000-000035F40000}"/>
    <cellStyle name="Percent 5 4 3 5" xfId="45591" xr:uid="{00000000-0005-0000-0000-000036F40000}"/>
    <cellStyle name="Percent 5 4 3 6" xfId="45592" xr:uid="{00000000-0005-0000-0000-000037F40000}"/>
    <cellStyle name="Percent 5 4 3 7" xfId="45593" xr:uid="{00000000-0005-0000-0000-000038F40000}"/>
    <cellStyle name="Percent 5 4 4" xfId="45594" xr:uid="{00000000-0005-0000-0000-000039F40000}"/>
    <cellStyle name="Percent 5 4 4 2" xfId="45595" xr:uid="{00000000-0005-0000-0000-00003AF40000}"/>
    <cellStyle name="Percent 5 4 4 2 2" xfId="62951" xr:uid="{00000000-0005-0000-0000-00003BF40000}"/>
    <cellStyle name="Percent 5 4 4 2 3" xfId="62952" xr:uid="{00000000-0005-0000-0000-00003CF40000}"/>
    <cellStyle name="Percent 5 4 4 3" xfId="45596" xr:uid="{00000000-0005-0000-0000-00003DF40000}"/>
    <cellStyle name="Percent 5 4 4 3 2" xfId="62953" xr:uid="{00000000-0005-0000-0000-00003EF40000}"/>
    <cellStyle name="Percent 5 4 4 4" xfId="45597" xr:uid="{00000000-0005-0000-0000-00003FF40000}"/>
    <cellStyle name="Percent 5 4 4 5" xfId="45598" xr:uid="{00000000-0005-0000-0000-000040F40000}"/>
    <cellStyle name="Percent 5 4 4 6" xfId="45599" xr:uid="{00000000-0005-0000-0000-000041F40000}"/>
    <cellStyle name="Percent 5 4 5" xfId="45600" xr:uid="{00000000-0005-0000-0000-000042F40000}"/>
    <cellStyle name="Percent 5 4 5 2" xfId="62954" xr:uid="{00000000-0005-0000-0000-000043F40000}"/>
    <cellStyle name="Percent 5 4 5 3" xfId="62955" xr:uid="{00000000-0005-0000-0000-000044F40000}"/>
    <cellStyle name="Percent 5 4 6" xfId="45601" xr:uid="{00000000-0005-0000-0000-000045F40000}"/>
    <cellStyle name="Percent 5 4 6 2" xfId="62956" xr:uid="{00000000-0005-0000-0000-000046F40000}"/>
    <cellStyle name="Percent 5 4 7" xfId="45602" xr:uid="{00000000-0005-0000-0000-000047F40000}"/>
    <cellStyle name="Percent 5 4 8" xfId="45603" xr:uid="{00000000-0005-0000-0000-000048F40000}"/>
    <cellStyle name="Percent 5 4 9" xfId="45604" xr:uid="{00000000-0005-0000-0000-000049F40000}"/>
    <cellStyle name="Percent 5 5" xfId="45605" xr:uid="{00000000-0005-0000-0000-00004AF40000}"/>
    <cellStyle name="Percent 5 5 2" xfId="45606" xr:uid="{00000000-0005-0000-0000-00004BF40000}"/>
    <cellStyle name="Percent 5 5 2 2" xfId="45607" xr:uid="{00000000-0005-0000-0000-00004CF40000}"/>
    <cellStyle name="Percent 5 5 2 2 2" xfId="45608" xr:uid="{00000000-0005-0000-0000-00004DF40000}"/>
    <cellStyle name="Percent 5 5 2 2 2 2" xfId="62957" xr:uid="{00000000-0005-0000-0000-00004EF40000}"/>
    <cellStyle name="Percent 5 5 2 2 2 3" xfId="62958" xr:uid="{00000000-0005-0000-0000-00004FF40000}"/>
    <cellStyle name="Percent 5 5 2 2 3" xfId="45609" xr:uid="{00000000-0005-0000-0000-000050F40000}"/>
    <cellStyle name="Percent 5 5 2 2 3 2" xfId="62959" xr:uid="{00000000-0005-0000-0000-000051F40000}"/>
    <cellStyle name="Percent 5 5 2 2 4" xfId="45610" xr:uid="{00000000-0005-0000-0000-000052F40000}"/>
    <cellStyle name="Percent 5 5 2 2 5" xfId="45611" xr:uid="{00000000-0005-0000-0000-000053F40000}"/>
    <cellStyle name="Percent 5 5 2 2 6" xfId="45612" xr:uid="{00000000-0005-0000-0000-000054F40000}"/>
    <cellStyle name="Percent 5 5 2 3" xfId="45613" xr:uid="{00000000-0005-0000-0000-000055F40000}"/>
    <cellStyle name="Percent 5 5 2 3 2" xfId="62960" xr:uid="{00000000-0005-0000-0000-000056F40000}"/>
    <cellStyle name="Percent 5 5 2 3 3" xfId="62961" xr:uid="{00000000-0005-0000-0000-000057F40000}"/>
    <cellStyle name="Percent 5 5 2 4" xfId="45614" xr:uid="{00000000-0005-0000-0000-000058F40000}"/>
    <cellStyle name="Percent 5 5 2 4 2" xfId="62962" xr:uid="{00000000-0005-0000-0000-000059F40000}"/>
    <cellStyle name="Percent 5 5 2 5" xfId="45615" xr:uid="{00000000-0005-0000-0000-00005AF40000}"/>
    <cellStyle name="Percent 5 5 2 6" xfId="45616" xr:uid="{00000000-0005-0000-0000-00005BF40000}"/>
    <cellStyle name="Percent 5 5 2 7" xfId="45617" xr:uid="{00000000-0005-0000-0000-00005CF40000}"/>
    <cellStyle name="Percent 5 5 3" xfId="45618" xr:uid="{00000000-0005-0000-0000-00005DF40000}"/>
    <cellStyle name="Percent 5 5 3 2" xfId="45619" xr:uid="{00000000-0005-0000-0000-00005EF40000}"/>
    <cellStyle name="Percent 5 5 3 2 2" xfId="62963" xr:uid="{00000000-0005-0000-0000-00005FF40000}"/>
    <cellStyle name="Percent 5 5 3 2 3" xfId="62964" xr:uid="{00000000-0005-0000-0000-000060F40000}"/>
    <cellStyle name="Percent 5 5 3 3" xfId="45620" xr:uid="{00000000-0005-0000-0000-000061F40000}"/>
    <cellStyle name="Percent 5 5 3 3 2" xfId="62965" xr:uid="{00000000-0005-0000-0000-000062F40000}"/>
    <cellStyle name="Percent 5 5 3 4" xfId="45621" xr:uid="{00000000-0005-0000-0000-000063F40000}"/>
    <cellStyle name="Percent 5 5 3 5" xfId="45622" xr:uid="{00000000-0005-0000-0000-000064F40000}"/>
    <cellStyle name="Percent 5 5 3 6" xfId="45623" xr:uid="{00000000-0005-0000-0000-000065F40000}"/>
    <cellStyle name="Percent 5 5 4" xfId="45624" xr:uid="{00000000-0005-0000-0000-000066F40000}"/>
    <cellStyle name="Percent 5 5 4 2" xfId="62966" xr:uid="{00000000-0005-0000-0000-000067F40000}"/>
    <cellStyle name="Percent 5 5 4 3" xfId="62967" xr:uid="{00000000-0005-0000-0000-000068F40000}"/>
    <cellStyle name="Percent 5 5 5" xfId="45625" xr:uid="{00000000-0005-0000-0000-000069F40000}"/>
    <cellStyle name="Percent 5 5 5 2" xfId="62968" xr:uid="{00000000-0005-0000-0000-00006AF40000}"/>
    <cellStyle name="Percent 5 5 6" xfId="45626" xr:uid="{00000000-0005-0000-0000-00006BF40000}"/>
    <cellStyle name="Percent 5 5 7" xfId="45627" xr:uid="{00000000-0005-0000-0000-00006CF40000}"/>
    <cellStyle name="Percent 5 5 8" xfId="45628" xr:uid="{00000000-0005-0000-0000-00006DF40000}"/>
    <cellStyle name="Percent 5 5 9" xfId="45629" xr:uid="{00000000-0005-0000-0000-00006EF40000}"/>
    <cellStyle name="Percent 5 6" xfId="45630" xr:uid="{00000000-0005-0000-0000-00006FF40000}"/>
    <cellStyle name="Percent 5 6 2" xfId="45631" xr:uid="{00000000-0005-0000-0000-000070F40000}"/>
    <cellStyle name="Percent 5 6 2 2" xfId="45632" xr:uid="{00000000-0005-0000-0000-000071F40000}"/>
    <cellStyle name="Percent 5 6 2 2 2" xfId="45633" xr:uid="{00000000-0005-0000-0000-000072F40000}"/>
    <cellStyle name="Percent 5 6 2 2 2 2" xfId="62969" xr:uid="{00000000-0005-0000-0000-000073F40000}"/>
    <cellStyle name="Percent 5 6 2 2 2 3" xfId="62970" xr:uid="{00000000-0005-0000-0000-000074F40000}"/>
    <cellStyle name="Percent 5 6 2 2 3" xfId="45634" xr:uid="{00000000-0005-0000-0000-000075F40000}"/>
    <cellStyle name="Percent 5 6 2 2 3 2" xfId="62971" xr:uid="{00000000-0005-0000-0000-000076F40000}"/>
    <cellStyle name="Percent 5 6 2 2 4" xfId="45635" xr:uid="{00000000-0005-0000-0000-000077F40000}"/>
    <cellStyle name="Percent 5 6 2 2 5" xfId="45636" xr:uid="{00000000-0005-0000-0000-000078F40000}"/>
    <cellStyle name="Percent 5 6 2 2 6" xfId="45637" xr:uid="{00000000-0005-0000-0000-000079F40000}"/>
    <cellStyle name="Percent 5 6 2 3" xfId="45638" xr:uid="{00000000-0005-0000-0000-00007AF40000}"/>
    <cellStyle name="Percent 5 6 2 3 2" xfId="62972" xr:uid="{00000000-0005-0000-0000-00007BF40000}"/>
    <cellStyle name="Percent 5 6 2 3 3" xfId="62973" xr:uid="{00000000-0005-0000-0000-00007CF40000}"/>
    <cellStyle name="Percent 5 6 2 4" xfId="45639" xr:uid="{00000000-0005-0000-0000-00007DF40000}"/>
    <cellStyle name="Percent 5 6 2 4 2" xfId="62974" xr:uid="{00000000-0005-0000-0000-00007EF40000}"/>
    <cellStyle name="Percent 5 6 2 5" xfId="45640" xr:uid="{00000000-0005-0000-0000-00007FF40000}"/>
    <cellStyle name="Percent 5 6 2 6" xfId="45641" xr:uid="{00000000-0005-0000-0000-000080F40000}"/>
    <cellStyle name="Percent 5 6 2 7" xfId="45642" xr:uid="{00000000-0005-0000-0000-000081F40000}"/>
    <cellStyle name="Percent 5 6 3" xfId="45643" xr:uid="{00000000-0005-0000-0000-000082F40000}"/>
    <cellStyle name="Percent 5 6 3 2" xfId="45644" xr:uid="{00000000-0005-0000-0000-000083F40000}"/>
    <cellStyle name="Percent 5 6 3 2 2" xfId="62975" xr:uid="{00000000-0005-0000-0000-000084F40000}"/>
    <cellStyle name="Percent 5 6 3 2 3" xfId="62976" xr:uid="{00000000-0005-0000-0000-000085F40000}"/>
    <cellStyle name="Percent 5 6 3 3" xfId="45645" xr:uid="{00000000-0005-0000-0000-000086F40000}"/>
    <cellStyle name="Percent 5 6 3 3 2" xfId="62977" xr:uid="{00000000-0005-0000-0000-000087F40000}"/>
    <cellStyle name="Percent 5 6 3 4" xfId="45646" xr:uid="{00000000-0005-0000-0000-000088F40000}"/>
    <cellStyle name="Percent 5 6 3 5" xfId="45647" xr:uid="{00000000-0005-0000-0000-000089F40000}"/>
    <cellStyle name="Percent 5 6 3 6" xfId="45648" xr:uid="{00000000-0005-0000-0000-00008AF40000}"/>
    <cellStyle name="Percent 5 6 4" xfId="45649" xr:uid="{00000000-0005-0000-0000-00008BF40000}"/>
    <cellStyle name="Percent 5 6 4 2" xfId="62978" xr:uid="{00000000-0005-0000-0000-00008CF40000}"/>
    <cellStyle name="Percent 5 6 4 3" xfId="62979" xr:uid="{00000000-0005-0000-0000-00008DF40000}"/>
    <cellStyle name="Percent 5 6 5" xfId="45650" xr:uid="{00000000-0005-0000-0000-00008EF40000}"/>
    <cellStyle name="Percent 5 6 5 2" xfId="62980" xr:uid="{00000000-0005-0000-0000-00008FF40000}"/>
    <cellStyle name="Percent 5 6 6" xfId="45651" xr:uid="{00000000-0005-0000-0000-000090F40000}"/>
    <cellStyle name="Percent 5 6 7" xfId="45652" xr:uid="{00000000-0005-0000-0000-000091F40000}"/>
    <cellStyle name="Percent 5 6 8" xfId="45653" xr:uid="{00000000-0005-0000-0000-000092F40000}"/>
    <cellStyle name="Percent 5 7" xfId="45654" xr:uid="{00000000-0005-0000-0000-000093F40000}"/>
    <cellStyle name="Percent 5 7 2" xfId="45655" xr:uid="{00000000-0005-0000-0000-000094F40000}"/>
    <cellStyle name="Percent 5 7 2 2" xfId="45656" xr:uid="{00000000-0005-0000-0000-000095F40000}"/>
    <cellStyle name="Percent 5 7 2 2 2" xfId="45657" xr:uid="{00000000-0005-0000-0000-000096F40000}"/>
    <cellStyle name="Percent 5 7 2 2 2 2" xfId="62981" xr:uid="{00000000-0005-0000-0000-000097F40000}"/>
    <cellStyle name="Percent 5 7 2 2 2 3" xfId="62982" xr:uid="{00000000-0005-0000-0000-000098F40000}"/>
    <cellStyle name="Percent 5 7 2 2 3" xfId="45658" xr:uid="{00000000-0005-0000-0000-000099F40000}"/>
    <cellStyle name="Percent 5 7 2 2 3 2" xfId="62983" xr:uid="{00000000-0005-0000-0000-00009AF40000}"/>
    <cellStyle name="Percent 5 7 2 2 4" xfId="45659" xr:uid="{00000000-0005-0000-0000-00009BF40000}"/>
    <cellStyle name="Percent 5 7 2 2 5" xfId="45660" xr:uid="{00000000-0005-0000-0000-00009CF40000}"/>
    <cellStyle name="Percent 5 7 2 2 6" xfId="45661" xr:uid="{00000000-0005-0000-0000-00009DF40000}"/>
    <cellStyle name="Percent 5 7 2 3" xfId="45662" xr:uid="{00000000-0005-0000-0000-00009EF40000}"/>
    <cellStyle name="Percent 5 7 2 3 2" xfId="62984" xr:uid="{00000000-0005-0000-0000-00009FF40000}"/>
    <cellStyle name="Percent 5 7 2 3 3" xfId="62985" xr:uid="{00000000-0005-0000-0000-0000A0F40000}"/>
    <cellStyle name="Percent 5 7 2 4" xfId="45663" xr:uid="{00000000-0005-0000-0000-0000A1F40000}"/>
    <cellStyle name="Percent 5 7 2 4 2" xfId="62986" xr:uid="{00000000-0005-0000-0000-0000A2F40000}"/>
    <cellStyle name="Percent 5 7 2 5" xfId="45664" xr:uid="{00000000-0005-0000-0000-0000A3F40000}"/>
    <cellStyle name="Percent 5 7 2 6" xfId="45665" xr:uid="{00000000-0005-0000-0000-0000A4F40000}"/>
    <cellStyle name="Percent 5 7 2 7" xfId="45666" xr:uid="{00000000-0005-0000-0000-0000A5F40000}"/>
    <cellStyle name="Percent 5 7 3" xfId="45667" xr:uid="{00000000-0005-0000-0000-0000A6F40000}"/>
    <cellStyle name="Percent 5 7 3 2" xfId="45668" xr:uid="{00000000-0005-0000-0000-0000A7F40000}"/>
    <cellStyle name="Percent 5 7 3 2 2" xfId="62987" xr:uid="{00000000-0005-0000-0000-0000A8F40000}"/>
    <cellStyle name="Percent 5 7 3 2 3" xfId="62988" xr:uid="{00000000-0005-0000-0000-0000A9F40000}"/>
    <cellStyle name="Percent 5 7 3 3" xfId="45669" xr:uid="{00000000-0005-0000-0000-0000AAF40000}"/>
    <cellStyle name="Percent 5 7 3 3 2" xfId="62989" xr:uid="{00000000-0005-0000-0000-0000ABF40000}"/>
    <cellStyle name="Percent 5 7 3 4" xfId="45670" xr:uid="{00000000-0005-0000-0000-0000ACF40000}"/>
    <cellStyle name="Percent 5 7 3 5" xfId="45671" xr:uid="{00000000-0005-0000-0000-0000ADF40000}"/>
    <cellStyle name="Percent 5 7 3 6" xfId="45672" xr:uid="{00000000-0005-0000-0000-0000AEF40000}"/>
    <cellStyle name="Percent 5 7 4" xfId="45673" xr:uid="{00000000-0005-0000-0000-0000AFF40000}"/>
    <cellStyle name="Percent 5 7 4 2" xfId="62990" xr:uid="{00000000-0005-0000-0000-0000B0F40000}"/>
    <cellStyle name="Percent 5 7 4 3" xfId="62991" xr:uid="{00000000-0005-0000-0000-0000B1F40000}"/>
    <cellStyle name="Percent 5 7 5" xfId="45674" xr:uid="{00000000-0005-0000-0000-0000B2F40000}"/>
    <cellStyle name="Percent 5 7 5 2" xfId="62992" xr:uid="{00000000-0005-0000-0000-0000B3F40000}"/>
    <cellStyle name="Percent 5 7 6" xfId="45675" xr:uid="{00000000-0005-0000-0000-0000B4F40000}"/>
    <cellStyle name="Percent 5 7 7" xfId="45676" xr:uid="{00000000-0005-0000-0000-0000B5F40000}"/>
    <cellStyle name="Percent 5 7 8" xfId="45677" xr:uid="{00000000-0005-0000-0000-0000B6F40000}"/>
    <cellStyle name="Percent 5 8" xfId="45678" xr:uid="{00000000-0005-0000-0000-0000B7F40000}"/>
    <cellStyle name="Percent 5 8 2" xfId="45679" xr:uid="{00000000-0005-0000-0000-0000B8F40000}"/>
    <cellStyle name="Percent 5 8 2 2" xfId="45680" xr:uid="{00000000-0005-0000-0000-0000B9F40000}"/>
    <cellStyle name="Percent 5 8 2 2 2" xfId="62993" xr:uid="{00000000-0005-0000-0000-0000BAF40000}"/>
    <cellStyle name="Percent 5 8 2 2 3" xfId="62994" xr:uid="{00000000-0005-0000-0000-0000BBF40000}"/>
    <cellStyle name="Percent 5 8 2 3" xfId="45681" xr:uid="{00000000-0005-0000-0000-0000BCF40000}"/>
    <cellStyle name="Percent 5 8 2 3 2" xfId="62995" xr:uid="{00000000-0005-0000-0000-0000BDF40000}"/>
    <cellStyle name="Percent 5 8 2 4" xfId="45682" xr:uid="{00000000-0005-0000-0000-0000BEF40000}"/>
    <cellStyle name="Percent 5 8 2 5" xfId="45683" xr:uid="{00000000-0005-0000-0000-0000BFF40000}"/>
    <cellStyle name="Percent 5 8 2 6" xfId="45684" xr:uid="{00000000-0005-0000-0000-0000C0F40000}"/>
    <cellStyle name="Percent 5 8 3" xfId="45685" xr:uid="{00000000-0005-0000-0000-0000C1F40000}"/>
    <cellStyle name="Percent 5 8 3 2" xfId="62996" xr:uid="{00000000-0005-0000-0000-0000C2F40000}"/>
    <cellStyle name="Percent 5 8 3 3" xfId="62997" xr:uid="{00000000-0005-0000-0000-0000C3F40000}"/>
    <cellStyle name="Percent 5 8 4" xfId="45686" xr:uid="{00000000-0005-0000-0000-0000C4F40000}"/>
    <cellStyle name="Percent 5 8 4 2" xfId="62998" xr:uid="{00000000-0005-0000-0000-0000C5F40000}"/>
    <cellStyle name="Percent 5 8 5" xfId="45687" xr:uid="{00000000-0005-0000-0000-0000C6F40000}"/>
    <cellStyle name="Percent 5 8 6" xfId="45688" xr:uid="{00000000-0005-0000-0000-0000C7F40000}"/>
    <cellStyle name="Percent 5 8 7" xfId="45689" xr:uid="{00000000-0005-0000-0000-0000C8F40000}"/>
    <cellStyle name="Percent 5 9" xfId="45690" xr:uid="{00000000-0005-0000-0000-0000C9F40000}"/>
    <cellStyle name="Percent 5 9 2" xfId="45691" xr:uid="{00000000-0005-0000-0000-0000CAF40000}"/>
    <cellStyle name="Percent 5 9 2 2" xfId="62999" xr:uid="{00000000-0005-0000-0000-0000CBF40000}"/>
    <cellStyle name="Percent 5 9 2 3" xfId="63000" xr:uid="{00000000-0005-0000-0000-0000CCF40000}"/>
    <cellStyle name="Percent 5 9 3" xfId="45692" xr:uid="{00000000-0005-0000-0000-0000CDF40000}"/>
    <cellStyle name="Percent 5 9 3 2" xfId="63001" xr:uid="{00000000-0005-0000-0000-0000CEF40000}"/>
    <cellStyle name="Percent 5 9 4" xfId="45693" xr:uid="{00000000-0005-0000-0000-0000CFF40000}"/>
    <cellStyle name="Percent 5 9 5" xfId="45694" xr:uid="{00000000-0005-0000-0000-0000D0F40000}"/>
    <cellStyle name="Percent 5 9 6" xfId="45695" xr:uid="{00000000-0005-0000-0000-0000D1F40000}"/>
    <cellStyle name="Percent 6" xfId="45696" xr:uid="{00000000-0005-0000-0000-0000D2F40000}"/>
    <cellStyle name="Percent 6 10" xfId="45697" xr:uid="{00000000-0005-0000-0000-0000D3F40000}"/>
    <cellStyle name="Percent 6 11" xfId="45698" xr:uid="{00000000-0005-0000-0000-0000D4F40000}"/>
    <cellStyle name="Percent 6 12" xfId="45699" xr:uid="{00000000-0005-0000-0000-0000D5F40000}"/>
    <cellStyle name="Percent 6 13" xfId="45700" xr:uid="{00000000-0005-0000-0000-0000D6F40000}"/>
    <cellStyle name="Percent 6 14" xfId="45701" xr:uid="{00000000-0005-0000-0000-0000D7F40000}"/>
    <cellStyle name="Percent 6 2" xfId="45702" xr:uid="{00000000-0005-0000-0000-0000D8F40000}"/>
    <cellStyle name="Percent 6 2 10" xfId="45703" xr:uid="{00000000-0005-0000-0000-0000D9F40000}"/>
    <cellStyle name="Percent 6 2 2" xfId="45704" xr:uid="{00000000-0005-0000-0000-0000DAF40000}"/>
    <cellStyle name="Percent 6 2 2 2" xfId="45705" xr:uid="{00000000-0005-0000-0000-0000DBF40000}"/>
    <cellStyle name="Percent 6 2 2 2 2" xfId="45706" xr:uid="{00000000-0005-0000-0000-0000DCF40000}"/>
    <cellStyle name="Percent 6 2 2 2 2 2" xfId="63002" xr:uid="{00000000-0005-0000-0000-0000DDF40000}"/>
    <cellStyle name="Percent 6 2 2 2 2 3" xfId="63003" xr:uid="{00000000-0005-0000-0000-0000DEF40000}"/>
    <cellStyle name="Percent 6 2 2 2 3" xfId="45707" xr:uid="{00000000-0005-0000-0000-0000DFF40000}"/>
    <cellStyle name="Percent 6 2 2 2 3 2" xfId="63004" xr:uid="{00000000-0005-0000-0000-0000E0F40000}"/>
    <cellStyle name="Percent 6 2 2 2 4" xfId="45708" xr:uid="{00000000-0005-0000-0000-0000E1F40000}"/>
    <cellStyle name="Percent 6 2 2 2 5" xfId="45709" xr:uid="{00000000-0005-0000-0000-0000E2F40000}"/>
    <cellStyle name="Percent 6 2 2 2 6" xfId="45710" xr:uid="{00000000-0005-0000-0000-0000E3F40000}"/>
    <cellStyle name="Percent 6 2 2 3" xfId="45711" xr:uid="{00000000-0005-0000-0000-0000E4F40000}"/>
    <cellStyle name="Percent 6 2 2 3 2" xfId="63005" xr:uid="{00000000-0005-0000-0000-0000E5F40000}"/>
    <cellStyle name="Percent 6 2 2 3 3" xfId="63006" xr:uid="{00000000-0005-0000-0000-0000E6F40000}"/>
    <cellStyle name="Percent 6 2 2 4" xfId="45712" xr:uid="{00000000-0005-0000-0000-0000E7F40000}"/>
    <cellStyle name="Percent 6 2 2 4 2" xfId="63007" xr:uid="{00000000-0005-0000-0000-0000E8F40000}"/>
    <cellStyle name="Percent 6 2 2 5" xfId="45713" xr:uid="{00000000-0005-0000-0000-0000E9F40000}"/>
    <cellStyle name="Percent 6 2 2 6" xfId="45714" xr:uid="{00000000-0005-0000-0000-0000EAF40000}"/>
    <cellStyle name="Percent 6 2 2 7" xfId="45715" xr:uid="{00000000-0005-0000-0000-0000EBF40000}"/>
    <cellStyle name="Percent 6 2 3" xfId="45716" xr:uid="{00000000-0005-0000-0000-0000ECF40000}"/>
    <cellStyle name="Percent 6 2 3 2" xfId="45717" xr:uid="{00000000-0005-0000-0000-0000EDF40000}"/>
    <cellStyle name="Percent 6 2 3 2 2" xfId="63008" xr:uid="{00000000-0005-0000-0000-0000EEF40000}"/>
    <cellStyle name="Percent 6 2 3 2 3" xfId="63009" xr:uid="{00000000-0005-0000-0000-0000EFF40000}"/>
    <cellStyle name="Percent 6 2 3 3" xfId="45718" xr:uid="{00000000-0005-0000-0000-0000F0F40000}"/>
    <cellStyle name="Percent 6 2 3 3 2" xfId="63010" xr:uid="{00000000-0005-0000-0000-0000F1F40000}"/>
    <cellStyle name="Percent 6 2 3 4" xfId="45719" xr:uid="{00000000-0005-0000-0000-0000F2F40000}"/>
    <cellStyle name="Percent 6 2 3 5" xfId="45720" xr:uid="{00000000-0005-0000-0000-0000F3F40000}"/>
    <cellStyle name="Percent 6 2 3 6" xfId="45721" xr:uid="{00000000-0005-0000-0000-0000F4F40000}"/>
    <cellStyle name="Percent 6 2 4" xfId="45722" xr:uid="{00000000-0005-0000-0000-0000F5F40000}"/>
    <cellStyle name="Percent 6 2 4 2" xfId="63011" xr:uid="{00000000-0005-0000-0000-0000F6F40000}"/>
    <cellStyle name="Percent 6 2 4 3" xfId="63012" xr:uid="{00000000-0005-0000-0000-0000F7F40000}"/>
    <cellStyle name="Percent 6 2 5" xfId="45723" xr:uid="{00000000-0005-0000-0000-0000F8F40000}"/>
    <cellStyle name="Percent 6 2 5 2" xfId="63013" xr:uid="{00000000-0005-0000-0000-0000F9F40000}"/>
    <cellStyle name="Percent 6 2 6" xfId="45724" xr:uid="{00000000-0005-0000-0000-0000FAF40000}"/>
    <cellStyle name="Percent 6 2 7" xfId="45725" xr:uid="{00000000-0005-0000-0000-0000FBF40000}"/>
    <cellStyle name="Percent 6 2 8" xfId="45726" xr:uid="{00000000-0005-0000-0000-0000FCF40000}"/>
    <cellStyle name="Percent 6 2 9" xfId="45727" xr:uid="{00000000-0005-0000-0000-0000FDF40000}"/>
    <cellStyle name="Percent 6 3" xfId="45728" xr:uid="{00000000-0005-0000-0000-0000FEF40000}"/>
    <cellStyle name="Percent 6 3 2" xfId="45729" xr:uid="{00000000-0005-0000-0000-0000FFF40000}"/>
    <cellStyle name="Percent 6 3 2 2" xfId="45730" xr:uid="{00000000-0005-0000-0000-000000F50000}"/>
    <cellStyle name="Percent 6 3 2 2 2" xfId="45731" xr:uid="{00000000-0005-0000-0000-000001F50000}"/>
    <cellStyle name="Percent 6 3 2 2 2 2" xfId="63014" xr:uid="{00000000-0005-0000-0000-000002F50000}"/>
    <cellStyle name="Percent 6 3 2 2 2 3" xfId="63015" xr:uid="{00000000-0005-0000-0000-000003F50000}"/>
    <cellStyle name="Percent 6 3 2 2 3" xfId="45732" xr:uid="{00000000-0005-0000-0000-000004F50000}"/>
    <cellStyle name="Percent 6 3 2 2 3 2" xfId="63016" xr:uid="{00000000-0005-0000-0000-000005F50000}"/>
    <cellStyle name="Percent 6 3 2 2 4" xfId="45733" xr:uid="{00000000-0005-0000-0000-000006F50000}"/>
    <cellStyle name="Percent 6 3 2 2 5" xfId="45734" xr:uid="{00000000-0005-0000-0000-000007F50000}"/>
    <cellStyle name="Percent 6 3 2 2 6" xfId="45735" xr:uid="{00000000-0005-0000-0000-000008F50000}"/>
    <cellStyle name="Percent 6 3 2 3" xfId="45736" xr:uid="{00000000-0005-0000-0000-000009F50000}"/>
    <cellStyle name="Percent 6 3 2 3 2" xfId="63017" xr:uid="{00000000-0005-0000-0000-00000AF50000}"/>
    <cellStyle name="Percent 6 3 2 3 3" xfId="63018" xr:uid="{00000000-0005-0000-0000-00000BF50000}"/>
    <cellStyle name="Percent 6 3 2 4" xfId="45737" xr:uid="{00000000-0005-0000-0000-00000CF50000}"/>
    <cellStyle name="Percent 6 3 2 4 2" xfId="63019" xr:uid="{00000000-0005-0000-0000-00000DF50000}"/>
    <cellStyle name="Percent 6 3 2 5" xfId="45738" xr:uid="{00000000-0005-0000-0000-00000EF50000}"/>
    <cellStyle name="Percent 6 3 2 6" xfId="45739" xr:uid="{00000000-0005-0000-0000-00000FF50000}"/>
    <cellStyle name="Percent 6 3 2 7" xfId="45740" xr:uid="{00000000-0005-0000-0000-000010F50000}"/>
    <cellStyle name="Percent 6 3 3" xfId="45741" xr:uid="{00000000-0005-0000-0000-000011F50000}"/>
    <cellStyle name="Percent 6 3 3 2" xfId="45742" xr:uid="{00000000-0005-0000-0000-000012F50000}"/>
    <cellStyle name="Percent 6 3 3 2 2" xfId="63020" xr:uid="{00000000-0005-0000-0000-000013F50000}"/>
    <cellStyle name="Percent 6 3 3 2 3" xfId="63021" xr:uid="{00000000-0005-0000-0000-000014F50000}"/>
    <cellStyle name="Percent 6 3 3 3" xfId="45743" xr:uid="{00000000-0005-0000-0000-000015F50000}"/>
    <cellStyle name="Percent 6 3 3 3 2" xfId="63022" xr:uid="{00000000-0005-0000-0000-000016F50000}"/>
    <cellStyle name="Percent 6 3 3 4" xfId="45744" xr:uid="{00000000-0005-0000-0000-000017F50000}"/>
    <cellStyle name="Percent 6 3 3 5" xfId="45745" xr:uid="{00000000-0005-0000-0000-000018F50000}"/>
    <cellStyle name="Percent 6 3 3 6" xfId="45746" xr:uid="{00000000-0005-0000-0000-000019F50000}"/>
    <cellStyle name="Percent 6 3 4" xfId="45747" xr:uid="{00000000-0005-0000-0000-00001AF50000}"/>
    <cellStyle name="Percent 6 3 4 2" xfId="63023" xr:uid="{00000000-0005-0000-0000-00001BF50000}"/>
    <cellStyle name="Percent 6 3 4 3" xfId="63024" xr:uid="{00000000-0005-0000-0000-00001CF50000}"/>
    <cellStyle name="Percent 6 3 5" xfId="45748" xr:uid="{00000000-0005-0000-0000-00001DF50000}"/>
    <cellStyle name="Percent 6 3 5 2" xfId="63025" xr:uid="{00000000-0005-0000-0000-00001EF50000}"/>
    <cellStyle name="Percent 6 3 6" xfId="45749" xr:uid="{00000000-0005-0000-0000-00001FF50000}"/>
    <cellStyle name="Percent 6 3 7" xfId="45750" xr:uid="{00000000-0005-0000-0000-000020F50000}"/>
    <cellStyle name="Percent 6 3 8" xfId="45751" xr:uid="{00000000-0005-0000-0000-000021F50000}"/>
    <cellStyle name="Percent 6 4" xfId="45752" xr:uid="{00000000-0005-0000-0000-000022F50000}"/>
    <cellStyle name="Percent 6 4 2" xfId="45753" xr:uid="{00000000-0005-0000-0000-000023F50000}"/>
    <cellStyle name="Percent 6 4 2 2" xfId="45754" xr:uid="{00000000-0005-0000-0000-000024F50000}"/>
    <cellStyle name="Percent 6 4 2 2 2" xfId="63026" xr:uid="{00000000-0005-0000-0000-000025F50000}"/>
    <cellStyle name="Percent 6 4 2 2 3" xfId="63027" xr:uid="{00000000-0005-0000-0000-000026F50000}"/>
    <cellStyle name="Percent 6 4 2 3" xfId="45755" xr:uid="{00000000-0005-0000-0000-000027F50000}"/>
    <cellStyle name="Percent 6 4 2 3 2" xfId="63028" xr:uid="{00000000-0005-0000-0000-000028F50000}"/>
    <cellStyle name="Percent 6 4 2 4" xfId="45756" xr:uid="{00000000-0005-0000-0000-000029F50000}"/>
    <cellStyle name="Percent 6 4 2 5" xfId="45757" xr:uid="{00000000-0005-0000-0000-00002AF50000}"/>
    <cellStyle name="Percent 6 4 2 6" xfId="45758" xr:uid="{00000000-0005-0000-0000-00002BF50000}"/>
    <cellStyle name="Percent 6 4 3" xfId="45759" xr:uid="{00000000-0005-0000-0000-00002CF50000}"/>
    <cellStyle name="Percent 6 4 3 2" xfId="63029" xr:uid="{00000000-0005-0000-0000-00002DF50000}"/>
    <cellStyle name="Percent 6 4 3 3" xfId="63030" xr:uid="{00000000-0005-0000-0000-00002EF50000}"/>
    <cellStyle name="Percent 6 4 4" xfId="45760" xr:uid="{00000000-0005-0000-0000-00002FF50000}"/>
    <cellStyle name="Percent 6 4 4 2" xfId="63031" xr:uid="{00000000-0005-0000-0000-000030F50000}"/>
    <cellStyle name="Percent 6 4 5" xfId="45761" xr:uid="{00000000-0005-0000-0000-000031F50000}"/>
    <cellStyle name="Percent 6 4 6" xfId="45762" xr:uid="{00000000-0005-0000-0000-000032F50000}"/>
    <cellStyle name="Percent 6 4 7" xfId="45763" xr:uid="{00000000-0005-0000-0000-000033F50000}"/>
    <cellStyle name="Percent 6 5" xfId="45764" xr:uid="{00000000-0005-0000-0000-000034F50000}"/>
    <cellStyle name="Percent 6 5 2" xfId="45765" xr:uid="{00000000-0005-0000-0000-000035F50000}"/>
    <cellStyle name="Percent 6 5 2 2" xfId="63032" xr:uid="{00000000-0005-0000-0000-000036F50000}"/>
    <cellStyle name="Percent 6 5 2 3" xfId="63033" xr:uid="{00000000-0005-0000-0000-000037F50000}"/>
    <cellStyle name="Percent 6 5 3" xfId="45766" xr:uid="{00000000-0005-0000-0000-000038F50000}"/>
    <cellStyle name="Percent 6 5 3 2" xfId="63034" xr:uid="{00000000-0005-0000-0000-000039F50000}"/>
    <cellStyle name="Percent 6 5 4" xfId="45767" xr:uid="{00000000-0005-0000-0000-00003AF50000}"/>
    <cellStyle name="Percent 6 5 5" xfId="45768" xr:uid="{00000000-0005-0000-0000-00003BF50000}"/>
    <cellStyle name="Percent 6 5 6" xfId="45769" xr:uid="{00000000-0005-0000-0000-00003CF50000}"/>
    <cellStyle name="Percent 6 6" xfId="45770" xr:uid="{00000000-0005-0000-0000-00003DF50000}"/>
    <cellStyle name="Percent 6 6 2" xfId="63035" xr:uid="{00000000-0005-0000-0000-00003EF50000}"/>
    <cellStyle name="Percent 6 6 3" xfId="63036" xr:uid="{00000000-0005-0000-0000-00003FF50000}"/>
    <cellStyle name="Percent 6 7" xfId="45771" xr:uid="{00000000-0005-0000-0000-000040F50000}"/>
    <cellStyle name="Percent 6 7 2" xfId="63037" xr:uid="{00000000-0005-0000-0000-000041F50000}"/>
    <cellStyle name="Percent 6 8" xfId="45772" xr:uid="{00000000-0005-0000-0000-000042F50000}"/>
    <cellStyle name="Percent 6 9" xfId="45773" xr:uid="{00000000-0005-0000-0000-000043F50000}"/>
    <cellStyle name="Percent 7" xfId="45774" xr:uid="{00000000-0005-0000-0000-000044F50000}"/>
    <cellStyle name="Percent 7 10" xfId="45775" xr:uid="{00000000-0005-0000-0000-000045F50000}"/>
    <cellStyle name="Percent 7 11" xfId="45776" xr:uid="{00000000-0005-0000-0000-000046F50000}"/>
    <cellStyle name="Percent 7 12" xfId="45777" xr:uid="{00000000-0005-0000-0000-000047F50000}"/>
    <cellStyle name="Percent 7 13" xfId="45778" xr:uid="{00000000-0005-0000-0000-000048F50000}"/>
    <cellStyle name="Percent 7 14" xfId="45779" xr:uid="{00000000-0005-0000-0000-000049F50000}"/>
    <cellStyle name="Percent 7 2" xfId="45780" xr:uid="{00000000-0005-0000-0000-00004AF50000}"/>
    <cellStyle name="Percent 7 2 10" xfId="45781" xr:uid="{00000000-0005-0000-0000-00004BF50000}"/>
    <cellStyle name="Percent 7 2 2" xfId="45782" xr:uid="{00000000-0005-0000-0000-00004CF50000}"/>
    <cellStyle name="Percent 7 2 2 2" xfId="45783" xr:uid="{00000000-0005-0000-0000-00004DF50000}"/>
    <cellStyle name="Percent 7 2 2 2 2" xfId="45784" xr:uid="{00000000-0005-0000-0000-00004EF50000}"/>
    <cellStyle name="Percent 7 2 2 2 2 2" xfId="63038" xr:uid="{00000000-0005-0000-0000-00004FF50000}"/>
    <cellStyle name="Percent 7 2 2 2 2 3" xfId="63039" xr:uid="{00000000-0005-0000-0000-000050F50000}"/>
    <cellStyle name="Percent 7 2 2 2 3" xfId="45785" xr:uid="{00000000-0005-0000-0000-000051F50000}"/>
    <cellStyle name="Percent 7 2 2 2 3 2" xfId="63040" xr:uid="{00000000-0005-0000-0000-000052F50000}"/>
    <cellStyle name="Percent 7 2 2 2 4" xfId="45786" xr:uid="{00000000-0005-0000-0000-000053F50000}"/>
    <cellStyle name="Percent 7 2 2 2 5" xfId="45787" xr:uid="{00000000-0005-0000-0000-000054F50000}"/>
    <cellStyle name="Percent 7 2 2 2 6" xfId="45788" xr:uid="{00000000-0005-0000-0000-000055F50000}"/>
    <cellStyle name="Percent 7 2 2 3" xfId="45789" xr:uid="{00000000-0005-0000-0000-000056F50000}"/>
    <cellStyle name="Percent 7 2 2 3 2" xfId="63041" xr:uid="{00000000-0005-0000-0000-000057F50000}"/>
    <cellStyle name="Percent 7 2 2 3 3" xfId="63042" xr:uid="{00000000-0005-0000-0000-000058F50000}"/>
    <cellStyle name="Percent 7 2 2 4" xfId="45790" xr:uid="{00000000-0005-0000-0000-000059F50000}"/>
    <cellStyle name="Percent 7 2 2 4 2" xfId="63043" xr:uid="{00000000-0005-0000-0000-00005AF50000}"/>
    <cellStyle name="Percent 7 2 2 5" xfId="45791" xr:uid="{00000000-0005-0000-0000-00005BF50000}"/>
    <cellStyle name="Percent 7 2 2 6" xfId="45792" xr:uid="{00000000-0005-0000-0000-00005CF50000}"/>
    <cellStyle name="Percent 7 2 2 7" xfId="45793" xr:uid="{00000000-0005-0000-0000-00005DF50000}"/>
    <cellStyle name="Percent 7 2 3" xfId="45794" xr:uid="{00000000-0005-0000-0000-00005EF50000}"/>
    <cellStyle name="Percent 7 2 3 2" xfId="45795" xr:uid="{00000000-0005-0000-0000-00005FF50000}"/>
    <cellStyle name="Percent 7 2 3 2 2" xfId="63044" xr:uid="{00000000-0005-0000-0000-000060F50000}"/>
    <cellStyle name="Percent 7 2 3 2 3" xfId="63045" xr:uid="{00000000-0005-0000-0000-000061F50000}"/>
    <cellStyle name="Percent 7 2 3 3" xfId="45796" xr:uid="{00000000-0005-0000-0000-000062F50000}"/>
    <cellStyle name="Percent 7 2 3 3 2" xfId="63046" xr:uid="{00000000-0005-0000-0000-000063F50000}"/>
    <cellStyle name="Percent 7 2 3 4" xfId="45797" xr:uid="{00000000-0005-0000-0000-000064F50000}"/>
    <cellStyle name="Percent 7 2 3 5" xfId="45798" xr:uid="{00000000-0005-0000-0000-000065F50000}"/>
    <cellStyle name="Percent 7 2 3 6" xfId="45799" xr:uid="{00000000-0005-0000-0000-000066F50000}"/>
    <cellStyle name="Percent 7 2 4" xfId="45800" xr:uid="{00000000-0005-0000-0000-000067F50000}"/>
    <cellStyle name="Percent 7 2 4 2" xfId="63047" xr:uid="{00000000-0005-0000-0000-000068F50000}"/>
    <cellStyle name="Percent 7 2 4 3" xfId="63048" xr:uid="{00000000-0005-0000-0000-000069F50000}"/>
    <cellStyle name="Percent 7 2 5" xfId="45801" xr:uid="{00000000-0005-0000-0000-00006AF50000}"/>
    <cellStyle name="Percent 7 2 5 2" xfId="63049" xr:uid="{00000000-0005-0000-0000-00006BF50000}"/>
    <cellStyle name="Percent 7 2 6" xfId="45802" xr:uid="{00000000-0005-0000-0000-00006CF50000}"/>
    <cellStyle name="Percent 7 2 7" xfId="45803" xr:uid="{00000000-0005-0000-0000-00006DF50000}"/>
    <cellStyle name="Percent 7 2 8" xfId="45804" xr:uid="{00000000-0005-0000-0000-00006EF50000}"/>
    <cellStyle name="Percent 7 2 9" xfId="45805" xr:uid="{00000000-0005-0000-0000-00006FF50000}"/>
    <cellStyle name="Percent 7 3" xfId="45806" xr:uid="{00000000-0005-0000-0000-000070F50000}"/>
    <cellStyle name="Percent 7 3 2" xfId="45807" xr:uid="{00000000-0005-0000-0000-000071F50000}"/>
    <cellStyle name="Percent 7 3 2 2" xfId="45808" xr:uid="{00000000-0005-0000-0000-000072F50000}"/>
    <cellStyle name="Percent 7 3 2 2 2" xfId="63050" xr:uid="{00000000-0005-0000-0000-000073F50000}"/>
    <cellStyle name="Percent 7 3 2 2 3" xfId="63051" xr:uid="{00000000-0005-0000-0000-000074F50000}"/>
    <cellStyle name="Percent 7 3 2 3" xfId="45809" xr:uid="{00000000-0005-0000-0000-000075F50000}"/>
    <cellStyle name="Percent 7 3 2 3 2" xfId="63052" xr:uid="{00000000-0005-0000-0000-000076F50000}"/>
    <cellStyle name="Percent 7 3 2 4" xfId="45810" xr:uid="{00000000-0005-0000-0000-000077F50000}"/>
    <cellStyle name="Percent 7 3 2 5" xfId="45811" xr:uid="{00000000-0005-0000-0000-000078F50000}"/>
    <cellStyle name="Percent 7 3 2 6" xfId="45812" xr:uid="{00000000-0005-0000-0000-000079F50000}"/>
    <cellStyle name="Percent 7 3 3" xfId="45813" xr:uid="{00000000-0005-0000-0000-00007AF50000}"/>
    <cellStyle name="Percent 7 3 3 2" xfId="63053" xr:uid="{00000000-0005-0000-0000-00007BF50000}"/>
    <cellStyle name="Percent 7 3 3 3" xfId="63054" xr:uid="{00000000-0005-0000-0000-00007CF50000}"/>
    <cellStyle name="Percent 7 3 4" xfId="45814" xr:uid="{00000000-0005-0000-0000-00007DF50000}"/>
    <cellStyle name="Percent 7 3 4 2" xfId="63055" xr:uid="{00000000-0005-0000-0000-00007EF50000}"/>
    <cellStyle name="Percent 7 3 5" xfId="45815" xr:uid="{00000000-0005-0000-0000-00007FF50000}"/>
    <cellStyle name="Percent 7 3 6" xfId="45816" xr:uid="{00000000-0005-0000-0000-000080F50000}"/>
    <cellStyle name="Percent 7 3 7" xfId="45817" xr:uid="{00000000-0005-0000-0000-000081F50000}"/>
    <cellStyle name="Percent 7 4" xfId="45818" xr:uid="{00000000-0005-0000-0000-000082F50000}"/>
    <cellStyle name="Percent 7 4 2" xfId="45819" xr:uid="{00000000-0005-0000-0000-000083F50000}"/>
    <cellStyle name="Percent 7 4 2 2" xfId="63056" xr:uid="{00000000-0005-0000-0000-000084F50000}"/>
    <cellStyle name="Percent 7 4 2 3" xfId="63057" xr:uid="{00000000-0005-0000-0000-000085F50000}"/>
    <cellStyle name="Percent 7 4 3" xfId="45820" xr:uid="{00000000-0005-0000-0000-000086F50000}"/>
    <cellStyle name="Percent 7 4 3 2" xfId="63058" xr:uid="{00000000-0005-0000-0000-000087F50000}"/>
    <cellStyle name="Percent 7 4 4" xfId="45821" xr:uid="{00000000-0005-0000-0000-000088F50000}"/>
    <cellStyle name="Percent 7 4 5" xfId="45822" xr:uid="{00000000-0005-0000-0000-000089F50000}"/>
    <cellStyle name="Percent 7 4 6" xfId="45823" xr:uid="{00000000-0005-0000-0000-00008AF50000}"/>
    <cellStyle name="Percent 7 5" xfId="45824" xr:uid="{00000000-0005-0000-0000-00008BF50000}"/>
    <cellStyle name="Percent 7 5 2" xfId="63059" xr:uid="{00000000-0005-0000-0000-00008CF50000}"/>
    <cellStyle name="Percent 7 5 3" xfId="63060" xr:uid="{00000000-0005-0000-0000-00008DF50000}"/>
    <cellStyle name="Percent 7 6" xfId="45825" xr:uid="{00000000-0005-0000-0000-00008EF50000}"/>
    <cellStyle name="Percent 7 6 2" xfId="63061" xr:uid="{00000000-0005-0000-0000-00008FF50000}"/>
    <cellStyle name="Percent 7 7" xfId="45826" xr:uid="{00000000-0005-0000-0000-000090F50000}"/>
    <cellStyle name="Percent 7 8" xfId="45827" xr:uid="{00000000-0005-0000-0000-000091F50000}"/>
    <cellStyle name="Percent 7 9" xfId="45828" xr:uid="{00000000-0005-0000-0000-000092F50000}"/>
    <cellStyle name="Percent 8" xfId="45829" xr:uid="{00000000-0005-0000-0000-000093F50000}"/>
    <cellStyle name="Percent 8 2" xfId="45830" xr:uid="{00000000-0005-0000-0000-000094F50000}"/>
    <cellStyle name="Percent 8 2 2" xfId="45831" xr:uid="{00000000-0005-0000-0000-000095F50000}"/>
    <cellStyle name="Percent 8 2 2 2" xfId="45832" xr:uid="{00000000-0005-0000-0000-000096F50000}"/>
    <cellStyle name="Percent 8 2 2 2 2" xfId="63062" xr:uid="{00000000-0005-0000-0000-000097F50000}"/>
    <cellStyle name="Percent 8 2 2 2 3" xfId="63063" xr:uid="{00000000-0005-0000-0000-000098F50000}"/>
    <cellStyle name="Percent 8 2 2 3" xfId="45833" xr:uid="{00000000-0005-0000-0000-000099F50000}"/>
    <cellStyle name="Percent 8 2 2 3 2" xfId="63064" xr:uid="{00000000-0005-0000-0000-00009AF50000}"/>
    <cellStyle name="Percent 8 2 2 4" xfId="45834" xr:uid="{00000000-0005-0000-0000-00009BF50000}"/>
    <cellStyle name="Percent 8 2 2 5" xfId="45835" xr:uid="{00000000-0005-0000-0000-00009CF50000}"/>
    <cellStyle name="Percent 8 2 2 6" xfId="45836" xr:uid="{00000000-0005-0000-0000-00009DF50000}"/>
    <cellStyle name="Percent 8 2 3" xfId="45837" xr:uid="{00000000-0005-0000-0000-00009EF50000}"/>
    <cellStyle name="Percent 8 2 3 2" xfId="63065" xr:uid="{00000000-0005-0000-0000-00009FF50000}"/>
    <cellStyle name="Percent 8 2 3 3" xfId="63066" xr:uid="{00000000-0005-0000-0000-0000A0F50000}"/>
    <cellStyle name="Percent 8 2 4" xfId="45838" xr:uid="{00000000-0005-0000-0000-0000A1F50000}"/>
    <cellStyle name="Percent 8 2 4 2" xfId="63067" xr:uid="{00000000-0005-0000-0000-0000A2F50000}"/>
    <cellStyle name="Percent 8 2 5" xfId="45839" xr:uid="{00000000-0005-0000-0000-0000A3F50000}"/>
    <cellStyle name="Percent 8 2 6" xfId="45840" xr:uid="{00000000-0005-0000-0000-0000A4F50000}"/>
    <cellStyle name="Percent 8 2 7" xfId="45841" xr:uid="{00000000-0005-0000-0000-0000A5F50000}"/>
    <cellStyle name="Percent 8 2 8" xfId="45842" xr:uid="{00000000-0005-0000-0000-0000A6F50000}"/>
    <cellStyle name="Percent 8 3" xfId="45843" xr:uid="{00000000-0005-0000-0000-0000A7F50000}"/>
    <cellStyle name="Percent 8 3 2" xfId="45844" xr:uid="{00000000-0005-0000-0000-0000A8F50000}"/>
    <cellStyle name="Percent 8 3 2 2" xfId="63068" xr:uid="{00000000-0005-0000-0000-0000A9F50000}"/>
    <cellStyle name="Percent 8 3 2 3" xfId="63069" xr:uid="{00000000-0005-0000-0000-0000AAF50000}"/>
    <cellStyle name="Percent 8 3 3" xfId="45845" xr:uid="{00000000-0005-0000-0000-0000ABF50000}"/>
    <cellStyle name="Percent 8 3 3 2" xfId="63070" xr:uid="{00000000-0005-0000-0000-0000ACF50000}"/>
    <cellStyle name="Percent 8 3 4" xfId="45846" xr:uid="{00000000-0005-0000-0000-0000ADF50000}"/>
    <cellStyle name="Percent 8 3 5" xfId="45847" xr:uid="{00000000-0005-0000-0000-0000AEF50000}"/>
    <cellStyle name="Percent 8 3 6" xfId="45848" xr:uid="{00000000-0005-0000-0000-0000AFF50000}"/>
    <cellStyle name="Percent 8 4" xfId="45849" xr:uid="{00000000-0005-0000-0000-0000B0F50000}"/>
    <cellStyle name="Percent 8 4 2" xfId="63071" xr:uid="{00000000-0005-0000-0000-0000B1F50000}"/>
    <cellStyle name="Percent 8 4 3" xfId="63072" xr:uid="{00000000-0005-0000-0000-0000B2F50000}"/>
    <cellStyle name="Percent 8 5" xfId="45850" xr:uid="{00000000-0005-0000-0000-0000B3F50000}"/>
    <cellStyle name="Percent 8 5 2" xfId="63073" xr:uid="{00000000-0005-0000-0000-0000B4F50000}"/>
    <cellStyle name="Percent 8 6" xfId="45851" xr:uid="{00000000-0005-0000-0000-0000B5F50000}"/>
    <cellStyle name="Percent 8 7" xfId="45852" xr:uid="{00000000-0005-0000-0000-0000B6F50000}"/>
    <cellStyle name="Percent 8 8" xfId="45853" xr:uid="{00000000-0005-0000-0000-0000B7F50000}"/>
    <cellStyle name="Percent 8 9" xfId="45854" xr:uid="{00000000-0005-0000-0000-0000B8F50000}"/>
    <cellStyle name="Percent 9" xfId="45855" xr:uid="{00000000-0005-0000-0000-0000B9F50000}"/>
    <cellStyle name="Percent 9 2" xfId="45856" xr:uid="{00000000-0005-0000-0000-0000BAF50000}"/>
    <cellStyle name="Percent 9 2 2" xfId="45857" xr:uid="{00000000-0005-0000-0000-0000BBF50000}"/>
    <cellStyle name="Percent 9 2 3" xfId="63074" xr:uid="{00000000-0005-0000-0000-0000BCF50000}"/>
    <cellStyle name="Percent 9 3" xfId="45858" xr:uid="{00000000-0005-0000-0000-0000BDF50000}"/>
    <cellStyle name="Percent 9 3 2" xfId="63075" xr:uid="{00000000-0005-0000-0000-0000BEF50000}"/>
    <cellStyle name="Percent 9 4" xfId="45859" xr:uid="{00000000-0005-0000-0000-0000BFF50000}"/>
    <cellStyle name="Percent 9 5" xfId="45860" xr:uid="{00000000-0005-0000-0000-0000C0F50000}"/>
    <cellStyle name="Percent 9 6" xfId="45861" xr:uid="{00000000-0005-0000-0000-0000C1F50000}"/>
    <cellStyle name="Percent 9 7" xfId="45862" xr:uid="{00000000-0005-0000-0000-0000C2F50000}"/>
    <cellStyle name="RedBold" xfId="45863" xr:uid="{00000000-0005-0000-0000-0000C3F50000}"/>
    <cellStyle name="RedItalic" xfId="45864" xr:uid="{00000000-0005-0000-0000-0000C4F50000}"/>
    <cellStyle name="Title 2" xfId="45865" xr:uid="{00000000-0005-0000-0000-0000C5F50000}"/>
    <cellStyle name="Title 2 2" xfId="45866" xr:uid="{00000000-0005-0000-0000-0000C6F50000}"/>
    <cellStyle name="Title 2 3" xfId="45867" xr:uid="{00000000-0005-0000-0000-0000C7F50000}"/>
    <cellStyle name="Title 3" xfId="45868" xr:uid="{00000000-0005-0000-0000-0000C8F50000}"/>
    <cellStyle name="Total 2" xfId="45869" xr:uid="{00000000-0005-0000-0000-0000C9F50000}"/>
    <cellStyle name="Total 2 2" xfId="45870" xr:uid="{00000000-0005-0000-0000-0000CAF50000}"/>
    <cellStyle name="Total 2 2 2" xfId="45871" xr:uid="{00000000-0005-0000-0000-0000CBF50000}"/>
    <cellStyle name="Total 2 2 2 10" xfId="45872" xr:uid="{00000000-0005-0000-0000-0000CCF50000}"/>
    <cellStyle name="Total 2 2 2 2" xfId="45873" xr:uid="{00000000-0005-0000-0000-0000CDF50000}"/>
    <cellStyle name="Total 2 2 2 2 2" xfId="45874" xr:uid="{00000000-0005-0000-0000-0000CEF50000}"/>
    <cellStyle name="Total 2 2 2 2 3" xfId="45875" xr:uid="{00000000-0005-0000-0000-0000CFF50000}"/>
    <cellStyle name="Total 2 2 2 3" xfId="45876" xr:uid="{00000000-0005-0000-0000-0000D0F50000}"/>
    <cellStyle name="Total 2 2 2 4" xfId="45877" xr:uid="{00000000-0005-0000-0000-0000D1F50000}"/>
    <cellStyle name="Total 2 2 2 5" xfId="45878" xr:uid="{00000000-0005-0000-0000-0000D2F50000}"/>
    <cellStyle name="Total 2 2 2 6" xfId="45879" xr:uid="{00000000-0005-0000-0000-0000D3F50000}"/>
    <cellStyle name="Total 2 2 2 7" xfId="45880" xr:uid="{00000000-0005-0000-0000-0000D4F50000}"/>
    <cellStyle name="Total 2 2 2 8" xfId="45881" xr:uid="{00000000-0005-0000-0000-0000D5F50000}"/>
    <cellStyle name="Total 2 2 2 9" xfId="45882" xr:uid="{00000000-0005-0000-0000-0000D6F50000}"/>
    <cellStyle name="Total 2 2 3" xfId="45883" xr:uid="{00000000-0005-0000-0000-0000D7F50000}"/>
    <cellStyle name="Total 2 2 3 10" xfId="45884" xr:uid="{00000000-0005-0000-0000-0000D8F50000}"/>
    <cellStyle name="Total 2 2 3 2" xfId="45885" xr:uid="{00000000-0005-0000-0000-0000D9F50000}"/>
    <cellStyle name="Total 2 2 3 2 2" xfId="45886" xr:uid="{00000000-0005-0000-0000-0000DAF50000}"/>
    <cellStyle name="Total 2 2 3 2 3" xfId="45887" xr:uid="{00000000-0005-0000-0000-0000DBF50000}"/>
    <cellStyle name="Total 2 2 3 3" xfId="45888" xr:uid="{00000000-0005-0000-0000-0000DCF50000}"/>
    <cellStyle name="Total 2 2 3 4" xfId="45889" xr:uid="{00000000-0005-0000-0000-0000DDF50000}"/>
    <cellStyle name="Total 2 2 3 5" xfId="45890" xr:uid="{00000000-0005-0000-0000-0000DEF50000}"/>
    <cellStyle name="Total 2 2 3 6" xfId="45891" xr:uid="{00000000-0005-0000-0000-0000DFF50000}"/>
    <cellStyle name="Total 2 2 3 7" xfId="45892" xr:uid="{00000000-0005-0000-0000-0000E0F50000}"/>
    <cellStyle name="Total 2 2 3 8" xfId="45893" xr:uid="{00000000-0005-0000-0000-0000E1F50000}"/>
    <cellStyle name="Total 2 2 3 9" xfId="45894" xr:uid="{00000000-0005-0000-0000-0000E2F50000}"/>
    <cellStyle name="Total 2 2 4" xfId="45895" xr:uid="{00000000-0005-0000-0000-0000E3F50000}"/>
    <cellStyle name="Total 2 2 4 10" xfId="45896" xr:uid="{00000000-0005-0000-0000-0000E4F50000}"/>
    <cellStyle name="Total 2 2 4 2" xfId="45897" xr:uid="{00000000-0005-0000-0000-0000E5F50000}"/>
    <cellStyle name="Total 2 2 4 3" xfId="45898" xr:uid="{00000000-0005-0000-0000-0000E6F50000}"/>
    <cellStyle name="Total 2 2 4 4" xfId="45899" xr:uid="{00000000-0005-0000-0000-0000E7F50000}"/>
    <cellStyle name="Total 2 2 4 5" xfId="45900" xr:uid="{00000000-0005-0000-0000-0000E8F50000}"/>
    <cellStyle name="Total 2 2 4 6" xfId="45901" xr:uid="{00000000-0005-0000-0000-0000E9F50000}"/>
    <cellStyle name="Total 2 2 4 7" xfId="45902" xr:uid="{00000000-0005-0000-0000-0000EAF50000}"/>
    <cellStyle name="Total 2 2 4 8" xfId="45903" xr:uid="{00000000-0005-0000-0000-0000EBF50000}"/>
    <cellStyle name="Total 2 2 4 9" xfId="45904" xr:uid="{00000000-0005-0000-0000-0000ECF50000}"/>
    <cellStyle name="Total 2 2 5" xfId="45905" xr:uid="{00000000-0005-0000-0000-0000EDF50000}"/>
    <cellStyle name="Total 2 2 5 10" xfId="45906" xr:uid="{00000000-0005-0000-0000-0000EEF50000}"/>
    <cellStyle name="Total 2 2 5 2" xfId="45907" xr:uid="{00000000-0005-0000-0000-0000EFF50000}"/>
    <cellStyle name="Total 2 2 5 3" xfId="45908" xr:uid="{00000000-0005-0000-0000-0000F0F50000}"/>
    <cellStyle name="Total 2 2 5 4" xfId="45909" xr:uid="{00000000-0005-0000-0000-0000F1F50000}"/>
    <cellStyle name="Total 2 2 5 5" xfId="45910" xr:uid="{00000000-0005-0000-0000-0000F2F50000}"/>
    <cellStyle name="Total 2 2 5 6" xfId="45911" xr:uid="{00000000-0005-0000-0000-0000F3F50000}"/>
    <cellStyle name="Total 2 2 5 7" xfId="45912" xr:uid="{00000000-0005-0000-0000-0000F4F50000}"/>
    <cellStyle name="Total 2 2 5 8" xfId="45913" xr:uid="{00000000-0005-0000-0000-0000F5F50000}"/>
    <cellStyle name="Total 2 2 5 9" xfId="45914" xr:uid="{00000000-0005-0000-0000-0000F6F50000}"/>
    <cellStyle name="Total 2 2 6" xfId="45915" xr:uid="{00000000-0005-0000-0000-0000F7F50000}"/>
    <cellStyle name="Total 2 2 6 10" xfId="45916" xr:uid="{00000000-0005-0000-0000-0000F8F50000}"/>
    <cellStyle name="Total 2 2 6 2" xfId="45917" xr:uid="{00000000-0005-0000-0000-0000F9F50000}"/>
    <cellStyle name="Total 2 2 6 3" xfId="45918" xr:uid="{00000000-0005-0000-0000-0000FAF50000}"/>
    <cellStyle name="Total 2 2 6 4" xfId="45919" xr:uid="{00000000-0005-0000-0000-0000FBF50000}"/>
    <cellStyle name="Total 2 2 6 5" xfId="45920" xr:uid="{00000000-0005-0000-0000-0000FCF50000}"/>
    <cellStyle name="Total 2 2 6 6" xfId="45921" xr:uid="{00000000-0005-0000-0000-0000FDF50000}"/>
    <cellStyle name="Total 2 2 6 7" xfId="45922" xr:uid="{00000000-0005-0000-0000-0000FEF50000}"/>
    <cellStyle name="Total 2 2 6 8" xfId="45923" xr:uid="{00000000-0005-0000-0000-0000FFF50000}"/>
    <cellStyle name="Total 2 2 6 9" xfId="45924" xr:uid="{00000000-0005-0000-0000-000000F60000}"/>
    <cellStyle name="Total 2 2 7" xfId="45925" xr:uid="{00000000-0005-0000-0000-000001F60000}"/>
    <cellStyle name="Total 2 2 7 10" xfId="45926" xr:uid="{00000000-0005-0000-0000-000002F60000}"/>
    <cellStyle name="Total 2 2 7 2" xfId="45927" xr:uid="{00000000-0005-0000-0000-000003F60000}"/>
    <cellStyle name="Total 2 2 7 3" xfId="45928" xr:uid="{00000000-0005-0000-0000-000004F60000}"/>
    <cellStyle name="Total 2 2 7 4" xfId="45929" xr:uid="{00000000-0005-0000-0000-000005F60000}"/>
    <cellStyle name="Total 2 2 7 5" xfId="45930" xr:uid="{00000000-0005-0000-0000-000006F60000}"/>
    <cellStyle name="Total 2 2 7 6" xfId="45931" xr:uid="{00000000-0005-0000-0000-000007F60000}"/>
    <cellStyle name="Total 2 2 7 7" xfId="45932" xr:uid="{00000000-0005-0000-0000-000008F60000}"/>
    <cellStyle name="Total 2 2 7 8" xfId="45933" xr:uid="{00000000-0005-0000-0000-000009F60000}"/>
    <cellStyle name="Total 2 2 7 9" xfId="45934" xr:uid="{00000000-0005-0000-0000-00000AF60000}"/>
    <cellStyle name="Total 2 2 8" xfId="45935" xr:uid="{00000000-0005-0000-0000-00000BF60000}"/>
    <cellStyle name="Total 2 2 9" xfId="45936" xr:uid="{00000000-0005-0000-0000-00000CF60000}"/>
    <cellStyle name="Total 2 3" xfId="45937" xr:uid="{00000000-0005-0000-0000-00000DF60000}"/>
    <cellStyle name="Total 2 3 10" xfId="45938" xr:uid="{00000000-0005-0000-0000-00000EF60000}"/>
    <cellStyle name="Total 2 3 2" xfId="45939" xr:uid="{00000000-0005-0000-0000-00000FF60000}"/>
    <cellStyle name="Total 2 3 2 2" xfId="45940" xr:uid="{00000000-0005-0000-0000-000010F60000}"/>
    <cellStyle name="Total 2 3 2 3" xfId="45941" xr:uid="{00000000-0005-0000-0000-000011F60000}"/>
    <cellStyle name="Total 2 3 3" xfId="45942" xr:uid="{00000000-0005-0000-0000-000012F60000}"/>
    <cellStyle name="Total 2 3 4" xfId="45943" xr:uid="{00000000-0005-0000-0000-000013F60000}"/>
    <cellStyle name="Total 2 3 5" xfId="45944" xr:uid="{00000000-0005-0000-0000-000014F60000}"/>
    <cellStyle name="Total 2 3 6" xfId="45945" xr:uid="{00000000-0005-0000-0000-000015F60000}"/>
    <cellStyle name="Total 2 3 7" xfId="45946" xr:uid="{00000000-0005-0000-0000-000016F60000}"/>
    <cellStyle name="Total 2 3 8" xfId="45947" xr:uid="{00000000-0005-0000-0000-000017F60000}"/>
    <cellStyle name="Total 2 3 9" xfId="45948" xr:uid="{00000000-0005-0000-0000-000018F60000}"/>
    <cellStyle name="Total 2 4" xfId="45949" xr:uid="{00000000-0005-0000-0000-000019F60000}"/>
    <cellStyle name="Total 2 4 10" xfId="45950" xr:uid="{00000000-0005-0000-0000-00001AF60000}"/>
    <cellStyle name="Total 2 4 2" xfId="45951" xr:uid="{00000000-0005-0000-0000-00001BF60000}"/>
    <cellStyle name="Total 2 4 2 2" xfId="45952" xr:uid="{00000000-0005-0000-0000-00001CF60000}"/>
    <cellStyle name="Total 2 4 2 3" xfId="45953" xr:uid="{00000000-0005-0000-0000-00001DF60000}"/>
    <cellStyle name="Total 2 4 3" xfId="45954" xr:uid="{00000000-0005-0000-0000-00001EF60000}"/>
    <cellStyle name="Total 2 4 4" xfId="45955" xr:uid="{00000000-0005-0000-0000-00001FF60000}"/>
    <cellStyle name="Total 2 4 5" xfId="45956" xr:uid="{00000000-0005-0000-0000-000020F60000}"/>
    <cellStyle name="Total 2 4 6" xfId="45957" xr:uid="{00000000-0005-0000-0000-000021F60000}"/>
    <cellStyle name="Total 2 4 7" xfId="45958" xr:uid="{00000000-0005-0000-0000-000022F60000}"/>
    <cellStyle name="Total 2 4 8" xfId="45959" xr:uid="{00000000-0005-0000-0000-000023F60000}"/>
    <cellStyle name="Total 2 4 9" xfId="45960" xr:uid="{00000000-0005-0000-0000-000024F60000}"/>
    <cellStyle name="Total 2 5" xfId="45961" xr:uid="{00000000-0005-0000-0000-000025F60000}"/>
    <cellStyle name="Total 2 5 10" xfId="45962" xr:uid="{00000000-0005-0000-0000-000026F60000}"/>
    <cellStyle name="Total 2 5 2" xfId="45963" xr:uid="{00000000-0005-0000-0000-000027F60000}"/>
    <cellStyle name="Total 2 5 2 2" xfId="45964" xr:uid="{00000000-0005-0000-0000-000028F60000}"/>
    <cellStyle name="Total 2 5 2 3" xfId="45965" xr:uid="{00000000-0005-0000-0000-000029F60000}"/>
    <cellStyle name="Total 2 5 3" xfId="45966" xr:uid="{00000000-0005-0000-0000-00002AF60000}"/>
    <cellStyle name="Total 2 5 3 2" xfId="45967" xr:uid="{00000000-0005-0000-0000-00002BF60000}"/>
    <cellStyle name="Total 2 5 4" xfId="45968" xr:uid="{00000000-0005-0000-0000-00002CF60000}"/>
    <cellStyle name="Total 2 5 5" xfId="45969" xr:uid="{00000000-0005-0000-0000-00002DF60000}"/>
    <cellStyle name="Total 2 5 6" xfId="45970" xr:uid="{00000000-0005-0000-0000-00002EF60000}"/>
    <cellStyle name="Total 2 5 7" xfId="45971" xr:uid="{00000000-0005-0000-0000-00002FF60000}"/>
    <cellStyle name="Total 2 5 8" xfId="45972" xr:uid="{00000000-0005-0000-0000-000030F60000}"/>
    <cellStyle name="Total 2 5 9" xfId="45973" xr:uid="{00000000-0005-0000-0000-000031F60000}"/>
    <cellStyle name="Total 2 6" xfId="45974" xr:uid="{00000000-0005-0000-0000-000032F60000}"/>
    <cellStyle name="Total 2 6 10" xfId="45975" xr:uid="{00000000-0005-0000-0000-000033F60000}"/>
    <cellStyle name="Total 2 6 11" xfId="45976" xr:uid="{00000000-0005-0000-0000-000034F60000}"/>
    <cellStyle name="Total 2 6 2" xfId="45977" xr:uid="{00000000-0005-0000-0000-000035F60000}"/>
    <cellStyle name="Total 2 6 3" xfId="45978" xr:uid="{00000000-0005-0000-0000-000036F60000}"/>
    <cellStyle name="Total 2 6 4" xfId="45979" xr:uid="{00000000-0005-0000-0000-000037F60000}"/>
    <cellStyle name="Total 2 6 5" xfId="45980" xr:uid="{00000000-0005-0000-0000-000038F60000}"/>
    <cellStyle name="Total 2 6 6" xfId="45981" xr:uid="{00000000-0005-0000-0000-000039F60000}"/>
    <cellStyle name="Total 2 6 7" xfId="45982" xr:uid="{00000000-0005-0000-0000-00003AF60000}"/>
    <cellStyle name="Total 2 6 8" xfId="45983" xr:uid="{00000000-0005-0000-0000-00003BF60000}"/>
    <cellStyle name="Total 2 6 9" xfId="45984" xr:uid="{00000000-0005-0000-0000-00003CF60000}"/>
    <cellStyle name="Total 2 7" xfId="45985" xr:uid="{00000000-0005-0000-0000-00003DF60000}"/>
    <cellStyle name="Total 2 7 10" xfId="45986" xr:uid="{00000000-0005-0000-0000-00003EF60000}"/>
    <cellStyle name="Total 2 7 11" xfId="45987" xr:uid="{00000000-0005-0000-0000-00003FF60000}"/>
    <cellStyle name="Total 2 7 2" xfId="45988" xr:uid="{00000000-0005-0000-0000-000040F60000}"/>
    <cellStyle name="Total 2 7 3" xfId="45989" xr:uid="{00000000-0005-0000-0000-000041F60000}"/>
    <cellStyle name="Total 2 7 4" xfId="45990" xr:uid="{00000000-0005-0000-0000-000042F60000}"/>
    <cellStyle name="Total 2 7 5" xfId="45991" xr:uid="{00000000-0005-0000-0000-000043F60000}"/>
    <cellStyle name="Total 2 7 6" xfId="45992" xr:uid="{00000000-0005-0000-0000-000044F60000}"/>
    <cellStyle name="Total 2 7 7" xfId="45993" xr:uid="{00000000-0005-0000-0000-000045F60000}"/>
    <cellStyle name="Total 2 7 8" xfId="45994" xr:uid="{00000000-0005-0000-0000-000046F60000}"/>
    <cellStyle name="Total 2 7 9" xfId="45995" xr:uid="{00000000-0005-0000-0000-000047F60000}"/>
    <cellStyle name="Total 2 8" xfId="45996" xr:uid="{00000000-0005-0000-0000-000048F60000}"/>
    <cellStyle name="Total 2 8 10" xfId="45997" xr:uid="{00000000-0005-0000-0000-000049F60000}"/>
    <cellStyle name="Total 2 8 2" xfId="45998" xr:uid="{00000000-0005-0000-0000-00004AF60000}"/>
    <cellStyle name="Total 2 8 3" xfId="45999" xr:uid="{00000000-0005-0000-0000-00004BF60000}"/>
    <cellStyle name="Total 2 8 4" xfId="46000" xr:uid="{00000000-0005-0000-0000-00004CF60000}"/>
    <cellStyle name="Total 2 8 5" xfId="46001" xr:uid="{00000000-0005-0000-0000-00004DF60000}"/>
    <cellStyle name="Total 2 8 6" xfId="46002" xr:uid="{00000000-0005-0000-0000-00004EF60000}"/>
    <cellStyle name="Total 2 8 7" xfId="46003" xr:uid="{00000000-0005-0000-0000-00004FF60000}"/>
    <cellStyle name="Total 2 8 8" xfId="46004" xr:uid="{00000000-0005-0000-0000-000050F60000}"/>
    <cellStyle name="Total 2 8 9" xfId="46005" xr:uid="{00000000-0005-0000-0000-000051F60000}"/>
    <cellStyle name="Total 3" xfId="46006" xr:uid="{00000000-0005-0000-0000-000052F60000}"/>
    <cellStyle name="Total 3 2" xfId="46007" xr:uid="{00000000-0005-0000-0000-000053F60000}"/>
    <cellStyle name="Total 3 2 2" xfId="46008" xr:uid="{00000000-0005-0000-0000-000054F60000}"/>
    <cellStyle name="Total 3 3" xfId="46009" xr:uid="{00000000-0005-0000-0000-000055F60000}"/>
    <cellStyle name="Total 3 3 2" xfId="46010" xr:uid="{00000000-0005-0000-0000-000056F60000}"/>
    <cellStyle name="Total 3 4" xfId="46011" xr:uid="{00000000-0005-0000-0000-000057F60000}"/>
    <cellStyle name="Total 3 5" xfId="46012" xr:uid="{00000000-0005-0000-0000-000058F60000}"/>
    <cellStyle name="Total 3 6" xfId="46013" xr:uid="{00000000-0005-0000-0000-000059F60000}"/>
    <cellStyle name="Total 4" xfId="46014" xr:uid="{00000000-0005-0000-0000-00005AF60000}"/>
    <cellStyle name="Total 4 2" xfId="46015" xr:uid="{00000000-0005-0000-0000-00005BF60000}"/>
    <cellStyle name="Total 5" xfId="46016" xr:uid="{00000000-0005-0000-0000-00005CF60000}"/>
    <cellStyle name="Totals" xfId="46017" xr:uid="{00000000-0005-0000-0000-00005DF60000}"/>
    <cellStyle name="Warning Text 2" xfId="46018" xr:uid="{00000000-0005-0000-0000-00005EF60000}"/>
    <cellStyle name="Warning Text 2 2" xfId="46019" xr:uid="{00000000-0005-0000-0000-00005FF60000}"/>
    <cellStyle name="Warning Text 2 2 2" xfId="46020" xr:uid="{00000000-0005-0000-0000-000060F60000}"/>
    <cellStyle name="Warning Text 2 3" xfId="46021" xr:uid="{00000000-0005-0000-0000-000061F60000}"/>
    <cellStyle name="Warning Text 2 4" xfId="46022" xr:uid="{00000000-0005-0000-0000-000062F60000}"/>
    <cellStyle name="Warning Text 3" xfId="46023" xr:uid="{00000000-0005-0000-0000-000063F60000}"/>
    <cellStyle name="Warning Text 4" xfId="46024" xr:uid="{00000000-0005-0000-0000-000064F60000}"/>
  </cellStyles>
  <dxfs count="54">
    <dxf>
      <numFmt numFmtId="30" formatCode="@"/>
      <alignment horizontal="left" vertical="bottom" textRotation="0" wrapText="0" indent="0" justifyLastLine="0" shrinkToFit="0" readingOrder="0"/>
    </dxf>
    <dxf>
      <numFmt numFmtId="30" formatCode="@"/>
      <alignment horizontal="left" vertical="bottom" textRotation="0" wrapText="0" indent="0" justifyLastLine="0" shrinkToFit="0" readingOrder="0"/>
    </dxf>
    <dxf>
      <numFmt numFmtId="30" formatCode="@"/>
      <alignment horizontal="left" vertical="bottom" textRotation="0" wrapText="0" indent="0" justifyLastLine="0" shrinkToFit="0" readingOrder="0"/>
    </dxf>
    <dxf>
      <numFmt numFmtId="30" formatCode="@"/>
      <alignment horizontal="left" vertical="bottom" textRotation="0" wrapText="0" indent="0" justifyLastLine="0" shrinkToFit="0" readingOrder="0"/>
    </dxf>
    <dxf>
      <numFmt numFmtId="30" formatCode="@"/>
      <alignment horizontal="left" vertical="bottom" textRotation="0" wrapText="0" indent="0" justifyLastLine="0" shrinkToFit="0" readingOrder="0"/>
    </dxf>
    <dxf>
      <numFmt numFmtId="30" formatCode="@"/>
      <alignment horizontal="left" vertical="bottom" textRotation="0" wrapText="0" indent="0" justifyLastLine="0" shrinkToFit="0" readingOrder="0"/>
    </dxf>
    <dxf>
      <numFmt numFmtId="30" formatCode="@"/>
      <alignment horizontal="left" vertical="bottom" textRotation="0" wrapText="0" indent="0" justifyLastLine="0" shrinkToFit="0" readingOrder="0"/>
    </dxf>
    <dxf>
      <numFmt numFmtId="30" formatCode="@"/>
      <alignment horizontal="left" vertical="bottom" textRotation="0" wrapText="0" indent="0" justifyLastLine="0" shrinkToFit="0" readingOrder="0"/>
    </dxf>
    <dxf>
      <numFmt numFmtId="30" formatCode="@"/>
      <alignment horizontal="left" vertical="bottom" textRotation="0" wrapText="0" indent="0" justifyLastLine="0" shrinkToFit="0" readingOrder="0"/>
    </dxf>
    <dxf>
      <numFmt numFmtId="30" formatCode="@"/>
      <alignment horizontal="left" vertical="bottom" textRotation="0" wrapText="0" indent="0" justifyLastLine="0" shrinkToFit="0" readingOrder="0"/>
    </dxf>
    <dxf>
      <numFmt numFmtId="30" formatCode="@"/>
      <alignment horizontal="left" vertical="bottom" textRotation="0" wrapText="0" indent="0" justifyLastLine="0" shrinkToFit="0" readingOrder="0"/>
    </dxf>
    <dxf>
      <numFmt numFmtId="30" formatCode="@"/>
      <alignment horizontal="left" vertical="bottom" textRotation="0" wrapText="0" indent="0" justifyLastLine="0" shrinkToFit="0" readingOrder="0"/>
    </dxf>
    <dxf>
      <fill>
        <patternFill patternType="mediumGray"/>
      </fill>
    </dxf>
    <dxf>
      <fill>
        <patternFill patternType="mediumGray"/>
      </fill>
    </dxf>
    <dxf>
      <fill>
        <patternFill patternType="mediumGray"/>
      </fill>
    </dxf>
    <dxf>
      <fill>
        <patternFill patternType="mediumGray"/>
      </fill>
    </dxf>
    <dxf>
      <fill>
        <patternFill patternType="mediumGray"/>
      </fill>
    </dxf>
    <dxf>
      <fill>
        <patternFill patternType="mediumGray"/>
      </fill>
    </dxf>
    <dxf>
      <fill>
        <patternFill patternType="mediumGray"/>
      </fill>
    </dxf>
    <dxf>
      <fill>
        <patternFill>
          <bgColor theme="1"/>
        </patternFill>
      </fill>
    </dxf>
    <dxf>
      <fill>
        <patternFill patternType="mediumGray"/>
      </fill>
    </dxf>
    <dxf>
      <fill>
        <patternFill patternType="mediumGray"/>
      </fill>
    </dxf>
    <dxf>
      <fill>
        <patternFill patternType="mediumGray"/>
      </fill>
    </dxf>
    <dxf>
      <fill>
        <patternFill patternType="mediumGray"/>
      </fill>
    </dxf>
    <dxf>
      <fill>
        <patternFill patternType="mediumGray"/>
      </fill>
    </dxf>
    <dxf>
      <fill>
        <patternFill patternType="mediumGray"/>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patternType="mediumGray"/>
      </fill>
    </dxf>
    <dxf>
      <fill>
        <patternFill patternType="mediumGray"/>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CC"/>
        </patternFill>
      </fill>
      <border>
        <left style="hair">
          <color auto="1"/>
        </left>
        <right style="hair">
          <color auto="1"/>
        </right>
        <top style="hair">
          <color auto="1"/>
        </top>
        <vertical/>
        <horizontal/>
      </border>
    </dxf>
    <dxf>
      <fill>
        <patternFill>
          <bgColor rgb="FFFFFFCC"/>
        </patternFill>
      </fill>
      <border>
        <left style="hair">
          <color auto="1"/>
        </left>
        <right style="hair">
          <color auto="1"/>
        </right>
        <bottom style="hair">
          <color auto="1"/>
        </bottom>
        <vertical/>
        <horizontal/>
      </border>
    </dxf>
    <dxf>
      <fill>
        <patternFill>
          <bgColor rgb="FFFFFFCC"/>
        </patternFill>
      </fill>
      <border>
        <left style="hair">
          <color auto="1"/>
        </left>
        <right style="hair">
          <color auto="1"/>
        </right>
        <top style="hair">
          <color auto="1"/>
        </top>
        <bottom style="hair">
          <color auto="1"/>
        </bottom>
        <vertical/>
        <horizontal/>
      </border>
    </dxf>
    <dxf>
      <fill>
        <patternFill>
          <bgColor rgb="FFFFFFCC"/>
        </patternFill>
      </fill>
      <border>
        <left style="hair">
          <color auto="1"/>
        </left>
        <right style="hair">
          <color auto="1"/>
        </right>
        <top style="hair">
          <color auto="1"/>
        </top>
        <bottom style="hair">
          <color auto="1"/>
        </bottom>
        <vertical/>
        <horizontal/>
      </border>
    </dxf>
    <dxf>
      <fill>
        <patternFill>
          <bgColor rgb="FFFFFFCC"/>
        </patternFill>
      </fill>
      <border>
        <left style="hair">
          <color auto="1"/>
        </left>
        <right style="hair">
          <color auto="1"/>
        </right>
        <top style="hair">
          <color auto="1"/>
        </top>
        <bottom style="hair">
          <color auto="1"/>
        </bottom>
        <vertical/>
        <horizontal/>
      </border>
    </dxf>
    <dxf>
      <fill>
        <patternFill>
          <bgColor rgb="FFFFFFCC"/>
        </patternFill>
      </fill>
      <border>
        <left style="hair">
          <color auto="1"/>
        </left>
        <right style="hair">
          <color auto="1"/>
        </right>
        <top style="hair">
          <color auto="1"/>
        </top>
        <bottom style="hair">
          <color auto="1"/>
        </bottom>
        <vertical/>
        <horizontal/>
      </border>
    </dxf>
    <dxf>
      <font>
        <color theme="0" tint="-0.14996795556505021"/>
      </font>
      <fill>
        <patternFill patternType="gray0625">
          <fgColor theme="0" tint="-0.34998626667073579"/>
          <bgColor theme="0" tint="-0.14996795556505021"/>
        </patternFill>
      </fill>
    </dxf>
    <dxf>
      <font>
        <color theme="0" tint="-0.14996795556505021"/>
      </font>
      <fill>
        <patternFill patternType="gray0625">
          <fgColor theme="0" tint="-0.34998626667073579"/>
          <bgColor theme="0" tint="-0.14993743705557422"/>
        </patternFill>
      </fill>
    </dxf>
    <dxf>
      <font>
        <color theme="0" tint="-0.14996795556505021"/>
      </font>
      <fill>
        <patternFill patternType="gray0625">
          <fgColor theme="0" tint="-0.34998626667073579"/>
          <bgColor theme="0" tint="-0.14993743705557422"/>
        </patternFill>
      </fill>
    </dxf>
    <dxf>
      <fill>
        <patternFill>
          <bgColor rgb="FFFFFFCC"/>
        </patternFill>
      </fill>
      <border>
        <left style="hair">
          <color auto="1"/>
        </left>
        <right style="hair">
          <color auto="1"/>
        </right>
        <top style="hair">
          <color auto="1"/>
        </top>
        <vertical/>
        <horizontal/>
      </border>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www.w3.org/2003/05/soap-envelope' xmlns:ns2='http://esb.everestre.net/services/schemas/EscapeCanonicalData/2.0' xmlns:ns3='http://esb.everestre.net/common/ESBHeader/1.0'">
  <Schema ID="Schema1" Namespace="http://esb.everestre.net/services/schemas/EscapeCanonicalData/2.0">
    <xsd:schema xmlns:xsd="http://www.w3.org/2001/XMLSchema" xmlns:ns0="http://esb.everestre.net/services/schemas/EscapeCanonicalData/2.0" xmlns="" targetNamespace="http://esb.everestre.net/services/schemas/EscapeCanonicalData/2.0">
      <xsd:import/>
      <xsd:element nillable="true" name="EverestSubmission">
        <xsd:complexType>
          <xsd:sequence minOccurs="0">
            <xsd:element minOccurs="0" ref="Account"/>
            <xsd:element minOccurs="0" ref="Submission"/>
            <xsd:element minOccurs="0" ref="Policy"/>
          </xsd:sequence>
        </xsd:complexType>
      </xsd:element>
    </xsd:schema>
  </Schema>
  <Schema ID="Schema2" Namespace="http://esb.everestre.net/common/ESBHeader/1.0">
    <xsd:schema xmlns:xsd="http://www.w3.org/2001/XMLSchema" xmlns:ns0="http://esb.everestre.net/common/ESBHeader/1.0" xmlns="" targetNamespace="http://esb.everestre.net/common/ESBHeader/1.0">
      <xsd:import/>
      <xsd:element nillable="true" name="ESBServiceHeader">
        <xsd:complexType>
          <xsd:sequence minOccurs="0">
            <xsd:element minOccurs="0" nillable="true" name="ESBRequestHeader" form="qualified">
              <xsd:complexType>
                <xsd:sequence minOccurs="0">
                  <xsd:element minOccurs="0" nillable="true" name="ApplicationIdentification" form="qualified">
                    <xsd:complexType>
                      <xsd:sequence minOccurs="0">
                        <xsd:element minOccurs="0" nillable="true" type="xsd:string" name="ApplicationName" form="qualified"/>
                      </xsd:sequence>
                    </xsd:complexType>
                  </xsd:element>
                  <xsd:element minOccurs="0" nillable="true" name="ClientIdentification" form="qualified">
                    <xsd:complexType>
                      <xsd:sequence minOccurs="0">
                        <xsd:element minOccurs="0" nillable="true" name="ClientCredentials" form="qualified">
                          <xsd:complexType>
                            <xsd:sequence minOccurs="0">
                              <xsd:element minOccurs="0" ref="isRequired"/>
                            </xsd:sequence>
                          </xsd:complexType>
                        </xsd:element>
                        <xsd:element minOccurs="0" nillable="true" type="xsd:string" name="UserName" form="qualified"/>
                      </xsd:sequence>
                    </xsd:complexType>
                  </xsd:element>
                  <xsd:element minOccurs="0" nillable="true" type="xsd:string" name="SearchableAttribute" form="qualified"/>
                  <xsd:element minOccurs="0" nillable="true" name="ServiceInformation" form="qualified">
                    <xsd:complexType>
                      <xsd:sequence minOccurs="0">
                        <xsd:element minOccurs="0" nillable="true" type="xsd:string" name="ServiceName" form="qualified"/>
                        <xsd:element minOccurs="0" nillable="true" type="xsd:string" name="ServiceOperation" form="qualified"/>
                        <xsd:element minOccurs="0" nillable="true" type="xsd:double" name="ServiceVersion" form="qualified"/>
                      </xsd:sequence>
                    </xsd:complexType>
                  </xsd:element>
                  <xsd:element minOccurs="0" nillable="true" type="xsd:dateTime" name="RequestTimestamp" form="qualified"/>
                  <xsd:element minOccurs="0" ref="SourceIP"/>
                </xsd:sequence>
              </xsd:complexType>
            </xsd:element>
            <xsd:element minOccurs="0" nillable="true" name="ESBResponseHeader" form="qualified">
              <xsd:complexType>
                <xsd:sequence minOccurs="0">
                  <xsd:element minOccurs="0" nillable="true" type="xsd:string" name="EventID" form="qualified"/>
                  <xsd:element minOccurs="0" nillable="true" type="xsd:string" name="EventParentID" form="qualified"/>
                  <xsd:element minOccurs="0" nillable="true" type="xsd:string" name="ResponseTimestamp" form="qualified"/>
                </xsd:sequence>
              </xsd:complexType>
            </xsd:element>
          </xsd:sequence>
        </xsd:complexType>
      </xsd:element>
    </xsd:schema>
  </Schema>
  <Schema ID="Schema3">
    <xsd:schema xmlns:xsd="http://www.w3.org/2001/XMLSchema" xmlns="">
      <xsd:element nillable="true" type="xsd:boolean" name="isRequired"/>
      <xsd:element nillable="true" type="xsd:string" name="SourceIP"/>
      <xsd:element nillable="true" name="Account">
        <xsd:complexType>
          <xsd:sequence minOccurs="0">
            <xsd:element minOccurs="0" nillable="true" type="xsd:string" name="AccountKey" form="unqualified"/>
            <xsd:element minOccurs="0" nillable="true" type="xsd:integer" name="AccountNbr" form="unqualified"/>
            <xsd:element minOccurs="0" nillable="true" type="xsd:integer" name="AccountVersionNbr" form="unqualified"/>
            <xsd:element minOccurs="0" nillable="true" type="xsd:string" name="InsuredName" form="unqualified"/>
            <xsd:element minOccurs="0" nillable="true" type="xsd:string" name="AddressLine1" form="unqualified"/>
            <xsd:element minOccurs="0" nillable="true" type="xsd:string" name="AddressLine2" form="unqualified"/>
            <xsd:element minOccurs="0" nillable="true" type="xsd:string" name="CityName" form="unqualified"/>
            <xsd:element minOccurs="0" nillable="true" type="xsd:string" name="StateAbbrCd" form="unqualified"/>
            <xsd:element minOccurs="0" nillable="true" type="xsd:integer" name="ZipCd" form="unqualified"/>
            <xsd:element minOccurs="0" nillable="true" type="xsd:string" name="ZipExtensionCd" form="unqualified"/>
            <xsd:element minOccurs="0" nillable="true" type="xsd:string" name="OFACMatchInd" form="unqualified"/>
            <xsd:element minOccurs="0" nillable="true" type="xsd:string" name="AccompanyingAccountNbr" form="unqualified"/>
            <xsd:element minOccurs="0" nillable="true" type="xsd:string" name="AccountCreatorUserId" form="unqualified"/>
            <xsd:element minOccurs="0" nillable="true" type="xsd:dateTime" name="AccountCreationTimestamp" form="unqualified"/>
            <xsd:element minOccurs="0" nillable="true" type="xsd:string" name="AccountLastModifiedUserId" form="unqualified"/>
            <xsd:element minOccurs="0" nillable="true" type="xsd:dateTime" name="AccountLastModifiedTimestamp" form="unqualified"/>
            <xsd:element minOccurs="0" nillable="true" type="xsd:string" name="CountryCd" form="unqualified"/>
            <xsd:element minOccurs="0" nillable="true" type="xsd:string" name="CountryName" form="unqualified"/>
            <xsd:element minOccurs="0" nillable="true" type="xsd:string" name="FEINNbr2" form="unqualified"/>
            <xsd:element minOccurs="0" nillable="true" type="xsd:string" name="AffinityBusinessCd" form="unqualified"/>
            <xsd:element minOccurs="0" nillable="true" type="xsd:string" name="AffinityBusinessDesc" form="unqualified"/>
            <xsd:element minOccurs="0" nillable="true" type="xsd:string" name="BoundBusSegLobIndProductCoveragePerilCd" form="unqualified"/>
            <xsd:element minOccurs="0" nillable="true" type="xsd:string" name="BoundBusSegLobIndProductCoveragePerilDesc" form="unqualified"/>
            <xsd:element minOccurs="0" nillable="true" type="xsd:string" name="BoundExcessPrimary" form="unqualified"/>
            <xsd:element minOccurs="0" nillable="true" type="xsd:string" name="BusSegPrivateEquityParentCd" form="unqualified"/>
            <xsd:element minOccurs="0" nillable="true" type="xsd:string" name="BusSegPrivateEquityParentDesc" form="unqualified"/>
            <xsd:element minOccurs="0" nillable="true" type="xsd:string" name="CancelledReasonCd" form="unqualified"/>
            <xsd:element minOccurs="0" nillable="true" type="xsd:string" name="PolicyCancelledReasonDesc" form="unqualified"/>
            <xsd:element minOccurs="0" nillable="true" type="xsd:string" name="ContractType" form="unqualified"/>
            <xsd:element minOccurs="0" nillable="true" type="xsd:string" name="IsMasterAffinity" form="unqualified"/>
            <xsd:element minOccurs="0" nillable="true" type="xsd:string" name="PDExportIndicator" form="unqualified"/>
            <xsd:element minOccurs="0" nillable="true" type="xsd:string" name="AASProducerCd" form="unqualified"/>
            <xsd:element minOccurs="0" nillable="true" type="xsd:string" name="AASProducerDesc" form="unqualified"/>
            <xsd:element minOccurs="0" nillable="true" type="xsd:string" name="ExplainSubmissionStatusTxt" form="unqualified"/>
            <xsd:element minOccurs="0" nillable="true" type="xsd:string" name="QuotedBusSegLobIndProductCoveragePerilCd" form="unqualified"/>
            <xsd:element minOccurs="0" nillable="true" type="xsd:string" name="QuotedBusSegLobIndProductCoveragePerilDesc" form="unqualified"/>
            <xsd:element minOccurs="0" nillable="true" type="xsd:string" name="SubmittedBusSegLobIndProductCoveragePerilCd" form="unqualified"/>
            <xsd:element minOccurs="0" nillable="true" type="xsd:string" name="SubmittedBusSegLobIndProductCoveragePerilDesc" form="unqualified"/>
            <xsd:element minOccurs="0" nillable="true" type="xsd:string" name="UnderwriterCommentsTxt" form="unqualified"/>
            <xsd:element minOccurs="0" nillable="true" type="xsd:string" name="PremiumAuditIndicator" form="unqualified"/>
          </xsd:sequence>
        </xsd:complexType>
      </xsd:element>
      <xsd:element nillable="true" name="Submission">
        <xsd:complexType>
          <xsd:sequence minOccurs="0">
            <xsd:element minOccurs="0" nillable="true" type="xsd:string" name="SubmissionKey" form="unqualified"/>
            <xsd:element minOccurs="0" nillable="true" type="xsd:integer" name="SubmissionNbr" form="unqualified"/>
            <xsd:element minOccurs="0" nillable="true" type="xsd:integer" name="SubmissionVersionNbr" form="unqualified"/>
            <xsd:element minOccurs="0" nillable="true" type="xsd:dateTime" name="SubmissionEffDt" form="unqualified"/>
            <xsd:element minOccurs="0" nillable="true" type="xsd:dateTime" name="SubmissionExpDt" form="unqualified"/>
            <xsd:element minOccurs="0" nillable="true" type="xsd:dateTime" name="SubmissionReceivedDt" form="unqualified"/>
            <xsd:element minOccurs="0" nillable="true" type="xsd:string" name="ProcessedRenewalSubmissionInd" form="unqualified"/>
            <xsd:element minOccurs="0" nillable="true" type="xsd:integer" name="DistributionChannelCd" form="unqualified"/>
            <xsd:element minOccurs="0" nillable="true" type="xsd:string" name="DistributionChannelDesc" form="unqualified"/>
            <xsd:element minOccurs="0" nillable="true" type="xsd:string" name="BusinessSegmentCd" form="unqualified"/>
            <xsd:element minOccurs="0" nillable="true" type="xsd:string" name="BusinessSegmentDesc" form="unqualified"/>
            <xsd:element minOccurs="0" nillable="true" type="xsd:string" name="MarketSegmentCd" form="unqualified"/>
            <xsd:element minOccurs="0" nillable="true" type="xsd:string" name="MarketSegmentDesc" form="unqualified"/>
            <xsd:element minOccurs="0" nillable="true" type="xsd:integer" name="BranchOfficeCd" form="unqualified"/>
            <xsd:element minOccurs="0" nillable="true" type="xsd:string" name="BranchOfficeName" form="unqualified"/>
            <xsd:element minOccurs="0" nillable="true" type="xsd:integer" name="SubmissionStatusCd" form="unqualified"/>
            <xsd:element minOccurs="0" nillable="true" type="xsd:string" name="SubmissionStatusDesc" form="unqualified"/>
            <xsd:element minOccurs="0" nillable="true" type="xsd:integer" name="SubmissionReasonCd" form="unqualified"/>
            <xsd:element minOccurs="0" nillable="true" type="xsd:string" name="SubmissionReasonDesc" form="unqualified"/>
            <xsd:element minOccurs="0" nillable="true" type="xsd:string" name="Explain_Submission_Status_Txt" form="unqualified"/>
            <xsd:element minOccurs="0" nillable="true" type="xsd:string" name="StateAbbrCd" form="unqualified"/>
            <xsd:element minOccurs="0" nillable="true" type="xsd:string" name="PredominantStateCd" form="unqualified"/>
            <xsd:element minOccurs="0" nillable="true" type="xsd:string" name="PredominantStateName" form="unqualified"/>
            <xsd:element minOccurs="0" nillable="true" type="xsd:integer" name="SubmittedLOBCd" form="unqualified"/>
            <xsd:element minOccurs="0" nillable="true" type="xsd:string" name="SubmittedLOBDesc" form="unqualified"/>
            <xsd:element minOccurs="0" nillable="true" type="xsd:integer" name="SubmissionTypeCd" form="unqualified"/>
            <xsd:element minOccurs="0" nillable="true" type="xsd:string" name="SubmissionTypeDesc" form="unqualified"/>
            <xsd:element minOccurs="0" nillable="true" type="xsd:integer" name="CarrierCd" form="unqualified"/>
            <xsd:element minOccurs="0" nillable="true" type="xsd:string" name="CarrierDesc" form="unqualified"/>
            <xsd:element minOccurs="0" nillable="true" type="xsd:integer" name="ProducerOfficeCd" form="unqualified"/>
            <xsd:element minOccurs="0" nillable="true" type="xsd:string" name="ProducerOfficeName" form="unqualified"/>
            <xsd:element minOccurs="0" nillable="true" type="xsd:string" name="WINSAgentCd" form="unqualified"/>
            <xsd:element minOccurs="0" nillable="true" type="xsd:string" name="WINSAgentDesc" form="unqualified"/>
            <xsd:element minOccurs="0" nillable="true" type="xsd:string" name="UnderwriterName" form="unqualified"/>
            <xsd:element minOccurs="0" nillable="true" type="xsd:integer" name="UnderwriterCd" form="unqualified"/>
            <xsd:element minOccurs="0" nillable="true" type="xsd:string" name="UnderwriterDesc" form="unqualified"/>
            <xsd:element minOccurs="0" nillable="true" type="xsd:string" name="UnderwriterUserName" form="unqualified"/>
            <xsd:element minOccurs="0" nillable="true" type="xsd:integer" name="UnderwriterAssistantCd" form="unqualified"/>
            <xsd:element minOccurs="0" nillable="true" type="xsd:string" name="UnderwriterAssistantName" form="unqualified"/>
            <xsd:element minOccurs="0" nillable="true" type="xsd:string" name="SubmissionQuotedDt" form="unqualified"/>
            <xsd:element minOccurs="0" nillable="true" type="xsd:double" name="QuotedPremiumAmt" form="unqualified"/>
            <xsd:element minOccurs="0" nillable="true" type="xsd:string" name="QuotedLOBCd" form="unqualified"/>
            <xsd:element minOccurs="0" nillable="true" type="xsd:string" name="QuotedLOBDesc" form="unqualified"/>
            <xsd:element minOccurs="0" nillable="true" type="xsd:string" name="Underwriter_Comments_Txt" form="unqualified"/>
            <xsd:element minOccurs="0" nillable="true" type="xsd:string" name="Prospect_For_Next_Yr_Ind" form="unqualified"/>
            <xsd:element minOccurs="0" nillable="true" type="xsd:string" name="Referred_Ind" form="unqualified"/>
            <xsd:element minOccurs="0" nillable="true" type="xsd:string" name="CarrierLostToCd" form="unqualified"/>
            <xsd:element minOccurs="0" nillable="true" type="xsd:string" name="CarrierLostToDesc" form="unqualified"/>
            <xsd:element minOccurs="0" nillable="true" type="xsd:string" name="SICCd" form="unqualified"/>
            <xsd:element minOccurs="0" nillable="true" type="xsd:string" name="SICDesc" form="unqualified"/>
            <xsd:element minOccurs="0" nillable="true" type="xsd:string" name="DBACd" form="unqualified"/>
            <xsd:element minOccurs="0" nillable="true" type="xsd:string" name="DBADesc" form="unqualified"/>
            <xsd:element minOccurs="0" nillable="true" type="xsd:dateTime" name="SubmissionCreationTimestamp" form="unqualified"/>
            <xsd:element minOccurs="0" nillable="true" type="xsd:string" name="SubmissionLastModifiedUserId" form="unqualified"/>
            <xsd:element minOccurs="0" nillable="true" type="xsd:dateTime" name="SubmissionLastModifiedTimestamp" form="unqualified"/>
            <xsd:element minOccurs="0" nillable="true" type="xsd:integer" name="ProducerCd" form="unqualified"/>
            <xsd:element minOccurs="0" nillable="true" type="xsd:string" name="ProducerName" form="unqualified"/>
            <xsd:element minOccurs="0" nillable="true" type="xsd:string" name="PASubmissionNbr" form="unqualified"/>
            <xsd:element minOccurs="0" nillable="true" type="xsd:double" name="SubmissionSchRatingMod" form="unqualified"/>
            <xsd:element minOccurs="0" nillable="true" type="xsd:double" name="SubmissionExpRatingMod" form="unqualified"/>
            <xsd:element minOccurs="0" nillable="true" type="xsd:integer" name="NAICSCd" form="unqualified"/>
            <xsd:element minOccurs="0" nillable="true" type="xsd:string" name="NAICSDesc" form="unqualified"/>
            <xsd:element minOccurs="0" nillable="true" type="xsd:string" name="CompetingCarrierCd" form="unqualified"/>
            <xsd:element minOccurs="0" nillable="true" type="xsd:string" name="CompetingCarrierDesc" form="unqualified"/>
            <xsd:element minOccurs="0" nillable="true" type="xsd:double" name="CompetingPremiumAmt" form="unqualified"/>
            <xsd:element minOccurs="0" nillable="true" type="xsd:double" name="SubmissionLimitAmt" form="unqualified"/>
            <xsd:element minOccurs="0" nillable="true" type="xsd:double" name="SubmissionRetentionAttachmentAmt" form="unqualified"/>
            <xsd:element minOccurs="0" nillable="true" type="xsd:string" name="SubmittedProductCoveragePerilDesc" form="unqualified"/>
            <xsd:element minOccurs="0" nillable="true" type="xsd:string" name="SubmittedExcessPrimaryInd" form="unqualified"/>
            <xsd:element minOccurs="0" nillable="true" type="xsd:string" name="QuotedProductCoveragePerilDesc" form="unqualified"/>
            <xsd:element minOccurs="0" nillable="true" type="xsd:string" name="QuotedExcessPrimaryInd" form="unqualified"/>
            <xsd:element minOccurs="0" nillable="true" type="xsd:integer" name="CompanyCd" form="unqualified"/>
            <xsd:element minOccurs="0" nillable="true" type="xsd:string" name="CompanyName" form="unqualified"/>
            <xsd:element minOccurs="0" nillable="true" type="xsd:integer" name="PDQuoteNbr" form="unqualified"/>
            <xsd:element minOccurs="0" nillable="true" type="xsd:string" name="ProcessedProspectForNextYrInd" form="unqualified"/>
            <xsd:element minOccurs="0" nillable="true" type="xsd:string" name="ArrayOfSubline" form="unqualified"/>
          </xsd:sequence>
        </xsd:complexType>
      </xsd:element>
      <xsd:element nillable="true" name="Policy">
        <xsd:complexType>
          <xsd:sequence minOccurs="0" maxOccurs="unbounded">
            <xsd:element minOccurs="0" nillable="true" type="xsd:string" name="PolicyNbr" form="unqualified"/>
            <xsd:element minOccurs="0" nillable="true" type="xsd:string" name="PolicyVersionNbr" form="unqualified"/>
            <xsd:element minOccurs="0" nillable="true" type="xsd:string" name="PolicyEffDt" form="unqualified"/>
            <xsd:element minOccurs="0" nillable="true" type="xsd:string" name="PolicyExpDt" form="unqualified"/>
            <xsd:element minOccurs="0" nillable="true" type="xsd:string" name="EverestExpiringPolicyNbr" form="unqualified"/>
            <xsd:element minOccurs="0" nillable="true" type="xsd:string" name="EverestExpiringPolicyVersionNbr" form="unqualified"/>
            <xsd:element minOccurs="0" nillable="true" type="xsd:string" name="PolicyStatusCd" form="unqualified"/>
            <xsd:element minOccurs="0" nillable="true" type="xsd:string" name="PolicyStatusDesc" form="unqualified"/>
            <xsd:element minOccurs="0" nillable="true" type="xsd:string" name="CancelledReasonComments" form="unqualified"/>
            <xsd:element minOccurs="0" nillable="true" type="xsd:string" name="PolicyCancelledReasonDesc" form="unqualified"/>
            <xsd:element minOccurs="0" maxOccurs="unbounded" nillable="true" type="xsd:string" name="CancelledReasonOthersCommentsTxt" form="unqualified"/>
            <xsd:element minOccurs="0" nillable="true" type="xsd:string" name="PolicyBoundDt" form="unqualified"/>
            <xsd:element minOccurs="0" nillable="true" type="xsd:string" name="BoundLOBCd" form="unqualified"/>
            <xsd:element minOccurs="0" nillable="true" type="xsd:string" name="BoundLOBDesc" form="unqualified"/>
            <xsd:element minOccurs="0" nillable="true" type="xsd:string" name="BoundPremiumAmt" form="unqualified"/>
            <xsd:element minOccurs="0" nillable="true" type="xsd:string" name="NonCommissionableFeeAmt" form="unqualified"/>
            <xsd:element minOccurs="0" nillable="true" type="xsd:string" name="CommissionPercent" form="unqualified"/>
            <xsd:element minOccurs="0" nillable="true" type="xsd:string" name="MultiStateInd" form="unqualified"/>
            <xsd:element minOccurs="0" nillable="true" type="xsd:string" name="ProductCd" form="unqualified"/>
            <xsd:element minOccurs="0" nillable="true" type="xsd:string" name="CompanyCd" form="unqualified"/>
            <xsd:element minOccurs="0" nillable="true" type="xsd:string" name="CompanyDesc" form="unqualified"/>
            <xsd:element minOccurs="0" nillable="true" type="xsd:string" name="BillTypeCd" form="unqualified"/>
            <xsd:element minOccurs="0" nillable="true" type="xsd:string" name="BillTypeDesc" form="unqualified"/>
            <xsd:element minOccurs="0" nillable="true" type="xsd:string" name="PaymentPlanCd" form="unqualified"/>
            <xsd:element minOccurs="0" nillable="true" type="xsd:string" name="PaymentPlanDesc" form="unqualified"/>
            <xsd:element minOccurs="0" nillable="true" type="xsd:string" name="CancelStateCd" form="unqualified"/>
            <xsd:element minOccurs="0" nillable="true" type="xsd:string" name="CancelStateDesc" form="unqualified"/>
            <xsd:element minOccurs="0" nillable="true" type="xsd:string" name="FacReinsurancePurchasedInd" form="unqualified"/>
            <xsd:element minOccurs="0" maxOccurs="unbounded" nillable="true" type="xsd:string" name="PolicyIssuedDt" form="unqualified"/>
            <xsd:element minOccurs="0" nillable="true" type="xsd:string" name="WINSPostedDt" form="unqualified"/>
            <xsd:element minOccurs="0" nillable="true" type="xsd:string" name="PolicyRenewalStatusCd" form="unqualified"/>
            <xsd:element minOccurs="0" nillable="true" type="xsd:string" name="PolicyRenewalStatusDesc" form="unqualified"/>
            <xsd:element minOccurs="0" nillable="true" type="xsd:string" name="PolicyRenewalStatusReasonCd" form="unqualified"/>
            <xsd:element minOccurs="0" nillable="true" type="xsd:string" name="PolicyRenewalStatusReasonDesc" form="unqualified"/>
            <xsd:element minOccurs="0" nillable="true" type="xsd:string" name="RenewalStatusReasonComments" form="unqualified"/>
            <xsd:element minOccurs="0" nillable="true" type="xsd:string" name="OccupancyCd" form="unqualified"/>
            <xsd:element minOccurs="0" nillable="true" type="xsd:string" name="OccupancyDesc" form="unqualified"/>
            <xsd:element minOccurs="0" nillable="true" type="xsd:string" name="PolicyTypeCd" form="unqualified"/>
            <xsd:element minOccurs="0" nillable="true" type="xsd:string" name="PolicyTypeDesc" form="unqualified"/>
            <xsd:element minOccurs="0" nillable="true" type="xsd:string" name="premiumFinanceInd" form="unqualified"/>
            <xsd:element minOccurs="0" nillable="true" type="xsd:string" name="PolicyCreatorUserId" form="unqualified"/>
            <xsd:element minOccurs="0" nillable="true" type="xsd:string" name="PolicyCreationTimestamp" form="unqualified"/>
            <xsd:element minOccurs="0" nillable="true" type="xsd:string" name="PolicyLastModifiedUserId" form="unqualified"/>
            <xsd:element minOccurs="0" nillable="true" type="xsd:string" name="PolicyLastModifiedTimestamp" form="unqualified"/>
            <xsd:element minOccurs="0" nillable="true" type="xsd:string" name="ActiveInd" form="unqualified"/>
            <xsd:element minOccurs="0" nillable="true" type="xsd:string" name="PolicySchRatingMod" form="unqualified"/>
            <xsd:element minOccurs="0" nillable="true" type="xsd:string" name="PolicyExpRatingMod" form="unqualified"/>
            <xsd:element minOccurs="0" nillable="true" type="xsd:string" name="PolicyLimitAmt" form="unqualified"/>
            <xsd:element minOccurs="0" nillable="true" type="xsd:string" name="PremFinanceCoName" form="unqualified"/>
            <xsd:element minOccurs="0" nillable="true" type="xsd:string" name="PremFinanceCoContactName" form="unqualified"/>
            <xsd:element minOccurs="0" nillable="true" type="xsd:string" name="PremFinanceCoAddr1Line" form="unqualified"/>
            <xsd:element minOccurs="0" nillable="true" type="xsd:string" name="PremFinanceCoAddr2Line" form="unqualified"/>
            <xsd:element minOccurs="0" nillable="true" type="xsd:string" name="PremFinanceCoAddr3Line" form="unqualified"/>
            <xsd:element minOccurs="0" nillable="true" type="xsd:string" name="PremFinanceCoCityName" form="unqualified"/>
            <xsd:element minOccurs="0" nillable="true" type="xsd:string" name="PremFinanceStateAbbrCd" form="unqualified"/>
            <xsd:element minOccurs="0" nillable="true" type="xsd:string" name="PremFinanceStateAbbrDesc" form="unqualified"/>
            <xsd:element minOccurs="0" nillable="true" type="xsd:string" name="PremFinanceZipCd" form="unqualified"/>
            <xsd:element minOccurs="0" nillable="true" type="xsd:string" name="PolicyRetentionAttachmentAmt" form="unqualified"/>
            <xsd:element minOccurs="0" nillable="true" type="xsd:string" name="PortfolioCompanyInd" form="unqualified"/>
            <xsd:element minOccurs="0" nillable="true" type="xsd:string" name="ExcessPrimaryInd" form="unqualified"/>
            <xsd:element minOccurs="0" nillable="true" type="xsd:string" name="BoundProductCoveragePerilDesc" form="unqualified"/>
            <xsd:element minOccurs="0" nillable="true" type="xsd:string" name="InsuredContactName" form="unqualified"/>
            <xsd:element minOccurs="0" nillable="true" type="xsd:string" name="InsuredOfficePhone" form="unqualified"/>
            <xsd:element minOccurs="0" nillable="true" type="xsd:string" name="InsuredMobilePhone" form="unqualified"/>
            <xsd:element minOccurs="0" nillable="true" type="xsd:string" name="InsuredEmail" form="unqualified"/>
            <xsd:element minOccurs="0" nillable="true" type="xsd:string" name="ProducerAddressLine1" form="unqualified"/>
            <xsd:element minOccurs="0" nillable="true" type="xsd:string" name="ProducerAddressLine2" form="unqualified"/>
            <xsd:element minOccurs="0" nillable="true" type="xsd:string" name="ProducerAddressLine3" form="unqualified"/>
            <xsd:element minOccurs="0" nillable="true" type="xsd:string" name="ProducerAddressCity" form="unqualified"/>
            <xsd:element minOccurs="0" nillable="true" type="xsd:string" name="ProducerStateCd" form="unqualified"/>
            <xsd:element minOccurs="0" nillable="true" type="xsd:string" name="ProducerStateName" form="unqualified"/>
            <xsd:element minOccurs="0" nillable="true" type="xsd:integer" name="ProducerZipCd" form="unqualified"/>
            <xsd:element minOccurs="0" nillable="true" type="xsd:string" name="ProducerCountry_Cd" form="unqualified"/>
            <xsd:element minOccurs="0" nillable="true" type="xsd:string" name="ProducerCountryName" form="unqualified"/>
            <xsd:element minOccurs="0" nillable="true" type="xsd:string" name="ArrayOfSubline" form="unqualified"/>
            <xsd:element minOccurs="0" nillable="true" type="xsd:string" name="RenewalStatusCd" form="unqualified"/>
            <xsd:element minOccurs="0" nillable="true" type="xsd:string" name="RenewalStatusReasonCd" form="unqualified"/>
            <xsd:element minOccurs="0" nillable="true" type="xsd:string" name="ExecOfficers" form="unqualified"/>
          </xsd:sequence>
        </xsd:complexType>
      </xsd:element>
    </xsd:schema>
  </Schema>
  <Schema ID="Schema4" SchemaRef="Schema1 Schema2 Schema3" Namespace="http://www.w3.org/2003/05/soap-envelope">
    <xsd:schema xmlns:xsd="http://www.w3.org/2001/XMLSchema" xmlns:ns0="http://www.w3.org/2003/05/soap-envelope" xmlns:ns1="http://esb.everestre.net/services/schemas/EscapeCanonicalData/2.0" xmlns:ns2="http://esb.everestre.net/common/ESBHeader/1.0" xmlns="" targetNamespace="http://www.w3.org/2003/05/soap-envelope">
      <xsd:import namespace="http://esb.everestre.net/services/schemas/EscapeCanonicalData/2.0"/>
      <xsd:import namespace="http://esb.everestre.net/common/ESBHeader/1.0"/>
      <xsd:element nillable="true" name="Envelope">
        <xsd:complexType>
          <xsd:sequence minOccurs="0">
            <xsd:element minOccurs="0" nillable="true" name="Header" form="qualified">
              <xsd:complexType>
                <xsd:sequence minOccurs="0">
                  <xsd:element minOccurs="0" ref="ns2:ESBServiceHeader"/>
                </xsd:sequence>
              </xsd:complexType>
            </xsd:element>
            <xsd:element minOccurs="0" nillable="true" name="Body" form="qualified">
              <xsd:complexType>
                <xsd:sequence minOccurs="0">
                  <xsd:element minOccurs="0" ref="ns1:EverestSubmission"/>
                </xsd:sequence>
              </xsd:complexType>
            </xsd:element>
          </xsd:sequence>
        </xsd:complexType>
      </xsd:element>
    </xsd:schema>
  </Schema>
  <Schema ID="Schema5" Namespace="http://esb.everestre.net/services/schemas/EscapeCanonicalData/2.0">
    <xsd:schema xmlns:xsd="http://www.w3.org/2001/XMLSchema" xmlns:ns0="http://esb.everestre.net/services/schemas/EscapeCanonicalData/2.0" xmlns="" targetNamespace="http://esb.everestre.net/services/schemas/EscapeCanonicalData/2.0">
      <xsd:import/>
      <xsd:element nillable="true" name="EverestSubmission">
        <xsd:complexType>
          <xsd:sequence minOccurs="0">
            <xsd:element minOccurs="0" ref="Account"/>
            <xsd:element minOccurs="0" ref="Submission"/>
            <xsd:element minOccurs="0" ref="Policy"/>
          </xsd:sequence>
        </xsd:complexType>
      </xsd:element>
    </xsd:schema>
  </Schema>
  <Schema ID="Schema6" Namespace="http://esb.everestre.net/common/ESBHeader/1.0">
    <xsd:schema xmlns:xsd="http://www.w3.org/2001/XMLSchema" xmlns:ns0="http://esb.everestre.net/common/ESBHeader/1.0" xmlns="" targetNamespace="http://esb.everestre.net/common/ESBHeader/1.0">
      <xsd:import/>
      <xsd:element nillable="true" name="ESBServiceHeader">
        <xsd:complexType>
          <xsd:sequence minOccurs="0">
            <xsd:element minOccurs="0" nillable="true" name="ESBRequestHeader" form="qualified">
              <xsd:complexType>
                <xsd:sequence minOccurs="0">
                  <xsd:element minOccurs="0" nillable="true" name="ApplicationIdentification" form="qualified">
                    <xsd:complexType>
                      <xsd:sequence minOccurs="0">
                        <xsd:element minOccurs="0" nillable="true" type="xsd:string" name="ApplicationName" form="qualified"/>
                      </xsd:sequence>
                    </xsd:complexType>
                  </xsd:element>
                  <xsd:element minOccurs="0" nillable="true" name="ClientIdentification" form="qualified">
                    <xsd:complexType>
                      <xsd:sequence minOccurs="0">
                        <xsd:element minOccurs="0" nillable="true" name="ClientCredentials" form="qualified">
                          <xsd:complexType>
                            <xsd:sequence minOccurs="0">
                              <xsd:element minOccurs="0" ref="isRequired"/>
                            </xsd:sequence>
                          </xsd:complexType>
                        </xsd:element>
                        <xsd:element minOccurs="0" nillable="true" type="xsd:string" name="UserName" form="qualified"/>
                      </xsd:sequence>
                    </xsd:complexType>
                  </xsd:element>
                  <xsd:element minOccurs="0" nillable="true" type="xsd:string" name="SearchableAttribute" form="qualified"/>
                  <xsd:element minOccurs="0" nillable="true" name="ServiceInformation" form="qualified">
                    <xsd:complexType>
                      <xsd:sequence minOccurs="0">
                        <xsd:element minOccurs="0" nillable="true" type="xsd:string" name="ServiceName" form="qualified"/>
                        <xsd:element minOccurs="0" nillable="true" type="xsd:string" name="ServiceOperation" form="qualified"/>
                        <xsd:element minOccurs="0" nillable="true" type="xsd:double" name="ServiceVersion" form="qualified"/>
                      </xsd:sequence>
                    </xsd:complexType>
                  </xsd:element>
                  <xsd:element minOccurs="0" nillable="true" type="xsd:dateTime" name="RequestTimestamp" form="qualified"/>
                </xsd:sequence>
              </xsd:complexType>
            </xsd:element>
            <xsd:element minOccurs="0" nillable="true" name="ESBResponseHeader" form="qualified">
              <xsd:complexType>
                <xsd:sequence minOccurs="0">
                  <xsd:element minOccurs="0" nillable="true" type="xsd:string" name="EventID" form="qualified"/>
                  <xsd:element minOccurs="0" nillable="true" type="xsd:string" name="EventParentID" form="qualified"/>
                  <xsd:element minOccurs="0" nillable="true" type="xsd:string" name="ResponseTimestamp" form="qualified"/>
                </xsd:sequence>
              </xsd:complexType>
            </xsd:element>
          </xsd:sequence>
        </xsd:complexType>
      </xsd:element>
    </xsd:schema>
  </Schema>
  <Schema ID="Schema7">
    <xsd:schema xmlns:xsd="http://www.w3.org/2001/XMLSchema" xmlns="">
      <xsd:element nillable="true" type="xsd:boolean" name="isRequired"/>
      <xsd:element nillable="true" name="Account">
        <xsd:complexType>
          <xsd:sequence minOccurs="0">
            <xsd:element minOccurs="0" nillable="true" type="xsd:integer" name="AccountNbr" form="unqualified"/>
            <xsd:element minOccurs="0" nillable="true" type="xsd:integer" name="AccountVersionNbr" form="unqualified"/>
            <xsd:element minOccurs="0" nillable="true" type="xsd:string" name="FullInsuredName" form="unqualified"/>
            <xsd:element minOccurs="0" nillable="true" type="xsd:string" name="InsuredName" form="unqualified"/>
            <xsd:element minOccurs="0" nillable="true" type="xsd:string" name="AddressLine1" form="unqualified"/>
            <xsd:element minOccurs="0" nillable="true" type="xsd:string" name="CityName" form="unqualified"/>
            <xsd:element minOccurs="0" nillable="true" type="xsd:string" name="StateAbbrCd" form="unqualified"/>
            <xsd:element minOccurs="0" nillable="true" type="xsd:integer" name="ZipCd" form="unqualified"/>
            <xsd:element minOccurs="0" nillable="true" type="xsd:string" name="ZipExtensionCd" form="unqualified"/>
            <xsd:element minOccurs="0" nillable="true" type="xsd:string" name="OFACMatchInd" form="unqualified"/>
            <xsd:element minOccurs="0" nillable="true" type="xsd:string" name="AccompanyingAccountNbr" form="unqualified"/>
            <xsd:element minOccurs="0" nillable="true" type="xsd:string" name="AccountCreatorUserId" form="unqualified"/>
            <xsd:element minOccurs="0" nillable="true" type="xsd:dateTime" name="AccountCreationTimestamp" form="unqualified"/>
            <xsd:element minOccurs="0" nillable="true" type="xsd:string" name="AccountLastModifiedUserId" form="unqualified"/>
            <xsd:element minOccurs="0" nillable="true" type="xsd:dateTime" name="AccountLastModifiedTimestamp" form="unqualified"/>
            <xsd:element minOccurs="0" nillable="true" type="xsd:string" name="CountryCd" form="unqualified"/>
            <xsd:element minOccurs="0" nillable="true" type="xsd:string" name="CountryName" form="unqualified"/>
            <xsd:element minOccurs="0" nillable="true" type="xsd:string" name="AffinityBusinessCd" form="unqualified"/>
            <xsd:element minOccurs="0" nillable="true" type="xsd:string" name="AffinityBusinessDesc" form="unqualified"/>
            <xsd:element minOccurs="0" nillable="true" type="xsd:string" name="BoundExcessPrimary" form="unqualified"/>
            <xsd:element minOccurs="0" nillable="true" type="xsd:string" name="BusSegPrivateEquityParentDesc" form="unqualified"/>
            <xsd:element minOccurs="0" nillable="true" type="xsd:string" name="CancelledReasonCd" form="unqualified"/>
            <xsd:element minOccurs="0" nillable="true" type="xsd:string" name="PolicyCancelledReasonDesc" form="unqualified"/>
            <xsd:element minOccurs="0" nillable="true" type="xsd:string" name="ContractType" form="unqualified"/>
            <xsd:element minOccurs="0" nillable="true" type="xsd:string" name="PDExportIndicator" form="unqualified"/>
            <xsd:element minOccurs="0" nillable="true" type="xsd:string" name="AASProducerCd" form="unqualified"/>
            <xsd:element minOccurs="0" nillable="true" type="xsd:string" name="UnderwriterCommentsTxt" form="unqualified"/>
            <xsd:element minOccurs="0" nillable="true" type="xsd:string" name="PremiumAuditIndicator" form="unqualified"/>
          </xsd:sequence>
        </xsd:complexType>
      </xsd:element>
      <xsd:element nillable="true" name="Submission">
        <xsd:complexType>
          <xsd:sequence minOccurs="0">
            <xsd:element minOccurs="0" nillable="true" type="xsd:integer" name="SubmissionNbr" form="unqualified"/>
            <xsd:element minOccurs="0" nillable="true" type="xsd:integer" name="SubmissionVersionNbr" form="unqualified"/>
            <xsd:element minOccurs="0" nillable="true" type="xsd:dateTime" name="SubmissionEffDt" form="unqualified"/>
            <xsd:element minOccurs="0" nillable="true" type="xsd:dateTime" name="SubmissionExpDt" form="unqualified"/>
            <xsd:element minOccurs="0" nillable="true" type="xsd:dateTime" name="SubmissionReceivedDt" form="unqualified"/>
            <xsd:element minOccurs="0" nillable="true" type="xsd:string" name="ProcessedRenewalSubmissionInd" form="unqualified"/>
            <xsd:element minOccurs="0" nillable="true" type="xsd:integer" name="DistributionChannelCd" form="unqualified"/>
            <xsd:element minOccurs="0" nillable="true" type="xsd:string" name="DistributionChannelDesc" form="unqualified"/>
            <xsd:element minOccurs="0" nillable="true" type="xsd:string" name="BusinessSegmentCd" form="unqualified"/>
            <xsd:element minOccurs="0" nillable="true" type="xsd:string" name="BusinessSegmentDesc" form="unqualified"/>
            <xsd:element minOccurs="0" nillable="true" type="xsd:string" name="MarketSegmentCd" form="unqualified"/>
            <xsd:element minOccurs="0" nillable="true" type="xsd:string" name="MarketSegmentDesc" form="unqualified"/>
            <xsd:element minOccurs="0" nillable="true" type="xsd:integer" name="BranchOfficeCd" form="unqualified"/>
            <xsd:element minOccurs="0" nillable="true" type="xsd:string" name="BranchOfficeName" form="unqualified"/>
            <xsd:element minOccurs="0" nillable="true" type="xsd:integer" name="SubmissionStatusCd" form="unqualified"/>
            <xsd:element minOccurs="0" nillable="true" type="xsd:string" name="SubmissionStatusDesc" form="unqualified"/>
            <xsd:element minOccurs="0" nillable="true" type="xsd:integer" name="SubmissionReasonCd" form="unqualified"/>
            <xsd:element minOccurs="0" nillable="true" type="xsd:string" name="SubmissionReasonDesc" form="unqualified"/>
            <xsd:element minOccurs="0" nillable="true" type="xsd:string" name="Explain_Submission_Status_Txt" form="unqualified"/>
            <xsd:element minOccurs="0" nillable="true" type="xsd:string" name="PredominantStateCd" form="unqualified"/>
            <xsd:element minOccurs="0" nillable="true" type="xsd:string" name="PredominantStateName" form="unqualified"/>
            <xsd:element minOccurs="0" nillable="true" type="xsd:integer" name="SubmittedLOBCd" form="unqualified"/>
            <xsd:element minOccurs="0" nillable="true" type="xsd:string" name="SubmittedLOBDesc" form="unqualified"/>
            <xsd:element minOccurs="0" nillable="true" type="xsd:integer" name="SubmissionTypeCd" form="unqualified"/>
            <xsd:element minOccurs="0" nillable="true" type="xsd:string" name="SubmissionTypeDesc" form="unqualified"/>
            <xsd:element minOccurs="0" nillable="true" type="xsd:integer" name="CarrierCd" form="unqualified"/>
            <xsd:element minOccurs="0" nillable="true" type="xsd:string" name="CarrierDesc" form="unqualified"/>
            <xsd:element minOccurs="0" nillable="true" type="xsd:integer" name="ProducerOfficekey" form="unqualified"/>
            <xsd:element minOccurs="0" nillable="true" type="xsd:integer" name="ProducerOfficeCd" form="unqualified"/>
            <xsd:element minOccurs="0" nillable="true" type="xsd:string" name="ProducerOfficeName" form="unqualified"/>
            <xsd:element minOccurs="0" nillable="true" type="xsd:string" name="WINSAgentCd" form="unqualified"/>
            <xsd:element minOccurs="0" nillable="true" type="xsd:string" name="UnderwriterName" form="unqualified"/>
            <xsd:element minOccurs="0" nillable="true" type="xsd:integer" name="UnderwriterCd" form="unqualified"/>
            <xsd:element minOccurs="0" nillable="true" type="xsd:integer" name="UnderwriterAssistantCd" form="unqualified"/>
            <xsd:element minOccurs="0" nillable="true" type="xsd:string" name="UnderwriterAssistantName" form="unqualified"/>
            <xsd:element minOccurs="0" nillable="true" type="xsd:string" name="SubmissionQuotedDt" form="unqualified"/>
            <xsd:element minOccurs="0" nillable="true" type="xsd:double" name="QuotedPremiumAmt" form="unqualified"/>
            <xsd:element minOccurs="0" nillable="true" type="xsd:string" name="QuotedLOBCd" form="unqualified"/>
            <xsd:element minOccurs="0" nillable="true" type="xsd:string" name="QuotedLOBDesc" form="unqualified"/>
            <xsd:element minOccurs="0" nillable="true" type="xsd:string" name="Prospect_For_Next_Yr_Ind" form="unqualified"/>
            <xsd:element minOccurs="0" nillable="true" type="xsd:string" name="Referred_Ind" form="unqualified"/>
            <xsd:element minOccurs="0" nillable="true" type="xsd:string" name="CarrierLostToCd" form="unqualified"/>
            <xsd:element minOccurs="0" nillable="true" type="xsd:string" name="CarrierLostToDesc" form="unqualified"/>
            <xsd:element minOccurs="0" nillable="true" type="xsd:string" name="SICCd" form="unqualified"/>
            <xsd:element minOccurs="0" nillable="true" type="xsd:string" name="DBACd" form="unqualified"/>
            <xsd:element minOccurs="0" nillable="true" type="xsd:dateTime" name="SubmissionCreationTimestamp" form="unqualified"/>
            <xsd:element minOccurs="0" nillable="true" type="xsd:string" name="SubmissionLastModifiedUserId" form="unqualified"/>
            <xsd:element minOccurs="0" nillable="true" type="xsd:string" name="SubmissionLastModifiedTimestamp" form="unqualified"/>
            <xsd:element minOccurs="0" nillable="true" type="xsd:integer" name="ProducerCd" form="unqualified"/>
            <xsd:element minOccurs="0" nillable="true" type="xsd:string" name="ProducerName" form="unqualified"/>
            <xsd:element minOccurs="0" nillable="true" type="xsd:string" name="PASubmissionNbr" form="unqualified"/>
            <xsd:element minOccurs="0" nillable="true" type="xsd:double" name="SubmissionSchRatingMod" form="unqualified"/>
            <xsd:element minOccurs="0" nillable="true" type="xsd:double" name="SubmissionExpRatingMod" form="unqualified"/>
            <xsd:element minOccurs="0" nillable="true" type="xsd:integer" name="NAICSCd" form="unqualified"/>
            <xsd:element minOccurs="0" nillable="true" type="xsd:string" name="CompetingCarrierCd" form="unqualified"/>
            <xsd:element minOccurs="0" nillable="true" type="xsd:string" name="CompetingCarrierDesc" form="unqualified"/>
            <xsd:element minOccurs="0" nillable="true" type="xsd:double" name="CompetingPremiumAmt" form="unqualified"/>
            <xsd:element minOccurs="0" nillable="true" type="xsd:double" name="SubmissionLimitAmt" form="unqualified"/>
            <xsd:element minOccurs="0" nillable="true" type="xsd:double" name="SubmissionRetentionAttachmentAmt" form="unqualified"/>
            <xsd:element minOccurs="0" nillable="true" type="xsd:string" name="SubmittedProductCoveragePerilDesc" form="unqualified"/>
            <xsd:element minOccurs="0" nillable="true" type="xsd:string" name="SubmittedExcessPrimaryInd" form="unqualified"/>
            <xsd:element minOccurs="0" nillable="true" type="xsd:string" name="QuotedProductCoveragePerilDesc" form="unqualified"/>
            <xsd:element minOccurs="0" nillable="true" type="xsd:string" name="QuotedExcessPrimaryInd" form="unqualified"/>
            <xsd:element minOccurs="0" nillable="true" type="xsd:integer" name="CompanyCd" form="unqualified"/>
            <xsd:element minOccurs="0" nillable="true" type="xsd:string" name="CompanyName" form="unqualified"/>
            <xsd:element minOccurs="0" nillable="true" type="xsd:integer" name="PDQuoteNbr" form="unqualified"/>
            <xsd:element minOccurs="0" nillable="true" type="xsd:string" name="ProcessedProspectForNextYrInd" form="unqualified"/>
            <xsd:element minOccurs="0" nillable="true" type="xsd:integer" name="SubmissionPriority" form="unqualified"/>
            <xsd:element minOccurs="0" nillable="true" type="xsd:string" name="CreditScore" form="unqualified"/>
          </xsd:sequence>
        </xsd:complexType>
      </xsd:element>
      <xsd:element nillable="true" name="Policy">
        <xsd:complexType>
          <xsd:sequence minOccurs="0">
            <xsd:element minOccurs="0" nillable="true" type="xsd:string" name="PolicyNbr" form="unqualified"/>
            <xsd:element minOccurs="0" nillable="true" type="xsd:string" name="PolicyVersionNbr" form="unqualified"/>
            <xsd:element minOccurs="0" nillable="true" type="xsd:string" name="PolicyEffDt" form="unqualified"/>
            <xsd:element minOccurs="0" nillable="true" type="xsd:string" name="PolicyExpDt" form="unqualified"/>
            <xsd:element minOccurs="0" nillable="true" type="xsd:string" name="EverestExpiringPolicyNbr" form="unqualified"/>
            <xsd:element minOccurs="0" nillable="true" type="xsd:string" name="EverestExpiringPolicyVersionNbr" form="unqualified"/>
            <xsd:element minOccurs="0" nillable="true" type="xsd:string" name="PolicyStatusCd" form="unqualified"/>
            <xsd:element minOccurs="0" nillable="true" type="xsd:string" name="PolicyStatusDesc" form="unqualified"/>
            <xsd:element minOccurs="0" nillable="true" type="xsd:string" name="PolicyCancelledReasonDesc" form="unqualified"/>
            <xsd:element minOccurs="0" nillable="true" type="xsd:string" name="CancelledReasonOthersCommentsTxt" form="unqualified"/>
            <xsd:element minOccurs="0" nillable="true" type="xsd:string" name="PolicyBoundDt" form="unqualified"/>
            <xsd:element minOccurs="0" nillable="true" type="xsd:string" name="BoundLOBCd" form="unqualified"/>
            <xsd:element minOccurs="0" nillable="true" type="xsd:string" name="BoundLOBDesc" form="unqualified"/>
            <xsd:element minOccurs="0" nillable="true" type="xsd:string" name="BoundPremiumAmt" form="unqualified"/>
            <xsd:element minOccurs="0" nillable="true" type="xsd:string" name="NonCommissionableFeeAmt" form="unqualified"/>
            <xsd:element minOccurs="0" nillable="true" type="xsd:string" name="CommissionPercent" form="unqualified"/>
            <xsd:element minOccurs="0" nillable="true" type="xsd:string" name="MultiStateInd" form="unqualified"/>
            <xsd:element minOccurs="0" nillable="true" type="xsd:string" name="ProductCd" form="unqualified"/>
            <xsd:element minOccurs="0" nillable="true" type="xsd:string" name="BillTypeCd" form="unqualified"/>
            <xsd:element minOccurs="0" nillable="true" type="xsd:string" name="BillTypeDesc" form="unqualified"/>
            <xsd:element minOccurs="0" nillable="true" type="xsd:string" name="PaymentPlanCd" form="unqualified"/>
            <xsd:element minOccurs="0" nillable="true" type="xsd:string" name="CancelStateCd" form="unqualified"/>
            <xsd:element minOccurs="0" nillable="true" type="xsd:string" name="PolicyIssuedDt" form="unqualified"/>
            <xsd:element minOccurs="0" nillable="true" type="xsd:string" name="WINSPostedDt" form="unqualified"/>
            <xsd:element minOccurs="0" nillable="true" type="xsd:string" name="PolicyRenewalStatusDesc" form="unqualified"/>
            <xsd:element minOccurs="0" nillable="true" type="xsd:string" name="PolicyRenewalStatusReasonDesc" form="unqualified"/>
            <xsd:element minOccurs="0" nillable="true" type="xsd:string" name="RenewalStatusReasonComments" form="unqualified"/>
            <xsd:element minOccurs="0" nillable="true" type="xsd:string" name="OccupancyCd" form="unqualified"/>
            <xsd:element minOccurs="0" nillable="true" type="xsd:string" name="OccupancyDesc" form="unqualified"/>
            <xsd:element minOccurs="0" nillable="true" type="xsd:string" name="PolicyTypeCd" form="unqualified"/>
            <xsd:element minOccurs="0" nillable="true" type="xsd:string" name="PolicyTypeDesc" form="unqualified"/>
            <xsd:element minOccurs="0" nillable="true" type="xsd:string" name="premiumFinanceInd" form="unqualified"/>
            <xsd:element minOccurs="0" nillable="true" type="xsd:string" name="PolicyCreatorUserId" form="unqualified"/>
            <xsd:element minOccurs="0" nillable="true" type="xsd:string" name="PolicyCreationTimestamp" form="unqualified"/>
            <xsd:element minOccurs="0" nillable="true" type="xsd:string" name="PolicyLastModifiedUserId" form="unqualified"/>
            <xsd:element minOccurs="0" nillable="true" type="xsd:string" name="PolicyLastModifiedTimestamp" form="unqualified"/>
            <xsd:element minOccurs="0" nillable="true" type="xsd:string" name="PolicySchRatingMod" form="unqualified"/>
            <xsd:element minOccurs="0" nillable="true" type="xsd:string" name="PolicyExpRatingMod" form="unqualified"/>
            <xsd:element minOccurs="0" nillable="true" type="xsd:string" name="PolicyLimitAmt" form="unqualified"/>
            <xsd:element minOccurs="0" nillable="true" type="xsd:string" name="PolicyRetentionAttachmentAmt" form="unqualified"/>
            <xsd:element minOccurs="0" nillable="true" type="xsd:string" name="PortfolioCompanyInd" form="unqualified"/>
            <xsd:element minOccurs="0" nillable="true" type="xsd:string" name="BoundProductCoveragePerilDesc" form="unqualified"/>
            <xsd:element minOccurs="0" nillable="true" type="xsd:string" name="ProducerAddressLine1" form="unqualified"/>
            <xsd:element minOccurs="0" nillable="true" type="xsd:string" name="ProducerAddressLine2" form="unqualified"/>
            <xsd:element minOccurs="0" nillable="true" type="xsd:string" name="ProducerAddressLine3" form="unqualified"/>
            <xsd:element minOccurs="0" nillable="true" type="xsd:string" name="ProducerAddressCity" form="unqualified"/>
            <xsd:element minOccurs="0" nillable="true" type="xsd:string" name="ProducerStateCd" form="unqualified"/>
            <xsd:element minOccurs="0" nillable="true" type="xsd:string" name="ProducerStateName" form="unqualified"/>
            <xsd:element minOccurs="0" nillable="true" type="xsd:integer" name="ProducerZipCd" form="unqualified"/>
            <xsd:element minOccurs="0" nillable="true" type="xsd:string" name="ProducerCountry_Cd" form="unqualified"/>
            <xsd:element minOccurs="0" nillable="true" type="xsd:string" name="ProducerCountryName" form="unqualified"/>
            <xsd:element minOccurs="0" nillable="true" type="xsd:string" name="RenewalStatusCd" form="unqualified"/>
            <xsd:element minOccurs="0" nillable="true" type="xsd:string" name="RenewalStatusReasonCd" form="unqualified"/>
          </xsd:sequence>
        </xsd:complexType>
      </xsd:element>
    </xsd:schema>
  </Schema>
  <Schema ID="Schema8" SchemaRef="Schema5 Schema6 Schema7" Namespace="http://www.w3.org/2003/05/soap-envelope">
    <xsd:schema xmlns:xsd="http://www.w3.org/2001/XMLSchema" xmlns:ns0="http://www.w3.org/2003/05/soap-envelope" xmlns:ns1="http://esb.everestre.net/services/schemas/EscapeCanonicalData/2.0" xmlns:ns2="http://esb.everestre.net/common/ESBHeader/1.0" xmlns="" targetNamespace="http://www.w3.org/2003/05/soap-envelope">
      <xsd:import namespace="http://esb.everestre.net/services/schemas/EscapeCanonicalData/2.0"/>
      <xsd:import namespace="http://esb.everestre.net/common/ESBHeader/1.0"/>
      <xsd:element nillable="true" name="Envelope">
        <xsd:complexType>
          <xsd:sequence minOccurs="0">
            <xsd:element minOccurs="0" nillable="true" name="Header" form="qualified">
              <xsd:complexType>
                <xsd:sequence minOccurs="0">
                  <xsd:element minOccurs="0" ref="ns2:ESBServiceHeader"/>
                </xsd:sequence>
              </xsd:complexType>
            </xsd:element>
            <xsd:element minOccurs="0" nillable="true" name="Body" form="qualified">
              <xsd:complexType>
                <xsd:sequence minOccurs="0">
                  <xsd:element minOccurs="0" ref="ns1:EverestSubmission"/>
                </xsd:sequence>
              </xsd:complexType>
            </xsd:element>
          </xsd:sequence>
        </xsd:complexType>
      </xsd:element>
    </xsd:schema>
  </Schema>
  <Map ID="1" Name="Escape" RootElement="Envelope" SchemaID="Schema4" ShowImportExportValidationErrors="false" AutoFit="false" Append="false" PreserveSortAFLayout="true" PreserveFormat="true">
    <DataBinding FileBinding="true" ConnectionID="1" DataBindingLoadMode="1"/>
  </Map>
  <Map ID="2" Name="Escape2" RootElement="Envelope" SchemaID="Schema8" ShowImportExportValidationErrors="false" AutoFit="true" Append="false" PreserveSortAFLayout="true" PreserveFormat="true">
    <DataBinding FileBinding="true" ConnectionID="2"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openxmlformats.org/officeDocument/2006/relationships/xmlMaps" Target="xmlMaps.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2.emf"/><Relationship Id="rId1" Type="http://schemas.openxmlformats.org/officeDocument/2006/relationships/image" Target="../media/image11.emf"/><Relationship Id="rId6" Type="http://schemas.openxmlformats.org/officeDocument/2006/relationships/image" Target="../media/image16.emf"/><Relationship Id="rId5" Type="http://schemas.openxmlformats.org/officeDocument/2006/relationships/image" Target="../media/image15.emf"/><Relationship Id="rId4"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19050</xdr:colOff>
          <xdr:row>2</xdr:row>
          <xdr:rowOff>9525</xdr:rowOff>
        </xdr:from>
        <xdr:to>
          <xdr:col>8</xdr:col>
          <xdr:colOff>0</xdr:colOff>
          <xdr:row>4</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4</xdr:row>
          <xdr:rowOff>152400</xdr:rowOff>
        </xdr:from>
        <xdr:to>
          <xdr:col>8</xdr:col>
          <xdr:colOff>0</xdr:colOff>
          <xdr:row>6</xdr:row>
          <xdr:rowOff>142875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7</xdr:row>
          <xdr:rowOff>123825</xdr:rowOff>
        </xdr:from>
        <xdr:to>
          <xdr:col>8</xdr:col>
          <xdr:colOff>0</xdr:colOff>
          <xdr:row>10</xdr:row>
          <xdr:rowOff>38100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Coding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114300</xdr:colOff>
          <xdr:row>11</xdr:row>
          <xdr:rowOff>161925</xdr:rowOff>
        </xdr:from>
        <xdr:to>
          <xdr:col>4</xdr:col>
          <xdr:colOff>180975</xdr:colOff>
          <xdr:row>13</xdr:row>
          <xdr:rowOff>104775</xdr:rowOff>
        </xdr:to>
        <xdr:sp macro="" textlink="">
          <xdr:nvSpPr>
            <xdr:cNvPr id="3073" name="CheckBox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11</xdr:row>
          <xdr:rowOff>161925</xdr:rowOff>
        </xdr:from>
        <xdr:to>
          <xdr:col>5</xdr:col>
          <xdr:colOff>1247775</xdr:colOff>
          <xdr:row>13</xdr:row>
          <xdr:rowOff>104775</xdr:rowOff>
        </xdr:to>
        <xdr:sp macro="" textlink="">
          <xdr:nvSpPr>
            <xdr:cNvPr id="3074" name="CheckBox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1295400</xdr:colOff>
          <xdr:row>11</xdr:row>
          <xdr:rowOff>161925</xdr:rowOff>
        </xdr:from>
        <xdr:to>
          <xdr:col>6</xdr:col>
          <xdr:colOff>942975</xdr:colOff>
          <xdr:row>13</xdr:row>
          <xdr:rowOff>104775</xdr:rowOff>
        </xdr:to>
        <xdr:sp macro="" textlink="">
          <xdr:nvSpPr>
            <xdr:cNvPr id="3075" name="CheckBox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304800</xdr:colOff>
          <xdr:row>13</xdr:row>
          <xdr:rowOff>142875</xdr:rowOff>
        </xdr:from>
        <xdr:to>
          <xdr:col>7</xdr:col>
          <xdr:colOff>1323975</xdr:colOff>
          <xdr:row>15</xdr:row>
          <xdr:rowOff>85725</xdr:rowOff>
        </xdr:to>
        <xdr:sp macro="" textlink="">
          <xdr:nvSpPr>
            <xdr:cNvPr id="3076" name="CheckBox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1266825</xdr:colOff>
          <xdr:row>8</xdr:row>
          <xdr:rowOff>180975</xdr:rowOff>
        </xdr:from>
        <xdr:to>
          <xdr:col>7</xdr:col>
          <xdr:colOff>981075</xdr:colOff>
          <xdr:row>9</xdr:row>
          <xdr:rowOff>152400</xdr:rowOff>
        </xdr:to>
        <xdr:sp macro="" textlink="">
          <xdr:nvSpPr>
            <xdr:cNvPr id="3077" name="ComboBox1"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1076325</xdr:colOff>
          <xdr:row>13</xdr:row>
          <xdr:rowOff>142875</xdr:rowOff>
        </xdr:from>
        <xdr:to>
          <xdr:col>7</xdr:col>
          <xdr:colOff>238125</xdr:colOff>
          <xdr:row>15</xdr:row>
          <xdr:rowOff>85725</xdr:rowOff>
        </xdr:to>
        <xdr:sp macro="" textlink="">
          <xdr:nvSpPr>
            <xdr:cNvPr id="3078" name="CheckBox5"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13</xdr:row>
          <xdr:rowOff>142875</xdr:rowOff>
        </xdr:from>
        <xdr:to>
          <xdr:col>5</xdr:col>
          <xdr:colOff>485775</xdr:colOff>
          <xdr:row>15</xdr:row>
          <xdr:rowOff>85725</xdr:rowOff>
        </xdr:to>
        <xdr:sp macro="" textlink="">
          <xdr:nvSpPr>
            <xdr:cNvPr id="3079" name="CheckBox6"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1000125</xdr:colOff>
          <xdr:row>11</xdr:row>
          <xdr:rowOff>161925</xdr:rowOff>
        </xdr:from>
        <xdr:to>
          <xdr:col>7</xdr:col>
          <xdr:colOff>190500</xdr:colOff>
          <xdr:row>13</xdr:row>
          <xdr:rowOff>104775</xdr:rowOff>
        </xdr:to>
        <xdr:sp macro="" textlink="">
          <xdr:nvSpPr>
            <xdr:cNvPr id="3080" name="CheckBox7" hidden="1">
              <a:extLst>
                <a:ext uri="{63B3BB69-23CF-44E3-9099-C40C66FF867C}">
                  <a14:compatExt spid="_x0000_s3080"/>
                </a:ext>
                <a:ext uri="{FF2B5EF4-FFF2-40B4-BE49-F238E27FC236}">
                  <a16:creationId xmlns:a16="http://schemas.microsoft.com/office/drawing/2014/main" id="{00000000-0008-0000-0100-00000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533400</xdr:colOff>
          <xdr:row>13</xdr:row>
          <xdr:rowOff>142875</xdr:rowOff>
        </xdr:from>
        <xdr:to>
          <xdr:col>5</xdr:col>
          <xdr:colOff>1028700</xdr:colOff>
          <xdr:row>15</xdr:row>
          <xdr:rowOff>85725</xdr:rowOff>
        </xdr:to>
        <xdr:sp macro="" textlink="">
          <xdr:nvSpPr>
            <xdr:cNvPr id="3081" name="CheckBox8" hidden="1">
              <a:extLst>
                <a:ext uri="{63B3BB69-23CF-44E3-9099-C40C66FF867C}">
                  <a14:compatExt spid="_x0000_s3081"/>
                </a:ext>
                <a:ext uri="{FF2B5EF4-FFF2-40B4-BE49-F238E27FC236}">
                  <a16:creationId xmlns:a16="http://schemas.microsoft.com/office/drawing/2014/main" id="{00000000-0008-0000-0100-00000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857250</xdr:colOff>
          <xdr:row>0</xdr:row>
          <xdr:rowOff>152400</xdr:rowOff>
        </xdr:from>
        <xdr:to>
          <xdr:col>9</xdr:col>
          <xdr:colOff>371475</xdr:colOff>
          <xdr:row>1</xdr:row>
          <xdr:rowOff>209550</xdr:rowOff>
        </xdr:to>
        <xdr:sp macro="" textlink="">
          <xdr:nvSpPr>
            <xdr:cNvPr id="3082" name="ComboBox2" hidden="1">
              <a:extLst>
                <a:ext uri="{63B3BB69-23CF-44E3-9099-C40C66FF867C}">
                  <a14:compatExt spid="_x0000_s3082"/>
                </a:ext>
                <a:ext uri="{FF2B5EF4-FFF2-40B4-BE49-F238E27FC236}">
                  <a16:creationId xmlns:a16="http://schemas.microsoft.com/office/drawing/2014/main" id="{00000000-0008-0000-0100-00000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xdr:colOff>
          <xdr:row>0</xdr:row>
          <xdr:rowOff>104775</xdr:rowOff>
        </xdr:from>
        <xdr:to>
          <xdr:col>5</xdr:col>
          <xdr:colOff>981075</xdr:colOff>
          <xdr:row>1</xdr:row>
          <xdr:rowOff>142875</xdr:rowOff>
        </xdr:to>
        <xdr:sp macro="" textlink="">
          <xdr:nvSpPr>
            <xdr:cNvPr id="3084" name="Button 12" hidden="1">
              <a:extLst>
                <a:ext uri="{63B3BB69-23CF-44E3-9099-C40C66FF867C}">
                  <a14:compatExt spid="_x0000_s3084"/>
                </a:ext>
                <a:ext uri="{FF2B5EF4-FFF2-40B4-BE49-F238E27FC236}">
                  <a16:creationId xmlns:a16="http://schemas.microsoft.com/office/drawing/2014/main" id="{00000000-0008-0000-0100-00000C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1104900</xdr:colOff>
          <xdr:row>0</xdr:row>
          <xdr:rowOff>95250</xdr:rowOff>
        </xdr:from>
        <xdr:to>
          <xdr:col>6</xdr:col>
          <xdr:colOff>428625</xdr:colOff>
          <xdr:row>1</xdr:row>
          <xdr:rowOff>133350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100-00000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552450</xdr:colOff>
          <xdr:row>0</xdr:row>
          <xdr:rowOff>95250</xdr:rowOff>
        </xdr:from>
        <xdr:to>
          <xdr:col>6</xdr:col>
          <xdr:colOff>1257300</xdr:colOff>
          <xdr:row>1</xdr:row>
          <xdr:rowOff>171450</xdr:rowOff>
        </xdr:to>
        <xdr:sp macro="" textlink="">
          <xdr:nvSpPr>
            <xdr:cNvPr id="3086" name="Button 14" hidden="1">
              <a:extLst>
                <a:ext uri="{63B3BB69-23CF-44E3-9099-C40C66FF867C}">
                  <a14:compatExt spid="_x0000_s3086"/>
                </a:ext>
                <a:ext uri="{FF2B5EF4-FFF2-40B4-BE49-F238E27FC236}">
                  <a16:creationId xmlns:a16="http://schemas.microsoft.com/office/drawing/2014/main" id="{00000000-0008-0000-0100-00000E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Coding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0</xdr:row>
          <xdr:rowOff>76200</xdr:rowOff>
        </xdr:from>
        <xdr:to>
          <xdr:col>10</xdr:col>
          <xdr:colOff>857250</xdr:colOff>
          <xdr:row>1</xdr:row>
          <xdr:rowOff>171450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100-00000F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Pre-Populate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57150</xdr:colOff>
          <xdr:row>29</xdr:row>
          <xdr:rowOff>57150</xdr:rowOff>
        </xdr:from>
        <xdr:to>
          <xdr:col>3</xdr:col>
          <xdr:colOff>1152525</xdr:colOff>
          <xdr:row>30</xdr:row>
          <xdr:rowOff>133350</xdr:rowOff>
        </xdr:to>
        <xdr:sp macro="" textlink="">
          <xdr:nvSpPr>
            <xdr:cNvPr id="5121" name="CheckBox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29</xdr:row>
          <xdr:rowOff>0</xdr:rowOff>
        </xdr:from>
        <xdr:to>
          <xdr:col>9</xdr:col>
          <xdr:colOff>0</xdr:colOff>
          <xdr:row>30</xdr:row>
          <xdr:rowOff>76200</xdr:rowOff>
        </xdr:to>
        <xdr:sp macro="" textlink="">
          <xdr:nvSpPr>
            <xdr:cNvPr id="5122" name="CheckBox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57150</xdr:colOff>
          <xdr:row>29</xdr:row>
          <xdr:rowOff>0</xdr:rowOff>
        </xdr:from>
        <xdr:to>
          <xdr:col>15</xdr:col>
          <xdr:colOff>1038225</xdr:colOff>
          <xdr:row>30</xdr:row>
          <xdr:rowOff>76200</xdr:rowOff>
        </xdr:to>
        <xdr:sp macro="" textlink="">
          <xdr:nvSpPr>
            <xdr:cNvPr id="5123" name="CheckBox3" hidden="1">
              <a:extLst>
                <a:ext uri="{63B3BB69-23CF-44E3-9099-C40C66FF867C}">
                  <a14:compatExt spid="_x0000_s5123"/>
                </a:ext>
                <a:ext uri="{FF2B5EF4-FFF2-40B4-BE49-F238E27FC236}">
                  <a16:creationId xmlns:a16="http://schemas.microsoft.com/office/drawing/2014/main" id="{00000000-0008-0000-02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57150</xdr:colOff>
          <xdr:row>47</xdr:row>
          <xdr:rowOff>38100</xdr:rowOff>
        </xdr:from>
        <xdr:to>
          <xdr:col>16</xdr:col>
          <xdr:colOff>0</xdr:colOff>
          <xdr:row>47</xdr:row>
          <xdr:rowOff>304800</xdr:rowOff>
        </xdr:to>
        <xdr:sp macro="" textlink="">
          <xdr:nvSpPr>
            <xdr:cNvPr id="5124" name="CheckBox4" hidden="1">
              <a:extLst>
                <a:ext uri="{63B3BB69-23CF-44E3-9099-C40C66FF867C}">
                  <a14:compatExt spid="_x0000_s5124"/>
                </a:ext>
                <a:ext uri="{FF2B5EF4-FFF2-40B4-BE49-F238E27FC236}">
                  <a16:creationId xmlns:a16="http://schemas.microsoft.com/office/drawing/2014/main" id="{00000000-0008-0000-02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47</xdr:row>
          <xdr:rowOff>9525</xdr:rowOff>
        </xdr:from>
        <xdr:to>
          <xdr:col>9</xdr:col>
          <xdr:colOff>0</xdr:colOff>
          <xdr:row>47</xdr:row>
          <xdr:rowOff>266700</xdr:rowOff>
        </xdr:to>
        <xdr:sp macro="" textlink="">
          <xdr:nvSpPr>
            <xdr:cNvPr id="5125" name="CheckBox5" hidden="1">
              <a:extLst>
                <a:ext uri="{63B3BB69-23CF-44E3-9099-C40C66FF867C}">
                  <a14:compatExt spid="_x0000_s5125"/>
                </a:ext>
                <a:ext uri="{FF2B5EF4-FFF2-40B4-BE49-F238E27FC236}">
                  <a16:creationId xmlns:a16="http://schemas.microsoft.com/office/drawing/2014/main" id="{00000000-0008-0000-02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46</xdr:row>
          <xdr:rowOff>352425</xdr:rowOff>
        </xdr:from>
        <xdr:to>
          <xdr:col>3</xdr:col>
          <xdr:colOff>1047750</xdr:colOff>
          <xdr:row>47</xdr:row>
          <xdr:rowOff>209550</xdr:rowOff>
        </xdr:to>
        <xdr:sp macro="" textlink="">
          <xdr:nvSpPr>
            <xdr:cNvPr id="5126" name="CheckBox6" hidden="1">
              <a:extLst>
                <a:ext uri="{63B3BB69-23CF-44E3-9099-C40C66FF867C}">
                  <a14:compatExt spid="_x0000_s5126"/>
                </a:ext>
                <a:ext uri="{FF2B5EF4-FFF2-40B4-BE49-F238E27FC236}">
                  <a16:creationId xmlns:a16="http://schemas.microsoft.com/office/drawing/2014/main" id="{00000000-0008-0000-0200-00000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171450</xdr:colOff>
          <xdr:row>46</xdr:row>
          <xdr:rowOff>38100</xdr:rowOff>
        </xdr:from>
        <xdr:to>
          <xdr:col>16</xdr:col>
          <xdr:colOff>28575</xdr:colOff>
          <xdr:row>46</xdr:row>
          <xdr:rowOff>333375</xdr:rowOff>
        </xdr:to>
        <xdr:sp macro="" textlink="">
          <xdr:nvSpPr>
            <xdr:cNvPr id="5134" name="Button 14" hidden="1">
              <a:extLst>
                <a:ext uri="{63B3BB69-23CF-44E3-9099-C40C66FF867C}">
                  <a14:compatExt spid="_x0000_s5134"/>
                </a:ext>
                <a:ext uri="{FF2B5EF4-FFF2-40B4-BE49-F238E27FC236}">
                  <a16:creationId xmlns:a16="http://schemas.microsoft.com/office/drawing/2014/main" id="{00000000-0008-0000-0200-00000E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Enter Amount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NFS1\share\EVCAN\Data%20Entry%20Sheets%20and%20Raters\Raters%20-%20PROD%20versions\2011\Analysis\New%20Templates%20in%20Development\ESU%20CML-2012%20Price%20Monitoring%20Template.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BDX%20Coding%20Tables"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Private%20Co%20%20Cyber%20Rating-v1.4.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MR Format"/>
      <sheetName val="Renewal-Excess"/>
      <sheetName val="Renewal-Primary"/>
      <sheetName val="New Business-Excess"/>
      <sheetName val="New Business-Primary"/>
      <sheetName val="AUM Bands"/>
      <sheetName val="ILFs"/>
      <sheetName val="Tables"/>
    </sheetNames>
    <sheetDataSet>
      <sheetData sheetId="0">
        <row r="2">
          <cell r="AB2" t="str">
            <v>E&amp;O</v>
          </cell>
        </row>
      </sheetData>
      <sheetData sheetId="1">
        <row r="2">
          <cell r="AW2" t="str">
            <v>E&amp;O</v>
          </cell>
        </row>
      </sheetData>
      <sheetData sheetId="2">
        <row r="2">
          <cell r="AW2" t="str">
            <v>E&amp;O</v>
          </cell>
        </row>
      </sheetData>
      <sheetData sheetId="3"/>
      <sheetData sheetId="4" refreshError="1"/>
      <sheetData sheetId="5">
        <row r="4">
          <cell r="B4">
            <v>1</v>
          </cell>
        </row>
      </sheetData>
      <sheetData sheetId="6">
        <row r="7">
          <cell r="A7">
            <v>25000</v>
          </cell>
        </row>
      </sheetData>
      <sheetData sheetId="7">
        <row r="2">
          <cell r="A2" t="str">
            <v>E&amp;O</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X Coding Tables"/>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ccount Info"/>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16000000}" name="Table26" displayName="Table26" ref="B28:B29" tableType="xml" totalsRowShown="0" headerRowDxfId="11" connectionId="1">
  <autoFilter ref="B28:B29" xr:uid="{00000000-0009-0000-0100-000001000000}"/>
  <tableColumns count="1">
    <tableColumn id="1" xr3:uid="{00000000-0010-0000-1600-000001000000}" uniqueName="PolicyNbr" name="PolicyNbr">
      <xmlColumnPr mapId="1" xpath="/ns1:Envelope/ns1:Body/ns2:EverestSubmission/Policy/PolicyNbr" xmlDataType="string"/>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17000000}" name="Table27" displayName="Table27" ref="B31:B32" tableType="xml" totalsRowShown="0" headerRowDxfId="10" connectionId="1">
  <autoFilter ref="B31:B32" xr:uid="{00000000-0009-0000-0100-000002000000}"/>
  <tableColumns count="1">
    <tableColumn id="1" xr3:uid="{00000000-0010-0000-1700-000001000000}" uniqueName="PolicyVersionNbr" name="PolicyVersionNbr">
      <xmlColumnPr mapId="1" xpath="/ns1:Envelope/ns1:Body/ns2:EverestSubmission/Policy/PolicyVersionNbr" xmlDataType="string"/>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18000000}" name="Table28" displayName="Table28" ref="B34:B35" tableType="xml" totalsRowShown="0" headerRowDxfId="9" connectionId="1">
  <autoFilter ref="B34:B35" xr:uid="{00000000-0009-0000-0100-000003000000}"/>
  <tableColumns count="1">
    <tableColumn id="1" xr3:uid="{00000000-0010-0000-1800-000001000000}" uniqueName="BillTypeDesc" name="BillTypeDesc">
      <xmlColumnPr mapId="1" xpath="/ns1:Envelope/ns1:Body/ns2:EverestSubmission/Policy/BillTypeDesc" xmlDataType="string"/>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19000000}" name="Table29" displayName="Table29" ref="B37:B38" tableType="xml" totalsRowShown="0" headerRowDxfId="8" connectionId="1">
  <autoFilter ref="B37:B38" xr:uid="{00000000-0009-0000-0100-000004000000}"/>
  <tableColumns count="1">
    <tableColumn id="1" xr3:uid="{00000000-0010-0000-1900-000001000000}" uniqueName="ProducerAddressLine1" name="ProducerAddressLine1">
      <xmlColumnPr mapId="1" xpath="/ns1:Envelope/ns1:Body/ns2:EverestSubmission/Policy/ProducerAddressLine1" xmlDataType="string"/>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1A000000}" name="Table30" displayName="Table30" ref="B40:B41" tableType="xml" totalsRowShown="0" headerRowDxfId="7" connectionId="1">
  <autoFilter ref="B40:B41" xr:uid="{00000000-0009-0000-0100-000005000000}"/>
  <tableColumns count="1">
    <tableColumn id="1" xr3:uid="{00000000-0010-0000-1A00-000001000000}" uniqueName="ProducerAddressLine2" name="ProducerAddressLine2">
      <xmlColumnPr mapId="1" xpath="/ns1:Envelope/ns1:Body/ns2:EverestSubmission/Policy/ProducerAddressLine2" xmlDataType="string"/>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1B000000}" name="Table31" displayName="Table31" ref="B43:B44" tableType="xml" totalsRowShown="0" headerRowDxfId="6" connectionId="1">
  <autoFilter ref="B43:B44" xr:uid="{00000000-0009-0000-0100-000006000000}"/>
  <tableColumns count="1">
    <tableColumn id="1" xr3:uid="{00000000-0010-0000-1B00-000001000000}" uniqueName="ProducerAddressLine3" name="ProducerAddressLine3">
      <xmlColumnPr mapId="1" xpath="/ns1:Envelope/ns1:Body/ns2:EverestSubmission/Policy/ProducerAddressLine3" xmlDataType="string"/>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1C000000}" name="Table32" displayName="Table32" ref="B46:B47" tableType="xml" totalsRowShown="0" headerRowDxfId="5" connectionId="1">
  <autoFilter ref="B46:B47" xr:uid="{00000000-0009-0000-0100-000007000000}"/>
  <tableColumns count="1">
    <tableColumn id="1" xr3:uid="{00000000-0010-0000-1C00-000001000000}" uniqueName="ProducerAddressCity" name="ProducerAddressCity">
      <xmlColumnPr mapId="1" xpath="/ns1:Envelope/ns1:Body/ns2:EverestSubmission/Policy/ProducerAddressCity" xmlDataType="string"/>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1D000000}" name="Table33" displayName="Table33" ref="B49:B50" tableType="xml" totalsRowShown="0" headerRowDxfId="4" connectionId="1">
  <autoFilter ref="B49:B50" xr:uid="{00000000-0009-0000-0100-000008000000}"/>
  <tableColumns count="1">
    <tableColumn id="1" xr3:uid="{00000000-0010-0000-1D00-000001000000}" uniqueName="ProducerStateCd" name="ProducerStateCd">
      <xmlColumnPr mapId="1" xpath="/ns1:Envelope/ns1:Body/ns2:EverestSubmission/Policy/ProducerStateCd" xmlDataType="string"/>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1E000000}" name="Table34" displayName="Table34" ref="B52:B53" tableType="xml" totalsRowShown="0" headerRowDxfId="3" connectionId="1">
  <autoFilter ref="B52:B53" xr:uid="{00000000-0009-0000-0100-000009000000}"/>
  <tableColumns count="1">
    <tableColumn id="1" xr3:uid="{00000000-0010-0000-1E00-000001000000}" uniqueName="ProducerZipCd" name="ProducerZipCd">
      <xmlColumnPr mapId="1" xpath="/ns1:Envelope/ns1:Body/ns2:EverestSubmission/Policy/ProducerZipCd" xmlDataType="integer"/>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1F000000}" name="Table19" displayName="Table19" ref="B55:B56" tableType="xml" totalsRowShown="0" headerRowDxfId="2" connectionId="1">
  <autoFilter ref="B55:B56" xr:uid="{00000000-0009-0000-0100-00000A000000}"/>
  <tableColumns count="1">
    <tableColumn id="1" xr3:uid="{00000000-0010-0000-1F00-000001000000}" uniqueName="EverestExpiringPolicyNbr" name="EverestExpiringPolicyNbr">
      <xmlColumnPr mapId="1" xpath="/ns1:Envelope/ns1:Body/ns2:EverestSubmission/Policy/EverestExpiringPolicyNbr" xmlDataType="string"/>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20000000}" name="Table25" displayName="Table25" ref="B58:B59" tableType="xml" totalsRowShown="0" headerRowDxfId="1" connectionId="1">
  <autoFilter ref="B58:B59" xr:uid="{00000000-0009-0000-0100-00000B000000}"/>
  <tableColumns count="1">
    <tableColumn id="1" xr3:uid="{00000000-0010-0000-2000-000001000000}" uniqueName="EverestExpiringPolicyVersionNbr" name="EverestExpiringPolicyVersionNbr">
      <xmlColumnPr mapId="1" xpath="/ns1:Envelope/ns1:Body/ns2:EverestSubmission/Policy/EverestExpiringPolicyVersionNbr" xmlDataType="string"/>
    </tableColumn>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21000000}" name="Table45" displayName="Table45" ref="B61:B62" tableType="xml" totalsRowShown="0" headerRowDxfId="0" connectionId="1">
  <autoFilter ref="B61:B62" xr:uid="{00000000-0009-0000-0100-00002D000000}"/>
  <tableColumns count="1">
    <tableColumn id="1" xr3:uid="{00000000-0010-0000-2100-000001000000}" uniqueName="PaymentPlanDesc" name="PaymentPlanDesc">
      <xmlColumnPr mapId="1" xpath="/ns1:Envelope/ns1:Body/ns2:EverestSubmission/Policy/PaymentPlanDesc" xmlDataType="string"/>
    </tableColumn>
  </tableColumns>
  <tableStyleInfo name="TableStyleMedium2" showFirstColumn="0" showLastColumn="0" showRowStripes="1" showColumnStripes="0"/>
</table>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27" xr6:uid="{00000000-000C-0000-FFFF-FFFF00000000}" r="B24" connectionId="1">
    <xmlCellPr id="1" xr6:uid="{00000000-0010-0000-0000-000001000000}" uniqueName="UnderwriterName">
      <xmlPr mapId="1" xpath="/ns1:Envelope/ns1:Body/ns2:EverestSubmission/Submission/UnderwriterName" xmlDataType="string"/>
    </xmlCellPr>
  </singleXmlCell>
  <singleXmlCell id="28" xr6:uid="{00000000-000C-0000-FFFF-FFFF01000000}" r="B29" connectionId="1">
    <xmlCellPr id="1" xr6:uid="{00000000-0010-0000-0100-000001000000}" uniqueName="UnderwriterAssistantName">
      <xmlPr mapId="1" xpath="/ns1:Envelope/ns1:Body/ns2:EverestSubmission/Submission/UnderwriterAssistantName" xmlDataType="string"/>
    </xmlCellPr>
  </singleXmlCell>
  <singleXmlCell id="29" xr6:uid="{00000000-000C-0000-FFFF-FFFF02000000}" r="B8" connectionId="1">
    <xmlCellPr id="1" xr6:uid="{00000000-0010-0000-0200-000001000000}" uniqueName="SubmissionEffDt">
      <xmlPr mapId="1" xpath="/ns1:Envelope/ns1:Body/ns2:EverestSubmission/Submission/SubmissionEffDt" xmlDataType="dateTime"/>
    </xmlCellPr>
  </singleXmlCell>
  <singleXmlCell id="30" xr6:uid="{00000000-000C-0000-FFFF-FFFF03000000}" r="B9" connectionId="1">
    <xmlCellPr id="1" xr6:uid="{00000000-0010-0000-0300-000001000000}" uniqueName="SubmissionExpDt">
      <xmlPr mapId="1" xpath="/ns1:Envelope/ns1:Body/ns2:EverestSubmission/Submission/SubmissionExpDt" xmlDataType="dateTime"/>
    </xmlCellPr>
  </singleXmlCell>
  <singleXmlCell id="32" xr6:uid="{00000000-000C-0000-FFFF-FFFF04000000}" r="B3" connectionId="1">
    <xmlCellPr id="1" xr6:uid="{00000000-0010-0000-0400-000001000000}" uniqueName="AddressLine1">
      <xmlPr mapId="1" xpath="/ns1:Envelope/ns1:Body/ns2:EverestSubmission/Account/AddressLine1" xmlDataType="string"/>
    </xmlCellPr>
  </singleXmlCell>
  <singleXmlCell id="33" xr6:uid="{00000000-000C-0000-FFFF-FFFF05000000}" r="B4" connectionId="1">
    <xmlCellPr id="1" xr6:uid="{00000000-0010-0000-0500-000001000000}" uniqueName="AddressLine2">
      <xmlPr mapId="1" xpath="/ns1:Envelope/ns1:Body/ns2:EverestSubmission/Account/AddressLine2" xmlDataType="string"/>
    </xmlCellPr>
  </singleXmlCell>
  <singleXmlCell id="34" xr6:uid="{00000000-000C-0000-FFFF-FFFF06000000}" r="B5" connectionId="1">
    <xmlCellPr id="1" xr6:uid="{00000000-0010-0000-0600-000001000000}" uniqueName="CityName">
      <xmlPr mapId="1" xpath="/ns1:Envelope/ns1:Body/ns2:EverestSubmission/Account/CityName" xmlDataType="string"/>
    </xmlCellPr>
  </singleXmlCell>
  <singleXmlCell id="35" xr6:uid="{00000000-000C-0000-FFFF-FFFF07000000}" r="B6" connectionId="1">
    <xmlCellPr id="1" xr6:uid="{00000000-0010-0000-0700-000001000000}" uniqueName="StateAbbrCd">
      <xmlPr mapId="1" xpath="/ns1:Envelope/ns1:Body/ns2:EverestSubmission/Account/StateAbbrCd" xmlDataType="string"/>
    </xmlCellPr>
  </singleXmlCell>
  <singleXmlCell id="36" xr6:uid="{00000000-000C-0000-FFFF-FFFF08000000}" r="B7" connectionId="1">
    <xmlCellPr id="1" xr6:uid="{00000000-0010-0000-0800-000001000000}" uniqueName="ZipCd">
      <xmlPr mapId="1" xpath="/ns1:Envelope/ns1:Body/ns2:EverestSubmission/Account/ZipCd" xmlDataType="integer"/>
    </xmlCellPr>
  </singleXmlCell>
  <singleXmlCell id="37" xr6:uid="{00000000-000C-0000-FFFF-FFFF09000000}" r="B13" connectionId="1">
    <xmlCellPr id="1" xr6:uid="{00000000-0010-0000-0900-000001000000}" uniqueName="ProducerName">
      <xmlPr mapId="1" xpath="/ns1:Envelope/ns1:Body/ns2:EverestSubmission/Submission/ProducerName" xmlDataType="string"/>
    </xmlCellPr>
  </singleXmlCell>
  <singleXmlCell id="38" xr6:uid="{00000000-000C-0000-FFFF-FFFF0A000000}" r="B31" connectionId="1">
    <xmlCellPr id="1" xr6:uid="{00000000-0010-0000-0A00-000001000000}" uniqueName="SubmissionTypeDesc">
      <xmlPr mapId="1" xpath="/ns1:Envelope/ns1:Body/ns2:EverestSubmission/Submission/SubmissionTypeDesc" xmlDataType="string"/>
    </xmlCellPr>
  </singleXmlCell>
  <singleXmlCell id="40" xr6:uid="{00000000-000C-0000-FFFF-FFFF0B000000}" r="B38" connectionId="1">
    <xmlCellPr id="1" xr6:uid="{00000000-0010-0000-0B00-000001000000}" uniqueName="SICCd">
      <xmlPr mapId="1" xpath="/ns1:Envelope/ns1:Body/ns2:EverestSubmission/Submission/SICCd" xmlDataType="string"/>
    </xmlCellPr>
  </singleXmlCell>
  <singleXmlCell id="41" xr6:uid="{00000000-000C-0000-FFFF-FFFF0C000000}" r="B39" connectionId="1">
    <xmlCellPr id="1" xr6:uid="{00000000-0010-0000-0C00-000001000000}" uniqueName="SICDesc">
      <xmlPr mapId="1" xpath="/ns1:Envelope/ns1:Body/ns2:EverestSubmission/Submission/SICDesc" xmlDataType="string"/>
    </xmlCellPr>
  </singleXmlCell>
  <singleXmlCell id="42" xr6:uid="{00000000-000C-0000-FFFF-FFFF0D000000}" r="B36" connectionId="1">
    <xmlCellPr id="1" xr6:uid="{00000000-0010-0000-0D00-000001000000}" uniqueName="NAICSCd">
      <xmlPr mapId="1" xpath="/ns1:Envelope/ns1:Body/ns2:EverestSubmission/Submission/NAICSCd" xmlDataType="integer"/>
    </xmlCellPr>
  </singleXmlCell>
  <singleXmlCell id="43" xr6:uid="{00000000-000C-0000-FFFF-FFFF0E000000}" r="B37" connectionId="1">
    <xmlCellPr id="1" xr6:uid="{00000000-0010-0000-0E00-000001000000}" uniqueName="NAICSDesc">
      <xmlPr mapId="1" xpath="/ns1:Envelope/ns1:Body/ns2:EverestSubmission/Submission/NAICSDesc" xmlDataType="string"/>
    </xmlCellPr>
  </singleXmlCell>
  <singleXmlCell id="44" xr6:uid="{00000000-000C-0000-FFFF-FFFF0F000000}" r="B35" connectionId="1">
    <xmlCellPr id="1" xr6:uid="{00000000-0010-0000-0F00-000001000000}" uniqueName="CompanyName">
      <xmlPr mapId="1" xpath="/ns1:Envelope/ns1:Body/ns2:EverestSubmission/Submission/CompanyName" xmlDataType="string"/>
    </xmlCellPr>
  </singleXmlCell>
  <singleXmlCell id="46" xr6:uid="{00000000-000C-0000-FFFF-FFFF10000000}" r="B41" connectionId="1">
    <xmlCellPr id="1" xr6:uid="{00000000-0010-0000-1000-000001000000}" uniqueName="DistributionChannelDesc">
      <xmlPr mapId="1" xpath="/ns1:Envelope/ns1:Body/ns2:EverestSubmission/Submission/DistributionChannelDesc" xmlDataType="string"/>
    </xmlCellPr>
  </singleXmlCell>
  <singleXmlCell id="47" xr6:uid="{00000000-000C-0000-FFFF-FFFF11000000}" r="B42" connectionId="1">
    <xmlCellPr id="1" xr6:uid="{00000000-0010-0000-1100-000001000000}" uniqueName="BusinessSegmentDesc">
      <xmlPr mapId="1" xpath="/ns1:Envelope/ns1:Body/ns2:EverestSubmission/Submission/BusinessSegmentDesc" xmlDataType="string"/>
    </xmlCellPr>
  </singleXmlCell>
  <singleXmlCell id="48" xr6:uid="{00000000-000C-0000-FFFF-FFFF12000000}" r="B43" connectionId="1">
    <xmlCellPr id="1" xr6:uid="{00000000-0010-0000-1200-000001000000}" uniqueName="MarketSegmentDesc">
      <xmlPr mapId="1" xpath="/ns1:Envelope/ns1:Body/ns2:EverestSubmission/Submission/MarketSegmentDesc" xmlDataType="string"/>
    </xmlCellPr>
  </singleXmlCell>
  <singleXmlCell id="49" xr6:uid="{00000000-000C-0000-FFFF-FFFF13000000}" r="B44" connectionId="1">
    <xmlCellPr id="1" xr6:uid="{00000000-0010-0000-1300-000001000000}" uniqueName="BranchOfficeName">
      <xmlPr mapId="1" xpath="/ns1:Envelope/ns1:Body/ns2:EverestSubmission/Submission/BranchOfficeName" xmlDataType="string"/>
    </xmlCellPr>
  </singleXmlCell>
  <singleXmlCell id="50" xr6:uid="{00000000-000C-0000-FFFF-FFFF14000000}" r="B45" connectionId="1">
    <xmlCellPr id="1" xr6:uid="{00000000-0010-0000-1400-000001000000}" uniqueName="SubmissionStatusDesc">
      <xmlPr mapId="1" xpath="/ns1:Envelope/ns1:Body/ns2:EverestSubmission/Submission/SubmissionStatusDesc" xmlDataType="string"/>
    </xmlCellPr>
  </singleXmlCell>
  <singleXmlCell id="31" xr6:uid="{00000000-000C-0000-FFFF-FFFF15000000}" r="B2" connectionId="2">
    <xmlCellPr id="1" xr6:uid="{00000000-0010-0000-1500-000001000000}" uniqueName="FullInsuredName">
      <xmlPr mapId="2" xpath="/ns1:Envelope/ns1:Body/ns2:EverestSubmission/Account/FullInsuredName" xmlDataType="string"/>
    </xmlCellPr>
  </singleXmlCell>
</singleXmlCells>
</file>

<file path=xl/tables/tableSingleCells2.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12" xr6:uid="{00000000-000C-0000-FFFF-FFFF22000000}" r="C2" connectionId="1">
    <xmlCellPr id="1" xr6:uid="{00000000-0010-0000-2200-000001000000}" uniqueName="SubmissionNbr">
      <xmlPr mapId="1" xpath="/ns1:Envelope/ns1:Body/ns2:EverestSubmission/Submission/SubmissionNbr" xmlDataType="integer"/>
    </xmlCellPr>
  </singleXmlCell>
  <singleXmlCell id="13" xr6:uid="{00000000-000C-0000-FFFF-FFFF23000000}" r="C3" connectionId="1">
    <xmlCellPr id="1" xr6:uid="{00000000-0010-0000-2300-000001000000}" uniqueName="SubmissionVersionNbr">
      <xmlPr mapId="1" xpath="/ns1:Envelope/ns1:Body/ns2:EverestSubmission/Submission/SubmissionVersionNbr" xmlDataType="integer"/>
    </xmlCellPr>
  </singleXmlCell>
  <singleXmlCell id="19" xr6:uid="{00000000-000C-0000-FFFF-FFFF24000000}" r="C11" connectionId="1">
    <xmlCellPr id="1" xr6:uid="{00000000-0010-0000-2400-000001000000}" uniqueName="PredominantStateName">
      <xmlPr mapId="1" xpath="/ns1:Envelope/ns1:Body/ns2:EverestSubmission/Submission/PredominantStateName" xmlDataType="string"/>
    </xmlCellPr>
  </singleXmlCell>
  <singleXmlCell id="20" xr6:uid="{00000000-000C-0000-FFFF-FFFF25000000}" r="C10" connectionId="1">
    <xmlCellPr id="1" xr6:uid="{00000000-0010-0000-2500-000001000000}" uniqueName="PredominantStateCd">
      <xmlPr mapId="1" xpath="/ns1:Envelope/ns1:Body/ns2:EverestSubmission/Submission/PredominantStateCd" xmlDataType="string"/>
    </xmlCellPr>
  </singleXmlCell>
  <singleXmlCell id="21" xr6:uid="{00000000-000C-0000-FFFF-FFFF26000000}" r="C12" connectionId="1">
    <xmlCellPr id="1" xr6:uid="{00000000-0010-0000-2600-000001000000}" uniqueName="SubmittedLOBDesc">
      <xmlPr mapId="1" xpath="/ns1:Envelope/ns1:Body/ns2:EverestSubmission/Submission/SubmittedLOBDesc" xmlDataType="string"/>
    </xmlCellPr>
  </singleXmlCell>
  <singleXmlCell id="22" xr6:uid="{00000000-000C-0000-FFFF-FFFF27000000}" r="C14" connectionId="1">
    <xmlCellPr id="1" xr6:uid="{00000000-0010-0000-2700-000001000000}" uniqueName="AccountNbr">
      <xmlPr mapId="1" xpath="/ns1:Envelope/ns1:Body/ns2:EverestSubmission/Account/AccountNbr" xmlDataType="integer"/>
    </xmlCellPr>
  </singleXmlCell>
  <singleXmlCell id="23" xr6:uid="{00000000-000C-0000-FFFF-FFFF28000000}" r="C15" connectionId="1">
    <xmlCellPr id="1" xr6:uid="{00000000-0010-0000-2800-000001000000}" uniqueName="AccountVersionNbr">
      <xmlPr mapId="1" xpath="/ns1:Envelope/ns1:Body/ns2:EverestSubmission/Account/AccountVersionNbr" xmlDataType="integer"/>
    </xmlCellPr>
  </singleXmlCell>
  <singleXmlCell id="24" xr6:uid="{00000000-000C-0000-FFFF-FFFF29000000}" r="C18" connectionId="1">
    <xmlCellPr id="1" xr6:uid="{00000000-0010-0000-2900-000001000000}" uniqueName="BranchOfficeCd">
      <xmlPr mapId="1" xpath="/ns1:Envelope/ns1:Body/ns2:EverestSubmission/Submission/BranchOfficeCd" xmlDataType="integer"/>
    </xmlCellPr>
  </singleXmlCell>
  <singleXmlCell id="25" xr6:uid="{00000000-000C-0000-FFFF-FFFF2A000000}" r="C20" connectionId="1">
    <xmlCellPr id="1" xr6:uid="{00000000-0010-0000-2A00-000001000000}" uniqueName="ProducerOfficeCd">
      <xmlPr mapId="1" xpath="/ns1:Envelope/ns1:Body/ns2:EverestSubmission/Submission/ProducerOfficeCd" xmlDataType="integer"/>
    </xmlCellPr>
  </singleXmlCell>
  <singleXmlCell id="26" xr6:uid="{00000000-000C-0000-FFFF-FFFF2B000000}" r="C21" connectionId="1">
    <xmlCellPr id="1" xr6:uid="{00000000-0010-0000-2B00-000001000000}" uniqueName="WINSAgentCd">
      <xmlPr mapId="1" xpath="/ns1:Envelope/ns1:Body/ns2:EverestSubmission/Submission/WINSAgentCd" xmlDataType="string"/>
    </xmlCellPr>
  </singleXmlCell>
  <singleXmlCell id="14" xr6:uid="{00000000-000C-0000-FFFF-FFFF2C000000}" r="C7" connectionId="1">
    <xmlCellPr id="1" xr6:uid="{00000000-0010-0000-2C00-000001000000}" uniqueName="MarketSegmentCd">
      <xmlPr mapId="1" xpath="/ns1:Envelope/ns1:Body/ns2:EverestSubmission/Submission/MarketSegmentCd" xmlDataType="string"/>
    </xmlCellPr>
  </singleXmlCell>
  <singleXmlCell id="15" xr6:uid="{00000000-000C-0000-FFFF-FFFF2D000000}" r="C6" connectionId="1">
    <xmlCellPr id="1" xr6:uid="{00000000-0010-0000-2D00-000001000000}" uniqueName="BusinessSegmentCd">
      <xmlPr mapId="1" xpath="/ns1:Envelope/ns1:Body/ns2:EverestSubmission/Submission/BusinessSegmentCd" xmlDataType="string"/>
    </xmlCellPr>
  </singleXmlCell>
  <singleXmlCell id="16" xr6:uid="{00000000-000C-0000-FFFF-FFFF2E000000}" r="C5" connectionId="1">
    <xmlCellPr id="1" xr6:uid="{00000000-0010-0000-2E00-000001000000}" uniqueName="DistributionChannelCd">
      <xmlPr mapId="1" xpath="/ns1:Envelope/ns1:Body/ns2:EverestSubmission/Submission/DistributionChannelCd" xmlDataType="integer"/>
    </xmlCellPr>
  </singleXmlCell>
  <singleXmlCell id="17" xr6:uid="{00000000-000C-0000-FFFF-FFFF2F000000}" r="C8" connectionId="1">
    <xmlCellPr id="1" xr6:uid="{00000000-0010-0000-2F00-000001000000}" uniqueName="CompanyCd">
      <xmlPr mapId="1" xpath="/ns1:Envelope/ns1:Body/ns2:EverestSubmission/Submission/CompanyCd" xmlDataType="integer"/>
    </xmlCellPr>
  </singleXmlCell>
  <singleXmlCell id="18" xr6:uid="{00000000-000C-0000-FFFF-FFFF30000000}" r="C9" connectionId="1">
    <xmlCellPr id="1" xr6:uid="{00000000-0010-0000-3000-000001000000}" uniqueName="PDQuoteNbr">
      <xmlPr mapId="1" xpath="/ns1:Envelope/ns1:Body/ns2:EverestSubmission/Submission/PDQuoteNbr" xmlDataType="integer"/>
    </xmlCellPr>
  </singleXmlCell>
  <singleXmlCell id="39" xr6:uid="{00000000-000C-0000-FFFF-FFFF31000000}" r="C19" connectionId="1">
    <xmlCellPr id="1" xr6:uid="{00000000-0010-0000-3100-000001000000}" uniqueName="FEINNbr2">
      <xmlPr mapId="1" xpath="/ns1:Envelope/ns1:Body/ns2:EverestSubmission/Account/FEINNbr2"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SingleCells" Target="../tables/tableSingleCell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trlProp" Target="../ctrlProps/ctrlProp6.xml"/><Relationship Id="rId3" Type="http://schemas.openxmlformats.org/officeDocument/2006/relationships/vmlDrawing" Target="../drawings/vmlDrawing2.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ctrlProp" Target="../ctrlProps/ctrlProp5.xml"/><Relationship Id="rId2" Type="http://schemas.openxmlformats.org/officeDocument/2006/relationships/drawing" Target="../drawings/drawing2.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trlProp" Target="../ctrlProps/ctrlProp4.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3.xml"/><Relationship Id="rId13" Type="http://schemas.openxmlformats.org/officeDocument/2006/relationships/image" Target="../media/image15.emf"/><Relationship Id="rId3" Type="http://schemas.openxmlformats.org/officeDocument/2006/relationships/vmlDrawing" Target="../drawings/vmlDrawing3.vml"/><Relationship Id="rId7" Type="http://schemas.openxmlformats.org/officeDocument/2006/relationships/image" Target="../media/image12.emf"/><Relationship Id="rId12" Type="http://schemas.openxmlformats.org/officeDocument/2006/relationships/control" Target="../activeX/activeX15.xml"/><Relationship Id="rId2" Type="http://schemas.openxmlformats.org/officeDocument/2006/relationships/drawing" Target="../drawings/drawing3.xml"/><Relationship Id="rId16" Type="http://schemas.openxmlformats.org/officeDocument/2006/relationships/ctrlProp" Target="../ctrlProps/ctrlProp8.xml"/><Relationship Id="rId1" Type="http://schemas.openxmlformats.org/officeDocument/2006/relationships/printerSettings" Target="../printerSettings/printerSettings3.bin"/><Relationship Id="rId6" Type="http://schemas.openxmlformats.org/officeDocument/2006/relationships/control" Target="../activeX/activeX12.xml"/><Relationship Id="rId11" Type="http://schemas.openxmlformats.org/officeDocument/2006/relationships/image" Target="../media/image14.emf"/><Relationship Id="rId5" Type="http://schemas.openxmlformats.org/officeDocument/2006/relationships/image" Target="../media/image11.emf"/><Relationship Id="rId15" Type="http://schemas.openxmlformats.org/officeDocument/2006/relationships/image" Target="../media/image16.emf"/><Relationship Id="rId10" Type="http://schemas.openxmlformats.org/officeDocument/2006/relationships/control" Target="../activeX/activeX14.xml"/><Relationship Id="rId4" Type="http://schemas.openxmlformats.org/officeDocument/2006/relationships/control" Target="../activeX/activeX11.xml"/><Relationship Id="rId9" Type="http://schemas.openxmlformats.org/officeDocument/2006/relationships/image" Target="../media/image13.emf"/><Relationship Id="rId14" Type="http://schemas.openxmlformats.org/officeDocument/2006/relationships/control" Target="../activeX/activeX16.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8" Type="http://schemas.openxmlformats.org/officeDocument/2006/relationships/table" Target="../tables/table6.xml"/><Relationship Id="rId13" Type="http://schemas.openxmlformats.org/officeDocument/2006/relationships/table" Target="../tables/table11.xml"/><Relationship Id="rId3" Type="http://schemas.openxmlformats.org/officeDocument/2006/relationships/table" Target="../tables/table1.xml"/><Relationship Id="rId7" Type="http://schemas.openxmlformats.org/officeDocument/2006/relationships/table" Target="../tables/table5.xml"/><Relationship Id="rId12" Type="http://schemas.openxmlformats.org/officeDocument/2006/relationships/table" Target="../tables/table10.xml"/><Relationship Id="rId2" Type="http://schemas.openxmlformats.org/officeDocument/2006/relationships/tableSingleCells" Target="../tables/tableSingleCells2.xml"/><Relationship Id="rId1" Type="http://schemas.openxmlformats.org/officeDocument/2006/relationships/printerSettings" Target="../printerSettings/printerSettings12.bin"/><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6">
    <tabColor rgb="FFFFFF00"/>
  </sheetPr>
  <dimension ref="A1:I49"/>
  <sheetViews>
    <sheetView zoomScale="115" zoomScaleNormal="115" workbookViewId="0">
      <selection activeCell="B12" sqref="B12"/>
    </sheetView>
  </sheetViews>
  <sheetFormatPr defaultColWidth="0" defaultRowHeight="14.25" customHeight="1" zeroHeight="1" x14ac:dyDescent="0.2"/>
  <cols>
    <col min="1" max="1" width="28.140625" style="5" bestFit="1" customWidth="1"/>
    <col min="2" max="2" width="78.85546875" style="32" customWidth="1"/>
    <col min="3" max="3" width="4.42578125" style="5" customWidth="1"/>
    <col min="4" max="4" width="9.140625" style="5" hidden="1" customWidth="1"/>
    <col min="5" max="5" width="19.85546875" style="5" hidden="1" customWidth="1"/>
    <col min="6" max="9" width="9.140625" style="5" customWidth="1"/>
    <col min="10" max="16384" width="9.140625" style="5" hidden="1"/>
  </cols>
  <sheetData>
    <row r="1" spans="1:9" ht="15" x14ac:dyDescent="0.25">
      <c r="A1" s="1" t="s">
        <v>0</v>
      </c>
      <c r="B1" s="2"/>
      <c r="C1" s="3"/>
      <c r="D1" s="4"/>
      <c r="E1" s="4"/>
      <c r="F1" s="4"/>
      <c r="G1" s="4"/>
      <c r="H1" s="4"/>
      <c r="I1" s="4"/>
    </row>
    <row r="2" spans="1:9" x14ac:dyDescent="0.2">
      <c r="A2" s="6" t="s">
        <v>1</v>
      </c>
      <c r="B2" s="7" t="s">
        <v>7114</v>
      </c>
      <c r="C2" s="3"/>
      <c r="D2" s="4"/>
      <c r="E2" s="8"/>
      <c r="F2" s="4"/>
      <c r="G2" s="4"/>
      <c r="H2" s="4"/>
      <c r="I2" s="4"/>
    </row>
    <row r="3" spans="1:9" x14ac:dyDescent="0.2">
      <c r="A3" s="6" t="s">
        <v>2</v>
      </c>
      <c r="B3" s="9" t="s">
        <v>7098</v>
      </c>
      <c r="C3" s="3"/>
      <c r="D3" s="4"/>
      <c r="E3" s="4"/>
      <c r="F3" s="4"/>
      <c r="G3" s="4"/>
      <c r="H3" s="4"/>
      <c r="I3" s="4"/>
    </row>
    <row r="4" spans="1:9" x14ac:dyDescent="0.2">
      <c r="A4" s="6" t="s">
        <v>4</v>
      </c>
      <c r="B4" s="9"/>
      <c r="C4" s="3"/>
      <c r="D4" s="4"/>
      <c r="E4" s="4"/>
      <c r="F4" s="4"/>
      <c r="G4" s="4"/>
      <c r="H4" s="4"/>
      <c r="I4" s="4"/>
    </row>
    <row r="5" spans="1:9" x14ac:dyDescent="0.2">
      <c r="A5" s="6" t="s">
        <v>5</v>
      </c>
      <c r="B5" s="9" t="s">
        <v>7099</v>
      </c>
      <c r="C5" s="3"/>
      <c r="D5" s="4"/>
      <c r="E5" s="4"/>
      <c r="F5" s="4"/>
      <c r="G5" s="4"/>
      <c r="H5" s="4"/>
      <c r="I5" s="4"/>
    </row>
    <row r="6" spans="1:9" x14ac:dyDescent="0.2">
      <c r="A6" s="6" t="s">
        <v>6</v>
      </c>
      <c r="B6" s="9" t="s">
        <v>5025</v>
      </c>
      <c r="C6" s="3"/>
      <c r="D6" s="4"/>
      <c r="E6" s="4"/>
      <c r="F6" s="4"/>
      <c r="G6" s="4"/>
      <c r="H6" s="4"/>
      <c r="I6" s="4"/>
    </row>
    <row r="7" spans="1:9" x14ac:dyDescent="0.2">
      <c r="A7" s="6" t="s">
        <v>7</v>
      </c>
      <c r="B7" s="10">
        <v>90650</v>
      </c>
      <c r="C7" s="3"/>
      <c r="D7" s="4"/>
      <c r="E7" s="4"/>
      <c r="F7" s="4"/>
      <c r="G7" s="4"/>
      <c r="H7" s="4" t="s">
        <v>8</v>
      </c>
      <c r="I7" s="4"/>
    </row>
    <row r="8" spans="1:9" x14ac:dyDescent="0.2">
      <c r="A8" s="6" t="s">
        <v>9</v>
      </c>
      <c r="B8" s="11">
        <v>43744</v>
      </c>
      <c r="C8" s="3"/>
      <c r="D8" s="4"/>
      <c r="E8" s="4"/>
      <c r="F8" s="4"/>
      <c r="G8" s="4"/>
      <c r="H8" s="4"/>
      <c r="I8" s="4"/>
    </row>
    <row r="9" spans="1:9" x14ac:dyDescent="0.2">
      <c r="A9" s="6" t="s">
        <v>10</v>
      </c>
      <c r="B9" s="11">
        <v>44110</v>
      </c>
      <c r="C9" s="3"/>
      <c r="D9" s="4"/>
      <c r="E9" s="4"/>
      <c r="F9" s="4"/>
      <c r="G9" s="4"/>
      <c r="H9" s="4"/>
      <c r="I9" s="4"/>
    </row>
    <row r="10" spans="1:9" x14ac:dyDescent="0.2">
      <c r="A10" s="12"/>
      <c r="B10" s="13"/>
      <c r="C10" s="3"/>
      <c r="D10" s="4"/>
      <c r="E10" s="4"/>
      <c r="F10" s="4"/>
      <c r="G10" s="4"/>
      <c r="H10" s="4"/>
      <c r="I10" s="4"/>
    </row>
    <row r="11" spans="1:9" ht="15" x14ac:dyDescent="0.25">
      <c r="A11" s="14" t="s">
        <v>11</v>
      </c>
      <c r="B11" s="15"/>
      <c r="C11" s="3"/>
      <c r="D11" s="4"/>
      <c r="E11" s="4"/>
      <c r="F11" s="4"/>
      <c r="G11" s="4"/>
      <c r="H11" s="4"/>
      <c r="I11" s="4"/>
    </row>
    <row r="12" spans="1:9" x14ac:dyDescent="0.2">
      <c r="A12" s="6" t="s">
        <v>12</v>
      </c>
      <c r="B12" s="232"/>
      <c r="C12" s="17"/>
      <c r="D12" s="18"/>
      <c r="E12" s="18"/>
      <c r="F12" s="4"/>
      <c r="G12" s="18"/>
      <c r="H12" s="4"/>
      <c r="I12" s="4"/>
    </row>
    <row r="13" spans="1:9" x14ac:dyDescent="0.2">
      <c r="A13" s="6" t="s">
        <v>13</v>
      </c>
      <c r="B13" s="20" t="s">
        <v>7100</v>
      </c>
      <c r="C13" s="17"/>
      <c r="D13" s="18"/>
      <c r="E13" s="18"/>
      <c r="F13" s="18"/>
      <c r="G13" s="18"/>
      <c r="H13" s="4"/>
      <c r="I13" s="4"/>
    </row>
    <row r="14" spans="1:9" x14ac:dyDescent="0.2">
      <c r="A14" s="6" t="s">
        <v>2</v>
      </c>
      <c r="B14" s="19" t="s">
        <v>7107</v>
      </c>
      <c r="C14" s="17"/>
      <c r="D14" s="18"/>
      <c r="E14" s="18"/>
      <c r="F14" s="18"/>
      <c r="G14" s="18"/>
      <c r="H14" s="4"/>
      <c r="I14" s="4"/>
    </row>
    <row r="15" spans="1:9" x14ac:dyDescent="0.2">
      <c r="A15" s="6" t="s">
        <v>4</v>
      </c>
      <c r="B15" s="19" t="s">
        <v>7108</v>
      </c>
      <c r="C15" s="17"/>
      <c r="D15" s="18"/>
      <c r="E15" s="18"/>
      <c r="F15" s="18"/>
      <c r="G15" s="18"/>
      <c r="H15" s="4"/>
      <c r="I15" s="4"/>
    </row>
    <row r="16" spans="1:9" x14ac:dyDescent="0.2">
      <c r="A16" s="6" t="s">
        <v>5</v>
      </c>
      <c r="B16" s="19" t="s">
        <v>7109</v>
      </c>
      <c r="C16" s="17"/>
      <c r="D16" s="18"/>
      <c r="E16" s="18"/>
      <c r="F16" s="18"/>
      <c r="G16" s="18"/>
      <c r="H16" s="4"/>
      <c r="I16" s="4"/>
    </row>
    <row r="17" spans="1:9" x14ac:dyDescent="0.2">
      <c r="A17" s="6" t="s">
        <v>6</v>
      </c>
      <c r="B17" s="19" t="s">
        <v>5025</v>
      </c>
      <c r="C17" s="17"/>
      <c r="D17" s="18"/>
      <c r="E17" s="18"/>
      <c r="F17" s="18"/>
      <c r="G17" s="18"/>
      <c r="H17" s="4"/>
      <c r="I17" s="4"/>
    </row>
    <row r="18" spans="1:9" x14ac:dyDescent="0.2">
      <c r="A18" s="6" t="s">
        <v>7</v>
      </c>
      <c r="B18" s="21">
        <v>90017</v>
      </c>
      <c r="C18" s="17"/>
      <c r="D18" s="18"/>
      <c r="E18" s="18"/>
      <c r="F18" s="18"/>
      <c r="G18" s="18"/>
      <c r="H18" s="4"/>
      <c r="I18" s="4"/>
    </row>
    <row r="19" spans="1:9" x14ac:dyDescent="0.2">
      <c r="A19" s="6" t="s">
        <v>14</v>
      </c>
      <c r="B19" s="232"/>
      <c r="C19" s="17"/>
      <c r="D19" s="18"/>
      <c r="E19" s="18"/>
      <c r="F19" s="18"/>
      <c r="G19" s="18"/>
      <c r="H19" s="4"/>
      <c r="I19" s="4"/>
    </row>
    <row r="20" spans="1:9" x14ac:dyDescent="0.2">
      <c r="A20" s="6" t="s">
        <v>15</v>
      </c>
      <c r="B20" s="232"/>
      <c r="C20" s="17"/>
      <c r="D20" s="18"/>
      <c r="E20" s="18"/>
      <c r="F20" s="18"/>
      <c r="G20" s="18"/>
      <c r="H20" s="4"/>
      <c r="I20" s="4"/>
    </row>
    <row r="21" spans="1:9" x14ac:dyDescent="0.2">
      <c r="A21" s="12"/>
      <c r="B21" s="16"/>
      <c r="C21" s="17"/>
      <c r="D21" s="18"/>
      <c r="E21" s="18"/>
      <c r="F21" s="18"/>
      <c r="G21" s="18"/>
      <c r="H21" s="4"/>
      <c r="I21" s="4"/>
    </row>
    <row r="22" spans="1:9" ht="15" x14ac:dyDescent="0.25">
      <c r="A22" s="14" t="s">
        <v>16</v>
      </c>
      <c r="B22" s="22"/>
      <c r="C22" s="3"/>
      <c r="D22" s="23"/>
      <c r="E22" s="4"/>
      <c r="F22" s="4"/>
      <c r="G22" s="4"/>
      <c r="H22" s="4"/>
      <c r="I22" s="4"/>
    </row>
    <row r="23" spans="1:9" ht="12.75" customHeight="1" x14ac:dyDescent="0.2">
      <c r="A23" s="12"/>
      <c r="B23" s="24"/>
      <c r="C23" s="25"/>
      <c r="D23" s="26"/>
      <c r="E23" s="26"/>
      <c r="F23" s="26"/>
      <c r="G23" s="26"/>
      <c r="H23" s="4"/>
      <c r="I23" s="4"/>
    </row>
    <row r="24" spans="1:9" x14ac:dyDescent="0.2">
      <c r="A24" s="27" t="s">
        <v>17</v>
      </c>
      <c r="B24" s="20" t="s">
        <v>7096</v>
      </c>
      <c r="C24" s="3"/>
      <c r="D24" s="4"/>
      <c r="E24" s="4"/>
      <c r="F24" s="4"/>
      <c r="G24" s="4"/>
      <c r="H24" s="4"/>
      <c r="I24" s="4"/>
    </row>
    <row r="25" spans="1:9" x14ac:dyDescent="0.2">
      <c r="A25" s="27" t="s">
        <v>75</v>
      </c>
      <c r="B25" s="231" t="s">
        <v>3</v>
      </c>
      <c r="C25" s="3"/>
      <c r="D25" s="4"/>
      <c r="E25" s="4"/>
      <c r="F25" s="4"/>
      <c r="G25" s="4"/>
      <c r="H25" s="4"/>
      <c r="I25" s="4"/>
    </row>
    <row r="26" spans="1:9" x14ac:dyDescent="0.2">
      <c r="A26" s="6" t="s">
        <v>14</v>
      </c>
      <c r="B26" s="28" t="s">
        <v>3</v>
      </c>
      <c r="C26" s="3"/>
      <c r="D26" s="4"/>
      <c r="E26" s="4"/>
      <c r="F26" s="4"/>
      <c r="G26" s="4"/>
      <c r="H26" s="4"/>
      <c r="I26" s="4"/>
    </row>
    <row r="27" spans="1:9" x14ac:dyDescent="0.2">
      <c r="A27" s="6" t="s">
        <v>15</v>
      </c>
      <c r="B27" s="29" t="s">
        <v>3</v>
      </c>
      <c r="C27" s="3"/>
      <c r="D27" s="4"/>
      <c r="E27" s="4"/>
      <c r="F27" s="4"/>
      <c r="G27" s="4"/>
      <c r="H27" s="4"/>
      <c r="I27" s="4"/>
    </row>
    <row r="28" spans="1:9" x14ac:dyDescent="0.2">
      <c r="A28" s="6" t="s">
        <v>18</v>
      </c>
      <c r="B28" s="29" t="s">
        <v>3</v>
      </c>
      <c r="C28" s="3"/>
      <c r="D28" s="4"/>
      <c r="E28" s="4"/>
      <c r="F28" s="4"/>
      <c r="G28" s="4"/>
      <c r="H28" s="4"/>
      <c r="I28" s="4"/>
    </row>
    <row r="29" spans="1:9" x14ac:dyDescent="0.2">
      <c r="A29" s="27" t="s">
        <v>57</v>
      </c>
      <c r="B29" s="40" t="s">
        <v>7097</v>
      </c>
      <c r="C29" s="3"/>
      <c r="D29" s="4"/>
      <c r="E29" s="4"/>
      <c r="F29" s="4"/>
      <c r="G29" s="4"/>
      <c r="H29" s="4"/>
      <c r="I29" s="4"/>
    </row>
    <row r="30" spans="1:9" ht="15" x14ac:dyDescent="0.25">
      <c r="A30" s="14" t="s">
        <v>19</v>
      </c>
      <c r="B30" s="22"/>
      <c r="C30" s="3"/>
      <c r="D30" s="4"/>
      <c r="E30" s="4"/>
      <c r="F30" s="4"/>
      <c r="G30" s="4"/>
      <c r="H30" s="4"/>
      <c r="I30" s="4"/>
    </row>
    <row r="31" spans="1:9" x14ac:dyDescent="0.2">
      <c r="A31" s="27" t="s">
        <v>20</v>
      </c>
      <c r="B31" s="20" t="s">
        <v>7101</v>
      </c>
      <c r="C31" s="3"/>
      <c r="D31" s="4"/>
      <c r="E31" s="4"/>
      <c r="F31" s="4"/>
      <c r="G31" s="4"/>
      <c r="H31" s="4"/>
      <c r="I31" s="4"/>
    </row>
    <row r="32" spans="1:9" x14ac:dyDescent="0.2">
      <c r="A32" s="6" t="s">
        <v>21</v>
      </c>
      <c r="B32" s="228" t="s">
        <v>7115</v>
      </c>
      <c r="C32" s="3"/>
      <c r="D32" s="4"/>
      <c r="E32" s="4"/>
      <c r="F32" s="4"/>
      <c r="G32" s="4"/>
      <c r="H32" s="4"/>
      <c r="I32" s="4"/>
    </row>
    <row r="33" spans="1:9" x14ac:dyDescent="0.2">
      <c r="A33" s="6" t="s">
        <v>22</v>
      </c>
      <c r="B33" s="229" t="s">
        <v>7116</v>
      </c>
      <c r="C33" s="3"/>
      <c r="D33" s="4"/>
      <c r="E33" s="4"/>
      <c r="F33" s="4"/>
      <c r="G33" s="4"/>
      <c r="H33" s="4"/>
      <c r="I33" s="4"/>
    </row>
    <row r="34" spans="1:9" x14ac:dyDescent="0.2">
      <c r="A34" s="6" t="s">
        <v>161</v>
      </c>
      <c r="B34" s="229" t="s">
        <v>7116</v>
      </c>
      <c r="C34" s="3"/>
      <c r="D34" s="4"/>
      <c r="E34" s="4"/>
      <c r="F34" s="4"/>
      <c r="G34" s="4"/>
      <c r="H34" s="4"/>
      <c r="I34" s="4"/>
    </row>
    <row r="35" spans="1:9" x14ac:dyDescent="0.2">
      <c r="A35" s="27" t="s">
        <v>23</v>
      </c>
      <c r="B35" s="20" t="s">
        <v>6069</v>
      </c>
      <c r="C35" s="3"/>
      <c r="D35" s="4"/>
      <c r="E35" s="4"/>
      <c r="F35" s="4"/>
      <c r="G35" s="4"/>
      <c r="H35" s="4"/>
      <c r="I35" s="4"/>
    </row>
    <row r="36" spans="1:9" x14ac:dyDescent="0.2">
      <c r="A36" s="27" t="s">
        <v>58</v>
      </c>
      <c r="B36" s="40">
        <v>445110</v>
      </c>
      <c r="C36" s="3"/>
      <c r="D36" s="4"/>
      <c r="E36" s="4"/>
      <c r="F36" s="4"/>
      <c r="G36" s="4"/>
      <c r="H36" s="4"/>
      <c r="I36" s="4"/>
    </row>
    <row r="37" spans="1:9" x14ac:dyDescent="0.2">
      <c r="A37" s="27" t="s">
        <v>59</v>
      </c>
      <c r="B37" s="40"/>
      <c r="C37" s="3"/>
      <c r="D37" s="4"/>
      <c r="E37" s="4"/>
      <c r="F37" s="4"/>
      <c r="G37" s="4"/>
      <c r="H37" s="4"/>
      <c r="I37" s="4"/>
    </row>
    <row r="38" spans="1:9" x14ac:dyDescent="0.2">
      <c r="A38" s="27" t="s">
        <v>60</v>
      </c>
      <c r="B38" s="40" t="s">
        <v>3400</v>
      </c>
      <c r="C38" s="3"/>
      <c r="D38" s="4"/>
      <c r="E38" s="4"/>
      <c r="F38" s="4"/>
      <c r="G38" s="4"/>
      <c r="H38" s="4"/>
      <c r="I38" s="4"/>
    </row>
    <row r="39" spans="1:9" x14ac:dyDescent="0.2">
      <c r="A39" s="27" t="s">
        <v>61</v>
      </c>
      <c r="B39" s="41"/>
      <c r="C39" s="3"/>
      <c r="D39" s="4"/>
      <c r="E39" s="4"/>
      <c r="F39" s="4"/>
      <c r="G39" s="4"/>
      <c r="H39" s="4"/>
      <c r="I39" s="4"/>
    </row>
    <row r="40" spans="1:9" x14ac:dyDescent="0.2">
      <c r="A40" s="6" t="s">
        <v>62</v>
      </c>
      <c r="B40" s="230" t="s">
        <v>3</v>
      </c>
      <c r="C40" s="3"/>
      <c r="D40" s="4"/>
      <c r="E40" s="4"/>
      <c r="F40" s="4"/>
      <c r="G40" s="4"/>
      <c r="H40" s="4"/>
      <c r="I40" s="4"/>
    </row>
    <row r="41" spans="1:9" x14ac:dyDescent="0.2">
      <c r="A41" s="6" t="s">
        <v>29</v>
      </c>
      <c r="B41" s="230" t="s">
        <v>7102</v>
      </c>
      <c r="C41" s="3"/>
      <c r="D41" s="4"/>
      <c r="E41" s="4"/>
      <c r="F41" s="4"/>
      <c r="G41" s="4"/>
      <c r="H41" s="4"/>
      <c r="I41" s="4"/>
    </row>
    <row r="42" spans="1:9" x14ac:dyDescent="0.2">
      <c r="A42" s="6" t="s">
        <v>30</v>
      </c>
      <c r="B42" s="230" t="s">
        <v>7103</v>
      </c>
      <c r="C42" s="3"/>
      <c r="D42" s="4"/>
      <c r="E42" s="4"/>
      <c r="F42" s="4"/>
      <c r="G42" s="4"/>
      <c r="H42" s="4"/>
      <c r="I42" s="4"/>
    </row>
    <row r="43" spans="1:9" x14ac:dyDescent="0.2">
      <c r="A43" s="6" t="s">
        <v>31</v>
      </c>
      <c r="B43" s="230" t="s">
        <v>7104</v>
      </c>
      <c r="C43" s="3"/>
      <c r="D43" s="4"/>
      <c r="E43" s="4"/>
      <c r="F43" s="4"/>
      <c r="G43" s="4"/>
      <c r="H43" s="4"/>
      <c r="I43" s="4"/>
    </row>
    <row r="44" spans="1:9" x14ac:dyDescent="0.2">
      <c r="A44" s="6" t="s">
        <v>32</v>
      </c>
      <c r="B44" s="230" t="s">
        <v>7105</v>
      </c>
      <c r="C44" s="3"/>
      <c r="D44" s="4"/>
      <c r="E44" s="4"/>
      <c r="F44" s="4"/>
      <c r="G44" s="4"/>
      <c r="H44" s="4"/>
      <c r="I44" s="4"/>
    </row>
    <row r="45" spans="1:9" x14ac:dyDescent="0.2">
      <c r="A45" s="6" t="s">
        <v>33</v>
      </c>
      <c r="B45" s="230" t="s">
        <v>7106</v>
      </c>
      <c r="C45" s="3"/>
      <c r="D45" s="4"/>
      <c r="E45" s="4"/>
      <c r="F45" s="4"/>
      <c r="G45" s="4"/>
      <c r="H45" s="4"/>
      <c r="I45" s="4"/>
    </row>
    <row r="46" spans="1:9" ht="15" x14ac:dyDescent="0.25">
      <c r="A46" s="42"/>
      <c r="B46" s="43"/>
      <c r="C46" s="3"/>
      <c r="D46" s="4"/>
      <c r="E46" s="4"/>
      <c r="F46" s="4"/>
      <c r="G46" s="4"/>
      <c r="H46" s="4"/>
      <c r="I46" s="4"/>
    </row>
    <row r="47" spans="1:9" x14ac:dyDescent="0.2">
      <c r="A47" s="3"/>
      <c r="B47" s="30"/>
      <c r="C47" s="3"/>
      <c r="D47" s="4"/>
      <c r="E47" s="4"/>
      <c r="F47" s="4"/>
      <c r="G47" s="4"/>
      <c r="H47" s="4"/>
      <c r="I47" s="4"/>
    </row>
    <row r="48" spans="1:9" x14ac:dyDescent="0.2">
      <c r="A48" s="4"/>
      <c r="B48" s="31"/>
      <c r="C48" s="4"/>
      <c r="D48" s="4"/>
      <c r="E48" s="4"/>
      <c r="F48" s="4"/>
      <c r="G48" s="4"/>
      <c r="H48" s="4"/>
      <c r="I48" s="4"/>
    </row>
    <row r="49" spans="1:9" x14ac:dyDescent="0.2">
      <c r="A49" s="4"/>
      <c r="B49" s="31"/>
      <c r="C49" s="4"/>
      <c r="D49" s="4"/>
      <c r="E49" s="4"/>
      <c r="F49" s="4"/>
      <c r="G49" s="4"/>
      <c r="H49" s="4"/>
      <c r="I49" s="4"/>
    </row>
  </sheetData>
  <sheetProtection algorithmName="SHA-512" hashValue="3F23qol9dKswe+Itx7p21W1YRbMzogHE9BNunHlFZIlZF1kcoHddEASAYMoijMOo0Pj021jSb/KPuy+X+/lFCQ==" saltValue="1wOOhev39Po3njXdeB+ECQ==" spinCount="100000" sheet="1" objects="1" scenarios="1" selectLockedCells="1"/>
  <printOptions horizontalCentered="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tart">
                <anchor moveWithCells="1" sizeWithCells="1">
                  <from>
                    <xdr:col>6</xdr:col>
                    <xdr:colOff>19050</xdr:colOff>
                    <xdr:row>2</xdr:row>
                    <xdr:rowOff>9525</xdr:rowOff>
                  </from>
                  <to>
                    <xdr:col>8</xdr:col>
                    <xdr:colOff>0</xdr:colOff>
                    <xdr:row>4</xdr:row>
                    <xdr:rowOff>0</xdr:rowOff>
                  </to>
                </anchor>
              </controlPr>
            </control>
          </mc:Choice>
        </mc:AlternateContent>
        <mc:AlternateContent xmlns:mc="http://schemas.openxmlformats.org/markup-compatibility/2006">
          <mc:Choice Requires="x14">
            <control shapeId="1026" r:id="rId5" name="Button 2">
              <controlPr defaultSize="0" print="0" autoFill="0" autoPict="0" macro="[0]!_xludf.Clear">
                <anchor moveWithCells="1" sizeWithCells="1">
                  <from>
                    <xdr:col>6</xdr:col>
                    <xdr:colOff>19050</xdr:colOff>
                    <xdr:row>4</xdr:row>
                    <xdr:rowOff>152400</xdr:rowOff>
                  </from>
                  <to>
                    <xdr:col>8</xdr:col>
                    <xdr:colOff>0</xdr:colOff>
                    <xdr:row>6</xdr:row>
                    <xdr:rowOff>142875</xdr:rowOff>
                  </to>
                </anchor>
              </controlPr>
            </control>
          </mc:Choice>
        </mc:AlternateContent>
        <mc:AlternateContent xmlns:mc="http://schemas.openxmlformats.org/markup-compatibility/2006">
          <mc:Choice Requires="x14">
            <control shapeId="1027" r:id="rId6" name="Button 3">
              <controlPr defaultSize="0" print="0" autoFill="0" autoPict="0" macro="[0]!WINSCoding">
                <anchor moveWithCells="1" sizeWithCells="1">
                  <from>
                    <xdr:col>6</xdr:col>
                    <xdr:colOff>19050</xdr:colOff>
                    <xdr:row>7</xdr:row>
                    <xdr:rowOff>123825</xdr:rowOff>
                  </from>
                  <to>
                    <xdr:col>8</xdr:col>
                    <xdr:colOff>0</xdr:colOff>
                    <xdr:row>10</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H38"/>
  <sheetViews>
    <sheetView showGridLines="0" topLeftCell="E1" zoomScale="85" zoomScaleNormal="85" workbookViewId="0">
      <selection activeCell="F16" sqref="F16:H16"/>
    </sheetView>
  </sheetViews>
  <sheetFormatPr defaultColWidth="9.140625" defaultRowHeight="15" x14ac:dyDescent="0.25"/>
  <cols>
    <col min="1" max="1" width="9.140625" style="233" hidden="1" customWidth="1"/>
    <col min="2" max="2" width="2.5703125" style="233" customWidth="1"/>
    <col min="3" max="3" width="4.85546875" style="233" customWidth="1"/>
    <col min="4" max="4" width="8.85546875" style="233" customWidth="1"/>
    <col min="5" max="5" width="9" style="233" customWidth="1"/>
    <col min="6" max="6" width="20.7109375" style="233" customWidth="1"/>
    <col min="7" max="7" width="19.85546875" style="233" customWidth="1"/>
    <col min="8" max="8" width="20.7109375" style="233" customWidth="1"/>
    <col min="9" max="9" width="21.85546875" style="233" customWidth="1"/>
    <col min="10" max="10" width="17.85546875" style="233" customWidth="1"/>
    <col min="11" max="11" width="21.7109375" style="233" customWidth="1"/>
    <col min="12" max="12" width="20.7109375" style="233" customWidth="1"/>
    <col min="13" max="13" width="11.85546875" style="233" customWidth="1"/>
    <col min="14" max="14" width="29.85546875" style="233" customWidth="1"/>
    <col min="15" max="15" width="20.7109375" style="233" customWidth="1"/>
    <col min="16" max="16" width="20.7109375" style="233" hidden="1" customWidth="1"/>
    <col min="17" max="17" width="22.28515625" style="233" hidden="1" customWidth="1"/>
    <col min="18" max="18" width="20.85546875" style="233" hidden="1" customWidth="1"/>
    <col min="19" max="19" width="20.85546875" style="234" hidden="1" customWidth="1"/>
    <col min="20" max="21" width="20.7109375" style="234" hidden="1" customWidth="1"/>
    <col min="22" max="22" width="16.7109375" style="233" hidden="1" customWidth="1"/>
    <col min="23" max="23" width="20.42578125" style="233" hidden="1" customWidth="1"/>
    <col min="24" max="25" width="20.7109375" style="233" hidden="1" customWidth="1"/>
    <col min="26" max="26" width="9.140625" style="233" hidden="1" customWidth="1"/>
    <col min="27" max="28" width="36.5703125" style="233" hidden="1" customWidth="1"/>
    <col min="29" max="34" width="9.140625" style="233" hidden="1" customWidth="1"/>
    <col min="35" max="129" width="9.140625" style="233" customWidth="1"/>
    <col min="130" max="16384" width="9.140625" style="233"/>
  </cols>
  <sheetData>
    <row r="1" spans="2:28" ht="15" customHeight="1" x14ac:dyDescent="0.25">
      <c r="B1" s="1004" t="s">
        <v>280</v>
      </c>
      <c r="C1" s="1005"/>
      <c r="D1" s="1005"/>
      <c r="E1" s="1005"/>
      <c r="F1" s="1005"/>
      <c r="G1" s="1005"/>
      <c r="H1" s="1005"/>
      <c r="I1" s="1006"/>
      <c r="J1" s="1013" t="s">
        <v>281</v>
      </c>
      <c r="K1" s="1014"/>
      <c r="L1" s="1014"/>
      <c r="M1" s="1014"/>
      <c r="N1" s="1015"/>
      <c r="U1" s="234" t="s">
        <v>282</v>
      </c>
    </row>
    <row r="2" spans="2:28" ht="26.25" customHeight="1" x14ac:dyDescent="0.45">
      <c r="B2" s="1007"/>
      <c r="C2" s="1008"/>
      <c r="D2" s="1008"/>
      <c r="E2" s="1008"/>
      <c r="F2" s="1008"/>
      <c r="G2" s="1008"/>
      <c r="H2" s="1008"/>
      <c r="I2" s="1009"/>
      <c r="J2" s="1016"/>
      <c r="K2" s="1017"/>
      <c r="L2" s="1017"/>
      <c r="M2" s="1017"/>
      <c r="N2" s="1018"/>
      <c r="P2" s="235"/>
      <c r="V2" s="235"/>
    </row>
    <row r="3" spans="2:28" ht="15.75" thickBot="1" x14ac:dyDescent="0.3">
      <c r="B3" s="1010"/>
      <c r="C3" s="1011"/>
      <c r="D3" s="1011"/>
      <c r="E3" s="1011"/>
      <c r="F3" s="1011"/>
      <c r="G3" s="1011"/>
      <c r="H3" s="1011"/>
      <c r="I3" s="1012"/>
      <c r="J3" s="1019"/>
      <c r="K3" s="1020"/>
      <c r="L3" s="1020"/>
      <c r="M3" s="1020"/>
      <c r="N3" s="1021"/>
      <c r="S3" s="236"/>
      <c r="T3" s="236"/>
      <c r="U3" s="237" t="s">
        <v>283</v>
      </c>
      <c r="V3" s="237" t="s">
        <v>284</v>
      </c>
      <c r="W3" s="237" t="s">
        <v>285</v>
      </c>
      <c r="X3" s="237" t="s">
        <v>286</v>
      </c>
      <c r="Y3" s="237" t="s">
        <v>287</v>
      </c>
      <c r="Z3" s="238"/>
      <c r="AA3" s="238"/>
      <c r="AB3" s="238"/>
    </row>
    <row r="4" spans="2:28" ht="18.75" x14ac:dyDescent="0.3">
      <c r="B4" s="239"/>
      <c r="C4" s="240"/>
      <c r="D4" s="241" t="s">
        <v>288</v>
      </c>
      <c r="E4" s="240"/>
      <c r="F4" s="240"/>
      <c r="G4" s="240"/>
      <c r="H4" s="240"/>
      <c r="I4" s="240"/>
      <c r="J4" s="240"/>
      <c r="K4" s="242" t="s">
        <v>3</v>
      </c>
      <c r="L4" s="243"/>
      <c r="M4" s="244"/>
      <c r="N4" s="245"/>
      <c r="S4" s="236" t="s">
        <v>289</v>
      </c>
      <c r="T4" s="246" t="b">
        <v>1</v>
      </c>
      <c r="U4" s="246">
        <f t="shared" ref="U4:U11" si="0">IF(T4=TRUE,1,0)</f>
        <v>1</v>
      </c>
      <c r="V4" s="236">
        <f>IF(Rater!X30=TRUE,1,0)</f>
        <v>0</v>
      </c>
      <c r="W4" s="247">
        <f>Rater!D24</f>
        <v>1000000</v>
      </c>
      <c r="X4" s="247">
        <f>U4*V4*W4</f>
        <v>0</v>
      </c>
      <c r="Y4" s="247">
        <f>IF(V4=0,U4*W4,0)</f>
        <v>1000000</v>
      </c>
      <c r="Z4" s="238"/>
      <c r="AA4" s="248" t="str">
        <f>IF(OR(AA10="X",VLOOKUP(L18,Tables!C19:D21,2,FALSE)&lt;&gt;"0001"),"Range State",IF(AA7=AB7,VLOOKUP(AA12,States!A2:E60,2,FALSE),VLOOKUP(AA12,States!A2:E60,4,FALSE)))</f>
        <v>Range State</v>
      </c>
      <c r="AB4" s="249" t="s">
        <v>290</v>
      </c>
    </row>
    <row r="5" spans="2:28" ht="15.75" x14ac:dyDescent="0.25">
      <c r="B5" s="250"/>
      <c r="C5" s="251"/>
      <c r="D5" s="251"/>
      <c r="E5" s="252" t="s">
        <v>291</v>
      </c>
      <c r="F5" s="253"/>
      <c r="G5" s="254" t="s">
        <v>292</v>
      </c>
      <c r="H5" s="253" t="s">
        <v>7116</v>
      </c>
      <c r="I5" s="323" t="s">
        <v>5528</v>
      </c>
      <c r="J5" s="253" t="s">
        <v>7101</v>
      </c>
      <c r="K5" s="256" t="s">
        <v>3</v>
      </c>
      <c r="L5" s="257" t="s">
        <v>3</v>
      </c>
      <c r="M5" s="256" t="s">
        <v>3</v>
      </c>
      <c r="N5" s="258" t="s">
        <v>3</v>
      </c>
      <c r="S5" s="236" t="s">
        <v>293</v>
      </c>
      <c r="T5" s="246" t="b">
        <v>1</v>
      </c>
      <c r="U5" s="246">
        <f t="shared" si="0"/>
        <v>1</v>
      </c>
      <c r="V5" s="236">
        <f>IF(Rater!Y30=TRUE,1,0)</f>
        <v>0</v>
      </c>
      <c r="W5" s="247">
        <f>Rater!I24</f>
        <v>1000000</v>
      </c>
      <c r="X5" s="247">
        <f t="shared" ref="X5:X11" si="1">U5*V5*W5</f>
        <v>0</v>
      </c>
      <c r="Y5" s="247">
        <f t="shared" ref="Y5:Y10" si="2">IF(V5=0,U5*W5,0)</f>
        <v>1000000</v>
      </c>
      <c r="Z5" s="238"/>
      <c r="AA5" s="238"/>
      <c r="AB5" s="249" t="s">
        <v>294</v>
      </c>
    </row>
    <row r="6" spans="2:28" ht="15.75" x14ac:dyDescent="0.25">
      <c r="B6" s="250"/>
      <c r="C6" s="251"/>
      <c r="D6" s="251"/>
      <c r="E6" s="251"/>
      <c r="F6" s="251"/>
      <c r="G6" s="251"/>
      <c r="H6" s="251"/>
      <c r="I6" s="251"/>
      <c r="J6" s="251"/>
      <c r="K6" s="251"/>
      <c r="L6" s="259"/>
      <c r="M6" s="251"/>
      <c r="N6" s="260"/>
      <c r="S6" s="236" t="s">
        <v>295</v>
      </c>
      <c r="T6" s="246" t="b">
        <v>1</v>
      </c>
      <c r="U6" s="246">
        <f t="shared" si="0"/>
        <v>1</v>
      </c>
      <c r="V6" s="236">
        <f>IF(Rater!Z30=TRUE,1,0)</f>
        <v>0</v>
      </c>
      <c r="W6" s="247">
        <f>Rater!P24</f>
        <v>1000000</v>
      </c>
      <c r="X6" s="247">
        <f t="shared" si="1"/>
        <v>0</v>
      </c>
      <c r="Y6" s="247">
        <f t="shared" si="2"/>
        <v>1000000</v>
      </c>
      <c r="Z6" s="238"/>
      <c r="AA6" s="238"/>
      <c r="AB6" s="238"/>
    </row>
    <row r="7" spans="2:28" ht="15.75" customHeight="1" x14ac:dyDescent="0.25">
      <c r="B7" s="250"/>
      <c r="C7" s="251"/>
      <c r="D7" s="251"/>
      <c r="E7" s="261" t="s">
        <v>296</v>
      </c>
      <c r="F7" s="262">
        <v>44125</v>
      </c>
      <c r="G7" s="261" t="s">
        <v>297</v>
      </c>
      <c r="H7" s="262">
        <v>44490</v>
      </c>
      <c r="I7" s="256" t="s">
        <v>5529</v>
      </c>
      <c r="J7" s="253" t="s">
        <v>5531</v>
      </c>
      <c r="K7" s="261" t="s">
        <v>104</v>
      </c>
      <c r="L7" s="263" t="s">
        <v>7118</v>
      </c>
      <c r="M7" s="261" t="s">
        <v>3</v>
      </c>
      <c r="N7" s="264" t="s">
        <v>3</v>
      </c>
      <c r="S7" s="236" t="s">
        <v>298</v>
      </c>
      <c r="T7" s="246" t="b">
        <v>1</v>
      </c>
      <c r="U7" s="265">
        <f t="shared" si="0"/>
        <v>1</v>
      </c>
      <c r="V7" s="265">
        <v>0</v>
      </c>
      <c r="W7" s="247">
        <f>Rater!T24</f>
        <v>1000000</v>
      </c>
      <c r="X7" s="247">
        <f t="shared" si="1"/>
        <v>0</v>
      </c>
      <c r="Y7" s="266">
        <v>0</v>
      </c>
      <c r="Z7" s="238"/>
      <c r="AA7" s="249" t="s">
        <v>299</v>
      </c>
      <c r="AB7" s="249" t="s">
        <v>299</v>
      </c>
    </row>
    <row r="8" spans="2:28" ht="15.75" x14ac:dyDescent="0.25">
      <c r="B8" s="250"/>
      <c r="C8" s="251"/>
      <c r="D8" s="251"/>
      <c r="E8" s="251"/>
      <c r="F8" s="251"/>
      <c r="G8" s="256"/>
      <c r="H8" s="267"/>
      <c r="I8" s="251"/>
      <c r="J8" s="251"/>
      <c r="K8" s="251"/>
      <c r="L8" s="251"/>
      <c r="M8" s="261" t="s">
        <v>3</v>
      </c>
      <c r="N8" s="260" t="s">
        <v>3</v>
      </c>
      <c r="S8" s="236" t="s">
        <v>300</v>
      </c>
      <c r="T8" s="236" t="b">
        <v>1</v>
      </c>
      <c r="U8" s="246">
        <f t="shared" si="0"/>
        <v>1</v>
      </c>
      <c r="V8" s="236">
        <f>IF(Rater!AA30=TRUE,1,0)</f>
        <v>0</v>
      </c>
      <c r="W8" s="247">
        <f>Rater!D41</f>
        <v>1000000</v>
      </c>
      <c r="X8" s="247">
        <f t="shared" si="1"/>
        <v>0</v>
      </c>
      <c r="Y8" s="247">
        <f t="shared" si="2"/>
        <v>1000000</v>
      </c>
      <c r="Z8" s="238"/>
      <c r="AA8" s="238"/>
      <c r="AB8" s="249" t="s">
        <v>301</v>
      </c>
    </row>
    <row r="9" spans="2:28" ht="15.75" x14ac:dyDescent="0.25">
      <c r="B9" s="250"/>
      <c r="C9" s="251"/>
      <c r="D9" s="251"/>
      <c r="E9" s="256" t="s">
        <v>143</v>
      </c>
      <c r="F9" s="268">
        <v>0.15</v>
      </c>
      <c r="G9" s="261" t="s">
        <v>5522</v>
      </c>
      <c r="H9" s="796" t="s">
        <v>7117</v>
      </c>
      <c r="I9" s="256" t="s">
        <v>5810</v>
      </c>
      <c r="J9" s="1027" t="s">
        <v>7089</v>
      </c>
      <c r="K9" s="1028"/>
      <c r="L9" s="818"/>
      <c r="M9" s="261"/>
      <c r="N9" s="269"/>
      <c r="S9" s="236" t="s">
        <v>302</v>
      </c>
      <c r="T9" s="246" t="b">
        <v>1</v>
      </c>
      <c r="U9" s="246">
        <f t="shared" si="0"/>
        <v>1</v>
      </c>
      <c r="V9" s="236">
        <f>IF(Rater!AB30=TRUE,1,0)</f>
        <v>0</v>
      </c>
      <c r="W9" s="247">
        <f>Rater!I41</f>
        <v>1000000</v>
      </c>
      <c r="X9" s="247">
        <f t="shared" si="1"/>
        <v>0</v>
      </c>
      <c r="Y9" s="247">
        <f t="shared" si="2"/>
        <v>1000000</v>
      </c>
      <c r="Z9" s="238"/>
      <c r="AA9" s="238" t="b">
        <f>AA7=AB9</f>
        <v>0</v>
      </c>
      <c r="AB9" s="979" t="s">
        <v>7086</v>
      </c>
    </row>
    <row r="10" spans="2:28" ht="16.5" thickBot="1" x14ac:dyDescent="0.3">
      <c r="B10" s="270"/>
      <c r="C10" s="271"/>
      <c r="D10" s="271"/>
      <c r="E10" s="271"/>
      <c r="F10" s="271"/>
      <c r="G10" s="271"/>
      <c r="H10" s="271"/>
      <c r="I10" s="271"/>
      <c r="J10" s="271"/>
      <c r="K10" s="271"/>
      <c r="L10" s="271"/>
      <c r="M10" s="271"/>
      <c r="N10" s="272"/>
      <c r="S10" s="236" t="s">
        <v>303</v>
      </c>
      <c r="T10" s="246" t="b">
        <v>1</v>
      </c>
      <c r="U10" s="246">
        <f t="shared" si="0"/>
        <v>1</v>
      </c>
      <c r="V10" s="236">
        <f>IF(Rater!AC30=TRUE,1,0)</f>
        <v>0</v>
      </c>
      <c r="W10" s="247">
        <f>Rater!P41</f>
        <v>1000000</v>
      </c>
      <c r="X10" s="247">
        <f t="shared" si="1"/>
        <v>0</v>
      </c>
      <c r="Y10" s="247">
        <f t="shared" si="2"/>
        <v>1000000</v>
      </c>
      <c r="Z10" s="238"/>
      <c r="AA10" s="249">
        <f>IF(AA7=AB7,VLOOKUP(AA12,States!A2:E61,3,FALSE),VLOOKUP(AA12,States!A2:E61,5,FALSE))</f>
        <v>0</v>
      </c>
      <c r="AB10" s="238"/>
    </row>
    <row r="11" spans="2:28" ht="18.75" x14ac:dyDescent="0.3">
      <c r="B11" s="239"/>
      <c r="C11" s="240"/>
      <c r="D11" s="241" t="s">
        <v>304</v>
      </c>
      <c r="E11" s="240"/>
      <c r="F11" s="240"/>
      <c r="G11" s="240"/>
      <c r="H11" s="240"/>
      <c r="I11" s="240"/>
      <c r="J11" s="240"/>
      <c r="K11" s="240"/>
      <c r="L11" s="240"/>
      <c r="M11" s="240"/>
      <c r="N11" s="273"/>
      <c r="S11" s="236" t="s">
        <v>305</v>
      </c>
      <c r="T11" s="246" t="b">
        <v>1</v>
      </c>
      <c r="U11" s="265">
        <f t="shared" si="0"/>
        <v>1</v>
      </c>
      <c r="V11" s="265">
        <v>0</v>
      </c>
      <c r="W11" s="247">
        <f>Rater!T41</f>
        <v>1000000</v>
      </c>
      <c r="X11" s="247">
        <f t="shared" si="1"/>
        <v>0</v>
      </c>
      <c r="Y11" s="266">
        <v>0</v>
      </c>
      <c r="Z11" s="238"/>
      <c r="AA11" s="238"/>
      <c r="AB11" s="238"/>
    </row>
    <row r="12" spans="2:28" ht="15.75" x14ac:dyDescent="0.25">
      <c r="B12" s="250"/>
      <c r="C12" s="274"/>
      <c r="D12" s="251"/>
      <c r="E12" s="252" t="s">
        <v>306</v>
      </c>
      <c r="F12" s="1022" t="s">
        <v>7119</v>
      </c>
      <c r="G12" s="1023" t="s">
        <v>3</v>
      </c>
      <c r="H12" s="1023" t="s">
        <v>3</v>
      </c>
      <c r="I12" s="1024" t="s">
        <v>3</v>
      </c>
      <c r="J12" s="275"/>
      <c r="K12" s="971" t="s">
        <v>97</v>
      </c>
      <c r="L12" s="263"/>
      <c r="M12" s="276"/>
      <c r="N12" s="260"/>
      <c r="S12" s="236"/>
      <c r="T12" s="277" t="s">
        <v>307</v>
      </c>
      <c r="U12" s="246">
        <f>SUM(U4:U6)+SUM(U8:U10)</f>
        <v>6</v>
      </c>
      <c r="V12" s="236"/>
      <c r="W12" s="277"/>
      <c r="X12" s="247">
        <f>MAX(X4:X11)</f>
        <v>0</v>
      </c>
      <c r="Y12" s="247">
        <f>SUM(Y4:Y11)</f>
        <v>6000000</v>
      </c>
      <c r="Z12" s="278">
        <f>X12+Y12</f>
        <v>6000000</v>
      </c>
      <c r="AA12" s="249" t="s">
        <v>755</v>
      </c>
      <c r="AB12" s="238"/>
    </row>
    <row r="13" spans="2:28" ht="15.75" x14ac:dyDescent="0.25">
      <c r="B13" s="250"/>
      <c r="C13" s="274"/>
      <c r="D13" s="279"/>
      <c r="E13" s="252" t="s">
        <v>308</v>
      </c>
      <c r="F13" s="251"/>
      <c r="G13" s="279"/>
      <c r="H13" s="279"/>
      <c r="I13" s="279"/>
      <c r="J13" s="280"/>
      <c r="K13" s="281"/>
      <c r="L13" s="279"/>
      <c r="M13" s="279"/>
      <c r="N13" s="260"/>
      <c r="T13" s="282"/>
      <c r="U13" s="282"/>
    </row>
    <row r="14" spans="2:28" ht="15.75" x14ac:dyDescent="0.25">
      <c r="B14" s="250"/>
      <c r="C14" s="274"/>
      <c r="D14" s="279"/>
      <c r="E14" s="252" t="s">
        <v>309</v>
      </c>
      <c r="F14" s="1022" t="s">
        <v>7120</v>
      </c>
      <c r="G14" s="1023" t="s">
        <v>3</v>
      </c>
      <c r="H14" s="1023" t="s">
        <v>3</v>
      </c>
      <c r="I14" s="1024" t="s">
        <v>3</v>
      </c>
      <c r="J14" s="283"/>
      <c r="K14" s="284"/>
      <c r="L14" s="279"/>
      <c r="M14" s="255"/>
      <c r="N14" s="285"/>
      <c r="T14" s="282"/>
      <c r="U14" s="286">
        <f>$U$12*U4</f>
        <v>6</v>
      </c>
      <c r="AA14" s="977" t="str">
        <f>VLOOKUP(AA12,States!G2:L61,6,FALSE)</f>
        <v>Numerator</v>
      </c>
      <c r="AB14" s="978" t="s">
        <v>7085</v>
      </c>
    </row>
    <row r="15" spans="2:28" ht="15.75" x14ac:dyDescent="0.25">
      <c r="B15" s="287"/>
      <c r="C15" s="288"/>
      <c r="D15" s="289"/>
      <c r="E15" s="290"/>
      <c r="F15" s="291"/>
      <c r="G15" s="292"/>
      <c r="H15" s="292"/>
      <c r="I15" s="293"/>
      <c r="J15" s="293"/>
      <c r="K15" s="293"/>
      <c r="L15" s="289"/>
      <c r="M15" s="255"/>
      <c r="N15" s="285"/>
      <c r="T15" s="282"/>
      <c r="U15" s="286">
        <f t="shared" ref="U15:U21" si="3">$U$12*U5</f>
        <v>6</v>
      </c>
    </row>
    <row r="16" spans="2:28" ht="15.75" x14ac:dyDescent="0.25">
      <c r="B16" s="250"/>
      <c r="C16" s="274"/>
      <c r="D16" s="279"/>
      <c r="E16" s="252" t="s">
        <v>310</v>
      </c>
      <c r="F16" s="1022" t="s">
        <v>7109</v>
      </c>
      <c r="G16" s="1025"/>
      <c r="H16" s="1026"/>
      <c r="I16" s="294" t="s">
        <v>311</v>
      </c>
      <c r="J16" s="251"/>
      <c r="K16" s="294" t="s">
        <v>312</v>
      </c>
      <c r="L16" s="295">
        <v>90001</v>
      </c>
      <c r="M16" s="255"/>
      <c r="N16" s="285"/>
      <c r="T16" s="282"/>
      <c r="U16" s="286">
        <f t="shared" si="3"/>
        <v>6</v>
      </c>
      <c r="AA16" s="972" t="s">
        <v>7076</v>
      </c>
    </row>
    <row r="17" spans="2:27" ht="15.75" x14ac:dyDescent="0.25">
      <c r="B17" s="250"/>
      <c r="C17" s="274"/>
      <c r="D17" s="279"/>
      <c r="E17" s="279"/>
      <c r="F17" s="279"/>
      <c r="G17" s="279"/>
      <c r="H17" s="279"/>
      <c r="I17" s="279"/>
      <c r="J17" s="279"/>
      <c r="K17" s="279"/>
      <c r="L17" s="279"/>
      <c r="M17" s="279"/>
      <c r="N17" s="260"/>
      <c r="T17" s="282"/>
      <c r="U17" s="286">
        <f t="shared" si="3"/>
        <v>6</v>
      </c>
      <c r="AA17" s="973">
        <f ca="1">IF(YEARFRAC(F7,H7,1)&lt;1,(H7-F7)/365,(H7-F7-SUMPRODUCT((MONTH(ROW(INDIRECT(F7&amp;":"&amp;H7)))=2)*
(DAY(ROW(INDIRECT(F7&amp;":"&amp;H7)))=29)))/365)</f>
        <v>1</v>
      </c>
    </row>
    <row r="18" spans="2:27" ht="15.75" x14ac:dyDescent="0.25">
      <c r="B18" s="250"/>
      <c r="C18" s="274"/>
      <c r="D18" s="296"/>
      <c r="E18" s="256" t="s">
        <v>313</v>
      </c>
      <c r="F18" s="1001" t="s">
        <v>815</v>
      </c>
      <c r="G18" s="1002"/>
      <c r="H18" s="1003"/>
      <c r="I18" s="294" t="s">
        <v>314</v>
      </c>
      <c r="J18" s="297">
        <v>333120</v>
      </c>
      <c r="K18" s="256" t="s">
        <v>6067</v>
      </c>
      <c r="L18" s="1027" t="s">
        <v>6068</v>
      </c>
      <c r="M18" s="1028"/>
      <c r="N18" s="285"/>
      <c r="U18" s="286">
        <f t="shared" si="3"/>
        <v>6</v>
      </c>
    </row>
    <row r="19" spans="2:27" ht="16.5" thickBot="1" x14ac:dyDescent="0.3">
      <c r="B19" s="270"/>
      <c r="C19" s="271"/>
      <c r="D19" s="271"/>
      <c r="E19" s="271"/>
      <c r="F19" s="271"/>
      <c r="G19" s="271"/>
      <c r="H19" s="271"/>
      <c r="I19" s="271"/>
      <c r="J19" s="298" t="s">
        <v>3</v>
      </c>
      <c r="K19" s="298" t="s">
        <v>3</v>
      </c>
      <c r="L19" s="271"/>
      <c r="M19" s="271"/>
      <c r="N19" s="299"/>
      <c r="T19" s="282"/>
      <c r="U19" s="286">
        <f t="shared" si="3"/>
        <v>6</v>
      </c>
    </row>
    <row r="20" spans="2:27" ht="18.75" x14ac:dyDescent="0.3">
      <c r="B20" s="300"/>
      <c r="C20" s="301"/>
      <c r="D20" s="241" t="s">
        <v>315</v>
      </c>
      <c r="E20" s="301"/>
      <c r="F20" s="301"/>
      <c r="G20" s="301"/>
      <c r="H20" s="301"/>
      <c r="I20" s="301"/>
      <c r="J20" s="302"/>
      <c r="K20" s="302"/>
      <c r="L20" s="301"/>
      <c r="M20" s="301"/>
      <c r="N20" s="273"/>
      <c r="T20" s="282"/>
      <c r="U20" s="286">
        <f t="shared" si="3"/>
        <v>6</v>
      </c>
    </row>
    <row r="21" spans="2:27" x14ac:dyDescent="0.25">
      <c r="B21" s="303"/>
      <c r="C21" s="304"/>
      <c r="D21" s="304"/>
      <c r="E21" s="304"/>
      <c r="F21" s="304"/>
      <c r="G21" s="304"/>
      <c r="H21" s="304"/>
      <c r="I21" s="304"/>
      <c r="J21" s="304"/>
      <c r="K21" s="304"/>
      <c r="L21" s="304"/>
      <c r="M21" s="304"/>
      <c r="N21" s="305"/>
      <c r="T21" s="282"/>
      <c r="U21" s="286">
        <f t="shared" si="3"/>
        <v>6</v>
      </c>
    </row>
    <row r="22" spans="2:27" x14ac:dyDescent="0.25">
      <c r="B22" s="303"/>
      <c r="C22" s="304"/>
      <c r="D22" s="304"/>
      <c r="E22" s="304"/>
      <c r="F22" s="304"/>
      <c r="G22" s="304"/>
      <c r="H22" s="304"/>
      <c r="I22" s="304"/>
      <c r="J22" s="304"/>
      <c r="K22" s="304"/>
      <c r="L22" s="304"/>
      <c r="M22" s="304"/>
      <c r="N22" s="305"/>
      <c r="T22" s="282"/>
      <c r="U22" s="282"/>
    </row>
    <row r="23" spans="2:27" x14ac:dyDescent="0.25">
      <c r="B23" s="303"/>
      <c r="C23" s="304"/>
      <c r="D23" s="304"/>
      <c r="E23" s="304"/>
      <c r="F23" s="304"/>
      <c r="G23" s="304"/>
      <c r="H23" s="304"/>
      <c r="I23" s="304"/>
      <c r="J23" s="304"/>
      <c r="K23" s="304"/>
      <c r="L23" s="304"/>
      <c r="M23" s="304"/>
      <c r="N23" s="305"/>
    </row>
    <row r="24" spans="2:27" x14ac:dyDescent="0.25">
      <c r="B24" s="303"/>
      <c r="C24" s="304"/>
      <c r="D24" s="304"/>
      <c r="E24" s="304"/>
      <c r="F24" s="304"/>
      <c r="G24" s="304"/>
      <c r="H24" s="304"/>
      <c r="I24" s="304"/>
      <c r="J24" s="304"/>
      <c r="K24" s="304"/>
      <c r="L24" s="304"/>
      <c r="M24" s="304"/>
      <c r="N24" s="305"/>
      <c r="T24" s="282"/>
      <c r="U24" s="282"/>
    </row>
    <row r="25" spans="2:27" x14ac:dyDescent="0.25">
      <c r="B25" s="303"/>
      <c r="C25" s="304"/>
      <c r="D25" s="304"/>
      <c r="E25" s="304"/>
      <c r="F25" s="304"/>
      <c r="G25" s="304"/>
      <c r="H25" s="304"/>
      <c r="I25" s="304"/>
      <c r="J25" s="304"/>
      <c r="K25" s="304"/>
      <c r="L25" s="304"/>
      <c r="M25" s="304"/>
      <c r="N25" s="305"/>
      <c r="T25" s="282"/>
      <c r="U25" s="282"/>
    </row>
    <row r="26" spans="2:27" x14ac:dyDescent="0.25">
      <c r="B26" s="303"/>
      <c r="C26" s="304"/>
      <c r="D26" s="304"/>
      <c r="E26" s="304"/>
      <c r="F26" s="304"/>
      <c r="G26" s="304"/>
      <c r="H26" s="304"/>
      <c r="I26" s="304"/>
      <c r="J26" s="304"/>
      <c r="K26" s="304"/>
      <c r="L26" s="304"/>
      <c r="M26" s="304"/>
      <c r="N26" s="305"/>
      <c r="T26" s="282"/>
      <c r="U26" s="282"/>
    </row>
    <row r="27" spans="2:27" ht="16.5" thickBot="1" x14ac:dyDescent="0.3">
      <c r="B27" s="270"/>
      <c r="C27" s="271"/>
      <c r="D27" s="271"/>
      <c r="E27" s="271"/>
      <c r="F27" s="271"/>
      <c r="G27" s="271"/>
      <c r="H27" s="271"/>
      <c r="I27" s="271"/>
      <c r="J27" s="298" t="s">
        <v>3</v>
      </c>
      <c r="K27" s="298" t="s">
        <v>3</v>
      </c>
      <c r="L27" s="271"/>
      <c r="M27" s="271"/>
      <c r="N27" s="299"/>
      <c r="U27" s="282"/>
    </row>
    <row r="30" spans="2:27" x14ac:dyDescent="0.25">
      <c r="C30" s="306" t="s">
        <v>7095</v>
      </c>
    </row>
    <row r="38" spans="15:15" x14ac:dyDescent="0.25">
      <c r="O38" s="306"/>
    </row>
  </sheetData>
  <sheetProtection password="C5AE" sheet="1" objects="1" scenarios="1"/>
  <mergeCells count="8">
    <mergeCell ref="F18:H18"/>
    <mergeCell ref="B1:I3"/>
    <mergeCell ref="J1:N3"/>
    <mergeCell ref="F12:I12"/>
    <mergeCell ref="F14:I14"/>
    <mergeCell ref="F16:H16"/>
    <mergeCell ref="J9:K9"/>
    <mergeCell ref="L18:M18"/>
  </mergeCells>
  <conditionalFormatting sqref="J27:K27">
    <cfRule type="expression" dxfId="53" priority="1">
      <formula>$J$5="Everest Canada"</formula>
    </cfRule>
  </conditionalFormatting>
  <conditionalFormatting sqref="F14 J14">
    <cfRule type="expression" dxfId="52" priority="11" stopIfTrue="1">
      <formula>AE4=TRUE</formula>
    </cfRule>
  </conditionalFormatting>
  <conditionalFormatting sqref="F16:H16">
    <cfRule type="expression" dxfId="51" priority="10" stopIfTrue="1">
      <formula>AE4=TRUE</formula>
    </cfRule>
  </conditionalFormatting>
  <conditionalFormatting sqref="L16">
    <cfRule type="expression" dxfId="50" priority="9" stopIfTrue="1">
      <formula>AE4=TRUE</formula>
    </cfRule>
  </conditionalFormatting>
  <conditionalFormatting sqref="L5">
    <cfRule type="expression" dxfId="49" priority="8">
      <formula>$J$5="Everest Canada"</formula>
    </cfRule>
  </conditionalFormatting>
  <conditionalFormatting sqref="N7">
    <cfRule type="expression" dxfId="48" priority="7">
      <formula>$J$5="Everest Canada"</formula>
    </cfRule>
  </conditionalFormatting>
  <conditionalFormatting sqref="J18">
    <cfRule type="expression" dxfId="47" priority="6">
      <formula>J5&lt;&gt;"Everest Canada"</formula>
    </cfRule>
  </conditionalFormatting>
  <conditionalFormatting sqref="N5">
    <cfRule type="expression" dxfId="46" priority="4">
      <formula>$J$5="Everest Canada"</formula>
    </cfRule>
  </conditionalFormatting>
  <conditionalFormatting sqref="L4:N4">
    <cfRule type="expression" dxfId="45" priority="3">
      <formula>J5="Everest Canada"</formula>
    </cfRule>
  </conditionalFormatting>
  <conditionalFormatting sqref="J19:K20">
    <cfRule type="expression" dxfId="44" priority="2">
      <formula>$J$5="Everest Canada"</formula>
    </cfRule>
  </conditionalFormatting>
  <dataValidations count="3">
    <dataValidation type="list" allowBlank="1" showInputMessage="1" showErrorMessage="1" sqref="F18:H18" xr:uid="{00000000-0002-0000-0100-000000000000}">
      <formula1>MarkSeg</formula1>
    </dataValidation>
    <dataValidation type="list" allowBlank="1" showInputMessage="1" showErrorMessage="1" sqref="J18" xr:uid="{00000000-0002-0000-0100-000001000000}">
      <formula1>NAICS</formula1>
    </dataValidation>
    <dataValidation type="list" allowBlank="1" showInputMessage="1" showErrorMessage="1" sqref="J9:K9" xr:uid="{00000000-0002-0000-0100-000002000000}">
      <formula1>"Private Company, Cyber"</formula1>
    </dataValidation>
  </dataValidations>
  <printOptions horizontalCentered="1"/>
  <pageMargins left="0.45" right="0.45" top="0.75" bottom="0.75" header="0.3" footer="0.3"/>
  <pageSetup scale="61" orientation="landscape" horizontalDpi="300" r:id="rId1"/>
  <headerFooter>
    <oddHeader>&amp;CPrivate Company Rating Summary</oddHeader>
    <oddFooter>&amp;L&amp;F/&amp;A&amp;R&amp;D/&amp;T</oddFooter>
  </headerFooter>
  <drawing r:id="rId2"/>
  <legacyDrawing r:id="rId3"/>
  <controls>
    <mc:AlternateContent xmlns:mc="http://schemas.openxmlformats.org/markup-compatibility/2006">
      <mc:Choice Requires="x14">
        <control shapeId="3073" r:id="rId4" name="CheckBox1">
          <controlPr autoLine="0" autoPict="0" linkedCell="T4" r:id="rId5">
            <anchor moveWithCells="1">
              <from>
                <xdr:col>1</xdr:col>
                <xdr:colOff>114300</xdr:colOff>
                <xdr:row>11</xdr:row>
                <xdr:rowOff>161925</xdr:rowOff>
              </from>
              <to>
                <xdr:col>4</xdr:col>
                <xdr:colOff>180975</xdr:colOff>
                <xdr:row>13</xdr:row>
                <xdr:rowOff>104775</xdr:rowOff>
              </to>
            </anchor>
          </controlPr>
        </control>
      </mc:Choice>
      <mc:Fallback>
        <control shapeId="3073" r:id="rId4" name="CheckBox1"/>
      </mc:Fallback>
    </mc:AlternateContent>
    <mc:AlternateContent xmlns:mc="http://schemas.openxmlformats.org/markup-compatibility/2006">
      <mc:Choice Requires="x14">
        <control shapeId="3074" r:id="rId6" name="CheckBox2">
          <controlPr autoLine="0" autoPict="0" linkedCell="T5" r:id="rId7">
            <anchor moveWithCells="1">
              <from>
                <xdr:col>4</xdr:col>
                <xdr:colOff>228600</xdr:colOff>
                <xdr:row>11</xdr:row>
                <xdr:rowOff>161925</xdr:rowOff>
              </from>
              <to>
                <xdr:col>5</xdr:col>
                <xdr:colOff>1247775</xdr:colOff>
                <xdr:row>13</xdr:row>
                <xdr:rowOff>104775</xdr:rowOff>
              </to>
            </anchor>
          </controlPr>
        </control>
      </mc:Choice>
      <mc:Fallback>
        <control shapeId="3074" r:id="rId6" name="CheckBox2"/>
      </mc:Fallback>
    </mc:AlternateContent>
    <mc:AlternateContent xmlns:mc="http://schemas.openxmlformats.org/markup-compatibility/2006">
      <mc:Choice Requires="x14">
        <control shapeId="3075" r:id="rId8" name="CheckBox3">
          <controlPr autoLine="0" autoPict="0" linkedCell="T6" r:id="rId9">
            <anchor moveWithCells="1">
              <from>
                <xdr:col>5</xdr:col>
                <xdr:colOff>1295400</xdr:colOff>
                <xdr:row>11</xdr:row>
                <xdr:rowOff>161925</xdr:rowOff>
              </from>
              <to>
                <xdr:col>6</xdr:col>
                <xdr:colOff>942975</xdr:colOff>
                <xdr:row>13</xdr:row>
                <xdr:rowOff>104775</xdr:rowOff>
              </to>
            </anchor>
          </controlPr>
        </control>
      </mc:Choice>
      <mc:Fallback>
        <control shapeId="3075" r:id="rId8" name="CheckBox3"/>
      </mc:Fallback>
    </mc:AlternateContent>
    <mc:AlternateContent xmlns:mc="http://schemas.openxmlformats.org/markup-compatibility/2006">
      <mc:Choice Requires="x14">
        <control shapeId="3076" r:id="rId10" name="CheckBox4">
          <controlPr autoLine="0" autoPict="0" linkedCell="T11" r:id="rId11">
            <anchor moveWithCells="1">
              <from>
                <xdr:col>7</xdr:col>
                <xdr:colOff>304800</xdr:colOff>
                <xdr:row>13</xdr:row>
                <xdr:rowOff>142875</xdr:rowOff>
              </from>
              <to>
                <xdr:col>7</xdr:col>
                <xdr:colOff>1323975</xdr:colOff>
                <xdr:row>15</xdr:row>
                <xdr:rowOff>85725</xdr:rowOff>
              </to>
            </anchor>
          </controlPr>
        </control>
      </mc:Choice>
      <mc:Fallback>
        <control shapeId="3076" r:id="rId10" name="CheckBox4"/>
      </mc:Fallback>
    </mc:AlternateContent>
    <mc:AlternateContent xmlns:mc="http://schemas.openxmlformats.org/markup-compatibility/2006">
      <mc:Choice Requires="x14">
        <control shapeId="3077" r:id="rId12" name="ComboBox1">
          <controlPr autoLine="0" autoPict="0" linkedCell="AA12" listFillRange="States" r:id="rId13">
            <anchor moveWithCells="1">
              <from>
                <xdr:col>6</xdr:col>
                <xdr:colOff>1266825</xdr:colOff>
                <xdr:row>8</xdr:row>
                <xdr:rowOff>180975</xdr:rowOff>
              </from>
              <to>
                <xdr:col>7</xdr:col>
                <xdr:colOff>981075</xdr:colOff>
                <xdr:row>9</xdr:row>
                <xdr:rowOff>152400</xdr:rowOff>
              </to>
            </anchor>
          </controlPr>
        </control>
      </mc:Choice>
      <mc:Fallback>
        <control shapeId="3077" r:id="rId12" name="ComboBox1"/>
      </mc:Fallback>
    </mc:AlternateContent>
    <mc:AlternateContent xmlns:mc="http://schemas.openxmlformats.org/markup-compatibility/2006">
      <mc:Choice Requires="x14">
        <control shapeId="3078" r:id="rId14" name="CheckBox5">
          <controlPr autoLine="0" autoPict="0" linkedCell="T10" r:id="rId15">
            <anchor moveWithCells="1">
              <from>
                <xdr:col>5</xdr:col>
                <xdr:colOff>1076325</xdr:colOff>
                <xdr:row>13</xdr:row>
                <xdr:rowOff>142875</xdr:rowOff>
              </from>
              <to>
                <xdr:col>7</xdr:col>
                <xdr:colOff>238125</xdr:colOff>
                <xdr:row>15</xdr:row>
                <xdr:rowOff>85725</xdr:rowOff>
              </to>
            </anchor>
          </controlPr>
        </control>
      </mc:Choice>
      <mc:Fallback>
        <control shapeId="3078" r:id="rId14" name="CheckBox5"/>
      </mc:Fallback>
    </mc:AlternateContent>
    <mc:AlternateContent xmlns:mc="http://schemas.openxmlformats.org/markup-compatibility/2006">
      <mc:Choice Requires="x14">
        <control shapeId="3079" r:id="rId16" name="CheckBox6">
          <controlPr autoLine="0" autoPict="0" linkedCell="T9" r:id="rId17">
            <anchor moveWithCells="1">
              <from>
                <xdr:col>1</xdr:col>
                <xdr:colOff>104775</xdr:colOff>
                <xdr:row>13</xdr:row>
                <xdr:rowOff>142875</xdr:rowOff>
              </from>
              <to>
                <xdr:col>5</xdr:col>
                <xdr:colOff>485775</xdr:colOff>
                <xdr:row>15</xdr:row>
                <xdr:rowOff>85725</xdr:rowOff>
              </to>
            </anchor>
          </controlPr>
        </control>
      </mc:Choice>
      <mc:Fallback>
        <control shapeId="3079" r:id="rId16" name="CheckBox6"/>
      </mc:Fallback>
    </mc:AlternateContent>
    <mc:AlternateContent xmlns:mc="http://schemas.openxmlformats.org/markup-compatibility/2006">
      <mc:Choice Requires="x14">
        <control shapeId="3080" r:id="rId18" name="CheckBox7">
          <controlPr autoLine="0" autoPict="0" linkedCell="T7" r:id="rId19">
            <anchor moveWithCells="1">
              <from>
                <xdr:col>6</xdr:col>
                <xdr:colOff>1000125</xdr:colOff>
                <xdr:row>11</xdr:row>
                <xdr:rowOff>161925</xdr:rowOff>
              </from>
              <to>
                <xdr:col>7</xdr:col>
                <xdr:colOff>190500</xdr:colOff>
                <xdr:row>13</xdr:row>
                <xdr:rowOff>104775</xdr:rowOff>
              </to>
            </anchor>
          </controlPr>
        </control>
      </mc:Choice>
      <mc:Fallback>
        <control shapeId="3080" r:id="rId18" name="CheckBox7"/>
      </mc:Fallback>
    </mc:AlternateContent>
    <mc:AlternateContent xmlns:mc="http://schemas.openxmlformats.org/markup-compatibility/2006">
      <mc:Choice Requires="x14">
        <control shapeId="3081" r:id="rId20" name="CheckBox8">
          <controlPr autoLine="0" autoPict="0" linkedCell="T8" r:id="rId21">
            <anchor moveWithCells="1">
              <from>
                <xdr:col>5</xdr:col>
                <xdr:colOff>533400</xdr:colOff>
                <xdr:row>13</xdr:row>
                <xdr:rowOff>142875</xdr:rowOff>
              </from>
              <to>
                <xdr:col>5</xdr:col>
                <xdr:colOff>1028700</xdr:colOff>
                <xdr:row>15</xdr:row>
                <xdr:rowOff>85725</xdr:rowOff>
              </to>
            </anchor>
          </controlPr>
        </control>
      </mc:Choice>
      <mc:Fallback>
        <control shapeId="3081" r:id="rId20" name="CheckBox8"/>
      </mc:Fallback>
    </mc:AlternateContent>
    <mc:AlternateContent xmlns:mc="http://schemas.openxmlformats.org/markup-compatibility/2006">
      <mc:Choice Requires="x14">
        <control shapeId="3082" r:id="rId22" name="ComboBox2">
          <controlPr autoLine="0" autoPict="0" linkedCell="AA7" listFillRange="Product" r:id="rId23">
            <anchor moveWithCells="1">
              <from>
                <xdr:col>7</xdr:col>
                <xdr:colOff>857250</xdr:colOff>
                <xdr:row>0</xdr:row>
                <xdr:rowOff>152400</xdr:rowOff>
              </from>
              <to>
                <xdr:col>9</xdr:col>
                <xdr:colOff>371475</xdr:colOff>
                <xdr:row>1</xdr:row>
                <xdr:rowOff>209550</xdr:rowOff>
              </to>
            </anchor>
          </controlPr>
        </control>
      </mc:Choice>
      <mc:Fallback>
        <control shapeId="3082" r:id="rId22" name="ComboBox2"/>
      </mc:Fallback>
    </mc:AlternateContent>
    <mc:AlternateContent xmlns:mc="http://schemas.openxmlformats.org/markup-compatibility/2006">
      <mc:Choice Requires="x14">
        <control shapeId="3084" r:id="rId24" name="Button 12">
          <controlPr defaultSize="0" print="0" autoFill="0" autoPict="0" macro="[0]!Start">
            <anchor moveWithCells="1" sizeWithCells="1">
              <from>
                <xdr:col>5</xdr:col>
                <xdr:colOff>276225</xdr:colOff>
                <xdr:row>0</xdr:row>
                <xdr:rowOff>104775</xdr:rowOff>
              </from>
              <to>
                <xdr:col>5</xdr:col>
                <xdr:colOff>981075</xdr:colOff>
                <xdr:row>1</xdr:row>
                <xdr:rowOff>142875</xdr:rowOff>
              </to>
            </anchor>
          </controlPr>
        </control>
      </mc:Choice>
    </mc:AlternateContent>
    <mc:AlternateContent xmlns:mc="http://schemas.openxmlformats.org/markup-compatibility/2006">
      <mc:Choice Requires="x14">
        <control shapeId="3085" r:id="rId25" name="Button 13">
          <controlPr defaultSize="0" print="0" autoFill="0" autoPict="0" macro="[0]!_xludf.Clear">
            <anchor moveWithCells="1" sizeWithCells="1">
              <from>
                <xdr:col>5</xdr:col>
                <xdr:colOff>1104900</xdr:colOff>
                <xdr:row>0</xdr:row>
                <xdr:rowOff>95250</xdr:rowOff>
              </from>
              <to>
                <xdr:col>6</xdr:col>
                <xdr:colOff>428625</xdr:colOff>
                <xdr:row>1</xdr:row>
                <xdr:rowOff>133350</xdr:rowOff>
              </to>
            </anchor>
          </controlPr>
        </control>
      </mc:Choice>
    </mc:AlternateContent>
    <mc:AlternateContent xmlns:mc="http://schemas.openxmlformats.org/markup-compatibility/2006">
      <mc:Choice Requires="x14">
        <control shapeId="3086" r:id="rId26" name="Button 14">
          <controlPr defaultSize="0" print="0" autoFill="0" autoPict="0" macro="[0]!WINSCoding">
            <anchor moveWithCells="1" sizeWithCells="1">
              <from>
                <xdr:col>6</xdr:col>
                <xdr:colOff>552450</xdr:colOff>
                <xdr:row>0</xdr:row>
                <xdr:rowOff>95250</xdr:rowOff>
              </from>
              <to>
                <xdr:col>6</xdr:col>
                <xdr:colOff>1257300</xdr:colOff>
                <xdr:row>1</xdr:row>
                <xdr:rowOff>171450</xdr:rowOff>
              </to>
            </anchor>
          </controlPr>
        </control>
      </mc:Choice>
    </mc:AlternateContent>
    <mc:AlternateContent xmlns:mc="http://schemas.openxmlformats.org/markup-compatibility/2006">
      <mc:Choice Requires="x14">
        <control shapeId="3087" r:id="rId27" name="Button 15">
          <controlPr defaultSize="0" print="0" autoFill="0" autoPict="0" macro="[0]!Main">
            <anchor moveWithCells="1">
              <from>
                <xdr:col>10</xdr:col>
                <xdr:colOff>28575</xdr:colOff>
                <xdr:row>0</xdr:row>
                <xdr:rowOff>76200</xdr:rowOff>
              </from>
              <to>
                <xdr:col>10</xdr:col>
                <xdr:colOff>857250</xdr:colOff>
                <xdr:row>1</xdr:row>
                <xdr:rowOff>171450</xdr:rowOff>
              </to>
            </anchor>
          </controlPr>
        </control>
      </mc:Choice>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100-000003000000}">
          <x14:formula1>
            <xm:f>Tables!$C$19:$C$21</xm:f>
          </x14:formula1>
          <xm:sqref>L18:M18</xm:sqref>
        </x14:dataValidation>
        <x14:dataValidation type="list" allowBlank="1" showInputMessage="1" showErrorMessage="1" xr:uid="{00000000-0002-0000-0100-000004000000}">
          <x14:formula1>
            <xm:f>Lookups!$BL$2:$BL$21</xm:f>
          </x14:formula1>
          <xm:sqref>J7</xm:sqref>
        </x14:dataValidation>
        <x14:dataValidation type="list" allowBlank="1" showInputMessage="1" showErrorMessage="1" xr:uid="{00000000-0002-0000-0100-000005000000}">
          <x14:formula1>
            <xm:f>Lookups!$BI$2:$BI$5</xm:f>
          </x14:formula1>
          <xm:sqref>H9</xm:sqref>
        </x14:dataValidation>
        <x14:dataValidation type="list" allowBlank="1" showInputMessage="1" showErrorMessage="1" xr:uid="{00000000-0002-0000-0100-000006000000}">
          <x14:formula1>
            <xm:f>States!$A$71:$A$319</xm:f>
          </x14:formula1>
          <xm:sqref>L12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CZ692"/>
  <sheetViews>
    <sheetView showGridLines="0" tabSelected="1" topLeftCell="B1" zoomScale="80" zoomScaleNormal="80" workbookViewId="0">
      <pane ySplit="6" topLeftCell="A7" activePane="bottomLeft" state="frozen"/>
      <selection activeCell="J9" sqref="J9:K9"/>
      <selection pane="bottomLeft" activeCell="I36" sqref="I36"/>
    </sheetView>
  </sheetViews>
  <sheetFormatPr defaultColWidth="9.140625" defaultRowHeight="15" x14ac:dyDescent="0.25"/>
  <cols>
    <col min="1" max="1" width="4.28515625" style="307" hidden="1" customWidth="1"/>
    <col min="2" max="2" width="2.7109375" style="316" customWidth="1"/>
    <col min="3" max="3" width="15.28515625" style="316" customWidth="1"/>
    <col min="4" max="4" width="17.85546875" style="316" customWidth="1"/>
    <col min="5" max="5" width="7.5703125" style="315" customWidth="1"/>
    <col min="6" max="7" width="2.7109375" style="316" customWidth="1"/>
    <col min="8" max="8" width="31.5703125" style="316" customWidth="1"/>
    <col min="9" max="9" width="15.7109375" style="316" customWidth="1"/>
    <col min="10" max="10" width="11.28515625" style="316" bestFit="1" customWidth="1"/>
    <col min="11" max="11" width="10.85546875" style="316" bestFit="1" customWidth="1"/>
    <col min="12" max="12" width="9.140625" style="316" customWidth="1"/>
    <col min="13" max="13" width="9.28515625" style="316" bestFit="1" customWidth="1"/>
    <col min="14" max="14" width="2.7109375" style="316" customWidth="1"/>
    <col min="15" max="15" width="15.28515625" style="316" customWidth="1"/>
    <col min="16" max="16" width="15.7109375" style="316" customWidth="1"/>
    <col min="17" max="18" width="2.7109375" style="316" customWidth="1"/>
    <col min="19" max="19" width="17.28515625" style="316" customWidth="1"/>
    <col min="20" max="20" width="15.7109375" style="316" customWidth="1"/>
    <col min="21" max="21" width="2.7109375" style="316" customWidth="1"/>
    <col min="22" max="22" width="7" style="312" hidden="1" customWidth="1"/>
    <col min="23" max="23" width="7" style="313" hidden="1" customWidth="1"/>
    <col min="24" max="24" width="52.85546875" style="313" hidden="1" customWidth="1"/>
    <col min="25" max="25" width="9.140625" style="313" hidden="1" customWidth="1"/>
    <col min="26" max="26" width="24.42578125" style="313" hidden="1" customWidth="1"/>
    <col min="27" max="27" width="9.140625" style="313" hidden="1" customWidth="1"/>
    <col min="28" max="28" width="12.28515625" style="314" hidden="1" customWidth="1"/>
    <col min="29" max="29" width="9.85546875" style="314" hidden="1" customWidth="1"/>
    <col min="30" max="30" width="52.85546875" style="313" hidden="1" customWidth="1"/>
    <col min="31" max="31" width="15.42578125" style="313" hidden="1" customWidth="1"/>
    <col min="32" max="32" width="12" style="313" hidden="1" customWidth="1"/>
    <col min="33" max="33" width="10.85546875" style="313" hidden="1" customWidth="1"/>
    <col min="34" max="34" width="12" style="314" hidden="1" customWidth="1"/>
    <col min="35" max="35" width="9.7109375" style="314" hidden="1" customWidth="1"/>
    <col min="36" max="36" width="69.42578125" style="313" hidden="1" customWidth="1"/>
    <col min="37" max="37" width="10.28515625" style="313" hidden="1" customWidth="1"/>
    <col min="38" max="38" width="12" style="313" hidden="1" customWidth="1"/>
    <col min="39" max="39" width="9.28515625" style="313" hidden="1" customWidth="1"/>
    <col min="40" max="40" width="39" style="313" hidden="1" customWidth="1"/>
    <col min="41" max="41" width="44.42578125" style="313" hidden="1" customWidth="1"/>
    <col min="42" max="42" width="11" style="313" hidden="1" customWidth="1"/>
    <col min="43" max="43" width="9.28515625" style="313" hidden="1" customWidth="1"/>
    <col min="44" max="44" width="16.5703125" style="313" hidden="1" customWidth="1"/>
    <col min="45" max="45" width="8.28515625" style="313" hidden="1" customWidth="1"/>
    <col min="46" max="46" width="12" style="313" hidden="1" customWidth="1"/>
    <col min="47" max="47" width="9.28515625" style="313" hidden="1" customWidth="1"/>
    <col min="48" max="48" width="15.140625" style="313" hidden="1" customWidth="1"/>
    <col min="49" max="50" width="9.28515625" style="313" hidden="1" customWidth="1"/>
    <col min="51" max="51" width="12" style="313" hidden="1" customWidth="1"/>
    <col min="52" max="52" width="16.5703125" style="313" hidden="1" customWidth="1"/>
    <col min="53" max="53" width="12" style="313" hidden="1" customWidth="1"/>
    <col min="54" max="54" width="7.140625" style="313" hidden="1" customWidth="1"/>
    <col min="55" max="55" width="9.28515625" style="313" hidden="1" customWidth="1"/>
    <col min="56" max="56" width="15.140625" style="313" hidden="1" customWidth="1"/>
    <col min="57" max="57" width="9.140625" style="313" hidden="1" customWidth="1"/>
    <col min="58" max="58" width="21.42578125" style="313" hidden="1" customWidth="1"/>
    <col min="59" max="59" width="9.140625" style="313" hidden="1" customWidth="1"/>
    <col min="60" max="60" width="21.42578125" style="313" hidden="1" customWidth="1"/>
    <col min="61" max="61" width="11.28515625" style="313" hidden="1" customWidth="1"/>
    <col min="62" max="62" width="22.42578125" style="313" hidden="1" customWidth="1"/>
    <col min="63" max="63" width="9.28515625" style="313" hidden="1" customWidth="1"/>
    <col min="64" max="64" width="22.42578125" style="313" hidden="1" customWidth="1"/>
    <col min="65" max="67" width="17.42578125" style="313" hidden="1" customWidth="1"/>
    <col min="68" max="68" width="8.140625" style="313" hidden="1" customWidth="1"/>
    <col min="69" max="69" width="10.140625" style="313" hidden="1" customWidth="1"/>
    <col min="70" max="70" width="6.7109375" style="313" hidden="1" customWidth="1"/>
    <col min="71" max="71" width="9.85546875" style="313" hidden="1" customWidth="1"/>
    <col min="72" max="74" width="9.140625" style="313" hidden="1" customWidth="1"/>
    <col min="75" max="78" width="9.140625" style="315" hidden="1" customWidth="1"/>
    <col min="79" max="79" width="23.42578125" style="315" hidden="1" customWidth="1"/>
    <col min="80" max="91" width="9.140625" style="315" hidden="1" customWidth="1"/>
    <col min="92" max="96" width="9.140625" style="316" hidden="1" customWidth="1"/>
    <col min="97" max="97" width="12.42578125" style="316" hidden="1" customWidth="1"/>
    <col min="98" max="99" width="9.140625" style="316" hidden="1" customWidth="1"/>
    <col min="100" max="100" width="11.28515625" style="316" hidden="1" customWidth="1"/>
    <col min="101" max="101" width="6.140625" style="316" hidden="1" customWidth="1"/>
    <col min="102" max="102" width="11.28515625" style="316" hidden="1" customWidth="1"/>
    <col min="103" max="103" width="6.140625" style="316" hidden="1" customWidth="1"/>
    <col min="104" max="104" width="5.7109375" style="316" hidden="1" customWidth="1"/>
    <col min="105" max="111" width="9.140625" style="316" customWidth="1"/>
    <col min="112" max="112" width="11.28515625" style="316" customWidth="1"/>
    <col min="113" max="113" width="6.140625" style="316" customWidth="1"/>
    <col min="114" max="114" width="11.28515625" style="316" customWidth="1"/>
    <col min="115" max="115" width="6.140625" style="316" customWidth="1"/>
    <col min="116" max="116" width="5.7109375" style="316" customWidth="1"/>
    <col min="117" max="117" width="9.140625" style="316" customWidth="1"/>
    <col min="118" max="118" width="11" style="316" customWidth="1"/>
    <col min="119" max="119" width="6.140625" style="316" customWidth="1"/>
    <col min="120" max="120" width="8.42578125" style="316" customWidth="1"/>
    <col min="121" max="122" width="6.140625" style="316" customWidth="1"/>
    <col min="123" max="163" width="9.140625" style="316" customWidth="1"/>
    <col min="164" max="16384" width="9.140625" style="316"/>
  </cols>
  <sheetData>
    <row r="1" spans="1:91" x14ac:dyDescent="0.25">
      <c r="B1" s="308"/>
      <c r="C1" s="309"/>
      <c r="D1" s="309"/>
      <c r="E1" s="310"/>
      <c r="F1" s="309"/>
      <c r="G1" s="309"/>
      <c r="H1" s="309"/>
      <c r="I1" s="309"/>
      <c r="J1" s="309"/>
      <c r="K1" s="309"/>
      <c r="L1" s="309"/>
      <c r="M1" s="309"/>
      <c r="N1" s="309"/>
      <c r="O1" s="309"/>
      <c r="P1" s="309"/>
      <c r="Q1" s="309"/>
      <c r="R1" s="309"/>
      <c r="S1" s="309"/>
      <c r="T1" s="309"/>
      <c r="U1" s="311"/>
      <c r="CA1" s="992" t="s">
        <v>7091</v>
      </c>
      <c r="CB1" s="992"/>
      <c r="CC1" s="992"/>
      <c r="CD1" s="992"/>
      <c r="CE1" s="992"/>
      <c r="CF1" s="992"/>
      <c r="CG1" s="992"/>
      <c r="CH1" s="992"/>
      <c r="CI1" s="992"/>
      <c r="CJ1" s="992"/>
      <c r="CK1" s="992"/>
    </row>
    <row r="2" spans="1:91" x14ac:dyDescent="0.25">
      <c r="B2" s="317"/>
      <c r="C2" s="318" t="s">
        <v>316</v>
      </c>
      <c r="D2" s="319">
        <f ca="1">IF('Account Info'!T4=FALSE,"",I130)</f>
        <v>4894</v>
      </c>
      <c r="E2" s="320"/>
      <c r="F2" s="321"/>
      <c r="G2" s="321"/>
      <c r="H2" s="318" t="s">
        <v>317</v>
      </c>
      <c r="I2" s="319">
        <f ca="1">IF('Account Info'!T5=FALSE,"",I212)</f>
        <v>15989</v>
      </c>
      <c r="J2" s="321"/>
      <c r="K2" s="321"/>
      <c r="L2" s="321"/>
      <c r="M2" s="321"/>
      <c r="N2" s="321"/>
      <c r="O2" s="318" t="s">
        <v>318</v>
      </c>
      <c r="P2" s="319">
        <f ca="1">IF('Account Info'!T6=FALSE,"",I294)</f>
        <v>1049</v>
      </c>
      <c r="Q2" s="321"/>
      <c r="R2" s="321"/>
      <c r="S2" s="318" t="s">
        <v>319</v>
      </c>
      <c r="T2" s="319">
        <f ca="1">IF('Account Info'!T7=FALSE,"",I380)</f>
        <v>4388</v>
      </c>
      <c r="U2" s="322"/>
    </row>
    <row r="3" spans="1:91" x14ac:dyDescent="0.25">
      <c r="B3" s="317"/>
      <c r="C3" s="318" t="s">
        <v>320</v>
      </c>
      <c r="D3" s="319">
        <f ca="1">IF('Account Info'!$T$8=FALSE,"",I510)</f>
        <v>1339</v>
      </c>
      <c r="E3" s="320"/>
      <c r="F3" s="321"/>
      <c r="G3" s="321"/>
      <c r="H3" s="318" t="s">
        <v>321</v>
      </c>
      <c r="I3" s="319">
        <f ca="1">IF('Account Info'!T9=FALSE,"",I564)</f>
        <v>3861</v>
      </c>
      <c r="J3" s="321"/>
      <c r="K3" s="321"/>
      <c r="L3" s="321"/>
      <c r="M3" s="321"/>
      <c r="N3" s="321"/>
      <c r="O3" s="318" t="s">
        <v>322</v>
      </c>
      <c r="P3" s="319">
        <f ca="1">IF('Account Info'!T10=FALSE,"",I624)</f>
        <v>7047</v>
      </c>
      <c r="Q3" s="321"/>
      <c r="R3" s="321"/>
      <c r="S3" s="318" t="s">
        <v>323</v>
      </c>
      <c r="T3" s="319">
        <f ca="1">IF('Account Info'!T11=FALSE,"",I691)</f>
        <v>2071</v>
      </c>
      <c r="U3" s="322"/>
    </row>
    <row r="4" spans="1:91" x14ac:dyDescent="0.25">
      <c r="B4" s="317"/>
      <c r="C4" s="323"/>
      <c r="D4" s="321"/>
      <c r="E4" s="320"/>
      <c r="F4" s="321"/>
      <c r="G4" s="321"/>
      <c r="J4" s="321"/>
      <c r="K4" s="321"/>
      <c r="L4" s="321"/>
      <c r="M4" s="321"/>
      <c r="N4" s="321"/>
      <c r="Q4" s="321"/>
      <c r="R4" s="321"/>
      <c r="S4" s="321"/>
      <c r="T4" s="321"/>
      <c r="U4" s="322"/>
    </row>
    <row r="5" spans="1:91" ht="14.25" customHeight="1" x14ac:dyDescent="0.25">
      <c r="B5" s="317"/>
      <c r="C5" s="318" t="s">
        <v>324</v>
      </c>
      <c r="D5" s="319">
        <f ca="1">IF(D2="",0,D2)+IF(D3="",0,D3)+IF(I2="",0,I2)+IF(I3="",0,I3)+IF(P2="",0,P2)+IF(P3="",0,P3)+IF(T2="",0,T2)+IF(T3="",0,T3)</f>
        <v>40638</v>
      </c>
      <c r="E5" s="320"/>
      <c r="F5" s="321"/>
      <c r="G5" s="321"/>
      <c r="H5" s="318" t="s">
        <v>325</v>
      </c>
      <c r="I5" s="319">
        <f>'Account Info'!Z12</f>
        <v>6000000</v>
      </c>
      <c r="J5" s="321"/>
      <c r="K5" s="321"/>
      <c r="L5" s="321"/>
      <c r="M5" s="321"/>
      <c r="N5" s="321"/>
      <c r="O5" s="321"/>
      <c r="P5" s="321"/>
      <c r="Q5" s="321"/>
      <c r="R5" s="321"/>
      <c r="S5" s="321"/>
      <c r="T5" s="321"/>
      <c r="U5" s="322"/>
    </row>
    <row r="6" spans="1:91" ht="19.5" thickBot="1" x14ac:dyDescent="0.35">
      <c r="B6" s="324"/>
      <c r="C6" s="325"/>
      <c r="D6" s="325"/>
      <c r="E6" s="326"/>
      <c r="F6" s="325"/>
      <c r="G6" s="325"/>
      <c r="H6" s="325"/>
      <c r="I6" s="325"/>
      <c r="J6" s="325"/>
      <c r="K6" s="325"/>
      <c r="L6" s="325"/>
      <c r="M6" s="325"/>
      <c r="N6" s="325"/>
      <c r="O6" s="325"/>
      <c r="P6" s="325"/>
      <c r="Q6" s="325"/>
      <c r="R6" s="325"/>
      <c r="S6" s="325"/>
      <c r="T6" s="325"/>
      <c r="U6" s="327"/>
      <c r="CA6" s="993" t="s">
        <v>329</v>
      </c>
      <c r="CB6" s="992"/>
      <c r="CC6" s="992"/>
    </row>
    <row r="7" spans="1:91" s="339" customFormat="1" ht="19.5" thickBot="1" x14ac:dyDescent="0.35">
      <c r="A7" s="328"/>
      <c r="B7" s="329" t="s">
        <v>326</v>
      </c>
      <c r="C7" s="330"/>
      <c r="D7" s="330"/>
      <c r="E7" s="331"/>
      <c r="F7" s="332"/>
      <c r="G7" s="329" t="s">
        <v>327</v>
      </c>
      <c r="H7" s="330"/>
      <c r="I7" s="330"/>
      <c r="J7" s="330"/>
      <c r="K7" s="330"/>
      <c r="L7" s="330"/>
      <c r="M7" s="332"/>
      <c r="N7" s="329" t="s">
        <v>328</v>
      </c>
      <c r="O7" s="330"/>
      <c r="P7" s="330"/>
      <c r="Q7" s="332"/>
      <c r="R7" s="1115" t="s">
        <v>298</v>
      </c>
      <c r="S7" s="1116"/>
      <c r="T7" s="1116"/>
      <c r="U7" s="1117"/>
      <c r="V7" s="333"/>
      <c r="W7" s="334"/>
      <c r="X7" s="335" t="s">
        <v>329</v>
      </c>
      <c r="Y7" s="335"/>
      <c r="Z7" s="335"/>
      <c r="AA7" s="335"/>
      <c r="AB7" s="336"/>
      <c r="AC7" s="336"/>
      <c r="AD7" s="334"/>
      <c r="AE7" s="334"/>
      <c r="AF7" s="334"/>
      <c r="AG7" s="334"/>
      <c r="AH7" s="337"/>
      <c r="AI7" s="337"/>
      <c r="AJ7" s="334"/>
      <c r="AK7" s="334"/>
      <c r="AL7" s="334"/>
      <c r="AM7" s="334"/>
      <c r="AN7" s="334"/>
      <c r="AO7" s="334"/>
      <c r="AP7" s="334"/>
      <c r="AQ7" s="334"/>
      <c r="AR7" s="334"/>
      <c r="AS7" s="334"/>
      <c r="AT7" s="334"/>
      <c r="AU7" s="334"/>
      <c r="AV7" s="334"/>
      <c r="AW7" s="334"/>
      <c r="AX7" s="334"/>
      <c r="AY7" s="334"/>
      <c r="AZ7" s="334"/>
      <c r="BA7" s="334"/>
      <c r="BB7" s="334"/>
      <c r="BC7" s="334"/>
      <c r="BD7" s="334"/>
      <c r="BE7" s="334"/>
      <c r="BF7" s="334"/>
      <c r="BG7" s="334"/>
      <c r="BH7" s="334"/>
      <c r="BI7" s="334"/>
      <c r="BJ7" s="334"/>
      <c r="BK7" s="334"/>
      <c r="BL7" s="334"/>
      <c r="BM7" s="334"/>
      <c r="BN7" s="334"/>
      <c r="BO7" s="334"/>
      <c r="BP7" s="334"/>
      <c r="BQ7" s="334"/>
      <c r="BR7" s="334"/>
      <c r="BS7" s="334"/>
      <c r="BT7" s="334"/>
      <c r="BU7" s="334"/>
      <c r="BV7" s="334"/>
      <c r="BW7" s="338"/>
      <c r="BX7" s="338"/>
      <c r="BY7" s="338"/>
      <c r="BZ7" s="338"/>
      <c r="CA7" s="994"/>
      <c r="CB7" s="995" t="s">
        <v>7092</v>
      </c>
      <c r="CC7" s="996" t="s">
        <v>7090</v>
      </c>
      <c r="CD7" s="338"/>
      <c r="CE7" s="315"/>
      <c r="CF7" s="995" t="s">
        <v>7092</v>
      </c>
      <c r="CG7" s="995" t="s">
        <v>7092</v>
      </c>
      <c r="CH7" s="995" t="s">
        <v>7092</v>
      </c>
      <c r="CI7" s="996" t="s">
        <v>7090</v>
      </c>
      <c r="CJ7" s="996" t="s">
        <v>7090</v>
      </c>
      <c r="CK7" s="996" t="s">
        <v>7090</v>
      </c>
      <c r="CL7" s="338"/>
      <c r="CM7" s="338"/>
    </row>
    <row r="8" spans="1:91" x14ac:dyDescent="0.25">
      <c r="B8" s="308"/>
      <c r="C8" s="309"/>
      <c r="D8" s="309"/>
      <c r="E8" s="310"/>
      <c r="F8" s="311"/>
      <c r="G8" s="309"/>
      <c r="H8" s="309"/>
      <c r="I8" s="309"/>
      <c r="J8" s="309"/>
      <c r="K8" s="309"/>
      <c r="L8" s="309"/>
      <c r="M8" s="311"/>
      <c r="N8" s="309"/>
      <c r="O8" s="309"/>
      <c r="P8" s="309"/>
      <c r="Q8" s="311"/>
      <c r="R8" s="309"/>
      <c r="S8" s="309"/>
      <c r="T8" s="309"/>
      <c r="U8" s="311"/>
      <c r="V8" s="340"/>
      <c r="X8" s="341">
        <v>2000000</v>
      </c>
      <c r="Y8" s="980">
        <f t="shared" ref="Y8:Y25" si="0">IF(NFP,CC8,CB8)</f>
        <v>2800</v>
      </c>
      <c r="Z8" s="341">
        <v>7500000</v>
      </c>
      <c r="AA8" s="980">
        <f>Y9</f>
        <v>2900</v>
      </c>
      <c r="AB8" s="341">
        <f>D11</f>
        <v>1000000</v>
      </c>
      <c r="AC8" s="342" t="s">
        <v>330</v>
      </c>
      <c r="AM8" s="343"/>
      <c r="AN8" s="344" t="s">
        <v>331</v>
      </c>
      <c r="AO8" s="343"/>
      <c r="AP8" s="343"/>
      <c r="AQ8" s="345">
        <f>AG21</f>
        <v>400</v>
      </c>
      <c r="AR8" s="343"/>
      <c r="AS8" s="346"/>
      <c r="AT8" s="347"/>
      <c r="AU8" s="343"/>
      <c r="AV8" s="344" t="s">
        <v>332</v>
      </c>
      <c r="AW8" s="343"/>
      <c r="AX8" s="343"/>
      <c r="AY8" s="345">
        <f>AH21</f>
        <v>4</v>
      </c>
      <c r="AZ8" s="343"/>
      <c r="BA8" s="346"/>
      <c r="BB8" s="347"/>
      <c r="BC8" s="343"/>
      <c r="BD8" s="344" t="s">
        <v>333</v>
      </c>
      <c r="BE8" s="343"/>
      <c r="BF8" s="343"/>
      <c r="BG8" s="345">
        <f>AI21</f>
        <v>4</v>
      </c>
      <c r="BH8" s="343"/>
      <c r="CA8" s="980">
        <v>2000000</v>
      </c>
      <c r="CB8" s="980">
        <v>2800</v>
      </c>
      <c r="CC8" s="997">
        <v>1120</v>
      </c>
      <c r="CE8" s="998"/>
      <c r="CF8" s="999" t="s">
        <v>331</v>
      </c>
      <c r="CG8" s="999" t="s">
        <v>332</v>
      </c>
      <c r="CH8" s="999" t="s">
        <v>333</v>
      </c>
      <c r="CI8" s="999" t="s">
        <v>331</v>
      </c>
      <c r="CJ8" s="999" t="s">
        <v>332</v>
      </c>
      <c r="CK8" s="999" t="s">
        <v>333</v>
      </c>
    </row>
    <row r="9" spans="1:91" x14ac:dyDescent="0.25">
      <c r="B9" s="317"/>
      <c r="C9" s="321"/>
      <c r="D9" s="321"/>
      <c r="E9" s="320"/>
      <c r="F9" s="322"/>
      <c r="G9" s="321"/>
      <c r="H9" s="321"/>
      <c r="I9" s="348"/>
      <c r="J9" s="349"/>
      <c r="K9" s="349"/>
      <c r="L9" s="349"/>
      <c r="M9" s="322"/>
      <c r="N9" s="321"/>
      <c r="O9" s="321"/>
      <c r="P9" s="321"/>
      <c r="Q9" s="322"/>
      <c r="R9" s="321"/>
      <c r="S9" s="321"/>
      <c r="T9" s="321"/>
      <c r="U9" s="322"/>
      <c r="V9" s="340"/>
      <c r="X9" s="350">
        <v>7500000</v>
      </c>
      <c r="Y9" s="980">
        <f t="shared" si="0"/>
        <v>2900</v>
      </c>
      <c r="Z9" s="350">
        <v>15000000</v>
      </c>
      <c r="AA9" s="980">
        <f t="shared" ref="AA9:AA24" si="1">Y10</f>
        <v>3000</v>
      </c>
      <c r="AB9" s="342"/>
      <c r="AC9" s="342"/>
      <c r="AM9" s="351">
        <v>10</v>
      </c>
      <c r="AN9" s="981">
        <f t="shared" ref="AN9:AN30" si="2">IF(NFP,CI9,CF9)</f>
        <v>624</v>
      </c>
      <c r="AO9" s="351">
        <v>30</v>
      </c>
      <c r="AP9" s="982">
        <f t="shared" ref="AP9:AP28" si="3">AN10</f>
        <v>751</v>
      </c>
      <c r="AQ9" s="345">
        <f>AI22</f>
        <v>408</v>
      </c>
      <c r="AR9" s="352" t="s">
        <v>334</v>
      </c>
      <c r="AS9" s="346"/>
      <c r="AT9" s="353"/>
      <c r="AU9" s="351">
        <v>10</v>
      </c>
      <c r="AV9" s="981">
        <f t="shared" ref="AV9:AV30" si="4">IF(NFP,CJ9,CG9)</f>
        <v>780</v>
      </c>
      <c r="AW9" s="351">
        <v>30</v>
      </c>
      <c r="AX9" s="981">
        <f>AV10</f>
        <v>938</v>
      </c>
      <c r="AY9" s="345">
        <f>AI22</f>
        <v>408</v>
      </c>
      <c r="AZ9" s="352" t="s">
        <v>334</v>
      </c>
      <c r="BA9" s="354"/>
      <c r="BB9" s="353"/>
      <c r="BC9" s="351">
        <v>10</v>
      </c>
      <c r="BD9" s="981">
        <f t="shared" ref="BD9:BD30" si="5">IF(NFP,CK9,CH9)</f>
        <v>1092</v>
      </c>
      <c r="BE9" s="351">
        <v>30</v>
      </c>
      <c r="BF9" s="981">
        <f>BD10</f>
        <v>1314</v>
      </c>
      <c r="BG9" s="345">
        <f>AI22</f>
        <v>408</v>
      </c>
      <c r="BH9" s="352" t="s">
        <v>334</v>
      </c>
      <c r="BJ9" s="350">
        <v>1000000</v>
      </c>
      <c r="BK9" s="350">
        <v>500</v>
      </c>
      <c r="BL9" s="350">
        <v>5000000</v>
      </c>
      <c r="BM9" s="350">
        <v>750</v>
      </c>
      <c r="BN9" s="355">
        <f>P11</f>
        <v>1000000</v>
      </c>
      <c r="BO9" s="342" t="s">
        <v>330</v>
      </c>
      <c r="BQ9" s="356">
        <v>150</v>
      </c>
      <c r="BR9" s="357">
        <v>727</v>
      </c>
      <c r="BS9" s="356">
        <v>250</v>
      </c>
      <c r="BT9" s="357">
        <v>800</v>
      </c>
      <c r="BU9" s="358">
        <f>T36</f>
        <v>816</v>
      </c>
      <c r="BV9" s="359" t="s">
        <v>335</v>
      </c>
      <c r="BW9" s="360"/>
      <c r="CA9" s="980">
        <v>7500000</v>
      </c>
      <c r="CB9" s="980">
        <v>2900</v>
      </c>
      <c r="CC9" s="997">
        <v>1450</v>
      </c>
      <c r="CE9" s="981">
        <v>10</v>
      </c>
      <c r="CF9" s="981">
        <v>624</v>
      </c>
      <c r="CG9" s="981">
        <v>780</v>
      </c>
      <c r="CH9" s="981">
        <v>1092</v>
      </c>
      <c r="CI9" s="981">
        <v>0</v>
      </c>
      <c r="CJ9" s="981">
        <v>0</v>
      </c>
      <c r="CK9" s="981">
        <v>0</v>
      </c>
    </row>
    <row r="10" spans="1:91" x14ac:dyDescent="0.25">
      <c r="B10" s="317"/>
      <c r="C10" s="321"/>
      <c r="D10" s="361"/>
      <c r="E10" s="320"/>
      <c r="F10" s="322"/>
      <c r="G10" s="321"/>
      <c r="H10" s="362"/>
      <c r="I10" s="361" t="s">
        <v>336</v>
      </c>
      <c r="J10" s="361" t="s">
        <v>337</v>
      </c>
      <c r="K10" s="361" t="s">
        <v>338</v>
      </c>
      <c r="L10" s="361" t="s">
        <v>339</v>
      </c>
      <c r="M10" s="363" t="s">
        <v>340</v>
      </c>
      <c r="N10" s="321"/>
      <c r="O10" s="321"/>
      <c r="P10" s="361"/>
      <c r="Q10" s="322"/>
      <c r="R10" s="321"/>
      <c r="S10" s="321"/>
      <c r="T10" s="361"/>
      <c r="U10" s="322"/>
      <c r="V10" s="340"/>
      <c r="X10" s="350">
        <v>15000000</v>
      </c>
      <c r="Y10" s="980">
        <f t="shared" si="0"/>
        <v>3000</v>
      </c>
      <c r="Z10" s="350">
        <v>20000000</v>
      </c>
      <c r="AA10" s="980">
        <f t="shared" si="1"/>
        <v>3144</v>
      </c>
      <c r="AB10" s="350" t="e">
        <f>VLOOKUP(D11,X8:AA25,3,TRUE)</f>
        <v>#N/A</v>
      </c>
      <c r="AC10" s="342" t="s">
        <v>341</v>
      </c>
      <c r="AM10" s="351">
        <v>30</v>
      </c>
      <c r="AN10" s="981">
        <f t="shared" si="2"/>
        <v>751</v>
      </c>
      <c r="AO10" s="351">
        <v>50</v>
      </c>
      <c r="AP10" s="982">
        <f t="shared" si="3"/>
        <v>1187</v>
      </c>
      <c r="AQ10" s="364"/>
      <c r="AR10" s="352"/>
      <c r="AS10" s="974" t="s">
        <v>7084</v>
      </c>
      <c r="AT10" s="353"/>
      <c r="AU10" s="351">
        <v>30</v>
      </c>
      <c r="AV10" s="981">
        <f t="shared" si="4"/>
        <v>938</v>
      </c>
      <c r="AW10" s="351">
        <v>50</v>
      </c>
      <c r="AX10" s="981">
        <f t="shared" ref="AX10:AX29" si="6">AV11</f>
        <v>1484</v>
      </c>
      <c r="AY10" s="364"/>
      <c r="AZ10" s="352"/>
      <c r="BA10" s="974" t="s">
        <v>7084</v>
      </c>
      <c r="BB10" s="353"/>
      <c r="BC10" s="351">
        <v>30</v>
      </c>
      <c r="BD10" s="981">
        <f t="shared" si="5"/>
        <v>1314</v>
      </c>
      <c r="BE10" s="351">
        <v>50</v>
      </c>
      <c r="BF10" s="981">
        <f t="shared" ref="BF10:BF29" si="7">BD11</f>
        <v>2077</v>
      </c>
      <c r="BG10" s="364"/>
      <c r="BH10" s="352"/>
      <c r="BI10" s="974" t="s">
        <v>7084</v>
      </c>
      <c r="BJ10" s="350">
        <v>5000000</v>
      </c>
      <c r="BK10" s="350">
        <v>750</v>
      </c>
      <c r="BL10" s="350">
        <v>25000000</v>
      </c>
      <c r="BM10" s="350">
        <v>1250</v>
      </c>
      <c r="BN10" s="365"/>
      <c r="BO10" s="342"/>
      <c r="BQ10" s="356">
        <v>250</v>
      </c>
      <c r="BR10" s="357">
        <v>800</v>
      </c>
      <c r="BS10" s="356">
        <v>350</v>
      </c>
      <c r="BT10" s="357">
        <v>873</v>
      </c>
      <c r="BU10" s="359"/>
      <c r="BV10" s="359"/>
      <c r="BW10" s="360"/>
      <c r="CA10" s="980">
        <v>15000000</v>
      </c>
      <c r="CB10" s="980">
        <v>3000</v>
      </c>
      <c r="CC10" s="997">
        <v>2400</v>
      </c>
      <c r="CE10" s="981">
        <v>30</v>
      </c>
      <c r="CF10" s="981">
        <v>751</v>
      </c>
      <c r="CG10" s="981">
        <v>938</v>
      </c>
      <c r="CH10" s="981">
        <v>1314</v>
      </c>
      <c r="CI10" s="981">
        <v>0</v>
      </c>
      <c r="CJ10" s="981">
        <v>0</v>
      </c>
      <c r="CK10" s="981">
        <v>0</v>
      </c>
    </row>
    <row r="11" spans="1:91" x14ac:dyDescent="0.25">
      <c r="B11" s="317"/>
      <c r="C11" s="318" t="s">
        <v>342</v>
      </c>
      <c r="D11" s="366">
        <v>1000000</v>
      </c>
      <c r="E11" s="367"/>
      <c r="F11" s="322"/>
      <c r="G11" s="321"/>
      <c r="H11" s="368" t="s">
        <v>343</v>
      </c>
      <c r="I11" s="369">
        <v>2</v>
      </c>
      <c r="J11" s="369">
        <v>6</v>
      </c>
      <c r="K11" s="369">
        <v>8</v>
      </c>
      <c r="L11" s="369">
        <v>800</v>
      </c>
      <c r="M11" s="370">
        <f>SUM(I11:L11)</f>
        <v>816</v>
      </c>
      <c r="N11" s="321"/>
      <c r="O11" s="318" t="s">
        <v>344</v>
      </c>
      <c r="P11" s="366">
        <v>1000000</v>
      </c>
      <c r="Q11" s="322"/>
      <c r="R11" s="321"/>
      <c r="S11" s="318" t="s">
        <v>345</v>
      </c>
      <c r="T11" s="366">
        <v>1000000</v>
      </c>
      <c r="U11" s="322"/>
      <c r="V11" s="340"/>
      <c r="X11" s="350">
        <v>20000000</v>
      </c>
      <c r="Y11" s="980">
        <f t="shared" si="0"/>
        <v>3144</v>
      </c>
      <c r="Z11" s="350">
        <v>25000000</v>
      </c>
      <c r="AA11" s="980">
        <f t="shared" si="1"/>
        <v>3260</v>
      </c>
      <c r="AB11" s="342"/>
      <c r="AC11" s="342"/>
      <c r="AF11" s="362"/>
      <c r="AG11" s="362"/>
      <c r="AH11" s="362"/>
      <c r="AI11" s="362"/>
      <c r="AM11" s="351">
        <v>50</v>
      </c>
      <c r="AN11" s="981">
        <f t="shared" si="2"/>
        <v>1187</v>
      </c>
      <c r="AO11" s="351">
        <v>75</v>
      </c>
      <c r="AP11" s="982">
        <f t="shared" si="3"/>
        <v>1848</v>
      </c>
      <c r="AQ11" s="345">
        <f>VLOOKUP(AI22,AM9:AP30,3,TRUE)</f>
        <v>500</v>
      </c>
      <c r="AR11" s="359" t="s">
        <v>346</v>
      </c>
      <c r="AS11" s="975">
        <f>VLOOKUP(AQ8,AM9:AP30,3,TRUE)</f>
        <v>500</v>
      </c>
      <c r="AT11" s="353"/>
      <c r="AU11" s="351">
        <v>50</v>
      </c>
      <c r="AV11" s="981">
        <f t="shared" si="4"/>
        <v>1484</v>
      </c>
      <c r="AW11" s="351">
        <v>75</v>
      </c>
      <c r="AX11" s="981">
        <f t="shared" si="6"/>
        <v>2310</v>
      </c>
      <c r="AY11" s="345">
        <f>VLOOKUP(AI22,AU9:AX30,3,TRUE)</f>
        <v>500</v>
      </c>
      <c r="AZ11" s="359" t="s">
        <v>347</v>
      </c>
      <c r="BA11" s="975" t="e">
        <f>VLOOKUP(AY8,AU9:AX30,3,TRUE)</f>
        <v>#N/A</v>
      </c>
      <c r="BB11" s="353"/>
      <c r="BC11" s="351">
        <v>50</v>
      </c>
      <c r="BD11" s="981">
        <f t="shared" si="5"/>
        <v>2077</v>
      </c>
      <c r="BE11" s="351">
        <v>75</v>
      </c>
      <c r="BF11" s="981">
        <f t="shared" si="7"/>
        <v>3234</v>
      </c>
      <c r="BG11" s="345">
        <f>VLOOKUP(AI22,BC9:BF30,3,TRUE)</f>
        <v>500</v>
      </c>
      <c r="BH11" s="359" t="s">
        <v>348</v>
      </c>
      <c r="BI11" s="975" t="e">
        <f>VLOOKUP(BG8,BC9:BF30,3,TRUE)</f>
        <v>#N/A</v>
      </c>
      <c r="BJ11" s="350">
        <v>25000000</v>
      </c>
      <c r="BK11" s="350">
        <v>1250</v>
      </c>
      <c r="BL11" s="350">
        <v>100000000</v>
      </c>
      <c r="BM11" s="350">
        <v>2500</v>
      </c>
      <c r="BN11" s="355">
        <f>VLOOKUP(P11,BJ9:BM21,3,TRUE)</f>
        <v>5000000</v>
      </c>
      <c r="BO11" s="342" t="s">
        <v>341</v>
      </c>
      <c r="BQ11" s="356">
        <v>350</v>
      </c>
      <c r="BR11" s="357">
        <v>873</v>
      </c>
      <c r="BS11" s="356">
        <v>500</v>
      </c>
      <c r="BT11" s="357">
        <v>945</v>
      </c>
      <c r="BU11" s="358">
        <f>VLOOKUP(T36,BQ9:BT15,3,TRUE)</f>
        <v>1000</v>
      </c>
      <c r="BV11" s="359" t="s">
        <v>349</v>
      </c>
      <c r="BW11" s="360"/>
      <c r="CA11" s="980">
        <v>20000000</v>
      </c>
      <c r="CB11" s="980">
        <v>3144</v>
      </c>
      <c r="CC11" s="997">
        <v>2515</v>
      </c>
      <c r="CE11" s="981">
        <v>50</v>
      </c>
      <c r="CF11" s="981">
        <v>1187</v>
      </c>
      <c r="CG11" s="981">
        <v>1484</v>
      </c>
      <c r="CH11" s="981">
        <v>2077</v>
      </c>
      <c r="CI11" s="981">
        <v>0</v>
      </c>
      <c r="CJ11" s="981">
        <v>0</v>
      </c>
      <c r="CK11" s="981">
        <v>0</v>
      </c>
    </row>
    <row r="12" spans="1:91" x14ac:dyDescent="0.25">
      <c r="B12" s="317"/>
      <c r="C12" s="321"/>
      <c r="D12" s="321"/>
      <c r="E12" s="320"/>
      <c r="F12" s="322"/>
      <c r="G12" s="321"/>
      <c r="H12" s="368" t="s">
        <v>350</v>
      </c>
      <c r="I12" s="369"/>
      <c r="J12" s="369"/>
      <c r="K12" s="369"/>
      <c r="L12" s="369"/>
      <c r="M12" s="370">
        <f t="shared" ref="M12:M14" si="8">SUM(I12:L12)</f>
        <v>0</v>
      </c>
      <c r="N12" s="321"/>
      <c r="O12" s="321"/>
      <c r="P12" s="321"/>
      <c r="Q12" s="322"/>
      <c r="R12" s="321"/>
      <c r="S12" s="321"/>
      <c r="T12" s="321"/>
      <c r="U12" s="322"/>
      <c r="V12" s="340"/>
      <c r="X12" s="350">
        <v>25000000</v>
      </c>
      <c r="Y12" s="980">
        <f t="shared" si="0"/>
        <v>3260</v>
      </c>
      <c r="Z12" s="350">
        <v>50000000</v>
      </c>
      <c r="AA12" s="980">
        <f t="shared" si="1"/>
        <v>3654</v>
      </c>
      <c r="AB12" s="350" t="e">
        <f>VLOOKUP(D11,X8:AA25,4,TRUE)</f>
        <v>#N/A</v>
      </c>
      <c r="AC12" s="342" t="s">
        <v>351</v>
      </c>
      <c r="AF12" s="362"/>
      <c r="AG12" s="362"/>
      <c r="AH12" s="362"/>
      <c r="AI12" s="362"/>
      <c r="AM12" s="351">
        <v>75</v>
      </c>
      <c r="AN12" s="981">
        <f t="shared" si="2"/>
        <v>1848</v>
      </c>
      <c r="AO12" s="351">
        <v>100</v>
      </c>
      <c r="AP12" s="982">
        <f t="shared" si="3"/>
        <v>2541</v>
      </c>
      <c r="AQ12" s="364"/>
      <c r="AR12" s="359"/>
      <c r="AS12" s="976"/>
      <c r="AT12" s="353"/>
      <c r="AU12" s="351">
        <v>75</v>
      </c>
      <c r="AV12" s="981">
        <f t="shared" si="4"/>
        <v>2310</v>
      </c>
      <c r="AW12" s="351">
        <v>100</v>
      </c>
      <c r="AX12" s="981">
        <f t="shared" si="6"/>
        <v>3176</v>
      </c>
      <c r="AY12" s="364"/>
      <c r="AZ12" s="359"/>
      <c r="BA12" s="976"/>
      <c r="BB12" s="353"/>
      <c r="BC12" s="351">
        <v>75</v>
      </c>
      <c r="BD12" s="981">
        <f t="shared" si="5"/>
        <v>3234</v>
      </c>
      <c r="BE12" s="351">
        <v>100</v>
      </c>
      <c r="BF12" s="981">
        <f t="shared" si="7"/>
        <v>4447</v>
      </c>
      <c r="BG12" s="364"/>
      <c r="BH12" s="359"/>
      <c r="BI12" s="976"/>
      <c r="BJ12" s="350">
        <v>100000000</v>
      </c>
      <c r="BK12" s="350">
        <v>2500</v>
      </c>
      <c r="BL12" s="350">
        <v>250000000</v>
      </c>
      <c r="BM12" s="350">
        <v>10000</v>
      </c>
      <c r="BN12" s="342"/>
      <c r="BO12" s="342"/>
      <c r="BQ12" s="356">
        <v>500</v>
      </c>
      <c r="BR12" s="357">
        <v>945</v>
      </c>
      <c r="BS12" s="356">
        <v>750</v>
      </c>
      <c r="BT12" s="357">
        <v>1018</v>
      </c>
      <c r="BU12" s="359"/>
      <c r="BV12" s="359"/>
      <c r="BW12" s="360"/>
      <c r="CA12" s="980">
        <v>25000000</v>
      </c>
      <c r="CB12" s="980">
        <v>3260</v>
      </c>
      <c r="CC12" s="997">
        <v>2608</v>
      </c>
      <c r="CE12" s="981">
        <v>75</v>
      </c>
      <c r="CF12" s="981">
        <v>1848</v>
      </c>
      <c r="CG12" s="981">
        <v>2310</v>
      </c>
      <c r="CH12" s="981">
        <v>3234</v>
      </c>
      <c r="CI12" s="981">
        <v>1109</v>
      </c>
      <c r="CJ12" s="981">
        <v>1386</v>
      </c>
      <c r="CK12" s="981">
        <v>1940</v>
      </c>
    </row>
    <row r="13" spans="1:91" ht="30" x14ac:dyDescent="0.25">
      <c r="B13" s="317"/>
      <c r="C13" s="321"/>
      <c r="D13" s="321"/>
      <c r="E13" s="320"/>
      <c r="F13" s="322"/>
      <c r="G13" s="321"/>
      <c r="H13" s="820" t="s">
        <v>6558</v>
      </c>
      <c r="I13" s="369"/>
      <c r="J13" s="369"/>
      <c r="K13" s="369"/>
      <c r="L13" s="369"/>
      <c r="M13" s="370">
        <f t="shared" si="8"/>
        <v>0</v>
      </c>
      <c r="N13" s="321"/>
      <c r="O13" s="321"/>
      <c r="P13" s="321"/>
      <c r="Q13" s="322"/>
      <c r="R13" s="321"/>
      <c r="S13" s="321"/>
      <c r="T13" s="321"/>
      <c r="U13" s="322"/>
      <c r="V13" s="340"/>
      <c r="X13" s="350">
        <v>50000000</v>
      </c>
      <c r="Y13" s="980">
        <f t="shared" si="0"/>
        <v>3654</v>
      </c>
      <c r="Z13" s="350">
        <v>75000000</v>
      </c>
      <c r="AA13" s="980">
        <f t="shared" si="1"/>
        <v>3906</v>
      </c>
      <c r="AB13" s="342"/>
      <c r="AC13" s="342"/>
      <c r="AF13" s="362"/>
      <c r="AG13" s="362"/>
      <c r="AH13" s="362"/>
      <c r="AI13" s="362"/>
      <c r="AM13" s="351">
        <v>100</v>
      </c>
      <c r="AN13" s="981">
        <f t="shared" si="2"/>
        <v>2541</v>
      </c>
      <c r="AO13" s="351">
        <v>150</v>
      </c>
      <c r="AP13" s="982">
        <f t="shared" si="3"/>
        <v>2772</v>
      </c>
      <c r="AQ13" s="345">
        <f>VLOOKUP(AI22,AM9:AP30,4,TRUE)</f>
        <v>9171</v>
      </c>
      <c r="AR13" s="359" t="s">
        <v>351</v>
      </c>
      <c r="AS13" s="975">
        <f>VLOOKUP(AQ8,AM9:AP30,4,TRUE)</f>
        <v>9171</v>
      </c>
      <c r="AT13" s="353"/>
      <c r="AU13" s="351">
        <v>100</v>
      </c>
      <c r="AV13" s="981">
        <f t="shared" si="4"/>
        <v>3176</v>
      </c>
      <c r="AW13" s="351">
        <v>150</v>
      </c>
      <c r="AX13" s="981">
        <f t="shared" si="6"/>
        <v>3465</v>
      </c>
      <c r="AY13" s="345">
        <f>VLOOKUP(AI22,AU9:AX30,4,TRUE)</f>
        <v>11463</v>
      </c>
      <c r="AZ13" s="359" t="s">
        <v>351</v>
      </c>
      <c r="BA13" s="975" t="e">
        <f>VLOOKUP(AY8,AU9:AX30,4,TRUE)</f>
        <v>#N/A</v>
      </c>
      <c r="BB13" s="353"/>
      <c r="BC13" s="351">
        <v>100</v>
      </c>
      <c r="BD13" s="981">
        <f t="shared" si="5"/>
        <v>4447</v>
      </c>
      <c r="BE13" s="351">
        <v>150</v>
      </c>
      <c r="BF13" s="981">
        <f t="shared" si="7"/>
        <v>4851</v>
      </c>
      <c r="BG13" s="345">
        <f>VLOOKUP(AI22,BC9:BF30,4,TRUE)</f>
        <v>16049</v>
      </c>
      <c r="BH13" s="359" t="s">
        <v>351</v>
      </c>
      <c r="BI13" s="975" t="e">
        <f>VLOOKUP(BG8,BC9:BF30,4,TRUE)</f>
        <v>#N/A</v>
      </c>
      <c r="BJ13" s="350">
        <v>250000000</v>
      </c>
      <c r="BK13" s="350">
        <v>10000</v>
      </c>
      <c r="BL13" s="350">
        <v>500000000</v>
      </c>
      <c r="BM13" s="350">
        <v>13097</v>
      </c>
      <c r="BN13" s="371">
        <f>VLOOKUP(P11,BJ9:BM21,4,TRUE)</f>
        <v>750</v>
      </c>
      <c r="BO13" s="342" t="s">
        <v>351</v>
      </c>
      <c r="BQ13" s="356">
        <v>750</v>
      </c>
      <c r="BR13" s="357">
        <v>1018</v>
      </c>
      <c r="BS13" s="356">
        <v>1000</v>
      </c>
      <c r="BT13" s="357">
        <v>1091</v>
      </c>
      <c r="BU13" s="358">
        <f>VLOOKUP(T36,BQ9:BT15,4,TRUE)</f>
        <v>1091</v>
      </c>
      <c r="BV13" s="359" t="s">
        <v>351</v>
      </c>
      <c r="BW13" s="360"/>
      <c r="CA13" s="980">
        <v>50000000</v>
      </c>
      <c r="CB13" s="980">
        <v>3654</v>
      </c>
      <c r="CC13" s="997">
        <v>3654</v>
      </c>
      <c r="CE13" s="981">
        <v>100</v>
      </c>
      <c r="CF13" s="981">
        <v>2541</v>
      </c>
      <c r="CG13" s="981">
        <v>3176</v>
      </c>
      <c r="CH13" s="981">
        <v>4447</v>
      </c>
      <c r="CI13" s="981">
        <v>1525</v>
      </c>
      <c r="CJ13" s="981">
        <v>1906</v>
      </c>
      <c r="CK13" s="981">
        <v>2668</v>
      </c>
    </row>
    <row r="14" spans="1:91" ht="45" x14ac:dyDescent="0.25">
      <c r="B14" s="317"/>
      <c r="C14" s="321"/>
      <c r="D14" s="321"/>
      <c r="E14" s="320"/>
      <c r="F14" s="322"/>
      <c r="G14" s="321"/>
      <c r="H14" s="820" t="s">
        <v>6559</v>
      </c>
      <c r="I14" s="369"/>
      <c r="J14" s="369"/>
      <c r="K14" s="369"/>
      <c r="L14" s="369"/>
      <c r="M14" s="370">
        <f t="shared" si="8"/>
        <v>0</v>
      </c>
      <c r="N14" s="321"/>
      <c r="O14" s="321"/>
      <c r="P14" s="321"/>
      <c r="Q14" s="322"/>
      <c r="R14" s="321"/>
      <c r="S14" s="321"/>
      <c r="T14" s="321"/>
      <c r="U14" s="322"/>
      <c r="V14" s="340"/>
      <c r="X14" s="350">
        <v>75000000</v>
      </c>
      <c r="Y14" s="980">
        <f t="shared" si="0"/>
        <v>3906</v>
      </c>
      <c r="Z14" s="350">
        <v>100000000</v>
      </c>
      <c r="AA14" s="980">
        <f t="shared" si="1"/>
        <v>4094</v>
      </c>
      <c r="AB14" s="350" t="e">
        <f>VLOOKUP(D11,X8:AA25,1,TRUE)</f>
        <v>#N/A</v>
      </c>
      <c r="AC14" s="342" t="s">
        <v>352</v>
      </c>
      <c r="AF14" s="362"/>
      <c r="AG14" s="362"/>
      <c r="AH14" s="362"/>
      <c r="AI14" s="362"/>
      <c r="AM14" s="351">
        <v>150</v>
      </c>
      <c r="AN14" s="981">
        <f t="shared" si="2"/>
        <v>2772</v>
      </c>
      <c r="AO14" s="351">
        <v>225</v>
      </c>
      <c r="AP14" s="982">
        <f t="shared" si="3"/>
        <v>4389</v>
      </c>
      <c r="AQ14" s="364"/>
      <c r="AR14" s="359"/>
      <c r="AS14" s="976"/>
      <c r="AT14" s="353"/>
      <c r="AU14" s="351">
        <v>150</v>
      </c>
      <c r="AV14" s="981">
        <f t="shared" si="4"/>
        <v>3465</v>
      </c>
      <c r="AW14" s="351">
        <v>225</v>
      </c>
      <c r="AX14" s="981">
        <f t="shared" si="6"/>
        <v>5486</v>
      </c>
      <c r="AY14" s="364"/>
      <c r="AZ14" s="359"/>
      <c r="BA14" s="976"/>
      <c r="BB14" s="353"/>
      <c r="BC14" s="351">
        <v>150</v>
      </c>
      <c r="BD14" s="981">
        <f t="shared" si="5"/>
        <v>4851</v>
      </c>
      <c r="BE14" s="351">
        <v>225</v>
      </c>
      <c r="BF14" s="981">
        <f t="shared" si="7"/>
        <v>7681</v>
      </c>
      <c r="BG14" s="364"/>
      <c r="BH14" s="359"/>
      <c r="BI14" s="976"/>
      <c r="BJ14" s="350">
        <v>500000000</v>
      </c>
      <c r="BK14" s="350">
        <v>13097</v>
      </c>
      <c r="BL14" s="350">
        <v>1000000000</v>
      </c>
      <c r="BM14" s="350">
        <v>17171</v>
      </c>
      <c r="BN14" s="342"/>
      <c r="BO14" s="342"/>
      <c r="BQ14" s="356">
        <v>1000</v>
      </c>
      <c r="BR14" s="357">
        <v>1091</v>
      </c>
      <c r="BS14" s="356">
        <v>2500</v>
      </c>
      <c r="BT14" s="357">
        <v>1236</v>
      </c>
      <c r="BU14" s="359"/>
      <c r="BV14" s="359"/>
      <c r="BW14" s="360"/>
      <c r="CA14" s="980">
        <v>75000000</v>
      </c>
      <c r="CB14" s="980">
        <v>3906</v>
      </c>
      <c r="CC14" s="997">
        <v>3906</v>
      </c>
      <c r="CE14" s="981">
        <v>150</v>
      </c>
      <c r="CF14" s="981">
        <v>2772</v>
      </c>
      <c r="CG14" s="981">
        <v>3465</v>
      </c>
      <c r="CH14" s="981">
        <v>4851</v>
      </c>
      <c r="CI14" s="981">
        <v>1663</v>
      </c>
      <c r="CJ14" s="981">
        <v>2079</v>
      </c>
      <c r="CK14" s="981">
        <v>2911</v>
      </c>
    </row>
    <row r="15" spans="1:91" x14ac:dyDescent="0.25">
      <c r="B15" s="317"/>
      <c r="C15" s="321"/>
      <c r="D15" s="321"/>
      <c r="E15" s="320"/>
      <c r="F15" s="322"/>
      <c r="G15" s="321"/>
      <c r="H15" s="372" t="s">
        <v>353</v>
      </c>
      <c r="I15" s="373">
        <f>SUM(I11:I14)</f>
        <v>2</v>
      </c>
      <c r="J15" s="373">
        <f t="shared" ref="J15:M15" si="9">SUM(J11:J14)</f>
        <v>6</v>
      </c>
      <c r="K15" s="373">
        <f t="shared" si="9"/>
        <v>8</v>
      </c>
      <c r="L15" s="373">
        <f t="shared" si="9"/>
        <v>800</v>
      </c>
      <c r="M15" s="370">
        <f t="shared" si="9"/>
        <v>816</v>
      </c>
      <c r="N15" s="321"/>
      <c r="O15" s="321"/>
      <c r="P15" s="321"/>
      <c r="Q15" s="322"/>
      <c r="R15" s="321"/>
      <c r="S15" s="321"/>
      <c r="T15" s="321"/>
      <c r="U15" s="322"/>
      <c r="V15" s="340"/>
      <c r="X15" s="350">
        <v>100000000</v>
      </c>
      <c r="Y15" s="980">
        <f t="shared" si="0"/>
        <v>4094</v>
      </c>
      <c r="Z15" s="350">
        <v>250000000</v>
      </c>
      <c r="AA15" s="980">
        <f t="shared" si="1"/>
        <v>7500</v>
      </c>
      <c r="AB15" s="342"/>
      <c r="AC15" s="342"/>
      <c r="AF15" s="374"/>
      <c r="AG15" s="375" t="s">
        <v>339</v>
      </c>
      <c r="AH15" s="375" t="s">
        <v>338</v>
      </c>
      <c r="AI15" s="375" t="s">
        <v>354</v>
      </c>
      <c r="AM15" s="351">
        <v>225</v>
      </c>
      <c r="AN15" s="981">
        <f t="shared" si="2"/>
        <v>4389</v>
      </c>
      <c r="AO15" s="351">
        <v>300</v>
      </c>
      <c r="AP15" s="982">
        <f t="shared" si="3"/>
        <v>6237</v>
      </c>
      <c r="AQ15" s="345">
        <f>VLOOKUP(AI22,AM9:AP30,1,TRUE)</f>
        <v>400</v>
      </c>
      <c r="AR15" s="359" t="s">
        <v>355</v>
      </c>
      <c r="AS15" s="975">
        <f>VLOOKUP(AQ8,AM9:AP30,1,TRUE)</f>
        <v>400</v>
      </c>
      <c r="AT15" s="353"/>
      <c r="AU15" s="351">
        <v>225</v>
      </c>
      <c r="AV15" s="981">
        <f t="shared" si="4"/>
        <v>5486</v>
      </c>
      <c r="AW15" s="351">
        <v>300</v>
      </c>
      <c r="AX15" s="981">
        <f t="shared" si="6"/>
        <v>7796</v>
      </c>
      <c r="AY15" s="345">
        <f>VLOOKUP(AI22,AU9:AX30,1,TRUE)</f>
        <v>400</v>
      </c>
      <c r="AZ15" s="359" t="s">
        <v>356</v>
      </c>
      <c r="BA15" s="975" t="e">
        <f>VLOOKUP(AY8,AU9:AX30,1,TRUE)</f>
        <v>#N/A</v>
      </c>
      <c r="BB15" s="353"/>
      <c r="BC15" s="351">
        <v>225</v>
      </c>
      <c r="BD15" s="981">
        <f t="shared" si="5"/>
        <v>7681</v>
      </c>
      <c r="BE15" s="351">
        <v>300</v>
      </c>
      <c r="BF15" s="981">
        <f t="shared" si="7"/>
        <v>10915</v>
      </c>
      <c r="BG15" s="345">
        <f>VLOOKUP(AI22,BC9:BF30,1,TRUE)</f>
        <v>400</v>
      </c>
      <c r="BH15" s="359" t="s">
        <v>357</v>
      </c>
      <c r="BI15" s="975" t="e">
        <f>VLOOKUP(BG8,BC9:BF30,1,TRUE)</f>
        <v>#N/A</v>
      </c>
      <c r="BJ15" s="350">
        <v>1000000000</v>
      </c>
      <c r="BK15" s="350">
        <v>17171</v>
      </c>
      <c r="BL15" s="350">
        <v>2000000000</v>
      </c>
      <c r="BM15" s="350">
        <v>22527</v>
      </c>
      <c r="BN15" s="371">
        <f>VLOOKUP(P11,BJ9:BM21,1,TRUE)</f>
        <v>1000000</v>
      </c>
      <c r="BO15" s="342" t="s">
        <v>352</v>
      </c>
      <c r="BQ15" s="356">
        <v>2500</v>
      </c>
      <c r="BR15" s="357">
        <v>1236</v>
      </c>
      <c r="BS15" s="352"/>
      <c r="BT15" s="352"/>
      <c r="BU15" s="357">
        <f>VLOOKUP(T36,BQ9:BT15,1,TRUE)</f>
        <v>750</v>
      </c>
      <c r="BV15" s="359" t="s">
        <v>358</v>
      </c>
      <c r="BW15" s="360"/>
      <c r="CA15" s="980">
        <v>100000000</v>
      </c>
      <c r="CB15" s="980">
        <v>4094</v>
      </c>
      <c r="CC15" s="997">
        <v>4094</v>
      </c>
      <c r="CE15" s="981">
        <v>225</v>
      </c>
      <c r="CF15" s="981">
        <v>4389</v>
      </c>
      <c r="CG15" s="981">
        <v>5486</v>
      </c>
      <c r="CH15" s="981">
        <v>7681</v>
      </c>
      <c r="CI15" s="981">
        <v>2633</v>
      </c>
      <c r="CJ15" s="981">
        <v>3292</v>
      </c>
      <c r="CK15" s="981">
        <v>4609</v>
      </c>
    </row>
    <row r="16" spans="1:91" x14ac:dyDescent="0.25">
      <c r="B16" s="317"/>
      <c r="C16" s="321"/>
      <c r="D16" s="321"/>
      <c r="E16" s="320"/>
      <c r="F16" s="322"/>
      <c r="G16" s="321"/>
      <c r="M16" s="322"/>
      <c r="N16" s="321"/>
      <c r="O16" s="321"/>
      <c r="P16" s="321"/>
      <c r="Q16" s="322"/>
      <c r="R16" s="321"/>
      <c r="S16" s="321"/>
      <c r="T16" s="321"/>
      <c r="U16" s="322"/>
      <c r="V16" s="340"/>
      <c r="X16" s="350">
        <v>250000000</v>
      </c>
      <c r="Y16" s="980">
        <f t="shared" si="0"/>
        <v>7500</v>
      </c>
      <c r="Z16" s="350">
        <v>500000000</v>
      </c>
      <c r="AA16" s="980">
        <f t="shared" si="1"/>
        <v>9615</v>
      </c>
      <c r="AB16" s="350" t="e">
        <f>VLOOKUP(D11,X8:AA25,2,TRUE)</f>
        <v>#N/A</v>
      </c>
      <c r="AC16" s="342" t="s">
        <v>359</v>
      </c>
      <c r="AF16" s="376">
        <v>0.5</v>
      </c>
      <c r="AG16" s="377">
        <f>L11*AF16</f>
        <v>400</v>
      </c>
      <c r="AH16" s="378">
        <f>K11*AF16</f>
        <v>4</v>
      </c>
      <c r="AI16" s="378">
        <f>(I11+J11)*AF16</f>
        <v>4</v>
      </c>
      <c r="AM16" s="351">
        <v>300</v>
      </c>
      <c r="AN16" s="981">
        <f t="shared" si="2"/>
        <v>6237</v>
      </c>
      <c r="AO16" s="351">
        <v>400</v>
      </c>
      <c r="AP16" s="982">
        <f t="shared" si="3"/>
        <v>7854</v>
      </c>
      <c r="AQ16" s="364"/>
      <c r="AR16" s="359"/>
      <c r="AS16" s="976"/>
      <c r="AT16" s="353"/>
      <c r="AU16" s="351">
        <v>300</v>
      </c>
      <c r="AV16" s="981">
        <f t="shared" si="4"/>
        <v>7796</v>
      </c>
      <c r="AW16" s="351">
        <v>400</v>
      </c>
      <c r="AX16" s="981">
        <f t="shared" si="6"/>
        <v>9818</v>
      </c>
      <c r="AY16" s="364"/>
      <c r="AZ16" s="359"/>
      <c r="BA16" s="976"/>
      <c r="BB16" s="353"/>
      <c r="BC16" s="351">
        <v>300</v>
      </c>
      <c r="BD16" s="981">
        <f t="shared" si="5"/>
        <v>10915</v>
      </c>
      <c r="BE16" s="351">
        <v>400</v>
      </c>
      <c r="BF16" s="981">
        <f t="shared" si="7"/>
        <v>13745</v>
      </c>
      <c r="BG16" s="364"/>
      <c r="BH16" s="359"/>
      <c r="BI16" s="976"/>
      <c r="BJ16" s="350">
        <v>2000000000</v>
      </c>
      <c r="BK16" s="350">
        <v>22527</v>
      </c>
      <c r="BL16" s="350">
        <v>5000000000</v>
      </c>
      <c r="BM16" s="350">
        <v>32250</v>
      </c>
      <c r="BN16" s="342"/>
      <c r="BO16" s="342"/>
      <c r="BQ16" s="352"/>
      <c r="BR16" s="352"/>
      <c r="BS16" s="352"/>
      <c r="BT16" s="352"/>
      <c r="BU16" s="359"/>
      <c r="BV16" s="359"/>
      <c r="BW16" s="360"/>
      <c r="CA16" s="980">
        <v>250000000</v>
      </c>
      <c r="CB16" s="980">
        <v>7500</v>
      </c>
      <c r="CC16" s="997">
        <v>7500</v>
      </c>
      <c r="CE16" s="981">
        <v>300</v>
      </c>
      <c r="CF16" s="981">
        <v>6237</v>
      </c>
      <c r="CG16" s="981">
        <v>7796</v>
      </c>
      <c r="CH16" s="981">
        <v>10915</v>
      </c>
      <c r="CI16" s="981">
        <v>3742</v>
      </c>
      <c r="CJ16" s="981">
        <v>4678</v>
      </c>
      <c r="CK16" s="981">
        <v>6549</v>
      </c>
    </row>
    <row r="17" spans="1:89" x14ac:dyDescent="0.25">
      <c r="B17" s="317"/>
      <c r="C17" s="321"/>
      <c r="D17" s="321"/>
      <c r="E17" s="320"/>
      <c r="F17" s="322"/>
      <c r="G17" s="321"/>
      <c r="H17" s="368" t="s">
        <v>360</v>
      </c>
      <c r="I17" s="369">
        <v>0</v>
      </c>
      <c r="K17" s="1118" t="s">
        <v>361</v>
      </c>
      <c r="L17" s="1119"/>
      <c r="M17" s="1120"/>
      <c r="N17" s="321"/>
      <c r="O17" s="321"/>
      <c r="P17" s="321"/>
      <c r="Q17" s="322"/>
      <c r="R17" s="321"/>
      <c r="S17" s="321"/>
      <c r="T17" s="321"/>
      <c r="U17" s="322"/>
      <c r="V17" s="340"/>
      <c r="X17" s="350">
        <v>500000000</v>
      </c>
      <c r="Y17" s="980">
        <f t="shared" si="0"/>
        <v>9615</v>
      </c>
      <c r="Z17" s="350">
        <v>1000000000</v>
      </c>
      <c r="AA17" s="980">
        <f t="shared" si="1"/>
        <v>10765</v>
      </c>
      <c r="AB17" s="342"/>
      <c r="AC17" s="342"/>
      <c r="AF17" s="376">
        <v>1</v>
      </c>
      <c r="AG17" s="377">
        <f t="shared" ref="AG17:AG19" si="10">L12*AF17</f>
        <v>0</v>
      </c>
      <c r="AH17" s="378">
        <f t="shared" ref="AH17:AH19" si="11">K12*AF17</f>
        <v>0</v>
      </c>
      <c r="AI17" s="378">
        <f t="shared" ref="AI17:AI19" si="12">(I12+J12)*AF17</f>
        <v>0</v>
      </c>
      <c r="AM17" s="351">
        <v>400</v>
      </c>
      <c r="AN17" s="981">
        <f t="shared" si="2"/>
        <v>7854</v>
      </c>
      <c r="AO17" s="351">
        <v>500</v>
      </c>
      <c r="AP17" s="982">
        <f t="shared" si="3"/>
        <v>9171</v>
      </c>
      <c r="AQ17" s="345">
        <f>VLOOKUP(AI22,AM9:AP30,2,TRUE)</f>
        <v>7854</v>
      </c>
      <c r="AR17" s="359" t="s">
        <v>359</v>
      </c>
      <c r="AS17" s="975">
        <f>VLOOKUP(AQ8,AM9:AP30,2,TRUE)</f>
        <v>7854</v>
      </c>
      <c r="AT17" s="353"/>
      <c r="AU17" s="351">
        <v>400</v>
      </c>
      <c r="AV17" s="981">
        <f t="shared" si="4"/>
        <v>9818</v>
      </c>
      <c r="AW17" s="351">
        <v>500</v>
      </c>
      <c r="AX17" s="981">
        <f t="shared" si="6"/>
        <v>11463</v>
      </c>
      <c r="AY17" s="345">
        <f>VLOOKUP(AI22,AU9:AX30,2,TRUE)</f>
        <v>9818</v>
      </c>
      <c r="AZ17" s="359" t="s">
        <v>359</v>
      </c>
      <c r="BA17" s="975" t="e">
        <f>VLOOKUP(AY8,AU9:AX30,2,TRUE)</f>
        <v>#N/A</v>
      </c>
      <c r="BB17" s="353"/>
      <c r="BC17" s="351">
        <v>400</v>
      </c>
      <c r="BD17" s="981">
        <f t="shared" si="5"/>
        <v>13745</v>
      </c>
      <c r="BE17" s="351">
        <v>500</v>
      </c>
      <c r="BF17" s="981">
        <f t="shared" si="7"/>
        <v>16049</v>
      </c>
      <c r="BG17" s="345">
        <f>VLOOKUP(AI22,BC9:BF30,2,TRUE)</f>
        <v>13745</v>
      </c>
      <c r="BH17" s="359" t="s">
        <v>359</v>
      </c>
      <c r="BI17" s="975" t="e">
        <f>VLOOKUP(BG8,BC9:BF30,2,TRUE)</f>
        <v>#N/A</v>
      </c>
      <c r="BJ17" s="350">
        <v>5000000000</v>
      </c>
      <c r="BK17" s="350">
        <v>32250</v>
      </c>
      <c r="BL17" s="350">
        <v>10000000000</v>
      </c>
      <c r="BM17" s="350">
        <v>42318</v>
      </c>
      <c r="BN17" s="371">
        <f>VLOOKUP(P11,BJ9:BM21,2,TRUE)</f>
        <v>500</v>
      </c>
      <c r="BO17" s="342" t="s">
        <v>359</v>
      </c>
      <c r="BQ17" s="352"/>
      <c r="BR17" s="352"/>
      <c r="BS17" s="352"/>
      <c r="BT17" s="352"/>
      <c r="BU17" s="357">
        <f>VLOOKUP(T36,BQ9:BT15,2,TRUE)</f>
        <v>1018</v>
      </c>
      <c r="BV17" s="359" t="s">
        <v>359</v>
      </c>
      <c r="BW17" s="360"/>
      <c r="CA17" s="980">
        <v>500000000</v>
      </c>
      <c r="CB17" s="980">
        <v>9615</v>
      </c>
      <c r="CC17" s="997">
        <v>9615</v>
      </c>
      <c r="CE17" s="981">
        <v>400</v>
      </c>
      <c r="CF17" s="981">
        <v>7854</v>
      </c>
      <c r="CG17" s="981">
        <v>9818</v>
      </c>
      <c r="CH17" s="981">
        <v>13745</v>
      </c>
      <c r="CI17" s="981">
        <v>4712</v>
      </c>
      <c r="CJ17" s="981">
        <v>5891</v>
      </c>
      <c r="CK17" s="981">
        <v>8247</v>
      </c>
    </row>
    <row r="18" spans="1:89" x14ac:dyDescent="0.25">
      <c r="B18" s="317"/>
      <c r="C18" s="321"/>
      <c r="D18" s="321"/>
      <c r="E18" s="320"/>
      <c r="F18" s="322"/>
      <c r="G18" s="321"/>
      <c r="K18" s="1121"/>
      <c r="L18" s="1119"/>
      <c r="M18" s="1120"/>
      <c r="N18" s="321"/>
      <c r="O18" s="321"/>
      <c r="P18" s="321"/>
      <c r="Q18" s="322"/>
      <c r="R18" s="321"/>
      <c r="S18" s="321"/>
      <c r="T18" s="321"/>
      <c r="U18" s="322"/>
      <c r="V18" s="340"/>
      <c r="X18" s="350">
        <v>1000000000</v>
      </c>
      <c r="Y18" s="980">
        <f t="shared" si="0"/>
        <v>10765</v>
      </c>
      <c r="Z18" s="350">
        <v>5000000000</v>
      </c>
      <c r="AA18" s="980">
        <f t="shared" si="1"/>
        <v>14005</v>
      </c>
      <c r="AB18" s="350">
        <f>IF(AB8&lt;X8,Y8,IF(AB8&gt;X25,Y25,(((AB8-AB14)/(AB10-AB14))*(AB12-AB16))+AB16))</f>
        <v>2800</v>
      </c>
      <c r="AC18" s="342" t="s">
        <v>362</v>
      </c>
      <c r="AF18" s="376">
        <v>1</v>
      </c>
      <c r="AG18" s="377">
        <f t="shared" si="10"/>
        <v>0</v>
      </c>
      <c r="AH18" s="378">
        <f t="shared" si="11"/>
        <v>0</v>
      </c>
      <c r="AI18" s="378">
        <f t="shared" si="12"/>
        <v>0</v>
      </c>
      <c r="AM18" s="351">
        <v>500</v>
      </c>
      <c r="AN18" s="981">
        <f t="shared" si="2"/>
        <v>9171</v>
      </c>
      <c r="AO18" s="351">
        <v>1250</v>
      </c>
      <c r="AP18" s="982">
        <f t="shared" si="3"/>
        <v>15754</v>
      </c>
      <c r="AQ18" s="364"/>
      <c r="AR18" s="359"/>
      <c r="AS18" s="976"/>
      <c r="AT18" s="353"/>
      <c r="AU18" s="351">
        <v>500</v>
      </c>
      <c r="AV18" s="981">
        <f t="shared" si="4"/>
        <v>11463</v>
      </c>
      <c r="AW18" s="351">
        <v>1250</v>
      </c>
      <c r="AX18" s="981">
        <f t="shared" si="6"/>
        <v>19693</v>
      </c>
      <c r="AY18" s="364"/>
      <c r="AZ18" s="359"/>
      <c r="BA18" s="976"/>
      <c r="BB18" s="353"/>
      <c r="BC18" s="351">
        <v>500</v>
      </c>
      <c r="BD18" s="981">
        <f t="shared" si="5"/>
        <v>16049</v>
      </c>
      <c r="BE18" s="351">
        <v>1250</v>
      </c>
      <c r="BF18" s="981">
        <f t="shared" si="7"/>
        <v>27570</v>
      </c>
      <c r="BG18" s="364"/>
      <c r="BH18" s="359"/>
      <c r="BI18" s="976"/>
      <c r="BJ18" s="350">
        <v>10000000000</v>
      </c>
      <c r="BK18" s="350">
        <v>42318</v>
      </c>
      <c r="BL18" s="350">
        <v>50000000000</v>
      </c>
      <c r="BM18" s="350">
        <v>79560</v>
      </c>
      <c r="BN18" s="342"/>
      <c r="BO18" s="342"/>
      <c r="BQ18" s="352"/>
      <c r="BR18" s="352"/>
      <c r="BS18" s="352"/>
      <c r="BT18" s="352"/>
      <c r="BU18" s="359"/>
      <c r="BV18" s="359"/>
      <c r="BW18" s="360"/>
      <c r="CA18" s="980">
        <v>1000000000</v>
      </c>
      <c r="CB18" s="980">
        <v>10765</v>
      </c>
      <c r="CC18" s="997">
        <v>12918</v>
      </c>
      <c r="CE18" s="981">
        <v>500</v>
      </c>
      <c r="CF18" s="981">
        <v>9171</v>
      </c>
      <c r="CG18" s="981">
        <v>11463</v>
      </c>
      <c r="CH18" s="981">
        <v>16049</v>
      </c>
      <c r="CI18" s="981">
        <v>5503</v>
      </c>
      <c r="CJ18" s="981">
        <v>6878</v>
      </c>
      <c r="CK18" s="981">
        <v>9629</v>
      </c>
    </row>
    <row r="19" spans="1:89" x14ac:dyDescent="0.25">
      <c r="B19" s="317"/>
      <c r="C19" s="321"/>
      <c r="D19" s="321"/>
      <c r="E19" s="320"/>
      <c r="F19" s="322"/>
      <c r="G19" s="321"/>
      <c r="H19" s="318" t="s">
        <v>363</v>
      </c>
      <c r="I19" s="379">
        <f>M15+I17</f>
        <v>816</v>
      </c>
      <c r="K19" s="1121"/>
      <c r="L19" s="1119"/>
      <c r="M19" s="1120"/>
      <c r="N19" s="321"/>
      <c r="O19" s="321"/>
      <c r="P19" s="321"/>
      <c r="Q19" s="322"/>
      <c r="R19" s="321"/>
      <c r="S19" s="321"/>
      <c r="T19" s="321"/>
      <c r="U19" s="322"/>
      <c r="V19" s="340"/>
      <c r="X19" s="350">
        <v>5000000000</v>
      </c>
      <c r="Y19" s="980">
        <f t="shared" si="0"/>
        <v>14005</v>
      </c>
      <c r="Z19" s="350">
        <v>10000000000</v>
      </c>
      <c r="AA19" s="980">
        <f t="shared" si="1"/>
        <v>15705</v>
      </c>
      <c r="AB19" s="380"/>
      <c r="AC19" s="380"/>
      <c r="AE19" s="381"/>
      <c r="AF19" s="376">
        <v>0.5</v>
      </c>
      <c r="AG19" s="377">
        <f t="shared" si="10"/>
        <v>0</v>
      </c>
      <c r="AH19" s="378">
        <f t="shared" si="11"/>
        <v>0</v>
      </c>
      <c r="AI19" s="378">
        <f t="shared" si="12"/>
        <v>0</v>
      </c>
      <c r="AM19" s="351">
        <v>1250</v>
      </c>
      <c r="AN19" s="981">
        <f t="shared" si="2"/>
        <v>15754</v>
      </c>
      <c r="AO19" s="351">
        <v>2500</v>
      </c>
      <c r="AP19" s="982">
        <f t="shared" si="3"/>
        <v>23262</v>
      </c>
      <c r="AQ19" s="345">
        <f>IF(NFP,IF('Account Info'!$AA$14="Numerator",AS19,IF(AQ9&lt;AM12,AN12,IF(AQ9&gt;AM30,AN30,(((AQ9-AQ15)/(AQ11-AQ15))*(AQ13-AQ17))+AQ17))),IF(AQ9&lt;AM9,AQ21,IF(AQ9&gt;AM30,AN30,(((AQ9-AQ15)/(AQ11-AQ15))*(AQ13-AQ17))+AQ17)))</f>
        <v>7959.36</v>
      </c>
      <c r="AR19" s="359" t="s">
        <v>362</v>
      </c>
      <c r="AS19" s="975">
        <f>IF(AQ8&lt;AM12,AN12,IF(AQ8&gt;AM30,AN30,(((AQ8-AS15)/(AS11-AS15))*(AS13-AS17))+AS17))</f>
        <v>7854</v>
      </c>
      <c r="AT19" s="353"/>
      <c r="AU19" s="351">
        <v>1250</v>
      </c>
      <c r="AV19" s="981">
        <f t="shared" si="4"/>
        <v>19693</v>
      </c>
      <c r="AW19" s="351">
        <v>2500</v>
      </c>
      <c r="AX19" s="981">
        <f t="shared" si="6"/>
        <v>28077</v>
      </c>
      <c r="AY19" s="345">
        <f>IF(NFP,IF('Account Info'!$AA$14="Numerator",BA19,IF(AY9&lt;AU12,AV12,IF(AY9&gt;AU30,AV30,(((AY9-AY15)/(AY11-AY15))*(AY13-AY17))+AY17))),IF(AY9&lt;AU9,AY21,IF(AY9&gt;AU30,AV30,(((AY9-AY15)/(AY11-AY15))*(AY13-AY17))+AY17)))</f>
        <v>9949.6</v>
      </c>
      <c r="AZ19" s="359" t="s">
        <v>362</v>
      </c>
      <c r="BA19" s="975">
        <f>IF(AY8&lt;AU12,AV12,IF(AY8&gt;AU30,AV30,(((AY8-BA15)/(BA11-BA15))*(BA13-BA17))+BA17))</f>
        <v>2310</v>
      </c>
      <c r="BB19" s="353"/>
      <c r="BC19" s="351">
        <v>1250</v>
      </c>
      <c r="BD19" s="981">
        <f t="shared" si="5"/>
        <v>27570</v>
      </c>
      <c r="BE19" s="351">
        <v>2500</v>
      </c>
      <c r="BF19" s="981">
        <f t="shared" si="7"/>
        <v>40709</v>
      </c>
      <c r="BG19" s="345">
        <f>IF(NFP,IF('Account Info'!$AA$14="Numerator",BI19,IF(BG9&lt;BC12,BD12,IF(BG9&gt;BC30,BD30,(((BG9-BG15)/(BG11-BG15))*(BG13-BG17))+BG17))),IF(BG9&lt;BC9,BG21,IF(BG9&gt;BC30,BD30,(((BG9-BG15)/(BG11-BG15))*(BG13-BG17))+BG17)))</f>
        <v>13929.32</v>
      </c>
      <c r="BH19" s="359" t="s">
        <v>362</v>
      </c>
      <c r="BI19" s="975">
        <f>IF(BG8&lt;BC12,BD12,IF(BG8&gt;BC30,BD30,(((BG8-BI15)/(BI11-BI15))*(BI13-BI17))+BI17))</f>
        <v>3234</v>
      </c>
      <c r="BJ19" s="350">
        <v>50000000000</v>
      </c>
      <c r="BK19" s="350">
        <v>79560</v>
      </c>
      <c r="BL19" s="350">
        <v>100000000000</v>
      </c>
      <c r="BM19" s="350">
        <v>104425</v>
      </c>
      <c r="BN19" s="371">
        <f>IF(BN9&lt;BJ9,BK9,IF(BN9&gt;BJ21,BK21,(((BN9-BN15)/(BN11-BN15))*(BN13-BN17))+BN17))</f>
        <v>500</v>
      </c>
      <c r="BO19" s="342" t="s">
        <v>362</v>
      </c>
      <c r="BQ19" s="382"/>
      <c r="BR19" s="352"/>
      <c r="BS19" s="352"/>
      <c r="BT19" s="352"/>
      <c r="BU19" s="357">
        <f>IF(BU9&lt;BQ9,BR9,IF(BU9&gt;BQ15,BR15,(((BU9-BU15)/(BU11-BU15))*(BU13-BU17))+BU17))</f>
        <v>1037.2719999999999</v>
      </c>
      <c r="BV19" s="359" t="s">
        <v>362</v>
      </c>
      <c r="BW19" s="360"/>
      <c r="CA19" s="980">
        <v>5000000000</v>
      </c>
      <c r="CB19" s="980">
        <v>14005</v>
      </c>
      <c r="CC19" s="997">
        <v>16806</v>
      </c>
      <c r="CE19" s="981">
        <v>1250</v>
      </c>
      <c r="CF19" s="981">
        <v>15754</v>
      </c>
      <c r="CG19" s="981">
        <v>19693</v>
      </c>
      <c r="CH19" s="981">
        <v>27570</v>
      </c>
      <c r="CI19" s="981">
        <v>9452</v>
      </c>
      <c r="CJ19" s="981">
        <v>11816</v>
      </c>
      <c r="CK19" s="981">
        <v>16542</v>
      </c>
    </row>
    <row r="20" spans="1:89" x14ac:dyDescent="0.25">
      <c r="B20" s="317"/>
      <c r="C20" s="321"/>
      <c r="D20" s="321"/>
      <c r="E20" s="320"/>
      <c r="F20" s="322"/>
      <c r="G20" s="321"/>
      <c r="H20" s="321"/>
      <c r="I20" s="321"/>
      <c r="J20" s="321"/>
      <c r="K20" s="1121"/>
      <c r="L20" s="1119"/>
      <c r="M20" s="1120"/>
      <c r="N20" s="321"/>
      <c r="O20" s="321"/>
      <c r="P20" s="321"/>
      <c r="Q20" s="322"/>
      <c r="R20" s="321"/>
      <c r="S20" s="321"/>
      <c r="T20" s="321"/>
      <c r="U20" s="322"/>
      <c r="V20" s="340"/>
      <c r="X20" s="350">
        <v>10000000000</v>
      </c>
      <c r="Y20" s="980">
        <f t="shared" si="0"/>
        <v>15705</v>
      </c>
      <c r="Z20" s="350">
        <v>25000000000</v>
      </c>
      <c r="AA20" s="980">
        <f t="shared" si="1"/>
        <v>18255</v>
      </c>
      <c r="AB20" s="380"/>
      <c r="AC20" s="380"/>
      <c r="AE20" s="381"/>
      <c r="AF20" s="376">
        <v>0.5</v>
      </c>
      <c r="AG20" s="377">
        <f>I17*AF20</f>
        <v>0</v>
      </c>
      <c r="AH20" s="378">
        <v>0</v>
      </c>
      <c r="AI20" s="378">
        <v>0</v>
      </c>
      <c r="AM20" s="351">
        <v>2500</v>
      </c>
      <c r="AN20" s="981">
        <f t="shared" si="2"/>
        <v>23262</v>
      </c>
      <c r="AO20" s="351">
        <v>15000</v>
      </c>
      <c r="AP20" s="982">
        <f t="shared" si="3"/>
        <v>75237</v>
      </c>
      <c r="AQ20" s="352"/>
      <c r="AR20" s="352"/>
      <c r="AS20" s="346"/>
      <c r="AT20" s="353"/>
      <c r="AU20" s="351">
        <v>2500</v>
      </c>
      <c r="AV20" s="981">
        <f t="shared" si="4"/>
        <v>28077</v>
      </c>
      <c r="AW20" s="351">
        <v>15000</v>
      </c>
      <c r="AX20" s="981">
        <f t="shared" si="6"/>
        <v>94046</v>
      </c>
      <c r="AY20" s="352"/>
      <c r="AZ20" s="352"/>
      <c r="BA20" s="354"/>
      <c r="BB20" s="353"/>
      <c r="BC20" s="351">
        <v>2500</v>
      </c>
      <c r="BD20" s="981">
        <f t="shared" si="5"/>
        <v>40709</v>
      </c>
      <c r="BE20" s="351">
        <v>15000</v>
      </c>
      <c r="BF20" s="981">
        <f t="shared" si="7"/>
        <v>131665</v>
      </c>
      <c r="BG20" s="352"/>
      <c r="BH20" s="352"/>
      <c r="BJ20" s="350">
        <v>100000000000</v>
      </c>
      <c r="BK20" s="350">
        <v>104425</v>
      </c>
      <c r="BL20" s="350">
        <v>500000000000</v>
      </c>
      <c r="BM20" s="350">
        <v>196378</v>
      </c>
      <c r="BN20" s="383"/>
      <c r="BO20" s="383"/>
      <c r="CA20" s="980">
        <v>10000000000</v>
      </c>
      <c r="CB20" s="980">
        <v>15705</v>
      </c>
      <c r="CC20" s="997">
        <v>18846</v>
      </c>
      <c r="CE20" s="981">
        <v>2500</v>
      </c>
      <c r="CF20" s="981">
        <v>23262</v>
      </c>
      <c r="CG20" s="981">
        <v>28077</v>
      </c>
      <c r="CH20" s="981">
        <v>40709</v>
      </c>
      <c r="CI20" s="981">
        <v>13957</v>
      </c>
      <c r="CJ20" s="981">
        <v>16846</v>
      </c>
      <c r="CK20" s="981">
        <v>24425</v>
      </c>
    </row>
    <row r="21" spans="1:89" x14ac:dyDescent="0.25">
      <c r="B21" s="317"/>
      <c r="C21" s="318" t="s">
        <v>364</v>
      </c>
      <c r="D21" s="384">
        <f ca="1">IF(D11="","",AB18*'Account Info'!AA17)</f>
        <v>2800</v>
      </c>
      <c r="E21" s="367"/>
      <c r="F21" s="322"/>
      <c r="G21" s="321"/>
      <c r="H21" s="318" t="s">
        <v>364</v>
      </c>
      <c r="I21" s="384">
        <f ca="1">IF(SUM(I11:L14)=0,"",(((AQ8/AQ9)*AQ19)+((AY8/AY9)*AY19)+((BG8/BG9)*BG19))*'Account Info'!AA17)</f>
        <v>8037.4011764705883</v>
      </c>
      <c r="J21" s="321"/>
      <c r="K21" s="385" t="s">
        <v>365</v>
      </c>
      <c r="L21" s="386"/>
      <c r="M21" s="387"/>
      <c r="N21" s="321"/>
      <c r="O21" s="318" t="s">
        <v>364</v>
      </c>
      <c r="P21" s="384">
        <f ca="1">IF(P11="","",BN19*'Account Info'!AA17)</f>
        <v>500</v>
      </c>
      <c r="Q21" s="322"/>
      <c r="R21" s="321"/>
      <c r="S21" s="318" t="s">
        <v>364</v>
      </c>
      <c r="T21" s="384">
        <f ca="1">IF(T11="","",BK34*'Account Info'!AA17)</f>
        <v>2025</v>
      </c>
      <c r="U21" s="322"/>
      <c r="V21" s="340"/>
      <c r="X21" s="350">
        <v>25000000000</v>
      </c>
      <c r="Y21" s="980">
        <f t="shared" si="0"/>
        <v>18255</v>
      </c>
      <c r="Z21" s="350">
        <v>50000000000</v>
      </c>
      <c r="AA21" s="980">
        <f t="shared" si="1"/>
        <v>20455</v>
      </c>
      <c r="AB21" s="380"/>
      <c r="AC21" s="380"/>
      <c r="AE21" s="381"/>
      <c r="AF21" s="388"/>
      <c r="AG21" s="377">
        <f>SUM(AG16:AG20)</f>
        <v>400</v>
      </c>
      <c r="AH21" s="377">
        <f t="shared" ref="AH21:AI21" si="13">SUM(AH16:AH20)</f>
        <v>4</v>
      </c>
      <c r="AI21" s="377">
        <f t="shared" si="13"/>
        <v>4</v>
      </c>
      <c r="AM21" s="351">
        <v>15000</v>
      </c>
      <c r="AN21" s="981">
        <f t="shared" si="2"/>
        <v>75237</v>
      </c>
      <c r="AO21" s="351">
        <v>30000</v>
      </c>
      <c r="AP21" s="982">
        <f t="shared" si="3"/>
        <v>116817</v>
      </c>
      <c r="AQ21" s="345">
        <f>AN9-(((AN10-AN9)/(AM10-AM9))*(AM9-AQ9))</f>
        <v>3151.2999999999997</v>
      </c>
      <c r="AR21" s="352" t="s">
        <v>6560</v>
      </c>
      <c r="AS21" s="346"/>
      <c r="AT21" s="353"/>
      <c r="AU21" s="351">
        <v>15000</v>
      </c>
      <c r="AV21" s="981">
        <f t="shared" si="4"/>
        <v>94046</v>
      </c>
      <c r="AW21" s="351">
        <v>30000</v>
      </c>
      <c r="AX21" s="981">
        <f t="shared" si="6"/>
        <v>146021</v>
      </c>
      <c r="AY21" s="345">
        <f>AV9-(((AV10-AV9)/(AU10-AU9))*(AU9-AY9))</f>
        <v>3924.2000000000003</v>
      </c>
      <c r="AZ21" s="352" t="s">
        <v>6560</v>
      </c>
      <c r="BA21" s="354"/>
      <c r="BB21" s="353"/>
      <c r="BC21" s="351">
        <v>15000</v>
      </c>
      <c r="BD21" s="981">
        <f t="shared" si="5"/>
        <v>131665</v>
      </c>
      <c r="BE21" s="351">
        <v>30000</v>
      </c>
      <c r="BF21" s="981">
        <f t="shared" si="7"/>
        <v>204430</v>
      </c>
      <c r="BG21" s="345">
        <f>BD9-(((BD10-BD9)/(BC10-BC9))*(BC9-BG9))</f>
        <v>5509.8</v>
      </c>
      <c r="BH21" s="352" t="s">
        <v>6560</v>
      </c>
      <c r="BJ21" s="350">
        <v>500000000000</v>
      </c>
      <c r="BK21" s="350">
        <v>196378</v>
      </c>
      <c r="BL21" s="389"/>
      <c r="BM21" s="389"/>
      <c r="BN21" s="383"/>
      <c r="BO21" s="383"/>
      <c r="CA21" s="980">
        <v>25000000000</v>
      </c>
      <c r="CB21" s="980">
        <v>18255</v>
      </c>
      <c r="CC21" s="997">
        <v>21906</v>
      </c>
      <c r="CE21" s="981">
        <v>15000</v>
      </c>
      <c r="CF21" s="981">
        <v>75237</v>
      </c>
      <c r="CG21" s="981">
        <v>94046</v>
      </c>
      <c r="CH21" s="981">
        <v>131665</v>
      </c>
      <c r="CI21" s="981">
        <v>45142</v>
      </c>
      <c r="CJ21" s="981">
        <v>56428</v>
      </c>
      <c r="CK21" s="981">
        <v>78999</v>
      </c>
    </row>
    <row r="22" spans="1:89" ht="15.75" thickBot="1" x14ac:dyDescent="0.3">
      <c r="B22" s="324"/>
      <c r="C22" s="325"/>
      <c r="D22" s="325"/>
      <c r="E22" s="326"/>
      <c r="F22" s="327"/>
      <c r="G22" s="325"/>
      <c r="H22" s="325"/>
      <c r="I22" s="325"/>
      <c r="J22" s="325"/>
      <c r="K22" s="325"/>
      <c r="L22" s="325"/>
      <c r="M22" s="327"/>
      <c r="N22" s="325"/>
      <c r="O22" s="325"/>
      <c r="P22" s="325"/>
      <c r="Q22" s="327"/>
      <c r="R22" s="325"/>
      <c r="S22" s="325"/>
      <c r="T22" s="325"/>
      <c r="U22" s="327"/>
      <c r="V22" s="340"/>
      <c r="X22" s="350">
        <v>50000000000</v>
      </c>
      <c r="Y22" s="980">
        <f t="shared" si="0"/>
        <v>20455</v>
      </c>
      <c r="Z22" s="350">
        <v>100000000000</v>
      </c>
      <c r="AA22" s="980">
        <f t="shared" si="1"/>
        <v>22905</v>
      </c>
      <c r="AB22" s="380"/>
      <c r="AC22" s="380"/>
      <c r="AE22" s="381"/>
      <c r="AG22" s="388"/>
      <c r="AH22" s="388"/>
      <c r="AI22" s="378">
        <f>AG21+AH21+AI21</f>
        <v>408</v>
      </c>
      <c r="AM22" s="351">
        <v>30000</v>
      </c>
      <c r="AN22" s="981">
        <f t="shared" si="2"/>
        <v>116817</v>
      </c>
      <c r="AO22" s="351">
        <v>50000</v>
      </c>
      <c r="AP22" s="982">
        <f t="shared" si="3"/>
        <v>153777</v>
      </c>
      <c r="AQ22" s="390"/>
      <c r="AR22" s="390"/>
      <c r="AS22" s="346"/>
      <c r="AT22" s="353"/>
      <c r="AU22" s="351">
        <v>30000</v>
      </c>
      <c r="AV22" s="981">
        <f t="shared" si="4"/>
        <v>146021</v>
      </c>
      <c r="AW22" s="351">
        <v>50000</v>
      </c>
      <c r="AX22" s="981">
        <f t="shared" si="6"/>
        <v>192221</v>
      </c>
      <c r="AY22" s="352"/>
      <c r="AZ22" s="352"/>
      <c r="BA22" s="354"/>
      <c r="BB22" s="353"/>
      <c r="BC22" s="351">
        <v>30000</v>
      </c>
      <c r="BD22" s="981">
        <f t="shared" si="5"/>
        <v>204430</v>
      </c>
      <c r="BE22" s="351">
        <v>50000</v>
      </c>
      <c r="BF22" s="981">
        <f t="shared" si="7"/>
        <v>269110</v>
      </c>
      <c r="BG22" s="352"/>
      <c r="BH22" s="352"/>
      <c r="BJ22" s="238"/>
      <c r="BK22" s="238"/>
      <c r="BL22" s="238"/>
      <c r="BM22" s="238"/>
      <c r="BN22" s="354"/>
      <c r="BO22" s="354"/>
      <c r="CA22" s="980">
        <v>50000000000</v>
      </c>
      <c r="CB22" s="980">
        <v>20455</v>
      </c>
      <c r="CC22" s="997">
        <v>24546</v>
      </c>
      <c r="CE22" s="981">
        <v>30000</v>
      </c>
      <c r="CF22" s="981">
        <v>116817</v>
      </c>
      <c r="CG22" s="981">
        <v>146021</v>
      </c>
      <c r="CH22" s="981">
        <v>204430</v>
      </c>
      <c r="CI22" s="981">
        <v>70090</v>
      </c>
      <c r="CJ22" s="981">
        <v>87613</v>
      </c>
      <c r="CK22" s="981">
        <v>122658</v>
      </c>
    </row>
    <row r="23" spans="1:89" x14ac:dyDescent="0.25">
      <c r="B23" s="308"/>
      <c r="C23" s="309"/>
      <c r="D23" s="309"/>
      <c r="E23" s="310"/>
      <c r="F23" s="311"/>
      <c r="G23" s="308"/>
      <c r="H23" s="309"/>
      <c r="I23" s="309"/>
      <c r="J23" s="309"/>
      <c r="K23" s="309"/>
      <c r="L23" s="309"/>
      <c r="M23" s="311"/>
      <c r="N23" s="308"/>
      <c r="O23" s="309"/>
      <c r="P23" s="309"/>
      <c r="Q23" s="311"/>
      <c r="R23" s="308"/>
      <c r="S23" s="309"/>
      <c r="T23" s="309"/>
      <c r="U23" s="311"/>
      <c r="V23" s="340"/>
      <c r="X23" s="350">
        <v>100000000000</v>
      </c>
      <c r="Y23" s="980">
        <f t="shared" si="0"/>
        <v>22905</v>
      </c>
      <c r="Z23" s="350">
        <v>500000000000</v>
      </c>
      <c r="AA23" s="980">
        <f t="shared" si="1"/>
        <v>29705</v>
      </c>
      <c r="AB23" s="380"/>
      <c r="AC23" s="380"/>
      <c r="AE23" s="381"/>
      <c r="AM23" s="351">
        <v>50000</v>
      </c>
      <c r="AN23" s="981">
        <f t="shared" si="2"/>
        <v>153777</v>
      </c>
      <c r="AO23" s="351">
        <v>100000</v>
      </c>
      <c r="AP23" s="982">
        <f t="shared" si="3"/>
        <v>223077</v>
      </c>
      <c r="AQ23" s="352"/>
      <c r="AR23" s="352"/>
      <c r="AS23" s="346"/>
      <c r="AT23" s="353"/>
      <c r="AU23" s="351">
        <v>50000</v>
      </c>
      <c r="AV23" s="981">
        <f t="shared" si="4"/>
        <v>192221</v>
      </c>
      <c r="AW23" s="351">
        <v>100000</v>
      </c>
      <c r="AX23" s="981">
        <f t="shared" si="6"/>
        <v>278846</v>
      </c>
      <c r="AY23" s="352"/>
      <c r="AZ23" s="352"/>
      <c r="BA23" s="354"/>
      <c r="BB23" s="353"/>
      <c r="BC23" s="351">
        <v>50000</v>
      </c>
      <c r="BD23" s="981">
        <f t="shared" si="5"/>
        <v>269110</v>
      </c>
      <c r="BE23" s="351">
        <v>100000</v>
      </c>
      <c r="BF23" s="981">
        <f t="shared" si="7"/>
        <v>390385</v>
      </c>
      <c r="BG23" s="352"/>
      <c r="BH23" s="352"/>
      <c r="BJ23" s="238"/>
      <c r="BK23" s="238"/>
      <c r="BL23" s="238"/>
      <c r="BM23" s="238"/>
      <c r="BN23" s="354"/>
      <c r="BO23" s="354"/>
      <c r="CA23" s="980">
        <v>100000000000</v>
      </c>
      <c r="CB23" s="980">
        <v>22905</v>
      </c>
      <c r="CC23" s="997">
        <v>27486</v>
      </c>
      <c r="CE23" s="981">
        <v>50000</v>
      </c>
      <c r="CF23" s="981">
        <v>153777</v>
      </c>
      <c r="CG23" s="981">
        <v>192221</v>
      </c>
      <c r="CH23" s="981">
        <v>269110</v>
      </c>
      <c r="CI23" s="981">
        <v>92266</v>
      </c>
      <c r="CJ23" s="981">
        <v>115333</v>
      </c>
      <c r="CK23" s="981">
        <v>161466</v>
      </c>
    </row>
    <row r="24" spans="1:89" x14ac:dyDescent="0.25">
      <c r="B24" s="317"/>
      <c r="C24" s="318" t="s">
        <v>285</v>
      </c>
      <c r="D24" s="366">
        <v>1000000</v>
      </c>
      <c r="E24" s="367"/>
      <c r="F24" s="322"/>
      <c r="G24" s="317"/>
      <c r="H24" s="318" t="s">
        <v>285</v>
      </c>
      <c r="I24" s="366">
        <v>1000000</v>
      </c>
      <c r="J24" s="321"/>
      <c r="K24" s="321"/>
      <c r="L24" s="321"/>
      <c r="M24" s="322"/>
      <c r="N24" s="317"/>
      <c r="O24" s="318" t="s">
        <v>285</v>
      </c>
      <c r="P24" s="366">
        <v>1000000</v>
      </c>
      <c r="Q24" s="322"/>
      <c r="R24" s="317"/>
      <c r="S24" s="318" t="s">
        <v>285</v>
      </c>
      <c r="T24" s="366">
        <v>1000000</v>
      </c>
      <c r="U24" s="322"/>
      <c r="V24" s="340"/>
      <c r="X24" s="350">
        <v>500000000000</v>
      </c>
      <c r="Y24" s="980">
        <f t="shared" si="0"/>
        <v>29705</v>
      </c>
      <c r="Z24" s="350">
        <v>1000000000000</v>
      </c>
      <c r="AA24" s="980">
        <f t="shared" si="1"/>
        <v>33305</v>
      </c>
      <c r="AB24" s="380"/>
      <c r="AC24" s="380"/>
      <c r="AE24" s="381"/>
      <c r="AM24" s="351">
        <v>100000</v>
      </c>
      <c r="AN24" s="981">
        <f t="shared" si="2"/>
        <v>223077</v>
      </c>
      <c r="AO24" s="351">
        <v>125000</v>
      </c>
      <c r="AP24" s="982">
        <f t="shared" si="3"/>
        <v>252282</v>
      </c>
      <c r="AQ24" s="352"/>
      <c r="AR24" s="352"/>
      <c r="AS24" s="346"/>
      <c r="AT24" s="353"/>
      <c r="AU24" s="351">
        <v>100000</v>
      </c>
      <c r="AV24" s="981">
        <f t="shared" si="4"/>
        <v>278846</v>
      </c>
      <c r="AW24" s="351">
        <v>125000</v>
      </c>
      <c r="AX24" s="981">
        <f t="shared" si="6"/>
        <v>315352</v>
      </c>
      <c r="AY24" s="352"/>
      <c r="AZ24" s="352"/>
      <c r="BA24" s="354"/>
      <c r="BB24" s="353"/>
      <c r="BC24" s="351">
        <v>100000</v>
      </c>
      <c r="BD24" s="981">
        <f t="shared" si="5"/>
        <v>390385</v>
      </c>
      <c r="BE24" s="351">
        <v>125000</v>
      </c>
      <c r="BF24" s="981">
        <f t="shared" si="7"/>
        <v>441494</v>
      </c>
      <c r="BG24" s="352"/>
      <c r="BH24" s="352"/>
      <c r="BJ24" s="238"/>
      <c r="BK24" s="238"/>
      <c r="BL24" s="238"/>
      <c r="BM24" s="238"/>
      <c r="BN24" s="354"/>
      <c r="BO24" s="354"/>
      <c r="CA24" s="980">
        <v>500000000000</v>
      </c>
      <c r="CB24" s="980">
        <v>29705</v>
      </c>
      <c r="CC24" s="997">
        <v>35646</v>
      </c>
      <c r="CE24" s="981">
        <v>100000</v>
      </c>
      <c r="CF24" s="981">
        <v>223077</v>
      </c>
      <c r="CG24" s="981">
        <v>278846</v>
      </c>
      <c r="CH24" s="981">
        <v>390385</v>
      </c>
      <c r="CI24" s="981">
        <v>133846</v>
      </c>
      <c r="CJ24" s="981">
        <v>167308</v>
      </c>
      <c r="CK24" s="981">
        <v>234231</v>
      </c>
    </row>
    <row r="25" spans="1:89" x14ac:dyDescent="0.25">
      <c r="B25" s="317"/>
      <c r="C25" s="321"/>
      <c r="D25" s="321"/>
      <c r="E25" s="320"/>
      <c r="F25" s="322"/>
      <c r="G25" s="317"/>
      <c r="H25" s="321"/>
      <c r="I25" s="321"/>
      <c r="J25" s="321"/>
      <c r="K25" s="321"/>
      <c r="L25" s="321"/>
      <c r="M25" s="322"/>
      <c r="N25" s="317"/>
      <c r="O25" s="321"/>
      <c r="P25" s="321"/>
      <c r="Q25" s="322"/>
      <c r="R25" s="317"/>
      <c r="S25" s="321"/>
      <c r="T25" s="321"/>
      <c r="U25" s="322"/>
      <c r="V25" s="340"/>
      <c r="X25" s="350">
        <v>1000000000000</v>
      </c>
      <c r="Y25" s="980">
        <f t="shared" si="0"/>
        <v>33305</v>
      </c>
      <c r="Z25" s="342"/>
      <c r="AA25" s="342"/>
      <c r="AB25" s="391"/>
      <c r="AC25" s="391"/>
      <c r="AE25" s="381"/>
      <c r="AM25" s="351">
        <v>125000</v>
      </c>
      <c r="AN25" s="981">
        <f t="shared" si="2"/>
        <v>252282</v>
      </c>
      <c r="AO25" s="351">
        <v>150000</v>
      </c>
      <c r="AP25" s="982">
        <f t="shared" si="3"/>
        <v>279123</v>
      </c>
      <c r="AQ25" s="352"/>
      <c r="AR25" s="352"/>
      <c r="AS25" s="346"/>
      <c r="AT25" s="353"/>
      <c r="AU25" s="351">
        <v>125000</v>
      </c>
      <c r="AV25" s="981">
        <f t="shared" si="4"/>
        <v>315352</v>
      </c>
      <c r="AW25" s="351">
        <v>150000</v>
      </c>
      <c r="AX25" s="981">
        <f t="shared" si="6"/>
        <v>348904</v>
      </c>
      <c r="AY25" s="352"/>
      <c r="AZ25" s="352"/>
      <c r="BA25" s="354"/>
      <c r="BB25" s="353"/>
      <c r="BC25" s="351">
        <v>125000</v>
      </c>
      <c r="BD25" s="981">
        <f t="shared" si="5"/>
        <v>441494</v>
      </c>
      <c r="BE25" s="351">
        <v>150000</v>
      </c>
      <c r="BF25" s="981">
        <f t="shared" si="7"/>
        <v>488465</v>
      </c>
      <c r="BG25" s="352"/>
      <c r="BH25" s="352"/>
      <c r="BJ25" s="238"/>
      <c r="BK25" s="238"/>
      <c r="BL25" s="238"/>
      <c r="BM25" s="238"/>
      <c r="BN25" s="354"/>
      <c r="BO25" s="354"/>
      <c r="CA25" s="980">
        <v>1000000000000</v>
      </c>
      <c r="CB25" s="980">
        <v>33305</v>
      </c>
      <c r="CC25" s="997">
        <v>39966</v>
      </c>
      <c r="CE25" s="981">
        <v>125000</v>
      </c>
      <c r="CF25" s="981">
        <v>252282</v>
      </c>
      <c r="CG25" s="981">
        <v>315352</v>
      </c>
      <c r="CH25" s="981">
        <v>441494</v>
      </c>
      <c r="CI25" s="981">
        <v>151369</v>
      </c>
      <c r="CJ25" s="981">
        <v>189211</v>
      </c>
      <c r="CK25" s="981">
        <v>264896</v>
      </c>
    </row>
    <row r="26" spans="1:89" x14ac:dyDescent="0.25">
      <c r="B26" s="317"/>
      <c r="C26" s="318" t="s">
        <v>366</v>
      </c>
      <c r="D26" s="366">
        <v>10000</v>
      </c>
      <c r="E26" s="367"/>
      <c r="F26" s="322"/>
      <c r="G26" s="317"/>
      <c r="H26" s="318" t="s">
        <v>366</v>
      </c>
      <c r="I26" s="366">
        <v>10000</v>
      </c>
      <c r="J26" s="321"/>
      <c r="K26" s="321"/>
      <c r="L26" s="321"/>
      <c r="M26" s="322"/>
      <c r="N26" s="317"/>
      <c r="O26" s="318" t="s">
        <v>366</v>
      </c>
      <c r="P26" s="366">
        <v>10000</v>
      </c>
      <c r="Q26" s="322"/>
      <c r="R26" s="317"/>
      <c r="S26" s="318" t="s">
        <v>367</v>
      </c>
      <c r="T26" s="366">
        <v>10000</v>
      </c>
      <c r="U26" s="322"/>
      <c r="V26" s="340"/>
      <c r="AM26" s="351">
        <v>150000</v>
      </c>
      <c r="AN26" s="981">
        <f t="shared" si="2"/>
        <v>279123</v>
      </c>
      <c r="AO26" s="351">
        <v>175000</v>
      </c>
      <c r="AP26" s="982">
        <f t="shared" si="3"/>
        <v>303905</v>
      </c>
      <c r="AQ26" s="352"/>
      <c r="AR26" s="352"/>
      <c r="AS26" s="346"/>
      <c r="AT26" s="353"/>
      <c r="AU26" s="351">
        <v>150000</v>
      </c>
      <c r="AV26" s="981">
        <f t="shared" si="4"/>
        <v>348904</v>
      </c>
      <c r="AW26" s="351">
        <v>175000</v>
      </c>
      <c r="AX26" s="981">
        <f t="shared" si="6"/>
        <v>379881</v>
      </c>
      <c r="AY26" s="352"/>
      <c r="AZ26" s="352"/>
      <c r="BA26" s="354"/>
      <c r="BB26" s="353"/>
      <c r="BC26" s="351">
        <v>150000</v>
      </c>
      <c r="BD26" s="981">
        <f t="shared" si="5"/>
        <v>488465</v>
      </c>
      <c r="BE26" s="351">
        <v>175000</v>
      </c>
      <c r="BF26" s="981">
        <f t="shared" si="7"/>
        <v>531834</v>
      </c>
      <c r="BG26" s="352"/>
      <c r="BH26" s="352"/>
      <c r="BJ26" s="238"/>
      <c r="BK26" s="238"/>
      <c r="BL26" s="238"/>
      <c r="BM26" s="238"/>
      <c r="CE26" s="981">
        <v>150000</v>
      </c>
      <c r="CF26" s="981">
        <v>279123</v>
      </c>
      <c r="CG26" s="981">
        <v>348904</v>
      </c>
      <c r="CH26" s="981">
        <v>488465</v>
      </c>
      <c r="CI26" s="981">
        <v>167474</v>
      </c>
      <c r="CJ26" s="981">
        <v>209342</v>
      </c>
      <c r="CK26" s="981">
        <v>293079</v>
      </c>
    </row>
    <row r="27" spans="1:89" x14ac:dyDescent="0.25">
      <c r="B27" s="317"/>
      <c r="C27" s="321"/>
      <c r="D27" s="321"/>
      <c r="E27" s="320"/>
      <c r="F27" s="322"/>
      <c r="G27" s="317"/>
      <c r="H27" s="321"/>
      <c r="I27" s="321"/>
      <c r="J27" s="321"/>
      <c r="K27" s="321"/>
      <c r="L27" s="321"/>
      <c r="M27" s="322"/>
      <c r="N27" s="317"/>
      <c r="O27" s="321"/>
      <c r="P27" s="321"/>
      <c r="Q27" s="322"/>
      <c r="R27" s="317"/>
      <c r="S27" s="321"/>
      <c r="T27" s="321"/>
      <c r="U27" s="322"/>
      <c r="V27" s="340"/>
      <c r="X27" s="392"/>
      <c r="Y27" s="392"/>
      <c r="Z27" s="381"/>
      <c r="AA27" s="381"/>
      <c r="AB27" s="393"/>
      <c r="AC27" s="393"/>
      <c r="AD27" s="381"/>
      <c r="AM27" s="351">
        <v>175000</v>
      </c>
      <c r="AN27" s="981">
        <f t="shared" si="2"/>
        <v>303905</v>
      </c>
      <c r="AO27" s="351">
        <v>200000</v>
      </c>
      <c r="AP27" s="982">
        <f t="shared" si="3"/>
        <v>326627</v>
      </c>
      <c r="AQ27" s="352"/>
      <c r="AR27" s="352"/>
      <c r="AS27" s="346"/>
      <c r="AT27" s="353"/>
      <c r="AU27" s="351">
        <v>175000</v>
      </c>
      <c r="AV27" s="981">
        <f t="shared" si="4"/>
        <v>379881</v>
      </c>
      <c r="AW27" s="351">
        <v>200000</v>
      </c>
      <c r="AX27" s="981">
        <f t="shared" si="6"/>
        <v>408283</v>
      </c>
      <c r="AY27" s="352"/>
      <c r="AZ27" s="352"/>
      <c r="BA27" s="354"/>
      <c r="BB27" s="353"/>
      <c r="BC27" s="351">
        <v>175000</v>
      </c>
      <c r="BD27" s="981">
        <f t="shared" si="5"/>
        <v>531834</v>
      </c>
      <c r="BE27" s="351">
        <v>200000</v>
      </c>
      <c r="BF27" s="981">
        <f t="shared" si="7"/>
        <v>571597</v>
      </c>
      <c r="BG27" s="352"/>
      <c r="BH27" s="352"/>
      <c r="BJ27" s="238"/>
      <c r="BK27" s="238"/>
      <c r="BL27" s="354"/>
      <c r="BM27" s="354"/>
      <c r="CE27" s="981">
        <v>175000</v>
      </c>
      <c r="CF27" s="981">
        <v>303905</v>
      </c>
      <c r="CG27" s="981">
        <v>379881</v>
      </c>
      <c r="CH27" s="981">
        <v>531834</v>
      </c>
      <c r="CI27" s="981">
        <v>182343</v>
      </c>
      <c r="CJ27" s="981">
        <v>227929</v>
      </c>
      <c r="CK27" s="981">
        <v>319100</v>
      </c>
    </row>
    <row r="28" spans="1:89" ht="30" customHeight="1" x14ac:dyDescent="0.25">
      <c r="B28" s="317"/>
      <c r="C28" s="394" t="s">
        <v>368</v>
      </c>
      <c r="D28" s="379">
        <f ca="1">IF(OR(D24="",D26=""),"",IF(D26&gt;2000000,D21*'D&amp;O-EPL-Crime-Fidu ILFs'!K22,D21*'D&amp;O-EPL-Crime-Fidu ILFs'!AE6))</f>
        <v>3077.2</v>
      </c>
      <c r="E28" s="367"/>
      <c r="F28" s="322"/>
      <c r="G28" s="317"/>
      <c r="H28" s="394" t="s">
        <v>368</v>
      </c>
      <c r="I28" s="379">
        <f ca="1">IF(OR(I24="",I26=""),"",I21*'D&amp;O-EPL-Crime-Fidu ILFs'!AE10)</f>
        <v>8833.103892941177</v>
      </c>
      <c r="J28" s="321"/>
      <c r="K28" s="321"/>
      <c r="L28" s="321"/>
      <c r="M28" s="322"/>
      <c r="N28" s="317"/>
      <c r="O28" s="394" t="s">
        <v>368</v>
      </c>
      <c r="P28" s="379">
        <f ca="1">IF(OR(P24="",P26=""),"",P21*'D&amp;O-EPL-Crime-Fidu ILFs'!AE34)</f>
        <v>462</v>
      </c>
      <c r="Q28" s="322"/>
      <c r="R28" s="317"/>
      <c r="S28" s="394" t="s">
        <v>368</v>
      </c>
      <c r="T28" s="379">
        <f ca="1">IF(OR(T24="",T26=""),"",T21*'D&amp;O-EPL-Crime-Fidu ILFs'!AE18)</f>
        <v>2225.4749999999999</v>
      </c>
      <c r="U28" s="322"/>
      <c r="V28" s="340"/>
      <c r="AM28" s="351">
        <v>200000</v>
      </c>
      <c r="AN28" s="981">
        <f t="shared" si="2"/>
        <v>326627</v>
      </c>
      <c r="AO28" s="351">
        <v>250000</v>
      </c>
      <c r="AP28" s="982">
        <f t="shared" si="3"/>
        <v>367465</v>
      </c>
      <c r="AQ28" s="352"/>
      <c r="AR28" s="352"/>
      <c r="AS28" s="346"/>
      <c r="AT28" s="353"/>
      <c r="AU28" s="351">
        <v>200000</v>
      </c>
      <c r="AV28" s="981">
        <f t="shared" si="4"/>
        <v>408283</v>
      </c>
      <c r="AW28" s="351">
        <v>250000</v>
      </c>
      <c r="AX28" s="981">
        <f t="shared" si="6"/>
        <v>459331</v>
      </c>
      <c r="AY28" s="352"/>
      <c r="AZ28" s="352"/>
      <c r="BA28" s="354"/>
      <c r="BB28" s="353"/>
      <c r="BC28" s="351">
        <v>200000</v>
      </c>
      <c r="BD28" s="981">
        <f t="shared" si="5"/>
        <v>571597</v>
      </c>
      <c r="BE28" s="351">
        <v>250000</v>
      </c>
      <c r="BF28" s="981">
        <f t="shared" si="7"/>
        <v>643064</v>
      </c>
      <c r="BG28" s="352"/>
      <c r="BH28" s="352"/>
      <c r="CE28" s="981">
        <v>200000</v>
      </c>
      <c r="CF28" s="981">
        <v>326627</v>
      </c>
      <c r="CG28" s="981">
        <v>408283</v>
      </c>
      <c r="CH28" s="981">
        <v>571597</v>
      </c>
      <c r="CI28" s="981">
        <v>195976</v>
      </c>
      <c r="CJ28" s="981">
        <v>244970</v>
      </c>
      <c r="CK28" s="981">
        <v>342958</v>
      </c>
    </row>
    <row r="29" spans="1:89" ht="18" customHeight="1" x14ac:dyDescent="0.25">
      <c r="B29" s="317"/>
      <c r="C29" s="942"/>
      <c r="D29" s="943"/>
      <c r="E29" s="367"/>
      <c r="F29" s="322"/>
      <c r="G29" s="317"/>
      <c r="H29" s="942"/>
      <c r="I29" s="396"/>
      <c r="J29" s="321"/>
      <c r="K29" s="321"/>
      <c r="L29" s="321"/>
      <c r="M29" s="322"/>
      <c r="N29" s="317"/>
      <c r="O29" s="942"/>
      <c r="P29" s="396"/>
      <c r="Q29" s="322"/>
      <c r="R29" s="317"/>
      <c r="S29" s="394" t="s">
        <v>5496</v>
      </c>
      <c r="T29" s="366">
        <v>816</v>
      </c>
      <c r="U29" s="322"/>
      <c r="V29" s="340"/>
      <c r="AM29" s="395">
        <v>250000</v>
      </c>
      <c r="AN29" s="981">
        <f t="shared" si="2"/>
        <v>367465</v>
      </c>
      <c r="AO29" s="395">
        <v>300000</v>
      </c>
      <c r="AP29" s="982">
        <f>AN30</f>
        <v>404183</v>
      </c>
      <c r="AQ29" s="352"/>
      <c r="AR29" s="352"/>
      <c r="AS29" s="346"/>
      <c r="AT29" s="353"/>
      <c r="AU29" s="395">
        <v>250000</v>
      </c>
      <c r="AV29" s="981">
        <f t="shared" si="4"/>
        <v>459331</v>
      </c>
      <c r="AW29" s="395">
        <v>300000</v>
      </c>
      <c r="AX29" s="981">
        <f t="shared" si="6"/>
        <v>505229</v>
      </c>
      <c r="AY29" s="352"/>
      <c r="AZ29" s="352"/>
      <c r="BA29" s="354"/>
      <c r="BB29" s="353"/>
      <c r="BC29" s="395">
        <v>250000</v>
      </c>
      <c r="BD29" s="981">
        <f t="shared" si="5"/>
        <v>643064</v>
      </c>
      <c r="BE29" s="395">
        <v>300000</v>
      </c>
      <c r="BF29" s="981">
        <f t="shared" si="7"/>
        <v>707320</v>
      </c>
      <c r="BG29" s="352"/>
      <c r="BH29" s="352"/>
      <c r="CE29" s="982">
        <v>250000</v>
      </c>
      <c r="CF29" s="981">
        <v>367465</v>
      </c>
      <c r="CG29" s="982">
        <v>459331</v>
      </c>
      <c r="CH29" s="981">
        <v>643064</v>
      </c>
      <c r="CI29" s="981">
        <v>220479</v>
      </c>
      <c r="CJ29" s="981">
        <v>275599</v>
      </c>
      <c r="CK29" s="981">
        <v>385838</v>
      </c>
    </row>
    <row r="30" spans="1:89" ht="15" customHeight="1" x14ac:dyDescent="0.25">
      <c r="B30" s="317"/>
      <c r="C30" s="394"/>
      <c r="D30" s="396"/>
      <c r="E30" s="367"/>
      <c r="F30" s="322"/>
      <c r="G30" s="317"/>
      <c r="H30" s="394"/>
      <c r="I30" s="396"/>
      <c r="J30" s="321"/>
      <c r="K30" s="321"/>
      <c r="L30" s="321"/>
      <c r="M30" s="322"/>
      <c r="N30" s="317"/>
      <c r="O30" s="394"/>
      <c r="P30" s="396"/>
      <c r="Q30" s="322"/>
      <c r="R30" s="317"/>
      <c r="S30" s="394" t="s">
        <v>5497</v>
      </c>
      <c r="T30" s="366">
        <v>408</v>
      </c>
      <c r="U30" s="322"/>
      <c r="V30" s="340"/>
      <c r="X30" s="397" t="b">
        <v>0</v>
      </c>
      <c r="Y30" s="397" t="b">
        <v>0</v>
      </c>
      <c r="Z30" s="397" t="b">
        <v>0</v>
      </c>
      <c r="AA30" s="397" t="b">
        <v>0</v>
      </c>
      <c r="AB30" s="397" t="b">
        <v>0</v>
      </c>
      <c r="AC30" s="397" t="b">
        <v>0</v>
      </c>
      <c r="AM30" s="351">
        <v>300000</v>
      </c>
      <c r="AN30" s="981">
        <f t="shared" si="2"/>
        <v>404183</v>
      </c>
      <c r="AO30" s="398"/>
      <c r="AP30" s="398"/>
      <c r="AQ30" s="399"/>
      <c r="AR30" s="399"/>
      <c r="AS30" s="399"/>
      <c r="AT30" s="400"/>
      <c r="AU30" s="351">
        <v>300000</v>
      </c>
      <c r="AV30" s="981">
        <f t="shared" si="4"/>
        <v>505229</v>
      </c>
      <c r="AW30" s="398"/>
      <c r="AX30" s="398"/>
      <c r="AY30" s="399"/>
      <c r="AZ30" s="399"/>
      <c r="BA30" s="399"/>
      <c r="BB30" s="400"/>
      <c r="BC30" s="351">
        <v>300000</v>
      </c>
      <c r="BD30" s="981">
        <f t="shared" si="5"/>
        <v>707320</v>
      </c>
      <c r="BE30" s="398"/>
      <c r="BF30" s="398"/>
      <c r="BG30" s="399"/>
      <c r="BH30" s="399"/>
      <c r="CE30" s="981">
        <v>300000</v>
      </c>
      <c r="CF30" s="981">
        <v>404183</v>
      </c>
      <c r="CG30" s="981">
        <v>505229</v>
      </c>
      <c r="CH30" s="981">
        <v>707320</v>
      </c>
      <c r="CI30" s="981">
        <v>242510</v>
      </c>
      <c r="CJ30" s="981">
        <v>303137</v>
      </c>
      <c r="CK30" s="981">
        <v>424392</v>
      </c>
    </row>
    <row r="31" spans="1:89" ht="15" customHeight="1" thickBot="1" x14ac:dyDescent="0.3">
      <c r="B31" s="324"/>
      <c r="C31" s="401"/>
      <c r="D31" s="402"/>
      <c r="E31" s="403"/>
      <c r="F31" s="327"/>
      <c r="G31" s="324"/>
      <c r="H31" s="401"/>
      <c r="I31" s="402"/>
      <c r="J31" s="325"/>
      <c r="K31" s="325"/>
      <c r="L31" s="325"/>
      <c r="M31" s="327"/>
      <c r="N31" s="324"/>
      <c r="O31" s="401"/>
      <c r="P31" s="402"/>
      <c r="Q31" s="327"/>
      <c r="R31" s="324"/>
      <c r="S31" s="942"/>
      <c r="T31" s="402"/>
      <c r="U31" s="327"/>
      <c r="V31" s="340"/>
      <c r="AM31" s="404"/>
      <c r="AN31" s="404"/>
      <c r="AO31" s="404"/>
      <c r="AP31" s="404"/>
      <c r="AQ31" s="399"/>
      <c r="AR31" s="399"/>
      <c r="AS31" s="399"/>
      <c r="AT31" s="400"/>
      <c r="AU31" s="404"/>
      <c r="AV31" s="404"/>
      <c r="AW31" s="404"/>
      <c r="AX31" s="404"/>
      <c r="AY31" s="399"/>
      <c r="AZ31" s="399"/>
      <c r="BA31" s="399"/>
      <c r="BB31" s="400"/>
      <c r="BC31" s="404"/>
      <c r="BD31" s="404"/>
      <c r="BE31" s="404"/>
      <c r="BF31" s="404"/>
      <c r="BG31" s="399"/>
      <c r="BH31" s="399"/>
    </row>
    <row r="32" spans="1:89" s="315" customFormat="1" ht="19.5" customHeight="1" thickBot="1" x14ac:dyDescent="0.35">
      <c r="A32" s="307"/>
      <c r="B32" s="329" t="s">
        <v>300</v>
      </c>
      <c r="C32" s="330"/>
      <c r="D32" s="330"/>
      <c r="E32" s="331"/>
      <c r="F32" s="332"/>
      <c r="G32" s="329" t="s">
        <v>369</v>
      </c>
      <c r="H32" s="330"/>
      <c r="I32" s="330"/>
      <c r="J32" s="330"/>
      <c r="K32" s="330"/>
      <c r="L32" s="330"/>
      <c r="M32" s="332"/>
      <c r="N32" s="329" t="s">
        <v>370</v>
      </c>
      <c r="O32" s="330"/>
      <c r="P32" s="330"/>
      <c r="Q32" s="332"/>
      <c r="R32" s="329" t="s">
        <v>371</v>
      </c>
      <c r="S32" s="330"/>
      <c r="T32" s="330"/>
      <c r="U32" s="332"/>
      <c r="V32" s="340"/>
      <c r="W32" s="313"/>
      <c r="X32" s="405" t="s">
        <v>372</v>
      </c>
      <c r="Y32" s="406">
        <f>AE34</f>
        <v>5000</v>
      </c>
      <c r="Z32" s="407">
        <v>0</v>
      </c>
      <c r="AA32" s="407">
        <v>1000</v>
      </c>
      <c r="AB32" s="407">
        <v>250000</v>
      </c>
      <c r="AC32" s="407">
        <v>3000</v>
      </c>
      <c r="AD32" s="407">
        <f>VLOOKUP($P$36,Z32:AC44,1,TRUE)</f>
        <v>1000000</v>
      </c>
      <c r="AE32" s="406">
        <f>VLOOKUP(AD32,Z32:AA44,2,FALSE)</f>
        <v>5000</v>
      </c>
      <c r="AF32" s="407">
        <v>0</v>
      </c>
      <c r="AG32" s="407">
        <v>1500</v>
      </c>
      <c r="AH32" s="407">
        <v>250000</v>
      </c>
      <c r="AI32" s="407">
        <v>4000</v>
      </c>
      <c r="AJ32" s="407">
        <f>VLOOKUP($P$36,AF32:AI44,1,TRUE)</f>
        <v>1000000</v>
      </c>
      <c r="AK32" s="406">
        <f>VLOOKUP(AJ32,AF32:AG44,2,FALSE)</f>
        <v>6750</v>
      </c>
      <c r="AL32" s="407">
        <v>0</v>
      </c>
      <c r="AM32" s="407">
        <v>2000</v>
      </c>
      <c r="AN32" s="407">
        <v>250000</v>
      </c>
      <c r="AO32" s="407">
        <v>5000</v>
      </c>
      <c r="AP32" s="407">
        <f>VLOOKUP($P$36,AL32:AO44,1,TRUE)</f>
        <v>1000000</v>
      </c>
      <c r="AQ32" s="406">
        <f>VLOOKUP(AP32,AL32:AM44,2,FALSE)</f>
        <v>9000</v>
      </c>
      <c r="AR32" s="407">
        <v>0</v>
      </c>
      <c r="AS32" s="407">
        <v>2500</v>
      </c>
      <c r="AT32" s="407">
        <v>250000</v>
      </c>
      <c r="AU32" s="407">
        <v>6500</v>
      </c>
      <c r="AV32" s="407">
        <f>VLOOKUP($P$36,AR32:AU44,1,TRUE)</f>
        <v>1000000</v>
      </c>
      <c r="AW32" s="407">
        <f>VLOOKUP(AV32,AR32:AS44,2,FALSE)</f>
        <v>12000</v>
      </c>
      <c r="AX32" s="404"/>
      <c r="AY32" s="408">
        <v>1</v>
      </c>
      <c r="AZ32" s="408">
        <v>800</v>
      </c>
      <c r="BA32" s="408">
        <v>2</v>
      </c>
      <c r="BB32" s="408">
        <v>2400</v>
      </c>
      <c r="BC32" s="408">
        <f>VLOOKUP(I36,AY32:BB45,1,TRUE)</f>
        <v>6</v>
      </c>
      <c r="BD32" s="408">
        <f>VLOOKUP(BC32,AY32:BB45,2,FALSE)</f>
        <v>3849</v>
      </c>
      <c r="BE32" s="404"/>
      <c r="BF32" s="407">
        <v>100000</v>
      </c>
      <c r="BG32" s="407">
        <v>1800</v>
      </c>
      <c r="BH32" s="407">
        <v>1500000</v>
      </c>
      <c r="BI32" s="407">
        <v>2150</v>
      </c>
      <c r="BJ32" s="409">
        <f>VLOOKUP(T11,BF32:BI56,1,TRUE)</f>
        <v>100000</v>
      </c>
      <c r="BK32" s="407">
        <f>VLOOKUP(BJ32,BF32:BI56,2,FALSE)</f>
        <v>1800</v>
      </c>
      <c r="BL32" s="313"/>
      <c r="BM32" s="410">
        <v>2500000</v>
      </c>
      <c r="BN32" s="410">
        <v>1000</v>
      </c>
      <c r="BO32" s="410">
        <v>5000000</v>
      </c>
      <c r="BP32" s="410">
        <v>1450</v>
      </c>
      <c r="BQ32" s="410" t="e">
        <f>VLOOKUP(D36,BM32:BP50,1,TRUE)</f>
        <v>#N/A</v>
      </c>
      <c r="BR32" s="410" t="e">
        <f>VLOOKUP(BQ32,BM32:BP50,2,FALSE)</f>
        <v>#N/A</v>
      </c>
      <c r="BS32" s="313"/>
      <c r="BT32" s="313"/>
      <c r="BU32" s="313"/>
      <c r="BV32" s="313"/>
    </row>
    <row r="33" spans="1:74" s="315" customFormat="1" ht="15" customHeight="1" x14ac:dyDescent="0.25">
      <c r="A33" s="307"/>
      <c r="B33" s="411"/>
      <c r="C33" s="412"/>
      <c r="D33" s="413"/>
      <c r="E33" s="414"/>
      <c r="F33" s="415"/>
      <c r="G33" s="308"/>
      <c r="H33" s="416"/>
      <c r="I33" s="417"/>
      <c r="J33" s="309"/>
      <c r="K33" s="309"/>
      <c r="L33" s="309"/>
      <c r="M33" s="311"/>
      <c r="N33" s="308"/>
      <c r="O33" s="416"/>
      <c r="P33" s="417"/>
      <c r="Q33" s="418"/>
      <c r="R33" s="411"/>
      <c r="S33" s="412"/>
      <c r="T33" s="413"/>
      <c r="U33" s="415"/>
      <c r="V33" s="340"/>
      <c r="W33" s="313"/>
      <c r="X33" s="405" t="s">
        <v>373</v>
      </c>
      <c r="Y33" s="406">
        <f>AK34</f>
        <v>6750</v>
      </c>
      <c r="Z33" s="407">
        <v>250000</v>
      </c>
      <c r="AA33" s="407">
        <v>3000</v>
      </c>
      <c r="AB33" s="407">
        <v>500000</v>
      </c>
      <c r="AC33" s="407">
        <v>4000</v>
      </c>
      <c r="AD33" s="419"/>
      <c r="AE33" s="388"/>
      <c r="AF33" s="407">
        <v>250000</v>
      </c>
      <c r="AG33" s="407">
        <v>4000</v>
      </c>
      <c r="AH33" s="407">
        <v>500000</v>
      </c>
      <c r="AI33" s="407">
        <v>5250</v>
      </c>
      <c r="AJ33" s="419"/>
      <c r="AK33" s="388"/>
      <c r="AL33" s="407">
        <v>250000</v>
      </c>
      <c r="AM33" s="407">
        <v>5000</v>
      </c>
      <c r="AN33" s="407">
        <v>500000</v>
      </c>
      <c r="AO33" s="407">
        <v>7000</v>
      </c>
      <c r="AP33" s="419"/>
      <c r="AQ33" s="388"/>
      <c r="AR33" s="407">
        <v>250000</v>
      </c>
      <c r="AS33" s="407">
        <v>6500</v>
      </c>
      <c r="AT33" s="407">
        <v>500000</v>
      </c>
      <c r="AU33" s="407">
        <v>9000</v>
      </c>
      <c r="AV33" s="419"/>
      <c r="AW33" s="388"/>
      <c r="AX33" s="404"/>
      <c r="AY33" s="408">
        <v>2</v>
      </c>
      <c r="AZ33" s="408">
        <v>2400</v>
      </c>
      <c r="BA33" s="408">
        <v>4</v>
      </c>
      <c r="BB33" s="408">
        <v>2934</v>
      </c>
      <c r="BC33" s="420"/>
      <c r="BD33" s="420"/>
      <c r="BE33" s="404"/>
      <c r="BF33" s="407">
        <v>1500000</v>
      </c>
      <c r="BG33" s="407">
        <v>2150</v>
      </c>
      <c r="BH33" s="407">
        <v>5000000</v>
      </c>
      <c r="BI33" s="407">
        <v>2300</v>
      </c>
      <c r="BJ33" s="421"/>
      <c r="BK33" s="388"/>
      <c r="BL33" s="313"/>
      <c r="BM33" s="410">
        <v>5000000</v>
      </c>
      <c r="BN33" s="410">
        <v>1450</v>
      </c>
      <c r="BO33" s="410">
        <v>10000000</v>
      </c>
      <c r="BP33" s="410">
        <v>2100</v>
      </c>
      <c r="BQ33" s="422"/>
      <c r="BR33" s="422"/>
      <c r="BS33" s="313"/>
      <c r="BT33" s="313"/>
      <c r="BU33" s="313"/>
      <c r="BV33" s="313"/>
    </row>
    <row r="34" spans="1:74" s="315" customFormat="1" ht="15" customHeight="1" x14ac:dyDescent="0.25">
      <c r="A34" s="307"/>
      <c r="B34" s="423"/>
      <c r="E34" s="367"/>
      <c r="F34" s="424"/>
      <c r="G34" s="317"/>
      <c r="J34" s="321"/>
      <c r="K34" s="321"/>
      <c r="L34" s="321"/>
      <c r="M34" s="322"/>
      <c r="N34" s="317"/>
      <c r="O34" s="318" t="s">
        <v>374</v>
      </c>
      <c r="P34" s="425" t="s">
        <v>372</v>
      </c>
      <c r="Q34" s="426"/>
      <c r="R34" s="423"/>
      <c r="S34" s="427"/>
      <c r="T34" s="428"/>
      <c r="U34" s="424"/>
      <c r="V34" s="340"/>
      <c r="W34" s="313"/>
      <c r="X34" s="405" t="s">
        <v>375</v>
      </c>
      <c r="Y34" s="406">
        <f>AQ34</f>
        <v>9000</v>
      </c>
      <c r="Z34" s="407">
        <v>500000</v>
      </c>
      <c r="AA34" s="407">
        <v>4000</v>
      </c>
      <c r="AB34" s="407">
        <v>1000000</v>
      </c>
      <c r="AC34" s="407">
        <v>5000</v>
      </c>
      <c r="AD34" s="407">
        <f>$P$36</f>
        <v>1000000</v>
      </c>
      <c r="AE34" s="406">
        <f>IF(AD34&lt;Z33,AA32,IF(AD34&gt;Z44,AA45,(((AD34-AD32)/(AD36-AD32))*(AE36-AE32))+AE32))</f>
        <v>5000</v>
      </c>
      <c r="AF34" s="407">
        <v>500000</v>
      </c>
      <c r="AG34" s="407">
        <v>5250</v>
      </c>
      <c r="AH34" s="407">
        <v>1000000</v>
      </c>
      <c r="AI34" s="407">
        <v>6750</v>
      </c>
      <c r="AJ34" s="407">
        <f>$P$36</f>
        <v>1000000</v>
      </c>
      <c r="AK34" s="406">
        <f>IF(AJ34&lt;AF33,AG32,IF(AJ34&gt;AF44,AG45,(((AJ34-AJ32)/(AJ36-AJ32))*(AK36-AK32))+AK32))</f>
        <v>6750</v>
      </c>
      <c r="AL34" s="407">
        <v>500000</v>
      </c>
      <c r="AM34" s="407">
        <v>7000</v>
      </c>
      <c r="AN34" s="407">
        <v>1000000</v>
      </c>
      <c r="AO34" s="407">
        <v>9000</v>
      </c>
      <c r="AP34" s="407">
        <f>$P$36</f>
        <v>1000000</v>
      </c>
      <c r="AQ34" s="406">
        <f>IF(AP34&lt;AL33,AM32,IF(AP34&gt;AL44,AM45,(((AP34-AP32)/(AP36-AP32))*(AQ36-AQ32))+AQ32))</f>
        <v>9000</v>
      </c>
      <c r="AR34" s="407">
        <v>500000</v>
      </c>
      <c r="AS34" s="407">
        <v>9000</v>
      </c>
      <c r="AT34" s="407">
        <v>1000000</v>
      </c>
      <c r="AU34" s="407">
        <v>12000</v>
      </c>
      <c r="AV34" s="407">
        <f>$P$36</f>
        <v>1000000</v>
      </c>
      <c r="AW34" s="407">
        <f>IF(AV34&lt;AR33,AS32,IF(AV34&gt;AR44,AS45,(((AV34-AV32)/(AV36-AV32))*(AW36-AW32))+AW32))</f>
        <v>12000</v>
      </c>
      <c r="AX34" s="404"/>
      <c r="AY34" s="408">
        <v>4</v>
      </c>
      <c r="AZ34" s="408">
        <v>2934</v>
      </c>
      <c r="BA34" s="408">
        <v>6</v>
      </c>
      <c r="BB34" s="408">
        <v>3849</v>
      </c>
      <c r="BC34" s="408">
        <f>I36</f>
        <v>6</v>
      </c>
      <c r="BD34" s="408">
        <f>IF(BC34&gt;=AY45,AZ45,(((BC34-BC32)/(BC36-BC32))*(BD36-BD32))+BD32)</f>
        <v>3849</v>
      </c>
      <c r="BE34" s="404"/>
      <c r="BF34" s="407">
        <v>5000000</v>
      </c>
      <c r="BG34" s="407">
        <v>2300</v>
      </c>
      <c r="BH34" s="407">
        <v>10000000</v>
      </c>
      <c r="BI34" s="407">
        <v>2450</v>
      </c>
      <c r="BJ34" s="409">
        <f>T11</f>
        <v>1000000</v>
      </c>
      <c r="BK34" s="407">
        <f>IF(BJ34&lt;BF32,BG32,IF(BJ34&gt;=BF55,BG55,(((BJ34-BJ32)/(BJ36-BJ32))*(BK36-BK32))+BK32))</f>
        <v>2025</v>
      </c>
      <c r="BL34" s="313"/>
      <c r="BM34" s="410">
        <v>10000000</v>
      </c>
      <c r="BN34" s="410">
        <v>2100</v>
      </c>
      <c r="BO34" s="410">
        <v>25000000</v>
      </c>
      <c r="BP34" s="410">
        <v>3600</v>
      </c>
      <c r="BQ34" s="410">
        <f>D36</f>
        <v>1000000</v>
      </c>
      <c r="BR34" s="410">
        <f>IF(BQ34&lt;BM32,BN32,IF(BQ34&gt;=BM50,BN50,(((BQ34-BQ32)/(BQ36-BQ32))*(BR36-BR32))+BR32))</f>
        <v>1000</v>
      </c>
      <c r="BS34" s="313"/>
      <c r="BT34" s="313"/>
      <c r="BU34" s="313"/>
      <c r="BV34" s="313"/>
    </row>
    <row r="35" spans="1:74" s="315" customFormat="1" ht="15" customHeight="1" x14ac:dyDescent="0.25">
      <c r="A35" s="307"/>
      <c r="B35" s="423"/>
      <c r="E35" s="367"/>
      <c r="F35" s="424"/>
      <c r="G35" s="317"/>
      <c r="J35" s="321"/>
      <c r="K35" s="321"/>
      <c r="L35" s="321"/>
      <c r="M35" s="322"/>
      <c r="N35" s="317"/>
      <c r="O35" s="394"/>
      <c r="P35" s="361"/>
      <c r="Q35" s="426"/>
      <c r="R35" s="423"/>
      <c r="S35" s="427"/>
      <c r="T35" s="428"/>
      <c r="U35" s="424"/>
      <c r="V35" s="340"/>
      <c r="W35" s="313"/>
      <c r="X35" s="405" t="s">
        <v>376</v>
      </c>
      <c r="Y35" s="406">
        <f>AW34</f>
        <v>12000</v>
      </c>
      <c r="Z35" s="407">
        <v>1000000</v>
      </c>
      <c r="AA35" s="407">
        <v>5000</v>
      </c>
      <c r="AB35" s="407">
        <v>3000000</v>
      </c>
      <c r="AC35" s="407">
        <v>7000</v>
      </c>
      <c r="AD35" s="419"/>
      <c r="AE35" s="388"/>
      <c r="AF35" s="407">
        <v>1000000</v>
      </c>
      <c r="AG35" s="407">
        <v>6750</v>
      </c>
      <c r="AH35" s="407">
        <v>3000000</v>
      </c>
      <c r="AI35" s="407">
        <v>9750</v>
      </c>
      <c r="AJ35" s="419"/>
      <c r="AK35" s="388"/>
      <c r="AL35" s="407">
        <v>1000000</v>
      </c>
      <c r="AM35" s="407">
        <v>9000</v>
      </c>
      <c r="AN35" s="407">
        <v>3000000</v>
      </c>
      <c r="AO35" s="407">
        <v>12000</v>
      </c>
      <c r="AP35" s="419"/>
      <c r="AQ35" s="388"/>
      <c r="AR35" s="407">
        <v>1000000</v>
      </c>
      <c r="AS35" s="407">
        <v>12000</v>
      </c>
      <c r="AT35" s="407">
        <v>3000000</v>
      </c>
      <c r="AU35" s="407">
        <v>18000</v>
      </c>
      <c r="AV35" s="419"/>
      <c r="AW35" s="388"/>
      <c r="AX35" s="404"/>
      <c r="AY35" s="408">
        <v>6</v>
      </c>
      <c r="AZ35" s="408">
        <v>3849</v>
      </c>
      <c r="BA35" s="408">
        <v>11</v>
      </c>
      <c r="BB35" s="408">
        <v>4514</v>
      </c>
      <c r="BC35" s="420"/>
      <c r="BD35" s="420"/>
      <c r="BE35" s="404"/>
      <c r="BF35" s="407">
        <v>10000000</v>
      </c>
      <c r="BG35" s="407">
        <v>2450</v>
      </c>
      <c r="BH35" s="407">
        <v>15000000</v>
      </c>
      <c r="BI35" s="407">
        <v>2600</v>
      </c>
      <c r="BJ35" s="421"/>
      <c r="BK35" s="388"/>
      <c r="BL35" s="313"/>
      <c r="BM35" s="410">
        <v>25000000</v>
      </c>
      <c r="BN35" s="410">
        <v>3600</v>
      </c>
      <c r="BO35" s="410">
        <v>50000000</v>
      </c>
      <c r="BP35" s="410">
        <v>5100</v>
      </c>
      <c r="BQ35" s="422"/>
      <c r="BR35" s="422"/>
      <c r="BS35" s="313"/>
      <c r="BT35" s="313"/>
      <c r="BU35" s="313"/>
      <c r="BV35" s="313"/>
    </row>
    <row r="36" spans="1:74" s="315" customFormat="1" ht="15" customHeight="1" x14ac:dyDescent="0.25">
      <c r="A36" s="307"/>
      <c r="B36" s="423"/>
      <c r="C36" s="318" t="s">
        <v>345</v>
      </c>
      <c r="D36" s="366">
        <v>1000000</v>
      </c>
      <c r="E36" s="367"/>
      <c r="F36" s="424"/>
      <c r="G36" s="317"/>
      <c r="H36" s="318" t="s">
        <v>302</v>
      </c>
      <c r="I36" s="366">
        <v>6</v>
      </c>
      <c r="J36" s="321"/>
      <c r="K36" s="321"/>
      <c r="L36" s="321"/>
      <c r="M36" s="322"/>
      <c r="N36" s="317"/>
      <c r="O36" s="318" t="s">
        <v>345</v>
      </c>
      <c r="P36" s="366">
        <v>1000000</v>
      </c>
      <c r="Q36" s="426"/>
      <c r="R36" s="423"/>
      <c r="S36" s="318" t="s">
        <v>335</v>
      </c>
      <c r="T36" s="366">
        <v>816</v>
      </c>
      <c r="U36" s="424"/>
      <c r="V36" s="340"/>
      <c r="W36" s="313"/>
      <c r="X36" s="388"/>
      <c r="Y36" s="388"/>
      <c r="Z36" s="407">
        <v>3000000</v>
      </c>
      <c r="AA36" s="407">
        <v>7000</v>
      </c>
      <c r="AB36" s="429">
        <v>5000000</v>
      </c>
      <c r="AC36" s="429">
        <v>8800</v>
      </c>
      <c r="AD36" s="407">
        <f>VLOOKUP($P$36,Z32:AC44,3,TRUE)</f>
        <v>3000000</v>
      </c>
      <c r="AE36" s="406">
        <f>VLOOKUP(AD36,Z32:AA44,2,FALSE)</f>
        <v>7000</v>
      </c>
      <c r="AF36" s="407">
        <v>3000000</v>
      </c>
      <c r="AG36" s="407">
        <v>9750</v>
      </c>
      <c r="AH36" s="429">
        <v>5000000</v>
      </c>
      <c r="AI36" s="429">
        <v>11750</v>
      </c>
      <c r="AJ36" s="407">
        <f>VLOOKUP($P$36,AF32:AI44,3,TRUE)</f>
        <v>3000000</v>
      </c>
      <c r="AK36" s="406">
        <f>VLOOKUP(AJ36,AF32:AG44,2,FALSE)</f>
        <v>9750</v>
      </c>
      <c r="AL36" s="407">
        <v>3000000</v>
      </c>
      <c r="AM36" s="407">
        <v>12000</v>
      </c>
      <c r="AN36" s="429">
        <v>5000000</v>
      </c>
      <c r="AO36" s="429">
        <v>14500</v>
      </c>
      <c r="AP36" s="407">
        <f>VLOOKUP($P$36,AL32:AO44,3,TRUE)</f>
        <v>3000000</v>
      </c>
      <c r="AQ36" s="406">
        <f>VLOOKUP(AP36,AL32:AM44,2,FALSE)</f>
        <v>12000</v>
      </c>
      <c r="AR36" s="407">
        <v>3000000</v>
      </c>
      <c r="AS36" s="407">
        <v>18000</v>
      </c>
      <c r="AT36" s="429">
        <v>5000000</v>
      </c>
      <c r="AU36" s="429">
        <v>22000</v>
      </c>
      <c r="AV36" s="407">
        <f>VLOOKUP($P$36,AR32:AU44,3,TRUE)</f>
        <v>3000000</v>
      </c>
      <c r="AW36" s="407">
        <f>VLOOKUP(AV36,AR32:AS44,2,FALSE)</f>
        <v>18000</v>
      </c>
      <c r="AX36" s="404"/>
      <c r="AY36" s="408">
        <v>11</v>
      </c>
      <c r="AZ36" s="408">
        <v>4514</v>
      </c>
      <c r="BA36" s="408">
        <v>16</v>
      </c>
      <c r="BB36" s="408">
        <v>5054</v>
      </c>
      <c r="BC36" s="408">
        <f>VLOOKUP(I36,AY32:BB45,3,TRUE)</f>
        <v>11</v>
      </c>
      <c r="BD36" s="408">
        <f>VLOOKUP(BC36,AY32:BB45,2,FALSE)</f>
        <v>4514</v>
      </c>
      <c r="BE36" s="404"/>
      <c r="BF36" s="407">
        <v>15000000</v>
      </c>
      <c r="BG36" s="407">
        <v>2600</v>
      </c>
      <c r="BH36" s="407">
        <v>20000000</v>
      </c>
      <c r="BI36" s="407">
        <v>2750</v>
      </c>
      <c r="BJ36" s="409">
        <f>VLOOKUP(T11,BF32:BI56,3,TRUE)</f>
        <v>1500000</v>
      </c>
      <c r="BK36" s="407">
        <f>VLOOKUP(BJ36,BF32:BI56,2,FALSE)</f>
        <v>2150</v>
      </c>
      <c r="BL36" s="313"/>
      <c r="BM36" s="410">
        <v>50000000</v>
      </c>
      <c r="BN36" s="410">
        <v>5100</v>
      </c>
      <c r="BO36" s="410">
        <v>75000000</v>
      </c>
      <c r="BP36" s="410">
        <v>5850</v>
      </c>
      <c r="BQ36" s="410" t="e">
        <f>VLOOKUP(D36,BM32:BP50,3,TRUE)</f>
        <v>#N/A</v>
      </c>
      <c r="BR36" s="410" t="e">
        <f>VLOOKUP(BQ36,BM32:BP50,2,FALSE)</f>
        <v>#N/A</v>
      </c>
      <c r="BS36" s="313"/>
      <c r="BT36" s="313"/>
      <c r="BU36" s="313"/>
      <c r="BV36" s="313"/>
    </row>
    <row r="37" spans="1:74" s="315" customFormat="1" ht="15" customHeight="1" x14ac:dyDescent="0.25">
      <c r="A37" s="307"/>
      <c r="B37" s="423"/>
      <c r="E37" s="367"/>
      <c r="F37" s="424"/>
      <c r="G37" s="317"/>
      <c r="H37" s="394"/>
      <c r="I37" s="396"/>
      <c r="J37" s="321"/>
      <c r="K37" s="321"/>
      <c r="L37" s="321"/>
      <c r="M37" s="322"/>
      <c r="N37" s="317"/>
      <c r="O37" s="394"/>
      <c r="P37" s="396"/>
      <c r="Q37" s="426"/>
      <c r="R37" s="423"/>
      <c r="S37" s="427"/>
      <c r="T37" s="428"/>
      <c r="U37" s="424"/>
      <c r="V37" s="340"/>
      <c r="W37" s="313"/>
      <c r="X37" s="388"/>
      <c r="Y37" s="388"/>
      <c r="Z37" s="429">
        <v>5000000</v>
      </c>
      <c r="AA37" s="429">
        <v>8800</v>
      </c>
      <c r="AB37" s="429">
        <v>10000000</v>
      </c>
      <c r="AC37" s="429">
        <v>11800</v>
      </c>
      <c r="AD37" s="388"/>
      <c r="AE37" s="388"/>
      <c r="AF37" s="429">
        <v>5000000</v>
      </c>
      <c r="AG37" s="429">
        <v>11750</v>
      </c>
      <c r="AH37" s="429">
        <v>10000000</v>
      </c>
      <c r="AI37" s="429">
        <v>16250</v>
      </c>
      <c r="AJ37" s="388"/>
      <c r="AK37" s="388"/>
      <c r="AL37" s="429">
        <v>5000000</v>
      </c>
      <c r="AM37" s="429">
        <v>14500</v>
      </c>
      <c r="AN37" s="429">
        <v>10000000</v>
      </c>
      <c r="AO37" s="429">
        <v>19000</v>
      </c>
      <c r="AP37" s="388"/>
      <c r="AQ37" s="388"/>
      <c r="AR37" s="429">
        <v>5000000</v>
      </c>
      <c r="AS37" s="429">
        <v>22000</v>
      </c>
      <c r="AT37" s="429">
        <v>10000000</v>
      </c>
      <c r="AU37" s="429">
        <v>27000</v>
      </c>
      <c r="AV37" s="388"/>
      <c r="AW37" s="388"/>
      <c r="AX37" s="404"/>
      <c r="AY37" s="408">
        <v>16</v>
      </c>
      <c r="AZ37" s="408">
        <v>5054</v>
      </c>
      <c r="BA37" s="408">
        <v>21</v>
      </c>
      <c r="BB37" s="408">
        <v>5924</v>
      </c>
      <c r="BC37" s="420"/>
      <c r="BD37" s="420"/>
      <c r="BE37" s="404"/>
      <c r="BF37" s="407">
        <v>20000000</v>
      </c>
      <c r="BG37" s="407">
        <v>2750</v>
      </c>
      <c r="BH37" s="407">
        <v>25000000</v>
      </c>
      <c r="BI37" s="407">
        <v>2900</v>
      </c>
      <c r="BJ37" s="388"/>
      <c r="BK37" s="388"/>
      <c r="BL37" s="313"/>
      <c r="BM37" s="410">
        <v>75000000</v>
      </c>
      <c r="BN37" s="410">
        <v>5850</v>
      </c>
      <c r="BO37" s="410">
        <v>100000000</v>
      </c>
      <c r="BP37" s="410">
        <v>6350</v>
      </c>
      <c r="BQ37" s="313"/>
      <c r="BR37" s="313"/>
      <c r="BS37" s="313"/>
      <c r="BT37" s="313"/>
      <c r="BU37" s="313"/>
      <c r="BV37" s="313"/>
    </row>
    <row r="38" spans="1:74" s="315" customFormat="1" ht="15" customHeight="1" x14ac:dyDescent="0.25">
      <c r="A38" s="307"/>
      <c r="B38" s="423"/>
      <c r="C38" s="318" t="s">
        <v>364</v>
      </c>
      <c r="D38" s="384">
        <f ca="1">IF(D36="","",BR34*'Account Info'!AA17)</f>
        <v>1000</v>
      </c>
      <c r="E38" s="367"/>
      <c r="F38" s="424"/>
      <c r="G38" s="317"/>
      <c r="H38" s="318" t="s">
        <v>364</v>
      </c>
      <c r="I38" s="384">
        <f ca="1">IF(I36="","",BD34*'Account Info'!AA17)</f>
        <v>3849</v>
      </c>
      <c r="J38" s="321"/>
      <c r="K38" s="321"/>
      <c r="L38" s="321"/>
      <c r="M38" s="322"/>
      <c r="N38" s="317"/>
      <c r="O38" s="318" t="s">
        <v>364</v>
      </c>
      <c r="P38" s="384">
        <f ca="1">IF(OR(P34="",P36=""),"",VLOOKUP(P34,X32:Y35,2,FALSE)*'Account Info'!AA17)</f>
        <v>5000</v>
      </c>
      <c r="Q38" s="426"/>
      <c r="R38" s="423"/>
      <c r="S38" s="318" t="s">
        <v>364</v>
      </c>
      <c r="T38" s="384">
        <f ca="1">IF(T36="","",BU19*'Account Info'!AA17)</f>
        <v>1037.2719999999999</v>
      </c>
      <c r="U38" s="424"/>
      <c r="V38" s="340"/>
      <c r="W38" s="313"/>
      <c r="X38" s="388"/>
      <c r="Y38" s="388"/>
      <c r="Z38" s="429">
        <v>10000000</v>
      </c>
      <c r="AA38" s="429">
        <v>11800</v>
      </c>
      <c r="AB38" s="407">
        <v>20000000</v>
      </c>
      <c r="AC38" s="407">
        <v>14800</v>
      </c>
      <c r="AD38" s="388"/>
      <c r="AE38" s="388"/>
      <c r="AF38" s="429">
        <v>10000000</v>
      </c>
      <c r="AG38" s="429">
        <v>16250</v>
      </c>
      <c r="AH38" s="407">
        <v>20000000</v>
      </c>
      <c r="AI38" s="407">
        <v>20250</v>
      </c>
      <c r="AJ38" s="388"/>
      <c r="AK38" s="388"/>
      <c r="AL38" s="429">
        <v>10000000</v>
      </c>
      <c r="AM38" s="429">
        <v>19000</v>
      </c>
      <c r="AN38" s="407">
        <v>20000000</v>
      </c>
      <c r="AO38" s="407">
        <v>25000</v>
      </c>
      <c r="AP38" s="388"/>
      <c r="AQ38" s="388"/>
      <c r="AR38" s="429">
        <v>10000000</v>
      </c>
      <c r="AS38" s="429">
        <v>27000</v>
      </c>
      <c r="AT38" s="407">
        <v>20000000</v>
      </c>
      <c r="AU38" s="407">
        <v>35000</v>
      </c>
      <c r="AV38" s="388"/>
      <c r="AW38" s="388"/>
      <c r="AX38" s="404"/>
      <c r="AY38" s="408">
        <v>21</v>
      </c>
      <c r="AZ38" s="408">
        <v>5924</v>
      </c>
      <c r="BA38" s="408">
        <v>31</v>
      </c>
      <c r="BB38" s="408">
        <v>7244</v>
      </c>
      <c r="BC38" s="420"/>
      <c r="BD38" s="420"/>
      <c r="BE38" s="404"/>
      <c r="BF38" s="407">
        <v>25000000</v>
      </c>
      <c r="BG38" s="407">
        <v>2900</v>
      </c>
      <c r="BH38" s="407">
        <v>35000000</v>
      </c>
      <c r="BI38" s="407">
        <v>3100</v>
      </c>
      <c r="BJ38" s="388"/>
      <c r="BK38" s="388"/>
      <c r="BL38" s="313"/>
      <c r="BM38" s="410">
        <v>100000000</v>
      </c>
      <c r="BN38" s="410">
        <v>6350</v>
      </c>
      <c r="BO38" s="410">
        <v>150000000</v>
      </c>
      <c r="BP38" s="410">
        <v>7100</v>
      </c>
      <c r="BQ38" s="313"/>
      <c r="BR38" s="313"/>
      <c r="BS38" s="313"/>
      <c r="BT38" s="313"/>
      <c r="BU38" s="313"/>
      <c r="BV38" s="313"/>
    </row>
    <row r="39" spans="1:74" s="315" customFormat="1" ht="15" customHeight="1" thickBot="1" x14ac:dyDescent="0.3">
      <c r="A39" s="307"/>
      <c r="B39" s="430"/>
      <c r="C39" s="431"/>
      <c r="D39" s="432"/>
      <c r="E39" s="403"/>
      <c r="F39" s="433"/>
      <c r="G39" s="324"/>
      <c r="H39" s="401"/>
      <c r="I39" s="402"/>
      <c r="J39" s="325"/>
      <c r="K39" s="325"/>
      <c r="L39" s="325"/>
      <c r="M39" s="327"/>
      <c r="N39" s="324"/>
      <c r="O39" s="401"/>
      <c r="P39" s="402"/>
      <c r="Q39" s="434"/>
      <c r="R39" s="430"/>
      <c r="S39" s="431"/>
      <c r="T39" s="432"/>
      <c r="U39" s="433"/>
      <c r="V39" s="340"/>
      <c r="W39" s="313"/>
      <c r="X39" s="388"/>
      <c r="Y39" s="388"/>
      <c r="Z39" s="407">
        <v>20000000</v>
      </c>
      <c r="AA39" s="407">
        <v>14800</v>
      </c>
      <c r="AB39" s="407">
        <v>35000000</v>
      </c>
      <c r="AC39" s="407">
        <v>17800</v>
      </c>
      <c r="AD39" s="388"/>
      <c r="AE39" s="388"/>
      <c r="AF39" s="407">
        <v>20000000</v>
      </c>
      <c r="AG39" s="407">
        <v>20250</v>
      </c>
      <c r="AH39" s="407">
        <v>35000000</v>
      </c>
      <c r="AI39" s="407">
        <v>24750</v>
      </c>
      <c r="AJ39" s="388"/>
      <c r="AK39" s="388"/>
      <c r="AL39" s="407">
        <v>20000000</v>
      </c>
      <c r="AM39" s="407">
        <v>25000</v>
      </c>
      <c r="AN39" s="407">
        <v>35000000</v>
      </c>
      <c r="AO39" s="407">
        <v>30250</v>
      </c>
      <c r="AP39" s="388"/>
      <c r="AQ39" s="388"/>
      <c r="AR39" s="407">
        <v>20000000</v>
      </c>
      <c r="AS39" s="407">
        <v>35000</v>
      </c>
      <c r="AT39" s="407">
        <v>35000000</v>
      </c>
      <c r="AU39" s="407">
        <v>44000</v>
      </c>
      <c r="AV39" s="388"/>
      <c r="AW39" s="388"/>
      <c r="AX39" s="404"/>
      <c r="AY39" s="408">
        <v>31</v>
      </c>
      <c r="AZ39" s="408">
        <v>7244</v>
      </c>
      <c r="BA39" s="408">
        <v>51</v>
      </c>
      <c r="BB39" s="408">
        <v>9544</v>
      </c>
      <c r="BC39" s="420"/>
      <c r="BD39" s="420"/>
      <c r="BE39" s="404"/>
      <c r="BF39" s="407">
        <v>35000000</v>
      </c>
      <c r="BG39" s="407">
        <v>3100</v>
      </c>
      <c r="BH39" s="407">
        <v>50000000</v>
      </c>
      <c r="BI39" s="407">
        <v>3300</v>
      </c>
      <c r="BJ39" s="388"/>
      <c r="BK39" s="388"/>
      <c r="BL39" s="313"/>
      <c r="BM39" s="410">
        <v>150000000</v>
      </c>
      <c r="BN39" s="410">
        <v>7100</v>
      </c>
      <c r="BO39" s="410">
        <v>200000000</v>
      </c>
      <c r="BP39" s="410">
        <v>7600</v>
      </c>
      <c r="BQ39" s="313"/>
      <c r="BR39" s="313"/>
      <c r="BS39" s="313"/>
      <c r="BT39" s="313"/>
      <c r="BU39" s="313"/>
      <c r="BV39" s="313"/>
    </row>
    <row r="40" spans="1:74" s="315" customFormat="1" ht="15" customHeight="1" x14ac:dyDescent="0.25">
      <c r="A40" s="307"/>
      <c r="B40" s="411"/>
      <c r="C40" s="310"/>
      <c r="D40" s="310"/>
      <c r="E40" s="310"/>
      <c r="F40" s="415"/>
      <c r="G40" s="308"/>
      <c r="H40" s="309"/>
      <c r="I40" s="309"/>
      <c r="J40" s="309"/>
      <c r="K40" s="309"/>
      <c r="L40" s="309"/>
      <c r="M40" s="311"/>
      <c r="N40" s="308"/>
      <c r="O40" s="309"/>
      <c r="P40" s="309"/>
      <c r="Q40" s="415"/>
      <c r="R40" s="320"/>
      <c r="S40" s="427"/>
      <c r="T40" s="428"/>
      <c r="U40" s="424"/>
      <c r="V40" s="340"/>
      <c r="W40" s="313"/>
      <c r="X40" s="388"/>
      <c r="Y40" s="388"/>
      <c r="Z40" s="407">
        <v>35000000</v>
      </c>
      <c r="AA40" s="407">
        <v>17800</v>
      </c>
      <c r="AB40" s="407">
        <v>50000000</v>
      </c>
      <c r="AC40" s="407">
        <v>19300</v>
      </c>
      <c r="AD40" s="388"/>
      <c r="AE40" s="388"/>
      <c r="AF40" s="407">
        <v>35000000</v>
      </c>
      <c r="AG40" s="407">
        <v>24750</v>
      </c>
      <c r="AH40" s="407">
        <v>50000000</v>
      </c>
      <c r="AI40" s="407">
        <v>27750</v>
      </c>
      <c r="AJ40" s="388"/>
      <c r="AK40" s="388"/>
      <c r="AL40" s="407">
        <v>35000000</v>
      </c>
      <c r="AM40" s="407">
        <v>30250</v>
      </c>
      <c r="AN40" s="407">
        <v>50000000</v>
      </c>
      <c r="AO40" s="407">
        <v>34750</v>
      </c>
      <c r="AP40" s="388"/>
      <c r="AQ40" s="388"/>
      <c r="AR40" s="407">
        <v>35000000</v>
      </c>
      <c r="AS40" s="407">
        <v>44000</v>
      </c>
      <c r="AT40" s="407">
        <v>50000000</v>
      </c>
      <c r="AU40" s="407">
        <v>50000</v>
      </c>
      <c r="AV40" s="388"/>
      <c r="AW40" s="388"/>
      <c r="AX40" s="404"/>
      <c r="AY40" s="408">
        <v>51</v>
      </c>
      <c r="AZ40" s="408">
        <v>9544</v>
      </c>
      <c r="BA40" s="408">
        <v>101</v>
      </c>
      <c r="BB40" s="408">
        <v>13594</v>
      </c>
      <c r="BC40" s="420"/>
      <c r="BD40" s="420"/>
      <c r="BE40" s="404"/>
      <c r="BF40" s="407">
        <v>50000000</v>
      </c>
      <c r="BG40" s="407">
        <v>3300</v>
      </c>
      <c r="BH40" s="407">
        <v>75000000</v>
      </c>
      <c r="BI40" s="407">
        <v>3550</v>
      </c>
      <c r="BJ40" s="388"/>
      <c r="BK40" s="388"/>
      <c r="BL40" s="313"/>
      <c r="BM40" s="410">
        <v>200000000</v>
      </c>
      <c r="BN40" s="410">
        <v>7600</v>
      </c>
      <c r="BO40" s="410">
        <v>250000000</v>
      </c>
      <c r="BP40" s="410">
        <v>8050</v>
      </c>
      <c r="BQ40" s="313"/>
      <c r="BR40" s="313"/>
      <c r="BS40" s="313"/>
      <c r="BT40" s="313"/>
      <c r="BU40" s="313"/>
      <c r="BV40" s="313"/>
    </row>
    <row r="41" spans="1:74" s="315" customFormat="1" ht="15" customHeight="1" x14ac:dyDescent="0.25">
      <c r="A41" s="307"/>
      <c r="B41" s="423"/>
      <c r="C41" s="318" t="s">
        <v>285</v>
      </c>
      <c r="D41" s="366">
        <v>1000000</v>
      </c>
      <c r="E41" s="367"/>
      <c r="F41" s="424"/>
      <c r="G41" s="317"/>
      <c r="H41" s="318" t="s">
        <v>285</v>
      </c>
      <c r="I41" s="366">
        <v>1000000</v>
      </c>
      <c r="J41" s="321"/>
      <c r="K41" s="321"/>
      <c r="L41" s="321"/>
      <c r="M41" s="322"/>
      <c r="N41" s="317"/>
      <c r="O41" s="318" t="s">
        <v>285</v>
      </c>
      <c r="P41" s="366">
        <v>1000000</v>
      </c>
      <c r="Q41" s="426"/>
      <c r="R41" s="320"/>
      <c r="S41" s="318" t="s">
        <v>285</v>
      </c>
      <c r="T41" s="366">
        <v>1000000</v>
      </c>
      <c r="U41" s="424"/>
      <c r="V41" s="340"/>
      <c r="W41" s="313"/>
      <c r="X41" s="388"/>
      <c r="Y41" s="388"/>
      <c r="Z41" s="407">
        <v>50000000</v>
      </c>
      <c r="AA41" s="407">
        <v>19300</v>
      </c>
      <c r="AB41" s="407">
        <v>100000000</v>
      </c>
      <c r="AC41" s="407">
        <v>22300</v>
      </c>
      <c r="AD41" s="388"/>
      <c r="AE41" s="388"/>
      <c r="AF41" s="407">
        <v>50000000</v>
      </c>
      <c r="AG41" s="407">
        <v>27750</v>
      </c>
      <c r="AH41" s="407">
        <v>100000000</v>
      </c>
      <c r="AI41" s="407">
        <v>32750</v>
      </c>
      <c r="AJ41" s="388"/>
      <c r="AK41" s="388"/>
      <c r="AL41" s="407">
        <v>50000000</v>
      </c>
      <c r="AM41" s="407">
        <v>34750</v>
      </c>
      <c r="AN41" s="407">
        <v>100000000</v>
      </c>
      <c r="AO41" s="407">
        <v>37750</v>
      </c>
      <c r="AP41" s="388"/>
      <c r="AQ41" s="388"/>
      <c r="AR41" s="407">
        <v>50000000</v>
      </c>
      <c r="AS41" s="407">
        <v>50000</v>
      </c>
      <c r="AT41" s="407">
        <v>100000000</v>
      </c>
      <c r="AU41" s="407">
        <v>60000</v>
      </c>
      <c r="AV41" s="388"/>
      <c r="AW41" s="388"/>
      <c r="AX41" s="404"/>
      <c r="AY41" s="408">
        <v>101</v>
      </c>
      <c r="AZ41" s="408">
        <v>13594</v>
      </c>
      <c r="BA41" s="408">
        <v>251</v>
      </c>
      <c r="BB41" s="408">
        <v>18094</v>
      </c>
      <c r="BC41" s="420"/>
      <c r="BD41" s="420"/>
      <c r="BE41" s="404"/>
      <c r="BF41" s="407">
        <v>75000000</v>
      </c>
      <c r="BG41" s="407">
        <v>3550</v>
      </c>
      <c r="BH41" s="407">
        <v>100000000</v>
      </c>
      <c r="BI41" s="407">
        <v>3850</v>
      </c>
      <c r="BJ41" s="388"/>
      <c r="BK41" s="388"/>
      <c r="BL41" s="313"/>
      <c r="BM41" s="410">
        <v>250000000</v>
      </c>
      <c r="BN41" s="410">
        <v>8050</v>
      </c>
      <c r="BO41" s="410">
        <v>500000000</v>
      </c>
      <c r="BP41" s="410">
        <v>10300</v>
      </c>
      <c r="BQ41" s="313"/>
      <c r="BR41" s="313"/>
      <c r="BS41" s="313"/>
      <c r="BT41" s="313"/>
      <c r="BU41" s="313"/>
      <c r="BV41" s="313"/>
    </row>
    <row r="42" spans="1:74" s="315" customFormat="1" ht="15" customHeight="1" x14ac:dyDescent="0.25">
      <c r="A42" s="307"/>
      <c r="B42" s="423"/>
      <c r="C42" s="321"/>
      <c r="D42" s="321"/>
      <c r="E42" s="320"/>
      <c r="F42" s="424"/>
      <c r="G42" s="317"/>
      <c r="H42" s="321"/>
      <c r="I42" s="321"/>
      <c r="J42" s="321"/>
      <c r="K42" s="321"/>
      <c r="L42" s="321"/>
      <c r="M42" s="322"/>
      <c r="N42" s="317"/>
      <c r="O42" s="321"/>
      <c r="P42" s="321"/>
      <c r="Q42" s="424"/>
      <c r="R42" s="320"/>
      <c r="S42" s="321"/>
      <c r="T42" s="321"/>
      <c r="U42" s="424"/>
      <c r="V42" s="340"/>
      <c r="W42" s="313"/>
      <c r="X42" s="388"/>
      <c r="Y42" s="388"/>
      <c r="Z42" s="407">
        <v>100000000</v>
      </c>
      <c r="AA42" s="407">
        <v>22300</v>
      </c>
      <c r="AB42" s="407">
        <v>150000000</v>
      </c>
      <c r="AC42" s="407">
        <v>24300</v>
      </c>
      <c r="AD42" s="388"/>
      <c r="AE42" s="388"/>
      <c r="AF42" s="407">
        <v>100000000</v>
      </c>
      <c r="AG42" s="407">
        <v>32750</v>
      </c>
      <c r="AH42" s="407">
        <v>150000000</v>
      </c>
      <c r="AI42" s="407">
        <v>35200</v>
      </c>
      <c r="AJ42" s="388"/>
      <c r="AK42" s="388"/>
      <c r="AL42" s="407">
        <v>100000000</v>
      </c>
      <c r="AM42" s="407">
        <v>37750</v>
      </c>
      <c r="AN42" s="407">
        <v>150000000</v>
      </c>
      <c r="AO42" s="407">
        <v>39750</v>
      </c>
      <c r="AP42" s="388"/>
      <c r="AQ42" s="388"/>
      <c r="AR42" s="407">
        <v>100000000</v>
      </c>
      <c r="AS42" s="407">
        <v>60000</v>
      </c>
      <c r="AT42" s="407">
        <v>150000000</v>
      </c>
      <c r="AU42" s="407">
        <v>65000</v>
      </c>
      <c r="AV42" s="388"/>
      <c r="AW42" s="388"/>
      <c r="AX42" s="404"/>
      <c r="AY42" s="408">
        <v>251</v>
      </c>
      <c r="AZ42" s="408">
        <v>18094</v>
      </c>
      <c r="BA42" s="408">
        <v>501</v>
      </c>
      <c r="BB42" s="408">
        <v>23594</v>
      </c>
      <c r="BC42" s="420"/>
      <c r="BD42" s="420"/>
      <c r="BE42" s="404"/>
      <c r="BF42" s="407">
        <v>100000000</v>
      </c>
      <c r="BG42" s="407">
        <v>3850</v>
      </c>
      <c r="BH42" s="407">
        <v>150000000</v>
      </c>
      <c r="BI42" s="407">
        <v>4250</v>
      </c>
      <c r="BJ42" s="388"/>
      <c r="BK42" s="388"/>
      <c r="BL42" s="313"/>
      <c r="BM42" s="410">
        <v>500000000</v>
      </c>
      <c r="BN42" s="410">
        <v>10300</v>
      </c>
      <c r="BO42" s="410">
        <v>1000000000</v>
      </c>
      <c r="BP42" s="410">
        <v>11500</v>
      </c>
      <c r="BQ42" s="313"/>
      <c r="BR42" s="313"/>
      <c r="BS42" s="313"/>
      <c r="BT42" s="313"/>
      <c r="BU42" s="313"/>
      <c r="BV42" s="313"/>
    </row>
    <row r="43" spans="1:74" s="315" customFormat="1" ht="15" customHeight="1" x14ac:dyDescent="0.25">
      <c r="A43" s="307"/>
      <c r="B43" s="423"/>
      <c r="C43" s="318" t="s">
        <v>366</v>
      </c>
      <c r="D43" s="366">
        <v>10000</v>
      </c>
      <c r="E43" s="367"/>
      <c r="F43" s="424"/>
      <c r="G43" s="317"/>
      <c r="H43" s="318" t="s">
        <v>366</v>
      </c>
      <c r="I43" s="366">
        <v>10000</v>
      </c>
      <c r="J43" s="321"/>
      <c r="K43" s="321"/>
      <c r="L43" s="321"/>
      <c r="M43" s="322"/>
      <c r="N43" s="317"/>
      <c r="O43" s="318" t="s">
        <v>366</v>
      </c>
      <c r="P43" s="366">
        <v>10000</v>
      </c>
      <c r="Q43" s="426"/>
      <c r="R43" s="320"/>
      <c r="S43" s="318" t="s">
        <v>367</v>
      </c>
      <c r="T43" s="366">
        <v>10000</v>
      </c>
      <c r="U43" s="424"/>
      <c r="V43" s="340"/>
      <c r="W43" s="313"/>
      <c r="X43" s="313"/>
      <c r="Y43" s="313"/>
      <c r="Z43" s="407">
        <v>150000000</v>
      </c>
      <c r="AA43" s="407">
        <v>24300</v>
      </c>
      <c r="AB43" s="407">
        <v>250000000</v>
      </c>
      <c r="AC43" s="407">
        <v>27300</v>
      </c>
      <c r="AD43" s="313"/>
      <c r="AE43" s="313"/>
      <c r="AF43" s="407">
        <v>150000000</v>
      </c>
      <c r="AG43" s="407">
        <v>35200</v>
      </c>
      <c r="AH43" s="407">
        <v>250000000</v>
      </c>
      <c r="AI43" s="407">
        <v>38200</v>
      </c>
      <c r="AJ43" s="313"/>
      <c r="AK43" s="313"/>
      <c r="AL43" s="407">
        <v>150000000</v>
      </c>
      <c r="AM43" s="407">
        <v>39750</v>
      </c>
      <c r="AN43" s="407">
        <v>250000000</v>
      </c>
      <c r="AO43" s="407">
        <v>42700</v>
      </c>
      <c r="AP43" s="404"/>
      <c r="AQ43" s="399"/>
      <c r="AR43" s="407">
        <v>150000000</v>
      </c>
      <c r="AS43" s="407">
        <v>65000</v>
      </c>
      <c r="AT43" s="407">
        <v>250000000</v>
      </c>
      <c r="AU43" s="407">
        <v>71000</v>
      </c>
      <c r="AV43" s="404"/>
      <c r="AW43" s="404"/>
      <c r="AX43" s="404"/>
      <c r="AY43" s="408">
        <v>501</v>
      </c>
      <c r="AZ43" s="408">
        <v>23594</v>
      </c>
      <c r="BA43" s="408">
        <v>1001</v>
      </c>
      <c r="BB43" s="408">
        <v>27594</v>
      </c>
      <c r="BC43" s="435"/>
      <c r="BD43" s="435"/>
      <c r="BE43" s="404"/>
      <c r="BF43" s="407">
        <v>150000000</v>
      </c>
      <c r="BG43" s="407">
        <v>4250</v>
      </c>
      <c r="BH43" s="407">
        <v>250000000</v>
      </c>
      <c r="BI43" s="407">
        <v>4650</v>
      </c>
      <c r="BJ43" s="436"/>
      <c r="BK43" s="436"/>
      <c r="BL43" s="313"/>
      <c r="BM43" s="410">
        <v>1000000000</v>
      </c>
      <c r="BN43" s="410">
        <v>11500</v>
      </c>
      <c r="BO43" s="410">
        <v>5000000000</v>
      </c>
      <c r="BP43" s="410">
        <v>15000</v>
      </c>
      <c r="BQ43" s="313"/>
      <c r="BR43" s="313"/>
      <c r="BS43" s="313"/>
      <c r="BT43" s="313"/>
      <c r="BU43" s="313"/>
      <c r="BV43" s="313"/>
    </row>
    <row r="44" spans="1:74" s="315" customFormat="1" ht="15" customHeight="1" x14ac:dyDescent="0.25">
      <c r="A44" s="307"/>
      <c r="B44" s="423"/>
      <c r="C44" s="321"/>
      <c r="D44" s="321"/>
      <c r="E44" s="320"/>
      <c r="F44" s="424"/>
      <c r="G44" s="317"/>
      <c r="H44" s="321"/>
      <c r="I44" s="321"/>
      <c r="J44" s="321"/>
      <c r="K44" s="321"/>
      <c r="L44" s="321"/>
      <c r="M44" s="322"/>
      <c r="N44" s="317"/>
      <c r="O44" s="321"/>
      <c r="P44" s="321"/>
      <c r="Q44" s="424"/>
      <c r="R44" s="320"/>
      <c r="S44" s="321"/>
      <c r="T44" s="321"/>
      <c r="U44" s="424"/>
      <c r="V44" s="340"/>
      <c r="W44" s="313"/>
      <c r="X44" s="313"/>
      <c r="Y44" s="313"/>
      <c r="Z44" s="407">
        <v>250000000</v>
      </c>
      <c r="AA44" s="407">
        <v>27300</v>
      </c>
      <c r="AB44" s="388"/>
      <c r="AC44" s="388"/>
      <c r="AD44" s="313"/>
      <c r="AE44" s="313"/>
      <c r="AF44" s="407">
        <v>250000000</v>
      </c>
      <c r="AG44" s="407">
        <v>38200</v>
      </c>
      <c r="AH44" s="388"/>
      <c r="AI44" s="388"/>
      <c r="AJ44" s="313"/>
      <c r="AK44" s="313"/>
      <c r="AL44" s="407">
        <v>250000000</v>
      </c>
      <c r="AM44" s="407">
        <v>42700</v>
      </c>
      <c r="AN44" s="388"/>
      <c r="AO44" s="388"/>
      <c r="AP44" s="404"/>
      <c r="AQ44" s="399"/>
      <c r="AR44" s="407">
        <v>250000000</v>
      </c>
      <c r="AS44" s="407">
        <v>71000</v>
      </c>
      <c r="AT44" s="388"/>
      <c r="AU44" s="388"/>
      <c r="AV44" s="404"/>
      <c r="AW44" s="404"/>
      <c r="AX44" s="404"/>
      <c r="AY44" s="408">
        <v>1001</v>
      </c>
      <c r="AZ44" s="408">
        <v>27594</v>
      </c>
      <c r="BA44" s="408">
        <v>1501</v>
      </c>
      <c r="BB44" s="408">
        <v>31094</v>
      </c>
      <c r="BC44" s="435"/>
      <c r="BD44" s="435"/>
      <c r="BE44" s="404"/>
      <c r="BF44" s="407">
        <v>250000000</v>
      </c>
      <c r="BG44" s="407">
        <v>4650</v>
      </c>
      <c r="BH44" s="407">
        <v>350000000</v>
      </c>
      <c r="BI44" s="407">
        <v>5100</v>
      </c>
      <c r="BJ44" s="436"/>
      <c r="BK44" s="436"/>
      <c r="BL44" s="313"/>
      <c r="BM44" s="410">
        <v>5000000000</v>
      </c>
      <c r="BN44" s="410">
        <v>15000</v>
      </c>
      <c r="BO44" s="410">
        <v>10000000000</v>
      </c>
      <c r="BP44" s="410">
        <v>16800</v>
      </c>
      <c r="BQ44" s="313"/>
      <c r="BR44" s="313"/>
      <c r="BS44" s="313"/>
      <c r="BT44" s="313"/>
      <c r="BU44" s="313"/>
      <c r="BV44" s="313"/>
    </row>
    <row r="45" spans="1:74" s="315" customFormat="1" ht="30" customHeight="1" x14ac:dyDescent="0.25">
      <c r="A45" s="307"/>
      <c r="B45" s="423"/>
      <c r="C45" s="394" t="s">
        <v>368</v>
      </c>
      <c r="D45" s="788">
        <f ca="1">IF(OR(D41="",D43=""),"",D38*'Cyber ILFs'!K5*('Cyber ILFs'!W5/'Cyber ILFs'!Z5))</f>
        <v>914</v>
      </c>
      <c r="E45" s="367"/>
      <c r="F45" s="424"/>
      <c r="G45" s="317"/>
      <c r="H45" s="394" t="s">
        <v>368</v>
      </c>
      <c r="I45" s="379">
        <f ca="1">IF(OR(I41="",I43=""),"",I38*'MPL and Law ILFs'!AG31)</f>
        <v>3502.59</v>
      </c>
      <c r="J45" s="321"/>
      <c r="K45" s="321"/>
      <c r="L45" s="321"/>
      <c r="M45" s="322"/>
      <c r="N45" s="317"/>
      <c r="O45" s="394" t="s">
        <v>368</v>
      </c>
      <c r="P45" s="379">
        <f ca="1">IF(OR(P41="",P43=""),"",P38*'MPL and Law ILFs'!AG6)</f>
        <v>5480</v>
      </c>
      <c r="Q45" s="426"/>
      <c r="R45" s="320"/>
      <c r="S45" s="394" t="s">
        <v>368</v>
      </c>
      <c r="T45" s="379">
        <f ca="1">IF(OR(T41="",T43=""),"",T38*'K&amp;R ILFs'!X6)</f>
        <v>985.40839999999992</v>
      </c>
      <c r="U45" s="424"/>
      <c r="V45" s="340"/>
      <c r="W45" s="313"/>
      <c r="X45" s="313"/>
      <c r="Y45" s="313"/>
      <c r="Z45" s="313"/>
      <c r="AA45" s="422">
        <f>(((AA44-AA43)/(Z44-Z43))*(AD34-Z44))+AA44</f>
        <v>19830</v>
      </c>
      <c r="AB45" s="314"/>
      <c r="AC45" s="314"/>
      <c r="AD45" s="313"/>
      <c r="AE45" s="313"/>
      <c r="AF45" s="313"/>
      <c r="AG45" s="422">
        <f>(((AG44-AG43)/(AF44-AF43))*(AJ34-AF44))+AG44</f>
        <v>30730</v>
      </c>
      <c r="AH45" s="314"/>
      <c r="AI45" s="314"/>
      <c r="AJ45" s="313"/>
      <c r="AK45" s="313"/>
      <c r="AL45" s="313"/>
      <c r="AM45" s="404">
        <f>(((AM44-AM43)/(AL44-AL43))*(AP34-AL44))+AM44</f>
        <v>35354.5</v>
      </c>
      <c r="AN45" s="404"/>
      <c r="AO45" s="404"/>
      <c r="AP45" s="404"/>
      <c r="AQ45" s="399"/>
      <c r="AR45" s="313"/>
      <c r="AS45" s="422">
        <f>(((AS44-AS43)/(AR44-AR43))*(AV34-AR44))+AS44</f>
        <v>56060</v>
      </c>
      <c r="AT45" s="400"/>
      <c r="AU45" s="404"/>
      <c r="AV45" s="404"/>
      <c r="AW45" s="404"/>
      <c r="AX45" s="404"/>
      <c r="AY45" s="408">
        <v>1501</v>
      </c>
      <c r="AZ45" s="408">
        <v>31094</v>
      </c>
      <c r="BA45" s="437"/>
      <c r="BB45" s="438"/>
      <c r="BC45" s="435"/>
      <c r="BD45" s="435"/>
      <c r="BE45" s="404"/>
      <c r="BF45" s="407">
        <v>350000000</v>
      </c>
      <c r="BG45" s="407">
        <v>5100</v>
      </c>
      <c r="BH45" s="407">
        <v>500000000</v>
      </c>
      <c r="BI45" s="407">
        <v>5600</v>
      </c>
      <c r="BJ45" s="436"/>
      <c r="BK45" s="436"/>
      <c r="BL45" s="313"/>
      <c r="BM45" s="410">
        <v>10000000000</v>
      </c>
      <c r="BN45" s="410">
        <v>16800</v>
      </c>
      <c r="BO45" s="410">
        <v>25000000000</v>
      </c>
      <c r="BP45" s="410">
        <v>19500</v>
      </c>
      <c r="BQ45" s="313"/>
      <c r="BR45" s="313"/>
      <c r="BS45" s="313"/>
      <c r="BT45" s="313"/>
      <c r="BU45" s="313"/>
      <c r="BV45" s="313"/>
    </row>
    <row r="46" spans="1:74" s="315" customFormat="1" ht="17.25" customHeight="1" x14ac:dyDescent="0.25">
      <c r="A46" s="307"/>
      <c r="B46" s="423"/>
      <c r="C46" s="1128" t="s">
        <v>5500</v>
      </c>
      <c r="D46" s="1129"/>
      <c r="E46" s="367"/>
      <c r="F46" s="424"/>
      <c r="G46" s="317"/>
      <c r="H46" s="944"/>
      <c r="I46" s="396"/>
      <c r="J46" s="321"/>
      <c r="K46" s="321"/>
      <c r="L46" s="321"/>
      <c r="M46" s="322"/>
      <c r="N46" s="317"/>
      <c r="O46" s="944"/>
      <c r="P46" s="396"/>
      <c r="Q46" s="426"/>
      <c r="R46" s="320"/>
      <c r="S46" s="944"/>
      <c r="T46" s="428"/>
      <c r="U46" s="424"/>
      <c r="V46" s="340"/>
      <c r="W46" s="313"/>
      <c r="X46" s="313"/>
      <c r="Y46" s="313"/>
      <c r="Z46" s="313"/>
      <c r="AA46" s="313"/>
      <c r="AB46" s="314"/>
      <c r="AC46" s="314"/>
      <c r="AD46" s="313"/>
      <c r="AE46" s="313"/>
      <c r="AF46" s="313"/>
      <c r="AG46" s="313"/>
      <c r="AH46" s="314"/>
      <c r="AI46" s="314"/>
      <c r="AJ46" s="313"/>
      <c r="AK46" s="313"/>
      <c r="AL46" s="313"/>
      <c r="AM46" s="404"/>
      <c r="AN46" s="404"/>
      <c r="AO46" s="404"/>
      <c r="AP46" s="404"/>
      <c r="AQ46" s="399"/>
      <c r="AR46" s="313"/>
      <c r="AS46" s="399"/>
      <c r="AT46" s="400"/>
      <c r="AU46" s="404"/>
      <c r="AV46" s="404"/>
      <c r="AW46" s="404"/>
      <c r="AX46" s="404"/>
      <c r="AY46" s="399"/>
      <c r="AZ46" s="399"/>
      <c r="BA46" s="399"/>
      <c r="BB46" s="400"/>
      <c r="BC46" s="404"/>
      <c r="BD46" s="404"/>
      <c r="BE46" s="404"/>
      <c r="BF46" s="407">
        <v>500000000</v>
      </c>
      <c r="BG46" s="407">
        <v>5600</v>
      </c>
      <c r="BH46" s="407">
        <v>750000000</v>
      </c>
      <c r="BI46" s="407">
        <v>6200</v>
      </c>
      <c r="BJ46" s="388"/>
      <c r="BK46" s="388"/>
      <c r="BL46" s="313"/>
      <c r="BM46" s="410">
        <v>25000000000</v>
      </c>
      <c r="BN46" s="410">
        <v>19500</v>
      </c>
      <c r="BO46" s="410">
        <v>50000000000</v>
      </c>
      <c r="BP46" s="410">
        <v>21900</v>
      </c>
      <c r="BQ46" s="313"/>
      <c r="BR46" s="313"/>
      <c r="BS46" s="313"/>
      <c r="BT46" s="313"/>
      <c r="BU46" s="313"/>
      <c r="BV46" s="313"/>
    </row>
    <row r="47" spans="1:74" s="315" customFormat="1" ht="31.5" customHeight="1" x14ac:dyDescent="0.25">
      <c r="A47" s="307"/>
      <c r="B47" s="423"/>
      <c r="C47" s="944"/>
      <c r="D47" s="428"/>
      <c r="E47" s="367"/>
      <c r="F47" s="424"/>
      <c r="G47" s="317"/>
      <c r="H47" s="394"/>
      <c r="I47" s="396"/>
      <c r="J47" s="321"/>
      <c r="K47" s="321"/>
      <c r="L47" s="321"/>
      <c r="M47" s="322"/>
      <c r="N47" s="317"/>
      <c r="O47" s="790" t="s">
        <v>5503</v>
      </c>
      <c r="P47" s="428"/>
      <c r="Q47" s="426"/>
      <c r="R47" s="320"/>
      <c r="S47" s="427" t="s">
        <v>148</v>
      </c>
      <c r="T47" s="366">
        <v>1</v>
      </c>
      <c r="U47" s="424"/>
      <c r="V47" s="340"/>
      <c r="W47" s="313"/>
      <c r="X47" s="313"/>
      <c r="Y47" s="313"/>
      <c r="Z47" s="313"/>
      <c r="AA47" s="313"/>
      <c r="AB47" s="314"/>
      <c r="AC47" s="314"/>
      <c r="AD47" s="313"/>
      <c r="AE47" s="313"/>
      <c r="AF47" s="313"/>
      <c r="AG47" s="313"/>
      <c r="AH47" s="314"/>
      <c r="AI47" s="314"/>
      <c r="AJ47" s="313"/>
      <c r="AK47" s="313"/>
      <c r="AL47" s="313"/>
      <c r="AM47" s="404"/>
      <c r="AN47" s="404"/>
      <c r="AO47" s="404"/>
      <c r="AP47" s="404"/>
      <c r="AQ47" s="399"/>
      <c r="AR47" s="313"/>
      <c r="AS47" s="399"/>
      <c r="AT47" s="400"/>
      <c r="AU47" s="404"/>
      <c r="AV47" s="404"/>
      <c r="AW47" s="404"/>
      <c r="AX47" s="404"/>
      <c r="AY47" s="399"/>
      <c r="AZ47" s="399"/>
      <c r="BA47" s="399"/>
      <c r="BB47" s="400"/>
      <c r="BC47" s="404"/>
      <c r="BD47" s="404"/>
      <c r="BE47" s="404"/>
      <c r="BF47" s="407">
        <v>750000000</v>
      </c>
      <c r="BG47" s="407">
        <v>6200</v>
      </c>
      <c r="BH47" s="407">
        <v>1000000000</v>
      </c>
      <c r="BI47" s="407">
        <v>7000</v>
      </c>
      <c r="BJ47" s="388"/>
      <c r="BK47" s="388"/>
      <c r="BL47" s="313"/>
      <c r="BM47" s="410">
        <v>50000000000</v>
      </c>
      <c r="BN47" s="410">
        <v>21900</v>
      </c>
      <c r="BO47" s="410">
        <v>100000000000</v>
      </c>
      <c r="BP47" s="410">
        <v>24500</v>
      </c>
      <c r="BQ47" s="313"/>
      <c r="BR47" s="313"/>
      <c r="BS47" s="313"/>
      <c r="BT47" s="313"/>
      <c r="BU47" s="313"/>
      <c r="BV47" s="313"/>
    </row>
    <row r="48" spans="1:74" s="315" customFormat="1" ht="28.5" customHeight="1" thickBot="1" x14ac:dyDescent="0.3">
      <c r="A48" s="307"/>
      <c r="B48" s="430"/>
      <c r="C48" s="431"/>
      <c r="D48" s="432"/>
      <c r="E48" s="403"/>
      <c r="F48" s="433"/>
      <c r="G48" s="324"/>
      <c r="H48" s="401"/>
      <c r="I48" s="402"/>
      <c r="J48" s="325"/>
      <c r="K48" s="325"/>
      <c r="L48" s="325"/>
      <c r="M48" s="327"/>
      <c r="N48" s="324"/>
      <c r="O48" s="401"/>
      <c r="P48" s="402"/>
      <c r="Q48" s="434"/>
      <c r="R48" s="430"/>
      <c r="S48" s="431"/>
      <c r="T48" s="432"/>
      <c r="U48" s="433"/>
      <c r="V48" s="340"/>
      <c r="W48" s="313"/>
      <c r="X48" s="313"/>
      <c r="Y48" s="313"/>
      <c r="Z48" s="313"/>
      <c r="AA48" s="313"/>
      <c r="AB48" s="314"/>
      <c r="AC48" s="314"/>
      <c r="AD48" s="313"/>
      <c r="AE48" s="313"/>
      <c r="AF48" s="313"/>
      <c r="AG48" s="313"/>
      <c r="AH48" s="314"/>
      <c r="AI48" s="314"/>
      <c r="AJ48" s="313"/>
      <c r="AK48" s="313"/>
      <c r="AL48" s="313"/>
      <c r="AM48" s="404"/>
      <c r="AN48" s="404"/>
      <c r="AO48" s="404"/>
      <c r="AP48" s="404"/>
      <c r="AQ48" s="399"/>
      <c r="AR48" s="313"/>
      <c r="AS48" s="399"/>
      <c r="AT48" s="400"/>
      <c r="AU48" s="404"/>
      <c r="AV48" s="404"/>
      <c r="AW48" s="404"/>
      <c r="AX48" s="404"/>
      <c r="AY48" s="399"/>
      <c r="AZ48" s="399"/>
      <c r="BA48" s="399"/>
      <c r="BB48" s="400"/>
      <c r="BC48" s="404"/>
      <c r="BD48" s="404"/>
      <c r="BE48" s="404"/>
      <c r="BF48" s="407">
        <v>1000000000</v>
      </c>
      <c r="BG48" s="407">
        <v>7000</v>
      </c>
      <c r="BH48" s="407">
        <v>5000000000</v>
      </c>
      <c r="BI48" s="407">
        <v>9100</v>
      </c>
      <c r="BJ48" s="388"/>
      <c r="BK48" s="388"/>
      <c r="BL48" s="313"/>
      <c r="BM48" s="410">
        <v>100000000000</v>
      </c>
      <c r="BN48" s="410">
        <v>24500</v>
      </c>
      <c r="BO48" s="410">
        <v>500000000000</v>
      </c>
      <c r="BP48" s="410">
        <v>31800</v>
      </c>
      <c r="BQ48" s="313"/>
      <c r="BR48" s="313"/>
      <c r="BS48" s="313"/>
      <c r="BT48" s="313"/>
      <c r="BU48" s="313"/>
      <c r="BV48" s="313"/>
    </row>
    <row r="49" spans="1:68" ht="15" hidden="1" customHeight="1" x14ac:dyDescent="0.25">
      <c r="B49" s="308"/>
      <c r="C49" s="416"/>
      <c r="D49" s="417"/>
      <c r="E49" s="414"/>
      <c r="F49" s="309"/>
      <c r="G49" s="309"/>
      <c r="H49" s="416"/>
      <c r="I49" s="417"/>
      <c r="J49" s="309"/>
      <c r="K49" s="309"/>
      <c r="L49" s="309"/>
      <c r="M49" s="309"/>
      <c r="N49" s="309"/>
      <c r="O49" s="416"/>
      <c r="P49" s="417"/>
      <c r="Q49" s="309"/>
      <c r="R49" s="321"/>
      <c r="S49" s="394"/>
      <c r="T49" s="396"/>
      <c r="U49" s="322"/>
      <c r="V49" s="340"/>
      <c r="AM49" s="404"/>
      <c r="AN49" s="404"/>
      <c r="AO49" s="404"/>
      <c r="AP49" s="404"/>
      <c r="AQ49" s="399"/>
      <c r="AS49" s="399"/>
      <c r="AT49" s="400"/>
      <c r="AU49" s="404"/>
      <c r="AV49" s="404"/>
      <c r="AW49" s="404"/>
      <c r="AX49" s="404"/>
      <c r="AY49" s="399"/>
      <c r="AZ49" s="399"/>
      <c r="BA49" s="399"/>
      <c r="BB49" s="400"/>
      <c r="BC49" s="404"/>
      <c r="BD49" s="404"/>
      <c r="BE49" s="404"/>
      <c r="BF49" s="407">
        <v>5000000000</v>
      </c>
      <c r="BG49" s="407">
        <v>9100</v>
      </c>
      <c r="BH49" s="407">
        <v>10000000000</v>
      </c>
      <c r="BI49" s="407">
        <v>10200</v>
      </c>
      <c r="BJ49" s="388"/>
      <c r="BK49" s="388"/>
      <c r="BM49" s="410">
        <v>500000000000</v>
      </c>
      <c r="BN49" s="410">
        <v>31800</v>
      </c>
      <c r="BO49" s="410">
        <v>1000000000000</v>
      </c>
      <c r="BP49" s="410">
        <v>35700</v>
      </c>
    </row>
    <row r="50" spans="1:68" ht="15" hidden="1" customHeight="1" x14ac:dyDescent="0.25">
      <c r="B50" s="317"/>
      <c r="C50" s="394"/>
      <c r="D50" s="348"/>
      <c r="E50" s="439"/>
      <c r="F50" s="349"/>
      <c r="G50" s="349"/>
      <c r="H50" s="349"/>
      <c r="I50" s="361" t="str">
        <f>IF('Account Info'!$AA$4="Range State","Low","")</f>
        <v>Low</v>
      </c>
      <c r="J50" s="361" t="str">
        <f>IF('Account Info'!$AA$4="Range State","Benchmark","Selection")</f>
        <v>Benchmark</v>
      </c>
      <c r="K50" s="361" t="str">
        <f>IF('Account Info'!$AA$4="Range State","High","")</f>
        <v>High</v>
      </c>
      <c r="L50" s="361" t="str">
        <f>IF('Account Info'!$AA$4="Range State","Selection","")</f>
        <v>Selection</v>
      </c>
      <c r="M50" s="440" t="s">
        <v>377</v>
      </c>
      <c r="N50" s="440"/>
      <c r="O50" s="441"/>
      <c r="P50" s="348"/>
      <c r="Q50" s="348"/>
      <c r="R50" s="348"/>
      <c r="S50" s="348"/>
      <c r="T50" s="348"/>
      <c r="U50" s="322"/>
      <c r="V50" s="340"/>
      <c r="AM50" s="404"/>
      <c r="AN50" s="404"/>
      <c r="AO50" s="404"/>
      <c r="AP50" s="404"/>
      <c r="AQ50" s="399"/>
      <c r="AS50" s="399"/>
      <c r="AT50" s="400"/>
      <c r="AU50" s="404"/>
      <c r="AV50" s="404"/>
      <c r="AW50" s="404"/>
      <c r="AX50" s="404"/>
      <c r="AY50" s="399"/>
      <c r="AZ50" s="399"/>
      <c r="BA50" s="399"/>
      <c r="BB50" s="400"/>
      <c r="BC50" s="404"/>
      <c r="BD50" s="404"/>
      <c r="BE50" s="404"/>
      <c r="BF50" s="407">
        <v>10000000000</v>
      </c>
      <c r="BG50" s="407">
        <v>10200</v>
      </c>
      <c r="BH50" s="407">
        <v>25000000000</v>
      </c>
      <c r="BI50" s="407">
        <v>11900</v>
      </c>
      <c r="BJ50" s="388"/>
      <c r="BK50" s="388"/>
      <c r="BM50" s="410">
        <v>1000000000000</v>
      </c>
      <c r="BN50" s="410">
        <v>35700</v>
      </c>
      <c r="BO50" s="362"/>
      <c r="BP50" s="362"/>
    </row>
    <row r="51" spans="1:68" hidden="1" x14ac:dyDescent="0.25">
      <c r="B51" s="317"/>
      <c r="C51" s="442"/>
      <c r="D51" s="1122" t="s">
        <v>378</v>
      </c>
      <c r="E51" s="1123"/>
      <c r="F51" s="1123"/>
      <c r="G51" s="1123"/>
      <c r="H51" s="1124"/>
      <c r="I51" s="443">
        <v>0.8</v>
      </c>
      <c r="J51" s="443">
        <f>AVERAGE(I51,K51)</f>
        <v>0.9</v>
      </c>
      <c r="K51" s="443">
        <v>1</v>
      </c>
      <c r="L51" s="444"/>
      <c r="M51" s="1125"/>
      <c r="N51" s="1126"/>
      <c r="O51" s="1126"/>
      <c r="P51" s="1126"/>
      <c r="Q51" s="1126"/>
      <c r="R51" s="1126"/>
      <c r="S51" s="1126"/>
      <c r="T51" s="1127"/>
      <c r="U51" s="445"/>
      <c r="V51" s="340">
        <f>IF('Account Info'!$AA$4="Flat Rate State",IF(J51="",1,J51),IF(L51="",1,L51))</f>
        <v>1</v>
      </c>
      <c r="BF51" s="407">
        <v>25000000000</v>
      </c>
      <c r="BG51" s="407">
        <v>11900</v>
      </c>
      <c r="BH51" s="407">
        <v>50000000000</v>
      </c>
      <c r="BI51" s="407">
        <v>13300</v>
      </c>
      <c r="BJ51" s="388"/>
      <c r="BK51" s="388"/>
    </row>
    <row r="52" spans="1:68" ht="15.75" hidden="1" thickBot="1" x14ac:dyDescent="0.3">
      <c r="B52" s="324"/>
      <c r="C52" s="325"/>
      <c r="D52" s="446"/>
      <c r="E52" s="446"/>
      <c r="F52" s="446"/>
      <c r="G52" s="446"/>
      <c r="H52" s="446"/>
      <c r="I52" s="447"/>
      <c r="J52" s="447"/>
      <c r="K52" s="447"/>
      <c r="L52" s="448"/>
      <c r="M52" s="449"/>
      <c r="N52" s="450"/>
      <c r="O52" s="450"/>
      <c r="P52" s="450"/>
      <c r="Q52" s="450"/>
      <c r="R52" s="450"/>
      <c r="S52" s="450"/>
      <c r="T52" s="450"/>
      <c r="U52" s="327"/>
      <c r="V52" s="340"/>
      <c r="BF52" s="407">
        <v>50000000000</v>
      </c>
      <c r="BG52" s="407">
        <v>13300</v>
      </c>
      <c r="BH52" s="407">
        <v>100000000000</v>
      </c>
      <c r="BI52" s="407">
        <v>14900</v>
      </c>
      <c r="BJ52" s="388"/>
      <c r="BK52" s="388"/>
    </row>
    <row r="53" spans="1:68" ht="18.75" x14ac:dyDescent="0.3">
      <c r="A53" s="388">
        <f>IF('Account Info'!$T$4=TRUE,1,0)</f>
        <v>1</v>
      </c>
      <c r="B53" s="451" t="s">
        <v>379</v>
      </c>
      <c r="C53" s="321"/>
      <c r="D53" s="321"/>
      <c r="E53" s="321"/>
      <c r="F53" s="320"/>
      <c r="G53" s="320"/>
      <c r="H53" s="452"/>
      <c r="I53" s="320"/>
      <c r="J53" s="320"/>
      <c r="K53" s="320"/>
      <c r="L53" s="320"/>
      <c r="M53" s="320"/>
      <c r="N53" s="320"/>
      <c r="O53" s="452"/>
      <c r="P53" s="321"/>
      <c r="Q53" s="321"/>
      <c r="R53" s="321"/>
      <c r="S53" s="321"/>
      <c r="T53" s="321"/>
      <c r="U53" s="322"/>
      <c r="V53" s="340">
        <v>1</v>
      </c>
      <c r="BF53" s="407">
        <v>100000000000</v>
      </c>
      <c r="BG53" s="407">
        <v>14900</v>
      </c>
      <c r="BH53" s="407">
        <v>500000000000</v>
      </c>
      <c r="BI53" s="407">
        <v>19300</v>
      </c>
      <c r="BJ53" s="388"/>
      <c r="BK53" s="388"/>
    </row>
    <row r="54" spans="1:68" ht="15" customHeight="1" x14ac:dyDescent="0.25">
      <c r="A54" s="388">
        <f>IF('Account Info'!$T$4=TRUE,1,0)</f>
        <v>1</v>
      </c>
      <c r="B54" s="1130" t="s">
        <v>326</v>
      </c>
      <c r="C54" s="1131"/>
      <c r="D54" s="440" t="s">
        <v>380</v>
      </c>
      <c r="E54" s="349"/>
      <c r="F54" s="439"/>
      <c r="G54" s="439"/>
      <c r="H54" s="453"/>
      <c r="I54" s="361" t="str">
        <f>IF('Account Info'!$AA$4="Range State","Low","")</f>
        <v>Low</v>
      </c>
      <c r="J54" s="361" t="str">
        <f>IF('Account Info'!$AA$4="Range State","Benchmark","Selection")</f>
        <v>Benchmark</v>
      </c>
      <c r="K54" s="361" t="str">
        <f>IF('Account Info'!$AA$4="Range State","High","")</f>
        <v>High</v>
      </c>
      <c r="L54" s="361" t="str">
        <f>IF('Account Info'!$AA$4="Range State","Selection","")</f>
        <v>Selection</v>
      </c>
      <c r="M54" s="440" t="s">
        <v>377</v>
      </c>
      <c r="N54" s="440"/>
      <c r="O54" s="441"/>
      <c r="P54" s="348"/>
      <c r="Q54" s="348"/>
      <c r="R54" s="348"/>
      <c r="S54" s="348"/>
      <c r="T54" s="348"/>
      <c r="U54" s="322"/>
      <c r="V54" s="340">
        <v>1</v>
      </c>
      <c r="BF54" s="407">
        <v>500000000000</v>
      </c>
      <c r="BG54" s="407">
        <v>19300</v>
      </c>
      <c r="BH54" s="407">
        <v>1000000000000</v>
      </c>
      <c r="BI54" s="407">
        <v>21600</v>
      </c>
      <c r="BJ54" s="388"/>
      <c r="BK54" s="388"/>
    </row>
    <row r="55" spans="1:68" ht="15" customHeight="1" x14ac:dyDescent="0.25">
      <c r="A55" s="388">
        <f>IF('Account Info'!$T$4=TRUE,1,0)</f>
        <v>1</v>
      </c>
      <c r="B55" s="1132"/>
      <c r="C55" s="1131"/>
      <c r="D55" s="1054" t="s">
        <v>418</v>
      </c>
      <c r="E55" s="1055"/>
      <c r="F55" s="1055"/>
      <c r="G55" s="1055"/>
      <c r="H55" s="1056"/>
      <c r="I55" s="443">
        <f>IF(D55="","",VLOOKUP(D55,X135:AA138,2,FALSE))</f>
        <v>1</v>
      </c>
      <c r="J55" s="443">
        <f>IF(D55="","",VLOOKUP(D55,X135:AA138,3,FALSE))</f>
        <v>1.1299999999999999</v>
      </c>
      <c r="K55" s="443">
        <f>IF(D55="","",VLOOKUP(D55,X135:AA138,4,FALSE))</f>
        <v>1.25</v>
      </c>
      <c r="L55" s="454">
        <f>J55</f>
        <v>1.1299999999999999</v>
      </c>
      <c r="M55" s="1057"/>
      <c r="N55" s="1058"/>
      <c r="O55" s="1058"/>
      <c r="P55" s="1058"/>
      <c r="Q55" s="1058"/>
      <c r="R55" s="1058"/>
      <c r="S55" s="1058"/>
      <c r="T55" s="1059"/>
      <c r="U55" s="322"/>
      <c r="V55" s="340">
        <f>IF('Account Info'!$AA$4="Flat Rate State",IF(J55="",1,J55),IF(L55="",1,L55))</f>
        <v>1.1299999999999999</v>
      </c>
      <c r="BF55" s="407">
        <v>1000000000000</v>
      </c>
      <c r="BG55" s="407">
        <v>21600</v>
      </c>
      <c r="BH55" s="455"/>
      <c r="BI55" s="455"/>
      <c r="BJ55" s="388"/>
      <c r="BK55" s="388"/>
    </row>
    <row r="56" spans="1:68" ht="15" customHeight="1" x14ac:dyDescent="0.25">
      <c r="A56" s="388">
        <f>IF('Account Info'!$T$4=TRUE,1,0)</f>
        <v>1</v>
      </c>
      <c r="B56" s="1132"/>
      <c r="C56" s="1131"/>
      <c r="D56" s="456"/>
      <c r="E56" s="456"/>
      <c r="F56" s="457"/>
      <c r="G56" s="457"/>
      <c r="H56" s="458"/>
      <c r="I56" s="459"/>
      <c r="J56" s="459"/>
      <c r="K56" s="460"/>
      <c r="L56" s="460" t="str">
        <f>IF(AND('Account Info'!$AA$4="Range State",L55&lt;&gt;"",OR(L55&lt;I55,L55&gt;K55)),"Factor is out of range","")</f>
        <v/>
      </c>
      <c r="M56" s="1051"/>
      <c r="N56" s="1052"/>
      <c r="O56" s="1052"/>
      <c r="P56" s="1052"/>
      <c r="Q56" s="1052"/>
      <c r="R56" s="1052"/>
      <c r="S56" s="1052"/>
      <c r="T56" s="1053"/>
      <c r="U56" s="322"/>
      <c r="V56" s="340">
        <v>1</v>
      </c>
      <c r="BF56" s="238"/>
      <c r="BG56" s="238"/>
      <c r="BH56" s="399"/>
      <c r="BI56" s="400"/>
    </row>
    <row r="57" spans="1:68" ht="15" customHeight="1" x14ac:dyDescent="0.25">
      <c r="A57" s="388">
        <f>IF('Account Info'!$T$4=TRUE,1,0)</f>
        <v>1</v>
      </c>
      <c r="B57" s="1132"/>
      <c r="C57" s="1131"/>
      <c r="D57" s="348" t="s">
        <v>381</v>
      </c>
      <c r="E57" s="349"/>
      <c r="F57" s="439"/>
      <c r="G57" s="439"/>
      <c r="H57" s="453"/>
      <c r="I57" s="361" t="str">
        <f>IF('Account Info'!$AA$4="Range State","Low","")</f>
        <v>Low</v>
      </c>
      <c r="J57" s="361" t="str">
        <f>IF('Account Info'!$AA$4="Range State","Benchmark","Selection")</f>
        <v>Benchmark</v>
      </c>
      <c r="K57" s="361" t="str">
        <f>IF('Account Info'!$AA$4="Range State","High","")</f>
        <v>High</v>
      </c>
      <c r="L57" s="361" t="str">
        <f>IF('Account Info'!$AA$4="Range State","Selection","")</f>
        <v>Selection</v>
      </c>
      <c r="M57" s="440" t="s">
        <v>377</v>
      </c>
      <c r="N57" s="440"/>
      <c r="O57" s="441"/>
      <c r="P57" s="348"/>
      <c r="Q57" s="348"/>
      <c r="R57" s="348"/>
      <c r="S57" s="348"/>
      <c r="T57" s="348"/>
      <c r="U57" s="322"/>
      <c r="V57" s="340">
        <v>1</v>
      </c>
    </row>
    <row r="58" spans="1:68" ht="15" customHeight="1" x14ac:dyDescent="0.25">
      <c r="A58" s="388">
        <f>IF('Account Info'!$T$4=TRUE,1,0)</f>
        <v>1</v>
      </c>
      <c r="B58" s="1132"/>
      <c r="C58" s="1131"/>
      <c r="D58" s="1054" t="s">
        <v>432</v>
      </c>
      <c r="E58" s="1055"/>
      <c r="F58" s="1055"/>
      <c r="G58" s="1055"/>
      <c r="H58" s="1056"/>
      <c r="I58" s="443">
        <f>IF(D58="","",VLOOKUP(D58,X140:AA141,2,FALSE))</f>
        <v>0.8</v>
      </c>
      <c r="J58" s="443">
        <f>IF(D58="","",VLOOKUP(D58,X140:AA141,3,FALSE))</f>
        <v>0.9</v>
      </c>
      <c r="K58" s="443">
        <f>IF(D58="","",VLOOKUP(D58,X140:AA141,4,FALSE))</f>
        <v>1</v>
      </c>
      <c r="L58" s="454">
        <f>J58</f>
        <v>0.9</v>
      </c>
      <c r="M58" s="1057"/>
      <c r="N58" s="1058"/>
      <c r="O58" s="1058"/>
      <c r="P58" s="1058"/>
      <c r="Q58" s="1058"/>
      <c r="R58" s="1058"/>
      <c r="S58" s="1058"/>
      <c r="T58" s="1059"/>
      <c r="U58" s="322"/>
      <c r="V58" s="340">
        <f>IF('Account Info'!$AA$4="Flat Rate State",IF(J58="",1,J58),IF(L58="",1,L58))</f>
        <v>0.9</v>
      </c>
    </row>
    <row r="59" spans="1:68" ht="15" customHeight="1" x14ac:dyDescent="0.25">
      <c r="A59" s="388">
        <f>IF('Account Info'!$T$4=TRUE,1,0)</f>
        <v>1</v>
      </c>
      <c r="B59" s="1132"/>
      <c r="C59" s="1131"/>
      <c r="D59" s="456"/>
      <c r="E59" s="456"/>
      <c r="F59" s="457"/>
      <c r="G59" s="457"/>
      <c r="H59" s="458"/>
      <c r="I59" s="459"/>
      <c r="J59" s="459"/>
      <c r="K59" s="460"/>
      <c r="L59" s="460" t="str">
        <f>IF(AND('Account Info'!$AA$4="Range State",L58&lt;&gt;"",OR(L58&lt;I58,L58&gt;K58)),"Factor is out of range","")</f>
        <v/>
      </c>
      <c r="M59" s="1051"/>
      <c r="N59" s="1052"/>
      <c r="O59" s="1052"/>
      <c r="P59" s="1052"/>
      <c r="Q59" s="1052"/>
      <c r="R59" s="1052"/>
      <c r="S59" s="1052"/>
      <c r="T59" s="1053"/>
      <c r="U59" s="322"/>
      <c r="V59" s="340">
        <v>1</v>
      </c>
    </row>
    <row r="60" spans="1:68" ht="15" customHeight="1" x14ac:dyDescent="0.25">
      <c r="A60" s="388">
        <f>IF('Account Info'!$T$4=TRUE,1,0)</f>
        <v>1</v>
      </c>
      <c r="B60" s="1132"/>
      <c r="C60" s="1131"/>
      <c r="D60" s="348" t="s">
        <v>382</v>
      </c>
      <c r="E60" s="349"/>
      <c r="F60" s="439"/>
      <c r="G60" s="439"/>
      <c r="H60" s="453"/>
      <c r="I60" s="361" t="str">
        <f>IF('Account Info'!$AA$4="Range State","Low","")</f>
        <v>Low</v>
      </c>
      <c r="J60" s="361" t="str">
        <f>IF('Account Info'!$AA$4="Range State","Benchmark","Selection")</f>
        <v>Benchmark</v>
      </c>
      <c r="K60" s="361" t="str">
        <f>IF('Account Info'!$AA$4="Range State","High","")</f>
        <v>High</v>
      </c>
      <c r="L60" s="361" t="str">
        <f>IF('Account Info'!$AA$4="Range State","Selection","")</f>
        <v>Selection</v>
      </c>
      <c r="M60" s="440" t="s">
        <v>377</v>
      </c>
      <c r="N60" s="440"/>
      <c r="O60" s="441"/>
      <c r="P60" s="348"/>
      <c r="Q60" s="348"/>
      <c r="R60" s="348"/>
      <c r="S60" s="348"/>
      <c r="T60" s="348"/>
      <c r="U60" s="322"/>
      <c r="V60" s="340">
        <v>1</v>
      </c>
    </row>
    <row r="61" spans="1:68" ht="15" customHeight="1" x14ac:dyDescent="0.25">
      <c r="A61" s="388">
        <f>IF('Account Info'!$T$4=TRUE,1,0)</f>
        <v>1</v>
      </c>
      <c r="B61" s="1132"/>
      <c r="C61" s="1131"/>
      <c r="D61" s="1054" t="s">
        <v>447</v>
      </c>
      <c r="E61" s="1055"/>
      <c r="F61" s="1055"/>
      <c r="G61" s="1055"/>
      <c r="H61" s="1056"/>
      <c r="I61" s="443">
        <f>IF(D61="","",VLOOKUP(D61,X152:AA153,2,FALSE))</f>
        <v>0.8</v>
      </c>
      <c r="J61" s="443">
        <f>IF(D61="","",VLOOKUP(D61,X152:AA153,3,FALSE))</f>
        <v>0.9</v>
      </c>
      <c r="K61" s="443">
        <f>IF(D61="","",VLOOKUP(D61,X152:AA153,4,FALSE))</f>
        <v>1</v>
      </c>
      <c r="L61" s="454">
        <f>J61</f>
        <v>0.9</v>
      </c>
      <c r="M61" s="1057"/>
      <c r="N61" s="1058"/>
      <c r="O61" s="1058"/>
      <c r="P61" s="1058"/>
      <c r="Q61" s="1058"/>
      <c r="R61" s="1058"/>
      <c r="S61" s="1058"/>
      <c r="T61" s="1059"/>
      <c r="U61" s="322"/>
      <c r="V61" s="340">
        <f>IF('Account Info'!$AA$4="Flat Rate State",IF(J61="",1,J61),IF(L61="",1,L61))</f>
        <v>0.9</v>
      </c>
    </row>
    <row r="62" spans="1:68" ht="15" customHeight="1" x14ac:dyDescent="0.25">
      <c r="A62" s="388">
        <f>IF('Account Info'!$T$4=TRUE,1,0)</f>
        <v>1</v>
      </c>
      <c r="B62" s="1132"/>
      <c r="C62" s="1131"/>
      <c r="D62" s="456"/>
      <c r="E62" s="456"/>
      <c r="F62" s="457"/>
      <c r="G62" s="457"/>
      <c r="H62" s="458"/>
      <c r="I62" s="459"/>
      <c r="J62" s="459"/>
      <c r="K62" s="460"/>
      <c r="L62" s="460" t="str">
        <f>IF(AND('Account Info'!$AA$4="Range State",L61&lt;&gt;"",OR(L61&lt;I61,L61&gt;K61)),"Factor is out of range","")</f>
        <v/>
      </c>
      <c r="M62" s="1051"/>
      <c r="N62" s="1052"/>
      <c r="O62" s="1052"/>
      <c r="P62" s="1052"/>
      <c r="Q62" s="1052"/>
      <c r="R62" s="1052"/>
      <c r="S62" s="1052"/>
      <c r="T62" s="1053"/>
      <c r="U62" s="322"/>
      <c r="V62" s="340">
        <v>1</v>
      </c>
    </row>
    <row r="63" spans="1:68" ht="15" customHeight="1" x14ac:dyDescent="0.25">
      <c r="A63" s="388">
        <f>IF('Account Info'!$T$4=TRUE,1,0)</f>
        <v>1</v>
      </c>
      <c r="B63" s="1132"/>
      <c r="C63" s="1131"/>
      <c r="D63" s="348" t="s">
        <v>383</v>
      </c>
      <c r="E63" s="349"/>
      <c r="F63" s="439"/>
      <c r="G63" s="439"/>
      <c r="H63" s="453"/>
      <c r="I63" s="361" t="str">
        <f>IF('Account Info'!$AA$4="Range State","Low","")</f>
        <v>Low</v>
      </c>
      <c r="J63" s="361" t="str">
        <f>IF('Account Info'!$AA$4="Range State","Benchmark","Selection")</f>
        <v>Benchmark</v>
      </c>
      <c r="K63" s="361" t="str">
        <f>IF('Account Info'!$AA$4="Range State","High","")</f>
        <v>High</v>
      </c>
      <c r="L63" s="361" t="str">
        <f>IF('Account Info'!$AA$4="Range State","Selection","")</f>
        <v>Selection</v>
      </c>
      <c r="M63" s="440" t="s">
        <v>377</v>
      </c>
      <c r="N63" s="440"/>
      <c r="O63" s="441"/>
      <c r="P63" s="348"/>
      <c r="Q63" s="348"/>
      <c r="R63" s="348"/>
      <c r="S63" s="348"/>
      <c r="T63" s="348"/>
      <c r="U63" s="322"/>
      <c r="V63" s="340">
        <v>1</v>
      </c>
    </row>
    <row r="64" spans="1:68" ht="15" customHeight="1" x14ac:dyDescent="0.25">
      <c r="A64" s="388">
        <f>IF('Account Info'!$T$4=TRUE,1,0)</f>
        <v>1</v>
      </c>
      <c r="B64" s="1132"/>
      <c r="C64" s="1131"/>
      <c r="D64" s="1054" t="s">
        <v>418</v>
      </c>
      <c r="E64" s="1055"/>
      <c r="F64" s="1055"/>
      <c r="G64" s="1055"/>
      <c r="H64" s="1056"/>
      <c r="I64" s="443">
        <f>IF(D64="","",VLOOKUP(D64,X157:AA160,2,FALSE))</f>
        <v>1</v>
      </c>
      <c r="J64" s="443">
        <f>IF(D64="","",VLOOKUP(D64,X157:AA160,3,FALSE))</f>
        <v>1.1299999999999999</v>
      </c>
      <c r="K64" s="443">
        <f>IF(D64="","",VLOOKUP(D64,X157:AA160,4,FALSE))</f>
        <v>1.25</v>
      </c>
      <c r="L64" s="454">
        <f>J64</f>
        <v>1.1299999999999999</v>
      </c>
      <c r="M64" s="1057"/>
      <c r="N64" s="1058"/>
      <c r="O64" s="1058"/>
      <c r="P64" s="1058"/>
      <c r="Q64" s="1058"/>
      <c r="R64" s="1058"/>
      <c r="S64" s="1058"/>
      <c r="T64" s="1059"/>
      <c r="U64" s="322"/>
      <c r="V64" s="340">
        <f>IF('Account Info'!$AA$4="Flat Rate State",IF(J64="",1,J64),IF(L64="",1,L64))</f>
        <v>1.1299999999999999</v>
      </c>
    </row>
    <row r="65" spans="1:22" ht="15" customHeight="1" x14ac:dyDescent="0.25">
      <c r="A65" s="388">
        <f>IF('Account Info'!$T$4=TRUE,1,0)</f>
        <v>1</v>
      </c>
      <c r="B65" s="1132"/>
      <c r="C65" s="1131"/>
      <c r="D65" s="461"/>
      <c r="E65" s="462"/>
      <c r="F65" s="462"/>
      <c r="G65" s="462"/>
      <c r="H65" s="462"/>
      <c r="I65" s="463"/>
      <c r="J65" s="463"/>
      <c r="K65" s="460"/>
      <c r="L65" s="460" t="str">
        <f>IF(AND('Account Info'!$AA$4="Range State",L64&lt;&gt;"",OR(L64&lt;I64,L64&gt;K64)),"Factor is out of range","")</f>
        <v/>
      </c>
      <c r="M65" s="1051"/>
      <c r="N65" s="1052"/>
      <c r="O65" s="1052"/>
      <c r="P65" s="1052"/>
      <c r="Q65" s="1052"/>
      <c r="R65" s="1052"/>
      <c r="S65" s="1052"/>
      <c r="T65" s="1053"/>
      <c r="U65" s="322"/>
      <c r="V65" s="340">
        <v>1</v>
      </c>
    </row>
    <row r="66" spans="1:22" ht="15" customHeight="1" x14ac:dyDescent="0.25">
      <c r="A66" s="388">
        <f>IF('Account Info'!$T$4=TRUE,IF(NFP,0,1),0)</f>
        <v>1</v>
      </c>
      <c r="B66" s="1132"/>
      <c r="C66" s="1131"/>
      <c r="D66" s="348" t="s">
        <v>384</v>
      </c>
      <c r="E66" s="349"/>
      <c r="F66" s="349"/>
      <c r="G66" s="349"/>
      <c r="H66" s="453"/>
      <c r="I66" s="361" t="str">
        <f>IF('Account Info'!$AA$4="Range State","Low","")</f>
        <v>Low</v>
      </c>
      <c r="J66" s="361" t="str">
        <f>IF('Account Info'!$AA$4="Range State","Benchmark","Selection")</f>
        <v>Benchmark</v>
      </c>
      <c r="K66" s="361" t="str">
        <f>IF('Account Info'!$AA$4="Range State","High","")</f>
        <v>High</v>
      </c>
      <c r="L66" s="361" t="str">
        <f>IF('Account Info'!$AA$4="Range State","Selection","")</f>
        <v>Selection</v>
      </c>
      <c r="M66" s="440" t="s">
        <v>377</v>
      </c>
      <c r="N66" s="440"/>
      <c r="O66" s="441"/>
      <c r="P66" s="348"/>
      <c r="Q66" s="348"/>
      <c r="R66" s="348"/>
      <c r="S66" s="348"/>
      <c r="T66" s="348"/>
      <c r="U66" s="322"/>
      <c r="V66" s="340">
        <v>1</v>
      </c>
    </row>
    <row r="67" spans="1:22" ht="15" customHeight="1" x14ac:dyDescent="0.25">
      <c r="A67" s="388">
        <f>IF('Account Info'!$T$4=TRUE,IF(NFP,0,1),0)</f>
        <v>1</v>
      </c>
      <c r="B67" s="1132"/>
      <c r="C67" s="1131"/>
      <c r="D67" s="1054" t="s">
        <v>462</v>
      </c>
      <c r="E67" s="1055"/>
      <c r="F67" s="1055"/>
      <c r="G67" s="1055"/>
      <c r="H67" s="1056"/>
      <c r="I67" s="443">
        <f>IF(D67="","",VLOOKUP(D67,X162:AA163,2,FALSE))</f>
        <v>0.8</v>
      </c>
      <c r="J67" s="443">
        <f>IF(D67="","",VLOOKUP(D67,X162:AA163,3,FALSE))</f>
        <v>0.9</v>
      </c>
      <c r="K67" s="443">
        <f>IF(D67="","",VLOOKUP(D67,X162:AA163,4,FALSE))</f>
        <v>1</v>
      </c>
      <c r="L67" s="454">
        <f>J67</f>
        <v>0.9</v>
      </c>
      <c r="M67" s="1057"/>
      <c r="N67" s="1058"/>
      <c r="O67" s="1058"/>
      <c r="P67" s="1058"/>
      <c r="Q67" s="1058"/>
      <c r="R67" s="1058"/>
      <c r="S67" s="1058"/>
      <c r="T67" s="1059"/>
      <c r="U67" s="322"/>
      <c r="V67" s="340">
        <f>IF(NFP,1,IF('Account Info'!$AA$4="Flat Rate State",IF(J67="",1,J67),IF(L67="",1,L67)))</f>
        <v>0.9</v>
      </c>
    </row>
    <row r="68" spans="1:22" ht="15" customHeight="1" x14ac:dyDescent="0.25">
      <c r="A68" s="388">
        <f>IF('Account Info'!$T$4=TRUE,IF(NFP,0,1),0)</f>
        <v>1</v>
      </c>
      <c r="B68" s="1132"/>
      <c r="C68" s="1131"/>
      <c r="D68" s="457"/>
      <c r="E68" s="457"/>
      <c r="F68" s="457"/>
      <c r="G68" s="457"/>
      <c r="H68" s="457"/>
      <c r="I68" s="459"/>
      <c r="J68" s="459"/>
      <c r="K68" s="460"/>
      <c r="L68" s="460" t="str">
        <f>IF(AND('Account Info'!$AA$4="Range State",L67&lt;&gt;"",OR(L67&lt;I67,L67&gt;K67)),"Factor is out of range","")</f>
        <v/>
      </c>
      <c r="M68" s="1051"/>
      <c r="N68" s="1052"/>
      <c r="O68" s="1052"/>
      <c r="P68" s="1052"/>
      <c r="Q68" s="1052"/>
      <c r="R68" s="1052"/>
      <c r="S68" s="1052"/>
      <c r="T68" s="1053"/>
      <c r="U68" s="322"/>
      <c r="V68" s="340">
        <v>1</v>
      </c>
    </row>
    <row r="69" spans="1:22" ht="15" customHeight="1" x14ac:dyDescent="0.25">
      <c r="A69" s="388">
        <f>IF('Account Info'!$T$4=TRUE,1,0)</f>
        <v>1</v>
      </c>
      <c r="B69" s="1132"/>
      <c r="C69" s="1131"/>
      <c r="D69" s="348" t="str">
        <f>IF(NFP,"2.5 Securities Offering Activity","2.6 Securities Offering Activity")</f>
        <v>2.6 Securities Offering Activity</v>
      </c>
      <c r="E69" s="439"/>
      <c r="F69" s="349"/>
      <c r="G69" s="349"/>
      <c r="H69" s="453"/>
      <c r="I69" s="361" t="str">
        <f>IF('Account Info'!$AA$4="Range State","Low","")</f>
        <v>Low</v>
      </c>
      <c r="J69" s="361" t="str">
        <f>IF('Account Info'!$AA$4="Range State","Benchmark","Selection")</f>
        <v>Benchmark</v>
      </c>
      <c r="K69" s="361" t="str">
        <f>IF('Account Info'!$AA$4="Range State","High","")</f>
        <v>High</v>
      </c>
      <c r="L69" s="361" t="str">
        <f>IF('Account Info'!$AA$4="Range State","Selection","")</f>
        <v>Selection</v>
      </c>
      <c r="M69" s="440" t="s">
        <v>377</v>
      </c>
      <c r="N69" s="440"/>
      <c r="O69" s="441"/>
      <c r="P69" s="348"/>
      <c r="Q69" s="348"/>
      <c r="R69" s="348"/>
      <c r="S69" s="348"/>
      <c r="T69" s="348"/>
      <c r="U69" s="322"/>
      <c r="V69" s="340">
        <v>1</v>
      </c>
    </row>
    <row r="70" spans="1:22" ht="15" customHeight="1" x14ac:dyDescent="0.25">
      <c r="A70" s="388">
        <f>IF('Account Info'!$T$4=TRUE,1,0)</f>
        <v>1</v>
      </c>
      <c r="B70" s="1132"/>
      <c r="C70" s="1131"/>
      <c r="D70" s="1054" t="s">
        <v>418</v>
      </c>
      <c r="E70" s="1055"/>
      <c r="F70" s="1055"/>
      <c r="G70" s="1055"/>
      <c r="H70" s="1056"/>
      <c r="I70" s="443">
        <f>IF(D70="","",VLOOKUP(D70,X179:AA182,2,FALSE))</f>
        <v>1</v>
      </c>
      <c r="J70" s="443">
        <f>IF(D70="","",VLOOKUP(D70,X179:AA182,3,FALSE))</f>
        <v>1.1299999999999999</v>
      </c>
      <c r="K70" s="443">
        <f>IF(D70="","",VLOOKUP(D70,X179:AA182,4,FALSE))</f>
        <v>1.25</v>
      </c>
      <c r="L70" s="454">
        <f>J70</f>
        <v>1.1299999999999999</v>
      </c>
      <c r="M70" s="1057"/>
      <c r="N70" s="1058"/>
      <c r="O70" s="1058"/>
      <c r="P70" s="1058"/>
      <c r="Q70" s="1058"/>
      <c r="R70" s="1058"/>
      <c r="S70" s="1058"/>
      <c r="T70" s="1059"/>
      <c r="U70" s="322"/>
      <c r="V70" s="340">
        <f>IF('Account Info'!$AA$4="Flat Rate State",IF(J70="",1,J70),IF(L70="",1,L70))</f>
        <v>1.1299999999999999</v>
      </c>
    </row>
    <row r="71" spans="1:22" ht="15" customHeight="1" x14ac:dyDescent="0.25">
      <c r="A71" s="388">
        <f>IF('Account Info'!$T$4=TRUE,1,0)</f>
        <v>1</v>
      </c>
      <c r="B71" s="1132"/>
      <c r="C71" s="1131"/>
      <c r="D71" s="456"/>
      <c r="E71" s="456"/>
      <c r="F71" s="457"/>
      <c r="G71" s="457"/>
      <c r="H71" s="458"/>
      <c r="I71" s="459"/>
      <c r="J71" s="459"/>
      <c r="K71" s="460"/>
      <c r="L71" s="460" t="str">
        <f>IF(AND('Account Info'!$AA$4="Range State",L70&lt;&gt;"",OR(L70&lt;I70,L70&gt;K70)),"Factor is out of range","")</f>
        <v/>
      </c>
      <c r="M71" s="1051"/>
      <c r="N71" s="1052"/>
      <c r="O71" s="1052"/>
      <c r="P71" s="1052"/>
      <c r="Q71" s="1052"/>
      <c r="R71" s="1052"/>
      <c r="S71" s="1052"/>
      <c r="T71" s="1053"/>
      <c r="U71" s="322"/>
      <c r="V71" s="340">
        <v>1</v>
      </c>
    </row>
    <row r="72" spans="1:22" ht="15" customHeight="1" x14ac:dyDescent="0.25">
      <c r="A72" s="388">
        <f>IF('Account Info'!$T$4=TRUE,1,0)</f>
        <v>1</v>
      </c>
      <c r="B72" s="1132"/>
      <c r="C72" s="1131"/>
      <c r="D72" s="440" t="str">
        <f>IF(NFP,"2.6 Litigation History","2.7 Litigation History")</f>
        <v>2.7 Litigation History</v>
      </c>
      <c r="E72" s="349"/>
      <c r="F72" s="439"/>
      <c r="G72" s="439"/>
      <c r="H72" s="453"/>
      <c r="I72" s="361" t="str">
        <f>IF('Account Info'!$AA$4="Range State","Low","")</f>
        <v>Low</v>
      </c>
      <c r="J72" s="361" t="str">
        <f>IF('Account Info'!$AA$4="Range State","Benchmark","Selection")</f>
        <v>Benchmark</v>
      </c>
      <c r="K72" s="361" t="str">
        <f>IF('Account Info'!$AA$4="Range State","High","")</f>
        <v>High</v>
      </c>
      <c r="L72" s="361" t="str">
        <f>IF('Account Info'!$AA$4="Range State","Selection","")</f>
        <v>Selection</v>
      </c>
      <c r="M72" s="440" t="s">
        <v>377</v>
      </c>
      <c r="N72" s="440"/>
      <c r="O72" s="441"/>
      <c r="P72" s="348"/>
      <c r="Q72" s="348"/>
      <c r="R72" s="348"/>
      <c r="S72" s="348"/>
      <c r="T72" s="348"/>
      <c r="U72" s="322"/>
      <c r="V72" s="340">
        <v>1</v>
      </c>
    </row>
    <row r="73" spans="1:22" ht="15" customHeight="1" x14ac:dyDescent="0.25">
      <c r="A73" s="388">
        <f>IF('Account Info'!$T$4=TRUE,1,0)</f>
        <v>1</v>
      </c>
      <c r="B73" s="1132"/>
      <c r="C73" s="1131"/>
      <c r="D73" s="1054" t="s">
        <v>418</v>
      </c>
      <c r="E73" s="1055"/>
      <c r="F73" s="1055"/>
      <c r="G73" s="1055"/>
      <c r="H73" s="1056"/>
      <c r="I73" s="443">
        <f>IF(D73="","",VLOOKUP(D73,X184:AA187,2,FALSE))</f>
        <v>1</v>
      </c>
      <c r="J73" s="443">
        <f>IF(D73="","",VLOOKUP(D73,X184:AA187,3,FALSE))</f>
        <v>1.1299999999999999</v>
      </c>
      <c r="K73" s="443">
        <f>IF(D73="","",VLOOKUP(D73,X184:AA187,4,FALSE))</f>
        <v>1.25</v>
      </c>
      <c r="L73" s="454">
        <f>J73</f>
        <v>1.1299999999999999</v>
      </c>
      <c r="M73" s="1057"/>
      <c r="N73" s="1058"/>
      <c r="O73" s="1058"/>
      <c r="P73" s="1058"/>
      <c r="Q73" s="1058"/>
      <c r="R73" s="1058"/>
      <c r="S73" s="1058"/>
      <c r="T73" s="1059"/>
      <c r="U73" s="322"/>
      <c r="V73" s="340">
        <f>IF('Account Info'!$AA$4="Flat Rate State",IF(J73="",1,J73),IF(L73="",1,L73))</f>
        <v>1.1299999999999999</v>
      </c>
    </row>
    <row r="74" spans="1:22" ht="15" customHeight="1" x14ac:dyDescent="0.25">
      <c r="A74" s="388">
        <f>IF('Account Info'!$T$4=TRUE,1,0)</f>
        <v>1</v>
      </c>
      <c r="B74" s="1132"/>
      <c r="C74" s="1131"/>
      <c r="D74" s="456"/>
      <c r="E74" s="456"/>
      <c r="F74" s="457"/>
      <c r="G74" s="457"/>
      <c r="H74" s="458"/>
      <c r="I74" s="459"/>
      <c r="J74" s="459"/>
      <c r="K74" s="460"/>
      <c r="L74" s="460" t="str">
        <f>IF(AND('Account Info'!$AA$4="Range State",L73&lt;&gt;"",OR(L73&lt;I73,L73&gt;K73)),"Factor is out of range","")</f>
        <v/>
      </c>
      <c r="M74" s="1051"/>
      <c r="N74" s="1052"/>
      <c r="O74" s="1052"/>
      <c r="P74" s="1052"/>
      <c r="Q74" s="1052"/>
      <c r="R74" s="1052"/>
      <c r="S74" s="1052"/>
      <c r="T74" s="1053"/>
      <c r="U74" s="322"/>
      <c r="V74" s="340">
        <v>1</v>
      </c>
    </row>
    <row r="75" spans="1:22" ht="15" customHeight="1" x14ac:dyDescent="0.25">
      <c r="A75" s="388">
        <f>IF('Account Info'!$T$4=TRUE,1,0)</f>
        <v>1</v>
      </c>
      <c r="B75" s="1132"/>
      <c r="C75" s="1131"/>
      <c r="D75" s="440" t="str">
        <f>IF(NFP,"2.7 Significant Transaction or Event","2.8 Significant Transaction or Event")</f>
        <v>2.8 Significant Transaction or Event</v>
      </c>
      <c r="E75" s="349"/>
      <c r="F75" s="439"/>
      <c r="G75" s="439"/>
      <c r="H75" s="453"/>
      <c r="I75" s="361" t="str">
        <f>IF('Account Info'!$AA$4="Range State","Low","")</f>
        <v>Low</v>
      </c>
      <c r="J75" s="361" t="str">
        <f>IF('Account Info'!$AA$4="Range State","Benchmark","Selection")</f>
        <v>Benchmark</v>
      </c>
      <c r="K75" s="361" t="str">
        <f>IF('Account Info'!$AA$4="Range State","High","")</f>
        <v>High</v>
      </c>
      <c r="L75" s="361" t="str">
        <f>IF('Account Info'!$AA$4="Range State","Selection","")</f>
        <v>Selection</v>
      </c>
      <c r="M75" s="440" t="s">
        <v>377</v>
      </c>
      <c r="N75" s="440"/>
      <c r="O75" s="441"/>
      <c r="P75" s="348"/>
      <c r="Q75" s="348"/>
      <c r="R75" s="348"/>
      <c r="S75" s="348"/>
      <c r="T75" s="348"/>
      <c r="U75" s="322"/>
      <c r="V75" s="340">
        <v>1</v>
      </c>
    </row>
    <row r="76" spans="1:22" ht="15" customHeight="1" x14ac:dyDescent="0.25">
      <c r="A76" s="388">
        <f>IF('Account Info'!$T$4=TRUE,1,0)</f>
        <v>1</v>
      </c>
      <c r="B76" s="1132"/>
      <c r="C76" s="1131"/>
      <c r="D76" s="1054" t="s">
        <v>418</v>
      </c>
      <c r="E76" s="1055"/>
      <c r="F76" s="1055"/>
      <c r="G76" s="1055"/>
      <c r="H76" s="1056"/>
      <c r="I76" s="443">
        <f>IF(D76="","",VLOOKUP(D76,X190:AA193,2,FALSE))</f>
        <v>1</v>
      </c>
      <c r="J76" s="443">
        <f>IF(D76="","",VLOOKUP(D76,X190:AA193,3,FALSE))</f>
        <v>1.1299999999999999</v>
      </c>
      <c r="K76" s="443">
        <f>IF(D76="","",VLOOKUP(D76,X190:AA193,4,FALSE))</f>
        <v>1.25</v>
      </c>
      <c r="L76" s="454">
        <f>J76</f>
        <v>1.1299999999999999</v>
      </c>
      <c r="M76" s="1057"/>
      <c r="N76" s="1058"/>
      <c r="O76" s="1058"/>
      <c r="P76" s="1058"/>
      <c r="Q76" s="1058"/>
      <c r="R76" s="1058"/>
      <c r="S76" s="1058"/>
      <c r="T76" s="1059"/>
      <c r="U76" s="322"/>
      <c r="V76" s="340">
        <f>IF('Account Info'!$AA$4="Flat Rate State",IF(J76="",1,J76),IF(L76="",1,L76))</f>
        <v>1.1299999999999999</v>
      </c>
    </row>
    <row r="77" spans="1:22" ht="15" customHeight="1" x14ac:dyDescent="0.25">
      <c r="A77" s="388">
        <f>IF('Account Info'!$T$4=TRUE,1,0)</f>
        <v>1</v>
      </c>
      <c r="B77" s="1132"/>
      <c r="C77" s="1131"/>
      <c r="D77" s="456"/>
      <c r="E77" s="456"/>
      <c r="F77" s="457"/>
      <c r="G77" s="457"/>
      <c r="H77" s="458"/>
      <c r="I77" s="459"/>
      <c r="J77" s="459"/>
      <c r="K77" s="460"/>
      <c r="L77" s="460" t="str">
        <f>IF(AND('Account Info'!$AA$4="Range State",L76&lt;&gt;"",OR(L76&lt;I76,L76&gt;K76)),"Factor is out of range","")</f>
        <v/>
      </c>
      <c r="M77" s="1051"/>
      <c r="N77" s="1052"/>
      <c r="O77" s="1052"/>
      <c r="P77" s="1052"/>
      <c r="Q77" s="1052"/>
      <c r="R77" s="1052"/>
      <c r="S77" s="1052"/>
      <c r="T77" s="1053"/>
      <c r="U77" s="322"/>
      <c r="V77" s="340">
        <v>1</v>
      </c>
    </row>
    <row r="78" spans="1:22" ht="15" customHeight="1" x14ac:dyDescent="0.25">
      <c r="A78" s="388">
        <f>IF('Account Info'!$T$4=TRUE,1,0)</f>
        <v>1</v>
      </c>
      <c r="B78" s="1132"/>
      <c r="C78" s="1131"/>
      <c r="D78" s="440" t="str">
        <f>IF(NFP,"2.8 Management Stability","2.9 Management Stability")</f>
        <v>2.9 Management Stability</v>
      </c>
      <c r="E78" s="349"/>
      <c r="F78" s="439"/>
      <c r="G78" s="439"/>
      <c r="H78" s="453"/>
      <c r="I78" s="361" t="str">
        <f>IF('Account Info'!$AA$4="Range State","Low","")</f>
        <v>Low</v>
      </c>
      <c r="J78" s="361" t="str">
        <f>IF('Account Info'!$AA$4="Range State","Benchmark","Selection")</f>
        <v>Benchmark</v>
      </c>
      <c r="K78" s="361" t="str">
        <f>IF('Account Info'!$AA$4="Range State","High","")</f>
        <v>High</v>
      </c>
      <c r="L78" s="361" t="str">
        <f>IF('Account Info'!$AA$4="Range State","Selection","")</f>
        <v>Selection</v>
      </c>
      <c r="M78" s="440" t="s">
        <v>377</v>
      </c>
      <c r="N78" s="440"/>
      <c r="O78" s="441"/>
      <c r="P78" s="348"/>
      <c r="Q78" s="348"/>
      <c r="R78" s="348"/>
      <c r="S78" s="348"/>
      <c r="T78" s="348"/>
      <c r="U78" s="322"/>
      <c r="V78" s="340">
        <v>1</v>
      </c>
    </row>
    <row r="79" spans="1:22" ht="15" customHeight="1" x14ac:dyDescent="0.25">
      <c r="A79" s="388">
        <f>IF('Account Info'!$T$4=TRUE,1,0)</f>
        <v>1</v>
      </c>
      <c r="B79" s="1132"/>
      <c r="C79" s="1131"/>
      <c r="D79" s="1054" t="s">
        <v>492</v>
      </c>
      <c r="E79" s="1055"/>
      <c r="F79" s="1055"/>
      <c r="G79" s="1055"/>
      <c r="H79" s="1056"/>
      <c r="I79" s="443">
        <f>IF(D79="","",VLOOKUP(D79,X195:AA198,2,FALSE))</f>
        <v>1</v>
      </c>
      <c r="J79" s="443">
        <f>IF(D79="","",VLOOKUP(D79,X195:AA198,3,FALSE))</f>
        <v>1.1299999999999999</v>
      </c>
      <c r="K79" s="443">
        <f>IF(D79="","",VLOOKUP(D79,X195:AA198,4,FALSE))</f>
        <v>1.25</v>
      </c>
      <c r="L79" s="454">
        <f>J79</f>
        <v>1.1299999999999999</v>
      </c>
      <c r="M79" s="1057"/>
      <c r="N79" s="1058"/>
      <c r="O79" s="1058"/>
      <c r="P79" s="1058"/>
      <c r="Q79" s="1058"/>
      <c r="R79" s="1058"/>
      <c r="S79" s="1058"/>
      <c r="T79" s="1059"/>
      <c r="U79" s="322"/>
      <c r="V79" s="340">
        <f>IF('Account Info'!$AA$4="Flat Rate State",IF(J79="",1,J79),IF(L79="",1,L79))</f>
        <v>1.1299999999999999</v>
      </c>
    </row>
    <row r="80" spans="1:22" ht="15" customHeight="1" x14ac:dyDescent="0.25">
      <c r="A80" s="388">
        <f>IF('Account Info'!$T$4=TRUE,1,0)</f>
        <v>1</v>
      </c>
      <c r="B80" s="1132"/>
      <c r="C80" s="1131"/>
      <c r="D80" s="456"/>
      <c r="E80" s="456"/>
      <c r="F80" s="457"/>
      <c r="G80" s="457"/>
      <c r="H80" s="458"/>
      <c r="I80" s="459"/>
      <c r="J80" s="459"/>
      <c r="K80" s="460"/>
      <c r="L80" s="460" t="str">
        <f>IF(AND('Account Info'!$AA$4="Range State",L79&lt;&gt;"",OR(L79&lt;I79,L79&gt;K79)),"Factor is out of range","")</f>
        <v/>
      </c>
      <c r="M80" s="1051"/>
      <c r="N80" s="1052"/>
      <c r="O80" s="1052"/>
      <c r="P80" s="1052"/>
      <c r="Q80" s="1052"/>
      <c r="R80" s="1052"/>
      <c r="S80" s="1052"/>
      <c r="T80" s="1053"/>
      <c r="U80" s="322"/>
      <c r="V80" s="340">
        <v>1</v>
      </c>
    </row>
    <row r="81" spans="1:24" ht="15" customHeight="1" x14ac:dyDescent="0.25">
      <c r="A81" s="388">
        <f>IF('Account Info'!$T$4=TRUE,1,0)</f>
        <v>1</v>
      </c>
      <c r="B81" s="1132"/>
      <c r="C81" s="1131"/>
      <c r="D81" s="348" t="str">
        <f>IF(NFP,"2.9 Quality of Statement of Financial Position","2.10 Quality of Balance Sheet")</f>
        <v>2.10 Quality of Balance Sheet</v>
      </c>
      <c r="E81" s="439"/>
      <c r="F81" s="349"/>
      <c r="G81" s="349"/>
      <c r="H81" s="453"/>
      <c r="I81" s="361" t="str">
        <f>IF('Account Info'!$AA$4="Range State","Low","")</f>
        <v>Low</v>
      </c>
      <c r="J81" s="361" t="str">
        <f>IF('Account Info'!$AA$4="Range State","Benchmark","Selection")</f>
        <v>Benchmark</v>
      </c>
      <c r="K81" s="361" t="str">
        <f>IF('Account Info'!$AA$4="Range State","High","")</f>
        <v>High</v>
      </c>
      <c r="L81" s="361" t="str">
        <f>IF('Account Info'!$AA$4="Range State","Selection","")</f>
        <v>Selection</v>
      </c>
      <c r="M81" s="440" t="s">
        <v>377</v>
      </c>
      <c r="N81" s="440"/>
      <c r="O81" s="441"/>
      <c r="P81" s="348"/>
      <c r="Q81" s="348"/>
      <c r="R81" s="348"/>
      <c r="S81" s="348"/>
      <c r="T81" s="348"/>
      <c r="U81" s="322"/>
      <c r="V81" s="340">
        <v>1</v>
      </c>
    </row>
    <row r="82" spans="1:24" ht="15" customHeight="1" x14ac:dyDescent="0.25">
      <c r="A82" s="388">
        <f>IF('Account Info'!$T$4=TRUE,1,0)</f>
        <v>1</v>
      </c>
      <c r="B82" s="1132"/>
      <c r="C82" s="1131"/>
      <c r="D82" s="1054" t="s">
        <v>498</v>
      </c>
      <c r="E82" s="1055"/>
      <c r="F82" s="1055"/>
      <c r="G82" s="1055"/>
      <c r="H82" s="1056"/>
      <c r="I82" s="443">
        <f>IF(D82="","",VLOOKUP(D82,X200:AA204,2,FALSE))</f>
        <v>0.89</v>
      </c>
      <c r="J82" s="443">
        <f>IF(D82="","",VLOOKUP(D82,X200:AA204,3,FALSE))</f>
        <v>1.03</v>
      </c>
      <c r="K82" s="443">
        <f>IF(D82="","",VLOOKUP(D82,X200:AA204,4,FALSE))</f>
        <v>1.1599999999999999</v>
      </c>
      <c r="L82" s="454">
        <f>J82</f>
        <v>1.03</v>
      </c>
      <c r="M82" s="1057"/>
      <c r="N82" s="1058"/>
      <c r="O82" s="1058"/>
      <c r="P82" s="1058"/>
      <c r="Q82" s="1058"/>
      <c r="R82" s="1058"/>
      <c r="S82" s="1058"/>
      <c r="T82" s="1059"/>
      <c r="U82" s="322"/>
      <c r="V82" s="340">
        <f>IF('Account Info'!$AA$4="Flat Rate State",IF(J82="",1,J82),IF(L82="",1,L82))</f>
        <v>1.03</v>
      </c>
    </row>
    <row r="83" spans="1:24" ht="15" customHeight="1" x14ac:dyDescent="0.25">
      <c r="A83" s="388">
        <f>IF('Account Info'!$T$4=TRUE,1,0)</f>
        <v>1</v>
      </c>
      <c r="B83" s="1132"/>
      <c r="C83" s="1131"/>
      <c r="D83" s="456"/>
      <c r="E83" s="457"/>
      <c r="F83" s="456"/>
      <c r="G83" s="456"/>
      <c r="H83" s="456"/>
      <c r="I83" s="464"/>
      <c r="J83" s="464"/>
      <c r="K83" s="460"/>
      <c r="L83" s="460" t="str">
        <f>IF(AND('Account Info'!$AA$4="Range State",L82&lt;&gt;"",OR(L82&lt;I82,L82&gt;K82)),"Factor is out of range","")</f>
        <v/>
      </c>
      <c r="M83" s="1051"/>
      <c r="N83" s="1052"/>
      <c r="O83" s="1052"/>
      <c r="P83" s="1052"/>
      <c r="Q83" s="1052"/>
      <c r="R83" s="1052"/>
      <c r="S83" s="1052"/>
      <c r="T83" s="1053"/>
      <c r="U83" s="322"/>
      <c r="V83" s="340">
        <v>1</v>
      </c>
    </row>
    <row r="84" spans="1:24" ht="15" customHeight="1" x14ac:dyDescent="0.25">
      <c r="A84" s="388">
        <f>IF('Account Info'!$T$4=TRUE,1,0)</f>
        <v>1</v>
      </c>
      <c r="B84" s="1132"/>
      <c r="C84" s="1131"/>
      <c r="D84" s="348" t="str">
        <f>IF(NFP,"2.10 Quality of Statement of Activities","2.11 Quality of Income Statement")</f>
        <v>2.11 Quality of Income Statement</v>
      </c>
      <c r="E84" s="439"/>
      <c r="F84" s="349"/>
      <c r="G84" s="349"/>
      <c r="H84" s="453"/>
      <c r="I84" s="361" t="str">
        <f>IF('Account Info'!$AA$4="Range State","Low","")</f>
        <v>Low</v>
      </c>
      <c r="J84" s="361" t="str">
        <f>IF('Account Info'!$AA$4="Range State","Benchmark","Selection")</f>
        <v>Benchmark</v>
      </c>
      <c r="K84" s="361" t="str">
        <f>IF('Account Info'!$AA$4="Range State","High","")</f>
        <v>High</v>
      </c>
      <c r="L84" s="361" t="str">
        <f>IF('Account Info'!$AA$4="Range State","Selection","")</f>
        <v>Selection</v>
      </c>
      <c r="M84" s="440" t="s">
        <v>377</v>
      </c>
      <c r="N84" s="440"/>
      <c r="O84" s="441"/>
      <c r="P84" s="348"/>
      <c r="Q84" s="348"/>
      <c r="R84" s="348"/>
      <c r="S84" s="348"/>
      <c r="T84" s="348"/>
      <c r="U84" s="322"/>
      <c r="V84" s="340">
        <v>1</v>
      </c>
    </row>
    <row r="85" spans="1:24" ht="15" customHeight="1" x14ac:dyDescent="0.25">
      <c r="A85" s="388">
        <f>IF('Account Info'!$T$4=TRUE,1,0)</f>
        <v>1</v>
      </c>
      <c r="B85" s="1132"/>
      <c r="C85" s="1131"/>
      <c r="D85" s="1054" t="s">
        <v>498</v>
      </c>
      <c r="E85" s="1055"/>
      <c r="F85" s="1055"/>
      <c r="G85" s="1055"/>
      <c r="H85" s="1056"/>
      <c r="I85" s="443">
        <f>IF(D85="","",VLOOKUP(D85,X215:AA219,2,FALSE))</f>
        <v>0.89</v>
      </c>
      <c r="J85" s="443">
        <f>IF(D85="","",VLOOKUP(D85,X215:AA219,3,FALSE))</f>
        <v>1.03</v>
      </c>
      <c r="K85" s="443">
        <f>IF(D85="","",VLOOKUP(D85,X215:AA219,4,FALSE))</f>
        <v>1.1599999999999999</v>
      </c>
      <c r="L85" s="454">
        <f>J85</f>
        <v>1.03</v>
      </c>
      <c r="M85" s="1057"/>
      <c r="N85" s="1058"/>
      <c r="O85" s="1058"/>
      <c r="P85" s="1058"/>
      <c r="Q85" s="1058"/>
      <c r="R85" s="1058"/>
      <c r="S85" s="1058"/>
      <c r="T85" s="1059"/>
      <c r="U85" s="322"/>
      <c r="V85" s="340">
        <f>IF('Account Info'!$AA$4="Flat Rate State",IF(J85="",1,J85),IF(L85="",1,L85))</f>
        <v>1.03</v>
      </c>
    </row>
    <row r="86" spans="1:24" ht="15" customHeight="1" x14ac:dyDescent="0.25">
      <c r="A86" s="388">
        <f>IF('Account Info'!$T$4=TRUE,1,0)</f>
        <v>1</v>
      </c>
      <c r="B86" s="1132"/>
      <c r="C86" s="1131"/>
      <c r="D86" s="456"/>
      <c r="E86" s="457"/>
      <c r="F86" s="456"/>
      <c r="G86" s="456"/>
      <c r="H86" s="456"/>
      <c r="I86" s="464"/>
      <c r="J86" s="464"/>
      <c r="K86" s="460"/>
      <c r="L86" s="460" t="str">
        <f>IF(AND('Account Info'!$AA$4="Range State",L85&lt;&gt;"",OR(L85&lt;I85,L85&gt;K85)),"Factor is out of range","")</f>
        <v/>
      </c>
      <c r="M86" s="1051"/>
      <c r="N86" s="1052"/>
      <c r="O86" s="1052"/>
      <c r="P86" s="1052"/>
      <c r="Q86" s="1052"/>
      <c r="R86" s="1052"/>
      <c r="S86" s="1052"/>
      <c r="T86" s="1053"/>
      <c r="U86" s="322"/>
      <c r="V86" s="340">
        <v>1</v>
      </c>
    </row>
    <row r="87" spans="1:24" ht="15" customHeight="1" x14ac:dyDescent="0.25">
      <c r="A87" s="388">
        <f>IF('Account Info'!$T$4=TRUE,1,0)</f>
        <v>1</v>
      </c>
      <c r="B87" s="1132"/>
      <c r="C87" s="1131"/>
      <c r="D87" s="348" t="str">
        <f>IF(NFP,"2.11 Quality of Statement of Cash Flows","2.12 Quality of Statement of Cash Flows")</f>
        <v>2.12 Quality of Statement of Cash Flows</v>
      </c>
      <c r="E87" s="439"/>
      <c r="F87" s="349"/>
      <c r="G87" s="349"/>
      <c r="H87" s="453"/>
      <c r="I87" s="361" t="str">
        <f>IF('Account Info'!$AA$4="Range State","Low","")</f>
        <v>Low</v>
      </c>
      <c r="J87" s="361" t="str">
        <f>IF('Account Info'!$AA$4="Range State","Benchmark","Selection")</f>
        <v>Benchmark</v>
      </c>
      <c r="K87" s="361" t="str">
        <f>IF('Account Info'!$AA$4="Range State","High","")</f>
        <v>High</v>
      </c>
      <c r="L87" s="361" t="str">
        <f>IF('Account Info'!$AA$4="Range State","Selection","")</f>
        <v>Selection</v>
      </c>
      <c r="M87" s="440" t="s">
        <v>377</v>
      </c>
      <c r="N87" s="440"/>
      <c r="O87" s="441"/>
      <c r="P87" s="348"/>
      <c r="Q87" s="348"/>
      <c r="R87" s="348"/>
      <c r="S87" s="348"/>
      <c r="T87" s="348"/>
      <c r="U87" s="322"/>
      <c r="V87" s="340">
        <v>1</v>
      </c>
    </row>
    <row r="88" spans="1:24" ht="15" customHeight="1" x14ac:dyDescent="0.25">
      <c r="A88" s="388">
        <f>IF('Account Info'!$T$4=TRUE,1,0)</f>
        <v>1</v>
      </c>
      <c r="B88" s="1132"/>
      <c r="C88" s="1131"/>
      <c r="D88" s="1054" t="s">
        <v>498</v>
      </c>
      <c r="E88" s="1055"/>
      <c r="F88" s="1055"/>
      <c r="G88" s="1055"/>
      <c r="H88" s="1056"/>
      <c r="I88" s="443">
        <f>IF(D88="","",VLOOKUP(D88,X221:AA225,2,FALSE))</f>
        <v>0.89</v>
      </c>
      <c r="J88" s="443">
        <f>IF(D88="","",VLOOKUP(D88,X221:AA225,3,FALSE))</f>
        <v>1.03</v>
      </c>
      <c r="K88" s="443">
        <f>IF(D88="","",VLOOKUP(D88,X221:AA225,4,FALSE))</f>
        <v>1.1599999999999999</v>
      </c>
      <c r="L88" s="454">
        <f>J88</f>
        <v>1.03</v>
      </c>
      <c r="M88" s="1057"/>
      <c r="N88" s="1058"/>
      <c r="O88" s="1058"/>
      <c r="P88" s="1058"/>
      <c r="Q88" s="1058"/>
      <c r="R88" s="1058"/>
      <c r="S88" s="1058"/>
      <c r="T88" s="1059"/>
      <c r="U88" s="322"/>
      <c r="V88" s="340">
        <f>IF('Account Info'!$AA$4="Flat Rate State",IF(J88="",1,J88),IF(L88="",1,L88))</f>
        <v>1.03</v>
      </c>
    </row>
    <row r="89" spans="1:24" ht="15" customHeight="1" x14ac:dyDescent="0.25">
      <c r="A89" s="388">
        <f>IF('Account Info'!$T$4=TRUE,1,0)</f>
        <v>1</v>
      </c>
      <c r="B89" s="1132"/>
      <c r="C89" s="1131"/>
      <c r="D89" s="456"/>
      <c r="E89" s="457"/>
      <c r="F89" s="456"/>
      <c r="G89" s="456"/>
      <c r="H89" s="456"/>
      <c r="I89" s="464"/>
      <c r="J89" s="464"/>
      <c r="K89" s="460"/>
      <c r="L89" s="460" t="str">
        <f>IF(AND('Account Info'!$AA$4="Range State",L88&lt;&gt;"",OR(L88&lt;I88,L88&gt;K88)),"Factor is out of range","")</f>
        <v/>
      </c>
      <c r="M89" s="1051"/>
      <c r="N89" s="1052"/>
      <c r="O89" s="1052"/>
      <c r="P89" s="1052"/>
      <c r="Q89" s="1052"/>
      <c r="R89" s="1052"/>
      <c r="S89" s="1052"/>
      <c r="T89" s="1053"/>
      <c r="U89" s="322"/>
      <c r="V89" s="340">
        <v>1</v>
      </c>
    </row>
    <row r="90" spans="1:24" ht="15" customHeight="1" x14ac:dyDescent="0.25">
      <c r="A90" s="388">
        <f>IF('Account Info'!$T$4=TRUE,1,0)</f>
        <v>1</v>
      </c>
      <c r="B90" s="1132"/>
      <c r="C90" s="1131"/>
      <c r="D90" s="461"/>
      <c r="E90" s="462"/>
      <c r="F90" s="462"/>
      <c r="G90" s="462"/>
      <c r="J90" s="466"/>
      <c r="K90" s="466"/>
      <c r="L90" s="463"/>
      <c r="M90" s="467"/>
      <c r="N90" s="468"/>
      <c r="O90" s="468"/>
      <c r="P90" s="468"/>
      <c r="Q90" s="468"/>
      <c r="R90" s="468"/>
      <c r="S90" s="468"/>
      <c r="T90" s="468"/>
      <c r="U90" s="322"/>
      <c r="V90" s="340"/>
      <c r="W90" s="458" t="s">
        <v>391</v>
      </c>
      <c r="X90" s="964">
        <f ca="1">IF(D28="","",D28*PRODUCT(V53:V89))</f>
        <v>5103.4702458543334</v>
      </c>
    </row>
    <row r="91" spans="1:24" ht="15" customHeight="1" thickBot="1" x14ac:dyDescent="0.3">
      <c r="A91" s="388">
        <f>IF('Account Info'!$T$4=TRUE,1,0)</f>
        <v>1</v>
      </c>
      <c r="B91" s="1133"/>
      <c r="C91" s="1134"/>
      <c r="D91" s="325"/>
      <c r="E91" s="326"/>
      <c r="F91" s="325"/>
      <c r="G91" s="325"/>
      <c r="H91" s="325"/>
      <c r="I91" s="469"/>
      <c r="J91" s="469"/>
      <c r="K91" s="469"/>
      <c r="L91" s="469"/>
      <c r="M91" s="325"/>
      <c r="N91" s="325"/>
      <c r="O91" s="325"/>
      <c r="P91" s="325"/>
      <c r="Q91" s="325"/>
      <c r="R91" s="325"/>
      <c r="S91" s="325"/>
      <c r="T91" s="325"/>
      <c r="U91" s="327"/>
      <c r="V91" s="340"/>
    </row>
    <row r="92" spans="1:24" ht="15" customHeight="1" thickBot="1" x14ac:dyDescent="0.35">
      <c r="A92" s="388">
        <f>IF('Account Info'!$T$4=TRUE,1,0)</f>
        <v>1</v>
      </c>
      <c r="B92" s="470" t="s">
        <v>392</v>
      </c>
      <c r="C92" s="321"/>
      <c r="D92" s="320"/>
      <c r="E92" s="320"/>
      <c r="F92" s="320"/>
      <c r="G92" s="320"/>
      <c r="H92" s="320"/>
      <c r="I92" s="464"/>
      <c r="J92" s="464"/>
      <c r="K92" s="464"/>
      <c r="L92" s="464"/>
      <c r="M92" s="320"/>
      <c r="N92" s="320"/>
      <c r="O92" s="320"/>
      <c r="P92" s="320"/>
      <c r="Q92" s="320"/>
      <c r="R92" s="320"/>
      <c r="S92" s="320"/>
      <c r="T92" s="320"/>
      <c r="U92" s="322"/>
      <c r="V92" s="340"/>
    </row>
    <row r="93" spans="1:24" ht="15" customHeight="1" x14ac:dyDescent="0.25">
      <c r="A93" s="388">
        <f>IF('Account Info'!$T$4=TRUE,1,0)</f>
        <v>1</v>
      </c>
      <c r="B93" s="317"/>
      <c r="C93" s="321"/>
      <c r="H93" s="471" t="s">
        <v>393</v>
      </c>
      <c r="I93" s="472">
        <v>0.8</v>
      </c>
      <c r="J93" s="473">
        <v>1.25</v>
      </c>
      <c r="K93" s="949">
        <v>1</v>
      </c>
      <c r="L93" s="474"/>
      <c r="M93" s="320"/>
      <c r="N93" s="320"/>
      <c r="O93" s="320"/>
      <c r="P93" s="320"/>
      <c r="Q93" s="320"/>
      <c r="R93" s="320"/>
      <c r="S93" s="320"/>
      <c r="T93" s="320"/>
      <c r="U93" s="322"/>
      <c r="V93" s="340"/>
    </row>
    <row r="94" spans="1:24" ht="15" customHeight="1" x14ac:dyDescent="0.25">
      <c r="A94" s="388">
        <f>IF('Account Info'!$T$4=TRUE,1,0)</f>
        <v>1</v>
      </c>
      <c r="B94" s="317"/>
      <c r="C94" s="321"/>
      <c r="H94" s="475" t="s">
        <v>394</v>
      </c>
      <c r="I94" s="476">
        <v>0.8</v>
      </c>
      <c r="J94" s="477">
        <v>1.25</v>
      </c>
      <c r="K94" s="950">
        <v>1</v>
      </c>
      <c r="L94" s="474"/>
      <c r="M94" s="320"/>
      <c r="N94" s="320"/>
      <c r="O94" s="320"/>
      <c r="P94" s="320"/>
      <c r="Q94" s="320"/>
      <c r="R94" s="320"/>
      <c r="S94" s="320"/>
      <c r="T94" s="320"/>
      <c r="U94" s="322"/>
      <c r="V94" s="340"/>
    </row>
    <row r="95" spans="1:24" ht="15" customHeight="1" x14ac:dyDescent="0.25">
      <c r="A95" s="388">
        <f>IF('Account Info'!$T$4=TRUE,1,0)</f>
        <v>1</v>
      </c>
      <c r="B95" s="317"/>
      <c r="C95" s="321"/>
      <c r="H95" s="475" t="s">
        <v>395</v>
      </c>
      <c r="I95" s="476">
        <v>0.8</v>
      </c>
      <c r="J95" s="477">
        <v>1.25</v>
      </c>
      <c r="K95" s="950">
        <v>1</v>
      </c>
      <c r="L95" s="474"/>
      <c r="M95" s="320"/>
      <c r="N95" s="320"/>
      <c r="O95" s="320"/>
      <c r="P95" s="320"/>
      <c r="Q95" s="320"/>
      <c r="R95" s="320"/>
      <c r="S95" s="320"/>
      <c r="T95" s="320"/>
      <c r="U95" s="322"/>
      <c r="V95" s="340"/>
    </row>
    <row r="96" spans="1:24" ht="15" customHeight="1" x14ac:dyDescent="0.25">
      <c r="A96" s="388">
        <f>IF('Account Info'!$T$4=TRUE,1,0)</f>
        <v>1</v>
      </c>
      <c r="B96" s="317"/>
      <c r="C96" s="321"/>
      <c r="H96" s="475" t="s">
        <v>396</v>
      </c>
      <c r="I96" s="476">
        <v>0.8</v>
      </c>
      <c r="J96" s="477">
        <v>1.25</v>
      </c>
      <c r="K96" s="950">
        <v>1</v>
      </c>
      <c r="L96" s="474"/>
      <c r="M96" s="320"/>
      <c r="N96" s="320"/>
      <c r="O96" s="320"/>
      <c r="P96" s="320"/>
      <c r="Q96" s="320"/>
      <c r="R96" s="320"/>
      <c r="S96" s="320"/>
      <c r="T96" s="320"/>
      <c r="U96" s="322"/>
      <c r="V96" s="340"/>
    </row>
    <row r="97" spans="1:29" ht="15" customHeight="1" thickBot="1" x14ac:dyDescent="0.3">
      <c r="A97" s="388">
        <f>IF('Account Info'!$T$4=TRUE,1,0)</f>
        <v>1</v>
      </c>
      <c r="B97" s="317"/>
      <c r="C97" s="321"/>
      <c r="H97" s="478" t="s">
        <v>397</v>
      </c>
      <c r="I97" s="479">
        <v>0.8</v>
      </c>
      <c r="J97" s="480">
        <v>1.25</v>
      </c>
      <c r="K97" s="950">
        <v>1</v>
      </c>
      <c r="L97" s="474"/>
      <c r="M97" s="320"/>
      <c r="N97" s="320"/>
      <c r="O97" s="320"/>
      <c r="P97" s="320"/>
      <c r="Q97" s="320"/>
      <c r="R97" s="320"/>
      <c r="S97" s="320"/>
      <c r="T97" s="320"/>
      <c r="U97" s="322"/>
      <c r="V97" s="340"/>
    </row>
    <row r="98" spans="1:29" ht="15" customHeight="1" thickBot="1" x14ac:dyDescent="0.3">
      <c r="A98" s="388">
        <f>IF('Account Info'!$T$4=TRUE,1,0)</f>
        <v>1</v>
      </c>
      <c r="B98" s="317"/>
      <c r="C98" s="321"/>
      <c r="H98" s="481"/>
      <c r="I98" s="482"/>
      <c r="J98" s="483"/>
      <c r="K98" s="952">
        <f>IF(PRODUCT(K93:K97)=0,1,PRODUCT(K93:K97))</f>
        <v>1</v>
      </c>
      <c r="L98" s="464"/>
      <c r="M98" s="320"/>
      <c r="N98" s="320"/>
      <c r="O98" s="320"/>
      <c r="P98" s="320"/>
      <c r="Q98" s="320"/>
      <c r="R98" s="320"/>
      <c r="S98" s="320"/>
      <c r="T98" s="320"/>
      <c r="U98" s="322"/>
      <c r="V98" s="340"/>
      <c r="W98" s="484">
        <f>IF('Account Info'!$AA$7='Account Info'!$AB$7,VLOOKUP('Account Info'!$AA$12,States!$G$2:$K$61,2,FALSE),VLOOKUP('Account Info'!$AA$12,States!$G$2:$K$61,4,FALSE))</f>
        <v>0.5</v>
      </c>
      <c r="X98" s="484">
        <f>IF('Account Info'!$AA$7='Account Info'!$AB$7,VLOOKUP('Account Info'!$AA$12,States!$G$2:$K$61,3,FALSE),VLOOKUP('Account Info'!$AA$12,States!$G$2:$K$61,5,FALSE))</f>
        <v>1.5</v>
      </c>
    </row>
    <row r="99" spans="1:29" ht="15" customHeight="1" x14ac:dyDescent="0.25">
      <c r="A99" s="388">
        <f>IF('Account Info'!$T$4=TRUE,1,0)</f>
        <v>1</v>
      </c>
      <c r="B99" s="317"/>
      <c r="C99" s="321"/>
      <c r="H99" s="485"/>
      <c r="I99" s="482"/>
      <c r="J99" s="483"/>
      <c r="K99" s="486"/>
      <c r="L99" s="464"/>
      <c r="M99" s="320"/>
      <c r="N99" s="320"/>
      <c r="O99" s="320"/>
      <c r="P99" s="320"/>
      <c r="Q99" s="320"/>
      <c r="R99" s="320"/>
      <c r="S99" s="320"/>
      <c r="T99" s="320"/>
      <c r="U99" s="322"/>
      <c r="V99" s="340"/>
      <c r="X99" s="362"/>
      <c r="Y99" s="362"/>
      <c r="Z99" s="362"/>
      <c r="AA99" s="362"/>
    </row>
    <row r="100" spans="1:29" ht="15" customHeight="1" x14ac:dyDescent="0.25">
      <c r="A100" s="388">
        <f>IF('Account Info'!$T$4=TRUE,1,0)</f>
        <v>1</v>
      </c>
      <c r="B100" s="317"/>
      <c r="C100" s="321"/>
      <c r="D100" s="321"/>
      <c r="E100" s="320"/>
      <c r="F100" s="321"/>
      <c r="G100" s="321"/>
      <c r="J100" s="487"/>
      <c r="K100" s="486"/>
      <c r="L100" s="464"/>
      <c r="M100" s="320"/>
      <c r="N100" s="320"/>
      <c r="O100" s="320"/>
      <c r="P100" s="320"/>
      <c r="Q100" s="320"/>
      <c r="R100" s="320"/>
      <c r="S100" s="320"/>
      <c r="T100" s="320"/>
      <c r="U100" s="322"/>
      <c r="V100" s="340"/>
      <c r="W100" s="458" t="s">
        <v>398</v>
      </c>
      <c r="X100" s="939">
        <f ca="1">IF(X90="","",X90*K98)</f>
        <v>5103.4702458543334</v>
      </c>
      <c r="Y100" s="362"/>
      <c r="Z100" s="362"/>
      <c r="AA100" s="362"/>
      <c r="AB100" s="340"/>
      <c r="AC100" s="340"/>
    </row>
    <row r="101" spans="1:29" ht="15" customHeight="1" thickBot="1" x14ac:dyDescent="0.3">
      <c r="A101" s="388">
        <f>IF('Account Info'!$T$4=TRUE,1,0)</f>
        <v>1</v>
      </c>
      <c r="B101" s="324"/>
      <c r="C101" s="325"/>
      <c r="D101" s="325"/>
      <c r="E101" s="326"/>
      <c r="F101" s="325"/>
      <c r="G101" s="325"/>
      <c r="H101" s="488"/>
      <c r="I101" s="489"/>
      <c r="J101" s="489"/>
      <c r="K101" s="325"/>
      <c r="L101" s="469"/>
      <c r="M101" s="326"/>
      <c r="N101" s="326"/>
      <c r="O101" s="326"/>
      <c r="P101" s="326"/>
      <c r="Q101" s="326"/>
      <c r="R101" s="326"/>
      <c r="S101" s="326"/>
      <c r="T101" s="326"/>
      <c r="U101" s="327"/>
      <c r="V101" s="340"/>
      <c r="X101" s="362"/>
      <c r="Y101" s="362"/>
      <c r="Z101" s="362"/>
      <c r="AA101" s="362"/>
      <c r="AB101" s="340"/>
      <c r="AC101" s="340"/>
    </row>
    <row r="102" spans="1:29" ht="15" customHeight="1" x14ac:dyDescent="0.3">
      <c r="A102" s="388">
        <f>IF('Account Info'!$T$4=TRUE,1,0)</f>
        <v>1</v>
      </c>
      <c r="B102" s="451" t="s">
        <v>399</v>
      </c>
      <c r="C102" s="321"/>
      <c r="D102" s="321"/>
      <c r="E102" s="320"/>
      <c r="F102" s="321"/>
      <c r="G102" s="321"/>
      <c r="H102" s="321"/>
      <c r="I102" s="464"/>
      <c r="J102" s="464"/>
      <c r="K102" s="464"/>
      <c r="L102" s="464"/>
      <c r="M102" s="321"/>
      <c r="N102" s="321"/>
      <c r="O102" s="321"/>
      <c r="P102" s="321"/>
      <c r="Q102" s="321"/>
      <c r="R102" s="321"/>
      <c r="S102" s="321"/>
      <c r="T102" s="321"/>
      <c r="U102" s="322"/>
      <c r="V102" s="340">
        <v>1</v>
      </c>
    </row>
    <row r="103" spans="1:29" ht="15" customHeight="1" x14ac:dyDescent="0.25">
      <c r="A103" s="388">
        <f>IF('Account Info'!$T$4=TRUE,1,0)</f>
        <v>1</v>
      </c>
      <c r="B103" s="1111" t="s">
        <v>326</v>
      </c>
      <c r="C103" s="1112"/>
      <c r="D103" s="348" t="s">
        <v>400</v>
      </c>
      <c r="E103" s="439"/>
      <c r="F103" s="349"/>
      <c r="G103" s="349"/>
      <c r="H103" s="453"/>
      <c r="I103" s="361" t="str">
        <f>IF('Account Info'!$AA$4="Range State","Low","")</f>
        <v>Low</v>
      </c>
      <c r="J103" s="361" t="str">
        <f>IF('Account Info'!$AA$4="Range State","Benchmark","Selection")</f>
        <v>Benchmark</v>
      </c>
      <c r="K103" s="361" t="str">
        <f>IF('Account Info'!$AA$4="Range State","High","")</f>
        <v>High</v>
      </c>
      <c r="L103" s="361" t="str">
        <f>IF('Account Info'!$AA$4="Range State","Selection","")</f>
        <v>Selection</v>
      </c>
      <c r="M103" s="440" t="s">
        <v>377</v>
      </c>
      <c r="N103" s="440"/>
      <c r="O103" s="441"/>
      <c r="P103" s="348"/>
      <c r="Q103" s="348"/>
      <c r="R103" s="348"/>
      <c r="S103" s="348"/>
      <c r="T103" s="348"/>
      <c r="U103" s="322"/>
      <c r="V103" s="340">
        <v>1</v>
      </c>
    </row>
    <row r="104" spans="1:29" ht="15" customHeight="1" x14ac:dyDescent="0.25">
      <c r="A104" s="388">
        <f>IF('Account Info'!$T$4=TRUE,1,0)</f>
        <v>1</v>
      </c>
      <c r="B104" s="1111"/>
      <c r="C104" s="1112"/>
      <c r="D104" s="1054" t="s">
        <v>516</v>
      </c>
      <c r="E104" s="1055"/>
      <c r="F104" s="1055"/>
      <c r="G104" s="1055"/>
      <c r="H104" s="1056"/>
      <c r="I104" s="443">
        <f>IF(D104="","",VLOOKUP(D104,X264:AA266,2,FALSE))</f>
        <v>0.8</v>
      </c>
      <c r="J104" s="443">
        <f>IF(D104="","",VLOOKUP(D104,X264:AA266,3,FALSE))</f>
        <v>0.9</v>
      </c>
      <c r="K104" s="443">
        <f>IF(D104="","",VLOOKUP(D104,X264:AA266,4,FALSE))</f>
        <v>0.99</v>
      </c>
      <c r="L104" s="454">
        <f>J104</f>
        <v>0.9</v>
      </c>
      <c r="M104" s="1057"/>
      <c r="N104" s="1058"/>
      <c r="O104" s="1058"/>
      <c r="P104" s="1058"/>
      <c r="Q104" s="1058"/>
      <c r="R104" s="1058"/>
      <c r="S104" s="1058"/>
      <c r="T104" s="1059"/>
      <c r="U104" s="322"/>
      <c r="V104" s="340">
        <f>IF('Account Info'!$AA$4="Flat Rate State",IF(J104="",1,J104),IF(L104="",1,L104))</f>
        <v>0.9</v>
      </c>
    </row>
    <row r="105" spans="1:29" ht="15" customHeight="1" x14ac:dyDescent="0.25">
      <c r="A105" s="388">
        <f>IF('Account Info'!$T$4=TRUE,1,0)</f>
        <v>1</v>
      </c>
      <c r="B105" s="1111"/>
      <c r="C105" s="1112"/>
      <c r="D105" s="456"/>
      <c r="E105" s="457"/>
      <c r="F105" s="456"/>
      <c r="G105" s="456"/>
      <c r="H105" s="456"/>
      <c r="I105" s="464"/>
      <c r="J105" s="464"/>
      <c r="K105" s="460"/>
      <c r="L105" s="460" t="str">
        <f>IF(AND('Account Info'!$AA$4="Range State",L104&lt;&gt;"",OR(L104&lt;I104,L104&gt;K104)),"Factor is out of range","")</f>
        <v/>
      </c>
      <c r="M105" s="1051"/>
      <c r="N105" s="1052"/>
      <c r="O105" s="1052"/>
      <c r="P105" s="1052"/>
      <c r="Q105" s="1052"/>
      <c r="R105" s="1052"/>
      <c r="S105" s="1052"/>
      <c r="T105" s="1053"/>
      <c r="U105" s="322"/>
      <c r="V105" s="340">
        <v>1</v>
      </c>
    </row>
    <row r="106" spans="1:29" ht="15" customHeight="1" x14ac:dyDescent="0.25">
      <c r="A106" s="388">
        <f>IF('Account Info'!$T$4=TRUE,1,0)</f>
        <v>1</v>
      </c>
      <c r="B106" s="1111"/>
      <c r="C106" s="1112"/>
      <c r="D106" s="348" t="s">
        <v>401</v>
      </c>
      <c r="E106" s="439"/>
      <c r="F106" s="349"/>
      <c r="G106" s="349"/>
      <c r="H106" s="453"/>
      <c r="I106" s="361" t="str">
        <f>IF('Account Info'!$AA$4="Range State","Low","")</f>
        <v>Low</v>
      </c>
      <c r="J106" s="361" t="str">
        <f>IF('Account Info'!$AA$4="Range State","Benchmark","Selection")</f>
        <v>Benchmark</v>
      </c>
      <c r="K106" s="361" t="str">
        <f>IF('Account Info'!$AA$4="Range State","High","")</f>
        <v>High</v>
      </c>
      <c r="L106" s="361" t="str">
        <f>IF('Account Info'!$AA$4="Range State","Selection","")</f>
        <v>Selection</v>
      </c>
      <c r="M106" s="440" t="s">
        <v>377</v>
      </c>
      <c r="N106" s="440"/>
      <c r="O106" s="441"/>
      <c r="P106" s="348"/>
      <c r="Q106" s="348"/>
      <c r="R106" s="348"/>
      <c r="S106" s="348"/>
      <c r="T106" s="348"/>
      <c r="U106" s="322"/>
      <c r="V106" s="340">
        <v>1</v>
      </c>
    </row>
    <row r="107" spans="1:29" ht="15" customHeight="1" x14ac:dyDescent="0.25">
      <c r="A107" s="388">
        <f>IF('Account Info'!$T$4=TRUE,1,0)</f>
        <v>1</v>
      </c>
      <c r="B107" s="1111"/>
      <c r="C107" s="1112"/>
      <c r="D107" s="1054" t="s">
        <v>522</v>
      </c>
      <c r="E107" s="1055"/>
      <c r="F107" s="1055"/>
      <c r="G107" s="1055"/>
      <c r="H107" s="1056"/>
      <c r="I107" s="443">
        <f>IF(D107="","",VLOOKUP(D107,X273:AA277,2,FALSE))</f>
        <v>1</v>
      </c>
      <c r="J107" s="443">
        <f>IF(D107="","",VLOOKUP(D107,X273:AA277,3,FALSE))</f>
        <v>1</v>
      </c>
      <c r="K107" s="443">
        <f>IF(D107="","",VLOOKUP(D107,X273:AA277,4,FALSE))</f>
        <v>1</v>
      </c>
      <c r="L107" s="454">
        <f>J107</f>
        <v>1</v>
      </c>
      <c r="M107" s="1057"/>
      <c r="N107" s="1058"/>
      <c r="O107" s="1058"/>
      <c r="P107" s="1058"/>
      <c r="Q107" s="1058"/>
      <c r="R107" s="1058"/>
      <c r="S107" s="1058"/>
      <c r="T107" s="1059"/>
      <c r="U107" s="322"/>
      <c r="V107" s="340">
        <f>IF('Account Info'!$AA$4="Flat Rate State",IF(J107="",1,J107),IF(L107="",1,L107))</f>
        <v>1</v>
      </c>
    </row>
    <row r="108" spans="1:29" ht="15" customHeight="1" x14ac:dyDescent="0.25">
      <c r="A108" s="388">
        <f>IF('Account Info'!$T$4=TRUE,1,0)</f>
        <v>1</v>
      </c>
      <c r="B108" s="1111"/>
      <c r="C108" s="1112"/>
      <c r="D108" s="456"/>
      <c r="E108" s="457"/>
      <c r="F108" s="456"/>
      <c r="G108" s="456"/>
      <c r="H108" s="456"/>
      <c r="I108" s="464"/>
      <c r="J108" s="464"/>
      <c r="K108" s="460"/>
      <c r="L108" s="460" t="str">
        <f>IF(AND('Account Info'!$AA$4="Range State",L107&lt;&gt;"",OR(L107&lt;I107,L107&gt;K107)),"Factor is out of range","")</f>
        <v/>
      </c>
      <c r="M108" s="1051"/>
      <c r="N108" s="1052"/>
      <c r="O108" s="1052"/>
      <c r="P108" s="1052"/>
      <c r="Q108" s="1052"/>
      <c r="R108" s="1052"/>
      <c r="S108" s="1052"/>
      <c r="T108" s="1053"/>
      <c r="U108" s="322"/>
      <c r="V108" s="340">
        <v>1</v>
      </c>
    </row>
    <row r="109" spans="1:29" ht="15" customHeight="1" x14ac:dyDescent="0.25">
      <c r="A109" s="388">
        <f>IF('Account Info'!$T$4=TRUE,1,0)</f>
        <v>1</v>
      </c>
      <c r="B109" s="1111"/>
      <c r="C109" s="1112"/>
      <c r="D109" s="348" t="s">
        <v>402</v>
      </c>
      <c r="E109" s="439"/>
      <c r="F109" s="349"/>
      <c r="G109" s="349"/>
      <c r="H109" s="453"/>
      <c r="I109" s="361" t="s">
        <v>403</v>
      </c>
      <c r="J109" s="361"/>
      <c r="K109" s="361"/>
      <c r="L109" s="361"/>
      <c r="M109" s="440" t="s">
        <v>377</v>
      </c>
      <c r="N109" s="440"/>
      <c r="O109" s="441"/>
      <c r="P109" s="348"/>
      <c r="Q109" s="348"/>
      <c r="R109" s="348"/>
      <c r="S109" s="348"/>
      <c r="T109" s="348"/>
      <c r="U109" s="322"/>
      <c r="V109" s="340">
        <v>1</v>
      </c>
    </row>
    <row r="110" spans="1:29" ht="15" customHeight="1" x14ac:dyDescent="0.25">
      <c r="A110" s="388">
        <f>IF('Account Info'!$T$4=TRUE,1,0)</f>
        <v>1</v>
      </c>
      <c r="B110" s="1111"/>
      <c r="C110" s="1112"/>
      <c r="D110" s="1033">
        <v>250000</v>
      </c>
      <c r="E110" s="1100"/>
      <c r="F110" s="1100"/>
      <c r="G110" s="1100"/>
      <c r="H110" s="1101"/>
      <c r="I110" s="939">
        <f ca="1">ROUND(IF(D110="",0,AC283)*'Account Info'!AA17,0)</f>
        <v>125</v>
      </c>
      <c r="J110" s="490" t="e">
        <f>IF(D110="","",VLOOKUP(D110,X277:AA281,3,FALSE))</f>
        <v>#N/A</v>
      </c>
      <c r="K110" s="490" t="e">
        <f>IF(D110="","",VLOOKUP(D110,X277:AA281,FALSE))</f>
        <v>#VALUE!</v>
      </c>
      <c r="L110" s="490"/>
      <c r="M110" s="1057"/>
      <c r="N110" s="1058"/>
      <c r="O110" s="1058"/>
      <c r="P110" s="1058"/>
      <c r="Q110" s="1058"/>
      <c r="R110" s="1058"/>
      <c r="S110" s="1058"/>
      <c r="T110" s="1059"/>
      <c r="U110" s="322"/>
      <c r="V110" s="340"/>
    </row>
    <row r="111" spans="1:29" ht="15" customHeight="1" x14ac:dyDescent="0.25">
      <c r="A111" s="388">
        <f>IF('Account Info'!$T$4=TRUE,1,0)</f>
        <v>1</v>
      </c>
      <c r="B111" s="1111"/>
      <c r="C111" s="1112"/>
      <c r="D111" s="456"/>
      <c r="E111" s="457"/>
      <c r="F111" s="456"/>
      <c r="G111" s="456"/>
      <c r="H111" s="456"/>
      <c r="I111" s="464"/>
      <c r="J111" s="464"/>
      <c r="K111" s="464"/>
      <c r="L111" s="464"/>
      <c r="M111" s="1051"/>
      <c r="N111" s="1052"/>
      <c r="O111" s="1052"/>
      <c r="P111" s="1052"/>
      <c r="Q111" s="1052"/>
      <c r="R111" s="1052"/>
      <c r="S111" s="1052"/>
      <c r="T111" s="1053"/>
      <c r="U111" s="322"/>
      <c r="V111" s="340"/>
    </row>
    <row r="112" spans="1:29" ht="15" customHeight="1" x14ac:dyDescent="0.25">
      <c r="A112" s="388">
        <f>IF('Account Info'!$T$4=TRUE,1,0)</f>
        <v>1</v>
      </c>
      <c r="B112" s="1111"/>
      <c r="C112" s="1112"/>
      <c r="D112" s="348" t="s">
        <v>404</v>
      </c>
      <c r="E112" s="439"/>
      <c r="F112" s="349"/>
      <c r="G112" s="349"/>
      <c r="H112" s="453"/>
      <c r="I112" s="361" t="s">
        <v>403</v>
      </c>
      <c r="J112" s="361"/>
      <c r="K112" s="361"/>
      <c r="L112" s="361"/>
      <c r="M112" s="440" t="s">
        <v>377</v>
      </c>
      <c r="N112" s="440"/>
      <c r="O112" s="441"/>
      <c r="P112" s="348"/>
      <c r="Q112" s="348"/>
      <c r="R112" s="348"/>
      <c r="S112" s="348"/>
      <c r="T112" s="348"/>
      <c r="U112" s="322"/>
      <c r="V112" s="340"/>
    </row>
    <row r="113" spans="1:26" ht="15" customHeight="1" x14ac:dyDescent="0.25">
      <c r="A113" s="388">
        <f>IF('Account Info'!$T$4=TRUE,1,0)</f>
        <v>1</v>
      </c>
      <c r="B113" s="1111"/>
      <c r="C113" s="1112"/>
      <c r="D113" s="1033">
        <v>25000</v>
      </c>
      <c r="E113" s="1100"/>
      <c r="F113" s="1100"/>
      <c r="G113" s="1100"/>
      <c r="H113" s="1101"/>
      <c r="I113" s="939">
        <f ca="1">ROUND(IF(D113="",0,AC292)*'Account Info'!AA17,0)</f>
        <v>13</v>
      </c>
      <c r="J113" s="490" t="e">
        <f>IF(D113="","",VLOOKUP(D113,X281:AA285,3,FALSE))</f>
        <v>#N/A</v>
      </c>
      <c r="K113" s="490" t="e">
        <f>IF(D113="","",VLOOKUP(D113,X281:AA285,FALSE))</f>
        <v>#VALUE!</v>
      </c>
      <c r="L113" s="490"/>
      <c r="M113" s="1057"/>
      <c r="N113" s="1058"/>
      <c r="O113" s="1058"/>
      <c r="P113" s="1058"/>
      <c r="Q113" s="1058"/>
      <c r="R113" s="1058"/>
      <c r="S113" s="1058"/>
      <c r="T113" s="1059"/>
      <c r="U113" s="322"/>
      <c r="V113" s="340"/>
    </row>
    <row r="114" spans="1:26" ht="15" customHeight="1" x14ac:dyDescent="0.25">
      <c r="A114" s="388">
        <f>IF('Account Info'!$T$4=TRUE,1,0)</f>
        <v>1</v>
      </c>
      <c r="B114" s="1111"/>
      <c r="C114" s="1112"/>
      <c r="D114" s="456"/>
      <c r="E114" s="457"/>
      <c r="F114" s="456"/>
      <c r="G114" s="456"/>
      <c r="H114" s="456"/>
      <c r="I114" s="464"/>
      <c r="J114" s="464"/>
      <c r="K114" s="464"/>
      <c r="L114" s="464"/>
      <c r="M114" s="1051"/>
      <c r="N114" s="1052"/>
      <c r="O114" s="1052"/>
      <c r="P114" s="1052"/>
      <c r="Q114" s="1052"/>
      <c r="R114" s="1052"/>
      <c r="S114" s="1052"/>
      <c r="T114" s="1053"/>
      <c r="U114" s="322"/>
      <c r="V114" s="340"/>
    </row>
    <row r="115" spans="1:26" ht="15" customHeight="1" x14ac:dyDescent="0.25">
      <c r="A115" s="388">
        <f>IF('Account Info'!$T$4=TRUE,1,0)</f>
        <v>1</v>
      </c>
      <c r="B115" s="1111"/>
      <c r="C115" s="1112"/>
      <c r="D115" s="348" t="s">
        <v>405</v>
      </c>
      <c r="E115" s="439"/>
      <c r="F115" s="349"/>
      <c r="G115" s="349"/>
      <c r="H115" s="453"/>
      <c r="I115" s="361" t="s">
        <v>403</v>
      </c>
      <c r="J115" s="361"/>
      <c r="K115" s="361"/>
      <c r="L115" s="361"/>
      <c r="M115" s="440" t="s">
        <v>377</v>
      </c>
      <c r="N115" s="440"/>
      <c r="O115" s="441"/>
      <c r="P115" s="348"/>
      <c r="Q115" s="348"/>
      <c r="R115" s="348"/>
      <c r="S115" s="348"/>
      <c r="T115" s="348"/>
      <c r="U115" s="322"/>
      <c r="V115" s="340"/>
    </row>
    <row r="116" spans="1:26" ht="15" customHeight="1" x14ac:dyDescent="0.25">
      <c r="A116" s="388">
        <f>IF('Account Info'!$T$4=TRUE,1,0)</f>
        <v>1</v>
      </c>
      <c r="B116" s="1111"/>
      <c r="C116" s="1112"/>
      <c r="D116" s="1033">
        <v>25000</v>
      </c>
      <c r="E116" s="1100"/>
      <c r="F116" s="1100"/>
      <c r="G116" s="1100"/>
      <c r="H116" s="1101"/>
      <c r="I116" s="939">
        <f ca="1">ROUND(IF(D116="",0,AC301)*'Account Info'!AA17,0)</f>
        <v>13</v>
      </c>
      <c r="J116" s="490" t="e">
        <f>IF(D116="","",VLOOKUP(D116,X285:AA288,3,FALSE))</f>
        <v>#N/A</v>
      </c>
      <c r="K116" s="490" t="e">
        <f>IF(D116="","",VLOOKUP(D116,X285:AA288,FALSE))</f>
        <v>#N/A</v>
      </c>
      <c r="L116" s="490"/>
      <c r="M116" s="1057"/>
      <c r="N116" s="1058"/>
      <c r="O116" s="1058"/>
      <c r="P116" s="1058"/>
      <c r="Q116" s="1058"/>
      <c r="R116" s="1058"/>
      <c r="S116" s="1058"/>
      <c r="T116" s="1059"/>
      <c r="U116" s="322"/>
      <c r="V116" s="340"/>
    </row>
    <row r="117" spans="1:26" ht="15" customHeight="1" x14ac:dyDescent="0.25">
      <c r="A117" s="388">
        <f>IF('Account Info'!$T$4=TRUE,1,0)</f>
        <v>1</v>
      </c>
      <c r="B117" s="1111"/>
      <c r="C117" s="1112"/>
      <c r="D117" s="491"/>
      <c r="E117" s="492"/>
      <c r="F117" s="492"/>
      <c r="G117" s="492"/>
      <c r="H117" s="492"/>
      <c r="I117" s="493"/>
      <c r="J117" s="494"/>
      <c r="K117" s="494"/>
      <c r="L117" s="494"/>
      <c r="M117" s="1051"/>
      <c r="N117" s="1052"/>
      <c r="O117" s="1052"/>
      <c r="P117" s="1052"/>
      <c r="Q117" s="1052"/>
      <c r="R117" s="1052"/>
      <c r="S117" s="1052"/>
      <c r="T117" s="1053"/>
      <c r="U117" s="322"/>
      <c r="V117" s="340"/>
    </row>
    <row r="118" spans="1:26" ht="15" customHeight="1" x14ac:dyDescent="0.25">
      <c r="A118" s="388">
        <f>IF('Account Info'!$T$4=TRUE,1,0)</f>
        <v>1</v>
      </c>
      <c r="B118" s="1111"/>
      <c r="C118" s="1112"/>
      <c r="D118" s="491"/>
      <c r="E118" s="492"/>
      <c r="F118" s="492"/>
      <c r="G118" s="492"/>
      <c r="H118" s="465" t="s">
        <v>406</v>
      </c>
      <c r="I118" s="939">
        <f ca="1">IF(X100="","",ROUND(X100*PRODUCT(V102:V109)+I110+I113+I116,0))</f>
        <v>4744</v>
      </c>
      <c r="J118" s="494"/>
      <c r="K118" s="494"/>
      <c r="L118" s="494"/>
      <c r="M118" s="467"/>
      <c r="N118" s="468"/>
      <c r="O118" s="468"/>
      <c r="P118" s="468"/>
      <c r="Q118" s="468"/>
      <c r="R118" s="468"/>
      <c r="S118" s="468"/>
      <c r="T118" s="468"/>
      <c r="U118" s="322"/>
      <c r="V118" s="340"/>
    </row>
    <row r="119" spans="1:26" ht="15" hidden="1" customHeight="1" x14ac:dyDescent="0.25">
      <c r="A119" s="495">
        <f>IF($X$30=TRUE,1,0)</f>
        <v>0</v>
      </c>
      <c r="B119" s="1111"/>
      <c r="C119" s="1112"/>
      <c r="D119" s="491"/>
      <c r="E119" s="492"/>
      <c r="F119" s="492"/>
      <c r="G119" s="492"/>
      <c r="H119" s="465"/>
      <c r="I119" s="496"/>
      <c r="J119" s="494"/>
      <c r="K119" s="494"/>
      <c r="L119" s="494"/>
      <c r="M119" s="467"/>
      <c r="N119" s="468"/>
      <c r="O119" s="468"/>
      <c r="P119" s="468"/>
      <c r="Q119" s="468"/>
      <c r="R119" s="468"/>
      <c r="S119" s="468"/>
      <c r="T119" s="468"/>
      <c r="U119" s="322"/>
      <c r="V119" s="340"/>
    </row>
    <row r="120" spans="1:26" ht="15" hidden="1" customHeight="1" x14ac:dyDescent="0.25">
      <c r="A120" s="495">
        <f t="shared" ref="A120" si="14">IF($X$30=TRUE,1,0)</f>
        <v>0</v>
      </c>
      <c r="B120" s="1111"/>
      <c r="C120" s="1112"/>
      <c r="D120" s="491"/>
      <c r="E120" s="492"/>
      <c r="F120" s="492"/>
      <c r="G120" s="492"/>
      <c r="H120" s="465" t="s">
        <v>407</v>
      </c>
      <c r="I120" s="939">
        <f ca="1">IF(I118="","",ROUND(IF(X30=FALSE,I118,I118*$V$51),0))</f>
        <v>4744</v>
      </c>
      <c r="J120" s="494"/>
      <c r="K120" s="494"/>
      <c r="L120" s="494"/>
      <c r="M120" s="467"/>
      <c r="N120" s="468"/>
      <c r="O120" s="468"/>
      <c r="P120" s="468"/>
      <c r="Q120" s="468"/>
      <c r="R120" s="468"/>
      <c r="S120" s="468"/>
      <c r="T120" s="468"/>
      <c r="U120" s="322"/>
      <c r="V120" s="340"/>
    </row>
    <row r="121" spans="1:26" ht="15" customHeight="1" x14ac:dyDescent="0.25">
      <c r="A121" s="388">
        <f>IF('Account Info'!$T$4=TRUE,1,0)</f>
        <v>1</v>
      </c>
      <c r="B121" s="1111"/>
      <c r="C121" s="1112"/>
      <c r="D121" s="491"/>
      <c r="E121" s="492"/>
      <c r="F121" s="492"/>
      <c r="G121" s="492"/>
      <c r="H121" s="465"/>
      <c r="I121" s="496"/>
      <c r="J121" s="497" t="s">
        <v>403</v>
      </c>
      <c r="K121" s="494"/>
      <c r="L121" s="494"/>
      <c r="M121" s="467"/>
      <c r="N121" s="468"/>
      <c r="O121" s="468"/>
      <c r="P121" s="468"/>
      <c r="Q121" s="468"/>
      <c r="R121" s="468"/>
      <c r="S121" s="468"/>
      <c r="T121" s="468"/>
      <c r="U121" s="322"/>
      <c r="V121" s="340"/>
      <c r="Z121" s="313" t="s">
        <v>408</v>
      </c>
    </row>
    <row r="122" spans="1:26" ht="15" customHeight="1" x14ac:dyDescent="0.25">
      <c r="A122" s="388">
        <f>IF('Account Info'!$T$4=TRUE,1,0)</f>
        <v>1</v>
      </c>
      <c r="B122" s="1111"/>
      <c r="C122" s="1112"/>
      <c r="D122" s="491"/>
      <c r="E122" s="492"/>
      <c r="F122" s="492"/>
      <c r="G122" s="492"/>
      <c r="H122" s="465" t="s">
        <v>409</v>
      </c>
      <c r="I122" s="498">
        <v>0</v>
      </c>
      <c r="J122" s="939">
        <f>ROUND(IF(I122=0,0,((('D&amp;O-EPL-Crime-Fidu ILFs'!AW6-'D&amp;O-EPL-Crime-Fidu ILFs'!AE6)*0.4)/'D&amp;O-EPL-Crime-Fidu ILFs'!AE6)*I118),0)</f>
        <v>0</v>
      </c>
      <c r="K122" s="494"/>
      <c r="L122" s="494"/>
      <c r="M122" s="467"/>
      <c r="N122" s="468"/>
      <c r="O122" s="468"/>
      <c r="P122" s="468"/>
      <c r="Q122" s="468"/>
      <c r="R122" s="468"/>
      <c r="S122" s="468"/>
      <c r="T122" s="468"/>
      <c r="U122" s="322"/>
      <c r="V122" s="340"/>
      <c r="Z122" s="410">
        <v>0</v>
      </c>
    </row>
    <row r="123" spans="1:26" ht="15" customHeight="1" x14ac:dyDescent="0.25">
      <c r="A123" s="499">
        <f>IF(AND('Account Info'!$U$12&gt;1,'Account Info'!$T$4=TRUE),1,0)</f>
        <v>1</v>
      </c>
      <c r="B123" s="1111"/>
      <c r="C123" s="1112"/>
      <c r="D123" s="491"/>
      <c r="E123" s="492"/>
      <c r="F123" s="492"/>
      <c r="G123" s="492"/>
      <c r="H123" s="465"/>
      <c r="J123" s="361" t="str">
        <f>IF(AND('Account Info'!$AA$4="Range State",I124="Yes"),"Low","")</f>
        <v>Low</v>
      </c>
      <c r="K123" s="361" t="str">
        <f>IF(I124&lt;&gt;"Yes","",IF('Account Info'!$AA$4="Range State","Benchmark","Selection"))</f>
        <v>Benchmark</v>
      </c>
      <c r="L123" s="361" t="str">
        <f>IF(AND('Account Info'!$AA$4="Range State",I124="Yes"),"High","")</f>
        <v>High</v>
      </c>
      <c r="M123" s="361" t="str">
        <f>IF(AND('Account Info'!$AA$4="Range State",I124="Yes"),"Selection","")</f>
        <v>Selection</v>
      </c>
      <c r="N123" s="468"/>
      <c r="O123" s="468"/>
      <c r="P123" s="468"/>
      <c r="Q123" s="468"/>
      <c r="R123" s="468"/>
      <c r="S123" s="468"/>
      <c r="T123" s="468"/>
      <c r="U123" s="322"/>
      <c r="V123" s="340"/>
      <c r="Z123" s="410">
        <v>250000</v>
      </c>
    </row>
    <row r="124" spans="1:26" ht="15" customHeight="1" x14ac:dyDescent="0.25">
      <c r="A124" s="499">
        <f>IF(AND('Account Info'!$U$12&gt;1,'Account Info'!$T$4=TRUE),1,0)</f>
        <v>1</v>
      </c>
      <c r="B124" s="1111"/>
      <c r="C124" s="1112"/>
      <c r="D124" s="491"/>
      <c r="E124" s="492"/>
      <c r="F124" s="492"/>
      <c r="G124" s="492"/>
      <c r="H124" s="465" t="s">
        <v>410</v>
      </c>
      <c r="I124" s="498" t="s">
        <v>412</v>
      </c>
      <c r="J124" s="443">
        <f>IF(I124="Yes",0.8,1)</f>
        <v>0.8</v>
      </c>
      <c r="K124" s="443">
        <f>IF(I124="Yes",0.9,1)</f>
        <v>0.9</v>
      </c>
      <c r="L124" s="443">
        <f>IF(I124="Yes",1,1)</f>
        <v>1</v>
      </c>
      <c r="M124" s="444">
        <v>0.9</v>
      </c>
      <c r="N124" s="468"/>
      <c r="O124" s="468"/>
      <c r="P124" s="468"/>
      <c r="Q124" s="468"/>
      <c r="R124" s="468"/>
      <c r="S124" s="468"/>
      <c r="T124" s="468"/>
      <c r="U124" s="322"/>
      <c r="V124" s="340">
        <f>IF('Account Info'!$AA$4="Flat Rate State",IF(K124="",1,K124),IF(M124="",1,M124))</f>
        <v>0.9</v>
      </c>
      <c r="X124" s="313" t="s">
        <v>412</v>
      </c>
      <c r="Z124" s="410">
        <v>500000</v>
      </c>
    </row>
    <row r="125" spans="1:26" ht="15" customHeight="1" x14ac:dyDescent="0.25">
      <c r="A125" s="388">
        <f>IF('Account Info'!$T$4=TRUE,1,0)</f>
        <v>1</v>
      </c>
      <c r="B125" s="1111"/>
      <c r="C125" s="1112"/>
      <c r="D125" s="491"/>
      <c r="E125" s="492"/>
      <c r="F125" s="492"/>
      <c r="G125" s="492"/>
      <c r="H125" s="465"/>
      <c r="I125" s="496"/>
      <c r="J125" s="494"/>
      <c r="K125" s="494"/>
      <c r="L125" s="494"/>
      <c r="M125" s="467"/>
      <c r="N125" s="468"/>
      <c r="O125" s="468"/>
      <c r="P125" s="468"/>
      <c r="Q125" s="468"/>
      <c r="R125" s="468"/>
      <c r="S125" s="468"/>
      <c r="T125" s="468"/>
      <c r="U125" s="322"/>
      <c r="V125" s="340"/>
      <c r="X125" s="313" t="s">
        <v>411</v>
      </c>
      <c r="Z125" s="410">
        <v>750000</v>
      </c>
    </row>
    <row r="126" spans="1:26" ht="15" customHeight="1" x14ac:dyDescent="0.25">
      <c r="A126" s="388">
        <f>IF('Account Info'!$T$4=TRUE,1,0)</f>
        <v>1</v>
      </c>
      <c r="B126" s="1111"/>
      <c r="C126" s="1112"/>
      <c r="D126" s="491"/>
      <c r="E126" s="492"/>
      <c r="F126" s="492"/>
      <c r="G126" s="492"/>
      <c r="H126" s="465" t="s">
        <v>413</v>
      </c>
      <c r="I126" s="939">
        <f ca="1">IF(I120="","",ROUND(I120+J122*V124,0))</f>
        <v>4744</v>
      </c>
      <c r="J126" s="494"/>
      <c r="K126" s="494"/>
      <c r="L126" s="494"/>
      <c r="M126" s="467"/>
      <c r="N126" s="468"/>
      <c r="O126" s="468"/>
      <c r="P126" s="468"/>
      <c r="Q126" s="468"/>
      <c r="R126" s="468"/>
      <c r="S126" s="468"/>
      <c r="T126" s="468"/>
      <c r="U126" s="322"/>
      <c r="V126" s="340"/>
      <c r="Z126" s="410">
        <v>1000000</v>
      </c>
    </row>
    <row r="127" spans="1:26" ht="15" customHeight="1" x14ac:dyDescent="0.25">
      <c r="A127" s="388">
        <f>IF('Account Info'!$T$4=TRUE,1,0)</f>
        <v>1</v>
      </c>
      <c r="B127" s="1111"/>
      <c r="C127" s="1112"/>
      <c r="D127" s="491"/>
      <c r="E127" s="492"/>
      <c r="F127" s="492"/>
      <c r="G127" s="492"/>
      <c r="H127" s="465"/>
      <c r="I127" s="496"/>
      <c r="J127" s="497" t="s">
        <v>403</v>
      </c>
      <c r="K127" s="494"/>
      <c r="L127" s="494"/>
      <c r="M127" s="467"/>
      <c r="N127" s="468"/>
      <c r="O127" s="468"/>
      <c r="P127" s="468"/>
      <c r="Q127" s="468"/>
      <c r="R127" s="468"/>
      <c r="S127" s="468"/>
      <c r="T127" s="468"/>
      <c r="U127" s="322"/>
      <c r="V127" s="340"/>
      <c r="Z127" s="410">
        <v>1250000</v>
      </c>
    </row>
    <row r="128" spans="1:26" ht="15" customHeight="1" x14ac:dyDescent="0.25">
      <c r="A128" s="388">
        <f>IF('Account Info'!$T$4=TRUE,1,0)</f>
        <v>1</v>
      </c>
      <c r="B128" s="1111"/>
      <c r="C128" s="1112"/>
      <c r="D128" s="491"/>
      <c r="E128" s="492"/>
      <c r="F128" s="492"/>
      <c r="G128" s="492"/>
      <c r="H128" s="465" t="s">
        <v>414</v>
      </c>
      <c r="I128" s="498">
        <v>1000000</v>
      </c>
      <c r="J128" s="939">
        <f ca="1">ROUND(IF(I128=0,0,AC312)*'Account Info'!AA17,0)</f>
        <v>150</v>
      </c>
      <c r="K128" s="494"/>
      <c r="L128" s="494"/>
      <c r="M128" s="467"/>
      <c r="N128" s="468"/>
      <c r="O128" s="468"/>
      <c r="P128" s="468"/>
      <c r="Q128" s="468"/>
      <c r="R128" s="468"/>
      <c r="S128" s="468"/>
      <c r="T128" s="468"/>
      <c r="U128" s="322"/>
      <c r="V128" s="340"/>
      <c r="Z128" s="410">
        <v>1500000</v>
      </c>
    </row>
    <row r="129" spans="1:43" ht="15" customHeight="1" x14ac:dyDescent="0.25">
      <c r="A129" s="388">
        <f>IF('Account Info'!$T$4=TRUE,1,0)</f>
        <v>1</v>
      </c>
      <c r="B129" s="1111"/>
      <c r="C129" s="1112"/>
      <c r="D129" s="491"/>
      <c r="E129" s="492"/>
      <c r="F129" s="492"/>
      <c r="G129" s="492"/>
      <c r="H129" s="465"/>
      <c r="I129" s="496"/>
      <c r="J129" s="496"/>
      <c r="K129" s="494"/>
      <c r="L129" s="494"/>
      <c r="M129" s="467"/>
      <c r="N129" s="468"/>
      <c r="O129" s="468"/>
      <c r="P129" s="468"/>
      <c r="Q129" s="468"/>
      <c r="R129" s="468"/>
      <c r="S129" s="468"/>
      <c r="T129" s="468"/>
      <c r="U129" s="322"/>
      <c r="V129" s="340"/>
      <c r="AD129" s="255"/>
      <c r="AE129" s="255"/>
      <c r="AF129" s="255"/>
      <c r="AG129" s="255"/>
      <c r="AJ129" s="362"/>
      <c r="AK129" s="362"/>
      <c r="AL129" s="362"/>
      <c r="AM129" s="362"/>
      <c r="AN129" s="500" t="s">
        <v>415</v>
      </c>
      <c r="AO129" s="388"/>
      <c r="AP129" s="388"/>
      <c r="AQ129" s="388"/>
    </row>
    <row r="130" spans="1:43" ht="15" customHeight="1" x14ac:dyDescent="0.25">
      <c r="A130" s="388">
        <f>IF('Account Info'!$T$4=TRUE,1,0)</f>
        <v>1</v>
      </c>
      <c r="B130" s="1111"/>
      <c r="C130" s="1112"/>
      <c r="D130" s="491"/>
      <c r="E130" s="492"/>
      <c r="F130" s="492"/>
      <c r="G130" s="492"/>
      <c r="H130" s="465" t="s">
        <v>416</v>
      </c>
      <c r="I130" s="939">
        <f ca="1">IF(I126="","",ROUND(I126+J128,0))</f>
        <v>4894</v>
      </c>
      <c r="J130" s="496"/>
      <c r="K130" s="494"/>
      <c r="L130" s="494"/>
      <c r="M130" s="467"/>
      <c r="N130" s="468"/>
      <c r="O130" s="468"/>
      <c r="P130" s="468"/>
      <c r="Q130" s="468"/>
      <c r="R130" s="468"/>
      <c r="S130" s="468"/>
      <c r="T130" s="468"/>
      <c r="U130" s="322"/>
      <c r="V130" s="340"/>
      <c r="AD130" s="255"/>
      <c r="AE130" s="255"/>
      <c r="AF130" s="255"/>
      <c r="AG130" s="255"/>
      <c r="AH130" s="340"/>
      <c r="AI130" s="340"/>
      <c r="AJ130" s="255"/>
      <c r="AK130" s="362"/>
      <c r="AL130" s="362"/>
      <c r="AM130" s="362"/>
      <c r="AN130" s="405" t="s">
        <v>417</v>
      </c>
      <c r="AO130" s="378">
        <v>0.75</v>
      </c>
      <c r="AP130" s="378">
        <f>ROUND(AVERAGE(AO130,AQ130),2)</f>
        <v>0.87</v>
      </c>
      <c r="AQ130" s="378">
        <v>0.99</v>
      </c>
    </row>
    <row r="131" spans="1:43" ht="15" customHeight="1" thickBot="1" x14ac:dyDescent="0.3">
      <c r="A131" s="388">
        <f>IF('Account Info'!$T$4=TRUE,1,0)</f>
        <v>1</v>
      </c>
      <c r="B131" s="1113"/>
      <c r="C131" s="1114"/>
      <c r="D131" s="326"/>
      <c r="E131" s="326"/>
      <c r="F131" s="326"/>
      <c r="G131" s="326"/>
      <c r="H131" s="326"/>
      <c r="I131" s="469"/>
      <c r="J131" s="469"/>
      <c r="K131" s="469"/>
      <c r="L131" s="469"/>
      <c r="M131" s="326"/>
      <c r="N131" s="326"/>
      <c r="O131" s="326"/>
      <c r="P131" s="326"/>
      <c r="Q131" s="326"/>
      <c r="R131" s="326"/>
      <c r="S131" s="326"/>
      <c r="T131" s="326"/>
      <c r="U131" s="327"/>
      <c r="V131" s="340"/>
      <c r="AD131" s="255"/>
      <c r="AE131" s="255"/>
      <c r="AF131" s="255"/>
      <c r="AG131" s="255"/>
      <c r="AH131" s="340"/>
      <c r="AI131" s="340"/>
      <c r="AJ131" s="255"/>
      <c r="AK131" s="362"/>
      <c r="AL131" s="362"/>
      <c r="AM131" s="362"/>
      <c r="AN131" s="405" t="s">
        <v>418</v>
      </c>
      <c r="AO131" s="378">
        <v>1</v>
      </c>
      <c r="AP131" s="378">
        <f>ROUND(AVERAGE(AO131,AQ131),2)</f>
        <v>1.1000000000000001</v>
      </c>
      <c r="AQ131" s="378">
        <v>1.2</v>
      </c>
    </row>
    <row r="132" spans="1:43" ht="18.75" x14ac:dyDescent="0.3">
      <c r="A132" s="420">
        <f>IF('Account Info'!$T$5=TRUE,1,0)</f>
        <v>1</v>
      </c>
      <c r="B132" s="470" t="s">
        <v>419</v>
      </c>
      <c r="C132" s="309"/>
      <c r="D132" s="309"/>
      <c r="E132" s="310"/>
      <c r="F132" s="309"/>
      <c r="G132" s="309"/>
      <c r="H132" s="310"/>
      <c r="I132" s="501"/>
      <c r="J132" s="501"/>
      <c r="K132" s="501"/>
      <c r="L132" s="501"/>
      <c r="M132" s="309"/>
      <c r="N132" s="309"/>
      <c r="O132" s="309"/>
      <c r="P132" s="309"/>
      <c r="Q132" s="309"/>
      <c r="R132" s="309"/>
      <c r="S132" s="309"/>
      <c r="T132" s="309"/>
      <c r="U132" s="311"/>
      <c r="V132" s="340">
        <v>1</v>
      </c>
      <c r="X132" s="362"/>
      <c r="Y132" s="362"/>
      <c r="Z132" s="362"/>
      <c r="AA132" s="255"/>
      <c r="AB132" s="340"/>
      <c r="AC132" s="340"/>
      <c r="AD132" s="255"/>
      <c r="AE132" s="255"/>
      <c r="AF132" s="255"/>
      <c r="AG132" s="255"/>
      <c r="AH132" s="340"/>
      <c r="AI132" s="340"/>
      <c r="AJ132" s="255"/>
      <c r="AK132" s="362"/>
      <c r="AL132" s="362"/>
      <c r="AM132" s="362"/>
      <c r="AN132" s="405" t="s">
        <v>420</v>
      </c>
      <c r="AO132" s="378">
        <v>1.21</v>
      </c>
      <c r="AP132" s="378">
        <f>ROUND(AVERAGE(AO132,AQ132),2)</f>
        <v>1.43</v>
      </c>
      <c r="AQ132" s="378">
        <v>1.65</v>
      </c>
    </row>
    <row r="133" spans="1:43" ht="15" customHeight="1" x14ac:dyDescent="0.25">
      <c r="A133" s="420">
        <f>IF('Account Info'!$T$5=TRUE,1,0)</f>
        <v>1</v>
      </c>
      <c r="B133" s="1067" t="s">
        <v>327</v>
      </c>
      <c r="C133" s="1068"/>
      <c r="D133" s="348" t="s">
        <v>421</v>
      </c>
      <c r="E133" s="349"/>
      <c r="F133" s="349"/>
      <c r="G133" s="349"/>
      <c r="H133" s="453"/>
      <c r="I133" s="361" t="str">
        <f>IF('Account Info'!$AA$4="Range State","Low","")</f>
        <v>Low</v>
      </c>
      <c r="J133" s="361" t="str">
        <f>IF('Account Info'!$AA$4="Range State","Benchmark","Selection")</f>
        <v>Benchmark</v>
      </c>
      <c r="K133" s="361" t="str">
        <f>IF('Account Info'!$AA$4="Range State","High","")</f>
        <v>High</v>
      </c>
      <c r="L133" s="361" t="str">
        <f>IF('Account Info'!$AA$4="Range State","Selection","")</f>
        <v>Selection</v>
      </c>
      <c r="M133" s="440" t="s">
        <v>377</v>
      </c>
      <c r="N133" s="440"/>
      <c r="O133" s="441"/>
      <c r="P133" s="348"/>
      <c r="Q133" s="348"/>
      <c r="R133" s="348"/>
      <c r="S133" s="348"/>
      <c r="T133" s="348"/>
      <c r="U133" s="322"/>
      <c r="V133" s="340">
        <v>1</v>
      </c>
      <c r="X133" s="362"/>
      <c r="Y133" s="362"/>
      <c r="Z133" s="362"/>
      <c r="AA133" s="255"/>
      <c r="AB133" s="340"/>
      <c r="AC133" s="340"/>
      <c r="AD133" s="255"/>
      <c r="AE133" s="255"/>
      <c r="AF133" s="255"/>
      <c r="AG133" s="255"/>
      <c r="AH133" s="340"/>
      <c r="AI133" s="340"/>
      <c r="AJ133" s="255"/>
      <c r="AK133" s="362"/>
      <c r="AL133" s="362"/>
      <c r="AM133" s="362"/>
      <c r="AN133" s="405" t="s">
        <v>422</v>
      </c>
      <c r="AO133" s="378">
        <v>1.66</v>
      </c>
      <c r="AP133" s="378">
        <f>ROUND(AVERAGE(AO133,AQ133),2)</f>
        <v>2.08</v>
      </c>
      <c r="AQ133" s="378">
        <v>2.5</v>
      </c>
    </row>
    <row r="134" spans="1:43" ht="15" customHeight="1" x14ac:dyDescent="0.25">
      <c r="A134" s="420">
        <f>IF('Account Info'!$T$5=TRUE,1,0)</f>
        <v>1</v>
      </c>
      <c r="B134" s="1067"/>
      <c r="C134" s="1068"/>
      <c r="D134" s="1054" t="s">
        <v>418</v>
      </c>
      <c r="E134" s="1055"/>
      <c r="F134" s="1055"/>
      <c r="G134" s="1055"/>
      <c r="H134" s="1056"/>
      <c r="I134" s="443">
        <f>IF(D134="","",VLOOKUP(D134,AD135:AG138,2,FALSE))</f>
        <v>1</v>
      </c>
      <c r="J134" s="443">
        <f>IF(D134="","",VLOOKUP(D134,AD135:AG138,3,FALSE))</f>
        <v>1.1299999999999999</v>
      </c>
      <c r="K134" s="443">
        <f>IF(D134="","",VLOOKUP(D134,AD135:AG138,4,FALSE))</f>
        <v>1.25</v>
      </c>
      <c r="L134" s="454">
        <f>J134</f>
        <v>1.1299999999999999</v>
      </c>
      <c r="M134" s="1057"/>
      <c r="N134" s="1058"/>
      <c r="O134" s="1058"/>
      <c r="P134" s="1058"/>
      <c r="Q134" s="1058"/>
      <c r="R134" s="1058"/>
      <c r="S134" s="1058"/>
      <c r="T134" s="1059"/>
      <c r="U134" s="322"/>
      <c r="V134" s="340">
        <f>IF('Account Info'!$AA$4="Flat Rate State",IF(J134="",1,J134),IF(L134="",1,L134))</f>
        <v>1.1299999999999999</v>
      </c>
      <c r="X134" s="502" t="s">
        <v>380</v>
      </c>
      <c r="Y134" s="420"/>
      <c r="Z134" s="420"/>
      <c r="AA134" s="420"/>
      <c r="AD134" s="503" t="s">
        <v>423</v>
      </c>
      <c r="AE134" s="388"/>
      <c r="AF134" s="388"/>
      <c r="AG134" s="388"/>
      <c r="AJ134" s="504" t="s">
        <v>380</v>
      </c>
      <c r="AK134" s="420"/>
      <c r="AL134" s="420"/>
      <c r="AM134" s="420"/>
      <c r="AN134" s="503" t="s">
        <v>424</v>
      </c>
      <c r="AO134" s="388"/>
      <c r="AP134" s="388"/>
      <c r="AQ134" s="388"/>
    </row>
    <row r="135" spans="1:43" ht="15" customHeight="1" x14ac:dyDescent="0.25">
      <c r="A135" s="420">
        <f>IF('Account Info'!$T$5=TRUE,1,0)</f>
        <v>1</v>
      </c>
      <c r="B135" s="1067"/>
      <c r="C135" s="1068"/>
      <c r="D135" s="456"/>
      <c r="E135" s="457"/>
      <c r="F135" s="456"/>
      <c r="G135" s="456"/>
      <c r="H135" s="457"/>
      <c r="I135" s="459"/>
      <c r="J135" s="459"/>
      <c r="K135" s="460"/>
      <c r="L135" s="460" t="str">
        <f>IF(AND('Account Info'!$AA$4="Range State",L134&lt;&gt;"",OR(L134&lt;I134,L134&gt;K134)),"Factor is out of range","")</f>
        <v/>
      </c>
      <c r="M135" s="1051"/>
      <c r="N135" s="1052"/>
      <c r="O135" s="1052"/>
      <c r="P135" s="1052"/>
      <c r="Q135" s="1052"/>
      <c r="R135" s="1052"/>
      <c r="S135" s="1052"/>
      <c r="T135" s="1053"/>
      <c r="U135" s="322"/>
      <c r="V135" s="340">
        <v>1</v>
      </c>
      <c r="X135" s="505" t="s">
        <v>417</v>
      </c>
      <c r="Y135" s="506">
        <v>0.75</v>
      </c>
      <c r="Z135" s="506">
        <f>ROUND(AVERAGE(Y135,AA135),2)</f>
        <v>0.87</v>
      </c>
      <c r="AA135" s="506">
        <v>0.99</v>
      </c>
      <c r="AB135" s="507"/>
      <c r="AC135" s="508"/>
      <c r="AD135" s="405" t="s">
        <v>417</v>
      </c>
      <c r="AE135" s="378">
        <v>0.75</v>
      </c>
      <c r="AF135" s="378">
        <f>ROUND(AVERAGE(AE135,AG135),2)</f>
        <v>0.87</v>
      </c>
      <c r="AG135" s="378">
        <v>0.99</v>
      </c>
      <c r="AH135" s="507"/>
      <c r="AI135" s="508"/>
      <c r="AJ135" s="505" t="s">
        <v>417</v>
      </c>
      <c r="AK135" s="506">
        <v>0.75</v>
      </c>
      <c r="AL135" s="506">
        <f>ROUND(AVERAGE(AK135,AM135),2)</f>
        <v>0.87</v>
      </c>
      <c r="AM135" s="506">
        <v>0.99</v>
      </c>
      <c r="AN135" s="405" t="s">
        <v>425</v>
      </c>
      <c r="AO135" s="378">
        <v>0.75</v>
      </c>
      <c r="AP135" s="378">
        <f>ROUND(AVERAGE(AO135,AQ135),2)</f>
        <v>0.87</v>
      </c>
      <c r="AQ135" s="378">
        <v>0.99</v>
      </c>
    </row>
    <row r="136" spans="1:43" ht="15" customHeight="1" x14ac:dyDescent="0.25">
      <c r="A136" s="420">
        <f>IF('Account Info'!$T$5=TRUE,1,0)</f>
        <v>1</v>
      </c>
      <c r="B136" s="1067"/>
      <c r="C136" s="1068"/>
      <c r="D136" s="440" t="s">
        <v>426</v>
      </c>
      <c r="E136" s="439"/>
      <c r="F136" s="349"/>
      <c r="G136" s="349"/>
      <c r="H136" s="453"/>
      <c r="I136" s="361" t="str">
        <f>IF('Account Info'!$AA$4="Range State","Low","")</f>
        <v>Low</v>
      </c>
      <c r="J136" s="361" t="str">
        <f>IF('Account Info'!$AA$4="Range State","Benchmark","Selection")</f>
        <v>Benchmark</v>
      </c>
      <c r="K136" s="361" t="str">
        <f>IF('Account Info'!$AA$4="Range State","High","")</f>
        <v>High</v>
      </c>
      <c r="L136" s="361" t="str">
        <f>IF('Account Info'!$AA$4="Range State","Selection","")</f>
        <v>Selection</v>
      </c>
      <c r="M136" s="440" t="s">
        <v>377</v>
      </c>
      <c r="N136" s="440"/>
      <c r="O136" s="441"/>
      <c r="P136" s="348"/>
      <c r="Q136" s="348"/>
      <c r="R136" s="348"/>
      <c r="S136" s="348"/>
      <c r="T136" s="348"/>
      <c r="U136" s="322"/>
      <c r="V136" s="340">
        <v>1</v>
      </c>
      <c r="X136" s="505" t="s">
        <v>418</v>
      </c>
      <c r="Y136" s="506">
        <v>1</v>
      </c>
      <c r="Z136" s="506">
        <f>ROUND(AVERAGE(Y136,AA136),2)</f>
        <v>1.1299999999999999</v>
      </c>
      <c r="AA136" s="506">
        <v>1.25</v>
      </c>
      <c r="AB136" s="507"/>
      <c r="AC136" s="508"/>
      <c r="AD136" s="405" t="s">
        <v>418</v>
      </c>
      <c r="AE136" s="378">
        <v>1</v>
      </c>
      <c r="AF136" s="378">
        <f>ROUND(AVERAGE(AE136,AG136),2)</f>
        <v>1.1299999999999999</v>
      </c>
      <c r="AG136" s="378">
        <v>1.25</v>
      </c>
      <c r="AH136" s="507"/>
      <c r="AI136" s="508"/>
      <c r="AJ136" s="505" t="s">
        <v>418</v>
      </c>
      <c r="AK136" s="506">
        <v>1</v>
      </c>
      <c r="AL136" s="506">
        <f>ROUND(AVERAGE(AK136,AM136),2)</f>
        <v>1.1299999999999999</v>
      </c>
      <c r="AM136" s="506">
        <v>1.25</v>
      </c>
      <c r="AN136" s="405" t="s">
        <v>427</v>
      </c>
      <c r="AO136" s="378">
        <v>1</v>
      </c>
      <c r="AP136" s="378">
        <f>ROUND(AVERAGE(AO136,AQ136),2)</f>
        <v>1.1299999999999999</v>
      </c>
      <c r="AQ136" s="378">
        <v>1.25</v>
      </c>
    </row>
    <row r="137" spans="1:43" ht="15" customHeight="1" x14ac:dyDescent="0.25">
      <c r="A137" s="420">
        <f>IF('Account Info'!$T$5=TRUE,1,0)</f>
        <v>1</v>
      </c>
      <c r="B137" s="1067"/>
      <c r="C137" s="1068"/>
      <c r="D137" s="1054" t="s">
        <v>418</v>
      </c>
      <c r="E137" s="1055"/>
      <c r="F137" s="1055"/>
      <c r="G137" s="1055"/>
      <c r="H137" s="1056"/>
      <c r="I137" s="443">
        <f>IF(D137="","",VLOOKUP(D137,AD140:AG143,2,FALSE))</f>
        <v>1</v>
      </c>
      <c r="J137" s="443">
        <f>IF(D137="","",VLOOKUP(D137,AD140:AG143,3,FALSE))</f>
        <v>1.1299999999999999</v>
      </c>
      <c r="K137" s="443">
        <f>IF(D137="","",VLOOKUP(D137,AD140:AG143,4,FALSE))</f>
        <v>1.25</v>
      </c>
      <c r="L137" s="454">
        <f>J137</f>
        <v>1.1299999999999999</v>
      </c>
      <c r="M137" s="1057"/>
      <c r="N137" s="1058"/>
      <c r="O137" s="1058"/>
      <c r="P137" s="1058"/>
      <c r="Q137" s="1058"/>
      <c r="R137" s="1058"/>
      <c r="S137" s="1058"/>
      <c r="T137" s="1059"/>
      <c r="U137" s="322"/>
      <c r="V137" s="340">
        <f>IF('Account Info'!$AA$4="Flat Rate State",IF(J137="",1,J137),IF(L137="",1,L137))</f>
        <v>1.1299999999999999</v>
      </c>
      <c r="X137" s="505" t="s">
        <v>420</v>
      </c>
      <c r="Y137" s="506">
        <v>1.26</v>
      </c>
      <c r="Z137" s="506">
        <f>ROUND(AVERAGE(Y137,AA137),2)</f>
        <v>1.38</v>
      </c>
      <c r="AA137" s="506">
        <v>1.5</v>
      </c>
      <c r="AB137" s="507"/>
      <c r="AC137" s="508"/>
      <c r="AD137" s="405" t="s">
        <v>420</v>
      </c>
      <c r="AE137" s="378">
        <v>1.26</v>
      </c>
      <c r="AF137" s="378">
        <f>ROUND(AVERAGE(AE137,AG137),2)</f>
        <v>1.38</v>
      </c>
      <c r="AG137" s="378">
        <v>1.5</v>
      </c>
      <c r="AH137" s="507"/>
      <c r="AI137" s="508"/>
      <c r="AJ137" s="505" t="s">
        <v>420</v>
      </c>
      <c r="AK137" s="506">
        <v>1.26</v>
      </c>
      <c r="AL137" s="506">
        <f>ROUND(AVERAGE(AK137,AM137),2)</f>
        <v>1.38</v>
      </c>
      <c r="AM137" s="506">
        <v>1.5</v>
      </c>
      <c r="AN137" s="405" t="s">
        <v>428</v>
      </c>
      <c r="AO137" s="378">
        <v>1.26</v>
      </c>
      <c r="AP137" s="378">
        <f>ROUND(AVERAGE(AO137,AQ137),2)</f>
        <v>1.38</v>
      </c>
      <c r="AQ137" s="378">
        <v>1.5</v>
      </c>
    </row>
    <row r="138" spans="1:43" ht="15" customHeight="1" x14ac:dyDescent="0.25">
      <c r="A138" s="420">
        <f>IF('Account Info'!$T$5=TRUE,1,0)</f>
        <v>1</v>
      </c>
      <c r="B138" s="1067"/>
      <c r="C138" s="1068"/>
      <c r="D138" s="456"/>
      <c r="E138" s="457"/>
      <c r="F138" s="456"/>
      <c r="G138" s="456"/>
      <c r="H138" s="457"/>
      <c r="I138" s="459"/>
      <c r="J138" s="459"/>
      <c r="K138" s="460"/>
      <c r="L138" s="460" t="str">
        <f>IF(AND('Account Info'!$AA$4="Range State",L137&lt;&gt;"",OR(L137&lt;I137,L137&gt;K137)),"Factor is out of range","")</f>
        <v/>
      </c>
      <c r="M138" s="1051"/>
      <c r="N138" s="1052"/>
      <c r="O138" s="1052"/>
      <c r="P138" s="1052"/>
      <c r="Q138" s="1052"/>
      <c r="R138" s="1052"/>
      <c r="S138" s="1052"/>
      <c r="T138" s="1053"/>
      <c r="U138" s="322"/>
      <c r="V138" s="340">
        <v>1</v>
      </c>
      <c r="X138" s="505" t="s">
        <v>422</v>
      </c>
      <c r="Y138" s="506">
        <v>1.51</v>
      </c>
      <c r="Z138" s="506">
        <f>ROUND(AVERAGE(Y138,AA138),2)</f>
        <v>1.63</v>
      </c>
      <c r="AA138" s="506">
        <v>1.75</v>
      </c>
      <c r="AB138" s="507"/>
      <c r="AC138" s="508"/>
      <c r="AD138" s="405" t="s">
        <v>422</v>
      </c>
      <c r="AE138" s="378">
        <v>1.51</v>
      </c>
      <c r="AF138" s="378">
        <f>ROUND(AVERAGE(AE138,AG138),2)</f>
        <v>1.63</v>
      </c>
      <c r="AG138" s="378">
        <v>1.75</v>
      </c>
      <c r="AH138" s="507"/>
      <c r="AI138" s="508"/>
      <c r="AJ138" s="505" t="s">
        <v>422</v>
      </c>
      <c r="AK138" s="506">
        <v>1.51</v>
      </c>
      <c r="AL138" s="506">
        <f>ROUND(AVERAGE(AK138,AM138),2)</f>
        <v>1.63</v>
      </c>
      <c r="AM138" s="506">
        <v>1.75</v>
      </c>
      <c r="AN138" s="405" t="s">
        <v>429</v>
      </c>
      <c r="AO138" s="378">
        <v>1.51</v>
      </c>
      <c r="AP138" s="378">
        <f>ROUND(AVERAGE(AO138,AQ138),2)</f>
        <v>1.63</v>
      </c>
      <c r="AQ138" s="378">
        <v>1.75</v>
      </c>
    </row>
    <row r="139" spans="1:43" ht="15" customHeight="1" x14ac:dyDescent="0.25">
      <c r="A139" s="420">
        <f>IF('Account Info'!$T$5=TRUE,1,0)</f>
        <v>1</v>
      </c>
      <c r="B139" s="1067"/>
      <c r="C139" s="1068"/>
      <c r="D139" s="348" t="s">
        <v>430</v>
      </c>
      <c r="E139" s="439"/>
      <c r="F139" s="349"/>
      <c r="G139" s="349"/>
      <c r="H139" s="453"/>
      <c r="I139" s="361" t="str">
        <f>IF('Account Info'!$AA$4="Range State","Low","")</f>
        <v>Low</v>
      </c>
      <c r="J139" s="361" t="str">
        <f>IF('Account Info'!$AA$4="Range State","Benchmark","Selection")</f>
        <v>Benchmark</v>
      </c>
      <c r="K139" s="361" t="str">
        <f>IF('Account Info'!$AA$4="Range State","High","")</f>
        <v>High</v>
      </c>
      <c r="L139" s="361" t="str">
        <f>IF('Account Info'!$AA$4="Range State","Selection","")</f>
        <v>Selection</v>
      </c>
      <c r="M139" s="440" t="s">
        <v>377</v>
      </c>
      <c r="N139" s="440"/>
      <c r="O139" s="441"/>
      <c r="P139" s="348"/>
      <c r="Q139" s="348"/>
      <c r="R139" s="348"/>
      <c r="S139" s="348"/>
      <c r="T139" s="348"/>
      <c r="U139" s="322"/>
      <c r="V139" s="340">
        <v>1</v>
      </c>
      <c r="X139" s="504" t="s">
        <v>381</v>
      </c>
      <c r="Y139" s="420"/>
      <c r="Z139" s="420"/>
      <c r="AA139" s="420"/>
      <c r="AD139" s="500" t="s">
        <v>426</v>
      </c>
      <c r="AE139" s="388"/>
      <c r="AF139" s="388"/>
      <c r="AG139" s="388"/>
      <c r="AJ139" s="504" t="s">
        <v>381</v>
      </c>
      <c r="AK139" s="420"/>
      <c r="AL139" s="420"/>
      <c r="AM139" s="420"/>
      <c r="AN139" s="503" t="s">
        <v>431</v>
      </c>
      <c r="AO139" s="388"/>
      <c r="AP139" s="388"/>
      <c r="AQ139" s="388"/>
    </row>
    <row r="140" spans="1:43" ht="15" customHeight="1" x14ac:dyDescent="0.25">
      <c r="A140" s="420">
        <f>IF('Account Info'!$T$5=TRUE,1,0)</f>
        <v>1</v>
      </c>
      <c r="B140" s="1067"/>
      <c r="C140" s="1068"/>
      <c r="D140" s="1054" t="s">
        <v>448</v>
      </c>
      <c r="E140" s="1055"/>
      <c r="F140" s="1055"/>
      <c r="G140" s="1055"/>
      <c r="H140" s="1056"/>
      <c r="I140" s="443">
        <f>IF(D140="","",VLOOKUP(D140,AD152:AG153,2,FALSE))</f>
        <v>0.8</v>
      </c>
      <c r="J140" s="443">
        <f>IF(D140="","",VLOOKUP(D140,AD152:AG153,3,FALSE))</f>
        <v>0.9</v>
      </c>
      <c r="K140" s="443">
        <f>IF(D140="","",VLOOKUP(D140,AD152:AG153,4,FALSE))</f>
        <v>1</v>
      </c>
      <c r="L140" s="454">
        <f>J140</f>
        <v>0.9</v>
      </c>
      <c r="M140" s="1057"/>
      <c r="N140" s="1058"/>
      <c r="O140" s="1058"/>
      <c r="P140" s="1058"/>
      <c r="Q140" s="1058"/>
      <c r="R140" s="1058"/>
      <c r="S140" s="1058"/>
      <c r="T140" s="1059"/>
      <c r="U140" s="322"/>
      <c r="V140" s="340">
        <f>IF('Account Info'!$AA$4="Flat Rate State",IF(J140="",1,J140),IF(L140="",1,L140))</f>
        <v>0.9</v>
      </c>
      <c r="X140" s="505" t="s">
        <v>432</v>
      </c>
      <c r="Y140" s="506">
        <v>0.8</v>
      </c>
      <c r="Z140" s="506">
        <f>ROUND(AVERAGE(Y140,AA140),2)</f>
        <v>0.9</v>
      </c>
      <c r="AA140" s="506">
        <v>1</v>
      </c>
      <c r="AB140" s="507"/>
      <c r="AC140" s="508"/>
      <c r="AD140" s="405" t="s">
        <v>433</v>
      </c>
      <c r="AE140" s="378">
        <v>0.75</v>
      </c>
      <c r="AF140" s="378">
        <f>ROUND(AVERAGE(AE140,AG140),2)</f>
        <v>0.87</v>
      </c>
      <c r="AG140" s="378">
        <v>0.99</v>
      </c>
      <c r="AH140" s="507"/>
      <c r="AI140" s="508"/>
      <c r="AJ140" s="505" t="s">
        <v>434</v>
      </c>
      <c r="AK140" s="506">
        <v>0.8</v>
      </c>
      <c r="AL140" s="506">
        <f>ROUND(AVERAGE(AK140,AM140),2)</f>
        <v>0.9</v>
      </c>
      <c r="AM140" s="506">
        <v>1</v>
      </c>
      <c r="AN140" s="405" t="s">
        <v>435</v>
      </c>
      <c r="AO140" s="378">
        <v>0.75</v>
      </c>
      <c r="AP140" s="378">
        <f>ROUND(AVERAGE(AO140,AQ140),2)</f>
        <v>0.87</v>
      </c>
      <c r="AQ140" s="378">
        <v>0.99</v>
      </c>
    </row>
    <row r="141" spans="1:43" ht="15" customHeight="1" x14ac:dyDescent="0.25">
      <c r="A141" s="420">
        <f>IF('Account Info'!$T$5=TRUE,1,0)</f>
        <v>1</v>
      </c>
      <c r="B141" s="1067"/>
      <c r="C141" s="1068"/>
      <c r="D141" s="456"/>
      <c r="E141" s="457"/>
      <c r="F141" s="456"/>
      <c r="G141" s="456"/>
      <c r="H141" s="457"/>
      <c r="I141" s="459"/>
      <c r="J141" s="459"/>
      <c r="K141" s="460"/>
      <c r="L141" s="460" t="str">
        <f>IF(AND('Account Info'!$AA$4="Range State",L140&lt;&gt;"",OR(L140&lt;I140,L140&gt;K140)),"Factor is out of range","")</f>
        <v/>
      </c>
      <c r="M141" s="1051"/>
      <c r="N141" s="1052"/>
      <c r="O141" s="1052"/>
      <c r="P141" s="1052"/>
      <c r="Q141" s="1052"/>
      <c r="R141" s="1052"/>
      <c r="S141" s="1052"/>
      <c r="T141" s="1053"/>
      <c r="U141" s="322"/>
      <c r="V141" s="340">
        <v>1</v>
      </c>
      <c r="X141" s="505" t="s">
        <v>436</v>
      </c>
      <c r="Y141" s="506">
        <v>1.01</v>
      </c>
      <c r="Z141" s="506">
        <f>ROUND(AVERAGE(Y141,AA141),2)</f>
        <v>1.1599999999999999</v>
      </c>
      <c r="AA141" s="506">
        <v>1.3</v>
      </c>
      <c r="AB141" s="507"/>
      <c r="AC141" s="508"/>
      <c r="AD141" s="405" t="s">
        <v>418</v>
      </c>
      <c r="AE141" s="378">
        <v>1</v>
      </c>
      <c r="AF141" s="378">
        <f>ROUND(AVERAGE(AE141,AG141),2)</f>
        <v>1.1299999999999999</v>
      </c>
      <c r="AG141" s="378">
        <v>1.25</v>
      </c>
      <c r="AH141" s="507"/>
      <c r="AI141" s="508"/>
      <c r="AJ141" s="505" t="s">
        <v>437</v>
      </c>
      <c r="AK141" s="506">
        <v>1.01</v>
      </c>
      <c r="AL141" s="506">
        <f>ROUND(AVERAGE(AK141,AM141),2)</f>
        <v>1.1599999999999999</v>
      </c>
      <c r="AM141" s="506">
        <v>1.3</v>
      </c>
      <c r="AN141" s="405" t="s">
        <v>438</v>
      </c>
      <c r="AO141" s="378">
        <v>1</v>
      </c>
      <c r="AP141" s="378">
        <f>ROUND(AVERAGE(AO141,AQ141),2)</f>
        <v>1.1299999999999999</v>
      </c>
      <c r="AQ141" s="378">
        <v>1.25</v>
      </c>
    </row>
    <row r="142" spans="1:43" ht="15" customHeight="1" x14ac:dyDescent="0.25">
      <c r="A142" s="420">
        <f>IF('Account Info'!$T$5=TRUE,1,0)</f>
        <v>1</v>
      </c>
      <c r="B142" s="1067"/>
      <c r="C142" s="1068"/>
      <c r="D142" s="348" t="s">
        <v>383</v>
      </c>
      <c r="E142" s="439"/>
      <c r="F142" s="349"/>
      <c r="G142" s="349"/>
      <c r="H142" s="453"/>
      <c r="I142" s="361" t="str">
        <f>IF('Account Info'!$AA$4="Range State","Low","")</f>
        <v>Low</v>
      </c>
      <c r="J142" s="361" t="str">
        <f>IF('Account Info'!$AA$4="Range State","Benchmark","Selection")</f>
        <v>Benchmark</v>
      </c>
      <c r="K142" s="361" t="str">
        <f>IF('Account Info'!$AA$4="Range State","High","")</f>
        <v>High</v>
      </c>
      <c r="L142" s="361" t="str">
        <f>IF('Account Info'!$AA$4="Range State","Selection","")</f>
        <v>Selection</v>
      </c>
      <c r="M142" s="440" t="s">
        <v>377</v>
      </c>
      <c r="N142" s="440"/>
      <c r="O142" s="441"/>
      <c r="P142" s="348"/>
      <c r="Q142" s="348"/>
      <c r="R142" s="348"/>
      <c r="S142" s="348"/>
      <c r="T142" s="348"/>
      <c r="U142" s="322"/>
      <c r="V142" s="340">
        <v>1</v>
      </c>
      <c r="AD142" s="405" t="s">
        <v>420</v>
      </c>
      <c r="AE142" s="378">
        <v>1.26</v>
      </c>
      <c r="AF142" s="378">
        <f>ROUND(AVERAGE(AE142,AG142),2)</f>
        <v>1.38</v>
      </c>
      <c r="AG142" s="378">
        <v>1.5</v>
      </c>
      <c r="AH142" s="340"/>
      <c r="AI142" s="340"/>
      <c r="AN142" s="405" t="s">
        <v>439</v>
      </c>
      <c r="AO142" s="378">
        <v>1.26</v>
      </c>
      <c r="AP142" s="378">
        <f>ROUND(AVERAGE(AO142,AQ142),2)</f>
        <v>1.38</v>
      </c>
      <c r="AQ142" s="378">
        <v>1.5</v>
      </c>
    </row>
    <row r="143" spans="1:43" ht="15" customHeight="1" x14ac:dyDescent="0.25">
      <c r="A143" s="420">
        <f>IF('Account Info'!$T$5=TRUE,1,0)</f>
        <v>1</v>
      </c>
      <c r="B143" s="1067"/>
      <c r="C143" s="1068"/>
      <c r="D143" s="1054" t="s">
        <v>418</v>
      </c>
      <c r="E143" s="1055"/>
      <c r="F143" s="1055"/>
      <c r="G143" s="1055"/>
      <c r="H143" s="1056"/>
      <c r="I143" s="443">
        <f>IF(D143="","",VLOOKUP(D143,AD162:AG165,2,FALSE))</f>
        <v>1</v>
      </c>
      <c r="J143" s="443">
        <f>IF(D143="","",VLOOKUP(D143,AD162:AG165,3,FALSE))</f>
        <v>1.1299999999999999</v>
      </c>
      <c r="K143" s="443">
        <f>IF(D143="","",VLOOKUP(D143,AD162:AG165,4,FALSE))</f>
        <v>1.25</v>
      </c>
      <c r="L143" s="454">
        <f>J143</f>
        <v>1.1299999999999999</v>
      </c>
      <c r="M143" s="1057"/>
      <c r="N143" s="1058"/>
      <c r="O143" s="1058"/>
      <c r="P143" s="1058"/>
      <c r="Q143" s="1058"/>
      <c r="R143" s="1058"/>
      <c r="S143" s="1058"/>
      <c r="T143" s="1059"/>
      <c r="U143" s="322"/>
      <c r="V143" s="340">
        <f>IF('Account Info'!$AA$4="Flat Rate State",IF(J143="",1,J143),IF(L143="",1,L143))</f>
        <v>1.1299999999999999</v>
      </c>
      <c r="AD143" s="405" t="s">
        <v>440</v>
      </c>
      <c r="AE143" s="378">
        <v>1.51</v>
      </c>
      <c r="AF143" s="378">
        <f>ROUND(AVERAGE(AE143,AG143),2)</f>
        <v>1.63</v>
      </c>
      <c r="AG143" s="378">
        <v>1.75</v>
      </c>
      <c r="AH143" s="340"/>
      <c r="AI143" s="340"/>
      <c r="AN143" s="405" t="s">
        <v>441</v>
      </c>
      <c r="AO143" s="378">
        <v>1.51</v>
      </c>
      <c r="AP143" s="378">
        <f>ROUND(AVERAGE(AO143,AQ143),2)</f>
        <v>1.63</v>
      </c>
      <c r="AQ143" s="378">
        <v>1.75</v>
      </c>
    </row>
    <row r="144" spans="1:43" ht="15" customHeight="1" x14ac:dyDescent="0.25">
      <c r="A144" s="420">
        <f>IF('Account Info'!$T$5=TRUE,1,0)</f>
        <v>1</v>
      </c>
      <c r="B144" s="1067"/>
      <c r="C144" s="1068"/>
      <c r="D144" s="461"/>
      <c r="E144" s="462"/>
      <c r="F144" s="462"/>
      <c r="G144" s="462"/>
      <c r="H144" s="462"/>
      <c r="I144" s="463"/>
      <c r="J144" s="463"/>
      <c r="K144" s="460"/>
      <c r="L144" s="460" t="str">
        <f>IF(AND('Account Info'!$AA$4="Range State",L143&lt;&gt;"",OR(L143&lt;I143,L143&gt;K143)),"Factor is out of range","")</f>
        <v/>
      </c>
      <c r="M144" s="1051"/>
      <c r="N144" s="1052"/>
      <c r="O144" s="1052"/>
      <c r="P144" s="1052"/>
      <c r="Q144" s="1052"/>
      <c r="R144" s="1052"/>
      <c r="S144" s="1052"/>
      <c r="T144" s="1053"/>
      <c r="U144" s="322"/>
      <c r="V144" s="340">
        <v>1</v>
      </c>
      <c r="AD144" s="392"/>
      <c r="AE144" s="392"/>
      <c r="AF144" s="392"/>
      <c r="AG144" s="392"/>
      <c r="AH144" s="340"/>
      <c r="AI144" s="340"/>
    </row>
    <row r="145" spans="1:43" ht="15" customHeight="1" x14ac:dyDescent="0.25">
      <c r="A145" s="420">
        <f>IF('Account Info'!$T$5=TRUE,1,0)</f>
        <v>1</v>
      </c>
      <c r="B145" s="1067"/>
      <c r="C145" s="1068"/>
      <c r="D145" s="348" t="s">
        <v>442</v>
      </c>
      <c r="E145" s="439"/>
      <c r="F145" s="349"/>
      <c r="G145" s="349"/>
      <c r="H145" s="453"/>
      <c r="I145" s="361" t="str">
        <f>IF('Account Info'!$AA$4="Range State","Low","")</f>
        <v>Low</v>
      </c>
      <c r="J145" s="361" t="str">
        <f>IF('Account Info'!$AA$4="Range State","Benchmark","Selection")</f>
        <v>Benchmark</v>
      </c>
      <c r="K145" s="361" t="str">
        <f>IF('Account Info'!$AA$4="Range State","High","")</f>
        <v>High</v>
      </c>
      <c r="L145" s="361" t="str">
        <f>IF('Account Info'!$AA$4="Range State","Selection","")</f>
        <v>Selection</v>
      </c>
      <c r="M145" s="440" t="s">
        <v>377</v>
      </c>
      <c r="N145" s="440"/>
      <c r="O145" s="441"/>
      <c r="P145" s="348"/>
      <c r="Q145" s="348"/>
      <c r="R145" s="348"/>
      <c r="S145" s="348"/>
      <c r="T145" s="348"/>
      <c r="U145" s="322"/>
      <c r="V145" s="340">
        <v>1</v>
      </c>
      <c r="AD145" s="392"/>
      <c r="AE145" s="392"/>
      <c r="AF145" s="392"/>
      <c r="AG145" s="392"/>
      <c r="AH145" s="340"/>
      <c r="AI145" s="340"/>
    </row>
    <row r="146" spans="1:43" ht="15" customHeight="1" x14ac:dyDescent="0.25">
      <c r="A146" s="420">
        <f>IF('Account Info'!$T$5=TRUE,1,0)</f>
        <v>1</v>
      </c>
      <c r="B146" s="1067"/>
      <c r="C146" s="1068"/>
      <c r="D146" s="1054" t="s">
        <v>418</v>
      </c>
      <c r="E146" s="1055"/>
      <c r="F146" s="1055"/>
      <c r="G146" s="1055"/>
      <c r="H146" s="1056"/>
      <c r="I146" s="443">
        <f>IF(D146="","",VLOOKUP(D146,AD179:AG182,2,FALSE))</f>
        <v>1</v>
      </c>
      <c r="J146" s="443">
        <f>IF(D146="","",VLOOKUP(D146,AD179:AG182,3,FALSE))</f>
        <v>1.1299999999999999</v>
      </c>
      <c r="K146" s="443">
        <f>IF(D146="","",VLOOKUP(D146,AD179:AG182,4,FALSE))</f>
        <v>1.25</v>
      </c>
      <c r="L146" s="454">
        <f>J146</f>
        <v>1.1299999999999999</v>
      </c>
      <c r="M146" s="1057"/>
      <c r="N146" s="1058"/>
      <c r="O146" s="1058"/>
      <c r="P146" s="1058"/>
      <c r="Q146" s="1058"/>
      <c r="R146" s="1058"/>
      <c r="S146" s="1058"/>
      <c r="T146" s="1059"/>
      <c r="U146" s="322"/>
      <c r="V146" s="340">
        <f>IF('Account Info'!$AA$4="Flat Rate State",IF(J146="",1,J146),IF(L146="",1,L146))</f>
        <v>1.1299999999999999</v>
      </c>
      <c r="AD146" s="392"/>
      <c r="AE146" s="392"/>
      <c r="AF146" s="392"/>
      <c r="AG146" s="392"/>
      <c r="AH146" s="340"/>
      <c r="AI146" s="340"/>
    </row>
    <row r="147" spans="1:43" ht="15" customHeight="1" x14ac:dyDescent="0.25">
      <c r="A147" s="420">
        <f>IF('Account Info'!$T$5=TRUE,1,0)</f>
        <v>1</v>
      </c>
      <c r="B147" s="1067"/>
      <c r="C147" s="1068"/>
      <c r="D147" s="456"/>
      <c r="E147" s="457"/>
      <c r="F147" s="456"/>
      <c r="G147" s="456"/>
      <c r="H147" s="456"/>
      <c r="I147" s="464"/>
      <c r="J147" s="464"/>
      <c r="K147" s="460"/>
      <c r="L147" s="460" t="str">
        <f>IF(AND('Account Info'!$AA$4="Range State",L146&lt;&gt;"",OR(L146&lt;I146,L146&gt;K146)),"Factor is out of range","")</f>
        <v/>
      </c>
      <c r="M147" s="1051"/>
      <c r="N147" s="1052"/>
      <c r="O147" s="1052"/>
      <c r="P147" s="1052"/>
      <c r="Q147" s="1052"/>
      <c r="R147" s="1052"/>
      <c r="S147" s="1052"/>
      <c r="T147" s="1053"/>
      <c r="U147" s="322"/>
      <c r="V147" s="340">
        <v>1</v>
      </c>
      <c r="AD147" s="392"/>
      <c r="AE147" s="392"/>
      <c r="AF147" s="392"/>
      <c r="AG147" s="392"/>
      <c r="AH147" s="340"/>
      <c r="AI147" s="340"/>
    </row>
    <row r="148" spans="1:43" ht="15" customHeight="1" x14ac:dyDescent="0.25">
      <c r="A148" s="420">
        <f>IF('Account Info'!$T$5=TRUE,1,0)</f>
        <v>1</v>
      </c>
      <c r="B148" s="1067"/>
      <c r="C148" s="1068"/>
      <c r="D148" s="348" t="s">
        <v>443</v>
      </c>
      <c r="E148" s="439"/>
      <c r="F148" s="349"/>
      <c r="G148" s="349"/>
      <c r="H148" s="453"/>
      <c r="I148" s="361" t="str">
        <f>IF('Account Info'!$AA$4="Range State","Low","")</f>
        <v>Low</v>
      </c>
      <c r="J148" s="361" t="str">
        <f>IF('Account Info'!$AA$4="Range State","Benchmark","Selection")</f>
        <v>Benchmark</v>
      </c>
      <c r="K148" s="361" t="str">
        <f>IF('Account Info'!$AA$4="Range State","High","")</f>
        <v>High</v>
      </c>
      <c r="L148" s="361" t="str">
        <f>IF('Account Info'!$AA$4="Range State","Selection","")</f>
        <v>Selection</v>
      </c>
      <c r="M148" s="440" t="s">
        <v>377</v>
      </c>
      <c r="N148" s="440"/>
      <c r="O148" s="441"/>
      <c r="P148" s="348"/>
      <c r="Q148" s="348"/>
      <c r="R148" s="348"/>
      <c r="S148" s="348"/>
      <c r="T148" s="348"/>
      <c r="U148" s="322"/>
      <c r="V148" s="340">
        <v>1</v>
      </c>
      <c r="AD148" s="392"/>
      <c r="AE148" s="392"/>
      <c r="AF148" s="392"/>
      <c r="AG148" s="392"/>
      <c r="AH148" s="340"/>
      <c r="AI148" s="340"/>
    </row>
    <row r="149" spans="1:43" ht="15" customHeight="1" x14ac:dyDescent="0.25">
      <c r="A149" s="420">
        <f>IF('Account Info'!$T$5=TRUE,1,0)</f>
        <v>1</v>
      </c>
      <c r="B149" s="1067"/>
      <c r="C149" s="1068"/>
      <c r="D149" s="1054" t="s">
        <v>477</v>
      </c>
      <c r="E149" s="1055"/>
      <c r="F149" s="1055"/>
      <c r="G149" s="1055"/>
      <c r="H149" s="1056"/>
      <c r="I149" s="443">
        <f>IF(D149="","",VLOOKUP(D149,AD184:AG186,2,FALSE))</f>
        <v>0.85</v>
      </c>
      <c r="J149" s="443">
        <f>IF(D149="","",VLOOKUP(D149,AD184:AG186,3,FALSE))</f>
        <v>0.93</v>
      </c>
      <c r="K149" s="443">
        <f>IF(D149="","",VLOOKUP(D149,AD184:AG186,4,FALSE))</f>
        <v>1</v>
      </c>
      <c r="L149" s="454">
        <f>J149</f>
        <v>0.93</v>
      </c>
      <c r="M149" s="1057"/>
      <c r="N149" s="1058"/>
      <c r="O149" s="1058"/>
      <c r="P149" s="1058"/>
      <c r="Q149" s="1058"/>
      <c r="R149" s="1058"/>
      <c r="S149" s="1058"/>
      <c r="T149" s="1059"/>
      <c r="U149" s="322"/>
      <c r="V149" s="340">
        <f>IF('Account Info'!$AA$4="Flat Rate State",IF(J149="",1,J149),IF(L149="",1,L149))</f>
        <v>0.93</v>
      </c>
      <c r="AD149" s="392"/>
      <c r="AE149" s="392"/>
      <c r="AF149" s="392"/>
      <c r="AG149" s="392"/>
      <c r="AH149" s="340"/>
      <c r="AI149" s="340"/>
    </row>
    <row r="150" spans="1:43" ht="15" customHeight="1" x14ac:dyDescent="0.25">
      <c r="A150" s="420">
        <f>IF('Account Info'!$T$5=TRUE,1,0)</f>
        <v>1</v>
      </c>
      <c r="B150" s="1067"/>
      <c r="C150" s="1068"/>
      <c r="D150" s="456"/>
      <c r="E150" s="457"/>
      <c r="F150" s="456"/>
      <c r="G150" s="456"/>
      <c r="H150" s="456"/>
      <c r="I150" s="464"/>
      <c r="J150" s="464"/>
      <c r="K150" s="460"/>
      <c r="L150" s="460" t="str">
        <f>IF(AND('Account Info'!$AA$4="Range State",L149&lt;&gt;"",OR(L149&lt;I149,L149&gt;K149)),"Factor is out of range","")</f>
        <v/>
      </c>
      <c r="M150" s="1051"/>
      <c r="N150" s="1052"/>
      <c r="O150" s="1052"/>
      <c r="P150" s="1052"/>
      <c r="Q150" s="1052"/>
      <c r="R150" s="1052"/>
      <c r="S150" s="1052"/>
      <c r="T150" s="1053"/>
      <c r="U150" s="322"/>
      <c r="V150" s="340">
        <v>1</v>
      </c>
      <c r="AD150" s="392"/>
      <c r="AE150" s="392"/>
      <c r="AF150" s="392"/>
      <c r="AG150" s="392"/>
      <c r="AH150" s="340"/>
      <c r="AI150" s="340"/>
    </row>
    <row r="151" spans="1:43" ht="15" customHeight="1" x14ac:dyDescent="0.25">
      <c r="A151" s="420">
        <f>IF('Account Info'!$T$5=TRUE,1,0)</f>
        <v>1</v>
      </c>
      <c r="B151" s="1067"/>
      <c r="C151" s="1068"/>
      <c r="D151" s="348" t="s">
        <v>444</v>
      </c>
      <c r="E151" s="439"/>
      <c r="F151" s="349"/>
      <c r="G151" s="349"/>
      <c r="H151" s="453"/>
      <c r="I151" s="361" t="str">
        <f>IF('Account Info'!$AA$4="Range State","Low","")</f>
        <v>Low</v>
      </c>
      <c r="J151" s="361" t="str">
        <f>IF('Account Info'!$AA$4="Range State","Benchmark","Selection")</f>
        <v>Benchmark</v>
      </c>
      <c r="K151" s="361" t="str">
        <f>IF('Account Info'!$AA$4="Range State","High","")</f>
        <v>High</v>
      </c>
      <c r="L151" s="361" t="str">
        <f>IF('Account Info'!$AA$4="Range State","Selection","")</f>
        <v>Selection</v>
      </c>
      <c r="M151" s="440" t="s">
        <v>377</v>
      </c>
      <c r="N151" s="440"/>
      <c r="O151" s="441"/>
      <c r="P151" s="348"/>
      <c r="Q151" s="348"/>
      <c r="R151" s="348"/>
      <c r="S151" s="348"/>
      <c r="T151" s="348"/>
      <c r="U151" s="322"/>
      <c r="V151" s="340">
        <v>1</v>
      </c>
      <c r="X151" s="504" t="s">
        <v>382</v>
      </c>
      <c r="Y151" s="420"/>
      <c r="Z151" s="420"/>
      <c r="AA151" s="420"/>
      <c r="AD151" s="503" t="s">
        <v>430</v>
      </c>
      <c r="AE151" s="388"/>
      <c r="AF151" s="388"/>
      <c r="AG151" s="388"/>
      <c r="AJ151" s="504" t="s">
        <v>445</v>
      </c>
      <c r="AK151" s="420"/>
      <c r="AL151" s="420"/>
      <c r="AM151" s="420"/>
      <c r="AN151" s="503" t="s">
        <v>446</v>
      </c>
      <c r="AO151" s="388"/>
      <c r="AP151" s="388"/>
      <c r="AQ151" s="388"/>
    </row>
    <row r="152" spans="1:43" ht="15" customHeight="1" x14ac:dyDescent="0.25">
      <c r="A152" s="420">
        <f>IF('Account Info'!$T$5=TRUE,1,0)</f>
        <v>1</v>
      </c>
      <c r="B152" s="1067"/>
      <c r="C152" s="1068"/>
      <c r="D152" s="1054" t="s">
        <v>418</v>
      </c>
      <c r="E152" s="1055"/>
      <c r="F152" s="1055"/>
      <c r="G152" s="1055"/>
      <c r="H152" s="1056"/>
      <c r="I152" s="443">
        <f>IF(D152="","",VLOOKUP(D152,AD190:AG193,2,FALSE))</f>
        <v>1</v>
      </c>
      <c r="J152" s="443">
        <f>IF(D152="","",VLOOKUP(D152,AD190:AG193,3,FALSE))</f>
        <v>1.1299999999999999</v>
      </c>
      <c r="K152" s="443">
        <f>IF(D152="","",VLOOKUP(D152,AD190:AG193,4,FALSE))</f>
        <v>1.25</v>
      </c>
      <c r="L152" s="454">
        <f>J152</f>
        <v>1.1299999999999999</v>
      </c>
      <c r="M152" s="1057"/>
      <c r="N152" s="1058"/>
      <c r="O152" s="1058"/>
      <c r="P152" s="1058"/>
      <c r="Q152" s="1058"/>
      <c r="R152" s="1058"/>
      <c r="S152" s="1058"/>
      <c r="T152" s="1059"/>
      <c r="U152" s="322"/>
      <c r="V152" s="340">
        <f>IF('Account Info'!$AA$4="Flat Rate State",IF(J152="",1,J152),IF(L152="",1,L152))</f>
        <v>1.1299999999999999</v>
      </c>
      <c r="X152" s="505" t="s">
        <v>447</v>
      </c>
      <c r="Y152" s="506">
        <v>0.8</v>
      </c>
      <c r="Z152" s="506">
        <f>ROUND(AVERAGE(Y152,AA152),2)</f>
        <v>0.9</v>
      </c>
      <c r="AA152" s="506">
        <v>1</v>
      </c>
      <c r="AB152" s="507"/>
      <c r="AC152" s="508"/>
      <c r="AD152" s="405" t="s">
        <v>448</v>
      </c>
      <c r="AE152" s="378">
        <v>0.8</v>
      </c>
      <c r="AF152" s="378">
        <f>ROUND(AVERAGE(AE152,AG152),2)</f>
        <v>0.9</v>
      </c>
      <c r="AG152" s="378">
        <v>1</v>
      </c>
      <c r="AH152" s="507"/>
      <c r="AI152" s="508"/>
      <c r="AJ152" s="505" t="s">
        <v>417</v>
      </c>
      <c r="AK152" s="506">
        <v>0.75</v>
      </c>
      <c r="AL152" s="506">
        <f>ROUND(AVERAGE(AK152,AM152),2)</f>
        <v>0.87</v>
      </c>
      <c r="AM152" s="506">
        <v>0.99</v>
      </c>
      <c r="AN152" s="405" t="s">
        <v>417</v>
      </c>
      <c r="AO152" s="378">
        <v>0.75</v>
      </c>
      <c r="AP152" s="378">
        <f>ROUND(AVERAGE(AO152,AQ152),2)</f>
        <v>0.87</v>
      </c>
      <c r="AQ152" s="378">
        <v>0.99</v>
      </c>
    </row>
    <row r="153" spans="1:43" ht="15" customHeight="1" x14ac:dyDescent="0.25">
      <c r="A153" s="420">
        <f>IF('Account Info'!$T$5=TRUE,1,0)</f>
        <v>1</v>
      </c>
      <c r="B153" s="1067"/>
      <c r="C153" s="1068"/>
      <c r="D153" s="456"/>
      <c r="E153" s="457"/>
      <c r="F153" s="456"/>
      <c r="G153" s="456"/>
      <c r="H153" s="457"/>
      <c r="I153" s="459"/>
      <c r="J153" s="459"/>
      <c r="K153" s="460"/>
      <c r="L153" s="460" t="str">
        <f>IF(AND('Account Info'!$AA$4="Range State",L152&lt;&gt;"",OR(L152&lt;I152,L152&gt;K152)),"Factor is out of range","")</f>
        <v/>
      </c>
      <c r="M153" s="1051"/>
      <c r="N153" s="1052"/>
      <c r="O153" s="1052"/>
      <c r="P153" s="1052"/>
      <c r="Q153" s="1052"/>
      <c r="R153" s="1052"/>
      <c r="S153" s="1052"/>
      <c r="T153" s="1053"/>
      <c r="U153" s="322"/>
      <c r="V153" s="340">
        <v>1</v>
      </c>
      <c r="X153" s="505" t="s">
        <v>449</v>
      </c>
      <c r="Y153" s="506">
        <v>1.01</v>
      </c>
      <c r="Z153" s="506">
        <f>ROUND(AVERAGE(Y153,AA153),2)</f>
        <v>1.1599999999999999</v>
      </c>
      <c r="AA153" s="506">
        <v>1.3</v>
      </c>
      <c r="AB153" s="507"/>
      <c r="AC153" s="508"/>
      <c r="AD153" s="405" t="s">
        <v>450</v>
      </c>
      <c r="AE153" s="378">
        <v>1.01</v>
      </c>
      <c r="AF153" s="378">
        <f>ROUND(AVERAGE(AE153,AG153),2)</f>
        <v>1.1599999999999999</v>
      </c>
      <c r="AG153" s="378">
        <v>1.3</v>
      </c>
      <c r="AH153" s="507"/>
      <c r="AI153" s="508"/>
      <c r="AJ153" s="505" t="s">
        <v>418</v>
      </c>
      <c r="AK153" s="506">
        <v>1</v>
      </c>
      <c r="AL153" s="506">
        <f>ROUND(AVERAGE(AK153,AM153),2)</f>
        <v>1.1299999999999999</v>
      </c>
      <c r="AM153" s="506">
        <v>1.25</v>
      </c>
      <c r="AN153" s="405" t="s">
        <v>418</v>
      </c>
      <c r="AO153" s="378">
        <v>1</v>
      </c>
      <c r="AP153" s="378">
        <f>ROUND(AVERAGE(AO153,AQ153),2)</f>
        <v>1.1299999999999999</v>
      </c>
      <c r="AQ153" s="378">
        <v>1.25</v>
      </c>
    </row>
    <row r="154" spans="1:43" ht="15" customHeight="1" x14ac:dyDescent="0.25">
      <c r="A154" s="420">
        <f>IF('Account Info'!$T$5=TRUE,1,0)</f>
        <v>1</v>
      </c>
      <c r="B154" s="1067"/>
      <c r="C154" s="1068"/>
      <c r="D154" s="440" t="s">
        <v>451</v>
      </c>
      <c r="E154" s="439"/>
      <c r="F154" s="349"/>
      <c r="G154" s="349"/>
      <c r="H154" s="453"/>
      <c r="I154" s="361" t="str">
        <f>IF('Account Info'!$AA$4="Range State","Low","")</f>
        <v>Low</v>
      </c>
      <c r="J154" s="361" t="str">
        <f>IF('Account Info'!$AA$4="Range State","Benchmark","Selection")</f>
        <v>Benchmark</v>
      </c>
      <c r="K154" s="361" t="str">
        <f>IF('Account Info'!$AA$4="Range State","High","")</f>
        <v>High</v>
      </c>
      <c r="L154" s="361" t="str">
        <f>IF('Account Info'!$AA$4="Range State","Selection","")</f>
        <v>Selection</v>
      </c>
      <c r="M154" s="440" t="s">
        <v>377</v>
      </c>
      <c r="N154" s="440"/>
      <c r="O154" s="441"/>
      <c r="P154" s="348"/>
      <c r="Q154" s="348"/>
      <c r="R154" s="348"/>
      <c r="S154" s="348"/>
      <c r="T154" s="348"/>
      <c r="U154" s="322"/>
      <c r="V154" s="340">
        <v>1</v>
      </c>
      <c r="X154" s="392"/>
      <c r="Y154" s="392"/>
      <c r="Z154" s="392"/>
      <c r="AA154" s="392"/>
      <c r="AB154" s="509"/>
      <c r="AC154" s="509"/>
      <c r="AD154" s="392"/>
      <c r="AE154" s="392"/>
      <c r="AF154" s="392"/>
      <c r="AG154" s="392"/>
      <c r="AH154" s="509"/>
      <c r="AI154" s="509"/>
      <c r="AJ154" s="505" t="s">
        <v>420</v>
      </c>
      <c r="AK154" s="506">
        <v>1.26</v>
      </c>
      <c r="AL154" s="506">
        <f>ROUND(AVERAGE(AK154,AM154),2)</f>
        <v>1.38</v>
      </c>
      <c r="AM154" s="506">
        <v>1.5</v>
      </c>
      <c r="AN154" s="405" t="s">
        <v>420</v>
      </c>
      <c r="AO154" s="378">
        <v>1.26</v>
      </c>
      <c r="AP154" s="378">
        <f>ROUND(AVERAGE(AO154,AQ154),2)</f>
        <v>1.38</v>
      </c>
      <c r="AQ154" s="378">
        <v>1.5</v>
      </c>
    </row>
    <row r="155" spans="1:43" ht="15" customHeight="1" x14ac:dyDescent="0.25">
      <c r="A155" s="420">
        <f>IF('Account Info'!$T$5=TRUE,1,0)</f>
        <v>1</v>
      </c>
      <c r="B155" s="1067"/>
      <c r="C155" s="1068"/>
      <c r="D155" s="1054" t="s">
        <v>418</v>
      </c>
      <c r="E155" s="1055"/>
      <c r="F155" s="1055"/>
      <c r="G155" s="1055"/>
      <c r="H155" s="1056"/>
      <c r="I155" s="443">
        <f>IF(D155="","",VLOOKUP(D155,AD195:AG198,2,FALSE))</f>
        <v>1</v>
      </c>
      <c r="J155" s="443">
        <f>IF(D155="","",VLOOKUP(D155,AD195:AG198,3,FALSE))</f>
        <v>1.1299999999999999</v>
      </c>
      <c r="K155" s="443">
        <f>IF(D155="","",VLOOKUP(D155,AD195:AG198,4,FALSE))</f>
        <v>1.25</v>
      </c>
      <c r="L155" s="454">
        <f>J155</f>
        <v>1.1299999999999999</v>
      </c>
      <c r="M155" s="1057"/>
      <c r="N155" s="1058"/>
      <c r="O155" s="1058"/>
      <c r="P155" s="1058"/>
      <c r="Q155" s="1058"/>
      <c r="R155" s="1058"/>
      <c r="S155" s="1058"/>
      <c r="T155" s="1059"/>
      <c r="U155" s="322"/>
      <c r="V155" s="340">
        <f>IF('Account Info'!$AA$4="Flat Rate State",IF(J155="",1,J155),IF(L155="",1,L155))</f>
        <v>1.1299999999999999</v>
      </c>
      <c r="AJ155" s="505" t="s">
        <v>422</v>
      </c>
      <c r="AK155" s="506">
        <v>1.51</v>
      </c>
      <c r="AL155" s="506">
        <f>ROUND(AVERAGE(AK155,AM155),2)</f>
        <v>1.63</v>
      </c>
      <c r="AM155" s="506">
        <v>1.75</v>
      </c>
      <c r="AN155" s="405" t="s">
        <v>422</v>
      </c>
      <c r="AO155" s="378">
        <v>1.51</v>
      </c>
      <c r="AP155" s="378">
        <f>ROUND(AVERAGE(AO155,AQ155),2)</f>
        <v>1.63</v>
      </c>
      <c r="AQ155" s="378">
        <v>1.75</v>
      </c>
    </row>
    <row r="156" spans="1:43" ht="15" customHeight="1" x14ac:dyDescent="0.25">
      <c r="A156" s="420">
        <f>IF('Account Info'!$T$5=TRUE,1,0)</f>
        <v>1</v>
      </c>
      <c r="B156" s="1067"/>
      <c r="C156" s="1068"/>
      <c r="D156" s="456"/>
      <c r="E156" s="457"/>
      <c r="F156" s="456"/>
      <c r="G156" s="456"/>
      <c r="H156" s="457"/>
      <c r="I156" s="459"/>
      <c r="J156" s="459"/>
      <c r="K156" s="460"/>
      <c r="L156" s="460" t="str">
        <f>IF(AND('Account Info'!$AA$4="Range State",L155&lt;&gt;"",OR(L155&lt;I155,L155&gt;K155)),"Factor is out of range","")</f>
        <v/>
      </c>
      <c r="M156" s="1051"/>
      <c r="N156" s="1052"/>
      <c r="O156" s="1052"/>
      <c r="P156" s="1052"/>
      <c r="Q156" s="1052"/>
      <c r="R156" s="1052"/>
      <c r="S156" s="1052"/>
      <c r="T156" s="1053"/>
      <c r="U156" s="322"/>
      <c r="V156" s="340">
        <v>1</v>
      </c>
      <c r="X156" s="504" t="s">
        <v>452</v>
      </c>
      <c r="Y156" s="420"/>
      <c r="Z156" s="420"/>
      <c r="AA156" s="420"/>
      <c r="AD156" s="362"/>
      <c r="AE156" s="362"/>
      <c r="AF156" s="362"/>
      <c r="AG156" s="362"/>
      <c r="AJ156" s="362"/>
      <c r="AK156" s="362"/>
      <c r="AL156" s="362"/>
      <c r="AM156" s="362"/>
      <c r="AN156" s="503" t="s">
        <v>453</v>
      </c>
      <c r="AO156" s="388"/>
      <c r="AP156" s="388"/>
      <c r="AQ156" s="388"/>
    </row>
    <row r="157" spans="1:43" ht="15" customHeight="1" x14ac:dyDescent="0.25">
      <c r="A157" s="420">
        <f>IF('Account Info'!$T$5=TRUE,1,0)</f>
        <v>1</v>
      </c>
      <c r="B157" s="1067"/>
      <c r="C157" s="1068"/>
      <c r="D157" s="440" t="s">
        <v>454</v>
      </c>
      <c r="E157" s="439"/>
      <c r="F157" s="349"/>
      <c r="G157" s="349"/>
      <c r="H157" s="453"/>
      <c r="I157" s="361" t="str">
        <f>IF('Account Info'!$AA$4="Range State","Low","")</f>
        <v>Low</v>
      </c>
      <c r="J157" s="361" t="str">
        <f>IF('Account Info'!$AA$4="Range State","Benchmark","Selection")</f>
        <v>Benchmark</v>
      </c>
      <c r="K157" s="361" t="str">
        <f>IF('Account Info'!$AA$4="Range State","High","")</f>
        <v>High</v>
      </c>
      <c r="L157" s="361" t="str">
        <f>IF('Account Info'!$AA$4="Range State","Selection","")</f>
        <v>Selection</v>
      </c>
      <c r="M157" s="440" t="s">
        <v>377</v>
      </c>
      <c r="N157" s="440"/>
      <c r="O157" s="441"/>
      <c r="P157" s="348"/>
      <c r="Q157" s="348"/>
      <c r="R157" s="348"/>
      <c r="S157" s="348"/>
      <c r="T157" s="348"/>
      <c r="U157" s="322"/>
      <c r="V157" s="340">
        <v>1</v>
      </c>
      <c r="X157" s="505" t="s">
        <v>417</v>
      </c>
      <c r="Y157" s="506">
        <v>0.75</v>
      </c>
      <c r="Z157" s="506">
        <f>ROUND(AVERAGE(Y157,AA157),2)</f>
        <v>0.87</v>
      </c>
      <c r="AA157" s="506">
        <v>0.99</v>
      </c>
      <c r="AB157" s="507"/>
      <c r="AC157" s="340"/>
      <c r="AD157" s="255"/>
      <c r="AE157" s="255"/>
      <c r="AF157" s="255"/>
      <c r="AG157" s="255"/>
      <c r="AH157" s="340"/>
      <c r="AI157" s="340"/>
      <c r="AJ157" s="255"/>
      <c r="AK157" s="362"/>
      <c r="AL157" s="362"/>
      <c r="AM157" s="362"/>
      <c r="AN157" s="405" t="s">
        <v>455</v>
      </c>
      <c r="AO157" s="378">
        <v>0.75</v>
      </c>
      <c r="AP157" s="378">
        <f>ROUND(AVERAGE(AO157,AQ157),2)</f>
        <v>0.87</v>
      </c>
      <c r="AQ157" s="378">
        <v>0.99</v>
      </c>
    </row>
    <row r="158" spans="1:43" ht="15" customHeight="1" x14ac:dyDescent="0.25">
      <c r="A158" s="420">
        <f>IF('Account Info'!$T$5=TRUE,1,0)</f>
        <v>1</v>
      </c>
      <c r="B158" s="1067"/>
      <c r="C158" s="1068"/>
      <c r="D158" s="1054" t="s">
        <v>418</v>
      </c>
      <c r="E158" s="1055"/>
      <c r="F158" s="1055"/>
      <c r="G158" s="1055"/>
      <c r="H158" s="1056"/>
      <c r="I158" s="443">
        <f>IF(D158="","",VLOOKUP(D158,AD200:AG203,2,FALSE))</f>
        <v>1</v>
      </c>
      <c r="J158" s="443">
        <f>IF(D158="","",VLOOKUP(D158,AD200:AG203,3,FALSE))</f>
        <v>1.1299999999999999</v>
      </c>
      <c r="K158" s="443">
        <f>IF(D158="","",VLOOKUP(D158,AD200:AG203,4,FALSE))</f>
        <v>1.25</v>
      </c>
      <c r="L158" s="454">
        <f>J158</f>
        <v>1.1299999999999999</v>
      </c>
      <c r="M158" s="1057"/>
      <c r="N158" s="1058"/>
      <c r="O158" s="1058"/>
      <c r="P158" s="1058"/>
      <c r="Q158" s="1058"/>
      <c r="R158" s="1058"/>
      <c r="S158" s="1058"/>
      <c r="T158" s="1059"/>
      <c r="U158" s="322"/>
      <c r="V158" s="340">
        <f>IF('Account Info'!$AA$4="Flat Rate State",IF(J158="",1,J158),IF(L158="",1,L158))</f>
        <v>1.1299999999999999</v>
      </c>
      <c r="X158" s="505" t="s">
        <v>418</v>
      </c>
      <c r="Y158" s="506">
        <v>1</v>
      </c>
      <c r="Z158" s="506">
        <f>ROUND(AVERAGE(Y158,AA158),2)</f>
        <v>1.1299999999999999</v>
      </c>
      <c r="AA158" s="506">
        <v>1.25</v>
      </c>
      <c r="AB158" s="507"/>
      <c r="AC158" s="340"/>
      <c r="AD158" s="255"/>
      <c r="AE158" s="255"/>
      <c r="AF158" s="255"/>
      <c r="AG158" s="255"/>
      <c r="AH158" s="340"/>
      <c r="AI158" s="340"/>
      <c r="AJ158" s="255"/>
      <c r="AK158" s="362"/>
      <c r="AL158" s="362"/>
      <c r="AM158" s="362"/>
      <c r="AN158" s="405" t="s">
        <v>456</v>
      </c>
      <c r="AO158" s="378">
        <v>1</v>
      </c>
      <c r="AP158" s="378">
        <f>ROUND(AVERAGE(AO158,AQ158),2)</f>
        <v>1.1299999999999999</v>
      </c>
      <c r="AQ158" s="378">
        <v>1.25</v>
      </c>
    </row>
    <row r="159" spans="1:43" ht="15" customHeight="1" x14ac:dyDescent="0.25">
      <c r="A159" s="420">
        <f>IF('Account Info'!$T$5=TRUE,1,0)</f>
        <v>1</v>
      </c>
      <c r="B159" s="1067"/>
      <c r="C159" s="1068"/>
      <c r="D159" s="456"/>
      <c r="E159" s="457"/>
      <c r="F159" s="456"/>
      <c r="G159" s="456"/>
      <c r="H159" s="457"/>
      <c r="I159" s="459"/>
      <c r="J159" s="459"/>
      <c r="K159" s="460"/>
      <c r="L159" s="460" t="str">
        <f>IF(AND('Account Info'!$AA$4="Range State",L158&lt;&gt;"",OR(L158&lt;I158,L158&gt;K158)),"Factor is out of range","")</f>
        <v/>
      </c>
      <c r="M159" s="1051"/>
      <c r="N159" s="1052"/>
      <c r="O159" s="1052"/>
      <c r="P159" s="1052"/>
      <c r="Q159" s="1052"/>
      <c r="R159" s="1052"/>
      <c r="S159" s="1052"/>
      <c r="T159" s="1053"/>
      <c r="U159" s="322"/>
      <c r="V159" s="340">
        <v>1</v>
      </c>
      <c r="X159" s="505" t="s">
        <v>420</v>
      </c>
      <c r="Y159" s="506">
        <v>1.26</v>
      </c>
      <c r="Z159" s="506">
        <f>ROUND(AVERAGE(Y159,AA159),2)</f>
        <v>1.38</v>
      </c>
      <c r="AA159" s="506">
        <v>1.5</v>
      </c>
      <c r="AB159" s="340"/>
      <c r="AC159" s="340"/>
      <c r="AD159" s="392"/>
      <c r="AE159" s="392"/>
      <c r="AF159" s="392"/>
      <c r="AG159" s="392"/>
      <c r="AH159" s="509"/>
      <c r="AI159" s="509"/>
      <c r="AJ159" s="362"/>
      <c r="AK159" s="362"/>
      <c r="AL159" s="362"/>
      <c r="AM159" s="362"/>
      <c r="AN159" s="405" t="s">
        <v>457</v>
      </c>
      <c r="AO159" s="378">
        <v>1.26</v>
      </c>
      <c r="AP159" s="378">
        <f>ROUND(AVERAGE(AO159,AQ159),2)</f>
        <v>1.38</v>
      </c>
      <c r="AQ159" s="378">
        <v>1.5</v>
      </c>
    </row>
    <row r="160" spans="1:43" ht="15" customHeight="1" x14ac:dyDescent="0.25">
      <c r="A160" s="420">
        <f>IF('Account Info'!$T$5=TRUE,1,0)</f>
        <v>1</v>
      </c>
      <c r="B160" s="1067"/>
      <c r="C160" s="1068"/>
      <c r="D160" s="440" t="s">
        <v>458</v>
      </c>
      <c r="E160" s="439"/>
      <c r="F160" s="349"/>
      <c r="G160" s="349"/>
      <c r="H160" s="453"/>
      <c r="I160" s="361" t="str">
        <f>IF('Account Info'!$AA$4="Range State","Low","")</f>
        <v>Low</v>
      </c>
      <c r="J160" s="361" t="str">
        <f>IF('Account Info'!$AA$4="Range State","Benchmark","Selection")</f>
        <v>Benchmark</v>
      </c>
      <c r="K160" s="361" t="str">
        <f>IF('Account Info'!$AA$4="Range State","High","")</f>
        <v>High</v>
      </c>
      <c r="L160" s="361" t="str">
        <f>IF('Account Info'!$AA$4="Range State","Selection","")</f>
        <v>Selection</v>
      </c>
      <c r="M160" s="440" t="s">
        <v>377</v>
      </c>
      <c r="N160" s="440"/>
      <c r="O160" s="441"/>
      <c r="P160" s="348"/>
      <c r="Q160" s="348"/>
      <c r="R160" s="348"/>
      <c r="S160" s="348"/>
      <c r="T160" s="348"/>
      <c r="U160" s="322"/>
      <c r="V160" s="340">
        <v>1</v>
      </c>
      <c r="X160" s="505" t="s">
        <v>422</v>
      </c>
      <c r="Y160" s="506">
        <v>1.51</v>
      </c>
      <c r="Z160" s="506">
        <f>ROUND(AVERAGE(Y160,AA160),2)</f>
        <v>1.63</v>
      </c>
      <c r="AA160" s="506">
        <v>1.75</v>
      </c>
      <c r="AB160" s="340"/>
      <c r="AC160" s="340"/>
      <c r="AJ160" s="362"/>
      <c r="AK160" s="362"/>
      <c r="AL160" s="362"/>
      <c r="AM160" s="362"/>
      <c r="AN160" s="405" t="s">
        <v>459</v>
      </c>
      <c r="AO160" s="378">
        <v>1.51</v>
      </c>
      <c r="AP160" s="378">
        <f>ROUND(AVERAGE(AO160,AQ160),2)</f>
        <v>1.63</v>
      </c>
      <c r="AQ160" s="378">
        <v>1.75</v>
      </c>
    </row>
    <row r="161" spans="1:43" ht="15" customHeight="1" x14ac:dyDescent="0.25">
      <c r="A161" s="420">
        <f>IF('Account Info'!$T$5=TRUE,1,0)</f>
        <v>1</v>
      </c>
      <c r="B161" s="1067"/>
      <c r="C161" s="1068"/>
      <c r="D161" s="1054" t="s">
        <v>492</v>
      </c>
      <c r="E161" s="1055"/>
      <c r="F161" s="1055"/>
      <c r="G161" s="1055"/>
      <c r="H161" s="1056"/>
      <c r="I161" s="443">
        <f>IF(D161="","",VLOOKUP(D161,AD215:AG218,2,FALSE))</f>
        <v>1</v>
      </c>
      <c r="J161" s="443">
        <f>IF(D161="","",VLOOKUP(D161,AD215:AG218,3,FALSE))</f>
        <v>1.1299999999999999</v>
      </c>
      <c r="K161" s="443">
        <f>IF(D161="","",VLOOKUP(D161,AD215:AG218,4,FALSE))</f>
        <v>1.25</v>
      </c>
      <c r="L161" s="454">
        <f>J161</f>
        <v>1.1299999999999999</v>
      </c>
      <c r="M161" s="1057"/>
      <c r="N161" s="1058"/>
      <c r="O161" s="1058"/>
      <c r="P161" s="1058"/>
      <c r="Q161" s="1058"/>
      <c r="R161" s="1058"/>
      <c r="S161" s="1058"/>
      <c r="T161" s="1059"/>
      <c r="U161" s="322"/>
      <c r="V161" s="340">
        <f>IF('Account Info'!$AA$4="Flat Rate State",IF(J161="",1,J161),IF(L161="",1,L161))</f>
        <v>1.1299999999999999</v>
      </c>
      <c r="X161" s="504" t="s">
        <v>384</v>
      </c>
      <c r="Y161" s="420"/>
      <c r="Z161" s="420"/>
      <c r="AA161" s="420"/>
      <c r="AD161" s="503" t="s">
        <v>383</v>
      </c>
      <c r="AE161" s="388"/>
      <c r="AF161" s="388"/>
      <c r="AG161" s="388"/>
      <c r="AJ161" s="504" t="s">
        <v>460</v>
      </c>
      <c r="AK161" s="420"/>
      <c r="AL161" s="420"/>
      <c r="AM161" s="420"/>
      <c r="AN161" s="503" t="s">
        <v>461</v>
      </c>
      <c r="AO161" s="388"/>
      <c r="AP161" s="388"/>
      <c r="AQ161" s="388"/>
    </row>
    <row r="162" spans="1:43" ht="15" customHeight="1" x14ac:dyDescent="0.25">
      <c r="A162" s="420">
        <f>IF('Account Info'!$T$5=TRUE,1,0)</f>
        <v>1</v>
      </c>
      <c r="B162" s="1067"/>
      <c r="C162" s="1068"/>
      <c r="D162" s="461"/>
      <c r="E162" s="462"/>
      <c r="F162" s="462"/>
      <c r="G162" s="462"/>
      <c r="H162" s="462"/>
      <c r="I162" s="463"/>
      <c r="J162" s="463"/>
      <c r="K162" s="460"/>
      <c r="L162" s="460" t="str">
        <f>IF(AND('Account Info'!$AA$4="Range State",L161&lt;&gt;"",OR(L161&lt;I161,L161&gt;K161)),"Factor is out of range","")</f>
        <v/>
      </c>
      <c r="M162" s="1051"/>
      <c r="N162" s="1052"/>
      <c r="O162" s="1052"/>
      <c r="P162" s="1052"/>
      <c r="Q162" s="1052"/>
      <c r="R162" s="1052"/>
      <c r="S162" s="1052"/>
      <c r="T162" s="1053"/>
      <c r="U162" s="322"/>
      <c r="V162" s="340">
        <v>1</v>
      </c>
      <c r="X162" s="505" t="s">
        <v>462</v>
      </c>
      <c r="Y162" s="506">
        <v>0.8</v>
      </c>
      <c r="Z162" s="506">
        <f>ROUND(AVERAGE(Y162,AA162),2)</f>
        <v>0.9</v>
      </c>
      <c r="AA162" s="506">
        <v>1</v>
      </c>
      <c r="AB162" s="507"/>
      <c r="AC162" s="508"/>
      <c r="AD162" s="405" t="s">
        <v>417</v>
      </c>
      <c r="AE162" s="378">
        <v>0.75</v>
      </c>
      <c r="AF162" s="378">
        <f>ROUND(AVERAGE(AE162,AG162),2)</f>
        <v>0.87</v>
      </c>
      <c r="AG162" s="378">
        <v>0.99</v>
      </c>
      <c r="AH162" s="507"/>
      <c r="AI162" s="508"/>
      <c r="AJ162" s="505" t="s">
        <v>463</v>
      </c>
      <c r="AK162" s="506">
        <v>0.8</v>
      </c>
      <c r="AL162" s="506">
        <f>ROUND(AVERAGE(AK162,AM162),2)</f>
        <v>0.89</v>
      </c>
      <c r="AM162" s="506">
        <v>0.97</v>
      </c>
      <c r="AN162" s="405" t="s">
        <v>417</v>
      </c>
      <c r="AO162" s="378">
        <v>0.75</v>
      </c>
      <c r="AP162" s="378">
        <f>ROUND(AVERAGE(AO162,AQ162),2)</f>
        <v>0.87</v>
      </c>
      <c r="AQ162" s="378">
        <v>0.99</v>
      </c>
    </row>
    <row r="163" spans="1:43" ht="15" customHeight="1" x14ac:dyDescent="0.25">
      <c r="A163" s="420">
        <f>IF('Account Info'!$T$5=TRUE,1,0)</f>
        <v>1</v>
      </c>
      <c r="B163" s="1067"/>
      <c r="C163" s="1068"/>
      <c r="D163" s="348" t="s">
        <v>464</v>
      </c>
      <c r="E163" s="439"/>
      <c r="F163" s="349"/>
      <c r="G163" s="349"/>
      <c r="H163" s="453"/>
      <c r="I163" s="361" t="str">
        <f>IF('Account Info'!$AA$4="Range State","Low","")</f>
        <v>Low</v>
      </c>
      <c r="J163" s="361" t="str">
        <f>IF('Account Info'!$AA$4="Range State","Benchmark","Selection")</f>
        <v>Benchmark</v>
      </c>
      <c r="K163" s="361" t="str">
        <f>IF('Account Info'!$AA$4="Range State","High","")</f>
        <v>High</v>
      </c>
      <c r="L163" s="361" t="str">
        <f>IF('Account Info'!$AA$4="Range State","Selection","")</f>
        <v>Selection</v>
      </c>
      <c r="M163" s="440" t="s">
        <v>377</v>
      </c>
      <c r="N163" s="440"/>
      <c r="O163" s="441"/>
      <c r="P163" s="348"/>
      <c r="Q163" s="348"/>
      <c r="R163" s="348"/>
      <c r="S163" s="348"/>
      <c r="T163" s="348"/>
      <c r="U163" s="322"/>
      <c r="V163" s="340">
        <v>1</v>
      </c>
      <c r="X163" s="505" t="s">
        <v>465</v>
      </c>
      <c r="Y163" s="506">
        <v>1.01</v>
      </c>
      <c r="Z163" s="506">
        <f>ROUND(AVERAGE(Y163,AA163),2)</f>
        <v>1.1599999999999999</v>
      </c>
      <c r="AA163" s="506">
        <v>1.3</v>
      </c>
      <c r="AB163" s="507"/>
      <c r="AC163" s="508"/>
      <c r="AD163" s="405" t="s">
        <v>418</v>
      </c>
      <c r="AE163" s="378">
        <v>1</v>
      </c>
      <c r="AF163" s="378">
        <f>ROUND(AVERAGE(AE163,AG163),2)</f>
        <v>1.1299999999999999</v>
      </c>
      <c r="AG163" s="378">
        <v>1.25</v>
      </c>
      <c r="AH163" s="507"/>
      <c r="AI163" s="508"/>
      <c r="AJ163" s="505" t="s">
        <v>466</v>
      </c>
      <c r="AK163" s="506">
        <v>0.98</v>
      </c>
      <c r="AL163" s="506">
        <f>ROUND(AVERAGE(AK163,AM163),2)</f>
        <v>1.06</v>
      </c>
      <c r="AM163" s="506">
        <v>1.1299999999999999</v>
      </c>
      <c r="AN163" s="405" t="s">
        <v>418</v>
      </c>
      <c r="AO163" s="378">
        <v>1</v>
      </c>
      <c r="AP163" s="378">
        <f>ROUND(AVERAGE(AO163,AQ163),2)</f>
        <v>1.1299999999999999</v>
      </c>
      <c r="AQ163" s="378">
        <v>1.25</v>
      </c>
    </row>
    <row r="164" spans="1:43" ht="15" customHeight="1" x14ac:dyDescent="0.25">
      <c r="A164" s="420">
        <f>IF('Account Info'!$T$5=TRUE,1,0)</f>
        <v>1</v>
      </c>
      <c r="B164" s="1067"/>
      <c r="C164" s="1068"/>
      <c r="D164" s="1054" t="s">
        <v>498</v>
      </c>
      <c r="E164" s="1055"/>
      <c r="F164" s="1055"/>
      <c r="G164" s="1055"/>
      <c r="H164" s="1056"/>
      <c r="I164" s="443">
        <f>IF(D164="","",VLOOKUP(D164,AD221:AG225,2,FALSE))</f>
        <v>0.89</v>
      </c>
      <c r="J164" s="443">
        <f>IF(D164="","",VLOOKUP(D164,AD221:AG225,3,FALSE))</f>
        <v>1.03</v>
      </c>
      <c r="K164" s="443">
        <f>IF(D164="","",VLOOKUP(D164,AD221:AG225,4,FALSE))</f>
        <v>1.1599999999999999</v>
      </c>
      <c r="L164" s="454">
        <f>J164</f>
        <v>1.03</v>
      </c>
      <c r="M164" s="1057"/>
      <c r="N164" s="1058"/>
      <c r="O164" s="1058"/>
      <c r="P164" s="1058"/>
      <c r="Q164" s="1058"/>
      <c r="R164" s="1058"/>
      <c r="S164" s="1058"/>
      <c r="T164" s="1059"/>
      <c r="U164" s="322"/>
      <c r="V164" s="340">
        <f>IF('Account Info'!$AA$4="Flat Rate State",IF(J164="",1,J164),IF(L164="",1,L164))</f>
        <v>1.03</v>
      </c>
      <c r="X164" s="392"/>
      <c r="Y164" s="392"/>
      <c r="Z164" s="392"/>
      <c r="AA164" s="392"/>
      <c r="AB164" s="509"/>
      <c r="AC164" s="509"/>
      <c r="AD164" s="405" t="s">
        <v>420</v>
      </c>
      <c r="AE164" s="378">
        <v>1.26</v>
      </c>
      <c r="AF164" s="378">
        <f>ROUND(AVERAGE(AE164,AG164),2)</f>
        <v>1.38</v>
      </c>
      <c r="AG164" s="378">
        <v>1.5</v>
      </c>
      <c r="AH164" s="507"/>
      <c r="AI164" s="508"/>
      <c r="AJ164" s="505" t="s">
        <v>467</v>
      </c>
      <c r="AK164" s="506">
        <v>1.1399999999999999</v>
      </c>
      <c r="AL164" s="506">
        <f>ROUND(AVERAGE(AK164,AM164),2)</f>
        <v>1.22</v>
      </c>
      <c r="AM164" s="506">
        <v>1.3</v>
      </c>
      <c r="AN164" s="405" t="s">
        <v>420</v>
      </c>
      <c r="AO164" s="378">
        <v>1.26</v>
      </c>
      <c r="AP164" s="378">
        <f>ROUND(AVERAGE(AO164,AQ164),2)</f>
        <v>1.38</v>
      </c>
      <c r="AQ164" s="378">
        <v>1.5</v>
      </c>
    </row>
    <row r="165" spans="1:43" ht="15" customHeight="1" x14ac:dyDescent="0.25">
      <c r="A165" s="420">
        <f>IF('Account Info'!$T$5=TRUE,1,0)</f>
        <v>1</v>
      </c>
      <c r="B165" s="1067"/>
      <c r="C165" s="1068"/>
      <c r="D165" s="456"/>
      <c r="E165" s="457"/>
      <c r="F165" s="456"/>
      <c r="G165" s="456"/>
      <c r="H165" s="457"/>
      <c r="I165" s="459"/>
      <c r="J165" s="459"/>
      <c r="K165" s="460"/>
      <c r="L165" s="460" t="str">
        <f>IF(AND('Account Info'!$AA$4="Range State",L164&lt;&gt;"",OR(L164&lt;I164,L164&gt;K164)),"Factor is out of range","")</f>
        <v/>
      </c>
      <c r="M165" s="1051"/>
      <c r="N165" s="1052"/>
      <c r="O165" s="1052"/>
      <c r="P165" s="1052"/>
      <c r="Q165" s="1052"/>
      <c r="R165" s="1052"/>
      <c r="S165" s="1052"/>
      <c r="T165" s="1053"/>
      <c r="U165" s="322"/>
      <c r="V165" s="340">
        <v>1</v>
      </c>
      <c r="X165" s="392"/>
      <c r="Y165" s="392"/>
      <c r="Z165" s="392"/>
      <c r="AA165" s="392"/>
      <c r="AB165" s="509"/>
      <c r="AC165" s="509"/>
      <c r="AD165" s="405" t="s">
        <v>422</v>
      </c>
      <c r="AE165" s="378">
        <v>1.51</v>
      </c>
      <c r="AF165" s="378">
        <f>ROUND(AVERAGE(AE165,AG165),2)</f>
        <v>1.63</v>
      </c>
      <c r="AG165" s="378">
        <v>1.75</v>
      </c>
      <c r="AH165" s="340"/>
      <c r="AI165" s="340"/>
      <c r="AJ165" s="392"/>
      <c r="AK165" s="392"/>
      <c r="AL165" s="392"/>
      <c r="AM165" s="392"/>
      <c r="AN165" s="405" t="s">
        <v>422</v>
      </c>
      <c r="AO165" s="378">
        <v>1.51</v>
      </c>
      <c r="AP165" s="378">
        <f>ROUND(AVERAGE(AO165,AQ165),2)</f>
        <v>1.63</v>
      </c>
      <c r="AQ165" s="378">
        <v>1.75</v>
      </c>
    </row>
    <row r="166" spans="1:43" ht="15" customHeight="1" x14ac:dyDescent="0.25">
      <c r="A166" s="420">
        <f>IF('Account Info'!$T$5=TRUE,1,0)</f>
        <v>1</v>
      </c>
      <c r="B166" s="1067"/>
      <c r="C166" s="1068"/>
      <c r="D166" s="461"/>
      <c r="E166" s="462"/>
      <c r="F166" s="462"/>
      <c r="G166" s="462"/>
      <c r="J166" s="463"/>
      <c r="K166" s="463"/>
      <c r="L166" s="463"/>
      <c r="M166" s="467"/>
      <c r="N166" s="468"/>
      <c r="O166" s="468"/>
      <c r="P166" s="468"/>
      <c r="Q166" s="468"/>
      <c r="R166" s="468"/>
      <c r="S166" s="468"/>
      <c r="T166" s="468"/>
      <c r="U166" s="322"/>
      <c r="V166" s="340"/>
      <c r="W166" s="458" t="s">
        <v>468</v>
      </c>
      <c r="X166" s="964">
        <f ca="1">IF(I28="","",I28*PRODUCT(V132:V165))</f>
        <v>20244.337506606149</v>
      </c>
      <c r="AD166" s="510"/>
      <c r="AJ166" s="510"/>
      <c r="AN166" s="511"/>
    </row>
    <row r="167" spans="1:43" ht="15" customHeight="1" thickBot="1" x14ac:dyDescent="0.3">
      <c r="A167" s="420">
        <f>IF('Account Info'!$T$5=TRUE,1,0)</f>
        <v>1</v>
      </c>
      <c r="B167" s="1069"/>
      <c r="C167" s="1070"/>
      <c r="D167" s="325"/>
      <c r="E167" s="326"/>
      <c r="F167" s="325"/>
      <c r="G167" s="325"/>
      <c r="H167" s="325"/>
      <c r="I167" s="469"/>
      <c r="J167" s="469"/>
      <c r="K167" s="469"/>
      <c r="L167" s="469"/>
      <c r="M167" s="325"/>
      <c r="N167" s="325"/>
      <c r="O167" s="325"/>
      <c r="P167" s="325"/>
      <c r="Q167" s="325"/>
      <c r="R167" s="325"/>
      <c r="S167" s="325"/>
      <c r="T167" s="325"/>
      <c r="U167" s="327"/>
      <c r="V167" s="340"/>
      <c r="X167" s="510"/>
      <c r="AD167" s="510"/>
      <c r="AJ167" s="510"/>
      <c r="AN167" s="511"/>
    </row>
    <row r="168" spans="1:43" ht="15" customHeight="1" thickBot="1" x14ac:dyDescent="0.35">
      <c r="A168" s="420">
        <f>IF('Account Info'!$T$5=TRUE,1,0)</f>
        <v>1</v>
      </c>
      <c r="B168" s="470" t="s">
        <v>469</v>
      </c>
      <c r="C168" s="309"/>
      <c r="D168" s="309"/>
      <c r="E168" s="310"/>
      <c r="F168" s="309"/>
      <c r="G168" s="309"/>
      <c r="H168" s="309"/>
      <c r="I168" s="512"/>
      <c r="J168" s="512"/>
      <c r="K168" s="512"/>
      <c r="L168" s="512"/>
      <c r="M168" s="309"/>
      <c r="N168" s="309"/>
      <c r="O168" s="309"/>
      <c r="P168" s="309"/>
      <c r="Q168" s="309"/>
      <c r="R168" s="309"/>
      <c r="S168" s="309"/>
      <c r="T168" s="309"/>
      <c r="U168" s="311"/>
      <c r="V168" s="340"/>
    </row>
    <row r="169" spans="1:43" ht="15" customHeight="1" x14ac:dyDescent="0.25">
      <c r="A169" s="420">
        <f>IF('Account Info'!$T$5=TRUE,1,0)</f>
        <v>1</v>
      </c>
      <c r="B169" s="317"/>
      <c r="C169" s="321"/>
      <c r="D169" s="321"/>
      <c r="E169" s="320"/>
      <c r="F169" s="321"/>
      <c r="G169" s="321"/>
      <c r="H169" s="471" t="s">
        <v>393</v>
      </c>
      <c r="I169" s="472">
        <v>0.8</v>
      </c>
      <c r="J169" s="473">
        <v>1.25</v>
      </c>
      <c r="K169" s="949">
        <v>1</v>
      </c>
      <c r="L169" s="474"/>
      <c r="M169" s="321"/>
      <c r="N169" s="321"/>
      <c r="O169" s="321"/>
      <c r="P169" s="321"/>
      <c r="Q169" s="321"/>
      <c r="R169" s="321"/>
      <c r="S169" s="321"/>
      <c r="T169" s="321"/>
      <c r="U169" s="322"/>
      <c r="V169" s="340"/>
    </row>
    <row r="170" spans="1:43" ht="15" customHeight="1" x14ac:dyDescent="0.25">
      <c r="A170" s="420">
        <f>IF('Account Info'!$T$5=TRUE,1,0)</f>
        <v>1</v>
      </c>
      <c r="B170" s="317"/>
      <c r="C170" s="321"/>
      <c r="D170" s="321"/>
      <c r="E170" s="320"/>
      <c r="F170" s="321"/>
      <c r="G170" s="321"/>
      <c r="H170" s="475" t="s">
        <v>394</v>
      </c>
      <c r="I170" s="476">
        <v>0.8</v>
      </c>
      <c r="J170" s="477">
        <v>1.25</v>
      </c>
      <c r="K170" s="950">
        <v>1</v>
      </c>
      <c r="L170" s="474"/>
      <c r="M170" s="321"/>
      <c r="N170" s="321"/>
      <c r="O170" s="321"/>
      <c r="P170" s="321"/>
      <c r="Q170" s="321"/>
      <c r="R170" s="321"/>
      <c r="S170" s="321"/>
      <c r="T170" s="321"/>
      <c r="U170" s="322"/>
      <c r="V170" s="340"/>
    </row>
    <row r="171" spans="1:43" ht="15" customHeight="1" x14ac:dyDescent="0.25">
      <c r="A171" s="420">
        <f>IF('Account Info'!$T$5=TRUE,1,0)</f>
        <v>1</v>
      </c>
      <c r="B171" s="317"/>
      <c r="C171" s="321"/>
      <c r="D171" s="321"/>
      <c r="E171" s="320"/>
      <c r="F171" s="321"/>
      <c r="G171" s="321"/>
      <c r="H171" s="475" t="s">
        <v>395</v>
      </c>
      <c r="I171" s="476">
        <v>0.8</v>
      </c>
      <c r="J171" s="477">
        <v>1.25</v>
      </c>
      <c r="K171" s="950">
        <v>1</v>
      </c>
      <c r="L171" s="474"/>
      <c r="M171" s="321"/>
      <c r="N171" s="321"/>
      <c r="O171" s="321"/>
      <c r="P171" s="321"/>
      <c r="Q171" s="321"/>
      <c r="R171" s="321"/>
      <c r="S171" s="321"/>
      <c r="T171" s="321"/>
      <c r="U171" s="322"/>
      <c r="V171" s="340"/>
    </row>
    <row r="172" spans="1:43" ht="15" customHeight="1" x14ac:dyDescent="0.25">
      <c r="A172" s="420">
        <f>IF('Account Info'!$T$5=TRUE,1,0)</f>
        <v>1</v>
      </c>
      <c r="B172" s="317"/>
      <c r="C172" s="321"/>
      <c r="D172" s="321"/>
      <c r="E172" s="320"/>
      <c r="F172" s="321"/>
      <c r="G172" s="321"/>
      <c r="H172" s="475" t="s">
        <v>396</v>
      </c>
      <c r="I172" s="476">
        <v>0.8</v>
      </c>
      <c r="J172" s="477">
        <v>1.25</v>
      </c>
      <c r="K172" s="950">
        <v>1</v>
      </c>
      <c r="L172" s="474"/>
      <c r="M172" s="321"/>
      <c r="N172" s="321"/>
      <c r="O172" s="321"/>
      <c r="P172" s="321"/>
      <c r="Q172" s="321"/>
      <c r="R172" s="321"/>
      <c r="S172" s="321"/>
      <c r="T172" s="321"/>
      <c r="U172" s="322"/>
      <c r="V172" s="340"/>
    </row>
    <row r="173" spans="1:43" ht="15" customHeight="1" thickBot="1" x14ac:dyDescent="0.3">
      <c r="A173" s="420">
        <f>IF('Account Info'!$T$5=TRUE,1,0)</f>
        <v>1</v>
      </c>
      <c r="B173" s="317"/>
      <c r="C173" s="321"/>
      <c r="D173" s="321"/>
      <c r="E173" s="320"/>
      <c r="F173" s="321"/>
      <c r="G173" s="321"/>
      <c r="H173" s="478" t="s">
        <v>397</v>
      </c>
      <c r="I173" s="479">
        <v>0.8</v>
      </c>
      <c r="J173" s="480">
        <v>1.25</v>
      </c>
      <c r="K173" s="951">
        <v>1</v>
      </c>
      <c r="L173" s="474"/>
      <c r="M173" s="321"/>
      <c r="N173" s="321"/>
      <c r="O173" s="321"/>
      <c r="P173" s="321"/>
      <c r="Q173" s="321"/>
      <c r="R173" s="321"/>
      <c r="S173" s="321"/>
      <c r="T173" s="321"/>
      <c r="U173" s="322"/>
      <c r="V173" s="340"/>
    </row>
    <row r="174" spans="1:43" ht="15" customHeight="1" thickBot="1" x14ac:dyDescent="0.3">
      <c r="A174" s="420">
        <f>IF('Account Info'!$T$5=TRUE,1,0)</f>
        <v>1</v>
      </c>
      <c r="B174" s="317"/>
      <c r="C174" s="321"/>
      <c r="D174" s="321"/>
      <c r="E174" s="320"/>
      <c r="F174" s="321"/>
      <c r="G174" s="321"/>
      <c r="H174" s="310"/>
      <c r="I174" s="483"/>
      <c r="J174" s="483"/>
      <c r="K174" s="952">
        <f>IF(PRODUCT(K169:K173)=0,1,PRODUCT(K169:K173))</f>
        <v>1</v>
      </c>
      <c r="L174" s="464"/>
      <c r="M174" s="321"/>
      <c r="N174" s="321"/>
      <c r="O174" s="321"/>
      <c r="P174" s="321"/>
      <c r="Q174" s="321"/>
      <c r="R174" s="321"/>
      <c r="S174" s="321"/>
      <c r="T174" s="321"/>
      <c r="U174" s="322"/>
      <c r="V174" s="340"/>
      <c r="W174" s="484">
        <f>W98</f>
        <v>0.5</v>
      </c>
      <c r="X174" s="484">
        <f>X98</f>
        <v>1.5</v>
      </c>
      <c r="Y174" s="507"/>
    </row>
    <row r="175" spans="1:43" ht="15" customHeight="1" x14ac:dyDescent="0.25">
      <c r="A175" s="420">
        <f>IF('Account Info'!$T$5=TRUE,1,0)</f>
        <v>1</v>
      </c>
      <c r="B175" s="317"/>
      <c r="C175" s="321"/>
      <c r="D175" s="321"/>
      <c r="E175" s="320"/>
      <c r="F175" s="321"/>
      <c r="G175" s="321"/>
      <c r="H175" s="513"/>
      <c r="I175" s="514"/>
      <c r="J175" s="514"/>
      <c r="K175" s="515"/>
      <c r="L175" s="464"/>
      <c r="M175" s="321"/>
      <c r="N175" s="321"/>
      <c r="O175" s="321"/>
      <c r="P175" s="321"/>
      <c r="Q175" s="321"/>
      <c r="R175" s="321"/>
      <c r="S175" s="321"/>
      <c r="T175" s="321"/>
      <c r="U175" s="322"/>
      <c r="V175" s="340"/>
    </row>
    <row r="176" spans="1:43" ht="15" customHeight="1" x14ac:dyDescent="0.25">
      <c r="A176" s="420">
        <f>IF('Account Info'!$T$5=TRUE,1,0)</f>
        <v>1</v>
      </c>
      <c r="B176" s="317"/>
      <c r="C176" s="321"/>
      <c r="D176" s="321"/>
      <c r="E176" s="320"/>
      <c r="F176" s="321"/>
      <c r="G176" s="321"/>
      <c r="J176" s="464"/>
      <c r="K176" s="464"/>
      <c r="L176" s="464"/>
      <c r="M176" s="321"/>
      <c r="N176" s="321"/>
      <c r="O176" s="321"/>
      <c r="P176" s="321"/>
      <c r="Q176" s="321"/>
      <c r="R176" s="321"/>
      <c r="S176" s="321"/>
      <c r="T176" s="321"/>
      <c r="U176" s="322"/>
      <c r="V176" s="340"/>
      <c r="W176" s="458" t="s">
        <v>470</v>
      </c>
      <c r="X176" s="939">
        <f ca="1">IF(X166="","",X166*K174)</f>
        <v>20244.337506606149</v>
      </c>
    </row>
    <row r="177" spans="1:43" ht="15" customHeight="1" thickBot="1" x14ac:dyDescent="0.3">
      <c r="A177" s="420">
        <f>IF('Account Info'!$T$5=TRUE,1,0)</f>
        <v>1</v>
      </c>
      <c r="B177" s="324"/>
      <c r="C177" s="325"/>
      <c r="D177" s="325"/>
      <c r="E177" s="326"/>
      <c r="F177" s="325"/>
      <c r="G177" s="325"/>
      <c r="H177" s="325"/>
      <c r="I177" s="469"/>
      <c r="J177" s="469"/>
      <c r="K177" s="469"/>
      <c r="L177" s="469"/>
      <c r="M177" s="325"/>
      <c r="N177" s="325"/>
      <c r="O177" s="325"/>
      <c r="P177" s="325"/>
      <c r="Q177" s="325"/>
      <c r="R177" s="325"/>
      <c r="S177" s="325"/>
      <c r="T177" s="325"/>
      <c r="U177" s="327"/>
      <c r="V177" s="340"/>
    </row>
    <row r="178" spans="1:43" ht="15" customHeight="1" x14ac:dyDescent="0.3">
      <c r="A178" s="420">
        <f>IF('Account Info'!$T$5=TRUE,1,0)</f>
        <v>1</v>
      </c>
      <c r="B178" s="451" t="s">
        <v>471</v>
      </c>
      <c r="C178" s="321"/>
      <c r="D178" s="321"/>
      <c r="E178" s="320"/>
      <c r="F178" s="321"/>
      <c r="G178" s="321"/>
      <c r="H178" s="321"/>
      <c r="I178" s="464"/>
      <c r="J178" s="464"/>
      <c r="K178" s="464"/>
      <c r="L178" s="464"/>
      <c r="M178" s="321"/>
      <c r="N178" s="321"/>
      <c r="O178" s="321"/>
      <c r="P178" s="321"/>
      <c r="Q178" s="321"/>
      <c r="R178" s="321"/>
      <c r="S178" s="321"/>
      <c r="T178" s="321"/>
      <c r="U178" s="322"/>
      <c r="V178" s="340">
        <v>1</v>
      </c>
      <c r="X178" s="504" t="s">
        <v>385</v>
      </c>
      <c r="Y178" s="420"/>
      <c r="Z178" s="420"/>
      <c r="AA178" s="420"/>
      <c r="AD178" s="503" t="s">
        <v>442</v>
      </c>
      <c r="AE178" s="388"/>
      <c r="AF178" s="388"/>
      <c r="AG178" s="388"/>
      <c r="AJ178" s="504" t="s">
        <v>472</v>
      </c>
      <c r="AK178" s="420"/>
      <c r="AL178" s="420"/>
      <c r="AM178" s="420"/>
      <c r="AN178" s="511"/>
    </row>
    <row r="179" spans="1:43" ht="15" customHeight="1" x14ac:dyDescent="0.25">
      <c r="A179" s="420">
        <f>IF('Account Info'!$T$5=TRUE,1,0)</f>
        <v>1</v>
      </c>
      <c r="B179" s="1067" t="s">
        <v>327</v>
      </c>
      <c r="C179" s="1068"/>
      <c r="D179" s="348" t="s">
        <v>473</v>
      </c>
      <c r="E179" s="439"/>
      <c r="F179" s="349"/>
      <c r="G179" s="349"/>
      <c r="H179" s="453"/>
      <c r="I179" s="361" t="str">
        <f>IF('Account Info'!$AA$4="Range State","Low","")</f>
        <v>Low</v>
      </c>
      <c r="J179" s="361" t="str">
        <f>IF('Account Info'!$AA$4="Range State","Benchmark","Selection")</f>
        <v>Benchmark</v>
      </c>
      <c r="K179" s="361" t="str">
        <f>IF('Account Info'!$AA$4="Range State","High","")</f>
        <v>High</v>
      </c>
      <c r="L179" s="361" t="str">
        <f>IF('Account Info'!$AA$4="Range State","Selection","")</f>
        <v>Selection</v>
      </c>
      <c r="M179" s="440" t="s">
        <v>377</v>
      </c>
      <c r="N179" s="440"/>
      <c r="O179" s="441"/>
      <c r="P179" s="348"/>
      <c r="Q179" s="348"/>
      <c r="R179" s="348"/>
      <c r="S179" s="348"/>
      <c r="T179" s="348"/>
      <c r="U179" s="322"/>
      <c r="V179" s="340">
        <v>1</v>
      </c>
      <c r="X179" s="505" t="s">
        <v>417</v>
      </c>
      <c r="Y179" s="506">
        <v>0.75</v>
      </c>
      <c r="Z179" s="506">
        <f>ROUND(AVERAGE(Y179,AA179),2)</f>
        <v>0.87</v>
      </c>
      <c r="AA179" s="506">
        <v>0.99</v>
      </c>
      <c r="AB179" s="507"/>
      <c r="AC179" s="340"/>
      <c r="AD179" s="405" t="s">
        <v>417</v>
      </c>
      <c r="AE179" s="378">
        <v>0.75</v>
      </c>
      <c r="AF179" s="378">
        <f>ROUND(AVERAGE(AE179,AG179),2)</f>
        <v>0.87</v>
      </c>
      <c r="AG179" s="378">
        <v>0.99</v>
      </c>
      <c r="AH179" s="340"/>
      <c r="AI179" s="508"/>
      <c r="AJ179" s="505" t="s">
        <v>474</v>
      </c>
      <c r="AK179" s="506">
        <v>0.75</v>
      </c>
      <c r="AL179" s="506">
        <f>ROUND(AVERAGE(AK179,AM179),2)</f>
        <v>0.87</v>
      </c>
      <c r="AM179" s="506">
        <v>0.99</v>
      </c>
      <c r="AN179" s="392"/>
      <c r="AO179" s="392"/>
      <c r="AP179" s="392"/>
      <c r="AQ179" s="392"/>
    </row>
    <row r="180" spans="1:43" ht="15" customHeight="1" x14ac:dyDescent="0.25">
      <c r="A180" s="420">
        <f>IF('Account Info'!$T$5=TRUE,1,0)</f>
        <v>1</v>
      </c>
      <c r="B180" s="1067"/>
      <c r="C180" s="1068"/>
      <c r="D180" s="1054" t="s">
        <v>517</v>
      </c>
      <c r="E180" s="1055"/>
      <c r="F180" s="1055"/>
      <c r="G180" s="1055"/>
      <c r="H180" s="1056"/>
      <c r="I180" s="443">
        <f>IF(D180="","",VLOOKUP(D180,AD264:AG266,2,FALSE))</f>
        <v>0.8</v>
      </c>
      <c r="J180" s="443">
        <f>IF(D180="","",VLOOKUP(D180,AD264:AG266,3,FALSE))</f>
        <v>0.9</v>
      </c>
      <c r="K180" s="443">
        <f>IF(D180="","",VLOOKUP(D180,AD264:AG266,4,FALSE))</f>
        <v>0.99</v>
      </c>
      <c r="L180" s="454">
        <f>J180</f>
        <v>0.9</v>
      </c>
      <c r="M180" s="1057"/>
      <c r="N180" s="1058"/>
      <c r="O180" s="1058"/>
      <c r="P180" s="1058"/>
      <c r="Q180" s="1058"/>
      <c r="R180" s="1058"/>
      <c r="S180" s="1058"/>
      <c r="T180" s="1059"/>
      <c r="U180" s="322"/>
      <c r="V180" s="340">
        <f>IF('Account Info'!$AA$4="Flat Rate State",IF(J180="",1,J180),IF(L180="",1,L180))</f>
        <v>0.9</v>
      </c>
      <c r="X180" s="505" t="s">
        <v>418</v>
      </c>
      <c r="Y180" s="506">
        <v>1</v>
      </c>
      <c r="Z180" s="506">
        <f>ROUND(AVERAGE(Y180,AA180),2)</f>
        <v>1.1299999999999999</v>
      </c>
      <c r="AA180" s="506">
        <v>1.25</v>
      </c>
      <c r="AB180" s="507"/>
      <c r="AC180" s="340"/>
      <c r="AD180" s="405" t="s">
        <v>418</v>
      </c>
      <c r="AE180" s="378">
        <v>1</v>
      </c>
      <c r="AF180" s="378">
        <f>ROUND(AVERAGE(AE180,AG180),2)</f>
        <v>1.1299999999999999</v>
      </c>
      <c r="AG180" s="378">
        <v>1.25</v>
      </c>
      <c r="AH180" s="340"/>
      <c r="AI180" s="508"/>
      <c r="AJ180" s="505" t="s">
        <v>418</v>
      </c>
      <c r="AK180" s="506">
        <v>1</v>
      </c>
      <c r="AL180" s="506">
        <f>ROUND(AVERAGE(AK180,AM180),2)</f>
        <v>1.1299999999999999</v>
      </c>
      <c r="AM180" s="506">
        <v>1.25</v>
      </c>
      <c r="AN180" s="392"/>
      <c r="AO180" s="392"/>
      <c r="AP180" s="392"/>
      <c r="AQ180" s="392"/>
    </row>
    <row r="181" spans="1:43" ht="15" customHeight="1" x14ac:dyDescent="0.25">
      <c r="A181" s="420">
        <f>IF('Account Info'!$T$5=TRUE,1,0)</f>
        <v>1</v>
      </c>
      <c r="B181" s="1067"/>
      <c r="C181" s="1068"/>
      <c r="D181" s="456"/>
      <c r="E181" s="457"/>
      <c r="F181" s="456"/>
      <c r="G181" s="456"/>
      <c r="H181" s="456"/>
      <c r="I181" s="464"/>
      <c r="J181" s="464"/>
      <c r="K181" s="460"/>
      <c r="L181" s="460" t="str">
        <f>IF(AND('Account Info'!$AA$4="Range State",L180&lt;&gt;"",OR(L180&lt;I180,L180&gt;K180)),"Factor is out of range","")</f>
        <v/>
      </c>
      <c r="M181" s="1051"/>
      <c r="N181" s="1052"/>
      <c r="O181" s="1052"/>
      <c r="P181" s="1052"/>
      <c r="Q181" s="1052"/>
      <c r="R181" s="1052"/>
      <c r="S181" s="1052"/>
      <c r="T181" s="1053"/>
      <c r="U181" s="322"/>
      <c r="V181" s="340">
        <v>1</v>
      </c>
      <c r="X181" s="505" t="s">
        <v>420</v>
      </c>
      <c r="Y181" s="506">
        <v>1.26</v>
      </c>
      <c r="Z181" s="506">
        <f>ROUND(AVERAGE(Y181,AA181),2)</f>
        <v>1.38</v>
      </c>
      <c r="AA181" s="506">
        <v>1.5</v>
      </c>
      <c r="AB181" s="340"/>
      <c r="AC181" s="340"/>
      <c r="AD181" s="405" t="s">
        <v>420</v>
      </c>
      <c r="AE181" s="378">
        <v>1.26</v>
      </c>
      <c r="AF181" s="378">
        <f>ROUND(AVERAGE(AE181,AG181),2)</f>
        <v>1.38</v>
      </c>
      <c r="AG181" s="378">
        <v>1.5</v>
      </c>
      <c r="AH181" s="509"/>
      <c r="AI181" s="509"/>
      <c r="AJ181" s="505" t="s">
        <v>420</v>
      </c>
      <c r="AK181" s="506">
        <v>1.26</v>
      </c>
      <c r="AL181" s="506">
        <f>ROUND(AVERAGE(AK181,AM181),2)</f>
        <v>1.38</v>
      </c>
      <c r="AM181" s="506">
        <v>1.5</v>
      </c>
      <c r="AN181" s="392"/>
      <c r="AO181" s="392"/>
      <c r="AP181" s="392"/>
      <c r="AQ181" s="392"/>
    </row>
    <row r="182" spans="1:43" ht="15" customHeight="1" x14ac:dyDescent="0.25">
      <c r="A182" s="420">
        <f>IF('Account Info'!$T$5=TRUE,1,0)</f>
        <v>1</v>
      </c>
      <c r="B182" s="1067"/>
      <c r="C182" s="1068"/>
      <c r="D182" s="348" t="s">
        <v>475</v>
      </c>
      <c r="E182" s="439"/>
      <c r="F182" s="349"/>
      <c r="G182" s="349"/>
      <c r="H182" s="453"/>
      <c r="I182" s="361" t="str">
        <f>IF('Account Info'!$AA$4="Range State","Low","")</f>
        <v>Low</v>
      </c>
      <c r="J182" s="361" t="str">
        <f>IF('Account Info'!$AA$4="Range State","Benchmark","Selection")</f>
        <v>Benchmark</v>
      </c>
      <c r="K182" s="361" t="str">
        <f>IF('Account Info'!$AA$4="Range State","High","")</f>
        <v>High</v>
      </c>
      <c r="L182" s="361" t="str">
        <f>IF('Account Info'!$AA$4="Range State","Selection","")</f>
        <v>Selection</v>
      </c>
      <c r="M182" s="440" t="s">
        <v>377</v>
      </c>
      <c r="N182" s="440"/>
      <c r="O182" s="441"/>
      <c r="P182" s="348"/>
      <c r="Q182" s="348"/>
      <c r="R182" s="348"/>
      <c r="S182" s="348"/>
      <c r="T182" s="348"/>
      <c r="U182" s="322"/>
      <c r="V182" s="340">
        <v>1</v>
      </c>
      <c r="X182" s="505" t="s">
        <v>422</v>
      </c>
      <c r="Y182" s="506">
        <v>1.51</v>
      </c>
      <c r="Z182" s="506">
        <f>ROUND(AVERAGE(Y182,AA182),2)</f>
        <v>1.63</v>
      </c>
      <c r="AA182" s="506">
        <v>1.75</v>
      </c>
      <c r="AB182" s="340"/>
      <c r="AC182" s="340"/>
      <c r="AD182" s="405" t="s">
        <v>422</v>
      </c>
      <c r="AE182" s="378">
        <v>1.51</v>
      </c>
      <c r="AF182" s="378">
        <f>ROUND(AVERAGE(AE182,AG182),2)</f>
        <v>1.63</v>
      </c>
      <c r="AG182" s="378">
        <v>1.75</v>
      </c>
      <c r="AH182" s="509"/>
      <c r="AI182" s="509"/>
      <c r="AJ182" s="505" t="s">
        <v>422</v>
      </c>
      <c r="AK182" s="506">
        <v>1.51</v>
      </c>
      <c r="AL182" s="506">
        <f>ROUND(AVERAGE(AK182,AM182),2)</f>
        <v>1.63</v>
      </c>
      <c r="AM182" s="506">
        <v>1.75</v>
      </c>
      <c r="AN182" s="392"/>
      <c r="AO182" s="392"/>
      <c r="AP182" s="392"/>
      <c r="AQ182" s="392"/>
    </row>
    <row r="183" spans="1:43" ht="15" customHeight="1" x14ac:dyDescent="0.25">
      <c r="A183" s="420">
        <f>IF('Account Info'!$T$5=TRUE,1,0)</f>
        <v>1</v>
      </c>
      <c r="B183" s="1067"/>
      <c r="C183" s="1068"/>
      <c r="D183" s="1054" t="s">
        <v>523</v>
      </c>
      <c r="E183" s="1055"/>
      <c r="F183" s="1055"/>
      <c r="G183" s="1055"/>
      <c r="H183" s="1056"/>
      <c r="I183" s="443">
        <f>IF(D183="","",VLOOKUP(D183,AD268:AG269,2,FALSE))</f>
        <v>1</v>
      </c>
      <c r="J183" s="443">
        <f>IF(D183="","",VLOOKUP(D183,AD268:AG269,3,FALSE))</f>
        <v>1</v>
      </c>
      <c r="K183" s="443">
        <f>IF(D183="","",VLOOKUP(D183,AD268:AG269,4,FALSE))</f>
        <v>1</v>
      </c>
      <c r="L183" s="454">
        <f>J183</f>
        <v>1</v>
      </c>
      <c r="M183" s="1057"/>
      <c r="N183" s="1058"/>
      <c r="O183" s="1058"/>
      <c r="P183" s="1058"/>
      <c r="Q183" s="1058"/>
      <c r="R183" s="1058"/>
      <c r="S183" s="1058"/>
      <c r="T183" s="1059"/>
      <c r="U183" s="322"/>
      <c r="V183" s="340">
        <f>IF('Account Info'!$AA$4="Flat Rate State",IF(J183="",1,J183),IF(L183="",1,L183))</f>
        <v>1</v>
      </c>
      <c r="X183" s="504" t="s">
        <v>386</v>
      </c>
      <c r="Y183" s="420"/>
      <c r="Z183" s="420"/>
      <c r="AA183" s="420"/>
      <c r="AD183" s="503" t="s">
        <v>443</v>
      </c>
      <c r="AE183" s="388"/>
      <c r="AF183" s="388"/>
      <c r="AG183" s="388"/>
      <c r="AJ183" s="504" t="s">
        <v>476</v>
      </c>
      <c r="AK183" s="420"/>
      <c r="AL183" s="420"/>
      <c r="AM183" s="420"/>
      <c r="AN183" s="392"/>
      <c r="AO183" s="392"/>
      <c r="AP183" s="392"/>
      <c r="AQ183" s="392"/>
    </row>
    <row r="184" spans="1:43" ht="15" customHeight="1" x14ac:dyDescent="0.25">
      <c r="A184" s="420">
        <f>IF('Account Info'!$T$5=TRUE,1,0)</f>
        <v>1</v>
      </c>
      <c r="B184" s="1067"/>
      <c r="C184" s="1068"/>
      <c r="D184" s="456"/>
      <c r="E184" s="457"/>
      <c r="F184" s="456"/>
      <c r="G184" s="456"/>
      <c r="H184" s="456"/>
      <c r="I184" s="464"/>
      <c r="J184" s="464"/>
      <c r="K184" s="460"/>
      <c r="L184" s="460" t="str">
        <f>IF(AND('Account Info'!$AA$4="Range State",L183&lt;&gt;"",OR(L183&lt;I183,L183&gt;K183)),"Factor is out of range","")</f>
        <v/>
      </c>
      <c r="M184" s="1051"/>
      <c r="N184" s="1052"/>
      <c r="O184" s="1052"/>
      <c r="P184" s="1052"/>
      <c r="Q184" s="1052"/>
      <c r="R184" s="1052"/>
      <c r="S184" s="1052"/>
      <c r="T184" s="1053"/>
      <c r="U184" s="322"/>
      <c r="V184" s="340">
        <v>1</v>
      </c>
      <c r="X184" s="505" t="s">
        <v>433</v>
      </c>
      <c r="Y184" s="506">
        <v>0.75</v>
      </c>
      <c r="Z184" s="506">
        <f>ROUND(AVERAGE(Y184,AA184),2)</f>
        <v>0.87</v>
      </c>
      <c r="AA184" s="506">
        <v>0.99</v>
      </c>
      <c r="AB184" s="507"/>
      <c r="AC184" s="508"/>
      <c r="AD184" s="405" t="s">
        <v>477</v>
      </c>
      <c r="AE184" s="378">
        <v>0.85</v>
      </c>
      <c r="AF184" s="378">
        <f>ROUND(AVERAGE(AE184,AG184),2)</f>
        <v>0.93</v>
      </c>
      <c r="AG184" s="378">
        <v>1</v>
      </c>
      <c r="AH184" s="507"/>
      <c r="AI184" s="508"/>
      <c r="AJ184" s="505" t="s">
        <v>478</v>
      </c>
      <c r="AK184" s="506">
        <v>0.75</v>
      </c>
      <c r="AL184" s="506">
        <f>ROUND(AVERAGE(AK184,AM184),2)</f>
        <v>0.87</v>
      </c>
      <c r="AM184" s="506">
        <v>0.99</v>
      </c>
      <c r="AN184" s="392"/>
      <c r="AO184" s="392"/>
      <c r="AP184" s="392"/>
      <c r="AQ184" s="392"/>
    </row>
    <row r="185" spans="1:43" ht="15" customHeight="1" x14ac:dyDescent="0.25">
      <c r="A185" s="420">
        <f>IF('Account Info'!$T$5=TRUE,1,0)</f>
        <v>1</v>
      </c>
      <c r="B185" s="1067"/>
      <c r="C185" s="1068"/>
      <c r="D185" s="348" t="s">
        <v>479</v>
      </c>
      <c r="E185" s="439"/>
      <c r="F185" s="349"/>
      <c r="G185" s="349"/>
      <c r="H185" s="453"/>
      <c r="I185" s="361" t="str">
        <f>IF('Account Info'!$AA$4="Range State","Low","")</f>
        <v>Low</v>
      </c>
      <c r="J185" s="361" t="str">
        <f>IF('Account Info'!$AA$4="Range State","Benchmark","Selection")</f>
        <v>Benchmark</v>
      </c>
      <c r="K185" s="361" t="str">
        <f>IF('Account Info'!$AA$4="Range State","High","")</f>
        <v>High</v>
      </c>
      <c r="L185" s="361" t="str">
        <f>IF('Account Info'!$AA$4="Range State","Selection","")</f>
        <v>Selection</v>
      </c>
      <c r="M185" s="440" t="s">
        <v>377</v>
      </c>
      <c r="N185" s="440"/>
      <c r="O185" s="441"/>
      <c r="P185" s="348"/>
      <c r="Q185" s="348"/>
      <c r="R185" s="348"/>
      <c r="S185" s="348"/>
      <c r="T185" s="348"/>
      <c r="U185" s="322"/>
      <c r="V185" s="340">
        <v>1</v>
      </c>
      <c r="X185" s="505" t="s">
        <v>418</v>
      </c>
      <c r="Y185" s="506">
        <v>1</v>
      </c>
      <c r="Z185" s="506">
        <f>ROUND(AVERAGE(Y185,AA185),2)</f>
        <v>1.1299999999999999</v>
      </c>
      <c r="AA185" s="506">
        <v>1.25</v>
      </c>
      <c r="AB185" s="507"/>
      <c r="AC185" s="508"/>
      <c r="AD185" s="405" t="s">
        <v>480</v>
      </c>
      <c r="AE185" s="378">
        <v>1.01</v>
      </c>
      <c r="AF185" s="378">
        <f>ROUND(AVERAGE(AE185,AG185),2)</f>
        <v>1.06</v>
      </c>
      <c r="AG185" s="378">
        <v>1.1000000000000001</v>
      </c>
      <c r="AH185" s="507"/>
      <c r="AI185" s="508"/>
      <c r="AJ185" s="505" t="s">
        <v>418</v>
      </c>
      <c r="AK185" s="506">
        <v>1</v>
      </c>
      <c r="AL185" s="506">
        <f>ROUND(AVERAGE(AK185,AM185),2)</f>
        <v>1.1299999999999999</v>
      </c>
      <c r="AM185" s="506">
        <v>1.25</v>
      </c>
      <c r="AN185" s="392"/>
      <c r="AO185" s="392"/>
      <c r="AP185" s="392"/>
      <c r="AQ185" s="392"/>
    </row>
    <row r="186" spans="1:43" ht="15" customHeight="1" x14ac:dyDescent="0.25">
      <c r="A186" s="420">
        <f>IF('Account Info'!$T$5=TRUE,1,0)</f>
        <v>1</v>
      </c>
      <c r="B186" s="1067"/>
      <c r="C186" s="1068"/>
      <c r="D186" s="1054" t="s">
        <v>417</v>
      </c>
      <c r="E186" s="1055"/>
      <c r="F186" s="1055"/>
      <c r="G186" s="1055"/>
      <c r="H186" s="1056"/>
      <c r="I186" s="443">
        <f>IF(D186="","",VLOOKUP(D186,AD273:AG277,2,FALSE))</f>
        <v>0.75</v>
      </c>
      <c r="J186" s="443">
        <f>IF(D186="","",VLOOKUP(D186,AD273:AG277,3,FALSE))</f>
        <v>0.87</v>
      </c>
      <c r="K186" s="443">
        <f>IF(D186="","",VLOOKUP(D186,AD273:AG277,4,FALSE))</f>
        <v>0.99</v>
      </c>
      <c r="L186" s="454">
        <f>J186</f>
        <v>0.87</v>
      </c>
      <c r="M186" s="1057"/>
      <c r="N186" s="1058"/>
      <c r="O186" s="1058"/>
      <c r="P186" s="1058"/>
      <c r="Q186" s="1058"/>
      <c r="R186" s="1058"/>
      <c r="S186" s="1058"/>
      <c r="T186" s="1059"/>
      <c r="U186" s="322"/>
      <c r="V186" s="340">
        <f>IF('Account Info'!$AA$4="Flat Rate State",IF(J186="",1,J186),IF(L186="",1,L186))</f>
        <v>0.87</v>
      </c>
      <c r="X186" s="505" t="s">
        <v>420</v>
      </c>
      <c r="Y186" s="506">
        <v>1.26</v>
      </c>
      <c r="Z186" s="506">
        <f>ROUND(AVERAGE(Y186,AA186),2)</f>
        <v>1.38</v>
      </c>
      <c r="AA186" s="506">
        <v>1.5</v>
      </c>
      <c r="AB186" s="507"/>
      <c r="AC186" s="508"/>
      <c r="AD186" s="405" t="s">
        <v>481</v>
      </c>
      <c r="AE186" s="378">
        <v>1.1100000000000001</v>
      </c>
      <c r="AF186" s="378">
        <f>ROUND(AVERAGE(AE186,AG186),2)</f>
        <v>1.18</v>
      </c>
      <c r="AG186" s="378">
        <v>1.25</v>
      </c>
      <c r="AH186" s="507"/>
      <c r="AI186" s="508"/>
      <c r="AJ186" s="505" t="s">
        <v>420</v>
      </c>
      <c r="AK186" s="506">
        <v>1.26</v>
      </c>
      <c r="AL186" s="506">
        <f>ROUND(AVERAGE(AK186,AM186),2)</f>
        <v>1.38</v>
      </c>
      <c r="AM186" s="506">
        <v>1.5</v>
      </c>
      <c r="AN186" s="392"/>
      <c r="AO186" s="392"/>
      <c r="AP186" s="392"/>
      <c r="AQ186" s="392"/>
    </row>
    <row r="187" spans="1:43" ht="15" customHeight="1" x14ac:dyDescent="0.25">
      <c r="A187" s="420">
        <f>IF('Account Info'!$T$5=TRUE,1,0)</f>
        <v>1</v>
      </c>
      <c r="B187" s="1067"/>
      <c r="C187" s="1068"/>
      <c r="D187" s="456"/>
      <c r="E187" s="457"/>
      <c r="F187" s="456"/>
      <c r="G187" s="456"/>
      <c r="H187" s="456"/>
      <c r="I187" s="464"/>
      <c r="J187" s="464"/>
      <c r="K187" s="460"/>
      <c r="L187" s="460" t="str">
        <f>IF(AND('Account Info'!$AA$4="Range State",L186&lt;&gt;"",OR(L186&lt;I186,L186&gt;K186)),"Factor is out of range","")</f>
        <v/>
      </c>
      <c r="M187" s="1051"/>
      <c r="N187" s="1052"/>
      <c r="O187" s="1052"/>
      <c r="P187" s="1052"/>
      <c r="Q187" s="1052"/>
      <c r="R187" s="1052"/>
      <c r="S187" s="1052"/>
      <c r="T187" s="1053"/>
      <c r="U187" s="322"/>
      <c r="V187" s="340">
        <v>1</v>
      </c>
      <c r="X187" s="505" t="s">
        <v>422</v>
      </c>
      <c r="Y187" s="506">
        <v>1.51</v>
      </c>
      <c r="Z187" s="506">
        <f>ROUND(AVERAGE(Y187,AA187),2)</f>
        <v>1.63</v>
      </c>
      <c r="AA187" s="506">
        <v>1.75</v>
      </c>
      <c r="AB187" s="340"/>
      <c r="AC187" s="340"/>
      <c r="AD187" s="392"/>
      <c r="AE187" s="392"/>
      <c r="AF187" s="392"/>
      <c r="AG187" s="392"/>
      <c r="AH187" s="509"/>
      <c r="AI187" s="509"/>
      <c r="AJ187" s="505" t="s">
        <v>422</v>
      </c>
      <c r="AK187" s="506">
        <v>1.51</v>
      </c>
      <c r="AL187" s="506">
        <f>ROUND(AVERAGE(AK187,AM187),2)</f>
        <v>1.63</v>
      </c>
      <c r="AM187" s="506">
        <v>1.75</v>
      </c>
      <c r="AN187" s="392"/>
      <c r="AO187" s="392"/>
      <c r="AP187" s="392"/>
      <c r="AQ187" s="392"/>
    </row>
    <row r="188" spans="1:43" ht="15" customHeight="1" x14ac:dyDescent="0.25">
      <c r="A188" s="420">
        <f>IF('Account Info'!$T$5=TRUE,1,0)</f>
        <v>1</v>
      </c>
      <c r="B188" s="1067"/>
      <c r="C188" s="1068"/>
      <c r="D188" s="348" t="s">
        <v>482</v>
      </c>
      <c r="E188" s="439"/>
      <c r="F188" s="349"/>
      <c r="G188" s="349"/>
      <c r="H188" s="453"/>
      <c r="I188" s="361" t="str">
        <f>IF('Account Info'!$AA$4="Range State","Low","")</f>
        <v>Low</v>
      </c>
      <c r="J188" s="361" t="str">
        <f>IF('Account Info'!$AA$4="Range State","Benchmark","Selection")</f>
        <v>Benchmark</v>
      </c>
      <c r="K188" s="361" t="str">
        <f>IF('Account Info'!$AA$4="Range State","High","")</f>
        <v>High</v>
      </c>
      <c r="L188" s="361" t="str">
        <f>IF('Account Info'!$AA$4="Range State","Selection","")</f>
        <v>Selection</v>
      </c>
      <c r="M188" s="440" t="s">
        <v>377</v>
      </c>
      <c r="N188" s="440"/>
      <c r="O188" s="441"/>
      <c r="P188" s="348"/>
      <c r="Q188" s="348"/>
      <c r="R188" s="348"/>
      <c r="S188" s="348"/>
      <c r="T188" s="348"/>
      <c r="U188" s="322"/>
      <c r="V188" s="340">
        <v>1</v>
      </c>
      <c r="AN188" s="392"/>
      <c r="AO188" s="392"/>
      <c r="AP188" s="392"/>
      <c r="AQ188" s="392"/>
    </row>
    <row r="189" spans="1:43" ht="15" customHeight="1" x14ac:dyDescent="0.25">
      <c r="A189" s="420">
        <f>IF('Account Info'!$T$5=TRUE,1,0)</f>
        <v>1</v>
      </c>
      <c r="B189" s="1067"/>
      <c r="C189" s="1068"/>
      <c r="D189" s="1054" t="s">
        <v>522</v>
      </c>
      <c r="E189" s="1055"/>
      <c r="F189" s="1055"/>
      <c r="G189" s="1055"/>
      <c r="H189" s="1056"/>
      <c r="I189" s="443">
        <f>IF(D189="","",VLOOKUP(D189,AD280:AG284,2,FALSE))</f>
        <v>1</v>
      </c>
      <c r="J189" s="443">
        <f>IF(D189="","",VLOOKUP(D189,AD280:AG284,3,FALSE))</f>
        <v>1</v>
      </c>
      <c r="K189" s="443">
        <f>IF(D189="","",VLOOKUP(D189,AD280:AG284,4,FALSE))</f>
        <v>1</v>
      </c>
      <c r="L189" s="454">
        <f>J189</f>
        <v>1</v>
      </c>
      <c r="M189" s="1057"/>
      <c r="N189" s="1058"/>
      <c r="O189" s="1058"/>
      <c r="P189" s="1058"/>
      <c r="Q189" s="1058"/>
      <c r="R189" s="1058"/>
      <c r="S189" s="1058"/>
      <c r="T189" s="1059"/>
      <c r="U189" s="322"/>
      <c r="V189" s="340">
        <f>IF('Account Info'!$AA$4="Flat Rate State",IF(J189="",1,J189),IF(L189="",1,L189))</f>
        <v>1</v>
      </c>
      <c r="X189" s="504" t="s">
        <v>387</v>
      </c>
      <c r="Y189" s="420"/>
      <c r="Z189" s="420"/>
      <c r="AA189" s="420"/>
      <c r="AD189" s="503" t="s">
        <v>444</v>
      </c>
      <c r="AE189" s="388"/>
      <c r="AF189" s="388"/>
      <c r="AG189" s="388"/>
      <c r="AJ189" s="504" t="s">
        <v>483</v>
      </c>
      <c r="AK189" s="420"/>
      <c r="AL189" s="420"/>
      <c r="AM189" s="420"/>
      <c r="AN189" s="392"/>
      <c r="AO189" s="392"/>
      <c r="AP189" s="392"/>
      <c r="AQ189" s="392"/>
    </row>
    <row r="190" spans="1:43" ht="15" customHeight="1" x14ac:dyDescent="0.25">
      <c r="A190" s="420">
        <f>IF('Account Info'!$T$5=TRUE,1,0)</f>
        <v>1</v>
      </c>
      <c r="B190" s="1067"/>
      <c r="C190" s="1068"/>
      <c r="D190" s="456"/>
      <c r="E190" s="457"/>
      <c r="F190" s="456"/>
      <c r="G190" s="456"/>
      <c r="H190" s="456"/>
      <c r="I190" s="464"/>
      <c r="J190" s="464"/>
      <c r="K190" s="460"/>
      <c r="L190" s="460" t="str">
        <f>IF(AND('Account Info'!$AA$4="Range State",L189&lt;&gt;"",OR(L189&lt;I189,L189&gt;K189)),"Factor is out of range","")</f>
        <v/>
      </c>
      <c r="M190" s="1051"/>
      <c r="N190" s="1052"/>
      <c r="O190" s="1052"/>
      <c r="P190" s="1052"/>
      <c r="Q190" s="1052"/>
      <c r="R190" s="1052"/>
      <c r="S190" s="1052"/>
      <c r="T190" s="1053"/>
      <c r="U190" s="322"/>
      <c r="V190" s="340">
        <v>1</v>
      </c>
      <c r="X190" s="505" t="s">
        <v>417</v>
      </c>
      <c r="Y190" s="506">
        <v>0.75</v>
      </c>
      <c r="Z190" s="506">
        <f>ROUND(AVERAGE(Y190,AA190),2)</f>
        <v>0.87</v>
      </c>
      <c r="AA190" s="506">
        <v>0.99</v>
      </c>
      <c r="AB190" s="507"/>
      <c r="AC190" s="508"/>
      <c r="AD190" s="405" t="s">
        <v>417</v>
      </c>
      <c r="AE190" s="378">
        <v>0.75</v>
      </c>
      <c r="AF190" s="378">
        <f>ROUND(AVERAGE(AE190,AG190),2)</f>
        <v>0.87</v>
      </c>
      <c r="AG190" s="378">
        <v>0.99</v>
      </c>
      <c r="AH190" s="507"/>
      <c r="AI190" s="508"/>
      <c r="AJ190" s="505" t="s">
        <v>484</v>
      </c>
      <c r="AK190" s="506">
        <v>0.8</v>
      </c>
      <c r="AL190" s="506">
        <f>ROUND(AVERAGE(AK190,AM190),2)</f>
        <v>0.89</v>
      </c>
      <c r="AM190" s="506">
        <v>0.97</v>
      </c>
      <c r="AN190" s="392"/>
      <c r="AO190" s="392"/>
      <c r="AP190" s="392"/>
      <c r="AQ190" s="392"/>
    </row>
    <row r="191" spans="1:43" ht="15" customHeight="1" x14ac:dyDescent="0.25">
      <c r="A191" s="420">
        <f>IF('Account Info'!$T$5=TRUE,1,0)</f>
        <v>1</v>
      </c>
      <c r="B191" s="1067"/>
      <c r="C191" s="1068"/>
      <c r="D191" s="348" t="s">
        <v>485</v>
      </c>
      <c r="E191" s="439"/>
      <c r="F191" s="349"/>
      <c r="G191" s="349"/>
      <c r="H191" s="453"/>
      <c r="I191" s="361" t="s">
        <v>139</v>
      </c>
      <c r="J191" s="361"/>
      <c r="K191" s="361"/>
      <c r="L191" s="361" t="str">
        <f>IF('Account Info'!$AA$4="Range State","Selection","")</f>
        <v>Selection</v>
      </c>
      <c r="M191" s="440" t="s">
        <v>377</v>
      </c>
      <c r="N191" s="440"/>
      <c r="O191" s="441"/>
      <c r="P191" s="348"/>
      <c r="Q191" s="348"/>
      <c r="R191" s="348"/>
      <c r="S191" s="348"/>
      <c r="T191" s="348"/>
      <c r="U191" s="322"/>
      <c r="V191" s="340">
        <v>1</v>
      </c>
      <c r="X191" s="505" t="s">
        <v>418</v>
      </c>
      <c r="Y191" s="506">
        <v>1</v>
      </c>
      <c r="Z191" s="506">
        <f>ROUND(AVERAGE(Y191,AA191),2)</f>
        <v>1.1299999999999999</v>
      </c>
      <c r="AA191" s="506">
        <v>1.25</v>
      </c>
      <c r="AB191" s="507"/>
      <c r="AC191" s="508"/>
      <c r="AD191" s="405" t="s">
        <v>418</v>
      </c>
      <c r="AE191" s="378">
        <v>1</v>
      </c>
      <c r="AF191" s="378">
        <f>ROUND(AVERAGE(AE191,AG191),2)</f>
        <v>1.1299999999999999</v>
      </c>
      <c r="AG191" s="378">
        <v>1.25</v>
      </c>
      <c r="AH191" s="507"/>
      <c r="AI191" s="508"/>
      <c r="AJ191" s="505" t="s">
        <v>487</v>
      </c>
      <c r="AK191" s="506">
        <v>0.98</v>
      </c>
      <c r="AL191" s="506">
        <f>ROUND(AVERAGE(AK191,AM191),2)</f>
        <v>1.06</v>
      </c>
      <c r="AM191" s="506">
        <v>1.1299999999999999</v>
      </c>
      <c r="AN191" s="392"/>
      <c r="AO191" s="392"/>
      <c r="AP191" s="392"/>
      <c r="AQ191" s="392"/>
    </row>
    <row r="192" spans="1:43" ht="15" customHeight="1" x14ac:dyDescent="0.25">
      <c r="A192" s="420">
        <f>IF('Account Info'!$T$5=TRUE,1,0)</f>
        <v>1</v>
      </c>
      <c r="B192" s="1067"/>
      <c r="C192" s="1068"/>
      <c r="D192" s="1033">
        <v>0</v>
      </c>
      <c r="E192" s="1100"/>
      <c r="F192" s="1100"/>
      <c r="G192" s="1100"/>
      <c r="H192" s="1101"/>
      <c r="I192" s="444" t="s">
        <v>547</v>
      </c>
      <c r="J192" s="516" t="e">
        <f>IF(D192="","",VLOOKUP(D192,AD236:AG241,3,FALSE))</f>
        <v>#N/A</v>
      </c>
      <c r="K192" s="516" t="e">
        <f>IF(D192="","",VLOOKUP(D192,AD236:AG241,4,FALSE))</f>
        <v>#N/A</v>
      </c>
      <c r="L192" s="517">
        <f>IF(OR(D192="",I192=""),"",VLOOKUP(D192,AD288:AG295,IF(I192="Low",2,IF(I192="Medium",3,4)),TRUE))</f>
        <v>1</v>
      </c>
      <c r="M192" s="1057"/>
      <c r="N192" s="1058"/>
      <c r="O192" s="1058"/>
      <c r="P192" s="1058"/>
      <c r="Q192" s="1058"/>
      <c r="R192" s="1058"/>
      <c r="S192" s="1058"/>
      <c r="T192" s="1059"/>
      <c r="U192" s="322"/>
      <c r="V192" s="340">
        <f>IF(L192="",1,L192)</f>
        <v>1</v>
      </c>
      <c r="X192" s="505" t="s">
        <v>420</v>
      </c>
      <c r="Y192" s="506">
        <v>1.26</v>
      </c>
      <c r="Z192" s="506">
        <f>ROUND(AVERAGE(Y192,AA192),2)</f>
        <v>1.38</v>
      </c>
      <c r="AA192" s="506">
        <v>1.5</v>
      </c>
      <c r="AB192" s="507"/>
      <c r="AC192" s="508"/>
      <c r="AD192" s="405" t="s">
        <v>420</v>
      </c>
      <c r="AE192" s="378">
        <v>1.26</v>
      </c>
      <c r="AF192" s="378">
        <f>ROUND(AVERAGE(AE192,AG192),2)</f>
        <v>1.38</v>
      </c>
      <c r="AG192" s="378">
        <v>1.5</v>
      </c>
      <c r="AH192" s="507"/>
      <c r="AI192" s="508"/>
      <c r="AJ192" s="505" t="s">
        <v>488</v>
      </c>
      <c r="AK192" s="506">
        <v>1.1399999999999999</v>
      </c>
      <c r="AL192" s="506">
        <f>ROUND(AVERAGE(AK192,AM192),2)</f>
        <v>1.22</v>
      </c>
      <c r="AM192" s="506">
        <v>1.3</v>
      </c>
      <c r="AN192" s="392"/>
      <c r="AO192" s="392"/>
      <c r="AP192" s="392"/>
      <c r="AQ192" s="392"/>
    </row>
    <row r="193" spans="1:43" ht="15" customHeight="1" x14ac:dyDescent="0.25">
      <c r="A193" s="420">
        <f>IF('Account Info'!$T$5=TRUE,1,0)</f>
        <v>1</v>
      </c>
      <c r="B193" s="1067"/>
      <c r="C193" s="1068"/>
      <c r="D193" s="456"/>
      <c r="E193" s="457"/>
      <c r="F193" s="456"/>
      <c r="G193" s="456"/>
      <c r="H193" s="456"/>
      <c r="I193" s="464"/>
      <c r="J193" s="464"/>
      <c r="K193" s="464"/>
      <c r="L193" s="464"/>
      <c r="M193" s="1051"/>
      <c r="N193" s="1052"/>
      <c r="O193" s="1052"/>
      <c r="P193" s="1052"/>
      <c r="Q193" s="1052"/>
      <c r="R193" s="1052"/>
      <c r="S193" s="1052"/>
      <c r="T193" s="1053"/>
      <c r="U193" s="322"/>
      <c r="V193" s="340"/>
      <c r="X193" s="505" t="s">
        <v>422</v>
      </c>
      <c r="Y193" s="506">
        <v>1.51</v>
      </c>
      <c r="Z193" s="506">
        <f>ROUND(AVERAGE(Y193,AA193),2)</f>
        <v>1.63</v>
      </c>
      <c r="AA193" s="506">
        <v>1.75</v>
      </c>
      <c r="AB193" s="507"/>
      <c r="AC193" s="508"/>
      <c r="AD193" s="405" t="s">
        <v>422</v>
      </c>
      <c r="AE193" s="378">
        <v>1.51</v>
      </c>
      <c r="AF193" s="378">
        <f>ROUND(AVERAGE(AE193,AG193),2)</f>
        <v>1.63</v>
      </c>
      <c r="AG193" s="378">
        <v>1.75</v>
      </c>
      <c r="AH193" s="340"/>
      <c r="AI193" s="340"/>
      <c r="AJ193" s="392"/>
      <c r="AK193" s="392"/>
      <c r="AL193" s="392"/>
      <c r="AM193" s="392"/>
      <c r="AN193" s="392"/>
      <c r="AO193" s="392"/>
      <c r="AP193" s="392"/>
      <c r="AQ193" s="392"/>
    </row>
    <row r="194" spans="1:43" ht="15" customHeight="1" x14ac:dyDescent="0.25">
      <c r="A194" s="420">
        <f>IF('Account Info'!$T$5=TRUE,1,0)</f>
        <v>1</v>
      </c>
      <c r="B194" s="1067"/>
      <c r="C194" s="1068"/>
      <c r="D194" s="348" t="s">
        <v>489</v>
      </c>
      <c r="E194" s="439"/>
      <c r="F194" s="349"/>
      <c r="G194" s="349"/>
      <c r="H194" s="453"/>
      <c r="I194" s="361" t="s">
        <v>403</v>
      </c>
      <c r="J194" s="361"/>
      <c r="K194" s="361"/>
      <c r="L194" s="361"/>
      <c r="M194" s="440" t="s">
        <v>377</v>
      </c>
      <c r="N194" s="440"/>
      <c r="O194" s="441"/>
      <c r="P194" s="348"/>
      <c r="Q194" s="348"/>
      <c r="R194" s="348"/>
      <c r="S194" s="348"/>
      <c r="T194" s="348"/>
      <c r="U194" s="322"/>
      <c r="V194" s="340"/>
      <c r="X194" s="504" t="s">
        <v>388</v>
      </c>
      <c r="Y194" s="420"/>
      <c r="Z194" s="420"/>
      <c r="AA194" s="420"/>
      <c r="AD194" s="503" t="s">
        <v>451</v>
      </c>
      <c r="AE194" s="388"/>
      <c r="AF194" s="388"/>
      <c r="AG194" s="388"/>
      <c r="AJ194" s="504" t="s">
        <v>490</v>
      </c>
      <c r="AK194" s="420"/>
      <c r="AL194" s="420"/>
      <c r="AM194" s="420"/>
      <c r="AN194" s="392"/>
      <c r="AO194" s="392"/>
      <c r="AP194" s="392"/>
      <c r="AQ194" s="392"/>
    </row>
    <row r="195" spans="1:43" ht="15" customHeight="1" x14ac:dyDescent="0.25">
      <c r="A195" s="420">
        <f>IF('Account Info'!$T$5=TRUE,1,0)</f>
        <v>1</v>
      </c>
      <c r="B195" s="1067"/>
      <c r="C195" s="1068"/>
      <c r="D195" s="1033">
        <v>250000</v>
      </c>
      <c r="E195" s="1100"/>
      <c r="F195" s="1100"/>
      <c r="G195" s="1100"/>
      <c r="H195" s="1101"/>
      <c r="I195" s="939">
        <f ca="1">ROUND(IF(D195="",0,AI300)*'Account Info'!AA17,0)</f>
        <v>125</v>
      </c>
      <c r="J195" s="516" t="e">
        <f>IF(D195="","",VLOOKUP(D195,AD239:AG244,3,FALSE))</f>
        <v>#N/A</v>
      </c>
      <c r="K195" s="516" t="e">
        <f>IF(D195="","",VLOOKUP(D195,AD239:AG244,4,FALSE))</f>
        <v>#N/A</v>
      </c>
      <c r="L195" s="516"/>
      <c r="M195" s="1057"/>
      <c r="N195" s="1058"/>
      <c r="O195" s="1058"/>
      <c r="P195" s="1058"/>
      <c r="Q195" s="1058"/>
      <c r="R195" s="1058"/>
      <c r="S195" s="1058"/>
      <c r="T195" s="1059"/>
      <c r="U195" s="322"/>
      <c r="V195" s="340"/>
      <c r="X195" s="505" t="s">
        <v>491</v>
      </c>
      <c r="Y195" s="506">
        <v>0.75</v>
      </c>
      <c r="Z195" s="506">
        <f>ROUND(AVERAGE(Y195,AA195),2)</f>
        <v>0.87</v>
      </c>
      <c r="AA195" s="506">
        <v>0.99</v>
      </c>
      <c r="AB195" s="507"/>
      <c r="AC195" s="508"/>
      <c r="AD195" s="405" t="s">
        <v>417</v>
      </c>
      <c r="AE195" s="378">
        <v>0.75</v>
      </c>
      <c r="AF195" s="378">
        <f>ROUND(AVERAGE(AE195,AG195),2)</f>
        <v>0.87</v>
      </c>
      <c r="AG195" s="378">
        <v>0.99</v>
      </c>
      <c r="AH195" s="507"/>
      <c r="AI195" s="508"/>
      <c r="AJ195" s="505" t="s">
        <v>417</v>
      </c>
      <c r="AK195" s="506">
        <v>0.75</v>
      </c>
      <c r="AL195" s="506">
        <f>ROUND(AVERAGE(AK195,AM195),2)</f>
        <v>0.87</v>
      </c>
      <c r="AM195" s="506">
        <v>0.99</v>
      </c>
      <c r="AN195" s="392"/>
      <c r="AO195" s="392"/>
      <c r="AP195" s="392"/>
      <c r="AQ195" s="392"/>
    </row>
    <row r="196" spans="1:43" ht="15" customHeight="1" x14ac:dyDescent="0.25">
      <c r="A196" s="420">
        <f>IF('Account Info'!$T$5=TRUE,1,0)</f>
        <v>1</v>
      </c>
      <c r="B196" s="1067"/>
      <c r="C196" s="1068"/>
      <c r="D196" s="456"/>
      <c r="E196" s="457"/>
      <c r="F196" s="456"/>
      <c r="G196" s="456"/>
      <c r="H196" s="456"/>
      <c r="I196" s="464"/>
      <c r="J196" s="464"/>
      <c r="K196" s="464"/>
      <c r="L196" s="464"/>
      <c r="M196" s="1051"/>
      <c r="N196" s="1052"/>
      <c r="O196" s="1052"/>
      <c r="P196" s="1052"/>
      <c r="Q196" s="1052"/>
      <c r="R196" s="1052"/>
      <c r="S196" s="1052"/>
      <c r="T196" s="1053"/>
      <c r="U196" s="322"/>
      <c r="V196" s="340"/>
      <c r="X196" s="505" t="s">
        <v>492</v>
      </c>
      <c r="Y196" s="506">
        <v>1</v>
      </c>
      <c r="Z196" s="506">
        <f>ROUND(AVERAGE(Y196,AA196),2)</f>
        <v>1.1299999999999999</v>
      </c>
      <c r="AA196" s="506">
        <v>1.25</v>
      </c>
      <c r="AB196" s="507"/>
      <c r="AC196" s="508"/>
      <c r="AD196" s="405" t="s">
        <v>418</v>
      </c>
      <c r="AE196" s="378">
        <v>1</v>
      </c>
      <c r="AF196" s="378">
        <f>ROUND(AVERAGE(AE196,AG196),2)</f>
        <v>1.1299999999999999</v>
      </c>
      <c r="AG196" s="378">
        <v>1.25</v>
      </c>
      <c r="AH196" s="507"/>
      <c r="AI196" s="508"/>
      <c r="AJ196" s="505" t="s">
        <v>418</v>
      </c>
      <c r="AK196" s="506">
        <v>1</v>
      </c>
      <c r="AL196" s="506">
        <f>ROUND(AVERAGE(AK196,AM196),2)</f>
        <v>1.1299999999999999</v>
      </c>
      <c r="AM196" s="506">
        <v>1.25</v>
      </c>
      <c r="AN196" s="392"/>
      <c r="AO196" s="392"/>
      <c r="AP196" s="392"/>
      <c r="AQ196" s="392"/>
    </row>
    <row r="197" spans="1:43" ht="15" customHeight="1" x14ac:dyDescent="0.25">
      <c r="A197" s="420">
        <f>IF('Account Info'!$T$5=TRUE,1,0)</f>
        <v>1</v>
      </c>
      <c r="B197" s="1067"/>
      <c r="C197" s="1068"/>
      <c r="D197" s="348" t="s">
        <v>493</v>
      </c>
      <c r="E197" s="439"/>
      <c r="F197" s="349"/>
      <c r="G197" s="349"/>
      <c r="H197" s="453"/>
      <c r="I197" s="361" t="s">
        <v>403</v>
      </c>
      <c r="J197" s="361"/>
      <c r="K197" s="361"/>
      <c r="L197" s="361"/>
      <c r="M197" s="440" t="s">
        <v>377</v>
      </c>
      <c r="N197" s="440"/>
      <c r="O197" s="441"/>
      <c r="P197" s="348"/>
      <c r="Q197" s="348"/>
      <c r="R197" s="348"/>
      <c r="S197" s="348"/>
      <c r="T197" s="348"/>
      <c r="U197" s="322"/>
      <c r="V197" s="340"/>
      <c r="X197" s="505" t="s">
        <v>494</v>
      </c>
      <c r="Y197" s="506">
        <v>1.26</v>
      </c>
      <c r="Z197" s="506">
        <f>ROUND(AVERAGE(Y197,AA197),2)</f>
        <v>1.38</v>
      </c>
      <c r="AA197" s="506">
        <v>1.5</v>
      </c>
      <c r="AB197" s="507"/>
      <c r="AC197" s="508"/>
      <c r="AD197" s="405" t="s">
        <v>420</v>
      </c>
      <c r="AE197" s="378">
        <v>1.26</v>
      </c>
      <c r="AF197" s="378">
        <f>ROUND(AVERAGE(AE197,AG197),2)</f>
        <v>1.38</v>
      </c>
      <c r="AG197" s="378">
        <v>1.5</v>
      </c>
      <c r="AH197" s="507"/>
      <c r="AI197" s="508"/>
      <c r="AJ197" s="505" t="s">
        <v>420</v>
      </c>
      <c r="AK197" s="506">
        <v>1.26</v>
      </c>
      <c r="AL197" s="506">
        <f>ROUND(AVERAGE(AK197,AM197),2)</f>
        <v>1.38</v>
      </c>
      <c r="AM197" s="506">
        <v>1.5</v>
      </c>
      <c r="AN197" s="392"/>
      <c r="AO197" s="392"/>
      <c r="AP197" s="392"/>
      <c r="AQ197" s="392"/>
    </row>
    <row r="198" spans="1:43" ht="15" customHeight="1" x14ac:dyDescent="0.25">
      <c r="A198" s="420">
        <f>IF('Account Info'!$T$5=TRUE,1,0)</f>
        <v>1</v>
      </c>
      <c r="B198" s="1067"/>
      <c r="C198" s="1068"/>
      <c r="D198" s="1033">
        <v>25000</v>
      </c>
      <c r="E198" s="1100"/>
      <c r="F198" s="1100"/>
      <c r="G198" s="1100"/>
      <c r="H198" s="1101"/>
      <c r="I198" s="939">
        <f ca="1">ROUND(IF(D198="",0,AI310)*'Account Info'!AA17,0)</f>
        <v>13</v>
      </c>
      <c r="J198" s="516" t="e">
        <f>IF(D198="","",VLOOKUP(D198,AD242:AG244,3,FALSE))</f>
        <v>#N/A</v>
      </c>
      <c r="K198" s="516" t="e">
        <f>IF(D198="","",VLOOKUP(D198,AD242:AG244,4,FALSE))</f>
        <v>#N/A</v>
      </c>
      <c r="L198" s="516"/>
      <c r="M198" s="1057"/>
      <c r="N198" s="1058"/>
      <c r="O198" s="1058"/>
      <c r="P198" s="1058"/>
      <c r="Q198" s="1058"/>
      <c r="R198" s="1058"/>
      <c r="S198" s="1058"/>
      <c r="T198" s="1059"/>
      <c r="U198" s="322"/>
      <c r="V198" s="340"/>
      <c r="X198" s="505" t="s">
        <v>495</v>
      </c>
      <c r="Y198" s="506">
        <v>1.51</v>
      </c>
      <c r="Z198" s="506">
        <f>ROUND(AVERAGE(Y198,AA198),2)</f>
        <v>1.63</v>
      </c>
      <c r="AA198" s="506">
        <v>1.75</v>
      </c>
      <c r="AB198" s="507"/>
      <c r="AC198" s="508"/>
      <c r="AD198" s="405" t="s">
        <v>422</v>
      </c>
      <c r="AE198" s="378">
        <v>1.51</v>
      </c>
      <c r="AF198" s="378">
        <f>ROUND(AVERAGE(AE198,AG198),2)</f>
        <v>1.63</v>
      </c>
      <c r="AG198" s="378">
        <v>1.75</v>
      </c>
      <c r="AH198" s="507"/>
      <c r="AI198" s="508"/>
      <c r="AJ198" s="505" t="s">
        <v>422</v>
      </c>
      <c r="AK198" s="506">
        <v>1.51</v>
      </c>
      <c r="AL198" s="506">
        <f>ROUND(AVERAGE(AK198,AM198),2)</f>
        <v>1.63</v>
      </c>
      <c r="AM198" s="506">
        <v>1.75</v>
      </c>
      <c r="AN198" s="392"/>
      <c r="AO198" s="392"/>
      <c r="AP198" s="392"/>
      <c r="AQ198" s="392"/>
    </row>
    <row r="199" spans="1:43" ht="15" customHeight="1" x14ac:dyDescent="0.25">
      <c r="A199" s="420">
        <f>IF('Account Info'!$T$5=TRUE,1,0)</f>
        <v>1</v>
      </c>
      <c r="B199" s="1067"/>
      <c r="C199" s="1068"/>
      <c r="D199" s="491"/>
      <c r="E199" s="492"/>
      <c r="F199" s="492"/>
      <c r="G199" s="492"/>
      <c r="H199" s="492"/>
      <c r="I199" s="496"/>
      <c r="J199" s="463"/>
      <c r="K199" s="463"/>
      <c r="L199" s="463"/>
      <c r="M199" s="1051"/>
      <c r="N199" s="1052"/>
      <c r="O199" s="1052"/>
      <c r="P199" s="1052"/>
      <c r="Q199" s="1052"/>
      <c r="R199" s="1052"/>
      <c r="S199" s="1052"/>
      <c r="T199" s="1053"/>
      <c r="U199" s="322"/>
      <c r="V199" s="340"/>
      <c r="X199" s="504" t="s">
        <v>389</v>
      </c>
      <c r="Y199" s="420"/>
      <c r="Z199" s="420"/>
      <c r="AA199" s="420"/>
      <c r="AD199" s="503" t="s">
        <v>454</v>
      </c>
      <c r="AE199" s="388"/>
      <c r="AF199" s="388"/>
      <c r="AG199" s="388"/>
      <c r="AJ199" s="504" t="s">
        <v>454</v>
      </c>
      <c r="AK199" s="420"/>
      <c r="AL199" s="420"/>
      <c r="AM199" s="420"/>
      <c r="AN199" s="392"/>
      <c r="AO199" s="392"/>
      <c r="AP199" s="392"/>
      <c r="AQ199" s="392"/>
    </row>
    <row r="200" spans="1:43" ht="15" customHeight="1" x14ac:dyDescent="0.25">
      <c r="A200" s="420">
        <f>IF('Account Info'!$T$5=TRUE,1,0)</f>
        <v>1</v>
      </c>
      <c r="B200" s="1067"/>
      <c r="C200" s="1068"/>
      <c r="D200" s="491"/>
      <c r="E200" s="492"/>
      <c r="F200" s="492"/>
      <c r="G200" s="492"/>
      <c r="H200" s="465" t="s">
        <v>496</v>
      </c>
      <c r="I200" s="939">
        <f ca="1">IF(X176="","",ROUND(X176*PRODUCT(V178:V192)+I195+I198,0))</f>
        <v>15989</v>
      </c>
      <c r="J200" s="463"/>
      <c r="K200" s="463"/>
      <c r="L200" s="463"/>
      <c r="M200" s="467"/>
      <c r="N200" s="468"/>
      <c r="O200" s="468"/>
      <c r="P200" s="468"/>
      <c r="Q200" s="468"/>
      <c r="R200" s="468"/>
      <c r="S200" s="468"/>
      <c r="T200" s="468"/>
      <c r="U200" s="322"/>
      <c r="V200" s="340"/>
      <c r="X200" s="505" t="s">
        <v>497</v>
      </c>
      <c r="Y200" s="506">
        <v>0.6</v>
      </c>
      <c r="Z200" s="506">
        <f>ROUND(AVERAGE(Y200,AA200),2)</f>
        <v>0.74</v>
      </c>
      <c r="AA200" s="506">
        <v>0.88</v>
      </c>
      <c r="AB200" s="507"/>
      <c r="AC200" s="508"/>
      <c r="AD200" s="405" t="s">
        <v>433</v>
      </c>
      <c r="AE200" s="378">
        <v>0.75</v>
      </c>
      <c r="AF200" s="378">
        <f>ROUND(AVERAGE(AE200,AG200),2)</f>
        <v>0.87</v>
      </c>
      <c r="AG200" s="378">
        <v>0.99</v>
      </c>
      <c r="AH200" s="507"/>
      <c r="AI200" s="508"/>
      <c r="AJ200" s="505" t="s">
        <v>417</v>
      </c>
      <c r="AK200" s="506">
        <v>0.75</v>
      </c>
      <c r="AL200" s="506">
        <f>ROUND(AVERAGE(AK200,AM200),2)</f>
        <v>0.87</v>
      </c>
      <c r="AM200" s="506">
        <v>0.99</v>
      </c>
      <c r="AN200" s="392"/>
      <c r="AO200" s="392"/>
      <c r="AP200" s="392"/>
      <c r="AQ200" s="392"/>
    </row>
    <row r="201" spans="1:43" ht="15" hidden="1" customHeight="1" x14ac:dyDescent="0.25">
      <c r="A201" s="495">
        <f>IF($Y$30=TRUE,1,0)</f>
        <v>0</v>
      </c>
      <c r="B201" s="1067"/>
      <c r="C201" s="1068"/>
      <c r="D201" s="491"/>
      <c r="E201" s="492"/>
      <c r="F201" s="492"/>
      <c r="G201" s="492"/>
      <c r="H201" s="465"/>
      <c r="I201" s="496"/>
      <c r="J201" s="463"/>
      <c r="K201" s="463"/>
      <c r="L201" s="463"/>
      <c r="M201" s="467"/>
      <c r="N201" s="468"/>
      <c r="O201" s="468"/>
      <c r="P201" s="468"/>
      <c r="Q201" s="468"/>
      <c r="R201" s="468"/>
      <c r="S201" s="468"/>
      <c r="T201" s="468"/>
      <c r="U201" s="322"/>
      <c r="V201" s="340"/>
      <c r="X201" s="505" t="s">
        <v>498</v>
      </c>
      <c r="Y201" s="506">
        <v>0.89</v>
      </c>
      <c r="Z201" s="506">
        <f>ROUND(AVERAGE(Y201,AA201),2)</f>
        <v>1.03</v>
      </c>
      <c r="AA201" s="506">
        <v>1.1599999999999999</v>
      </c>
      <c r="AB201" s="507"/>
      <c r="AC201" s="508"/>
      <c r="AD201" s="405" t="s">
        <v>418</v>
      </c>
      <c r="AE201" s="378">
        <v>1</v>
      </c>
      <c r="AF201" s="378">
        <f>ROUND(AVERAGE(AE201,AG201),2)</f>
        <v>1.1299999999999999</v>
      </c>
      <c r="AG201" s="378">
        <v>1.25</v>
      </c>
      <c r="AH201" s="507"/>
      <c r="AI201" s="508"/>
      <c r="AJ201" s="505" t="s">
        <v>418</v>
      </c>
      <c r="AK201" s="506">
        <v>1</v>
      </c>
      <c r="AL201" s="506">
        <f>ROUND(AVERAGE(AK201,AM201),2)</f>
        <v>1.1299999999999999</v>
      </c>
      <c r="AM201" s="506">
        <v>1.25</v>
      </c>
      <c r="AN201" s="392"/>
      <c r="AO201" s="392"/>
      <c r="AP201" s="392"/>
      <c r="AQ201" s="392"/>
    </row>
    <row r="202" spans="1:43" ht="15" hidden="1" customHeight="1" x14ac:dyDescent="0.25">
      <c r="A202" s="495">
        <f t="shared" ref="A202" si="15">IF($Y$30=TRUE,1,0)</f>
        <v>0</v>
      </c>
      <c r="B202" s="1067"/>
      <c r="C202" s="1068"/>
      <c r="D202" s="491"/>
      <c r="E202" s="492"/>
      <c r="F202" s="492"/>
      <c r="G202" s="492"/>
      <c r="H202" s="465" t="s">
        <v>499</v>
      </c>
      <c r="I202" s="939">
        <f ca="1">IF(I200="","",ROUND(IF(Y30=FALSE,I200,I200*$V$51),0))</f>
        <v>15989</v>
      </c>
      <c r="J202" s="463"/>
      <c r="K202" s="463"/>
      <c r="L202" s="463"/>
      <c r="M202" s="467"/>
      <c r="N202" s="468"/>
      <c r="O202" s="468"/>
      <c r="P202" s="468"/>
      <c r="Q202" s="468"/>
      <c r="R202" s="468"/>
      <c r="S202" s="468"/>
      <c r="T202" s="468"/>
      <c r="U202" s="322"/>
      <c r="V202" s="340"/>
      <c r="X202" s="505" t="s">
        <v>500</v>
      </c>
      <c r="Y202" s="506">
        <v>1.17</v>
      </c>
      <c r="Z202" s="506">
        <f>ROUND(AVERAGE(Y202,AA202),2)</f>
        <v>1.31</v>
      </c>
      <c r="AA202" s="506">
        <v>1.44</v>
      </c>
      <c r="AB202" s="507"/>
      <c r="AC202" s="508"/>
      <c r="AD202" s="405" t="s">
        <v>420</v>
      </c>
      <c r="AE202" s="378">
        <v>1.26</v>
      </c>
      <c r="AF202" s="378">
        <f>ROUND(AVERAGE(AE202,AG202),2)</f>
        <v>1.38</v>
      </c>
      <c r="AG202" s="378">
        <v>1.5</v>
      </c>
      <c r="AH202" s="507"/>
      <c r="AI202" s="508"/>
      <c r="AJ202" s="505" t="s">
        <v>420</v>
      </c>
      <c r="AK202" s="506">
        <v>1.26</v>
      </c>
      <c r="AL202" s="506">
        <f>ROUND(AVERAGE(AK202,AM202),2)</f>
        <v>1.38</v>
      </c>
      <c r="AM202" s="506">
        <v>1.5</v>
      </c>
      <c r="AN202" s="392"/>
      <c r="AO202" s="392"/>
      <c r="AP202" s="392"/>
      <c r="AQ202" s="392"/>
    </row>
    <row r="203" spans="1:43" ht="15" customHeight="1" x14ac:dyDescent="0.25">
      <c r="A203" s="420">
        <f>IF('Account Info'!$T$5=TRUE,1,0)</f>
        <v>1</v>
      </c>
      <c r="B203" s="1067"/>
      <c r="C203" s="1068"/>
      <c r="D203" s="491"/>
      <c r="E203" s="492"/>
      <c r="F203" s="492"/>
      <c r="G203" s="492"/>
      <c r="H203" s="465"/>
      <c r="I203" s="496"/>
      <c r="J203" s="497" t="s">
        <v>403</v>
      </c>
      <c r="K203" s="494"/>
      <c r="L203" s="494"/>
      <c r="M203" s="467"/>
      <c r="N203" s="468"/>
      <c r="O203" s="468"/>
      <c r="P203" s="468"/>
      <c r="Q203" s="468"/>
      <c r="R203" s="468"/>
      <c r="S203" s="468"/>
      <c r="T203" s="468"/>
      <c r="U203" s="322"/>
      <c r="V203" s="340"/>
      <c r="X203" s="505" t="s">
        <v>501</v>
      </c>
      <c r="Y203" s="506">
        <v>1.45</v>
      </c>
      <c r="Z203" s="506">
        <f>ROUND(AVERAGE(Y203,AA203),2)</f>
        <v>1.59</v>
      </c>
      <c r="AA203" s="506">
        <v>1.72</v>
      </c>
      <c r="AB203" s="507"/>
      <c r="AC203" s="508"/>
      <c r="AD203" s="405" t="s">
        <v>422</v>
      </c>
      <c r="AE203" s="378">
        <v>1.51</v>
      </c>
      <c r="AF203" s="378">
        <f>ROUND(AVERAGE(AE203,AG203),2)</f>
        <v>1.63</v>
      </c>
      <c r="AG203" s="378">
        <v>1.75</v>
      </c>
      <c r="AH203" s="507"/>
      <c r="AI203" s="508"/>
      <c r="AJ203" s="505" t="s">
        <v>422</v>
      </c>
      <c r="AK203" s="506">
        <v>1.51</v>
      </c>
      <c r="AL203" s="506">
        <f>ROUND(AVERAGE(AK203,AM203),2)</f>
        <v>1.63</v>
      </c>
      <c r="AM203" s="506">
        <v>1.75</v>
      </c>
      <c r="AN203" s="392"/>
      <c r="AO203" s="392"/>
      <c r="AP203" s="392"/>
      <c r="AQ203" s="392"/>
    </row>
    <row r="204" spans="1:43" ht="15" customHeight="1" x14ac:dyDescent="0.25">
      <c r="A204" s="420">
        <f>IF('Account Info'!$T$5=TRUE,1,0)</f>
        <v>1</v>
      </c>
      <c r="B204" s="1067"/>
      <c r="C204" s="1068"/>
      <c r="D204" s="491"/>
      <c r="E204" s="492"/>
      <c r="F204" s="492"/>
      <c r="G204" s="492"/>
      <c r="H204" s="465" t="s">
        <v>409</v>
      </c>
      <c r="I204" s="498">
        <v>0</v>
      </c>
      <c r="J204" s="939">
        <f>ROUND(IF(I204=0,0,((('D&amp;O-EPL-Crime-Fidu ILFs'!AW10-'D&amp;O-EPL-Crime-Fidu ILFs'!AE10)*0.4)/'D&amp;O-EPL-Crime-Fidu ILFs'!AE10)*I200),0)</f>
        <v>0</v>
      </c>
      <c r="K204" s="494"/>
      <c r="L204" s="494"/>
      <c r="M204" s="467"/>
      <c r="N204" s="468"/>
      <c r="O204" s="468"/>
      <c r="P204" s="468"/>
      <c r="Q204" s="468"/>
      <c r="R204" s="468"/>
      <c r="S204" s="468"/>
      <c r="T204" s="468"/>
      <c r="U204" s="322"/>
      <c r="V204" s="340"/>
      <c r="X204" s="505" t="s">
        <v>502</v>
      </c>
      <c r="Y204" s="506">
        <v>1.73</v>
      </c>
      <c r="Z204" s="506">
        <f>ROUND(AVERAGE(Y204,AA204),2)</f>
        <v>1.87</v>
      </c>
      <c r="AA204" s="506">
        <v>2</v>
      </c>
      <c r="AB204" s="340"/>
      <c r="AC204" s="340"/>
      <c r="AN204" s="392"/>
      <c r="AO204" s="392"/>
      <c r="AP204" s="392"/>
      <c r="AQ204" s="392"/>
    </row>
    <row r="205" spans="1:43" ht="15" customHeight="1" x14ac:dyDescent="0.25">
      <c r="A205" s="499">
        <f>IF(AND('Account Info'!$U$12&gt;1,'Account Info'!$T$5=TRUE),1,0)</f>
        <v>1</v>
      </c>
      <c r="B205" s="1067"/>
      <c r="C205" s="1068"/>
      <c r="D205" s="491"/>
      <c r="E205" s="492"/>
      <c r="F205" s="492"/>
      <c r="G205" s="492"/>
      <c r="H205" s="465"/>
      <c r="J205" s="361" t="str">
        <f>IF(AND('Account Info'!$AA$4="Range State",I206="Yes"),"Low","")</f>
        <v/>
      </c>
      <c r="K205" s="361" t="str">
        <f>IF(I206&lt;&gt;"Yes","",IF('Account Info'!$AA$4="Range State","Benchmark","Selection"))</f>
        <v/>
      </c>
      <c r="L205" s="361" t="str">
        <f>IF(AND('Account Info'!$AA$4="Range State",I206="Yes"),"High","")</f>
        <v/>
      </c>
      <c r="M205" s="361" t="str">
        <f>IF(AND('Account Info'!$AA$4="Range State",I206="Yes"),"Selection","")</f>
        <v/>
      </c>
      <c r="N205" s="468"/>
      <c r="O205" s="468"/>
      <c r="P205" s="468"/>
      <c r="Q205" s="468"/>
      <c r="R205" s="468"/>
      <c r="S205" s="468"/>
      <c r="T205" s="468"/>
      <c r="U205" s="322"/>
      <c r="V205" s="340"/>
      <c r="X205" s="314"/>
      <c r="Y205" s="340"/>
      <c r="Z205" s="340"/>
      <c r="AA205" s="340"/>
      <c r="AB205" s="340"/>
      <c r="AC205" s="340"/>
      <c r="AN205" s="392"/>
      <c r="AO205" s="392"/>
      <c r="AP205" s="392"/>
      <c r="AQ205" s="392"/>
    </row>
    <row r="206" spans="1:43" ht="15" customHeight="1" x14ac:dyDescent="0.25">
      <c r="A206" s="499">
        <f>IF(AND('Account Info'!$U$12&gt;1,'Account Info'!$T$5=TRUE),1,0)</f>
        <v>1</v>
      </c>
      <c r="B206" s="1067"/>
      <c r="C206" s="1068"/>
      <c r="D206" s="491"/>
      <c r="E206" s="492"/>
      <c r="F206" s="492"/>
      <c r="G206" s="492"/>
      <c r="H206" s="465" t="s">
        <v>410</v>
      </c>
      <c r="I206" s="498" t="s">
        <v>411</v>
      </c>
      <c r="J206" s="443">
        <f>IF(I206="Yes",0.8,1)</f>
        <v>1</v>
      </c>
      <c r="K206" s="443">
        <f>IF(I206="Yes",0.9,1)</f>
        <v>1</v>
      </c>
      <c r="L206" s="443">
        <f>IF(I206="Yes",1,1)</f>
        <v>1</v>
      </c>
      <c r="M206" s="444">
        <v>0.9</v>
      </c>
      <c r="N206" s="468"/>
      <c r="O206" s="468"/>
      <c r="P206" s="468"/>
      <c r="Q206" s="468"/>
      <c r="R206" s="468"/>
      <c r="S206" s="468"/>
      <c r="T206" s="468"/>
      <c r="U206" s="322"/>
      <c r="V206" s="340">
        <f>IF('Account Info'!$AA$4="Flat Rate State",IF(K206="",1,K206),IF(M206="",1,M206))</f>
        <v>0.9</v>
      </c>
      <c r="X206" s="314"/>
      <c r="Y206" s="340"/>
      <c r="Z206" s="340"/>
      <c r="AA206" s="340"/>
      <c r="AB206" s="340"/>
      <c r="AC206" s="340"/>
      <c r="AN206" s="392"/>
      <c r="AO206" s="392"/>
      <c r="AP206" s="392"/>
      <c r="AQ206" s="392"/>
    </row>
    <row r="207" spans="1:43" ht="15" customHeight="1" x14ac:dyDescent="0.25">
      <c r="A207" s="420">
        <f>IF('Account Info'!$T$5=TRUE,1,0)</f>
        <v>1</v>
      </c>
      <c r="B207" s="1067"/>
      <c r="C207" s="1068"/>
      <c r="D207" s="491"/>
      <c r="E207" s="492"/>
      <c r="F207" s="492"/>
      <c r="G207" s="492"/>
      <c r="H207" s="465"/>
      <c r="I207" s="496"/>
      <c r="J207" s="494"/>
      <c r="K207" s="494"/>
      <c r="L207" s="494"/>
      <c r="M207" s="467"/>
      <c r="N207" s="468"/>
      <c r="O207" s="468"/>
      <c r="P207" s="468"/>
      <c r="Q207" s="468"/>
      <c r="R207" s="468"/>
      <c r="S207" s="468"/>
      <c r="T207" s="468"/>
      <c r="U207" s="322"/>
      <c r="V207" s="340"/>
      <c r="X207" s="314"/>
      <c r="Y207" s="340"/>
      <c r="Z207" s="340"/>
      <c r="AA207" s="340"/>
      <c r="AB207" s="340"/>
      <c r="AC207" s="340"/>
      <c r="AN207" s="392"/>
      <c r="AO207" s="392"/>
      <c r="AP207" s="392"/>
      <c r="AQ207" s="392"/>
    </row>
    <row r="208" spans="1:43" ht="15" customHeight="1" x14ac:dyDescent="0.25">
      <c r="A208" s="420">
        <f>IF('Account Info'!$T$5=TRUE,1,0)</f>
        <v>1</v>
      </c>
      <c r="B208" s="1067"/>
      <c r="C208" s="1068"/>
      <c r="D208" s="491"/>
      <c r="E208" s="492"/>
      <c r="F208" s="492"/>
      <c r="G208" s="492"/>
      <c r="H208" s="465" t="s">
        <v>503</v>
      </c>
      <c r="I208" s="939">
        <f ca="1">IF(I202="","",ROUND(I202+J204*V206,0))</f>
        <v>15989</v>
      </c>
      <c r="J208" s="494"/>
      <c r="K208" s="494"/>
      <c r="L208" s="494"/>
      <c r="M208" s="467"/>
      <c r="N208" s="468"/>
      <c r="O208" s="468"/>
      <c r="P208" s="468"/>
      <c r="Q208" s="468"/>
      <c r="R208" s="468"/>
      <c r="S208" s="468"/>
      <c r="T208" s="468"/>
      <c r="U208" s="322"/>
      <c r="V208" s="340"/>
      <c r="X208" s="314"/>
      <c r="Y208" s="340"/>
      <c r="Z208" s="340"/>
      <c r="AA208" s="340"/>
      <c r="AB208" s="340"/>
      <c r="AC208" s="340"/>
      <c r="AN208" s="392"/>
      <c r="AO208" s="392"/>
      <c r="AP208" s="392"/>
      <c r="AQ208" s="392"/>
    </row>
    <row r="209" spans="1:74" ht="15" customHeight="1" x14ac:dyDescent="0.25">
      <c r="A209" s="420">
        <f>IF('Account Info'!$T$5=TRUE,1,0)</f>
        <v>1</v>
      </c>
      <c r="B209" s="1067"/>
      <c r="C209" s="1068"/>
      <c r="D209" s="491"/>
      <c r="E209" s="492"/>
      <c r="F209" s="492"/>
      <c r="G209" s="492"/>
      <c r="H209" s="465"/>
      <c r="I209" s="496"/>
      <c r="J209" s="497" t="s">
        <v>403</v>
      </c>
      <c r="K209" s="463"/>
      <c r="L209" s="463"/>
      <c r="M209" s="467"/>
      <c r="N209" s="468"/>
      <c r="O209" s="468"/>
      <c r="P209" s="468"/>
      <c r="Q209" s="468"/>
      <c r="R209" s="468"/>
      <c r="S209" s="468"/>
      <c r="T209" s="468"/>
      <c r="U209" s="322"/>
      <c r="V209" s="340"/>
      <c r="X209" s="314"/>
      <c r="Y209" s="340"/>
      <c r="Z209" s="340"/>
      <c r="AA209" s="340"/>
      <c r="AB209" s="340"/>
      <c r="AC209" s="340"/>
      <c r="AN209" s="392"/>
      <c r="AO209" s="392"/>
      <c r="AP209" s="392"/>
      <c r="AQ209" s="392"/>
    </row>
    <row r="210" spans="1:74" ht="15" customHeight="1" x14ac:dyDescent="0.25">
      <c r="A210" s="420">
        <f>IF('Account Info'!$T$5=TRUE,1,0)</f>
        <v>1</v>
      </c>
      <c r="B210" s="1067"/>
      <c r="C210" s="1068"/>
      <c r="D210" s="491"/>
      <c r="E210" s="492"/>
      <c r="F210" s="492"/>
      <c r="G210" s="492"/>
      <c r="H210" s="465" t="s">
        <v>504</v>
      </c>
      <c r="I210" s="498"/>
      <c r="J210" s="939">
        <f ca="1">ROUND(IF(I210=0,0,AI318)*'Account Info'!AA17,0)</f>
        <v>0</v>
      </c>
      <c r="K210" s="463"/>
      <c r="L210" s="463"/>
      <c r="M210" s="467"/>
      <c r="N210" s="468"/>
      <c r="O210" s="468"/>
      <c r="P210" s="468"/>
      <c r="Q210" s="468"/>
      <c r="R210" s="468"/>
      <c r="S210" s="468"/>
      <c r="T210" s="468"/>
      <c r="U210" s="322"/>
      <c r="V210" s="340"/>
      <c r="X210" s="314"/>
      <c r="Y210" s="340"/>
      <c r="Z210" s="340"/>
      <c r="AA210" s="340"/>
      <c r="AB210" s="340"/>
      <c r="AC210" s="340"/>
      <c r="AN210" s="392"/>
      <c r="AO210" s="392"/>
      <c r="AP210" s="392"/>
      <c r="AQ210" s="392"/>
    </row>
    <row r="211" spans="1:74" ht="15" customHeight="1" x14ac:dyDescent="0.25">
      <c r="A211" s="420">
        <f>IF('Account Info'!$T$5=TRUE,1,0)</f>
        <v>1</v>
      </c>
      <c r="B211" s="1067"/>
      <c r="C211" s="1068"/>
      <c r="D211" s="491"/>
      <c r="E211" s="492"/>
      <c r="F211" s="492"/>
      <c r="G211" s="492"/>
      <c r="H211" s="465"/>
      <c r="I211" s="496"/>
      <c r="J211" s="496"/>
      <c r="K211" s="463"/>
      <c r="L211" s="463"/>
      <c r="M211" s="467"/>
      <c r="N211" s="468"/>
      <c r="O211" s="468"/>
      <c r="P211" s="468"/>
      <c r="Q211" s="468"/>
      <c r="R211" s="468"/>
      <c r="S211" s="468"/>
      <c r="T211" s="468"/>
      <c r="U211" s="322"/>
      <c r="V211" s="340"/>
      <c r="X211" s="314"/>
      <c r="Y211" s="340"/>
      <c r="Z211" s="340"/>
      <c r="AA211" s="340"/>
      <c r="AB211" s="340"/>
      <c r="AC211" s="340"/>
      <c r="AN211" s="392"/>
      <c r="AO211" s="392"/>
      <c r="AP211" s="392"/>
      <c r="AQ211" s="392"/>
    </row>
    <row r="212" spans="1:74" ht="15" customHeight="1" x14ac:dyDescent="0.25">
      <c r="A212" s="420">
        <f>IF('Account Info'!$T$5=TRUE,1,0)</f>
        <v>1</v>
      </c>
      <c r="B212" s="1067"/>
      <c r="C212" s="1068"/>
      <c r="D212" s="491"/>
      <c r="E212" s="492"/>
      <c r="F212" s="492"/>
      <c r="G212" s="492"/>
      <c r="H212" s="465" t="s">
        <v>505</v>
      </c>
      <c r="I212" s="939">
        <f ca="1">IF(I208="","",ROUND(I208+J210,0))</f>
        <v>15989</v>
      </c>
      <c r="J212" s="496"/>
      <c r="K212" s="463"/>
      <c r="L212" s="463"/>
      <c r="M212" s="467"/>
      <c r="N212" s="468"/>
      <c r="O212" s="468"/>
      <c r="P212" s="468"/>
      <c r="Q212" s="468"/>
      <c r="R212" s="468"/>
      <c r="S212" s="468"/>
      <c r="T212" s="468"/>
      <c r="U212" s="322"/>
      <c r="V212" s="340"/>
      <c r="X212" s="510"/>
      <c r="AD212" s="510"/>
      <c r="AJ212" s="510"/>
      <c r="AN212" s="392"/>
      <c r="AO212" s="392"/>
      <c r="AP212" s="392"/>
      <c r="AQ212" s="392"/>
    </row>
    <row r="213" spans="1:74" ht="15" customHeight="1" thickBot="1" x14ac:dyDescent="0.3">
      <c r="A213" s="420">
        <f>IF('Account Info'!$T$5=TRUE,1,0)</f>
        <v>1</v>
      </c>
      <c r="B213" s="1069"/>
      <c r="C213" s="1070"/>
      <c r="D213" s="325"/>
      <c r="E213" s="326"/>
      <c r="F213" s="325"/>
      <c r="G213" s="325"/>
      <c r="H213" s="325"/>
      <c r="I213" s="469"/>
      <c r="J213" s="469"/>
      <c r="K213" s="469"/>
      <c r="L213" s="469"/>
      <c r="M213" s="325"/>
      <c r="N213" s="325"/>
      <c r="O213" s="325"/>
      <c r="P213" s="325"/>
      <c r="Q213" s="325"/>
      <c r="R213" s="325"/>
      <c r="S213" s="325"/>
      <c r="T213" s="325"/>
      <c r="U213" s="327"/>
      <c r="V213" s="340"/>
      <c r="X213" s="510"/>
      <c r="AD213" s="510"/>
      <c r="AJ213" s="510"/>
      <c r="AN213" s="392"/>
      <c r="AO213" s="392"/>
      <c r="AP213" s="392"/>
      <c r="AQ213" s="392"/>
    </row>
    <row r="214" spans="1:74" ht="18.75" x14ac:dyDescent="0.3">
      <c r="A214" s="388">
        <f>IF('Account Info'!$T$6=TRUE,1,0)</f>
        <v>1</v>
      </c>
      <c r="B214" s="470" t="s">
        <v>506</v>
      </c>
      <c r="C214" s="309"/>
      <c r="D214" s="309"/>
      <c r="E214" s="310"/>
      <c r="F214" s="309"/>
      <c r="G214" s="309"/>
      <c r="H214" s="309"/>
      <c r="I214" s="512"/>
      <c r="J214" s="512"/>
      <c r="K214" s="512"/>
      <c r="L214" s="512"/>
      <c r="M214" s="309"/>
      <c r="N214" s="309"/>
      <c r="O214" s="309"/>
      <c r="P214" s="309"/>
      <c r="Q214" s="309"/>
      <c r="R214" s="309"/>
      <c r="S214" s="309"/>
      <c r="T214" s="309"/>
      <c r="U214" s="311"/>
      <c r="V214" s="340">
        <v>1</v>
      </c>
      <c r="X214" s="504" t="s">
        <v>390</v>
      </c>
      <c r="Y214" s="420"/>
      <c r="Z214" s="420"/>
      <c r="AA214" s="420"/>
      <c r="AD214" s="503" t="s">
        <v>458</v>
      </c>
      <c r="AE214" s="388"/>
      <c r="AF214" s="388"/>
      <c r="AG214" s="388"/>
      <c r="AJ214" s="504" t="s">
        <v>507</v>
      </c>
      <c r="AK214" s="420"/>
      <c r="AL214" s="420"/>
      <c r="AM214" s="420"/>
      <c r="AN214" s="392"/>
      <c r="AO214" s="392"/>
      <c r="AP214" s="392"/>
      <c r="AQ214" s="392"/>
    </row>
    <row r="215" spans="1:74" ht="15" customHeight="1" x14ac:dyDescent="0.25">
      <c r="A215" s="388">
        <f>IF('Account Info'!$T$6=TRUE,1,0)</f>
        <v>1</v>
      </c>
      <c r="B215" s="1106" t="s">
        <v>328</v>
      </c>
      <c r="C215" s="1107"/>
      <c r="D215" s="440" t="s">
        <v>380</v>
      </c>
      <c r="E215" s="439"/>
      <c r="F215" s="349"/>
      <c r="G215" s="349"/>
      <c r="H215" s="349"/>
      <c r="I215" s="361" t="str">
        <f>IF('Account Info'!$AA$4="Range State","Low","")</f>
        <v>Low</v>
      </c>
      <c r="J215" s="361" t="str">
        <f>IF('Account Info'!$AA$4="Range State","Benchmark","Selection")</f>
        <v>Benchmark</v>
      </c>
      <c r="K215" s="361" t="str">
        <f>IF('Account Info'!$AA$4="Range State","High","")</f>
        <v>High</v>
      </c>
      <c r="L215" s="361" t="str">
        <f>IF('Account Info'!$AA$4="Range State","Selection","")</f>
        <v>Selection</v>
      </c>
      <c r="M215" s="440" t="s">
        <v>377</v>
      </c>
      <c r="N215" s="440"/>
      <c r="O215" s="441"/>
      <c r="P215" s="348"/>
      <c r="Q215" s="348"/>
      <c r="R215" s="348"/>
      <c r="S215" s="348"/>
      <c r="T215" s="348"/>
      <c r="U215" s="322"/>
      <c r="V215" s="340">
        <v>1</v>
      </c>
      <c r="X215" s="505" t="s">
        <v>497</v>
      </c>
      <c r="Y215" s="506">
        <v>0.6</v>
      </c>
      <c r="Z215" s="506">
        <f>ROUND(AVERAGE(Y215,AA215),2)</f>
        <v>0.74</v>
      </c>
      <c r="AA215" s="506">
        <v>0.88</v>
      </c>
      <c r="AB215" s="507"/>
      <c r="AC215" s="508"/>
      <c r="AD215" s="405" t="s">
        <v>491</v>
      </c>
      <c r="AE215" s="378">
        <v>0.75</v>
      </c>
      <c r="AF215" s="378">
        <f>ROUND(AVERAGE(AE215,AG215),2)</f>
        <v>0.87</v>
      </c>
      <c r="AG215" s="378">
        <v>0.99</v>
      </c>
      <c r="AH215" s="507"/>
      <c r="AI215" s="508"/>
      <c r="AJ215" s="505" t="s">
        <v>417</v>
      </c>
      <c r="AK215" s="506">
        <v>0.75</v>
      </c>
      <c r="AL215" s="506">
        <f>ROUND(AVERAGE(AK215,AM215),2)</f>
        <v>0.87</v>
      </c>
      <c r="AM215" s="506">
        <v>0.99</v>
      </c>
      <c r="AN215" s="392"/>
      <c r="AO215" s="392"/>
      <c r="AP215" s="392"/>
      <c r="AQ215" s="392"/>
    </row>
    <row r="216" spans="1:74" ht="15" customHeight="1" x14ac:dyDescent="0.25">
      <c r="A216" s="388">
        <f>IF('Account Info'!$T$6=TRUE,1,0)</f>
        <v>1</v>
      </c>
      <c r="B216" s="1108"/>
      <c r="C216" s="1107"/>
      <c r="D216" s="1054" t="s">
        <v>418</v>
      </c>
      <c r="E216" s="1055"/>
      <c r="F216" s="1055"/>
      <c r="G216" s="1055"/>
      <c r="H216" s="1056"/>
      <c r="I216" s="443">
        <f>IF(D216="","",VLOOKUP(D216,AJ135:AM138,2,FALSE))</f>
        <v>1</v>
      </c>
      <c r="J216" s="443">
        <f>IF(D216="","",VLOOKUP(D216,AJ135:AM138,3,FALSE))</f>
        <v>1.1299999999999999</v>
      </c>
      <c r="K216" s="443">
        <f>IF(D216="","",VLOOKUP(D216,AJ135:AM138,4,FALSE))</f>
        <v>1.25</v>
      </c>
      <c r="L216" s="454">
        <f>J216</f>
        <v>1.1299999999999999</v>
      </c>
      <c r="M216" s="1057"/>
      <c r="N216" s="1058"/>
      <c r="O216" s="1058"/>
      <c r="P216" s="1058"/>
      <c r="Q216" s="1058"/>
      <c r="R216" s="1058"/>
      <c r="S216" s="1058"/>
      <c r="T216" s="1059"/>
      <c r="U216" s="322"/>
      <c r="V216" s="340">
        <f>IF('Account Info'!$AA$4="Flat Rate State",IF(J216="",1,J216),IF(L216="",1,L216))</f>
        <v>1.1299999999999999</v>
      </c>
      <c r="X216" s="505" t="s">
        <v>498</v>
      </c>
      <c r="Y216" s="506">
        <v>0.89</v>
      </c>
      <c r="Z216" s="506">
        <f>ROUND(AVERAGE(Y216,AA216),2)</f>
        <v>1.03</v>
      </c>
      <c r="AA216" s="506">
        <v>1.1599999999999999</v>
      </c>
      <c r="AB216" s="507"/>
      <c r="AC216" s="508"/>
      <c r="AD216" s="405" t="s">
        <v>492</v>
      </c>
      <c r="AE216" s="378">
        <v>1</v>
      </c>
      <c r="AF216" s="378">
        <f>ROUND(AVERAGE(AE216,AG216),2)</f>
        <v>1.1299999999999999</v>
      </c>
      <c r="AG216" s="378">
        <v>1.25</v>
      </c>
      <c r="AH216" s="507"/>
      <c r="AI216" s="508"/>
      <c r="AJ216" s="505" t="s">
        <v>418</v>
      </c>
      <c r="AK216" s="506">
        <v>1</v>
      </c>
      <c r="AL216" s="506">
        <f>ROUND(AVERAGE(AK216,AM216),2)</f>
        <v>1.1299999999999999</v>
      </c>
      <c r="AM216" s="506">
        <v>1.25</v>
      </c>
      <c r="AN216" s="392"/>
      <c r="AO216" s="392"/>
      <c r="AP216" s="392"/>
      <c r="AQ216" s="392"/>
    </row>
    <row r="217" spans="1:74" ht="15" customHeight="1" x14ac:dyDescent="0.25">
      <c r="A217" s="388">
        <f>IF('Account Info'!$T$6=TRUE,1,0)</f>
        <v>1</v>
      </c>
      <c r="B217" s="1108"/>
      <c r="C217" s="1107"/>
      <c r="D217" s="456"/>
      <c r="E217" s="457"/>
      <c r="F217" s="456"/>
      <c r="G217" s="456"/>
      <c r="H217" s="456"/>
      <c r="I217" s="464"/>
      <c r="J217" s="464"/>
      <c r="K217" s="460"/>
      <c r="L217" s="460" t="str">
        <f>IF(AND('Account Info'!$AA$4="Range State",L216&lt;&gt;"",OR(L216&lt;I216,L216&gt;K216)),"Factor is out of range","")</f>
        <v/>
      </c>
      <c r="M217" s="1051"/>
      <c r="N217" s="1052"/>
      <c r="O217" s="1052"/>
      <c r="P217" s="1052"/>
      <c r="Q217" s="1052"/>
      <c r="R217" s="1052"/>
      <c r="S217" s="1052"/>
      <c r="T217" s="1053"/>
      <c r="U217" s="322"/>
      <c r="V217" s="340">
        <v>1</v>
      </c>
      <c r="X217" s="505" t="s">
        <v>500</v>
      </c>
      <c r="Y217" s="506">
        <v>1.17</v>
      </c>
      <c r="Z217" s="506">
        <f>ROUND(AVERAGE(Y217,AA217),2)</f>
        <v>1.31</v>
      </c>
      <c r="AA217" s="506">
        <v>1.44</v>
      </c>
      <c r="AB217" s="507"/>
      <c r="AC217" s="508"/>
      <c r="AD217" s="405" t="s">
        <v>494</v>
      </c>
      <c r="AE217" s="378">
        <v>1.26</v>
      </c>
      <c r="AF217" s="378">
        <f>ROUND(AVERAGE(AE217,AG217),2)</f>
        <v>1.38</v>
      </c>
      <c r="AG217" s="378">
        <v>1.5</v>
      </c>
      <c r="AH217" s="507"/>
      <c r="AI217" s="508"/>
      <c r="AJ217" s="505" t="s">
        <v>420</v>
      </c>
      <c r="AK217" s="506">
        <v>1.26</v>
      </c>
      <c r="AL217" s="506">
        <f>ROUND(AVERAGE(AK217,AM217),2)</f>
        <v>1.38</v>
      </c>
      <c r="AM217" s="506">
        <v>1.5</v>
      </c>
      <c r="AN217" s="392"/>
      <c r="AO217" s="392"/>
      <c r="AP217" s="392"/>
      <c r="AQ217" s="392"/>
    </row>
    <row r="218" spans="1:74" ht="15" customHeight="1" x14ac:dyDescent="0.25">
      <c r="A218" s="388">
        <f>IF('Account Info'!$T$6=TRUE,1,0)</f>
        <v>1</v>
      </c>
      <c r="B218" s="1108"/>
      <c r="C218" s="1107"/>
      <c r="D218" s="348" t="s">
        <v>381</v>
      </c>
      <c r="E218" s="439"/>
      <c r="F218" s="349"/>
      <c r="G218" s="349"/>
      <c r="H218" s="349"/>
      <c r="I218" s="361" t="str">
        <f>IF('Account Info'!$AA$4="Range State","Low","")</f>
        <v>Low</v>
      </c>
      <c r="J218" s="361" t="str">
        <f>IF('Account Info'!$AA$4="Range State","Benchmark","Selection")</f>
        <v>Benchmark</v>
      </c>
      <c r="K218" s="361" t="str">
        <f>IF('Account Info'!$AA$4="Range State","High","")</f>
        <v>High</v>
      </c>
      <c r="L218" s="361" t="str">
        <f>IF('Account Info'!$AA$4="Range State","Selection","")</f>
        <v>Selection</v>
      </c>
      <c r="M218" s="440" t="s">
        <v>377</v>
      </c>
      <c r="N218" s="440"/>
      <c r="O218" s="441"/>
      <c r="P218" s="348"/>
      <c r="Q218" s="348"/>
      <c r="R218" s="348"/>
      <c r="S218" s="348"/>
      <c r="T218" s="348"/>
      <c r="U218" s="322"/>
      <c r="V218" s="340">
        <v>1</v>
      </c>
      <c r="X218" s="505" t="s">
        <v>508</v>
      </c>
      <c r="Y218" s="506">
        <v>1.45</v>
      </c>
      <c r="Z218" s="506">
        <f>ROUND(AVERAGE(Y218,AA218),2)</f>
        <v>1.59</v>
      </c>
      <c r="AA218" s="506">
        <v>1.72</v>
      </c>
      <c r="AB218" s="507"/>
      <c r="AC218" s="508"/>
      <c r="AD218" s="405" t="s">
        <v>495</v>
      </c>
      <c r="AE218" s="378">
        <v>1.51</v>
      </c>
      <c r="AF218" s="378">
        <f>ROUND(AVERAGE(AE218,AG218),2)</f>
        <v>1.63</v>
      </c>
      <c r="AG218" s="378">
        <v>1.75</v>
      </c>
      <c r="AH218" s="507"/>
      <c r="AI218" s="508"/>
      <c r="AJ218" s="505" t="s">
        <v>422</v>
      </c>
      <c r="AK218" s="506">
        <v>1.51</v>
      </c>
      <c r="AL218" s="506">
        <f>ROUND(AVERAGE(AK218,AM218),2)</f>
        <v>1.63</v>
      </c>
      <c r="AM218" s="506">
        <v>1.75</v>
      </c>
      <c r="AN218" s="392"/>
      <c r="AO218" s="392"/>
      <c r="AP218" s="392"/>
      <c r="AQ218" s="392"/>
    </row>
    <row r="219" spans="1:74" ht="15" customHeight="1" x14ac:dyDescent="0.25">
      <c r="A219" s="388">
        <f>IF('Account Info'!$T$6=TRUE,1,0)</f>
        <v>1</v>
      </c>
      <c r="B219" s="1108"/>
      <c r="C219" s="1107"/>
      <c r="D219" s="1054" t="s">
        <v>434</v>
      </c>
      <c r="E219" s="1055"/>
      <c r="F219" s="1055"/>
      <c r="G219" s="1055"/>
      <c r="H219" s="1056"/>
      <c r="I219" s="443">
        <f>IF(D219="","",VLOOKUP(D219,AJ140:AM141,2,FALSE))</f>
        <v>0.8</v>
      </c>
      <c r="J219" s="443">
        <f>IF(D219="","",VLOOKUP(D219,AJ140:AM141,3,FALSE))</f>
        <v>0.9</v>
      </c>
      <c r="K219" s="443">
        <f>IF(D219="","",VLOOKUP(D219,AJ140:AM141,4,FALSE))</f>
        <v>1</v>
      </c>
      <c r="L219" s="454">
        <f>J219</f>
        <v>0.9</v>
      </c>
      <c r="M219" s="1057"/>
      <c r="N219" s="1058"/>
      <c r="O219" s="1058"/>
      <c r="P219" s="1058"/>
      <c r="Q219" s="1058"/>
      <c r="R219" s="1058"/>
      <c r="S219" s="1058"/>
      <c r="T219" s="1059"/>
      <c r="U219" s="322"/>
      <c r="V219" s="340">
        <f>IF('Account Info'!$AA$4="Flat Rate State",IF(J219="",1,J219),IF(L219="",1,L219))</f>
        <v>0.9</v>
      </c>
      <c r="X219" s="505" t="s">
        <v>502</v>
      </c>
      <c r="Y219" s="506">
        <v>1.73</v>
      </c>
      <c r="Z219" s="506">
        <f>ROUND(AVERAGE(Y219,AA219),2)</f>
        <v>1.87</v>
      </c>
      <c r="AA219" s="506">
        <v>2</v>
      </c>
      <c r="AB219" s="340"/>
      <c r="AC219" s="340"/>
      <c r="AD219" s="388"/>
      <c r="AE219" s="388"/>
      <c r="AF219" s="388"/>
      <c r="AG219" s="388"/>
      <c r="AN219" s="392"/>
      <c r="AO219" s="392"/>
      <c r="AP219" s="392"/>
      <c r="AQ219" s="392"/>
    </row>
    <row r="220" spans="1:74" ht="15" customHeight="1" x14ac:dyDescent="0.25">
      <c r="A220" s="388">
        <f>IF('Account Info'!$T$6=TRUE,1,0)</f>
        <v>1</v>
      </c>
      <c r="B220" s="1108"/>
      <c r="C220" s="1107"/>
      <c r="D220" s="456"/>
      <c r="E220" s="457"/>
      <c r="F220" s="456"/>
      <c r="G220" s="456"/>
      <c r="H220" s="456"/>
      <c r="I220" s="464"/>
      <c r="J220" s="464"/>
      <c r="K220" s="460"/>
      <c r="L220" s="460" t="str">
        <f>IF(AND('Account Info'!$AA$4="Range State",L219&lt;&gt;"",OR(L219&lt;I219,L219&gt;K219)),"Factor is out of range","")</f>
        <v/>
      </c>
      <c r="M220" s="1051"/>
      <c r="N220" s="1052"/>
      <c r="O220" s="1052"/>
      <c r="P220" s="1052"/>
      <c r="Q220" s="1052"/>
      <c r="R220" s="1052"/>
      <c r="S220" s="1052"/>
      <c r="T220" s="1053"/>
      <c r="U220" s="322"/>
      <c r="V220" s="340">
        <v>1</v>
      </c>
      <c r="X220" s="504" t="s">
        <v>509</v>
      </c>
      <c r="Y220" s="420"/>
      <c r="Z220" s="420"/>
      <c r="AA220" s="420"/>
      <c r="AD220" s="503" t="s">
        <v>464</v>
      </c>
      <c r="AE220" s="388"/>
      <c r="AF220" s="388"/>
      <c r="AG220" s="388"/>
      <c r="AJ220" s="362"/>
      <c r="AK220" s="362"/>
      <c r="AL220" s="362"/>
      <c r="AM220" s="362"/>
      <c r="AN220" s="392"/>
      <c r="AO220" s="392"/>
      <c r="AP220" s="392"/>
      <c r="AQ220" s="392"/>
    </row>
    <row r="221" spans="1:74" s="315" customFormat="1" ht="15" customHeight="1" x14ac:dyDescent="0.25">
      <c r="A221" s="388">
        <f>IF('Account Info'!$T$6=TRUE,1,0)</f>
        <v>1</v>
      </c>
      <c r="B221" s="1108"/>
      <c r="C221" s="1107"/>
      <c r="D221" s="348" t="s">
        <v>510</v>
      </c>
      <c r="E221" s="439"/>
      <c r="F221" s="349"/>
      <c r="G221" s="349"/>
      <c r="H221" s="349"/>
      <c r="I221" s="361" t="str">
        <f>IF('Account Info'!$AA$4="Range State","Low","")</f>
        <v>Low</v>
      </c>
      <c r="J221" s="361" t="str">
        <f>IF('Account Info'!$AA$4="Range State","Benchmark","Selection")</f>
        <v>Benchmark</v>
      </c>
      <c r="K221" s="361" t="str">
        <f>IF('Account Info'!$AA$4="Range State","High","")</f>
        <v>High</v>
      </c>
      <c r="L221" s="361" t="str">
        <f>IF('Account Info'!$AA$4="Range State","Selection","")</f>
        <v>Selection</v>
      </c>
      <c r="M221" s="440" t="s">
        <v>377</v>
      </c>
      <c r="N221" s="440"/>
      <c r="O221" s="441"/>
      <c r="P221" s="348"/>
      <c r="Q221" s="348"/>
      <c r="R221" s="348"/>
      <c r="S221" s="348"/>
      <c r="T221" s="348"/>
      <c r="U221" s="322"/>
      <c r="V221" s="340">
        <v>1</v>
      </c>
      <c r="W221" s="313"/>
      <c r="X221" s="505" t="s">
        <v>497</v>
      </c>
      <c r="Y221" s="506">
        <v>0.6</v>
      </c>
      <c r="Z221" s="506">
        <f>ROUND(AVERAGE(Y221,AA221),2)</f>
        <v>0.74</v>
      </c>
      <c r="AA221" s="506">
        <v>0.88</v>
      </c>
      <c r="AB221" s="507"/>
      <c r="AC221" s="508"/>
      <c r="AD221" s="405" t="s">
        <v>497</v>
      </c>
      <c r="AE221" s="378">
        <v>0.6</v>
      </c>
      <c r="AF221" s="378">
        <f>ROUND(AVERAGE(AE221,AG221),2)</f>
        <v>0.74</v>
      </c>
      <c r="AG221" s="378">
        <v>0.88</v>
      </c>
      <c r="AH221" s="507"/>
      <c r="AI221" s="340"/>
      <c r="AJ221" s="255"/>
      <c r="AK221" s="362"/>
      <c r="AL221" s="362"/>
      <c r="AM221" s="362"/>
      <c r="AN221" s="392"/>
      <c r="AO221" s="392"/>
      <c r="AP221" s="392"/>
      <c r="AQ221" s="392"/>
      <c r="AR221" s="313"/>
      <c r="AS221" s="313"/>
      <c r="AT221" s="313"/>
      <c r="AU221" s="313"/>
      <c r="AV221" s="313"/>
      <c r="AW221" s="313"/>
      <c r="AX221" s="313"/>
      <c r="AY221" s="313"/>
      <c r="AZ221" s="313"/>
      <c r="BA221" s="313"/>
      <c r="BB221" s="313"/>
      <c r="BC221" s="313"/>
      <c r="BD221" s="313"/>
      <c r="BE221" s="313"/>
      <c r="BF221" s="313"/>
      <c r="BG221" s="313"/>
      <c r="BH221" s="313"/>
      <c r="BI221" s="313"/>
      <c r="BJ221" s="313"/>
      <c r="BK221" s="313"/>
      <c r="BL221" s="313"/>
      <c r="BM221" s="313"/>
      <c r="BN221" s="313"/>
      <c r="BO221" s="313"/>
      <c r="BP221" s="313"/>
      <c r="BQ221" s="313"/>
      <c r="BR221" s="313"/>
      <c r="BS221" s="313"/>
      <c r="BT221" s="313"/>
      <c r="BU221" s="313"/>
      <c r="BV221" s="313"/>
    </row>
    <row r="222" spans="1:74" s="315" customFormat="1" ht="15" customHeight="1" x14ac:dyDescent="0.25">
      <c r="A222" s="388">
        <f>IF('Account Info'!$T$6=TRUE,1,0)</f>
        <v>1</v>
      </c>
      <c r="B222" s="1108"/>
      <c r="C222" s="1107"/>
      <c r="D222" s="1054" t="s">
        <v>418</v>
      </c>
      <c r="E222" s="1055"/>
      <c r="F222" s="1055"/>
      <c r="G222" s="1055"/>
      <c r="H222" s="1056"/>
      <c r="I222" s="443">
        <f>IF(D222="","",VLOOKUP(D222,AJ152:AM155,2,FALSE))</f>
        <v>1</v>
      </c>
      <c r="J222" s="443">
        <f>IF(D222="","",VLOOKUP(D222,AJ152:AM155,3,FALSE))</f>
        <v>1.1299999999999999</v>
      </c>
      <c r="K222" s="443">
        <f>IF(D222="","",VLOOKUP(D222,AJ152:AM155,4,FALSE))</f>
        <v>1.25</v>
      </c>
      <c r="L222" s="454">
        <f>J222</f>
        <v>1.1299999999999999</v>
      </c>
      <c r="M222" s="1057"/>
      <c r="N222" s="1058"/>
      <c r="O222" s="1058"/>
      <c r="P222" s="1058"/>
      <c r="Q222" s="1058"/>
      <c r="R222" s="1058"/>
      <c r="S222" s="1058"/>
      <c r="T222" s="1059"/>
      <c r="U222" s="322"/>
      <c r="V222" s="340">
        <f>IF('Account Info'!$AA$4="Flat Rate State",IF(J222="",1,J222),IF(L222="",1,L222))</f>
        <v>1.1299999999999999</v>
      </c>
      <c r="W222" s="313"/>
      <c r="X222" s="505" t="s">
        <v>498</v>
      </c>
      <c r="Y222" s="506">
        <v>0.89</v>
      </c>
      <c r="Z222" s="506">
        <f>ROUND(AVERAGE(Y222,AA222),2)</f>
        <v>1.03</v>
      </c>
      <c r="AA222" s="506">
        <v>1.1599999999999999</v>
      </c>
      <c r="AB222" s="507"/>
      <c r="AC222" s="508"/>
      <c r="AD222" s="405" t="s">
        <v>498</v>
      </c>
      <c r="AE222" s="378">
        <v>0.89</v>
      </c>
      <c r="AF222" s="378">
        <f>ROUND(AVERAGE(AE222,AG222),2)</f>
        <v>1.03</v>
      </c>
      <c r="AG222" s="378">
        <v>1.1599999999999999</v>
      </c>
      <c r="AH222" s="507"/>
      <c r="AI222" s="340"/>
      <c r="AJ222" s="255"/>
      <c r="AK222" s="362"/>
      <c r="AL222" s="362"/>
      <c r="AM222" s="362"/>
      <c r="AN222" s="392"/>
      <c r="AO222" s="392"/>
      <c r="AP222" s="392"/>
      <c r="AQ222" s="392"/>
      <c r="AR222" s="313"/>
      <c r="AS222" s="313"/>
      <c r="AT222" s="313"/>
      <c r="AU222" s="313"/>
      <c r="AV222" s="313"/>
      <c r="AW222" s="313"/>
      <c r="AX222" s="313"/>
      <c r="AY222" s="313"/>
      <c r="AZ222" s="313"/>
      <c r="BA222" s="313"/>
      <c r="BB222" s="313"/>
      <c r="BC222" s="313"/>
      <c r="BD222" s="313"/>
      <c r="BE222" s="313"/>
      <c r="BF222" s="313"/>
      <c r="BG222" s="313"/>
      <c r="BH222" s="313"/>
      <c r="BI222" s="313"/>
      <c r="BJ222" s="313"/>
      <c r="BK222" s="313"/>
      <c r="BL222" s="313"/>
      <c r="BM222" s="313"/>
      <c r="BN222" s="313"/>
      <c r="BO222" s="313"/>
      <c r="BP222" s="313"/>
      <c r="BQ222" s="313"/>
      <c r="BR222" s="313"/>
      <c r="BS222" s="313"/>
      <c r="BT222" s="313"/>
      <c r="BU222" s="313"/>
      <c r="BV222" s="313"/>
    </row>
    <row r="223" spans="1:74" s="315" customFormat="1" ht="15" customHeight="1" x14ac:dyDescent="0.25">
      <c r="A223" s="388">
        <f>IF('Account Info'!$T$6=TRUE,1,0)</f>
        <v>1</v>
      </c>
      <c r="B223" s="1108"/>
      <c r="C223" s="1107"/>
      <c r="D223" s="456"/>
      <c r="E223" s="457"/>
      <c r="F223" s="456"/>
      <c r="G223" s="456"/>
      <c r="H223" s="456"/>
      <c r="I223" s="464"/>
      <c r="J223" s="459"/>
      <c r="K223" s="460"/>
      <c r="L223" s="460" t="str">
        <f>IF(AND('Account Info'!$AA$4="Range State",L222&lt;&gt;"",OR(L222&lt;I222,L222&gt;K222)),"Factor is out of range","")</f>
        <v/>
      </c>
      <c r="M223" s="1051"/>
      <c r="N223" s="1052"/>
      <c r="O223" s="1052"/>
      <c r="P223" s="1052"/>
      <c r="Q223" s="1052"/>
      <c r="R223" s="1052"/>
      <c r="S223" s="1052"/>
      <c r="T223" s="1053"/>
      <c r="U223" s="322"/>
      <c r="V223" s="340">
        <v>1</v>
      </c>
      <c r="W223" s="313"/>
      <c r="X223" s="505" t="s">
        <v>500</v>
      </c>
      <c r="Y223" s="506">
        <v>1.17</v>
      </c>
      <c r="Z223" s="506">
        <f>ROUND(AVERAGE(Y223,AA223),2)</f>
        <v>1.31</v>
      </c>
      <c r="AA223" s="506">
        <v>1.44</v>
      </c>
      <c r="AB223" s="507"/>
      <c r="AC223" s="508"/>
      <c r="AD223" s="405" t="s">
        <v>500</v>
      </c>
      <c r="AE223" s="378">
        <v>1.17</v>
      </c>
      <c r="AF223" s="378">
        <f>ROUND(AVERAGE(AE223,AG223),2)</f>
        <v>1.31</v>
      </c>
      <c r="AG223" s="378">
        <v>1.44</v>
      </c>
      <c r="AH223" s="507"/>
      <c r="AI223" s="340"/>
      <c r="AJ223" s="255"/>
      <c r="AK223" s="362"/>
      <c r="AL223" s="362"/>
      <c r="AM223" s="362"/>
      <c r="AN223" s="392"/>
      <c r="AO223" s="392"/>
      <c r="AP223" s="392"/>
      <c r="AQ223" s="392"/>
      <c r="AR223" s="313"/>
      <c r="AS223" s="313"/>
      <c r="AT223" s="313"/>
      <c r="AU223" s="313"/>
      <c r="AV223" s="313"/>
      <c r="AW223" s="313"/>
      <c r="AX223" s="313"/>
      <c r="AY223" s="313"/>
      <c r="AZ223" s="313"/>
      <c r="BA223" s="313"/>
      <c r="BB223" s="313"/>
      <c r="BC223" s="313"/>
      <c r="BD223" s="313"/>
      <c r="BE223" s="313"/>
      <c r="BF223" s="313"/>
      <c r="BG223" s="313"/>
      <c r="BH223" s="313"/>
      <c r="BI223" s="313"/>
      <c r="BJ223" s="313"/>
      <c r="BK223" s="313"/>
      <c r="BL223" s="313"/>
      <c r="BM223" s="313"/>
      <c r="BN223" s="313"/>
      <c r="BO223" s="313"/>
      <c r="BP223" s="313"/>
      <c r="BQ223" s="313"/>
      <c r="BR223" s="313"/>
      <c r="BS223" s="313"/>
      <c r="BT223" s="313"/>
      <c r="BU223" s="313"/>
      <c r="BV223" s="313"/>
    </row>
    <row r="224" spans="1:74" s="315" customFormat="1" ht="15" customHeight="1" x14ac:dyDescent="0.25">
      <c r="A224" s="388">
        <f>IF('Account Info'!$T$6=TRUE,1,0)</f>
        <v>1</v>
      </c>
      <c r="B224" s="1108"/>
      <c r="C224" s="1107"/>
      <c r="D224" s="348" t="s">
        <v>460</v>
      </c>
      <c r="E224" s="439"/>
      <c r="F224" s="349"/>
      <c r="G224" s="349"/>
      <c r="H224" s="349"/>
      <c r="I224" s="361" t="str">
        <f>IF('Account Info'!$AA$4="Range State","Low","")</f>
        <v>Low</v>
      </c>
      <c r="J224" s="361" t="str">
        <f>IF('Account Info'!$AA$4="Range State","Benchmark","Selection")</f>
        <v>Benchmark</v>
      </c>
      <c r="K224" s="361" t="str">
        <f>IF('Account Info'!$AA$4="Range State","High","")</f>
        <v>High</v>
      </c>
      <c r="L224" s="361" t="str">
        <f>IF('Account Info'!$AA$4="Range State","Selection","")</f>
        <v>Selection</v>
      </c>
      <c r="M224" s="440" t="s">
        <v>377</v>
      </c>
      <c r="N224" s="440"/>
      <c r="O224" s="441"/>
      <c r="P224" s="348"/>
      <c r="Q224" s="348"/>
      <c r="R224" s="348"/>
      <c r="S224" s="348"/>
      <c r="T224" s="348"/>
      <c r="U224" s="322"/>
      <c r="V224" s="340">
        <v>1</v>
      </c>
      <c r="W224" s="313"/>
      <c r="X224" s="505" t="s">
        <v>508</v>
      </c>
      <c r="Y224" s="506">
        <v>1.45</v>
      </c>
      <c r="Z224" s="506">
        <f>ROUND(AVERAGE(Y224,AA224),2)</f>
        <v>1.59</v>
      </c>
      <c r="AA224" s="506">
        <v>1.72</v>
      </c>
      <c r="AB224" s="507"/>
      <c r="AC224" s="508"/>
      <c r="AD224" s="405" t="s">
        <v>508</v>
      </c>
      <c r="AE224" s="378">
        <v>1.45</v>
      </c>
      <c r="AF224" s="378">
        <f>ROUND(AVERAGE(AE224,AG224),2)</f>
        <v>1.59</v>
      </c>
      <c r="AG224" s="378">
        <v>1.72</v>
      </c>
      <c r="AH224" s="507"/>
      <c r="AI224" s="340"/>
      <c r="AJ224" s="255"/>
      <c r="AK224" s="362"/>
      <c r="AL224" s="362"/>
      <c r="AM224" s="362"/>
      <c r="AN224" s="392"/>
      <c r="AO224" s="392"/>
      <c r="AP224" s="392"/>
      <c r="AQ224" s="392"/>
      <c r="AR224" s="313"/>
      <c r="AS224" s="313"/>
      <c r="AT224" s="313"/>
      <c r="AU224" s="313"/>
      <c r="AV224" s="313"/>
      <c r="AW224" s="313"/>
      <c r="AX224" s="313"/>
      <c r="AY224" s="313"/>
      <c r="AZ224" s="313"/>
      <c r="BA224" s="313"/>
      <c r="BB224" s="313"/>
      <c r="BC224" s="313"/>
      <c r="BD224" s="313"/>
      <c r="BE224" s="313"/>
      <c r="BF224" s="313"/>
      <c r="BG224" s="313"/>
      <c r="BH224" s="313"/>
      <c r="BI224" s="313"/>
      <c r="BJ224" s="313"/>
      <c r="BK224" s="313"/>
      <c r="BL224" s="313"/>
      <c r="BM224" s="313"/>
      <c r="BN224" s="313"/>
      <c r="BO224" s="313"/>
      <c r="BP224" s="313"/>
      <c r="BQ224" s="313"/>
      <c r="BR224" s="313"/>
      <c r="BS224" s="313"/>
      <c r="BT224" s="313"/>
      <c r="BU224" s="313"/>
      <c r="BV224" s="313"/>
    </row>
    <row r="225" spans="1:74" s="315" customFormat="1" ht="15" customHeight="1" x14ac:dyDescent="0.25">
      <c r="A225" s="388">
        <f>IF('Account Info'!$T$6=TRUE,1,0)</f>
        <v>1</v>
      </c>
      <c r="B225" s="1108"/>
      <c r="C225" s="1107"/>
      <c r="D225" s="1054" t="s">
        <v>466</v>
      </c>
      <c r="E225" s="1055"/>
      <c r="F225" s="1055"/>
      <c r="G225" s="1055"/>
      <c r="H225" s="1056"/>
      <c r="I225" s="443">
        <f>IF(D225="","",VLOOKUP(D225,AJ162:AM164,2,FALSE))</f>
        <v>0.98</v>
      </c>
      <c r="J225" s="443">
        <f>IF(D225="","",VLOOKUP(D225,AJ162:AM164,3,FALSE))</f>
        <v>1.06</v>
      </c>
      <c r="K225" s="443">
        <f>IF(D225="","",VLOOKUP(D225,AJ162:AM164,4,FALSE))</f>
        <v>1.1299999999999999</v>
      </c>
      <c r="L225" s="454">
        <f>J225</f>
        <v>1.06</v>
      </c>
      <c r="M225" s="1057"/>
      <c r="N225" s="1058"/>
      <c r="O225" s="1058"/>
      <c r="P225" s="1058"/>
      <c r="Q225" s="1058"/>
      <c r="R225" s="1058"/>
      <c r="S225" s="1058"/>
      <c r="T225" s="1059"/>
      <c r="U225" s="322"/>
      <c r="V225" s="340">
        <f>IF('Account Info'!$AA$4="Flat Rate State",IF(J225="",1,J225),IF(L225="",1,L225))</f>
        <v>1.06</v>
      </c>
      <c r="W225" s="313"/>
      <c r="X225" s="505" t="s">
        <v>502</v>
      </c>
      <c r="Y225" s="506">
        <v>1.73</v>
      </c>
      <c r="Z225" s="506">
        <f>ROUND(AVERAGE(Y225,AA225),2)</f>
        <v>1.87</v>
      </c>
      <c r="AA225" s="506">
        <v>2</v>
      </c>
      <c r="AB225" s="507"/>
      <c r="AC225" s="508"/>
      <c r="AD225" s="405" t="s">
        <v>502</v>
      </c>
      <c r="AE225" s="378">
        <v>1.73</v>
      </c>
      <c r="AF225" s="378">
        <f>ROUND(AVERAGE(AE225,AG225),2)</f>
        <v>1.87</v>
      </c>
      <c r="AG225" s="378">
        <v>2</v>
      </c>
      <c r="AH225" s="507"/>
      <c r="AI225" s="340"/>
      <c r="AJ225" s="255"/>
      <c r="AK225" s="362"/>
      <c r="AL225" s="362"/>
      <c r="AM225" s="362"/>
      <c r="AN225" s="392"/>
      <c r="AO225" s="392"/>
      <c r="AP225" s="392"/>
      <c r="AQ225" s="392"/>
      <c r="AR225" s="313"/>
      <c r="AS225" s="313"/>
      <c r="AT225" s="313"/>
      <c r="AU225" s="313"/>
      <c r="AV225" s="313"/>
      <c r="AW225" s="313"/>
      <c r="AX225" s="313"/>
      <c r="AY225" s="313"/>
      <c r="AZ225" s="313"/>
      <c r="BA225" s="313"/>
      <c r="BB225" s="313"/>
      <c r="BC225" s="313"/>
      <c r="BD225" s="313"/>
      <c r="BE225" s="313"/>
      <c r="BF225" s="313"/>
      <c r="BG225" s="313"/>
      <c r="BH225" s="313"/>
      <c r="BI225" s="313"/>
      <c r="BJ225" s="313"/>
      <c r="BK225" s="313"/>
      <c r="BL225" s="313"/>
      <c r="BM225" s="313"/>
      <c r="BN225" s="313"/>
      <c r="BO225" s="313"/>
      <c r="BP225" s="313"/>
      <c r="BQ225" s="313"/>
      <c r="BR225" s="313"/>
      <c r="BS225" s="313"/>
      <c r="BT225" s="313"/>
      <c r="BU225" s="313"/>
      <c r="BV225" s="313"/>
    </row>
    <row r="226" spans="1:74" s="315" customFormat="1" ht="15" customHeight="1" x14ac:dyDescent="0.25">
      <c r="A226" s="388">
        <f>IF('Account Info'!$T$6=TRUE,1,0)</f>
        <v>1</v>
      </c>
      <c r="B226" s="1108"/>
      <c r="C226" s="1107"/>
      <c r="D226" s="456"/>
      <c r="E226" s="457"/>
      <c r="F226" s="456"/>
      <c r="G226" s="456"/>
      <c r="H226" s="456"/>
      <c r="I226" s="464"/>
      <c r="J226" s="459"/>
      <c r="K226" s="460"/>
      <c r="L226" s="460" t="str">
        <f>IF(AND('Account Info'!$AA$4="Range State",L225&lt;&gt;"",OR(L225&lt;I225,L225&gt;K225)),"Factor is out of range","")</f>
        <v/>
      </c>
      <c r="M226" s="1051"/>
      <c r="N226" s="1052"/>
      <c r="O226" s="1052"/>
      <c r="P226" s="1052"/>
      <c r="Q226" s="1052"/>
      <c r="R226" s="1052"/>
      <c r="S226" s="1052"/>
      <c r="T226" s="1053"/>
      <c r="U226" s="322"/>
      <c r="V226" s="340">
        <v>1</v>
      </c>
      <c r="W226" s="313"/>
      <c r="X226" s="313"/>
      <c r="Y226" s="313"/>
      <c r="Z226" s="313"/>
      <c r="AA226" s="313"/>
      <c r="AB226" s="314"/>
      <c r="AC226" s="314"/>
      <c r="AD226" s="392"/>
      <c r="AE226" s="392"/>
      <c r="AF226" s="392"/>
      <c r="AG226" s="518"/>
      <c r="AH226" s="340"/>
      <c r="AI226" s="340"/>
      <c r="AJ226" s="255"/>
      <c r="AK226" s="362"/>
      <c r="AL226" s="362"/>
      <c r="AM226" s="362"/>
      <c r="AN226" s="392"/>
      <c r="AO226" s="392"/>
      <c r="AP226" s="392"/>
      <c r="AQ226" s="392"/>
      <c r="AR226" s="313"/>
      <c r="AS226" s="313"/>
      <c r="AT226" s="313"/>
      <c r="AU226" s="313"/>
      <c r="AV226" s="313"/>
      <c r="AW226" s="313"/>
      <c r="AX226" s="313"/>
      <c r="AY226" s="313"/>
      <c r="AZ226" s="313"/>
      <c r="BA226" s="313"/>
      <c r="BB226" s="313"/>
      <c r="BC226" s="313"/>
      <c r="BD226" s="313"/>
      <c r="BE226" s="313"/>
      <c r="BF226" s="313"/>
      <c r="BG226" s="313"/>
      <c r="BH226" s="313"/>
      <c r="BI226" s="313"/>
      <c r="BJ226" s="313"/>
      <c r="BK226" s="313"/>
      <c r="BL226" s="313"/>
      <c r="BM226" s="313"/>
      <c r="BN226" s="313"/>
      <c r="BO226" s="313"/>
      <c r="BP226" s="313"/>
      <c r="BQ226" s="313"/>
      <c r="BR226" s="313"/>
      <c r="BS226" s="313"/>
      <c r="BT226" s="313"/>
      <c r="BU226" s="313"/>
      <c r="BV226" s="313"/>
    </row>
    <row r="227" spans="1:74" s="315" customFormat="1" ht="15" customHeight="1" x14ac:dyDescent="0.25">
      <c r="A227" s="388">
        <f>IF('Account Info'!$T$6=TRUE,IF(NFP,0,1),0)</f>
        <v>1</v>
      </c>
      <c r="B227" s="1108"/>
      <c r="C227" s="1107"/>
      <c r="D227" s="348" t="s">
        <v>472</v>
      </c>
      <c r="E227" s="439"/>
      <c r="F227" s="349"/>
      <c r="G227" s="349"/>
      <c r="H227" s="349"/>
      <c r="I227" s="361" t="str">
        <f>IF('Account Info'!$AA$4="Range State","Low","")</f>
        <v>Low</v>
      </c>
      <c r="J227" s="361" t="str">
        <f>IF('Account Info'!$AA$4="Range State","Benchmark","Selection")</f>
        <v>Benchmark</v>
      </c>
      <c r="K227" s="361" t="str">
        <f>IF('Account Info'!$AA$4="Range State","High","")</f>
        <v>High</v>
      </c>
      <c r="L227" s="361" t="str">
        <f>IF('Account Info'!$AA$4="Range State","Selection","")</f>
        <v>Selection</v>
      </c>
      <c r="M227" s="440" t="s">
        <v>377</v>
      </c>
      <c r="N227" s="440"/>
      <c r="O227" s="441"/>
      <c r="P227" s="348"/>
      <c r="Q227" s="348"/>
      <c r="R227" s="348"/>
      <c r="S227" s="348"/>
      <c r="T227" s="348"/>
      <c r="U227" s="322"/>
      <c r="V227" s="340">
        <v>1</v>
      </c>
      <c r="W227" s="313"/>
      <c r="X227" s="362"/>
      <c r="Y227" s="362"/>
      <c r="Z227" s="362"/>
      <c r="AA227" s="362"/>
      <c r="AB227" s="314"/>
      <c r="AC227" s="314"/>
      <c r="AD227" s="255"/>
      <c r="AE227" s="255"/>
      <c r="AF227" s="255"/>
      <c r="AG227" s="255"/>
      <c r="AH227" s="314"/>
      <c r="AI227" s="314"/>
      <c r="AJ227" s="255"/>
      <c r="AK227" s="362"/>
      <c r="AL227" s="362"/>
      <c r="AM227" s="362"/>
      <c r="AN227" s="392"/>
      <c r="AO227" s="392"/>
      <c r="AP227" s="392"/>
      <c r="AQ227" s="392"/>
      <c r="AR227" s="313"/>
      <c r="AS227" s="313"/>
      <c r="AT227" s="313"/>
      <c r="AU227" s="313"/>
      <c r="AV227" s="313"/>
      <c r="AW227" s="313"/>
      <c r="AX227" s="313"/>
      <c r="AY227" s="313"/>
      <c r="AZ227" s="313"/>
      <c r="BA227" s="313"/>
      <c r="BB227" s="313"/>
      <c r="BC227" s="313"/>
      <c r="BD227" s="313"/>
      <c r="BE227" s="313"/>
      <c r="BF227" s="313"/>
      <c r="BG227" s="313"/>
      <c r="BH227" s="313"/>
      <c r="BI227" s="313"/>
      <c r="BJ227" s="313"/>
      <c r="BK227" s="313"/>
      <c r="BL227" s="313"/>
      <c r="BM227" s="313"/>
      <c r="BN227" s="313"/>
      <c r="BO227" s="313"/>
      <c r="BP227" s="313"/>
      <c r="BQ227" s="313"/>
      <c r="BR227" s="313"/>
      <c r="BS227" s="313"/>
      <c r="BT227" s="313"/>
      <c r="BU227" s="313"/>
      <c r="BV227" s="313"/>
    </row>
    <row r="228" spans="1:74" s="315" customFormat="1" ht="15" customHeight="1" x14ac:dyDescent="0.25">
      <c r="A228" s="388">
        <f>IF('Account Info'!$T$6=TRUE,IF(NFP,0,1),0)</f>
        <v>1</v>
      </c>
      <c r="B228" s="1108"/>
      <c r="C228" s="1107"/>
      <c r="D228" s="1054" t="s">
        <v>418</v>
      </c>
      <c r="E228" s="1055"/>
      <c r="F228" s="1055"/>
      <c r="G228" s="1055"/>
      <c r="H228" s="1056"/>
      <c r="I228" s="443">
        <f>IF(D228="","",VLOOKUP(D228,AJ179:AM182,2,FALSE))</f>
        <v>1</v>
      </c>
      <c r="J228" s="443">
        <f>IF(D228="","",VLOOKUP(D228,AJ179:AM182,3,FALSE))</f>
        <v>1.1299999999999999</v>
      </c>
      <c r="K228" s="443">
        <f>IF(D228="","",VLOOKUP(D228,AJ179:AM182,4,FALSE))</f>
        <v>1.25</v>
      </c>
      <c r="L228" s="454">
        <f>J228</f>
        <v>1.1299999999999999</v>
      </c>
      <c r="M228" s="1057"/>
      <c r="N228" s="1058"/>
      <c r="O228" s="1058"/>
      <c r="P228" s="1058"/>
      <c r="Q228" s="1058"/>
      <c r="R228" s="1058"/>
      <c r="S228" s="1058"/>
      <c r="T228" s="1059"/>
      <c r="U228" s="322"/>
      <c r="V228" s="340">
        <f>IF(NFP,1,IF('Account Info'!$AA$4="Flat Rate State",IF(J228="",1,J228),IF(L228="",1,L228)))</f>
        <v>1.1299999999999999</v>
      </c>
      <c r="W228" s="313"/>
      <c r="X228" s="362"/>
      <c r="Y228" s="362"/>
      <c r="Z228" s="362"/>
      <c r="AA228" s="362"/>
      <c r="AB228" s="340"/>
      <c r="AC228" s="340"/>
      <c r="AD228" s="255"/>
      <c r="AE228" s="255"/>
      <c r="AF228" s="255"/>
      <c r="AG228" s="255"/>
      <c r="AH228" s="340"/>
      <c r="AI228" s="340"/>
      <c r="AJ228" s="255"/>
      <c r="AK228" s="362"/>
      <c r="AL228" s="362"/>
      <c r="AM228" s="362"/>
      <c r="AN228" s="392"/>
      <c r="AO228" s="392"/>
      <c r="AP228" s="392"/>
      <c r="AQ228" s="392"/>
      <c r="AR228" s="313"/>
      <c r="AS228" s="313"/>
      <c r="AT228" s="313"/>
      <c r="AU228" s="313"/>
      <c r="AV228" s="313"/>
      <c r="AW228" s="313"/>
      <c r="AX228" s="313"/>
      <c r="AY228" s="313"/>
      <c r="AZ228" s="313"/>
      <c r="BA228" s="313"/>
      <c r="BB228" s="313"/>
      <c r="BC228" s="313"/>
      <c r="BD228" s="313"/>
      <c r="BE228" s="313"/>
      <c r="BF228" s="313"/>
      <c r="BG228" s="313"/>
      <c r="BH228" s="313"/>
      <c r="BI228" s="313"/>
      <c r="BJ228" s="313"/>
      <c r="BK228" s="313"/>
      <c r="BL228" s="313"/>
      <c r="BM228" s="313"/>
      <c r="BN228" s="313"/>
      <c r="BO228" s="313"/>
      <c r="BP228" s="313"/>
      <c r="BQ228" s="313"/>
      <c r="BR228" s="313"/>
      <c r="BS228" s="313"/>
      <c r="BT228" s="313"/>
      <c r="BU228" s="313"/>
      <c r="BV228" s="313"/>
    </row>
    <row r="229" spans="1:74" s="315" customFormat="1" ht="15" customHeight="1" x14ac:dyDescent="0.25">
      <c r="A229" s="388">
        <f>IF('Account Info'!$T$6=TRUE,IF(NFP,0,1),0)</f>
        <v>1</v>
      </c>
      <c r="B229" s="1108"/>
      <c r="C229" s="1107"/>
      <c r="D229" s="456"/>
      <c r="E229" s="457"/>
      <c r="F229" s="456"/>
      <c r="G229" s="456"/>
      <c r="H229" s="456"/>
      <c r="I229" s="464"/>
      <c r="J229" s="459"/>
      <c r="K229" s="460"/>
      <c r="L229" s="460" t="str">
        <f>IF(AND('Account Info'!$AA$4="Range State",L228&lt;&gt;"",OR(L228&lt;I228,L228&gt;K228)),"Factor is out of range","")</f>
        <v/>
      </c>
      <c r="M229" s="1051"/>
      <c r="N229" s="1052"/>
      <c r="O229" s="1052"/>
      <c r="P229" s="1052"/>
      <c r="Q229" s="1052"/>
      <c r="R229" s="1052"/>
      <c r="S229" s="1052"/>
      <c r="T229" s="1053"/>
      <c r="U229" s="322"/>
      <c r="V229" s="340">
        <v>1</v>
      </c>
      <c r="W229" s="313"/>
      <c r="X229" s="362"/>
      <c r="Y229" s="362"/>
      <c r="Z229" s="362"/>
      <c r="AA229" s="362"/>
      <c r="AB229" s="340"/>
      <c r="AC229" s="340"/>
      <c r="AD229" s="255"/>
      <c r="AE229" s="255"/>
      <c r="AF229" s="255"/>
      <c r="AG229" s="255"/>
      <c r="AH229" s="340"/>
      <c r="AI229" s="340"/>
      <c r="AJ229" s="255"/>
      <c r="AK229" s="362"/>
      <c r="AL229" s="362"/>
      <c r="AM229" s="362"/>
      <c r="AN229" s="392"/>
      <c r="AO229" s="392"/>
      <c r="AP229" s="392"/>
      <c r="AQ229" s="392"/>
      <c r="AR229" s="313"/>
      <c r="AS229" s="313"/>
      <c r="AT229" s="313"/>
      <c r="AU229" s="313"/>
      <c r="AV229" s="313"/>
      <c r="AW229" s="313"/>
      <c r="AX229" s="313"/>
      <c r="AY229" s="313"/>
      <c r="AZ229" s="313"/>
      <c r="BA229" s="313"/>
      <c r="BB229" s="313"/>
      <c r="BC229" s="313"/>
      <c r="BD229" s="313"/>
      <c r="BE229" s="313"/>
      <c r="BF229" s="313"/>
      <c r="BG229" s="313"/>
      <c r="BH229" s="313"/>
      <c r="BI229" s="313"/>
      <c r="BJ229" s="313"/>
      <c r="BK229" s="313"/>
      <c r="BL229" s="313"/>
      <c r="BM229" s="313"/>
      <c r="BN229" s="313"/>
      <c r="BO229" s="313"/>
      <c r="BP229" s="313"/>
      <c r="BQ229" s="313"/>
      <c r="BR229" s="313"/>
      <c r="BS229" s="313"/>
      <c r="BT229" s="313"/>
      <c r="BU229" s="313"/>
      <c r="BV229" s="313"/>
    </row>
    <row r="230" spans="1:74" s="315" customFormat="1" ht="15" customHeight="1" x14ac:dyDescent="0.25">
      <c r="A230" s="388">
        <f>IF('Account Info'!$T$6=TRUE,1,0)</f>
        <v>1</v>
      </c>
      <c r="B230" s="1108"/>
      <c r="C230" s="1107"/>
      <c r="D230" s="348" t="str">
        <f>IF(NFP,"2.5 Funding Status of Defined Benefit Plans","2.6 Funding Status of Defined Benefit Plans")</f>
        <v>2.6 Funding Status of Defined Benefit Plans</v>
      </c>
      <c r="E230" s="439"/>
      <c r="F230" s="349"/>
      <c r="G230" s="349"/>
      <c r="H230" s="349"/>
      <c r="I230" s="361" t="str">
        <f>IF('Account Info'!$AA$4="Range State","Low","")</f>
        <v>Low</v>
      </c>
      <c r="J230" s="361" t="str">
        <f>IF('Account Info'!$AA$4="Range State","Benchmark","Selection")</f>
        <v>Benchmark</v>
      </c>
      <c r="K230" s="361" t="str">
        <f>IF('Account Info'!$AA$4="Range State","High","")</f>
        <v>High</v>
      </c>
      <c r="L230" s="361" t="str">
        <f>IF('Account Info'!$AA$4="Range State","Selection","")</f>
        <v>Selection</v>
      </c>
      <c r="M230" s="440" t="s">
        <v>377</v>
      </c>
      <c r="N230" s="440"/>
      <c r="O230" s="441"/>
      <c r="P230" s="348"/>
      <c r="Q230" s="348"/>
      <c r="R230" s="348"/>
      <c r="S230" s="348"/>
      <c r="T230" s="348"/>
      <c r="U230" s="322"/>
      <c r="V230" s="340">
        <v>1</v>
      </c>
      <c r="W230" s="313"/>
      <c r="X230" s="362"/>
      <c r="Y230" s="362"/>
      <c r="Z230" s="362"/>
      <c r="AA230" s="362"/>
      <c r="AB230" s="340"/>
      <c r="AC230" s="340"/>
      <c r="AD230" s="255"/>
      <c r="AE230" s="255"/>
      <c r="AF230" s="255"/>
      <c r="AG230" s="255"/>
      <c r="AH230" s="340"/>
      <c r="AI230" s="340"/>
      <c r="AJ230" s="255"/>
      <c r="AK230" s="362"/>
      <c r="AL230" s="362"/>
      <c r="AM230" s="362"/>
      <c r="AN230" s="392"/>
      <c r="AO230" s="392"/>
      <c r="AP230" s="392"/>
      <c r="AQ230" s="392"/>
      <c r="AR230" s="313"/>
      <c r="AS230" s="313"/>
      <c r="AT230" s="313"/>
      <c r="AU230" s="313"/>
      <c r="AV230" s="313"/>
      <c r="AW230" s="313"/>
      <c r="AX230" s="313"/>
      <c r="AY230" s="313"/>
      <c r="AZ230" s="313"/>
      <c r="BA230" s="313"/>
      <c r="BB230" s="313"/>
      <c r="BC230" s="313"/>
      <c r="BD230" s="313"/>
      <c r="BE230" s="313"/>
      <c r="BF230" s="313"/>
      <c r="BG230" s="313"/>
      <c r="BH230" s="313"/>
      <c r="BI230" s="313"/>
      <c r="BJ230" s="313"/>
      <c r="BK230" s="313"/>
      <c r="BL230" s="313"/>
      <c r="BM230" s="313"/>
      <c r="BN230" s="313"/>
      <c r="BO230" s="313"/>
      <c r="BP230" s="313"/>
      <c r="BQ230" s="313"/>
      <c r="BR230" s="313"/>
      <c r="BS230" s="313"/>
      <c r="BT230" s="313"/>
      <c r="BU230" s="313"/>
      <c r="BV230" s="313"/>
    </row>
    <row r="231" spans="1:74" s="315" customFormat="1" ht="15" customHeight="1" x14ac:dyDescent="0.25">
      <c r="A231" s="388">
        <f>IF('Account Info'!$T$6=TRUE,1,0)</f>
        <v>1</v>
      </c>
      <c r="B231" s="1108"/>
      <c r="C231" s="1107"/>
      <c r="D231" s="1054" t="s">
        <v>418</v>
      </c>
      <c r="E231" s="1055"/>
      <c r="F231" s="1055"/>
      <c r="G231" s="1055"/>
      <c r="H231" s="1056"/>
      <c r="I231" s="443">
        <f>IF(D231="","",VLOOKUP(D231,AJ184:AM187,2,FALSE))</f>
        <v>1</v>
      </c>
      <c r="J231" s="443">
        <f>IF(D231="","",VLOOKUP(D231,AJ184:AM187,3,FALSE))</f>
        <v>1.1299999999999999</v>
      </c>
      <c r="K231" s="443">
        <f>IF(D231="","",VLOOKUP(D231,AJ184:AM187,4,FALSE))</f>
        <v>1.25</v>
      </c>
      <c r="L231" s="454">
        <f>J231</f>
        <v>1.1299999999999999</v>
      </c>
      <c r="M231" s="1057"/>
      <c r="N231" s="1058"/>
      <c r="O231" s="1058"/>
      <c r="P231" s="1058"/>
      <c r="Q231" s="1058"/>
      <c r="R231" s="1058"/>
      <c r="S231" s="1058"/>
      <c r="T231" s="1059"/>
      <c r="U231" s="322"/>
      <c r="V231" s="340">
        <f>IF('Account Info'!$AA$4="Flat Rate State",IF(J231="",1,J231),IF(L231="",1,L231))</f>
        <v>1.1299999999999999</v>
      </c>
      <c r="W231" s="313"/>
      <c r="X231" s="362"/>
      <c r="Y231" s="362"/>
      <c r="Z231" s="362"/>
      <c r="AA231" s="362"/>
      <c r="AB231" s="340"/>
      <c r="AC231" s="340"/>
      <c r="AD231" s="255"/>
      <c r="AE231" s="255"/>
      <c r="AF231" s="255"/>
      <c r="AG231" s="255"/>
      <c r="AH231" s="340"/>
      <c r="AI231" s="340"/>
      <c r="AJ231" s="255"/>
      <c r="AK231" s="362"/>
      <c r="AL231" s="362"/>
      <c r="AM231" s="362"/>
      <c r="AN231" s="392"/>
      <c r="AO231" s="392"/>
      <c r="AP231" s="392"/>
      <c r="AQ231" s="392"/>
      <c r="AR231" s="313"/>
      <c r="AS231" s="313"/>
      <c r="AT231" s="313"/>
      <c r="AU231" s="313"/>
      <c r="AV231" s="313"/>
      <c r="AW231" s="313"/>
      <c r="AX231" s="313"/>
      <c r="AY231" s="313"/>
      <c r="AZ231" s="313"/>
      <c r="BA231" s="313"/>
      <c r="BB231" s="313"/>
      <c r="BC231" s="313"/>
      <c r="BD231" s="313"/>
      <c r="BE231" s="313"/>
      <c r="BF231" s="313"/>
      <c r="BG231" s="313"/>
      <c r="BH231" s="313"/>
      <c r="BI231" s="313"/>
      <c r="BJ231" s="313"/>
      <c r="BK231" s="313"/>
      <c r="BL231" s="313"/>
      <c r="BM231" s="313"/>
      <c r="BN231" s="313"/>
      <c r="BO231" s="313"/>
      <c r="BP231" s="313"/>
      <c r="BQ231" s="313"/>
      <c r="BR231" s="313"/>
      <c r="BS231" s="313"/>
      <c r="BT231" s="313"/>
      <c r="BU231" s="313"/>
      <c r="BV231" s="313"/>
    </row>
    <row r="232" spans="1:74" s="315" customFormat="1" ht="15" customHeight="1" x14ac:dyDescent="0.25">
      <c r="A232" s="388">
        <f>IF('Account Info'!$T$6=TRUE,1,0)</f>
        <v>1</v>
      </c>
      <c r="B232" s="1108"/>
      <c r="C232" s="1107"/>
      <c r="D232" s="456"/>
      <c r="E232" s="457"/>
      <c r="F232" s="456"/>
      <c r="G232" s="456"/>
      <c r="H232" s="456"/>
      <c r="I232" s="464"/>
      <c r="J232" s="459"/>
      <c r="K232" s="460"/>
      <c r="L232" s="460" t="str">
        <f>IF(AND('Account Info'!$AA$4="Range State",L231&lt;&gt;"",OR(L231&lt;I231,L231&gt;K231)),"Factor is out of range","")</f>
        <v/>
      </c>
      <c r="M232" s="1051"/>
      <c r="N232" s="1052"/>
      <c r="O232" s="1052"/>
      <c r="P232" s="1052"/>
      <c r="Q232" s="1052"/>
      <c r="R232" s="1052"/>
      <c r="S232" s="1052"/>
      <c r="T232" s="1053"/>
      <c r="U232" s="322"/>
      <c r="V232" s="340">
        <v>1</v>
      </c>
      <c r="W232" s="313"/>
      <c r="X232" s="362"/>
      <c r="Y232" s="362"/>
      <c r="Z232" s="362"/>
      <c r="AA232" s="362"/>
      <c r="AB232" s="340"/>
      <c r="AC232" s="340"/>
      <c r="AD232" s="255"/>
      <c r="AE232" s="255"/>
      <c r="AF232" s="255"/>
      <c r="AG232" s="255"/>
      <c r="AH232" s="340"/>
      <c r="AI232" s="340"/>
      <c r="AJ232" s="255"/>
      <c r="AK232" s="362"/>
      <c r="AL232" s="362"/>
      <c r="AM232" s="362"/>
      <c r="AN232" s="392"/>
      <c r="AO232" s="392"/>
      <c r="AP232" s="392"/>
      <c r="AQ232" s="392"/>
      <c r="AR232" s="313"/>
      <c r="AS232" s="313"/>
      <c r="AT232" s="313"/>
      <c r="AU232" s="313"/>
      <c r="AV232" s="313"/>
      <c r="AW232" s="313"/>
      <c r="AX232" s="313"/>
      <c r="AY232" s="313"/>
      <c r="AZ232" s="313"/>
      <c r="BA232" s="313"/>
      <c r="BB232" s="313"/>
      <c r="BC232" s="313"/>
      <c r="BD232" s="313"/>
      <c r="BE232" s="313"/>
      <c r="BF232" s="313"/>
      <c r="BG232" s="313"/>
      <c r="BH232" s="313"/>
      <c r="BI232" s="313"/>
      <c r="BJ232" s="313"/>
      <c r="BK232" s="313"/>
      <c r="BL232" s="313"/>
      <c r="BM232" s="313"/>
      <c r="BN232" s="313"/>
      <c r="BO232" s="313"/>
      <c r="BP232" s="313"/>
      <c r="BQ232" s="313"/>
      <c r="BR232" s="313"/>
      <c r="BS232" s="313"/>
      <c r="BT232" s="313"/>
      <c r="BU232" s="313"/>
      <c r="BV232" s="313"/>
    </row>
    <row r="233" spans="1:74" s="315" customFormat="1" ht="15" customHeight="1" x14ac:dyDescent="0.25">
      <c r="A233" s="388">
        <f>IF('Account Info'!$T$6=TRUE,1,0)</f>
        <v>1</v>
      </c>
      <c r="B233" s="1108"/>
      <c r="C233" s="1107"/>
      <c r="D233" s="348" t="str">
        <f>IF(NFP,"2.6 Plan Participants","2.7 Plan Participants")</f>
        <v>2.7 Plan Participants</v>
      </c>
      <c r="E233" s="439"/>
      <c r="F233" s="349"/>
      <c r="G233" s="349"/>
      <c r="H233" s="349"/>
      <c r="I233" s="361" t="str">
        <f>IF('Account Info'!$AA$4="Range State","Low","")</f>
        <v>Low</v>
      </c>
      <c r="J233" s="361" t="str">
        <f>IF('Account Info'!$AA$4="Range State","Benchmark","Selection")</f>
        <v>Benchmark</v>
      </c>
      <c r="K233" s="361" t="str">
        <f>IF('Account Info'!$AA$4="Range State","High","")</f>
        <v>High</v>
      </c>
      <c r="L233" s="361" t="str">
        <f>IF('Account Info'!$AA$4="Range State","Selection","")</f>
        <v>Selection</v>
      </c>
      <c r="M233" s="440" t="s">
        <v>377</v>
      </c>
      <c r="N233" s="440"/>
      <c r="O233" s="441"/>
      <c r="P233" s="348"/>
      <c r="Q233" s="348"/>
      <c r="R233" s="348"/>
      <c r="S233" s="348"/>
      <c r="T233" s="348"/>
      <c r="U233" s="322"/>
      <c r="V233" s="340">
        <v>1</v>
      </c>
      <c r="W233" s="313"/>
      <c r="X233" s="362"/>
      <c r="Y233" s="362"/>
      <c r="Z233" s="362"/>
      <c r="AA233" s="362"/>
      <c r="AB233" s="314"/>
      <c r="AC233" s="314"/>
      <c r="AD233" s="255"/>
      <c r="AE233" s="255"/>
      <c r="AF233" s="255"/>
      <c r="AG233" s="255"/>
      <c r="AH233" s="314"/>
      <c r="AI233" s="314"/>
      <c r="AJ233" s="255"/>
      <c r="AK233" s="362"/>
      <c r="AL233" s="362"/>
      <c r="AM233" s="362"/>
      <c r="AN233" s="392"/>
      <c r="AO233" s="392"/>
      <c r="AP233" s="392"/>
      <c r="AQ233" s="392"/>
      <c r="AR233" s="313"/>
      <c r="AS233" s="313"/>
      <c r="AT233" s="313"/>
      <c r="AU233" s="313"/>
      <c r="AV233" s="313"/>
      <c r="AW233" s="313"/>
      <c r="AX233" s="313"/>
      <c r="AY233" s="313"/>
      <c r="AZ233" s="313"/>
      <c r="BA233" s="313"/>
      <c r="BB233" s="313"/>
      <c r="BC233" s="313"/>
      <c r="BD233" s="313"/>
      <c r="BE233" s="313"/>
      <c r="BF233" s="313"/>
      <c r="BG233" s="313"/>
      <c r="BH233" s="313"/>
      <c r="BI233" s="313"/>
      <c r="BJ233" s="313"/>
      <c r="BK233" s="313"/>
      <c r="BL233" s="313"/>
      <c r="BM233" s="313"/>
      <c r="BN233" s="313"/>
      <c r="BO233" s="313"/>
      <c r="BP233" s="313"/>
      <c r="BQ233" s="313"/>
      <c r="BR233" s="313"/>
      <c r="BS233" s="313"/>
      <c r="BT233" s="313"/>
      <c r="BU233" s="313"/>
      <c r="BV233" s="313"/>
    </row>
    <row r="234" spans="1:74" s="315" customFormat="1" ht="15" customHeight="1" x14ac:dyDescent="0.25">
      <c r="A234" s="388">
        <f>IF('Account Info'!$T$6=TRUE,1,0)</f>
        <v>1</v>
      </c>
      <c r="B234" s="1108"/>
      <c r="C234" s="1107"/>
      <c r="D234" s="1054" t="s">
        <v>487</v>
      </c>
      <c r="E234" s="1055"/>
      <c r="F234" s="1055"/>
      <c r="G234" s="1055"/>
      <c r="H234" s="1056"/>
      <c r="I234" s="443">
        <f>IF(D234="","",VLOOKUP(D234,AJ190:AM192,2,FALSE))</f>
        <v>0.98</v>
      </c>
      <c r="J234" s="443">
        <f>IF(D234="","",VLOOKUP(D234,AJ190:AM192,3,FALSE))</f>
        <v>1.06</v>
      </c>
      <c r="K234" s="443">
        <f>IF(D234="","",VLOOKUP(D234,AJ190:AM192,4,FALSE))</f>
        <v>1.1299999999999999</v>
      </c>
      <c r="L234" s="454">
        <f>J234</f>
        <v>1.06</v>
      </c>
      <c r="M234" s="1057"/>
      <c r="N234" s="1058"/>
      <c r="O234" s="1058"/>
      <c r="P234" s="1058"/>
      <c r="Q234" s="1058"/>
      <c r="R234" s="1058"/>
      <c r="S234" s="1058"/>
      <c r="T234" s="1059"/>
      <c r="U234" s="322"/>
      <c r="V234" s="340">
        <f>IF('Account Info'!$AA$4="Flat Rate State",IF(J234="",1,J234),IF(L234="",1,L234))</f>
        <v>1.06</v>
      </c>
      <c r="W234" s="313"/>
      <c r="X234" s="362"/>
      <c r="Y234" s="362"/>
      <c r="Z234" s="362"/>
      <c r="AA234" s="255"/>
      <c r="AB234" s="340"/>
      <c r="AC234" s="340"/>
      <c r="AD234" s="255"/>
      <c r="AE234" s="255"/>
      <c r="AF234" s="255"/>
      <c r="AG234" s="255"/>
      <c r="AH234" s="340"/>
      <c r="AI234" s="340"/>
      <c r="AJ234" s="255"/>
      <c r="AK234" s="362"/>
      <c r="AL234" s="362"/>
      <c r="AM234" s="362"/>
      <c r="AN234" s="392"/>
      <c r="AO234" s="392"/>
      <c r="AP234" s="392"/>
      <c r="AQ234" s="392"/>
      <c r="AR234" s="313"/>
      <c r="AS234" s="313"/>
      <c r="AT234" s="313"/>
      <c r="AU234" s="313"/>
      <c r="AV234" s="313"/>
      <c r="AW234" s="313"/>
      <c r="AX234" s="313"/>
      <c r="AY234" s="313"/>
      <c r="AZ234" s="313"/>
      <c r="BA234" s="313"/>
      <c r="BB234" s="313"/>
      <c r="BC234" s="313"/>
      <c r="BD234" s="313"/>
      <c r="BE234" s="313"/>
      <c r="BF234" s="313"/>
      <c r="BG234" s="313"/>
      <c r="BH234" s="313"/>
      <c r="BI234" s="313"/>
      <c r="BJ234" s="313"/>
      <c r="BK234" s="313"/>
      <c r="BL234" s="313"/>
      <c r="BM234" s="313"/>
      <c r="BN234" s="313"/>
      <c r="BO234" s="313"/>
      <c r="BP234" s="313"/>
      <c r="BQ234" s="313"/>
      <c r="BR234" s="313"/>
      <c r="BS234" s="313"/>
      <c r="BT234" s="313"/>
      <c r="BU234" s="313"/>
      <c r="BV234" s="313"/>
    </row>
    <row r="235" spans="1:74" ht="15" customHeight="1" x14ac:dyDescent="0.25">
      <c r="A235" s="388">
        <f>IF('Account Info'!$T$6=TRUE,1,0)</f>
        <v>1</v>
      </c>
      <c r="B235" s="1108"/>
      <c r="C235" s="1107"/>
      <c r="D235" s="456"/>
      <c r="E235" s="457"/>
      <c r="F235" s="456"/>
      <c r="G235" s="456"/>
      <c r="H235" s="456"/>
      <c r="I235" s="464"/>
      <c r="J235" s="464"/>
      <c r="K235" s="460"/>
      <c r="L235" s="460" t="str">
        <f>IF(AND('Account Info'!$AA$4="Range State",L234&lt;&gt;"",OR(L234&lt;I234,L234&gt;K234)),"Factor is out of range","")</f>
        <v/>
      </c>
      <c r="M235" s="1051"/>
      <c r="N235" s="1052"/>
      <c r="O235" s="1052"/>
      <c r="P235" s="1052"/>
      <c r="Q235" s="1052"/>
      <c r="R235" s="1052"/>
      <c r="S235" s="1052"/>
      <c r="T235" s="1053"/>
      <c r="U235" s="322"/>
      <c r="V235" s="340">
        <v>1</v>
      </c>
      <c r="X235" s="362"/>
      <c r="Y235" s="362"/>
      <c r="Z235" s="362"/>
      <c r="AA235" s="255"/>
      <c r="AB235" s="340"/>
      <c r="AC235" s="340"/>
      <c r="AD235" s="255"/>
      <c r="AE235" s="255"/>
      <c r="AF235" s="255"/>
      <c r="AG235" s="255"/>
      <c r="AH235" s="340"/>
      <c r="AI235" s="340"/>
      <c r="AJ235" s="255"/>
      <c r="AK235" s="362"/>
      <c r="AL235" s="362"/>
      <c r="AM235" s="362"/>
      <c r="AN235" s="392"/>
      <c r="AO235" s="392"/>
      <c r="AP235" s="392"/>
      <c r="AQ235" s="392"/>
    </row>
    <row r="236" spans="1:74" ht="15" customHeight="1" x14ac:dyDescent="0.25">
      <c r="A236" s="388">
        <f>IF('Account Info'!$T$6=TRUE,1,0)</f>
        <v>1</v>
      </c>
      <c r="B236" s="1108"/>
      <c r="C236" s="1107"/>
      <c r="D236" s="440" t="str">
        <f>IF(NFP,"2.7 Litigation History","2.8 Litigation History")</f>
        <v>2.8 Litigation History</v>
      </c>
      <c r="E236" s="439"/>
      <c r="F236" s="349"/>
      <c r="G236" s="349"/>
      <c r="H236" s="349"/>
      <c r="I236" s="361" t="str">
        <f>IF('Account Info'!$AA$4="Range State","Low","")</f>
        <v>Low</v>
      </c>
      <c r="J236" s="361" t="str">
        <f>IF('Account Info'!$AA$4="Range State","Benchmark","Selection")</f>
        <v>Benchmark</v>
      </c>
      <c r="K236" s="361" t="str">
        <f>IF('Account Info'!$AA$4="Range State","High","")</f>
        <v>High</v>
      </c>
      <c r="L236" s="361" t="str">
        <f>IF('Account Info'!$AA$4="Range State","Selection","")</f>
        <v>Selection</v>
      </c>
      <c r="M236" s="440" t="s">
        <v>377</v>
      </c>
      <c r="N236" s="440"/>
      <c r="O236" s="441"/>
      <c r="P236" s="348"/>
      <c r="Q236" s="348"/>
      <c r="R236" s="348"/>
      <c r="S236" s="348"/>
      <c r="T236" s="348"/>
      <c r="U236" s="322"/>
      <c r="V236" s="340">
        <v>1</v>
      </c>
      <c r="X236" s="362"/>
      <c r="Y236" s="362"/>
      <c r="Z236" s="362"/>
      <c r="AA236" s="255"/>
      <c r="AB236" s="340"/>
      <c r="AC236" s="340"/>
      <c r="AD236" s="255"/>
      <c r="AE236" s="255"/>
      <c r="AF236" s="255"/>
      <c r="AG236" s="255"/>
      <c r="AH236" s="340"/>
      <c r="AI236" s="340"/>
      <c r="AJ236" s="255"/>
      <c r="AK236" s="362"/>
      <c r="AL236" s="362"/>
      <c r="AM236" s="362"/>
      <c r="AN236" s="392"/>
      <c r="AO236" s="392"/>
      <c r="AP236" s="392"/>
      <c r="AQ236" s="392"/>
    </row>
    <row r="237" spans="1:74" ht="15" customHeight="1" x14ac:dyDescent="0.25">
      <c r="A237" s="388">
        <f>IF('Account Info'!$T$6=TRUE,1,0)</f>
        <v>1</v>
      </c>
      <c r="B237" s="1108"/>
      <c r="C237" s="1107"/>
      <c r="D237" s="1054" t="s">
        <v>418</v>
      </c>
      <c r="E237" s="1055"/>
      <c r="F237" s="1055"/>
      <c r="G237" s="1055"/>
      <c r="H237" s="1056"/>
      <c r="I237" s="443">
        <f>IF(D237="","",VLOOKUP(D237,AJ195:AM198,2,FALSE))</f>
        <v>1</v>
      </c>
      <c r="J237" s="443">
        <f>IF(D237="","",VLOOKUP(D237,AJ195:AM198,3,FALSE))</f>
        <v>1.1299999999999999</v>
      </c>
      <c r="K237" s="443">
        <f>IF(D237="","",VLOOKUP(D237,AJ195:AM198,4,FALSE))</f>
        <v>1.25</v>
      </c>
      <c r="L237" s="454">
        <f>J237</f>
        <v>1.1299999999999999</v>
      </c>
      <c r="M237" s="1057"/>
      <c r="N237" s="1058"/>
      <c r="O237" s="1058"/>
      <c r="P237" s="1058"/>
      <c r="Q237" s="1058"/>
      <c r="R237" s="1058"/>
      <c r="S237" s="1058"/>
      <c r="T237" s="1059"/>
      <c r="U237" s="322"/>
      <c r="V237" s="340">
        <f>IF('Account Info'!$AA$4="Flat Rate State",IF(J237="",1,J237),IF(L237="",1,L237))</f>
        <v>1.1299999999999999</v>
      </c>
      <c r="X237" s="362"/>
      <c r="Y237" s="362"/>
      <c r="Z237" s="362"/>
      <c r="AA237" s="255"/>
      <c r="AB237" s="340"/>
      <c r="AC237" s="340"/>
      <c r="AD237" s="255"/>
      <c r="AE237" s="255"/>
      <c r="AF237" s="255"/>
      <c r="AG237" s="255"/>
      <c r="AH237" s="340"/>
      <c r="AI237" s="340"/>
      <c r="AJ237" s="255"/>
      <c r="AK237" s="362"/>
      <c r="AL237" s="362"/>
      <c r="AM237" s="362"/>
      <c r="AN237" s="392"/>
      <c r="AO237" s="392"/>
      <c r="AP237" s="392"/>
      <c r="AQ237" s="392"/>
    </row>
    <row r="238" spans="1:74" ht="15" customHeight="1" x14ac:dyDescent="0.25">
      <c r="A238" s="388">
        <f>IF('Account Info'!$T$6=TRUE,1,0)</f>
        <v>1</v>
      </c>
      <c r="B238" s="1108"/>
      <c r="C238" s="1107"/>
      <c r="D238" s="456"/>
      <c r="E238" s="457"/>
      <c r="F238" s="456"/>
      <c r="G238" s="456"/>
      <c r="H238" s="456"/>
      <c r="I238" s="464"/>
      <c r="J238" s="464"/>
      <c r="K238" s="460"/>
      <c r="L238" s="460" t="str">
        <f>IF(AND('Account Info'!$AA$4="Range State",L237&lt;&gt;"",OR(L237&lt;I237,L237&gt;K237)),"Factor is out of range","")</f>
        <v/>
      </c>
      <c r="M238" s="1051"/>
      <c r="N238" s="1052"/>
      <c r="O238" s="1052"/>
      <c r="P238" s="1052"/>
      <c r="Q238" s="1052"/>
      <c r="R238" s="1052"/>
      <c r="S238" s="1052"/>
      <c r="T238" s="1053"/>
      <c r="U238" s="322"/>
      <c r="V238" s="340">
        <v>1</v>
      </c>
      <c r="X238" s="362"/>
      <c r="Y238" s="362"/>
      <c r="Z238" s="362"/>
      <c r="AA238" s="255"/>
      <c r="AB238" s="340"/>
      <c r="AC238" s="340"/>
      <c r="AD238" s="255"/>
      <c r="AE238" s="255"/>
      <c r="AF238" s="255"/>
      <c r="AG238" s="255"/>
      <c r="AH238" s="340"/>
      <c r="AI238" s="340"/>
      <c r="AJ238" s="255"/>
      <c r="AK238" s="362"/>
      <c r="AL238" s="362"/>
      <c r="AM238" s="362"/>
      <c r="AN238" s="392"/>
      <c r="AO238" s="392"/>
      <c r="AP238" s="392"/>
      <c r="AQ238" s="392"/>
    </row>
    <row r="239" spans="1:74" ht="15" customHeight="1" x14ac:dyDescent="0.25">
      <c r="A239" s="388">
        <f>IF('Account Info'!$T$6=TRUE,1,0)</f>
        <v>1</v>
      </c>
      <c r="B239" s="1108"/>
      <c r="C239" s="1107"/>
      <c r="D239" s="440" t="str">
        <f>IF(NFP,"2.8 Significant Transaction or Event","2.9 Significant Transaction or Event")</f>
        <v>2.9 Significant Transaction or Event</v>
      </c>
      <c r="E239" s="439"/>
      <c r="F239" s="349"/>
      <c r="G239" s="349"/>
      <c r="H239" s="349"/>
      <c r="I239" s="361" t="str">
        <f>IF('Account Info'!$AA$4="Range State","Low","")</f>
        <v>Low</v>
      </c>
      <c r="J239" s="361" t="str">
        <f>IF('Account Info'!$AA$4="Range State","Benchmark","Selection")</f>
        <v>Benchmark</v>
      </c>
      <c r="K239" s="361" t="str">
        <f>IF('Account Info'!$AA$4="Range State","High","")</f>
        <v>High</v>
      </c>
      <c r="L239" s="361" t="str">
        <f>IF('Account Info'!$AA$4="Range State","Selection","")</f>
        <v>Selection</v>
      </c>
      <c r="M239" s="440" t="s">
        <v>377</v>
      </c>
      <c r="N239" s="440"/>
      <c r="O239" s="441"/>
      <c r="P239" s="348"/>
      <c r="Q239" s="348"/>
      <c r="R239" s="348"/>
      <c r="S239" s="348"/>
      <c r="T239" s="348"/>
      <c r="U239" s="322"/>
      <c r="V239" s="340">
        <v>1</v>
      </c>
      <c r="X239" s="362"/>
      <c r="Y239" s="362"/>
      <c r="Z239" s="362"/>
      <c r="AA239" s="362"/>
      <c r="AB239" s="340"/>
      <c r="AC239" s="340"/>
      <c r="AD239" s="509"/>
      <c r="AE239" s="392"/>
      <c r="AF239" s="392"/>
      <c r="AG239" s="509"/>
      <c r="AH239" s="340"/>
      <c r="AI239" s="340"/>
      <c r="AJ239" s="255"/>
      <c r="AK239" s="362"/>
      <c r="AL239" s="362"/>
      <c r="AM239" s="362"/>
      <c r="AN239" s="392"/>
      <c r="AO239" s="392"/>
      <c r="AP239" s="392"/>
      <c r="AQ239" s="392"/>
    </row>
    <row r="240" spans="1:74" ht="15" customHeight="1" x14ac:dyDescent="0.25">
      <c r="A240" s="388">
        <f>IF('Account Info'!$T$6=TRUE,1,0)</f>
        <v>1</v>
      </c>
      <c r="B240" s="1108"/>
      <c r="C240" s="1107"/>
      <c r="D240" s="1054" t="s">
        <v>418</v>
      </c>
      <c r="E240" s="1055"/>
      <c r="F240" s="1055"/>
      <c r="G240" s="1055"/>
      <c r="H240" s="1056"/>
      <c r="I240" s="443">
        <f>IF(D240="","",VLOOKUP(D240,AJ200:AM203,2,FALSE))</f>
        <v>1</v>
      </c>
      <c r="J240" s="443">
        <f>IF(D240="","",VLOOKUP(D240,AJ200:AM203,3,FALSE))</f>
        <v>1.1299999999999999</v>
      </c>
      <c r="K240" s="443">
        <f>IF(D240="","",VLOOKUP(D240,AJ200:AM203,4,FALSE))</f>
        <v>1.25</v>
      </c>
      <c r="L240" s="454">
        <f>J240</f>
        <v>1.1299999999999999</v>
      </c>
      <c r="M240" s="1057"/>
      <c r="N240" s="1058"/>
      <c r="O240" s="1058"/>
      <c r="P240" s="1058"/>
      <c r="Q240" s="1058"/>
      <c r="R240" s="1058"/>
      <c r="S240" s="1058"/>
      <c r="T240" s="1059"/>
      <c r="U240" s="322"/>
      <c r="V240" s="340">
        <f>IF('Account Info'!$AA$4="Flat Rate State",IF(J240="",1,J240),IF(L240="",1,L240))</f>
        <v>1.1299999999999999</v>
      </c>
      <c r="X240" s="362"/>
      <c r="Y240" s="362"/>
      <c r="Z240" s="362"/>
      <c r="AA240" s="362"/>
      <c r="AN240" s="392"/>
      <c r="AO240" s="392"/>
      <c r="AP240" s="392"/>
      <c r="AQ240" s="392"/>
    </row>
    <row r="241" spans="1:43" ht="15" customHeight="1" x14ac:dyDescent="0.25">
      <c r="A241" s="388">
        <f>IF('Account Info'!$T$6=TRUE,1,0)</f>
        <v>1</v>
      </c>
      <c r="B241" s="1108"/>
      <c r="C241" s="1107"/>
      <c r="D241" s="456"/>
      <c r="E241" s="457"/>
      <c r="F241" s="456"/>
      <c r="G241" s="456"/>
      <c r="H241" s="456"/>
      <c r="I241" s="321"/>
      <c r="J241" s="321"/>
      <c r="K241" s="460"/>
      <c r="L241" s="460" t="str">
        <f>IF(AND('Account Info'!$AA$4="Range State",L240&lt;&gt;"",OR(L240&lt;I240,L240&gt;K240)),"Factor is out of range","")</f>
        <v/>
      </c>
      <c r="M241" s="1051"/>
      <c r="N241" s="1052"/>
      <c r="O241" s="1052"/>
      <c r="P241" s="1052"/>
      <c r="Q241" s="1052"/>
      <c r="R241" s="1052"/>
      <c r="S241" s="1052"/>
      <c r="T241" s="1053"/>
      <c r="U241" s="322"/>
      <c r="V241" s="340">
        <v>1</v>
      </c>
      <c r="X241" s="362"/>
      <c r="Y241" s="362"/>
      <c r="Z241" s="362"/>
      <c r="AA241" s="362"/>
      <c r="AB241" s="340"/>
      <c r="AC241" s="340"/>
      <c r="AN241" s="392"/>
      <c r="AO241" s="392"/>
      <c r="AP241" s="392"/>
      <c r="AQ241" s="392"/>
    </row>
    <row r="242" spans="1:43" ht="15" customHeight="1" x14ac:dyDescent="0.25">
      <c r="A242" s="388">
        <f>IF('Account Info'!$T$6=TRUE,1,0)</f>
        <v>1</v>
      </c>
      <c r="B242" s="1108"/>
      <c r="C242" s="1107"/>
      <c r="D242" s="348" t="str">
        <f>IF(NFP,"2.9 Quality and Diversity of Plan Investments","2.10 Quality and Diversity of Plan Investments")</f>
        <v>2.10 Quality and Diversity of Plan Investments</v>
      </c>
      <c r="E242" s="439"/>
      <c r="F242" s="349"/>
      <c r="G242" s="349"/>
      <c r="H242" s="349"/>
      <c r="I242" s="361" t="str">
        <f>IF('Account Info'!$AA$4="Range State","Low","")</f>
        <v>Low</v>
      </c>
      <c r="J242" s="361" t="str">
        <f>IF('Account Info'!$AA$4="Range State","Benchmark","Selection")</f>
        <v>Benchmark</v>
      </c>
      <c r="K242" s="361" t="str">
        <f>IF('Account Info'!$AA$4="Range State","High","")</f>
        <v>High</v>
      </c>
      <c r="L242" s="361" t="str">
        <f>IF('Account Info'!$AA$4="Range State","Selection","")</f>
        <v>Selection</v>
      </c>
      <c r="M242" s="440" t="s">
        <v>377</v>
      </c>
      <c r="N242" s="440"/>
      <c r="O242" s="441"/>
      <c r="P242" s="348"/>
      <c r="Q242" s="348"/>
      <c r="R242" s="348"/>
      <c r="S242" s="348"/>
      <c r="T242" s="348"/>
      <c r="U242" s="322"/>
      <c r="V242" s="340">
        <v>1</v>
      </c>
      <c r="X242" s="362"/>
      <c r="Y242" s="362"/>
      <c r="Z242" s="362"/>
      <c r="AA242" s="362"/>
      <c r="AB242" s="340"/>
      <c r="AC242" s="340"/>
      <c r="AN242" s="392"/>
      <c r="AO242" s="392"/>
      <c r="AP242" s="392"/>
      <c r="AQ242" s="392"/>
    </row>
    <row r="243" spans="1:43" ht="15" customHeight="1" x14ac:dyDescent="0.25">
      <c r="A243" s="388">
        <f>IF('Account Info'!$T$6=TRUE,1,0)</f>
        <v>1</v>
      </c>
      <c r="B243" s="1108"/>
      <c r="C243" s="1107"/>
      <c r="D243" s="1054" t="s">
        <v>418</v>
      </c>
      <c r="E243" s="1055"/>
      <c r="F243" s="1055"/>
      <c r="G243" s="1055"/>
      <c r="H243" s="1056"/>
      <c r="I243" s="443">
        <f>IF(D243="","",VLOOKUP(D243,AJ215:AM218,2,FALSE))</f>
        <v>1</v>
      </c>
      <c r="J243" s="443">
        <f>IF(D243="","",VLOOKUP(D243,AJ215:AM218,3,FALSE))</f>
        <v>1.1299999999999999</v>
      </c>
      <c r="K243" s="443">
        <f>IF(D243="","",VLOOKUP(D243,AJ215:AM218,4,FALSE))</f>
        <v>1.25</v>
      </c>
      <c r="L243" s="454">
        <f>J243</f>
        <v>1.1299999999999999</v>
      </c>
      <c r="M243" s="1057"/>
      <c r="N243" s="1058"/>
      <c r="O243" s="1058"/>
      <c r="P243" s="1058"/>
      <c r="Q243" s="1058"/>
      <c r="R243" s="1058"/>
      <c r="S243" s="1058"/>
      <c r="T243" s="1059"/>
      <c r="U243" s="322"/>
      <c r="V243" s="340">
        <f>IF('Account Info'!$AA$4="Flat Rate State",IF(J243="",1,J243),IF(L243="",1,L243))</f>
        <v>1.1299999999999999</v>
      </c>
      <c r="X243" s="362"/>
      <c r="Y243" s="362"/>
      <c r="Z243" s="362"/>
      <c r="AA243" s="362"/>
      <c r="AB243" s="340"/>
      <c r="AC243" s="340"/>
      <c r="AN243" s="392"/>
      <c r="AO243" s="392"/>
      <c r="AP243" s="392"/>
      <c r="AQ243" s="392"/>
    </row>
    <row r="244" spans="1:43" ht="15" customHeight="1" x14ac:dyDescent="0.25">
      <c r="A244" s="388">
        <f>IF('Account Info'!$T$6=TRUE,1,0)</f>
        <v>1</v>
      </c>
      <c r="B244" s="1108"/>
      <c r="C244" s="1107"/>
      <c r="D244" s="456"/>
      <c r="E244" s="457"/>
      <c r="F244" s="456"/>
      <c r="G244" s="456"/>
      <c r="H244" s="456"/>
      <c r="I244" s="321"/>
      <c r="J244" s="321"/>
      <c r="K244" s="460"/>
      <c r="L244" s="460" t="str">
        <f>IF(AND('Account Info'!$AA$4="Range State",L243&lt;&gt;"",OR(L243&lt;I243,L243&gt;K243)),"Factor is out of range","")</f>
        <v/>
      </c>
      <c r="M244" s="1051"/>
      <c r="N244" s="1052"/>
      <c r="O244" s="1052"/>
      <c r="P244" s="1052"/>
      <c r="Q244" s="1052"/>
      <c r="R244" s="1052"/>
      <c r="S244" s="1052"/>
      <c r="T244" s="1053"/>
      <c r="U244" s="322"/>
      <c r="V244" s="340">
        <v>1</v>
      </c>
      <c r="X244" s="362"/>
      <c r="Y244" s="362"/>
      <c r="Z244" s="362"/>
      <c r="AA244" s="362"/>
      <c r="AB244" s="340"/>
      <c r="AC244" s="340"/>
      <c r="AN244" s="392"/>
      <c r="AO244" s="392"/>
      <c r="AP244" s="392"/>
      <c r="AQ244" s="392"/>
    </row>
    <row r="245" spans="1:43" ht="15" customHeight="1" x14ac:dyDescent="0.25">
      <c r="A245" s="388">
        <f>IF('Account Info'!$T$6=TRUE,1,0)</f>
        <v>1</v>
      </c>
      <c r="B245" s="1108"/>
      <c r="C245" s="1107"/>
      <c r="D245" s="456"/>
      <c r="E245" s="457"/>
      <c r="F245" s="456"/>
      <c r="G245" s="456"/>
      <c r="J245" s="321"/>
      <c r="K245" s="321"/>
      <c r="L245" s="321"/>
      <c r="M245" s="321"/>
      <c r="N245" s="321"/>
      <c r="O245" s="321"/>
      <c r="P245" s="321"/>
      <c r="Q245" s="321"/>
      <c r="R245" s="321"/>
      <c r="S245" s="321"/>
      <c r="T245" s="321"/>
      <c r="U245" s="322"/>
      <c r="V245" s="340"/>
      <c r="W245" s="458" t="s">
        <v>511</v>
      </c>
      <c r="X245" s="939">
        <f ca="1">IF(P28="","",P28*PRODUCT(V214:V244))</f>
        <v>1099.1205299143637</v>
      </c>
      <c r="AN245" s="392"/>
      <c r="AO245" s="392"/>
      <c r="AP245" s="392"/>
      <c r="AQ245" s="392"/>
    </row>
    <row r="246" spans="1:43" ht="15" customHeight="1" thickBot="1" x14ac:dyDescent="0.3">
      <c r="A246" s="388">
        <f>IF('Account Info'!$T$6=TRUE,1,0)</f>
        <v>1</v>
      </c>
      <c r="B246" s="1109"/>
      <c r="C246" s="1110"/>
      <c r="D246" s="325"/>
      <c r="E246" s="326"/>
      <c r="F246" s="325"/>
      <c r="G246" s="325"/>
      <c r="H246" s="325"/>
      <c r="I246" s="325"/>
      <c r="J246" s="325"/>
      <c r="K246" s="325"/>
      <c r="L246" s="325"/>
      <c r="M246" s="325"/>
      <c r="N246" s="325"/>
      <c r="O246" s="325"/>
      <c r="P246" s="325"/>
      <c r="Q246" s="325"/>
      <c r="R246" s="325"/>
      <c r="S246" s="325"/>
      <c r="T246" s="325"/>
      <c r="U246" s="327"/>
      <c r="V246" s="340"/>
      <c r="AN246" s="392"/>
      <c r="AO246" s="392"/>
      <c r="AP246" s="392"/>
      <c r="AQ246" s="392"/>
    </row>
    <row r="247" spans="1:43" ht="15" customHeight="1" thickBot="1" x14ac:dyDescent="0.35">
      <c r="A247" s="388">
        <f>IF('Account Info'!$T$6=TRUE,1,0)</f>
        <v>1</v>
      </c>
      <c r="B247" s="470" t="s">
        <v>512</v>
      </c>
      <c r="C247" s="309"/>
      <c r="D247" s="310"/>
      <c r="E247" s="310"/>
      <c r="F247" s="310"/>
      <c r="G247" s="310"/>
      <c r="H247" s="310"/>
      <c r="I247" s="501"/>
      <c r="J247" s="501"/>
      <c r="K247" s="501"/>
      <c r="L247" s="501"/>
      <c r="M247" s="310"/>
      <c r="N247" s="310"/>
      <c r="O247" s="310"/>
      <c r="P247" s="310"/>
      <c r="Q247" s="310"/>
      <c r="R247" s="310"/>
      <c r="S247" s="310"/>
      <c r="T247" s="310"/>
      <c r="U247" s="311"/>
      <c r="V247" s="340"/>
    </row>
    <row r="248" spans="1:43" ht="15" customHeight="1" x14ac:dyDescent="0.25">
      <c r="A248" s="388">
        <f>IF('Account Info'!$T$6=TRUE,1,0)</f>
        <v>1</v>
      </c>
      <c r="B248" s="317"/>
      <c r="C248" s="321"/>
      <c r="D248" s="320"/>
      <c r="E248" s="320"/>
      <c r="F248" s="320"/>
      <c r="G248" s="320"/>
      <c r="H248" s="471" t="s">
        <v>393</v>
      </c>
      <c r="I248" s="472">
        <v>0.8</v>
      </c>
      <c r="J248" s="473">
        <v>1.25</v>
      </c>
      <c r="K248" s="949">
        <v>1</v>
      </c>
      <c r="L248" s="474"/>
      <c r="M248" s="320"/>
      <c r="N248" s="320"/>
      <c r="O248" s="320"/>
      <c r="P248" s="320"/>
      <c r="Q248" s="320"/>
      <c r="R248" s="320"/>
      <c r="S248" s="320"/>
      <c r="T248" s="320"/>
      <c r="U248" s="322"/>
      <c r="V248" s="340"/>
    </row>
    <row r="249" spans="1:43" ht="15" customHeight="1" x14ac:dyDescent="0.25">
      <c r="A249" s="388">
        <f>IF('Account Info'!$T$6=TRUE,1,0)</f>
        <v>1</v>
      </c>
      <c r="B249" s="317"/>
      <c r="C249" s="321"/>
      <c r="D249" s="320"/>
      <c r="E249" s="320"/>
      <c r="F249" s="320"/>
      <c r="G249" s="320"/>
      <c r="H249" s="475" t="s">
        <v>394</v>
      </c>
      <c r="I249" s="476">
        <v>0.8</v>
      </c>
      <c r="J249" s="477">
        <v>1.25</v>
      </c>
      <c r="K249" s="950">
        <v>1</v>
      </c>
      <c r="L249" s="474"/>
      <c r="M249" s="320"/>
      <c r="N249" s="320"/>
      <c r="O249" s="320"/>
      <c r="P249" s="320"/>
      <c r="Q249" s="320"/>
      <c r="R249" s="320"/>
      <c r="S249" s="320"/>
      <c r="T249" s="320"/>
      <c r="U249" s="322"/>
      <c r="V249" s="340"/>
    </row>
    <row r="250" spans="1:43" ht="15" customHeight="1" x14ac:dyDescent="0.25">
      <c r="A250" s="388">
        <f>IF('Account Info'!$T$6=TRUE,1,0)</f>
        <v>1</v>
      </c>
      <c r="B250" s="317"/>
      <c r="C250" s="321"/>
      <c r="D250" s="320"/>
      <c r="E250" s="320"/>
      <c r="F250" s="320"/>
      <c r="G250" s="320"/>
      <c r="H250" s="475" t="s">
        <v>395</v>
      </c>
      <c r="I250" s="476">
        <v>0.8</v>
      </c>
      <c r="J250" s="477">
        <v>1.25</v>
      </c>
      <c r="K250" s="950">
        <v>1</v>
      </c>
      <c r="L250" s="474"/>
      <c r="M250" s="320"/>
      <c r="N250" s="320"/>
      <c r="O250" s="320"/>
      <c r="P250" s="320"/>
      <c r="Q250" s="320"/>
      <c r="R250" s="320"/>
      <c r="S250" s="320"/>
      <c r="T250" s="320"/>
      <c r="U250" s="322"/>
      <c r="V250" s="340"/>
    </row>
    <row r="251" spans="1:43" ht="15" customHeight="1" x14ac:dyDescent="0.25">
      <c r="A251" s="388">
        <f>IF('Account Info'!$T$6=TRUE,1,0)</f>
        <v>1</v>
      </c>
      <c r="B251" s="317"/>
      <c r="C251" s="321"/>
      <c r="D251" s="320"/>
      <c r="E251" s="320"/>
      <c r="F251" s="320"/>
      <c r="G251" s="320"/>
      <c r="H251" s="475" t="s">
        <v>396</v>
      </c>
      <c r="I251" s="476">
        <v>0.8</v>
      </c>
      <c r="J251" s="477">
        <v>1.25</v>
      </c>
      <c r="K251" s="950">
        <v>1</v>
      </c>
      <c r="L251" s="474"/>
      <c r="M251" s="320"/>
      <c r="N251" s="320"/>
      <c r="O251" s="320"/>
      <c r="P251" s="320"/>
      <c r="Q251" s="320"/>
      <c r="R251" s="320"/>
      <c r="S251" s="320"/>
      <c r="T251" s="320"/>
      <c r="U251" s="322"/>
      <c r="V251" s="340"/>
    </row>
    <row r="252" spans="1:43" ht="15" customHeight="1" thickBot="1" x14ac:dyDescent="0.3">
      <c r="A252" s="388">
        <f>IF('Account Info'!$T$6=TRUE,1,0)</f>
        <v>1</v>
      </c>
      <c r="B252" s="317"/>
      <c r="C252" s="321"/>
      <c r="D252" s="320"/>
      <c r="E252" s="320"/>
      <c r="F252" s="320"/>
      <c r="G252" s="320"/>
      <c r="H252" s="478" t="s">
        <v>397</v>
      </c>
      <c r="I252" s="479">
        <v>0.8</v>
      </c>
      <c r="J252" s="480">
        <v>1.25</v>
      </c>
      <c r="K252" s="951">
        <v>1</v>
      </c>
      <c r="L252" s="474"/>
      <c r="M252" s="320"/>
      <c r="N252" s="320"/>
      <c r="O252" s="320"/>
      <c r="P252" s="320"/>
      <c r="Q252" s="320"/>
      <c r="R252" s="320"/>
      <c r="S252" s="320"/>
      <c r="T252" s="320"/>
      <c r="U252" s="322"/>
      <c r="V252" s="340"/>
    </row>
    <row r="253" spans="1:43" ht="15" customHeight="1" thickBot="1" x14ac:dyDescent="0.3">
      <c r="A253" s="388">
        <f>IF('Account Info'!$T$6=TRUE,1,0)</f>
        <v>1</v>
      </c>
      <c r="B253" s="317"/>
      <c r="C253" s="321"/>
      <c r="D253" s="320"/>
      <c r="E253" s="320"/>
      <c r="F253" s="320"/>
      <c r="G253" s="320"/>
      <c r="H253" s="310"/>
      <c r="I253" s="483"/>
      <c r="J253" s="483"/>
      <c r="K253" s="952">
        <f>IF(PRODUCT(K248:K252)=0,1,PRODUCT(K248:K252))</f>
        <v>1</v>
      </c>
      <c r="L253" s="459"/>
      <c r="M253" s="320"/>
      <c r="N253" s="320"/>
      <c r="O253" s="320"/>
      <c r="P253" s="320"/>
      <c r="Q253" s="320"/>
      <c r="R253" s="320"/>
      <c r="S253" s="320"/>
      <c r="T253" s="320"/>
      <c r="U253" s="322"/>
      <c r="V253" s="340"/>
      <c r="W253" s="484">
        <f>W98</f>
        <v>0.5</v>
      </c>
      <c r="X253" s="484">
        <f>X98</f>
        <v>1.5</v>
      </c>
    </row>
    <row r="254" spans="1:43" ht="15" customHeight="1" x14ac:dyDescent="0.25">
      <c r="A254" s="388">
        <f>IF('Account Info'!$T$6=TRUE,1,0)</f>
        <v>1</v>
      </c>
      <c r="B254" s="317"/>
      <c r="C254" s="321"/>
      <c r="D254" s="320"/>
      <c r="E254" s="320"/>
      <c r="F254" s="320"/>
      <c r="G254" s="320"/>
      <c r="H254" s="513"/>
      <c r="I254" s="514"/>
      <c r="J254" s="514"/>
      <c r="K254" s="515"/>
      <c r="L254" s="459"/>
      <c r="M254" s="320"/>
      <c r="N254" s="320"/>
      <c r="O254" s="320"/>
      <c r="P254" s="320"/>
      <c r="Q254" s="320"/>
      <c r="R254" s="320"/>
      <c r="S254" s="320"/>
      <c r="T254" s="320"/>
      <c r="U254" s="322"/>
      <c r="V254" s="340"/>
    </row>
    <row r="255" spans="1:43" ht="15" customHeight="1" x14ac:dyDescent="0.25">
      <c r="A255" s="388">
        <f>IF('Account Info'!$T$6=TRUE,1,0)</f>
        <v>1</v>
      </c>
      <c r="B255" s="317"/>
      <c r="C255" s="321"/>
      <c r="D255" s="320"/>
      <c r="E255" s="320"/>
      <c r="F255" s="320"/>
      <c r="G255" s="320"/>
      <c r="J255" s="514"/>
      <c r="K255" s="515"/>
      <c r="L255" s="459"/>
      <c r="M255" s="320"/>
      <c r="N255" s="320"/>
      <c r="O255" s="320"/>
      <c r="P255" s="320"/>
      <c r="Q255" s="320"/>
      <c r="R255" s="320"/>
      <c r="S255" s="320"/>
      <c r="T255" s="320"/>
      <c r="U255" s="322"/>
      <c r="V255" s="340"/>
      <c r="W255" s="458" t="s">
        <v>513</v>
      </c>
      <c r="X255" s="939">
        <f ca="1">IF(X245="","",X245*K253)</f>
        <v>1099.1205299143637</v>
      </c>
    </row>
    <row r="256" spans="1:43" ht="15" customHeight="1" thickBot="1" x14ac:dyDescent="0.3">
      <c r="A256" s="388">
        <f>IF('Account Info'!$T$6=TRUE,1,0)</f>
        <v>1</v>
      </c>
      <c r="B256" s="324"/>
      <c r="C256" s="325"/>
      <c r="D256" s="326"/>
      <c r="E256" s="326"/>
      <c r="F256" s="326"/>
      <c r="G256" s="326"/>
      <c r="H256" s="325"/>
      <c r="I256" s="325"/>
      <c r="J256" s="469"/>
      <c r="K256" s="469"/>
      <c r="L256" s="519"/>
      <c r="M256" s="326"/>
      <c r="N256" s="326"/>
      <c r="O256" s="326"/>
      <c r="P256" s="326"/>
      <c r="Q256" s="326"/>
      <c r="R256" s="326"/>
      <c r="S256" s="326"/>
      <c r="T256" s="326"/>
      <c r="U256" s="327"/>
      <c r="V256" s="340"/>
    </row>
    <row r="257" spans="1:43" ht="15" customHeight="1" x14ac:dyDescent="0.3">
      <c r="A257" s="388">
        <f>IF('Account Info'!$T$6=TRUE,1,0)</f>
        <v>1</v>
      </c>
      <c r="B257" s="451" t="s">
        <v>514</v>
      </c>
      <c r="C257" s="321"/>
      <c r="D257" s="321"/>
      <c r="E257" s="320"/>
      <c r="F257" s="321"/>
      <c r="G257" s="321"/>
      <c r="H257" s="321"/>
      <c r="I257" s="464"/>
      <c r="J257" s="464"/>
      <c r="K257" s="464"/>
      <c r="L257" s="464"/>
      <c r="M257" s="321"/>
      <c r="N257" s="321"/>
      <c r="O257" s="321"/>
      <c r="P257" s="321"/>
      <c r="Q257" s="321"/>
      <c r="R257" s="321"/>
      <c r="S257" s="321"/>
      <c r="T257" s="321"/>
      <c r="U257" s="322"/>
      <c r="V257" s="340">
        <v>1</v>
      </c>
      <c r="AN257" s="392"/>
      <c r="AO257" s="392"/>
      <c r="AP257" s="392"/>
      <c r="AQ257" s="392"/>
    </row>
    <row r="258" spans="1:43" ht="15" customHeight="1" x14ac:dyDescent="0.25">
      <c r="A258" s="388">
        <f>IF('Account Info'!$T$6=TRUE,1,0)</f>
        <v>1</v>
      </c>
      <c r="B258" s="1102" t="s">
        <v>328</v>
      </c>
      <c r="C258" s="1103"/>
      <c r="D258" s="348" t="s">
        <v>473</v>
      </c>
      <c r="E258" s="439"/>
      <c r="F258" s="349"/>
      <c r="G258" s="349"/>
      <c r="H258" s="453"/>
      <c r="I258" s="361" t="str">
        <f>IF('Account Info'!$AA$4="Range State","Low","")</f>
        <v>Low</v>
      </c>
      <c r="J258" s="361" t="str">
        <f>IF('Account Info'!$AA$4="Range State","Benchmark","Selection")</f>
        <v>Benchmark</v>
      </c>
      <c r="K258" s="361" t="str">
        <f>IF('Account Info'!$AA$4="Range State","High","")</f>
        <v>High</v>
      </c>
      <c r="L258" s="361" t="str">
        <f>IF('Account Info'!$AA$4="Range State","Selection","")</f>
        <v>Selection</v>
      </c>
      <c r="M258" s="440" t="s">
        <v>377</v>
      </c>
      <c r="N258" s="440"/>
      <c r="O258" s="441"/>
      <c r="P258" s="348"/>
      <c r="Q258" s="348"/>
      <c r="R258" s="348"/>
      <c r="S258" s="348"/>
      <c r="T258" s="348"/>
      <c r="U258" s="322"/>
      <c r="V258" s="340">
        <v>1</v>
      </c>
      <c r="AN258" s="392"/>
      <c r="AO258" s="392"/>
      <c r="AP258" s="392"/>
      <c r="AQ258" s="392"/>
    </row>
    <row r="259" spans="1:43" ht="15" customHeight="1" x14ac:dyDescent="0.25">
      <c r="A259" s="388">
        <f>IF('Account Info'!$T$6=TRUE,1,0)</f>
        <v>1</v>
      </c>
      <c r="B259" s="1102"/>
      <c r="C259" s="1103"/>
      <c r="D259" s="1054" t="s">
        <v>517</v>
      </c>
      <c r="E259" s="1055"/>
      <c r="F259" s="1055"/>
      <c r="G259" s="1055"/>
      <c r="H259" s="1056"/>
      <c r="I259" s="443">
        <f>IF(D259="","",VLOOKUP(D259,AJ264:AM266,2,FALSE))</f>
        <v>0.8</v>
      </c>
      <c r="J259" s="443">
        <f>IF(D259="","",VLOOKUP(D259,AJ264:AM266,3,FALSE))</f>
        <v>0.9</v>
      </c>
      <c r="K259" s="443">
        <f>IF(D259="","",VLOOKUP(D259,AJ264:AM266,4,FALSE))</f>
        <v>0.99</v>
      </c>
      <c r="L259" s="454">
        <f>J259</f>
        <v>0.9</v>
      </c>
      <c r="M259" s="1057"/>
      <c r="N259" s="1058"/>
      <c r="O259" s="1058"/>
      <c r="P259" s="1058"/>
      <c r="Q259" s="1058"/>
      <c r="R259" s="1058"/>
      <c r="S259" s="1058"/>
      <c r="T259" s="1059"/>
      <c r="U259" s="322"/>
      <c r="V259" s="340">
        <f>IF('Account Info'!$AA$4="Flat Rate State",IF(J259="",1,J259),IF(L259="",1,L259))</f>
        <v>0.9</v>
      </c>
      <c r="AN259" s="392"/>
      <c r="AO259" s="392"/>
      <c r="AP259" s="392"/>
      <c r="AQ259" s="392"/>
    </row>
    <row r="260" spans="1:43" ht="15" customHeight="1" x14ac:dyDescent="0.25">
      <c r="A260" s="388">
        <f>IF('Account Info'!$T$6=TRUE,1,0)</f>
        <v>1</v>
      </c>
      <c r="B260" s="1102"/>
      <c r="C260" s="1103"/>
      <c r="D260" s="456"/>
      <c r="E260" s="457"/>
      <c r="F260" s="456"/>
      <c r="G260" s="456"/>
      <c r="H260" s="456"/>
      <c r="I260" s="464"/>
      <c r="J260" s="464"/>
      <c r="K260" s="460"/>
      <c r="L260" s="460" t="str">
        <f>IF(AND('Account Info'!$AA$4="Range State",L259&lt;&gt;"",OR(L259&lt;I259,L259&gt;K259)),"Factor is out of range","")</f>
        <v/>
      </c>
      <c r="M260" s="1051"/>
      <c r="N260" s="1052"/>
      <c r="O260" s="1052"/>
      <c r="P260" s="1052"/>
      <c r="Q260" s="1052"/>
      <c r="R260" s="1052"/>
      <c r="S260" s="1052"/>
      <c r="T260" s="1053"/>
      <c r="U260" s="322"/>
      <c r="V260" s="340">
        <v>1</v>
      </c>
      <c r="AN260" s="392"/>
      <c r="AO260" s="392"/>
      <c r="AP260" s="392"/>
      <c r="AQ260" s="392"/>
    </row>
    <row r="261" spans="1:43" ht="15" customHeight="1" x14ac:dyDescent="0.25">
      <c r="A261" s="388">
        <f>IF('Account Info'!$T$6=TRUE,1,0)</f>
        <v>1</v>
      </c>
      <c r="B261" s="1102"/>
      <c r="C261" s="1103"/>
      <c r="D261" s="348" t="s">
        <v>401</v>
      </c>
      <c r="E261" s="439"/>
      <c r="F261" s="349"/>
      <c r="G261" s="349"/>
      <c r="H261" s="453"/>
      <c r="I261" s="361" t="str">
        <f>IF('Account Info'!$AA$4="Range State","Low","")</f>
        <v>Low</v>
      </c>
      <c r="J261" s="361" t="str">
        <f>IF('Account Info'!$AA$4="Range State","Benchmark","Selection")</f>
        <v>Benchmark</v>
      </c>
      <c r="K261" s="361" t="str">
        <f>IF('Account Info'!$AA$4="Range State","High","")</f>
        <v>High</v>
      </c>
      <c r="L261" s="361" t="str">
        <f>IF('Account Info'!$AA$4="Range State","Selection","")</f>
        <v>Selection</v>
      </c>
      <c r="M261" s="440" t="s">
        <v>377</v>
      </c>
      <c r="N261" s="440"/>
      <c r="O261" s="441"/>
      <c r="P261" s="348"/>
      <c r="Q261" s="348"/>
      <c r="R261" s="348"/>
      <c r="S261" s="348"/>
      <c r="T261" s="348"/>
      <c r="U261" s="322"/>
      <c r="V261" s="340">
        <v>1</v>
      </c>
      <c r="AN261" s="392"/>
      <c r="AO261" s="392"/>
      <c r="AP261" s="392"/>
      <c r="AQ261" s="392"/>
    </row>
    <row r="262" spans="1:43" ht="15" customHeight="1" x14ac:dyDescent="0.25">
      <c r="A262" s="388">
        <f>IF('Account Info'!$T$6=TRUE,1,0)</f>
        <v>1</v>
      </c>
      <c r="B262" s="1102"/>
      <c r="C262" s="1103"/>
      <c r="D262" s="1054" t="s">
        <v>522</v>
      </c>
      <c r="E262" s="1055"/>
      <c r="F262" s="1055"/>
      <c r="G262" s="1055"/>
      <c r="H262" s="1056"/>
      <c r="I262" s="443">
        <f>IF(D262="","",VLOOKUP(D262,AJ268:AM272,2,FALSE))</f>
        <v>1</v>
      </c>
      <c r="J262" s="443">
        <f>IF(D262="","",VLOOKUP(D262,AJ268:AM272,3,FALSE))</f>
        <v>1</v>
      </c>
      <c r="K262" s="443">
        <f>IF(D262="","",VLOOKUP(D262,AJ268:AM272,4,FALSE))</f>
        <v>1</v>
      </c>
      <c r="L262" s="454">
        <f>J262</f>
        <v>1</v>
      </c>
      <c r="M262" s="1057"/>
      <c r="N262" s="1058"/>
      <c r="O262" s="1058"/>
      <c r="P262" s="1058"/>
      <c r="Q262" s="1058"/>
      <c r="R262" s="1058"/>
      <c r="S262" s="1058"/>
      <c r="T262" s="1059"/>
      <c r="U262" s="322"/>
      <c r="V262" s="340">
        <f>IF('Account Info'!$AA$4="Flat Rate State",IF(J262="",1,J262),IF(L262="",1,L262))</f>
        <v>1</v>
      </c>
      <c r="AN262" s="392"/>
      <c r="AO262" s="392"/>
      <c r="AP262" s="392"/>
      <c r="AQ262" s="392"/>
    </row>
    <row r="263" spans="1:43" ht="15" customHeight="1" x14ac:dyDescent="0.25">
      <c r="A263" s="388">
        <f>IF('Account Info'!$T$6=TRUE,1,0)</f>
        <v>1</v>
      </c>
      <c r="B263" s="1102"/>
      <c r="C263" s="1103"/>
      <c r="D263" s="456"/>
      <c r="E263" s="457"/>
      <c r="F263" s="456"/>
      <c r="G263" s="456"/>
      <c r="H263" s="456"/>
      <c r="I263" s="464"/>
      <c r="J263" s="464"/>
      <c r="K263" s="460"/>
      <c r="L263" s="460" t="str">
        <f>IF(AND('Account Info'!$AA$4="Range State",L262&lt;&gt;"",OR(L262&lt;I262,L262&gt;K262)),"Factor is out of range","")</f>
        <v/>
      </c>
      <c r="M263" s="1051"/>
      <c r="N263" s="1052"/>
      <c r="O263" s="1052"/>
      <c r="P263" s="1052"/>
      <c r="Q263" s="1052"/>
      <c r="R263" s="1052"/>
      <c r="S263" s="1052"/>
      <c r="T263" s="1053"/>
      <c r="U263" s="322"/>
      <c r="V263" s="340"/>
      <c r="X263" s="504" t="s">
        <v>400</v>
      </c>
      <c r="Y263" s="420"/>
      <c r="Z263" s="420"/>
      <c r="AA263" s="420"/>
      <c r="AD263" s="503" t="s">
        <v>400</v>
      </c>
      <c r="AE263" s="388"/>
      <c r="AF263" s="388"/>
      <c r="AG263" s="388"/>
      <c r="AJ263" s="504" t="s">
        <v>400</v>
      </c>
      <c r="AK263" s="420"/>
      <c r="AL263" s="420"/>
      <c r="AM263" s="420"/>
      <c r="AN263" s="392"/>
      <c r="AO263" s="392"/>
      <c r="AP263" s="392"/>
      <c r="AQ263" s="392"/>
    </row>
    <row r="264" spans="1:43" ht="15" customHeight="1" x14ac:dyDescent="0.25">
      <c r="A264" s="388">
        <f>IF('Account Info'!$T$6=TRUE,1,0)</f>
        <v>1</v>
      </c>
      <c r="B264" s="1102"/>
      <c r="C264" s="1103"/>
      <c r="D264" s="348" t="s">
        <v>515</v>
      </c>
      <c r="E264" s="439"/>
      <c r="F264" s="349"/>
      <c r="G264" s="349"/>
      <c r="H264" s="453"/>
      <c r="I264" s="361" t="s">
        <v>403</v>
      </c>
      <c r="J264" s="361"/>
      <c r="K264" s="361"/>
      <c r="L264" s="361"/>
      <c r="M264" s="440" t="s">
        <v>377</v>
      </c>
      <c r="N264" s="440"/>
      <c r="O264" s="441"/>
      <c r="P264" s="348"/>
      <c r="Q264" s="348"/>
      <c r="R264" s="348"/>
      <c r="S264" s="348"/>
      <c r="T264" s="348"/>
      <c r="U264" s="322"/>
      <c r="V264" s="340"/>
      <c r="X264" s="505" t="s">
        <v>516</v>
      </c>
      <c r="Y264" s="506">
        <v>0.8</v>
      </c>
      <c r="Z264" s="506">
        <f>ROUND(AVERAGE(Y264,AA264),2)</f>
        <v>0.9</v>
      </c>
      <c r="AA264" s="506">
        <v>0.99</v>
      </c>
      <c r="AB264" s="507"/>
      <c r="AC264" s="508"/>
      <c r="AD264" s="405" t="s">
        <v>517</v>
      </c>
      <c r="AE264" s="378">
        <v>0.8</v>
      </c>
      <c r="AF264" s="378">
        <f>ROUND(AVERAGE(AE264,AG264),2)</f>
        <v>0.9</v>
      </c>
      <c r="AG264" s="378">
        <v>0.99</v>
      </c>
      <c r="AH264" s="507"/>
      <c r="AI264" s="508"/>
      <c r="AJ264" s="505" t="s">
        <v>517</v>
      </c>
      <c r="AK264" s="506">
        <v>0.8</v>
      </c>
      <c r="AL264" s="506">
        <f>ROUND(AVERAGE(AK264,AM264),2)</f>
        <v>0.9</v>
      </c>
      <c r="AM264" s="506">
        <v>0.99</v>
      </c>
      <c r="AN264" s="392"/>
      <c r="AO264" s="392"/>
      <c r="AP264" s="392"/>
      <c r="AQ264" s="392"/>
    </row>
    <row r="265" spans="1:43" ht="15" customHeight="1" x14ac:dyDescent="0.25">
      <c r="A265" s="388">
        <f>IF('Account Info'!$T$6=TRUE,1,0)</f>
        <v>1</v>
      </c>
      <c r="B265" s="1102"/>
      <c r="C265" s="1103"/>
      <c r="D265" s="1033">
        <v>250000</v>
      </c>
      <c r="E265" s="1100"/>
      <c r="F265" s="1100"/>
      <c r="G265" s="1100"/>
      <c r="H265" s="1101"/>
      <c r="I265" s="939">
        <f ca="1">ROUND(IF(D265="",0,AN284)*'Account Info'!AA17,0)</f>
        <v>10</v>
      </c>
      <c r="J265" s="516" t="e">
        <f>IF(D265="","",VLOOKUP(D265,#REF!,3,FALSE))</f>
        <v>#REF!</v>
      </c>
      <c r="K265" s="516" t="e">
        <f>IF(D265="","",VLOOKUP(D265,#REF!,4,FALSE))</f>
        <v>#REF!</v>
      </c>
      <c r="L265" s="516"/>
      <c r="M265" s="1057"/>
      <c r="N265" s="1058"/>
      <c r="O265" s="1058"/>
      <c r="P265" s="1058"/>
      <c r="Q265" s="1058"/>
      <c r="R265" s="1058"/>
      <c r="S265" s="1058"/>
      <c r="T265" s="1059"/>
      <c r="U265" s="322"/>
      <c r="V265" s="340"/>
      <c r="X265" s="505" t="s">
        <v>518</v>
      </c>
      <c r="Y265" s="506">
        <v>1</v>
      </c>
      <c r="Z265" s="506">
        <f>ROUND(AVERAGE(Y265,AA265),2)</f>
        <v>1</v>
      </c>
      <c r="AA265" s="506">
        <v>1</v>
      </c>
      <c r="AB265" s="507"/>
      <c r="AC265" s="508"/>
      <c r="AD265" s="405" t="s">
        <v>518</v>
      </c>
      <c r="AE265" s="378">
        <v>1</v>
      </c>
      <c r="AF265" s="378">
        <f>ROUND(AVERAGE(AE265,AG265),2)</f>
        <v>1</v>
      </c>
      <c r="AG265" s="378">
        <v>1</v>
      </c>
      <c r="AH265" s="507"/>
      <c r="AI265" s="508"/>
      <c r="AJ265" s="505" t="s">
        <v>518</v>
      </c>
      <c r="AK265" s="506">
        <v>1</v>
      </c>
      <c r="AL265" s="506">
        <f>ROUND(AVERAGE(AK265,AM265),2)</f>
        <v>1</v>
      </c>
      <c r="AM265" s="506">
        <v>1</v>
      </c>
      <c r="AN265" s="392"/>
      <c r="AO265" s="392"/>
      <c r="AP265" s="392"/>
      <c r="AQ265" s="392"/>
    </row>
    <row r="266" spans="1:43" ht="15" customHeight="1" x14ac:dyDescent="0.25">
      <c r="A266" s="388">
        <f>IF('Account Info'!$T$6=TRUE,1,0)</f>
        <v>1</v>
      </c>
      <c r="B266" s="1102"/>
      <c r="C266" s="1103"/>
      <c r="D266" s="456"/>
      <c r="E266" s="457"/>
      <c r="F266" s="456"/>
      <c r="G266" s="456"/>
      <c r="H266" s="456"/>
      <c r="I266" s="464"/>
      <c r="J266" s="464"/>
      <c r="K266" s="464"/>
      <c r="L266" s="464"/>
      <c r="M266" s="1051"/>
      <c r="N266" s="1052"/>
      <c r="O266" s="1052"/>
      <c r="P266" s="1052"/>
      <c r="Q266" s="1052"/>
      <c r="R266" s="1052"/>
      <c r="S266" s="1052"/>
      <c r="T266" s="1053"/>
      <c r="U266" s="322"/>
      <c r="V266" s="340"/>
      <c r="X266" s="505" t="s">
        <v>517</v>
      </c>
      <c r="Y266" s="506">
        <v>1.01</v>
      </c>
      <c r="Z266" s="506">
        <f>ROUND(AVERAGE(Y266,AA266),2)</f>
        <v>1.1100000000000001</v>
      </c>
      <c r="AA266" s="506">
        <v>1.2</v>
      </c>
      <c r="AB266" s="507"/>
      <c r="AC266" s="508"/>
      <c r="AD266" s="405" t="s">
        <v>516</v>
      </c>
      <c r="AE266" s="378">
        <v>1.01</v>
      </c>
      <c r="AF266" s="378">
        <f>ROUND(AVERAGE(AE266,AG266),2)</f>
        <v>1.1100000000000001</v>
      </c>
      <c r="AG266" s="378">
        <v>1.2</v>
      </c>
      <c r="AH266" s="507"/>
      <c r="AI266" s="508"/>
      <c r="AJ266" s="505" t="s">
        <v>516</v>
      </c>
      <c r="AK266" s="506">
        <v>1.01</v>
      </c>
      <c r="AL266" s="506">
        <f>ROUND(AVERAGE(AK266,AM266),2)</f>
        <v>1.1100000000000001</v>
      </c>
      <c r="AM266" s="506">
        <v>1.2</v>
      </c>
      <c r="AN266" s="392"/>
      <c r="AO266" s="392"/>
      <c r="AP266" s="392"/>
      <c r="AQ266" s="392"/>
    </row>
    <row r="267" spans="1:43" ht="15" customHeight="1" x14ac:dyDescent="0.25">
      <c r="A267" s="388">
        <f>IF('Account Info'!$T$6=TRUE,1,0)</f>
        <v>1</v>
      </c>
      <c r="B267" s="1102"/>
      <c r="C267" s="1103"/>
      <c r="D267" s="348" t="s">
        <v>519</v>
      </c>
      <c r="E267" s="439"/>
      <c r="F267" s="349"/>
      <c r="G267" s="349"/>
      <c r="H267" s="453"/>
      <c r="I267" s="361" t="s">
        <v>403</v>
      </c>
      <c r="J267" s="361"/>
      <c r="K267" s="361"/>
      <c r="L267" s="361"/>
      <c r="M267" s="440" t="s">
        <v>377</v>
      </c>
      <c r="N267" s="440"/>
      <c r="O267" s="441"/>
      <c r="P267" s="348"/>
      <c r="Q267" s="348"/>
      <c r="R267" s="348"/>
      <c r="S267" s="348"/>
      <c r="T267" s="348"/>
      <c r="U267" s="322"/>
      <c r="V267" s="340"/>
      <c r="X267" s="362"/>
      <c r="Y267" s="362"/>
      <c r="Z267" s="362"/>
      <c r="AA267" s="362"/>
      <c r="AD267" s="503" t="s">
        <v>520</v>
      </c>
      <c r="AE267" s="388"/>
      <c r="AF267" s="388"/>
      <c r="AG267" s="388"/>
      <c r="AJ267" s="504" t="s">
        <v>401</v>
      </c>
      <c r="AK267" s="420"/>
      <c r="AL267" s="420"/>
      <c r="AM267" s="420"/>
      <c r="AN267" s="392"/>
      <c r="AO267" s="392"/>
      <c r="AP267" s="392"/>
      <c r="AQ267" s="392"/>
    </row>
    <row r="268" spans="1:43" ht="15" customHeight="1" x14ac:dyDescent="0.25">
      <c r="A268" s="388">
        <f>IF('Account Info'!$T$6=TRUE,1,0)</f>
        <v>1</v>
      </c>
      <c r="B268" s="1102"/>
      <c r="C268" s="1103"/>
      <c r="D268" s="1033">
        <v>250000</v>
      </c>
      <c r="E268" s="1100"/>
      <c r="F268" s="1100"/>
      <c r="G268" s="1100"/>
      <c r="H268" s="1101"/>
      <c r="I268" s="939">
        <f ca="1">ROUND(IF(D268="",0,AN297)*'Account Info'!AA17,0)</f>
        <v>10</v>
      </c>
      <c r="J268" s="516" t="e">
        <f>IF(D268="","",VLOOKUP(D268,#REF!,3,FALSE))</f>
        <v>#REF!</v>
      </c>
      <c r="K268" s="516" t="e">
        <f>IF(D268="","",VLOOKUP(D268,#REF!,4,FALSE))</f>
        <v>#REF!</v>
      </c>
      <c r="L268" s="516"/>
      <c r="M268" s="1057"/>
      <c r="N268" s="1058"/>
      <c r="O268" s="1058"/>
      <c r="P268" s="1058"/>
      <c r="Q268" s="1058"/>
      <c r="R268" s="1058"/>
      <c r="S268" s="1058"/>
      <c r="T268" s="1059"/>
      <c r="U268" s="322"/>
      <c r="V268" s="340"/>
      <c r="X268" s="362"/>
      <c r="Y268" s="362"/>
      <c r="Z268" s="362"/>
      <c r="AA268" s="255"/>
      <c r="AB268" s="340"/>
      <c r="AC268" s="508"/>
      <c r="AD268" s="405" t="s">
        <v>521</v>
      </c>
      <c r="AE268" s="378">
        <v>0.7</v>
      </c>
      <c r="AF268" s="378">
        <f>ROUND(AVERAGE(AE268,AG268),2)</f>
        <v>0.85</v>
      </c>
      <c r="AG268" s="378">
        <v>0.99</v>
      </c>
      <c r="AH268" s="507"/>
      <c r="AI268" s="508"/>
      <c r="AJ268" s="505" t="s">
        <v>522</v>
      </c>
      <c r="AK268" s="506">
        <v>1</v>
      </c>
      <c r="AL268" s="506">
        <f>ROUND(AVERAGE(AK268,AM268),2)</f>
        <v>1</v>
      </c>
      <c r="AM268" s="506">
        <v>1</v>
      </c>
      <c r="AN268" s="392"/>
      <c r="AO268" s="392"/>
      <c r="AP268" s="392"/>
      <c r="AQ268" s="392"/>
    </row>
    <row r="269" spans="1:43" ht="15" customHeight="1" x14ac:dyDescent="0.25">
      <c r="A269" s="388">
        <f>IF('Account Info'!$T$6=TRUE,1,0)</f>
        <v>1</v>
      </c>
      <c r="B269" s="1102"/>
      <c r="C269" s="1103"/>
      <c r="D269" s="456"/>
      <c r="E269" s="457"/>
      <c r="F269" s="456"/>
      <c r="G269" s="456"/>
      <c r="H269" s="456"/>
      <c r="I269" s="464"/>
      <c r="J269" s="464"/>
      <c r="K269" s="464"/>
      <c r="L269" s="464"/>
      <c r="M269" s="1051"/>
      <c r="N269" s="1052"/>
      <c r="O269" s="1052"/>
      <c r="P269" s="1052"/>
      <c r="Q269" s="1052"/>
      <c r="R269" s="1052"/>
      <c r="S269" s="1052"/>
      <c r="T269" s="1053"/>
      <c r="U269" s="322"/>
      <c r="V269" s="340"/>
      <c r="X269" s="362"/>
      <c r="Y269" s="362"/>
      <c r="Z269" s="362"/>
      <c r="AA269" s="255"/>
      <c r="AB269" s="340"/>
      <c r="AC269" s="508"/>
      <c r="AD269" s="405" t="s">
        <v>523</v>
      </c>
      <c r="AE269" s="378">
        <v>1</v>
      </c>
      <c r="AF269" s="378">
        <f>ROUND(AVERAGE(AE269,AG269),2)</f>
        <v>1</v>
      </c>
      <c r="AG269" s="378">
        <v>1</v>
      </c>
      <c r="AH269" s="507"/>
      <c r="AI269" s="508"/>
      <c r="AJ269" s="505" t="s">
        <v>524</v>
      </c>
      <c r="AK269" s="506">
        <v>0.8</v>
      </c>
      <c r="AL269" s="506">
        <f>ROUND(AVERAGE(AK269,AM269),2)</f>
        <v>0.9</v>
      </c>
      <c r="AM269" s="506">
        <v>0.99</v>
      </c>
    </row>
    <row r="270" spans="1:43" ht="15" customHeight="1" x14ac:dyDescent="0.25">
      <c r="A270" s="388">
        <f>IF('Account Info'!$T$6=TRUE,1,0)</f>
        <v>1</v>
      </c>
      <c r="B270" s="1102"/>
      <c r="C270" s="1103"/>
      <c r="D270" s="348" t="s">
        <v>525</v>
      </c>
      <c r="E270" s="439"/>
      <c r="F270" s="349"/>
      <c r="G270" s="349"/>
      <c r="H270" s="453"/>
      <c r="I270" s="361" t="s">
        <v>403</v>
      </c>
      <c r="J270" s="361"/>
      <c r="K270" s="361"/>
      <c r="L270" s="361"/>
      <c r="M270" s="440" t="s">
        <v>377</v>
      </c>
      <c r="N270" s="440"/>
      <c r="O270" s="441"/>
      <c r="P270" s="348"/>
      <c r="Q270" s="348"/>
      <c r="R270" s="348"/>
      <c r="S270" s="348"/>
      <c r="T270" s="348"/>
      <c r="U270" s="322"/>
      <c r="V270" s="340"/>
      <c r="AJ270" s="505" t="s">
        <v>526</v>
      </c>
      <c r="AK270" s="506">
        <v>1.01</v>
      </c>
      <c r="AL270" s="506">
        <f>ROUND(AVERAGE(AK270,AM270),2)</f>
        <v>1.1100000000000001</v>
      </c>
      <c r="AM270" s="506">
        <v>1.2</v>
      </c>
    </row>
    <row r="271" spans="1:43" ht="15" customHeight="1" x14ac:dyDescent="0.25">
      <c r="A271" s="388">
        <f>IF('Account Info'!$T$6=TRUE,1,0)</f>
        <v>1</v>
      </c>
      <c r="B271" s="1102"/>
      <c r="C271" s="1103"/>
      <c r="D271" s="1033">
        <v>250000</v>
      </c>
      <c r="E271" s="1100"/>
      <c r="F271" s="1100"/>
      <c r="G271" s="1100"/>
      <c r="H271" s="1101"/>
      <c r="I271" s="939">
        <f ca="1">ROUND(IF(D271="",0,AN311)*'Account Info'!AA17,0)</f>
        <v>10</v>
      </c>
      <c r="J271" s="516" t="e">
        <f>IF(D271="","",VLOOKUP(D271,#REF!,3,FALSE))</f>
        <v>#REF!</v>
      </c>
      <c r="K271" s="516" t="e">
        <f>IF(D271="","",VLOOKUP(D271,#REF!,4,FALSE))</f>
        <v>#REF!</v>
      </c>
      <c r="L271" s="516"/>
      <c r="M271" s="1057"/>
      <c r="N271" s="1058"/>
      <c r="O271" s="1058"/>
      <c r="P271" s="1058"/>
      <c r="Q271" s="1058"/>
      <c r="R271" s="1058"/>
      <c r="S271" s="1058"/>
      <c r="T271" s="1059"/>
      <c r="U271" s="322"/>
      <c r="V271" s="340"/>
      <c r="AJ271" s="505" t="s">
        <v>527</v>
      </c>
      <c r="AK271" s="506">
        <v>0.65</v>
      </c>
      <c r="AL271" s="506">
        <f>ROUND(AVERAGE(AK271,AM271),2)</f>
        <v>0.72</v>
      </c>
      <c r="AM271" s="506">
        <v>0.79</v>
      </c>
    </row>
    <row r="272" spans="1:43" ht="15" customHeight="1" x14ac:dyDescent="0.25">
      <c r="A272" s="388">
        <f>IF('Account Info'!$T$6=TRUE,1,0)</f>
        <v>1</v>
      </c>
      <c r="B272" s="1102"/>
      <c r="C272" s="1103"/>
      <c r="D272" s="456"/>
      <c r="E272" s="457"/>
      <c r="F272" s="456"/>
      <c r="G272" s="456"/>
      <c r="H272" s="456"/>
      <c r="I272" s="464"/>
      <c r="J272" s="464"/>
      <c r="K272" s="464"/>
      <c r="L272" s="464"/>
      <c r="M272" s="1051"/>
      <c r="N272" s="1052"/>
      <c r="O272" s="1052"/>
      <c r="P272" s="1052"/>
      <c r="Q272" s="1052"/>
      <c r="R272" s="1052"/>
      <c r="S272" s="1052"/>
      <c r="T272" s="1053"/>
      <c r="U272" s="322"/>
      <c r="V272" s="340"/>
      <c r="X272" s="504" t="s">
        <v>401</v>
      </c>
      <c r="Y272" s="420"/>
      <c r="Z272" s="420"/>
      <c r="AA272" s="420"/>
      <c r="AD272" s="503" t="s">
        <v>528</v>
      </c>
      <c r="AE272" s="388"/>
      <c r="AF272" s="388"/>
      <c r="AG272" s="388"/>
      <c r="AJ272" s="505" t="s">
        <v>529</v>
      </c>
      <c r="AK272" s="506">
        <v>1.21</v>
      </c>
      <c r="AL272" s="506">
        <f>ROUND(AVERAGE(AK272,AM272),2)</f>
        <v>1.28</v>
      </c>
      <c r="AM272" s="506">
        <v>1.35</v>
      </c>
    </row>
    <row r="273" spans="1:41" ht="15" customHeight="1" x14ac:dyDescent="0.25">
      <c r="A273" s="388">
        <f>IF('Account Info'!$T$6=TRUE,1,0)</f>
        <v>1</v>
      </c>
      <c r="B273" s="1102"/>
      <c r="C273" s="1103"/>
      <c r="D273" s="348" t="s">
        <v>530</v>
      </c>
      <c r="E273" s="439"/>
      <c r="F273" s="349"/>
      <c r="G273" s="349"/>
      <c r="H273" s="453"/>
      <c r="I273" s="361" t="s">
        <v>403</v>
      </c>
      <c r="J273" s="361"/>
      <c r="K273" s="361"/>
      <c r="L273" s="361"/>
      <c r="M273" s="440" t="s">
        <v>377</v>
      </c>
      <c r="N273" s="440"/>
      <c r="O273" s="441"/>
      <c r="P273" s="348"/>
      <c r="Q273" s="348"/>
      <c r="R273" s="348"/>
      <c r="S273" s="348"/>
      <c r="T273" s="348"/>
      <c r="U273" s="322"/>
      <c r="V273" s="340"/>
      <c r="X273" s="505" t="s">
        <v>522</v>
      </c>
      <c r="Y273" s="506">
        <v>1</v>
      </c>
      <c r="Z273" s="506">
        <f>ROUND(AVERAGE(Y273,AA273),2)</f>
        <v>1</v>
      </c>
      <c r="AA273" s="506">
        <v>1</v>
      </c>
      <c r="AB273" s="507"/>
      <c r="AC273" s="508"/>
      <c r="AD273" s="405" t="s">
        <v>417</v>
      </c>
      <c r="AE273" s="378">
        <v>0.75</v>
      </c>
      <c r="AF273" s="378">
        <f>ROUND(AVERAGE(AE273,AG273),2)</f>
        <v>0.87</v>
      </c>
      <c r="AG273" s="378">
        <v>0.99</v>
      </c>
      <c r="AH273" s="507"/>
      <c r="AI273" s="340"/>
      <c r="AJ273" s="504" t="s">
        <v>531</v>
      </c>
      <c r="AK273" s="420"/>
      <c r="AL273" s="340"/>
      <c r="AM273" s="340"/>
    </row>
    <row r="274" spans="1:41" ht="15" customHeight="1" x14ac:dyDescent="0.25">
      <c r="A274" s="388">
        <f>IF('Account Info'!$T$6=TRUE,1,0)</f>
        <v>1</v>
      </c>
      <c r="B274" s="1102"/>
      <c r="C274" s="1103"/>
      <c r="D274" s="1033">
        <v>250000</v>
      </c>
      <c r="E274" s="1100"/>
      <c r="F274" s="1100"/>
      <c r="G274" s="1100"/>
      <c r="H274" s="1101"/>
      <c r="I274" s="939">
        <f ca="1">ROUND(IF(D274="",0,AN325)*'Account Info'!AA17,0)</f>
        <v>10</v>
      </c>
      <c r="J274" s="516" t="e">
        <f>IF(D274="","",VLOOKUP(D274,#REF!,3,FALSE))</f>
        <v>#REF!</v>
      </c>
      <c r="K274" s="516" t="e">
        <f>IF(D274="","",VLOOKUP(D274,#REF!,4,FALSE))</f>
        <v>#REF!</v>
      </c>
      <c r="L274" s="516"/>
      <c r="M274" s="1057"/>
      <c r="N274" s="1058"/>
      <c r="O274" s="1058"/>
      <c r="P274" s="1058"/>
      <c r="Q274" s="1058"/>
      <c r="R274" s="1058"/>
      <c r="S274" s="1058"/>
      <c r="T274" s="1059"/>
      <c r="U274" s="322"/>
      <c r="V274" s="340"/>
      <c r="X274" s="505" t="s">
        <v>524</v>
      </c>
      <c r="Y274" s="506">
        <v>0.8</v>
      </c>
      <c r="Z274" s="506">
        <f>ROUND(AVERAGE(Y274,AA274),2)</f>
        <v>0.9</v>
      </c>
      <c r="AA274" s="506">
        <v>0.99</v>
      </c>
      <c r="AB274" s="507"/>
      <c r="AC274" s="508"/>
      <c r="AD274" s="405" t="s">
        <v>418</v>
      </c>
      <c r="AE274" s="378">
        <v>1</v>
      </c>
      <c r="AF274" s="378">
        <f>ROUND(AVERAGE(AE274,AG274),2)</f>
        <v>1.1299999999999999</v>
      </c>
      <c r="AG274" s="378">
        <v>1.25</v>
      </c>
      <c r="AH274" s="507"/>
      <c r="AI274" s="340"/>
      <c r="AJ274" s="408">
        <v>0</v>
      </c>
      <c r="AK274" s="408">
        <v>0</v>
      </c>
      <c r="AL274" s="408">
        <v>50000</v>
      </c>
      <c r="AM274" s="408">
        <v>5</v>
      </c>
      <c r="AN274" s="520">
        <f>D265</f>
        <v>250000</v>
      </c>
      <c r="AO274" s="521" t="s">
        <v>285</v>
      </c>
    </row>
    <row r="275" spans="1:41" ht="15" customHeight="1" x14ac:dyDescent="0.25">
      <c r="A275" s="388">
        <f>IF('Account Info'!$T$6=TRUE,1,0)</f>
        <v>1</v>
      </c>
      <c r="B275" s="1102"/>
      <c r="C275" s="1103"/>
      <c r="D275" s="456"/>
      <c r="E275" s="457"/>
      <c r="F275" s="456"/>
      <c r="G275" s="456"/>
      <c r="H275" s="456"/>
      <c r="I275" s="464"/>
      <c r="J275" s="464"/>
      <c r="K275" s="464"/>
      <c r="L275" s="464"/>
      <c r="M275" s="1051"/>
      <c r="N275" s="1052"/>
      <c r="O275" s="1052"/>
      <c r="P275" s="1052"/>
      <c r="Q275" s="1052"/>
      <c r="R275" s="1052"/>
      <c r="S275" s="1052"/>
      <c r="T275" s="1053"/>
      <c r="U275" s="322"/>
      <c r="V275" s="340"/>
      <c r="X275" s="505" t="s">
        <v>526</v>
      </c>
      <c r="Y275" s="506">
        <v>1.01</v>
      </c>
      <c r="Z275" s="506">
        <f>ROUND(AVERAGE(Y275,AA275),2)</f>
        <v>1.1100000000000001</v>
      </c>
      <c r="AA275" s="506">
        <v>1.2</v>
      </c>
      <c r="AB275" s="507"/>
      <c r="AC275" s="508"/>
      <c r="AD275" s="405" t="s">
        <v>420</v>
      </c>
      <c r="AE275" s="378">
        <v>1.26</v>
      </c>
      <c r="AF275" s="378">
        <f>ROUND(AVERAGE(AE275,AG275),2)</f>
        <v>1.38</v>
      </c>
      <c r="AG275" s="378">
        <v>1.5</v>
      </c>
      <c r="AH275" s="507"/>
      <c r="AI275" s="340"/>
      <c r="AJ275" s="408">
        <v>50000</v>
      </c>
      <c r="AK275" s="408">
        <v>5</v>
      </c>
      <c r="AL275" s="408">
        <v>250000</v>
      </c>
      <c r="AM275" s="408">
        <v>10</v>
      </c>
      <c r="AN275" s="522"/>
      <c r="AO275" s="521"/>
    </row>
    <row r="276" spans="1:41" ht="15" customHeight="1" x14ac:dyDescent="0.25">
      <c r="A276" s="388">
        <f>IF('Account Info'!$T$6=TRUE,1,0)</f>
        <v>1</v>
      </c>
      <c r="B276" s="1102"/>
      <c r="C276" s="1103"/>
      <c r="D276" s="348" t="s">
        <v>532</v>
      </c>
      <c r="E276" s="439"/>
      <c r="F276" s="349"/>
      <c r="G276" s="349"/>
      <c r="H276" s="453"/>
      <c r="I276" s="361" t="s">
        <v>403</v>
      </c>
      <c r="J276" s="361"/>
      <c r="K276" s="361"/>
      <c r="L276" s="361"/>
      <c r="M276" s="440" t="s">
        <v>377</v>
      </c>
      <c r="N276" s="440"/>
      <c r="O276" s="441"/>
      <c r="P276" s="348"/>
      <c r="Q276" s="348"/>
      <c r="R276" s="348"/>
      <c r="S276" s="348"/>
      <c r="T276" s="348"/>
      <c r="U276" s="322"/>
      <c r="V276" s="340"/>
      <c r="X276" s="505" t="s">
        <v>533</v>
      </c>
      <c r="Y276" s="506">
        <v>0.65</v>
      </c>
      <c r="Z276" s="506">
        <f>ROUND(AVERAGE(Y276,AA276),2)</f>
        <v>0.72</v>
      </c>
      <c r="AA276" s="506">
        <v>0.79</v>
      </c>
      <c r="AD276" s="405" t="s">
        <v>422</v>
      </c>
      <c r="AE276" s="378">
        <v>1.51</v>
      </c>
      <c r="AF276" s="378">
        <f>ROUND(AVERAGE(AE276,AG276),2)</f>
        <v>1.63</v>
      </c>
      <c r="AG276" s="378">
        <v>1.75</v>
      </c>
      <c r="AH276" s="507"/>
      <c r="AI276" s="340"/>
      <c r="AJ276" s="408">
        <v>250000</v>
      </c>
      <c r="AK276" s="408">
        <v>10</v>
      </c>
      <c r="AL276" s="408">
        <v>500000</v>
      </c>
      <c r="AM276" s="408">
        <v>15</v>
      </c>
      <c r="AN276" s="520">
        <f>VLOOKUP(AN274,AJ274:AM284,3,TRUE)</f>
        <v>500000</v>
      </c>
      <c r="AO276" s="521" t="s">
        <v>534</v>
      </c>
    </row>
    <row r="277" spans="1:41" ht="15" customHeight="1" x14ac:dyDescent="0.25">
      <c r="A277" s="388">
        <f>IF('Account Info'!$T$6=TRUE,1,0)</f>
        <v>1</v>
      </c>
      <c r="B277" s="1102"/>
      <c r="C277" s="1103"/>
      <c r="D277" s="1033">
        <v>250000</v>
      </c>
      <c r="E277" s="1100"/>
      <c r="F277" s="1100"/>
      <c r="G277" s="1100"/>
      <c r="H277" s="1101"/>
      <c r="I277" s="939">
        <f ca="1">ROUND(IF(D277="",0,AN339)*'Account Info'!AA17,0)</f>
        <v>10</v>
      </c>
      <c r="J277" s="516" t="e">
        <f>IF(D277="","",VLOOKUP(D277,#REF!,3,FALSE))</f>
        <v>#REF!</v>
      </c>
      <c r="K277" s="516" t="e">
        <f>IF(D277="","",VLOOKUP(D277,#REF!,4,FALSE))</f>
        <v>#REF!</v>
      </c>
      <c r="L277" s="516"/>
      <c r="M277" s="1057"/>
      <c r="N277" s="1058"/>
      <c r="O277" s="1058"/>
      <c r="P277" s="1058"/>
      <c r="Q277" s="1058"/>
      <c r="R277" s="1058"/>
      <c r="S277" s="1058"/>
      <c r="T277" s="1059"/>
      <c r="U277" s="322"/>
      <c r="V277" s="340"/>
      <c r="X277" s="505" t="s">
        <v>535</v>
      </c>
      <c r="Y277" s="506">
        <v>1.21</v>
      </c>
      <c r="Z277" s="506">
        <f>ROUND(AVERAGE(Y277,AA277),2)</f>
        <v>1.28</v>
      </c>
      <c r="AA277" s="506">
        <v>1.35</v>
      </c>
      <c r="AB277" s="507"/>
      <c r="AC277" s="508"/>
      <c r="AD277" s="405" t="s">
        <v>536</v>
      </c>
      <c r="AE277" s="378">
        <v>1</v>
      </c>
      <c r="AF277" s="378">
        <f>ROUND(AVERAGE(AE277,AG277),2)</f>
        <v>1</v>
      </c>
      <c r="AG277" s="378">
        <v>1</v>
      </c>
      <c r="AH277" s="507"/>
      <c r="AI277" s="340"/>
      <c r="AJ277" s="408">
        <v>500000</v>
      </c>
      <c r="AK277" s="408">
        <v>15</v>
      </c>
      <c r="AL277" s="408">
        <v>750000</v>
      </c>
      <c r="AM277" s="408">
        <v>20</v>
      </c>
      <c r="AN277" s="522"/>
      <c r="AO277" s="521"/>
    </row>
    <row r="278" spans="1:41" ht="15" customHeight="1" x14ac:dyDescent="0.25">
      <c r="A278" s="388">
        <f>IF('Account Info'!$T$6=TRUE,1,0)</f>
        <v>1</v>
      </c>
      <c r="B278" s="1102"/>
      <c r="C278" s="1103"/>
      <c r="D278" s="456"/>
      <c r="E278" s="457"/>
      <c r="F278" s="456"/>
      <c r="G278" s="456"/>
      <c r="H278" s="456"/>
      <c r="I278" s="464"/>
      <c r="J278" s="464"/>
      <c r="K278" s="464"/>
      <c r="L278" s="464"/>
      <c r="M278" s="1051"/>
      <c r="N278" s="1052"/>
      <c r="O278" s="1052"/>
      <c r="P278" s="1052"/>
      <c r="Q278" s="1052"/>
      <c r="R278" s="1052"/>
      <c r="S278" s="1052"/>
      <c r="T278" s="1053"/>
      <c r="U278" s="322"/>
      <c r="V278" s="340"/>
      <c r="AJ278" s="408">
        <v>750000</v>
      </c>
      <c r="AK278" s="408">
        <v>20</v>
      </c>
      <c r="AL278" s="408">
        <v>1000000</v>
      </c>
      <c r="AM278" s="408">
        <v>25</v>
      </c>
      <c r="AN278" s="520">
        <f>VLOOKUP(AN274,AJ274:AM284,4,TRUE)</f>
        <v>15</v>
      </c>
      <c r="AO278" s="521" t="s">
        <v>537</v>
      </c>
    </row>
    <row r="279" spans="1:41" ht="15" customHeight="1" x14ac:dyDescent="0.25">
      <c r="A279" s="388">
        <f>IF('Account Info'!$T$6=TRUE,1,0)</f>
        <v>1</v>
      </c>
      <c r="B279" s="1102"/>
      <c r="C279" s="1103"/>
      <c r="D279" s="348" t="s">
        <v>538</v>
      </c>
      <c r="E279" s="439"/>
      <c r="F279" s="349"/>
      <c r="G279" s="349"/>
      <c r="H279" s="453"/>
      <c r="I279" s="361" t="s">
        <v>403</v>
      </c>
      <c r="J279" s="361"/>
      <c r="K279" s="361"/>
      <c r="L279" s="361"/>
      <c r="M279" s="440" t="s">
        <v>377</v>
      </c>
      <c r="N279" s="440"/>
      <c r="O279" s="441"/>
      <c r="P279" s="348"/>
      <c r="Q279" s="348"/>
      <c r="R279" s="348"/>
      <c r="S279" s="348"/>
      <c r="T279" s="348"/>
      <c r="U279" s="322"/>
      <c r="V279" s="340"/>
      <c r="AD279" s="503" t="s">
        <v>482</v>
      </c>
      <c r="AE279" s="388"/>
      <c r="AF279" s="388"/>
      <c r="AG279" s="388"/>
      <c r="AJ279" s="408">
        <v>1000000</v>
      </c>
      <c r="AK279" s="408">
        <v>25</v>
      </c>
      <c r="AL279" s="408">
        <v>1250000</v>
      </c>
      <c r="AM279" s="408">
        <v>30</v>
      </c>
      <c r="AN279" s="522"/>
      <c r="AO279" s="521"/>
    </row>
    <row r="280" spans="1:41" ht="15" customHeight="1" x14ac:dyDescent="0.25">
      <c r="A280" s="388">
        <f>IF('Account Info'!$T$6=TRUE,1,0)</f>
        <v>1</v>
      </c>
      <c r="B280" s="1102"/>
      <c r="C280" s="1103"/>
      <c r="D280" s="1033">
        <v>250000</v>
      </c>
      <c r="E280" s="1100"/>
      <c r="F280" s="1100"/>
      <c r="G280" s="1100"/>
      <c r="H280" s="1101"/>
      <c r="I280" s="939">
        <f ca="1">ROUND(IF(D280="",0,AN352)*'Account Info'!AA17,0)</f>
        <v>10</v>
      </c>
      <c r="J280" s="516" t="e">
        <f>IF(D280="","",VLOOKUP(D280,#REF!,3,FALSE))</f>
        <v>#REF!</v>
      </c>
      <c r="K280" s="516" t="e">
        <f>IF(D280="","",VLOOKUP(D280,#REF!,4,FALSE))</f>
        <v>#REF!</v>
      </c>
      <c r="L280" s="516"/>
      <c r="M280" s="1057"/>
      <c r="N280" s="1058"/>
      <c r="O280" s="1058"/>
      <c r="P280" s="1058"/>
      <c r="Q280" s="1058"/>
      <c r="R280" s="1058"/>
      <c r="S280" s="1058"/>
      <c r="T280" s="1059"/>
      <c r="U280" s="322"/>
      <c r="V280" s="340"/>
      <c r="X280" s="504" t="s">
        <v>539</v>
      </c>
      <c r="Y280" s="420"/>
      <c r="Z280" s="420"/>
      <c r="AA280" s="420"/>
      <c r="AB280" s="523"/>
      <c r="AC280" s="523"/>
      <c r="AD280" s="405" t="s">
        <v>522</v>
      </c>
      <c r="AE280" s="378">
        <v>1</v>
      </c>
      <c r="AF280" s="378">
        <f>ROUND(AVERAGE(AE280,AG280),2)</f>
        <v>1</v>
      </c>
      <c r="AG280" s="378">
        <v>1</v>
      </c>
      <c r="AH280" s="507"/>
      <c r="AI280" s="340"/>
      <c r="AJ280" s="408">
        <v>1250000</v>
      </c>
      <c r="AK280" s="408">
        <v>30</v>
      </c>
      <c r="AL280" s="408">
        <v>1500000</v>
      </c>
      <c r="AM280" s="408">
        <v>35</v>
      </c>
      <c r="AN280" s="520">
        <f>VLOOKUP(AN274,AJ274:AM284,1,TRUE)</f>
        <v>250000</v>
      </c>
      <c r="AO280" s="521" t="s">
        <v>540</v>
      </c>
    </row>
    <row r="281" spans="1:41" ht="15" customHeight="1" x14ac:dyDescent="0.25">
      <c r="A281" s="388">
        <f>IF('Account Info'!$T$6=TRUE,1,0)</f>
        <v>1</v>
      </c>
      <c r="B281" s="1102"/>
      <c r="C281" s="1103"/>
      <c r="D281" s="491"/>
      <c r="E281" s="492"/>
      <c r="F281" s="492"/>
      <c r="G281" s="492"/>
      <c r="H281" s="492"/>
      <c r="I281" s="496"/>
      <c r="J281" s="463"/>
      <c r="K281" s="463"/>
      <c r="L281" s="463"/>
      <c r="M281" s="1051"/>
      <c r="N281" s="1052"/>
      <c r="O281" s="1052"/>
      <c r="P281" s="1052"/>
      <c r="Q281" s="1052"/>
      <c r="R281" s="1052"/>
      <c r="S281" s="1052"/>
      <c r="T281" s="1053"/>
      <c r="U281" s="322"/>
      <c r="V281" s="340"/>
      <c r="X281" s="408">
        <v>0</v>
      </c>
      <c r="Y281" s="408">
        <v>0</v>
      </c>
      <c r="Z281" s="408">
        <v>50000</v>
      </c>
      <c r="AA281" s="408">
        <v>50</v>
      </c>
      <c r="AB281" s="408">
        <f>VLOOKUP(D110,DandO34,1,TRUE)</f>
        <v>250000</v>
      </c>
      <c r="AC281" s="408">
        <f>VLOOKUP(AB281,X281:Y288,2,FALSE)</f>
        <v>125</v>
      </c>
      <c r="AD281" s="405" t="s">
        <v>524</v>
      </c>
      <c r="AE281" s="378">
        <v>0.8</v>
      </c>
      <c r="AF281" s="378">
        <f>ROUND(AVERAGE(AE281,AG281),2)</f>
        <v>0.9</v>
      </c>
      <c r="AG281" s="378">
        <v>0.99</v>
      </c>
      <c r="AH281" s="507"/>
      <c r="AI281" s="340"/>
      <c r="AJ281" s="408">
        <v>1500000</v>
      </c>
      <c r="AK281" s="408">
        <v>35</v>
      </c>
      <c r="AL281" s="408">
        <v>5000000</v>
      </c>
      <c r="AM281" s="408">
        <v>75</v>
      </c>
      <c r="AN281" s="522"/>
      <c r="AO281" s="521"/>
    </row>
    <row r="282" spans="1:41" ht="15" customHeight="1" x14ac:dyDescent="0.25">
      <c r="A282" s="388">
        <f>IF('Account Info'!$T$6=TRUE,1,0)</f>
        <v>1</v>
      </c>
      <c r="B282" s="1102"/>
      <c r="C282" s="1103"/>
      <c r="D282" s="491"/>
      <c r="E282" s="492"/>
      <c r="F282" s="492"/>
      <c r="G282" s="492"/>
      <c r="H282" s="465" t="s">
        <v>541</v>
      </c>
      <c r="I282" s="939">
        <f ca="1">IF(X255="","",ROUND(X255*PRODUCT(V257:V262)+I265+I268+I271+I274+I277+I280,0))</f>
        <v>1049</v>
      </c>
      <c r="J282" s="463"/>
      <c r="K282" s="463"/>
      <c r="L282" s="463"/>
      <c r="M282" s="467"/>
      <c r="N282" s="468"/>
      <c r="O282" s="468"/>
      <c r="P282" s="468"/>
      <c r="Q282" s="468"/>
      <c r="R282" s="468"/>
      <c r="S282" s="468"/>
      <c r="T282" s="468"/>
      <c r="U282" s="322"/>
      <c r="V282" s="340"/>
      <c r="X282" s="408">
        <v>50000</v>
      </c>
      <c r="Y282" s="408">
        <v>50</v>
      </c>
      <c r="Z282" s="408">
        <v>250000</v>
      </c>
      <c r="AA282" s="408">
        <v>125</v>
      </c>
      <c r="AB282" s="523"/>
      <c r="AC282" s="523"/>
      <c r="AD282" s="405" t="s">
        <v>526</v>
      </c>
      <c r="AE282" s="378">
        <v>1.01</v>
      </c>
      <c r="AF282" s="378">
        <f>ROUND(AVERAGE(AE282,AG282),2)</f>
        <v>1.1100000000000001</v>
      </c>
      <c r="AG282" s="378">
        <v>1.2</v>
      </c>
      <c r="AH282" s="507"/>
      <c r="AI282" s="340"/>
      <c r="AJ282" s="408">
        <v>5000000</v>
      </c>
      <c r="AK282" s="408">
        <v>75</v>
      </c>
      <c r="AL282" s="408">
        <v>10000000</v>
      </c>
      <c r="AM282" s="408">
        <v>100</v>
      </c>
      <c r="AN282" s="520">
        <f>VLOOKUP(AN274,AJ274:AM284,2,TRUE)</f>
        <v>10</v>
      </c>
      <c r="AO282" s="521" t="s">
        <v>542</v>
      </c>
    </row>
    <row r="283" spans="1:41" ht="15" hidden="1" customHeight="1" x14ac:dyDescent="0.25">
      <c r="A283" s="495">
        <f>IF($Z$30=TRUE,1,0)</f>
        <v>0</v>
      </c>
      <c r="B283" s="1102"/>
      <c r="C283" s="1103"/>
      <c r="D283" s="491"/>
      <c r="E283" s="492"/>
      <c r="F283" s="492"/>
      <c r="G283" s="492"/>
      <c r="H283" s="465"/>
      <c r="I283" s="496"/>
      <c r="J283" s="463"/>
      <c r="K283" s="463"/>
      <c r="L283" s="463"/>
      <c r="M283" s="467"/>
      <c r="N283" s="468"/>
      <c r="O283" s="468"/>
      <c r="P283" s="468"/>
      <c r="Q283" s="468"/>
      <c r="R283" s="468"/>
      <c r="S283" s="468"/>
      <c r="T283" s="468"/>
      <c r="U283" s="322"/>
      <c r="V283" s="340"/>
      <c r="X283" s="408">
        <v>250000</v>
      </c>
      <c r="Y283" s="408">
        <v>125</v>
      </c>
      <c r="Z283" s="408">
        <v>500000</v>
      </c>
      <c r="AA283" s="408">
        <v>225</v>
      </c>
      <c r="AB283" s="408">
        <f>D110</f>
        <v>250000</v>
      </c>
      <c r="AC283" s="408">
        <f>(((AB283-AB281)/(AB285-AB281))*(AC285-AC281))+AC281</f>
        <v>125</v>
      </c>
      <c r="AD283" s="405" t="s">
        <v>527</v>
      </c>
      <c r="AE283" s="378">
        <v>0.65</v>
      </c>
      <c r="AF283" s="378">
        <f>ROUND(AVERAGE(AE283,AG283),2)</f>
        <v>0.72</v>
      </c>
      <c r="AG283" s="378">
        <v>0.79</v>
      </c>
      <c r="AH283" s="507"/>
      <c r="AI283" s="340"/>
      <c r="AJ283" s="408">
        <v>10000000</v>
      </c>
      <c r="AK283" s="408">
        <v>100</v>
      </c>
      <c r="AL283" s="408">
        <v>25000000</v>
      </c>
      <c r="AM283" s="408">
        <v>150</v>
      </c>
      <c r="AN283" s="522"/>
      <c r="AO283" s="521"/>
    </row>
    <row r="284" spans="1:41" ht="15" hidden="1" customHeight="1" x14ac:dyDescent="0.25">
      <c r="A284" s="495">
        <f t="shared" ref="A284" si="16">IF($Z$30=TRUE,1,0)</f>
        <v>0</v>
      </c>
      <c r="B284" s="1102"/>
      <c r="C284" s="1103"/>
      <c r="D284" s="491"/>
      <c r="E284" s="492"/>
      <c r="F284" s="492"/>
      <c r="G284" s="492"/>
      <c r="H284" s="465" t="s">
        <v>543</v>
      </c>
      <c r="I284" s="939">
        <f ca="1">IF(I282="","",ROUND(IF(Z30=FALSE,I282,I282*$V$51),0))</f>
        <v>1049</v>
      </c>
      <c r="J284" s="463"/>
      <c r="K284" s="463"/>
      <c r="L284" s="463"/>
      <c r="M284" s="467"/>
      <c r="N284" s="468"/>
      <c r="O284" s="468"/>
      <c r="P284" s="468"/>
      <c r="Q284" s="468"/>
      <c r="R284" s="468"/>
      <c r="S284" s="468"/>
      <c r="T284" s="468"/>
      <c r="U284" s="322"/>
      <c r="V284" s="340"/>
      <c r="X284" s="408">
        <v>500000</v>
      </c>
      <c r="Y284" s="408">
        <v>225</v>
      </c>
      <c r="Z284" s="408">
        <v>1000000</v>
      </c>
      <c r="AA284" s="408">
        <v>400</v>
      </c>
      <c r="AB284" s="523"/>
      <c r="AC284" s="523"/>
      <c r="AD284" s="405" t="s">
        <v>535</v>
      </c>
      <c r="AE284" s="378">
        <v>1.21</v>
      </c>
      <c r="AF284" s="378">
        <f>ROUND(AVERAGE(AE284,AG284),2)</f>
        <v>1.28</v>
      </c>
      <c r="AG284" s="378">
        <v>1.35</v>
      </c>
      <c r="AJ284" s="408">
        <v>25000000</v>
      </c>
      <c r="AK284" s="408">
        <v>150</v>
      </c>
      <c r="AL284" s="340"/>
      <c r="AM284" s="340"/>
      <c r="AN284" s="520">
        <f>(((AN274-AN280)/(AN276-AN280))*(AN278-AN282))+AN282</f>
        <v>10</v>
      </c>
      <c r="AO284" s="521" t="s">
        <v>544</v>
      </c>
    </row>
    <row r="285" spans="1:41" ht="15" customHeight="1" x14ac:dyDescent="0.25">
      <c r="A285" s="388">
        <f>IF('Account Info'!$T$6=TRUE,1,0)</f>
        <v>1</v>
      </c>
      <c r="B285" s="1102"/>
      <c r="C285" s="1103"/>
      <c r="D285" s="491"/>
      <c r="E285" s="492"/>
      <c r="F285" s="492"/>
      <c r="G285" s="492"/>
      <c r="H285" s="465"/>
      <c r="I285" s="496"/>
      <c r="J285" s="497" t="s">
        <v>403</v>
      </c>
      <c r="K285" s="494"/>
      <c r="L285" s="494"/>
      <c r="M285" s="467"/>
      <c r="N285" s="468"/>
      <c r="O285" s="468"/>
      <c r="P285" s="468"/>
      <c r="Q285" s="468"/>
      <c r="R285" s="468"/>
      <c r="S285" s="468"/>
      <c r="T285" s="468"/>
      <c r="U285" s="322"/>
      <c r="V285" s="340"/>
      <c r="X285" s="408">
        <v>1000000</v>
      </c>
      <c r="Y285" s="408">
        <v>400</v>
      </c>
      <c r="Z285" s="408">
        <v>5000000</v>
      </c>
      <c r="AA285" s="408">
        <v>1000</v>
      </c>
      <c r="AB285" s="408">
        <f>VLOOKUP(D110,X281:AA288,3,TRUE)</f>
        <v>500000</v>
      </c>
      <c r="AC285" s="408">
        <f>VLOOKUP(AB285,X281:Y288,2,FALSE)</f>
        <v>225</v>
      </c>
      <c r="AL285" s="340"/>
      <c r="AM285" s="340"/>
    </row>
    <row r="286" spans="1:41" ht="15" customHeight="1" x14ac:dyDescent="0.25">
      <c r="A286" s="388">
        <f>IF('Account Info'!$T$6=TRUE,1,0)</f>
        <v>1</v>
      </c>
      <c r="B286" s="1102"/>
      <c r="C286" s="1103"/>
      <c r="D286" s="491"/>
      <c r="E286" s="492"/>
      <c r="F286" s="492"/>
      <c r="G286" s="492"/>
      <c r="H286" s="465" t="s">
        <v>409</v>
      </c>
      <c r="I286" s="498">
        <v>0</v>
      </c>
      <c r="J286" s="939">
        <f>ROUND(IF(I286=0,0,((('D&amp;O-EPL-Crime-Fidu ILFs'!AW34-'D&amp;O-EPL-Crime-Fidu ILFs'!AE34)*0.4)/'D&amp;O-EPL-Crime-Fidu ILFs'!AE34)*I282),0)</f>
        <v>0</v>
      </c>
      <c r="K286" s="494"/>
      <c r="L286" s="494"/>
      <c r="M286" s="467"/>
      <c r="N286" s="468"/>
      <c r="O286" s="468"/>
      <c r="P286" s="468"/>
      <c r="Q286" s="468"/>
      <c r="R286" s="468"/>
      <c r="S286" s="468"/>
      <c r="T286" s="468"/>
      <c r="U286" s="322"/>
      <c r="V286" s="340"/>
      <c r="X286" s="408">
        <v>5000000</v>
      </c>
      <c r="Y286" s="408">
        <v>1000</v>
      </c>
      <c r="Z286" s="408">
        <v>10000000</v>
      </c>
      <c r="AA286" s="408">
        <v>1500</v>
      </c>
      <c r="AB286" s="523"/>
      <c r="AC286" s="523"/>
      <c r="AJ286" s="504" t="s">
        <v>545</v>
      </c>
      <c r="AK286" s="420"/>
      <c r="AL286" s="340"/>
      <c r="AM286" s="340"/>
    </row>
    <row r="287" spans="1:41" ht="15" customHeight="1" x14ac:dyDescent="0.25">
      <c r="A287" s="499">
        <f>IF(AND('Account Info'!$U$12&gt;1,'Account Info'!$T$6=TRUE),1,0)</f>
        <v>1</v>
      </c>
      <c r="B287" s="1102"/>
      <c r="C287" s="1103"/>
      <c r="D287" s="491"/>
      <c r="E287" s="492"/>
      <c r="F287" s="492"/>
      <c r="G287" s="492"/>
      <c r="H287" s="465"/>
      <c r="J287" s="361" t="str">
        <f>IF(AND('Account Info'!$AA$4="Range State",I288="Yes"),"Low","")</f>
        <v/>
      </c>
      <c r="K287" s="361" t="str">
        <f>IF(I288&lt;&gt;"Yes","",IF('Account Info'!$AA$4="Range State","Benchmark","Selection"))</f>
        <v/>
      </c>
      <c r="L287" s="361" t="str">
        <f>IF(AND('Account Info'!$AA$4="Range State",I288="Yes"),"High","")</f>
        <v/>
      </c>
      <c r="M287" s="361" t="str">
        <f>IF(AND('Account Info'!$AA$4="Range State",I288="Yes"),"Selection","")</f>
        <v/>
      </c>
      <c r="N287" s="468"/>
      <c r="O287" s="468"/>
      <c r="P287" s="468"/>
      <c r="Q287" s="468"/>
      <c r="R287" s="468"/>
      <c r="S287" s="468"/>
      <c r="T287" s="468"/>
      <c r="U287" s="322"/>
      <c r="V287" s="340"/>
      <c r="X287" s="408">
        <v>10000000</v>
      </c>
      <c r="Y287" s="408">
        <v>1500</v>
      </c>
      <c r="Z287" s="408">
        <v>25000000</v>
      </c>
      <c r="AA287" s="408">
        <v>2500</v>
      </c>
      <c r="AB287" s="524"/>
      <c r="AC287" s="524"/>
      <c r="AD287" s="503" t="s">
        <v>546</v>
      </c>
      <c r="AE287" s="500" t="s">
        <v>547</v>
      </c>
      <c r="AF287" s="500" t="s">
        <v>548</v>
      </c>
      <c r="AG287" s="500" t="s">
        <v>549</v>
      </c>
      <c r="AH287" s="525"/>
      <c r="AI287" s="525"/>
      <c r="AJ287" s="408">
        <v>0</v>
      </c>
      <c r="AK287" s="408">
        <v>0</v>
      </c>
      <c r="AL287" s="408">
        <v>50000</v>
      </c>
      <c r="AM287" s="408">
        <v>5</v>
      </c>
      <c r="AN287" s="520">
        <f>D268</f>
        <v>250000</v>
      </c>
      <c r="AO287" s="521" t="s">
        <v>285</v>
      </c>
    </row>
    <row r="288" spans="1:41" ht="15" customHeight="1" x14ac:dyDescent="0.25">
      <c r="A288" s="499">
        <f>IF(AND('Account Info'!$U$12&gt;1,'Account Info'!$T$6=TRUE),1,0)</f>
        <v>1</v>
      </c>
      <c r="B288" s="1102"/>
      <c r="C288" s="1103"/>
      <c r="D288" s="491"/>
      <c r="E288" s="492"/>
      <c r="F288" s="492"/>
      <c r="G288" s="492"/>
      <c r="H288" s="465" t="s">
        <v>410</v>
      </c>
      <c r="I288" s="498" t="s">
        <v>411</v>
      </c>
      <c r="J288" s="443">
        <f>IF(I288="Yes",0.8,1)</f>
        <v>1</v>
      </c>
      <c r="K288" s="443">
        <f>IF(I288="Yes",0.9,1)</f>
        <v>1</v>
      </c>
      <c r="L288" s="443">
        <f>IF(I288="Yes",1,1)</f>
        <v>1</v>
      </c>
      <c r="M288" s="444">
        <v>0.9</v>
      </c>
      <c r="N288" s="468"/>
      <c r="O288" s="468"/>
      <c r="P288" s="468"/>
      <c r="Q288" s="468"/>
      <c r="R288" s="468"/>
      <c r="S288" s="468"/>
      <c r="T288" s="468"/>
      <c r="U288" s="322"/>
      <c r="V288" s="340">
        <f>IF('Account Info'!$AA$4="Flat Rate State",IF(K288="",1,K288),IF(M288="",1,M288))</f>
        <v>0.9</v>
      </c>
      <c r="X288" s="408">
        <v>25000000</v>
      </c>
      <c r="Y288" s="408">
        <v>2500</v>
      </c>
      <c r="Z288" s="420"/>
      <c r="AA288" s="420"/>
      <c r="AB288" s="523"/>
      <c r="AC288" s="523"/>
      <c r="AD288" s="407">
        <v>0</v>
      </c>
      <c r="AE288" s="378">
        <v>1</v>
      </c>
      <c r="AF288" s="378">
        <v>1</v>
      </c>
      <c r="AG288" s="378">
        <v>1</v>
      </c>
      <c r="AH288" s="507"/>
      <c r="AI288" s="508"/>
      <c r="AJ288" s="408">
        <v>50000</v>
      </c>
      <c r="AK288" s="408">
        <v>5</v>
      </c>
      <c r="AL288" s="408">
        <v>250000</v>
      </c>
      <c r="AM288" s="408">
        <v>10</v>
      </c>
      <c r="AN288" s="522"/>
      <c r="AO288" s="521"/>
    </row>
    <row r="289" spans="1:41" ht="15" customHeight="1" x14ac:dyDescent="0.25">
      <c r="A289" s="388">
        <f>IF('Account Info'!$T$6=TRUE,1,0)</f>
        <v>1</v>
      </c>
      <c r="B289" s="1102"/>
      <c r="C289" s="1103"/>
      <c r="D289" s="491"/>
      <c r="E289" s="492"/>
      <c r="F289" s="492"/>
      <c r="G289" s="492"/>
      <c r="H289" s="465"/>
      <c r="I289" s="496"/>
      <c r="J289" s="494"/>
      <c r="K289" s="494"/>
      <c r="L289" s="494"/>
      <c r="M289" s="467"/>
      <c r="N289" s="468"/>
      <c r="O289" s="468"/>
      <c r="P289" s="468"/>
      <c r="Q289" s="468"/>
      <c r="R289" s="468"/>
      <c r="S289" s="468"/>
      <c r="T289" s="468"/>
      <c r="U289" s="322"/>
      <c r="V289" s="340"/>
      <c r="X289" s="504" t="s">
        <v>550</v>
      </c>
      <c r="Y289" s="420"/>
      <c r="Z289" s="420"/>
      <c r="AA289" s="420"/>
      <c r="AB289" s="523"/>
      <c r="AC289" s="523"/>
      <c r="AD289" s="407">
        <v>1</v>
      </c>
      <c r="AE289" s="378">
        <v>1.03</v>
      </c>
      <c r="AF289" s="378">
        <v>1.05</v>
      </c>
      <c r="AG289" s="378">
        <v>1.1000000000000001</v>
      </c>
      <c r="AJ289" s="408">
        <v>250000</v>
      </c>
      <c r="AK289" s="408">
        <v>10</v>
      </c>
      <c r="AL289" s="408">
        <v>500000</v>
      </c>
      <c r="AM289" s="408">
        <v>15</v>
      </c>
      <c r="AN289" s="520">
        <f>VLOOKUP(AN287,AJ287:AM297,3,TRUE)</f>
        <v>500000</v>
      </c>
      <c r="AO289" s="521" t="s">
        <v>534</v>
      </c>
    </row>
    <row r="290" spans="1:41" ht="15" customHeight="1" x14ac:dyDescent="0.25">
      <c r="A290" s="388">
        <f>IF('Account Info'!$T$6=TRUE,1,0)</f>
        <v>1</v>
      </c>
      <c r="B290" s="1102"/>
      <c r="C290" s="1103"/>
      <c r="D290" s="491"/>
      <c r="E290" s="492"/>
      <c r="F290" s="492"/>
      <c r="G290" s="492"/>
      <c r="H290" s="465" t="s">
        <v>551</v>
      </c>
      <c r="I290" s="939">
        <f ca="1">IF(I284="","",ROUND(I284+J286*V288,0))</f>
        <v>1049</v>
      </c>
      <c r="J290" s="494"/>
      <c r="K290" s="494"/>
      <c r="L290" s="494"/>
      <c r="M290" s="467"/>
      <c r="N290" s="468"/>
      <c r="O290" s="468"/>
      <c r="P290" s="468"/>
      <c r="Q290" s="468"/>
      <c r="R290" s="468"/>
      <c r="S290" s="468"/>
      <c r="T290" s="468"/>
      <c r="U290" s="322"/>
      <c r="V290" s="340"/>
      <c r="X290" s="408">
        <v>0</v>
      </c>
      <c r="Y290" s="408">
        <v>0</v>
      </c>
      <c r="Z290" s="408">
        <v>50000</v>
      </c>
      <c r="AA290" s="408">
        <v>25</v>
      </c>
      <c r="AB290" s="408">
        <f>VLOOKUP(D113,DandO35,1,TRUE)</f>
        <v>0</v>
      </c>
      <c r="AC290" s="408">
        <f>VLOOKUP(AB290,X290:Y297,2,FALSE)</f>
        <v>0</v>
      </c>
      <c r="AD290" s="407">
        <v>100001</v>
      </c>
      <c r="AE290" s="378">
        <v>1.05</v>
      </c>
      <c r="AF290" s="378">
        <v>1.07</v>
      </c>
      <c r="AG290" s="378">
        <v>1.1200000000000001</v>
      </c>
      <c r="AH290" s="507"/>
      <c r="AI290" s="508"/>
      <c r="AJ290" s="408">
        <v>500000</v>
      </c>
      <c r="AK290" s="408">
        <v>15</v>
      </c>
      <c r="AL290" s="408">
        <v>750000</v>
      </c>
      <c r="AM290" s="408">
        <v>20</v>
      </c>
      <c r="AN290" s="522"/>
      <c r="AO290" s="521"/>
    </row>
    <row r="291" spans="1:41" ht="15" customHeight="1" x14ac:dyDescent="0.25">
      <c r="A291" s="388">
        <f>IF('Account Info'!$T$6=TRUE,1,0)</f>
        <v>1</v>
      </c>
      <c r="B291" s="1102"/>
      <c r="C291" s="1103"/>
      <c r="D291" s="491"/>
      <c r="E291" s="492"/>
      <c r="F291" s="492"/>
      <c r="G291" s="492"/>
      <c r="H291" s="465"/>
      <c r="I291" s="496"/>
      <c r="J291" s="497" t="s">
        <v>403</v>
      </c>
      <c r="K291" s="463"/>
      <c r="L291" s="463"/>
      <c r="M291" s="467"/>
      <c r="N291" s="468"/>
      <c r="O291" s="468"/>
      <c r="P291" s="468"/>
      <c r="Q291" s="468"/>
      <c r="R291" s="468"/>
      <c r="S291" s="468"/>
      <c r="T291" s="468"/>
      <c r="U291" s="322"/>
      <c r="V291" s="340"/>
      <c r="X291" s="819">
        <v>50000</v>
      </c>
      <c r="Y291" s="819">
        <v>25</v>
      </c>
      <c r="Z291" s="819">
        <v>250000</v>
      </c>
      <c r="AA291" s="819">
        <v>75</v>
      </c>
      <c r="AB291" s="524"/>
      <c r="AC291" s="524"/>
      <c r="AD291" s="407">
        <v>150001</v>
      </c>
      <c r="AE291" s="378">
        <v>1.07</v>
      </c>
      <c r="AF291" s="378">
        <v>1.0900000000000001</v>
      </c>
      <c r="AG291" s="378">
        <v>1.1499999999999999</v>
      </c>
      <c r="AH291" s="507"/>
      <c r="AI291" s="508"/>
      <c r="AJ291" s="408">
        <v>750000</v>
      </c>
      <c r="AK291" s="408">
        <v>20</v>
      </c>
      <c r="AL291" s="408">
        <v>1000000</v>
      </c>
      <c r="AM291" s="408">
        <v>25</v>
      </c>
      <c r="AN291" s="520">
        <f>VLOOKUP(AN287,AJ287:AM297,4,TRUE)</f>
        <v>15</v>
      </c>
      <c r="AO291" s="521" t="s">
        <v>537</v>
      </c>
    </row>
    <row r="292" spans="1:41" ht="15" customHeight="1" x14ac:dyDescent="0.25">
      <c r="A292" s="388">
        <f>IF('Account Info'!$T$6=TRUE,1,0)</f>
        <v>1</v>
      </c>
      <c r="B292" s="1102"/>
      <c r="C292" s="1103"/>
      <c r="D292" s="491"/>
      <c r="E292" s="492"/>
      <c r="F292" s="492"/>
      <c r="G292" s="492"/>
      <c r="H292" s="465" t="s">
        <v>504</v>
      </c>
      <c r="I292" s="498">
        <v>0</v>
      </c>
      <c r="J292" s="939">
        <f ca="1">ROUND(IF(I292=0,0,VLOOKUP(I292,AJ356:AK362,2,FALSE))*'Account Info'!AA17,0)</f>
        <v>0</v>
      </c>
      <c r="K292" s="463"/>
      <c r="L292" s="463"/>
      <c r="M292" s="467"/>
      <c r="N292" s="468"/>
      <c r="O292" s="468"/>
      <c r="P292" s="468"/>
      <c r="Q292" s="468"/>
      <c r="R292" s="468"/>
      <c r="S292" s="468"/>
      <c r="T292" s="468"/>
      <c r="U292" s="322"/>
      <c r="V292" s="340"/>
      <c r="X292" s="408">
        <v>250000</v>
      </c>
      <c r="Y292" s="408">
        <v>75</v>
      </c>
      <c r="Z292" s="408">
        <v>1000000</v>
      </c>
      <c r="AA292" s="408">
        <v>200</v>
      </c>
      <c r="AB292" s="408">
        <f>D113</f>
        <v>25000</v>
      </c>
      <c r="AC292" s="408">
        <f>(((AB292-AB290)/(AB294-AB290))*(AC294-AC290))+AC290</f>
        <v>12.5</v>
      </c>
      <c r="AD292" s="407">
        <v>250001</v>
      </c>
      <c r="AE292" s="378">
        <v>1.1000000000000001</v>
      </c>
      <c r="AF292" s="378">
        <v>1.1200000000000001</v>
      </c>
      <c r="AG292" s="378">
        <v>1.18</v>
      </c>
      <c r="AH292" s="507"/>
      <c r="AI292" s="508"/>
      <c r="AJ292" s="408">
        <v>1000000</v>
      </c>
      <c r="AK292" s="408">
        <v>25</v>
      </c>
      <c r="AL292" s="408">
        <v>1250000</v>
      </c>
      <c r="AM292" s="408">
        <v>30</v>
      </c>
      <c r="AN292" s="522"/>
      <c r="AO292" s="521"/>
    </row>
    <row r="293" spans="1:41" ht="15" customHeight="1" x14ac:dyDescent="0.25">
      <c r="A293" s="388">
        <f>IF('Account Info'!$T$6=TRUE,1,0)</f>
        <v>1</v>
      </c>
      <c r="B293" s="1102"/>
      <c r="C293" s="1103"/>
      <c r="D293" s="491"/>
      <c r="E293" s="492"/>
      <c r="F293" s="492"/>
      <c r="G293" s="492"/>
      <c r="H293" s="465"/>
      <c r="I293" s="496"/>
      <c r="J293" s="496"/>
      <c r="K293" s="463"/>
      <c r="L293" s="463"/>
      <c r="M293" s="467"/>
      <c r="N293" s="468"/>
      <c r="O293" s="468"/>
      <c r="P293" s="468"/>
      <c r="Q293" s="468"/>
      <c r="R293" s="468"/>
      <c r="S293" s="468"/>
      <c r="T293" s="468"/>
      <c r="U293" s="322"/>
      <c r="V293" s="340"/>
      <c r="X293" s="408">
        <v>1000000</v>
      </c>
      <c r="Y293" s="408">
        <v>200</v>
      </c>
      <c r="Z293" s="408">
        <v>5000000</v>
      </c>
      <c r="AA293" s="408">
        <v>500</v>
      </c>
      <c r="AB293" s="526"/>
      <c r="AC293" s="527"/>
      <c r="AD293" s="407">
        <v>500001</v>
      </c>
      <c r="AE293" s="378">
        <v>1.1599999999999999</v>
      </c>
      <c r="AF293" s="378">
        <v>1.19</v>
      </c>
      <c r="AG293" s="378">
        <v>1.22</v>
      </c>
      <c r="AH293" s="507"/>
      <c r="AI293" s="508"/>
      <c r="AJ293" s="408">
        <v>1250000</v>
      </c>
      <c r="AK293" s="408">
        <v>30</v>
      </c>
      <c r="AL293" s="408">
        <v>1500000</v>
      </c>
      <c r="AM293" s="408">
        <v>35</v>
      </c>
      <c r="AN293" s="520">
        <f>VLOOKUP(AN287,AJ287:AM297,1,TRUE)</f>
        <v>250000</v>
      </c>
      <c r="AO293" s="521" t="s">
        <v>540</v>
      </c>
    </row>
    <row r="294" spans="1:41" ht="15" customHeight="1" x14ac:dyDescent="0.25">
      <c r="A294" s="388">
        <f>IF('Account Info'!$T$6=TRUE,1,0)</f>
        <v>1</v>
      </c>
      <c r="B294" s="1102"/>
      <c r="C294" s="1103"/>
      <c r="D294" s="491"/>
      <c r="E294" s="492"/>
      <c r="F294" s="492"/>
      <c r="G294" s="492"/>
      <c r="H294" s="465" t="s">
        <v>552</v>
      </c>
      <c r="I294" s="939">
        <f ca="1">IF(I290="","",ROUND(I290+J292,0))</f>
        <v>1049</v>
      </c>
      <c r="J294" s="496"/>
      <c r="K294" s="463"/>
      <c r="L294" s="463"/>
      <c r="M294" s="467"/>
      <c r="N294" s="468"/>
      <c r="O294" s="468"/>
      <c r="P294" s="468"/>
      <c r="Q294" s="468"/>
      <c r="R294" s="468"/>
      <c r="S294" s="468"/>
      <c r="T294" s="468"/>
      <c r="U294" s="322"/>
      <c r="V294" s="340"/>
      <c r="X294" s="408">
        <v>5000000</v>
      </c>
      <c r="Y294" s="408">
        <v>500</v>
      </c>
      <c r="Z294" s="408">
        <v>10000000</v>
      </c>
      <c r="AA294" s="408">
        <v>750</v>
      </c>
      <c r="AB294" s="408">
        <f>VLOOKUP(D113,X290:AA296,3,TRUE)</f>
        <v>50000</v>
      </c>
      <c r="AC294" s="408">
        <f>VLOOKUP(AB294,X290:Y296,2,FALSE)</f>
        <v>25</v>
      </c>
      <c r="AD294" s="407">
        <v>1000001</v>
      </c>
      <c r="AE294" s="378">
        <v>1.24</v>
      </c>
      <c r="AF294" s="378">
        <v>1.27</v>
      </c>
      <c r="AG294" s="378">
        <v>1.3</v>
      </c>
      <c r="AH294" s="507"/>
      <c r="AI294" s="340"/>
      <c r="AJ294" s="408">
        <v>1500000</v>
      </c>
      <c r="AK294" s="408">
        <v>35</v>
      </c>
      <c r="AL294" s="408">
        <v>5000000</v>
      </c>
      <c r="AM294" s="408">
        <v>75</v>
      </c>
      <c r="AN294" s="522"/>
      <c r="AO294" s="521"/>
    </row>
    <row r="295" spans="1:41" ht="15" customHeight="1" thickBot="1" x14ac:dyDescent="0.3">
      <c r="A295" s="388">
        <f>IF('Account Info'!$T$6=TRUE,1,0)</f>
        <v>1</v>
      </c>
      <c r="B295" s="1104"/>
      <c r="C295" s="1105"/>
      <c r="D295" s="326"/>
      <c r="E295" s="326"/>
      <c r="F295" s="326"/>
      <c r="G295" s="326"/>
      <c r="H295" s="326"/>
      <c r="I295" s="519"/>
      <c r="J295" s="519"/>
      <c r="K295" s="519"/>
      <c r="L295" s="519"/>
      <c r="M295" s="326"/>
      <c r="N295" s="326"/>
      <c r="O295" s="326"/>
      <c r="P295" s="326"/>
      <c r="Q295" s="326"/>
      <c r="R295" s="326"/>
      <c r="S295" s="326"/>
      <c r="T295" s="326"/>
      <c r="U295" s="327"/>
      <c r="V295" s="340"/>
      <c r="X295" s="408">
        <v>10000000</v>
      </c>
      <c r="Y295" s="408">
        <v>750</v>
      </c>
      <c r="Z295" s="408">
        <v>25000000</v>
      </c>
      <c r="AA295" s="408">
        <v>1250</v>
      </c>
      <c r="AB295" s="526"/>
      <c r="AC295" s="527"/>
      <c r="AD295" s="407">
        <v>2000001</v>
      </c>
      <c r="AE295" s="378">
        <v>1.3</v>
      </c>
      <c r="AF295" s="378">
        <f t="shared" ref="AF295" si="17">AVERAGE(AE295,AG295)</f>
        <v>1.33</v>
      </c>
      <c r="AG295" s="378">
        <v>1.36</v>
      </c>
      <c r="AH295" s="340"/>
      <c r="AI295" s="340"/>
      <c r="AJ295" s="408">
        <v>5000000</v>
      </c>
      <c r="AK295" s="408">
        <v>75</v>
      </c>
      <c r="AL295" s="408">
        <v>10000000</v>
      </c>
      <c r="AM295" s="408">
        <v>100</v>
      </c>
      <c r="AN295" s="520">
        <f>VLOOKUP(AN287,AJ287:AM297,2,TRUE)</f>
        <v>10</v>
      </c>
      <c r="AO295" s="521" t="s">
        <v>542</v>
      </c>
    </row>
    <row r="296" spans="1:41" ht="18.75" customHeight="1" x14ac:dyDescent="0.3">
      <c r="A296" s="420">
        <f>IF('Account Info'!$T$7=TRUE,1,0)</f>
        <v>1</v>
      </c>
      <c r="B296" s="470" t="s">
        <v>553</v>
      </c>
      <c r="C296" s="309"/>
      <c r="D296" s="309"/>
      <c r="E296" s="309"/>
      <c r="F296" s="310"/>
      <c r="G296" s="310"/>
      <c r="H296" s="528"/>
      <c r="I296" s="310"/>
      <c r="J296" s="310"/>
      <c r="K296" s="310"/>
      <c r="L296" s="310"/>
      <c r="M296" s="310"/>
      <c r="N296" s="310"/>
      <c r="O296" s="528"/>
      <c r="P296" s="309"/>
      <c r="Q296" s="309"/>
      <c r="R296" s="309"/>
      <c r="S296" s="309"/>
      <c r="T296" s="309"/>
      <c r="U296" s="311"/>
      <c r="V296" s="340">
        <v>1</v>
      </c>
      <c r="X296" s="408">
        <v>25000000</v>
      </c>
      <c r="Y296" s="408">
        <v>1250</v>
      </c>
      <c r="Z296" s="408"/>
      <c r="AA296" s="408"/>
      <c r="AB296" s="408"/>
      <c r="AC296" s="408"/>
      <c r="AD296" s="503" t="s">
        <v>554</v>
      </c>
      <c r="AE296" s="388"/>
      <c r="AF296" s="388"/>
      <c r="AG296" s="388"/>
      <c r="AH296" s="529"/>
      <c r="AI296" s="529"/>
      <c r="AJ296" s="408">
        <v>10000000</v>
      </c>
      <c r="AK296" s="408">
        <v>100</v>
      </c>
      <c r="AL296" s="408">
        <v>25000000</v>
      </c>
      <c r="AM296" s="408">
        <v>150</v>
      </c>
      <c r="AN296" s="522"/>
      <c r="AO296" s="521"/>
    </row>
    <row r="297" spans="1:41" ht="15" customHeight="1" x14ac:dyDescent="0.25">
      <c r="A297" s="420">
        <f>IF('Account Info'!$T$7=TRUE,1,0)</f>
        <v>1</v>
      </c>
      <c r="B297" s="1091" t="s">
        <v>298</v>
      </c>
      <c r="C297" s="1092"/>
      <c r="D297" s="348" t="s">
        <v>380</v>
      </c>
      <c r="E297" s="349"/>
      <c r="F297" s="439"/>
      <c r="G297" s="439"/>
      <c r="H297" s="453"/>
      <c r="I297" s="361" t="str">
        <f>IF('Account Info'!$AA$4="Range State","Low","")</f>
        <v>Low</v>
      </c>
      <c r="J297" s="361" t="str">
        <f>IF('Account Info'!$AA$4="Range State","Benchmark","Selection")</f>
        <v>Benchmark</v>
      </c>
      <c r="K297" s="361" t="str">
        <f>IF('Account Info'!$AA$4="Range State","High","")</f>
        <v>High</v>
      </c>
      <c r="L297" s="361" t="str">
        <f>IF('Account Info'!$AA$4="Range State","Selection","")</f>
        <v>Selection</v>
      </c>
      <c r="M297" s="440" t="s">
        <v>377</v>
      </c>
      <c r="N297" s="440"/>
      <c r="O297" s="441"/>
      <c r="P297" s="348"/>
      <c r="Q297" s="348"/>
      <c r="R297" s="348"/>
      <c r="S297" s="348"/>
      <c r="T297" s="348"/>
      <c r="U297" s="322"/>
      <c r="V297" s="340">
        <v>1</v>
      </c>
      <c r="X297" s="408"/>
      <c r="Y297" s="408"/>
      <c r="Z297" s="420"/>
      <c r="AA297" s="420"/>
      <c r="AB297" s="523"/>
      <c r="AC297" s="523"/>
      <c r="AD297" s="407">
        <v>0</v>
      </c>
      <c r="AE297" s="407">
        <v>0</v>
      </c>
      <c r="AF297" s="407">
        <v>50000</v>
      </c>
      <c r="AG297" s="407">
        <v>50</v>
      </c>
      <c r="AH297" s="407">
        <f>VLOOKUP(D195,AD297:AG304,1,TRUE)</f>
        <v>250000</v>
      </c>
      <c r="AI297" s="407">
        <f>VLOOKUP(AH297,AD297:AG304,2,FALSE)</f>
        <v>125</v>
      </c>
      <c r="AJ297" s="408">
        <v>25000000</v>
      </c>
      <c r="AK297" s="408">
        <v>150</v>
      </c>
      <c r="AL297" s="340"/>
      <c r="AM297" s="340"/>
      <c r="AN297" s="520">
        <f>(((AN287-AN293)/(AN289-AN293))*(AN291-AN295))+AN295</f>
        <v>10</v>
      </c>
      <c r="AO297" s="521" t="s">
        <v>544</v>
      </c>
    </row>
    <row r="298" spans="1:41" ht="15" customHeight="1" x14ac:dyDescent="0.25">
      <c r="A298" s="420">
        <f>IF('Account Info'!$T$7=TRUE,1,0)</f>
        <v>1</v>
      </c>
      <c r="B298" s="1091"/>
      <c r="C298" s="1092"/>
      <c r="D298" s="1054" t="s">
        <v>418</v>
      </c>
      <c r="E298" s="1055"/>
      <c r="F298" s="1055"/>
      <c r="G298" s="1055"/>
      <c r="H298" s="1056"/>
      <c r="I298" s="443">
        <f>IF(D298="","",VLOOKUP(D298,X324:AA327,2,FALSE))</f>
        <v>1</v>
      </c>
      <c r="J298" s="443">
        <f>IF(D298="","",VLOOKUP(D298,X324:AA327,3,FALSE))</f>
        <v>1.1299999999999999</v>
      </c>
      <c r="K298" s="443">
        <f>IF(D298="","",VLOOKUP(D298,X324:AA327,4,FALSE))</f>
        <v>1.25</v>
      </c>
      <c r="L298" s="444">
        <f>J298</f>
        <v>1.1299999999999999</v>
      </c>
      <c r="M298" s="1057"/>
      <c r="N298" s="1058"/>
      <c r="O298" s="1058"/>
      <c r="P298" s="1058"/>
      <c r="Q298" s="1058"/>
      <c r="R298" s="1058"/>
      <c r="S298" s="1058"/>
      <c r="T298" s="1059"/>
      <c r="U298" s="322"/>
      <c r="V298" s="340">
        <f>IF('Account Info'!$AA$4="Flat Rate State",IF(J298="",1,J298),IF(L298="",1,L298))</f>
        <v>1.1299999999999999</v>
      </c>
      <c r="X298" s="504" t="s">
        <v>555</v>
      </c>
      <c r="Y298" s="420"/>
      <c r="Z298" s="420"/>
      <c r="AA298" s="420"/>
      <c r="AB298" s="523"/>
      <c r="AC298" s="523"/>
      <c r="AD298" s="407">
        <v>50000</v>
      </c>
      <c r="AE298" s="407">
        <v>50</v>
      </c>
      <c r="AF298" s="407">
        <v>250000</v>
      </c>
      <c r="AG298" s="407">
        <v>125</v>
      </c>
      <c r="AH298" s="529"/>
      <c r="AI298" s="529"/>
      <c r="AL298" s="340"/>
      <c r="AM298" s="340"/>
    </row>
    <row r="299" spans="1:41" ht="15" customHeight="1" x14ac:dyDescent="0.25">
      <c r="A299" s="420">
        <f>IF('Account Info'!$T$7=TRUE,1,0)</f>
        <v>1</v>
      </c>
      <c r="B299" s="1091"/>
      <c r="C299" s="1092"/>
      <c r="D299" s="456"/>
      <c r="E299" s="456"/>
      <c r="F299" s="457"/>
      <c r="G299" s="457"/>
      <c r="H299" s="458"/>
      <c r="I299" s="459"/>
      <c r="J299" s="459"/>
      <c r="K299" s="460"/>
      <c r="L299" s="460" t="str">
        <f>IF(AND('Account Info'!$AA$4="Range State",L298&lt;&gt;"",OR(L298&lt;I298,L298&gt;K298)),"Factor is out of range","")</f>
        <v/>
      </c>
      <c r="M299" s="1051"/>
      <c r="N299" s="1052"/>
      <c r="O299" s="1052"/>
      <c r="P299" s="1052"/>
      <c r="Q299" s="1052"/>
      <c r="R299" s="1052"/>
      <c r="S299" s="1052"/>
      <c r="T299" s="1053"/>
      <c r="U299" s="322"/>
      <c r="V299" s="340">
        <v>1</v>
      </c>
      <c r="X299" s="408">
        <v>0</v>
      </c>
      <c r="Y299" s="408">
        <v>0</v>
      </c>
      <c r="Z299" s="408">
        <v>50000</v>
      </c>
      <c r="AA299" s="408">
        <v>25</v>
      </c>
      <c r="AB299" s="408">
        <f>VLOOKUP(D116,X299:X305,1,TRUE)</f>
        <v>0</v>
      </c>
      <c r="AC299" s="408">
        <f>VLOOKUP(AB299,X299:Y305,2,FALSE)</f>
        <v>0</v>
      </c>
      <c r="AD299" s="407">
        <v>250000</v>
      </c>
      <c r="AE299" s="407">
        <v>125</v>
      </c>
      <c r="AF299" s="407">
        <v>500000</v>
      </c>
      <c r="AG299" s="407">
        <v>225</v>
      </c>
      <c r="AH299" s="530"/>
      <c r="AI299" s="531"/>
      <c r="AJ299" s="314"/>
      <c r="AK299" s="340"/>
      <c r="AL299" s="340"/>
      <c r="AM299" s="340"/>
    </row>
    <row r="300" spans="1:41" ht="15" customHeight="1" x14ac:dyDescent="0.25">
      <c r="A300" s="420">
        <f>IF('Account Info'!$T$7=TRUE,1,0)</f>
        <v>1</v>
      </c>
      <c r="B300" s="1091"/>
      <c r="C300" s="1092"/>
      <c r="D300" s="348" t="s">
        <v>556</v>
      </c>
      <c r="E300" s="349"/>
      <c r="F300" s="439"/>
      <c r="G300" s="439"/>
      <c r="H300" s="453"/>
      <c r="I300" s="361" t="str">
        <f>IF('Account Info'!$AA$4="Range State","Low","")</f>
        <v>Low</v>
      </c>
      <c r="J300" s="361" t="str">
        <f>IF('Account Info'!$AA$4="Range State","Benchmark","Selection")</f>
        <v>Benchmark</v>
      </c>
      <c r="K300" s="361" t="str">
        <f>IF('Account Info'!$AA$4="Range State","High","")</f>
        <v>High</v>
      </c>
      <c r="L300" s="361" t="str">
        <f>IF('Account Info'!$AA$4="Range State","Selection","")</f>
        <v>Selection</v>
      </c>
      <c r="M300" s="440" t="s">
        <v>377</v>
      </c>
      <c r="N300" s="440"/>
      <c r="O300" s="441"/>
      <c r="P300" s="348"/>
      <c r="Q300" s="348"/>
      <c r="R300" s="348"/>
      <c r="S300" s="348"/>
      <c r="T300" s="348"/>
      <c r="U300" s="322"/>
      <c r="V300" s="340">
        <v>1</v>
      </c>
      <c r="X300" s="819">
        <v>50000</v>
      </c>
      <c r="Y300" s="819">
        <v>25</v>
      </c>
      <c r="Z300" s="819">
        <v>250000</v>
      </c>
      <c r="AA300" s="819">
        <v>75</v>
      </c>
      <c r="AB300" s="524"/>
      <c r="AC300" s="524"/>
      <c r="AD300" s="407">
        <v>500000</v>
      </c>
      <c r="AE300" s="407">
        <v>225</v>
      </c>
      <c r="AF300" s="407">
        <v>1000000</v>
      </c>
      <c r="AG300" s="407">
        <v>400</v>
      </c>
      <c r="AH300" s="407">
        <f>D195</f>
        <v>250000</v>
      </c>
      <c r="AI300" s="407">
        <f>(((AH300-AH297)/(AH302-AH297))*(AI302-AI297))+AI297</f>
        <v>125</v>
      </c>
      <c r="AJ300" s="504" t="s">
        <v>557</v>
      </c>
      <c r="AK300" s="420"/>
      <c r="AL300" s="340"/>
      <c r="AM300" s="340"/>
    </row>
    <row r="301" spans="1:41" ht="15" customHeight="1" x14ac:dyDescent="0.25">
      <c r="A301" s="420">
        <f>IF('Account Info'!$T$7=TRUE,1,0)</f>
        <v>1</v>
      </c>
      <c r="B301" s="1091"/>
      <c r="C301" s="1092"/>
      <c r="D301" s="1054" t="s">
        <v>418</v>
      </c>
      <c r="E301" s="1055"/>
      <c r="F301" s="1055"/>
      <c r="G301" s="1055"/>
      <c r="H301" s="1056"/>
      <c r="I301" s="443">
        <f>IF(D301="","",VLOOKUP(D301,X329:AA331,2,FALSE))</f>
        <v>0.96</v>
      </c>
      <c r="J301" s="443">
        <f>IF(D301="","",VLOOKUP(D301,X329:AA331,3,FALSE))</f>
        <v>1.01</v>
      </c>
      <c r="K301" s="443">
        <f>IF(D301="","",VLOOKUP(D301,X329:AA331,4,FALSE))</f>
        <v>1.05</v>
      </c>
      <c r="L301" s="444">
        <f>J301</f>
        <v>1.01</v>
      </c>
      <c r="M301" s="1057"/>
      <c r="N301" s="1058"/>
      <c r="O301" s="1058"/>
      <c r="P301" s="1058"/>
      <c r="Q301" s="1058"/>
      <c r="R301" s="1058"/>
      <c r="S301" s="1058"/>
      <c r="T301" s="1059"/>
      <c r="U301" s="322"/>
      <c r="V301" s="340">
        <f>IF('Account Info'!$AA$4="Flat Rate State",IF(J301="",1,J301),IF(L301="",1,L301))</f>
        <v>1.01</v>
      </c>
      <c r="X301" s="408">
        <v>250000</v>
      </c>
      <c r="Y301" s="408">
        <v>75</v>
      </c>
      <c r="Z301" s="408">
        <v>1000000</v>
      </c>
      <c r="AA301" s="408">
        <v>200</v>
      </c>
      <c r="AB301" s="408">
        <f>D116</f>
        <v>25000</v>
      </c>
      <c r="AC301" s="408">
        <f>(((AB301-AB299)/(AB303-AB299))*(AC303-AC299))+AC299</f>
        <v>12.5</v>
      </c>
      <c r="AD301" s="407">
        <v>1000000</v>
      </c>
      <c r="AE301" s="407">
        <v>400</v>
      </c>
      <c r="AF301" s="407">
        <v>5000000</v>
      </c>
      <c r="AG301" s="407">
        <v>1000</v>
      </c>
      <c r="AH301" s="530"/>
      <c r="AI301" s="531"/>
      <c r="AJ301" s="408">
        <v>0</v>
      </c>
      <c r="AK301" s="408">
        <v>0</v>
      </c>
      <c r="AL301" s="408">
        <v>50000</v>
      </c>
      <c r="AM301" s="408">
        <v>5</v>
      </c>
      <c r="AN301" s="520">
        <f>D271</f>
        <v>250000</v>
      </c>
      <c r="AO301" s="521" t="s">
        <v>285</v>
      </c>
    </row>
    <row r="302" spans="1:41" ht="15" customHeight="1" x14ac:dyDescent="0.25">
      <c r="A302" s="420">
        <f>IF('Account Info'!$T$7=TRUE,1,0)</f>
        <v>1</v>
      </c>
      <c r="B302" s="1091"/>
      <c r="C302" s="1092"/>
      <c r="D302" s="456"/>
      <c r="E302" s="456"/>
      <c r="F302" s="457"/>
      <c r="G302" s="457"/>
      <c r="H302" s="458"/>
      <c r="I302" s="459"/>
      <c r="J302" s="459"/>
      <c r="K302" s="460"/>
      <c r="L302" s="460" t="str">
        <f>IF(AND('Account Info'!$AA$4="Range State",L301&lt;&gt;"",OR(L301&lt;I301,L301&gt;K301)),"Factor is out of range","")</f>
        <v/>
      </c>
      <c r="M302" s="1051"/>
      <c r="N302" s="1052"/>
      <c r="O302" s="1052"/>
      <c r="P302" s="1052"/>
      <c r="Q302" s="1052"/>
      <c r="R302" s="1052"/>
      <c r="S302" s="1052"/>
      <c r="T302" s="1053"/>
      <c r="U302" s="322"/>
      <c r="V302" s="340">
        <v>1</v>
      </c>
      <c r="X302" s="408">
        <v>1000000</v>
      </c>
      <c r="Y302" s="408">
        <v>200</v>
      </c>
      <c r="Z302" s="408">
        <v>5000000</v>
      </c>
      <c r="AA302" s="408">
        <v>500</v>
      </c>
      <c r="AB302" s="526"/>
      <c r="AC302" s="527"/>
      <c r="AD302" s="407">
        <v>5000000</v>
      </c>
      <c r="AE302" s="407">
        <v>1000</v>
      </c>
      <c r="AF302" s="407">
        <v>10000000</v>
      </c>
      <c r="AG302" s="407">
        <v>1500</v>
      </c>
      <c r="AH302" s="407">
        <f>VLOOKUP(D195,AD297:AG304,3,TRUE)</f>
        <v>500000</v>
      </c>
      <c r="AI302" s="407">
        <f>VLOOKUP(AH302,AD297:AG304,2,FALSE)</f>
        <v>225</v>
      </c>
      <c r="AJ302" s="408">
        <v>50000</v>
      </c>
      <c r="AK302" s="408">
        <v>5</v>
      </c>
      <c r="AL302" s="408">
        <v>250000</v>
      </c>
      <c r="AM302" s="408">
        <v>10</v>
      </c>
      <c r="AN302" s="522"/>
      <c r="AO302" s="521"/>
    </row>
    <row r="303" spans="1:41" ht="15" customHeight="1" x14ac:dyDescent="0.25">
      <c r="A303" s="420">
        <f>IF('Account Info'!$T$7=TRUE,1,0)</f>
        <v>1</v>
      </c>
      <c r="B303" s="1091"/>
      <c r="C303" s="1092"/>
      <c r="D303" s="348" t="s">
        <v>558</v>
      </c>
      <c r="E303" s="349"/>
      <c r="F303" s="439"/>
      <c r="G303" s="439"/>
      <c r="H303" s="453"/>
      <c r="I303" s="361" t="str">
        <f>IF('Account Info'!$AA$4="Range State","Low","")</f>
        <v>Low</v>
      </c>
      <c r="J303" s="361" t="str">
        <f>IF('Account Info'!$AA$4="Range State","Benchmark","Selection")</f>
        <v>Benchmark</v>
      </c>
      <c r="K303" s="361" t="str">
        <f>IF('Account Info'!$AA$4="Range State","High","")</f>
        <v>High</v>
      </c>
      <c r="L303" s="361" t="str">
        <f>IF('Account Info'!$AA$4="Range State","Selection","")</f>
        <v>Selection</v>
      </c>
      <c r="M303" s="440" t="s">
        <v>377</v>
      </c>
      <c r="N303" s="440"/>
      <c r="O303" s="441"/>
      <c r="P303" s="348"/>
      <c r="Q303" s="348"/>
      <c r="R303" s="348"/>
      <c r="S303" s="348"/>
      <c r="T303" s="348"/>
      <c r="U303" s="322"/>
      <c r="V303" s="340">
        <v>1</v>
      </c>
      <c r="X303" s="408">
        <v>5000000</v>
      </c>
      <c r="Y303" s="408">
        <v>500</v>
      </c>
      <c r="Z303" s="408">
        <v>10000000</v>
      </c>
      <c r="AA303" s="408">
        <v>750</v>
      </c>
      <c r="AB303" s="408">
        <f>VLOOKUP(D116,X299:AA306,3,TRUE)</f>
        <v>50000</v>
      </c>
      <c r="AC303" s="408">
        <f>VLOOKUP(AB303,X299:Y305,2,FALSE)</f>
        <v>25</v>
      </c>
      <c r="AD303" s="407">
        <v>10000000</v>
      </c>
      <c r="AE303" s="407">
        <v>1500</v>
      </c>
      <c r="AF303" s="407">
        <v>25000000</v>
      </c>
      <c r="AG303" s="407">
        <v>2500</v>
      </c>
      <c r="AH303" s="529"/>
      <c r="AI303" s="529"/>
      <c r="AJ303" s="408">
        <v>250000</v>
      </c>
      <c r="AK303" s="408">
        <v>10</v>
      </c>
      <c r="AL303" s="408">
        <v>500000</v>
      </c>
      <c r="AM303" s="408">
        <v>15</v>
      </c>
      <c r="AN303" s="520">
        <f>VLOOKUP(AN301,AJ301:AM311,3,TRUE)</f>
        <v>500000</v>
      </c>
      <c r="AO303" s="521" t="s">
        <v>534</v>
      </c>
    </row>
    <row r="304" spans="1:41" ht="15" customHeight="1" x14ac:dyDescent="0.25">
      <c r="A304" s="420">
        <f>IF('Account Info'!$T$7=TRUE,1,0)</f>
        <v>1</v>
      </c>
      <c r="B304" s="1091"/>
      <c r="C304" s="1092"/>
      <c r="D304" s="1054" t="s">
        <v>417</v>
      </c>
      <c r="E304" s="1055"/>
      <c r="F304" s="1055"/>
      <c r="G304" s="1055"/>
      <c r="H304" s="1056"/>
      <c r="I304" s="443">
        <f>IF(D304="","",VLOOKUP(D304,X333:AA335,2,FALSE))</f>
        <v>0.9</v>
      </c>
      <c r="J304" s="443">
        <f>IF(D304="","",VLOOKUP(D304,X333:AA335,3,FALSE))</f>
        <v>0.95</v>
      </c>
      <c r="K304" s="443">
        <f>IF(D304="","",VLOOKUP(D304,X333:AA335,4,FALSE))</f>
        <v>1</v>
      </c>
      <c r="L304" s="444">
        <f>J304</f>
        <v>0.95</v>
      </c>
      <c r="M304" s="1057"/>
      <c r="N304" s="1058"/>
      <c r="O304" s="1058"/>
      <c r="P304" s="1058"/>
      <c r="Q304" s="1058"/>
      <c r="R304" s="1058"/>
      <c r="S304" s="1058"/>
      <c r="T304" s="1059"/>
      <c r="U304" s="322"/>
      <c r="V304" s="340">
        <f>IF('Account Info'!$AA$4="Flat Rate State",IF(J304="",1,J304),IF(L304="",1,L304))</f>
        <v>0.95</v>
      </c>
      <c r="X304" s="408">
        <v>10000000</v>
      </c>
      <c r="Y304" s="408">
        <v>750</v>
      </c>
      <c r="Z304" s="408">
        <v>25000000</v>
      </c>
      <c r="AA304" s="408">
        <v>1250</v>
      </c>
      <c r="AB304" s="526"/>
      <c r="AC304" s="527"/>
      <c r="AD304" s="407">
        <v>25000000</v>
      </c>
      <c r="AE304" s="407">
        <v>2500</v>
      </c>
      <c r="AF304" s="388"/>
      <c r="AG304" s="388"/>
      <c r="AH304" s="529"/>
      <c r="AI304" s="529"/>
      <c r="AJ304" s="408">
        <v>500000</v>
      </c>
      <c r="AK304" s="408">
        <v>15</v>
      </c>
      <c r="AL304" s="408">
        <v>750000</v>
      </c>
      <c r="AM304" s="408">
        <v>20</v>
      </c>
      <c r="AN304" s="522"/>
      <c r="AO304" s="521"/>
    </row>
    <row r="305" spans="1:41" ht="15" customHeight="1" x14ac:dyDescent="0.25">
      <c r="A305" s="420">
        <f>IF('Account Info'!$T$7=TRUE,1,0)</f>
        <v>1</v>
      </c>
      <c r="B305" s="1091"/>
      <c r="C305" s="1092"/>
      <c r="D305" s="461"/>
      <c r="E305" s="462"/>
      <c r="F305" s="462"/>
      <c r="G305" s="462"/>
      <c r="H305" s="462"/>
      <c r="I305" s="463"/>
      <c r="J305" s="463"/>
      <c r="K305" s="460"/>
      <c r="L305" s="460" t="str">
        <f>IF(AND('Account Info'!$AA$4="Range State",L304&lt;&gt;"",OR(L304&lt;I304,L304&gt;K304)),"Factor is out of range","")</f>
        <v/>
      </c>
      <c r="M305" s="1051"/>
      <c r="N305" s="1052"/>
      <c r="O305" s="1052"/>
      <c r="P305" s="1052"/>
      <c r="Q305" s="1052"/>
      <c r="R305" s="1052"/>
      <c r="S305" s="1052"/>
      <c r="T305" s="1053"/>
      <c r="U305" s="322"/>
      <c r="V305" s="340">
        <v>1</v>
      </c>
      <c r="X305" s="408">
        <v>25000000</v>
      </c>
      <c r="Y305" s="408">
        <v>1250</v>
      </c>
      <c r="Z305" s="408"/>
      <c r="AA305" s="408"/>
      <c r="AB305" s="526"/>
      <c r="AC305" s="527"/>
      <c r="AD305" s="503" t="s">
        <v>559</v>
      </c>
      <c r="AE305" s="388"/>
      <c r="AF305" s="388"/>
      <c r="AG305" s="388"/>
      <c r="AH305" s="529"/>
      <c r="AI305" s="529"/>
      <c r="AJ305" s="408">
        <v>750000</v>
      </c>
      <c r="AK305" s="408">
        <v>20</v>
      </c>
      <c r="AL305" s="408">
        <v>1000000</v>
      </c>
      <c r="AM305" s="408">
        <v>25</v>
      </c>
      <c r="AN305" s="520">
        <f>VLOOKUP(AN301,AJ301:AM311,4,TRUE)</f>
        <v>15</v>
      </c>
      <c r="AO305" s="521" t="s">
        <v>537</v>
      </c>
    </row>
    <row r="306" spans="1:41" ht="15" customHeight="1" x14ac:dyDescent="0.25">
      <c r="A306" s="420">
        <f>IF('Account Info'!$T$7=TRUE,1,0)</f>
        <v>1</v>
      </c>
      <c r="B306" s="1091"/>
      <c r="C306" s="1092"/>
      <c r="D306" s="348" t="s">
        <v>560</v>
      </c>
      <c r="E306" s="349"/>
      <c r="F306" s="349"/>
      <c r="G306" s="349"/>
      <c r="H306" s="453"/>
      <c r="I306" s="361" t="str">
        <f>IF('Account Info'!$AA$4="Range State","Low","")</f>
        <v>Low</v>
      </c>
      <c r="J306" s="361" t="str">
        <f>IF('Account Info'!$AA$4="Range State","Benchmark","Selection")</f>
        <v>Benchmark</v>
      </c>
      <c r="K306" s="361" t="str">
        <f>IF('Account Info'!$AA$4="Range State","High","")</f>
        <v>High</v>
      </c>
      <c r="L306" s="361" t="str">
        <f>IF('Account Info'!$AA$4="Range State","Selection","")</f>
        <v>Selection</v>
      </c>
      <c r="M306" s="440" t="s">
        <v>377</v>
      </c>
      <c r="N306" s="440"/>
      <c r="O306" s="441"/>
      <c r="P306" s="348"/>
      <c r="Q306" s="348"/>
      <c r="R306" s="348"/>
      <c r="S306" s="348"/>
      <c r="T306" s="348"/>
      <c r="U306" s="322"/>
      <c r="V306" s="340">
        <v>1</v>
      </c>
      <c r="X306" s="408"/>
      <c r="Y306" s="408"/>
      <c r="Z306" s="420"/>
      <c r="AA306" s="420"/>
      <c r="AB306" s="523"/>
      <c r="AC306" s="523"/>
      <c r="AD306" s="407">
        <v>0</v>
      </c>
      <c r="AE306" s="407">
        <v>0</v>
      </c>
      <c r="AF306" s="407">
        <v>25000</v>
      </c>
      <c r="AG306" s="407">
        <v>13</v>
      </c>
      <c r="AH306" s="407">
        <f>VLOOKUP(D198,AD306:AG313,1,TRUE)</f>
        <v>25000</v>
      </c>
      <c r="AI306" s="407">
        <f>VLOOKUP(AH306,AD306:AG313,2,FALSE)</f>
        <v>13</v>
      </c>
      <c r="AJ306" s="408">
        <v>1000000</v>
      </c>
      <c r="AK306" s="408">
        <v>25</v>
      </c>
      <c r="AL306" s="408">
        <v>1250000</v>
      </c>
      <c r="AM306" s="408">
        <v>30</v>
      </c>
      <c r="AN306" s="522"/>
      <c r="AO306" s="521"/>
    </row>
    <row r="307" spans="1:41" ht="15" customHeight="1" x14ac:dyDescent="0.25">
      <c r="A307" s="420">
        <f>IF('Account Info'!$T$7=TRUE,1,0)</f>
        <v>1</v>
      </c>
      <c r="B307" s="1091"/>
      <c r="C307" s="1092"/>
      <c r="D307" s="1054" t="s">
        <v>418</v>
      </c>
      <c r="E307" s="1055"/>
      <c r="F307" s="1055"/>
      <c r="G307" s="1055"/>
      <c r="H307" s="1056"/>
      <c r="I307" s="443">
        <f>IF(D307="","",VLOOKUP(D307,X337:AA340,2,FALSE))</f>
        <v>1</v>
      </c>
      <c r="J307" s="443">
        <f>IF(D307="","",VLOOKUP(D307,X337:AA340,3,FALSE))</f>
        <v>1.1299999999999999</v>
      </c>
      <c r="K307" s="443">
        <f>IF(D307="","",VLOOKUP(D307,X337:AA340,4,FALSE))</f>
        <v>1.25</v>
      </c>
      <c r="L307" s="444">
        <f>J307</f>
        <v>1.1299999999999999</v>
      </c>
      <c r="M307" s="1057"/>
      <c r="N307" s="1058"/>
      <c r="O307" s="1058"/>
      <c r="P307" s="1058"/>
      <c r="Q307" s="1058"/>
      <c r="R307" s="1058"/>
      <c r="S307" s="1058"/>
      <c r="T307" s="1059"/>
      <c r="U307" s="322"/>
      <c r="V307" s="340">
        <f>IF('Account Info'!$AA$4="Flat Rate State",IF(J307="",1,J307),IF(L307="",1,L307))</f>
        <v>1.1299999999999999</v>
      </c>
      <c r="AD307" s="407">
        <v>25000</v>
      </c>
      <c r="AE307" s="407">
        <v>13</v>
      </c>
      <c r="AF307" s="407">
        <v>50000</v>
      </c>
      <c r="AG307" s="407">
        <v>25</v>
      </c>
      <c r="AH307" s="529"/>
      <c r="AI307" s="529"/>
      <c r="AJ307" s="408">
        <v>1250000</v>
      </c>
      <c r="AK307" s="408">
        <v>30</v>
      </c>
      <c r="AL307" s="408">
        <v>1500000</v>
      </c>
      <c r="AM307" s="408">
        <v>35</v>
      </c>
      <c r="AN307" s="520">
        <f>VLOOKUP(AN301,AJ301:AM311,1,TRUE)</f>
        <v>250000</v>
      </c>
      <c r="AO307" s="521" t="s">
        <v>540</v>
      </c>
    </row>
    <row r="308" spans="1:41" ht="15" customHeight="1" x14ac:dyDescent="0.25">
      <c r="A308" s="420">
        <f>IF('Account Info'!$T$7=TRUE,1,0)</f>
        <v>1</v>
      </c>
      <c r="B308" s="1091"/>
      <c r="C308" s="1092"/>
      <c r="D308" s="457"/>
      <c r="E308" s="457"/>
      <c r="F308" s="457"/>
      <c r="G308" s="457"/>
      <c r="H308" s="457"/>
      <c r="I308" s="459"/>
      <c r="J308" s="459"/>
      <c r="K308" s="460"/>
      <c r="L308" s="460" t="str">
        <f>IF(AND('Account Info'!$AA$4="Range State",L307&lt;&gt;"",OR(L307&lt;I307,L307&gt;K307)),"Factor is out of range","")</f>
        <v/>
      </c>
      <c r="M308" s="1051"/>
      <c r="N308" s="1052"/>
      <c r="O308" s="1052"/>
      <c r="P308" s="1052"/>
      <c r="Q308" s="1052"/>
      <c r="R308" s="1052"/>
      <c r="S308" s="1052"/>
      <c r="T308" s="1053"/>
      <c r="U308" s="322"/>
      <c r="V308" s="340">
        <v>1</v>
      </c>
      <c r="X308" s="504" t="s">
        <v>561</v>
      </c>
      <c r="Y308" s="420"/>
      <c r="Z308" s="420"/>
      <c r="AA308" s="420"/>
      <c r="AB308" s="523"/>
      <c r="AC308" s="523"/>
      <c r="AD308" s="407">
        <v>50000</v>
      </c>
      <c r="AE308" s="407">
        <v>25</v>
      </c>
      <c r="AF308" s="407">
        <v>250000</v>
      </c>
      <c r="AG308" s="407">
        <v>75</v>
      </c>
      <c r="AH308" s="529"/>
      <c r="AI308" s="529"/>
      <c r="AJ308" s="408">
        <v>1500000</v>
      </c>
      <c r="AK308" s="408">
        <v>35</v>
      </c>
      <c r="AL308" s="408">
        <v>5000000</v>
      </c>
      <c r="AM308" s="408">
        <v>75</v>
      </c>
      <c r="AN308" s="522"/>
      <c r="AO308" s="521"/>
    </row>
    <row r="309" spans="1:41" ht="15" customHeight="1" x14ac:dyDescent="0.25">
      <c r="A309" s="420">
        <f>IF('Account Info'!$T$7=TRUE,1,0)</f>
        <v>1</v>
      </c>
      <c r="B309" s="1091"/>
      <c r="C309" s="1092"/>
      <c r="D309" s="348" t="s">
        <v>562</v>
      </c>
      <c r="E309" s="439"/>
      <c r="F309" s="349"/>
      <c r="G309" s="349"/>
      <c r="H309" s="453"/>
      <c r="I309" s="361" t="str">
        <f>IF('Account Info'!$AA$4="Range State","Low","")</f>
        <v>Low</v>
      </c>
      <c r="J309" s="361" t="str">
        <f>IF('Account Info'!$AA$4="Range State","Benchmark","Selection")</f>
        <v>Benchmark</v>
      </c>
      <c r="K309" s="361" t="str">
        <f>IF('Account Info'!$AA$4="Range State","High","")</f>
        <v>High</v>
      </c>
      <c r="L309" s="361" t="str">
        <f>IF('Account Info'!$AA$4="Range State","Selection","")</f>
        <v>Selection</v>
      </c>
      <c r="M309" s="440" t="s">
        <v>377</v>
      </c>
      <c r="N309" s="440"/>
      <c r="O309" s="441"/>
      <c r="P309" s="348"/>
      <c r="Q309" s="348"/>
      <c r="R309" s="348"/>
      <c r="S309" s="348"/>
      <c r="T309" s="348"/>
      <c r="U309" s="322"/>
      <c r="V309" s="340">
        <v>1</v>
      </c>
      <c r="X309" s="408">
        <v>0</v>
      </c>
      <c r="Y309" s="408">
        <v>0</v>
      </c>
      <c r="Z309" s="408">
        <v>50000</v>
      </c>
      <c r="AA309" s="408">
        <v>25</v>
      </c>
      <c r="AB309" s="408">
        <f>VLOOKUP(I128,X309:X315,1,TRUE)</f>
        <v>1000000</v>
      </c>
      <c r="AC309" s="408">
        <f>VLOOKUP(AB309,X309:Y315,2,FALSE)</f>
        <v>150</v>
      </c>
      <c r="AD309" s="407">
        <v>250000</v>
      </c>
      <c r="AE309" s="407">
        <v>75</v>
      </c>
      <c r="AF309" s="407">
        <v>1000000</v>
      </c>
      <c r="AG309" s="407">
        <v>200</v>
      </c>
      <c r="AH309" s="530"/>
      <c r="AI309" s="531"/>
      <c r="AJ309" s="408">
        <v>5000000</v>
      </c>
      <c r="AK309" s="408">
        <v>75</v>
      </c>
      <c r="AL309" s="408">
        <v>10000000</v>
      </c>
      <c r="AM309" s="408">
        <v>100</v>
      </c>
      <c r="AN309" s="520">
        <f>VLOOKUP(AN301,AJ301:AM311,2,TRUE)</f>
        <v>10</v>
      </c>
      <c r="AO309" s="521" t="s">
        <v>542</v>
      </c>
    </row>
    <row r="310" spans="1:41" ht="15" customHeight="1" x14ac:dyDescent="0.25">
      <c r="A310" s="420">
        <f>IF('Account Info'!$T$7=TRUE,1,0)</f>
        <v>1</v>
      </c>
      <c r="B310" s="1091"/>
      <c r="C310" s="1092"/>
      <c r="D310" s="1054" t="s">
        <v>417</v>
      </c>
      <c r="E310" s="1055"/>
      <c r="F310" s="1055"/>
      <c r="G310" s="1055"/>
      <c r="H310" s="1056"/>
      <c r="I310" s="443">
        <f>IF(D310="","",VLOOKUP(D310,X346:AA348,2,FALSE))</f>
        <v>0.9</v>
      </c>
      <c r="J310" s="443">
        <f>IF(D310="","",VLOOKUP(D310,X346:AA348,3,FALSE))</f>
        <v>0.95</v>
      </c>
      <c r="K310" s="443">
        <f>IF(D310="","",VLOOKUP(D310,X346:AA348,4,FALSE))</f>
        <v>1</v>
      </c>
      <c r="L310" s="444">
        <f>J310</f>
        <v>0.95</v>
      </c>
      <c r="M310" s="1057"/>
      <c r="N310" s="1058"/>
      <c r="O310" s="1058"/>
      <c r="P310" s="1058"/>
      <c r="Q310" s="1058"/>
      <c r="R310" s="1058"/>
      <c r="S310" s="1058"/>
      <c r="T310" s="1059"/>
      <c r="U310" s="322"/>
      <c r="V310" s="340">
        <f>IF('Account Info'!$AA$4="Flat Rate State",IF(J310="",1,J310),IF(L310="",1,L310))</f>
        <v>0.95</v>
      </c>
      <c r="X310" s="408">
        <v>50000</v>
      </c>
      <c r="Y310" s="408">
        <v>25</v>
      </c>
      <c r="Z310" s="408">
        <v>250000</v>
      </c>
      <c r="AA310" s="408">
        <v>75</v>
      </c>
      <c r="AB310" s="523"/>
      <c r="AC310" s="523"/>
      <c r="AD310" s="407">
        <v>1000000</v>
      </c>
      <c r="AE310" s="407">
        <v>200</v>
      </c>
      <c r="AF310" s="407">
        <v>5000000</v>
      </c>
      <c r="AG310" s="407">
        <v>500</v>
      </c>
      <c r="AH310" s="407">
        <f>D198</f>
        <v>25000</v>
      </c>
      <c r="AI310" s="407">
        <f>(((AH310-AH306)/(AH312-AH306))*(AI312-AI306))+AI306</f>
        <v>13</v>
      </c>
      <c r="AJ310" s="408">
        <v>10000000</v>
      </c>
      <c r="AK310" s="408">
        <v>100</v>
      </c>
      <c r="AL310" s="408">
        <v>25000000</v>
      </c>
      <c r="AM310" s="408">
        <v>150</v>
      </c>
      <c r="AN310" s="522"/>
      <c r="AO310" s="521"/>
    </row>
    <row r="311" spans="1:41" ht="15" customHeight="1" x14ac:dyDescent="0.25">
      <c r="A311" s="420">
        <f>IF('Account Info'!$T$7=TRUE,1,0)</f>
        <v>1</v>
      </c>
      <c r="B311" s="1091"/>
      <c r="C311" s="1092"/>
      <c r="D311" s="456"/>
      <c r="E311" s="456"/>
      <c r="F311" s="457"/>
      <c r="G311" s="457"/>
      <c r="H311" s="458"/>
      <c r="I311" s="459"/>
      <c r="J311" s="459"/>
      <c r="K311" s="460"/>
      <c r="L311" s="460" t="str">
        <f>IF(AND('Account Info'!$AA$4="Range State",L310&lt;&gt;"",OR(L310&lt;I310,L310&gt;K310)),"Factor is out of range","")</f>
        <v/>
      </c>
      <c r="M311" s="1051"/>
      <c r="N311" s="1052"/>
      <c r="O311" s="1052"/>
      <c r="P311" s="1052"/>
      <c r="Q311" s="1052"/>
      <c r="R311" s="1052"/>
      <c r="S311" s="1052"/>
      <c r="T311" s="1053"/>
      <c r="U311" s="322"/>
      <c r="V311" s="340">
        <v>1</v>
      </c>
      <c r="X311" s="408">
        <v>250000</v>
      </c>
      <c r="Y311" s="408">
        <v>75</v>
      </c>
      <c r="Z311" s="408">
        <v>1000000</v>
      </c>
      <c r="AA311" s="408">
        <v>150</v>
      </c>
      <c r="AB311" s="526"/>
      <c r="AC311" s="527"/>
      <c r="AD311" s="407">
        <v>5000000</v>
      </c>
      <c r="AE311" s="407">
        <v>500</v>
      </c>
      <c r="AF311" s="407">
        <v>10000000</v>
      </c>
      <c r="AG311" s="407">
        <v>750</v>
      </c>
      <c r="AH311" s="530"/>
      <c r="AI311" s="531"/>
      <c r="AJ311" s="408">
        <v>25000000</v>
      </c>
      <c r="AK311" s="408">
        <v>150</v>
      </c>
      <c r="AL311" s="340"/>
      <c r="AM311" s="340"/>
      <c r="AN311" s="520">
        <f>(((AN301-AN307)/(AN303-AN307))*(AN305-AN309))+AN309</f>
        <v>10</v>
      </c>
      <c r="AO311" s="521" t="s">
        <v>544</v>
      </c>
    </row>
    <row r="312" spans="1:41" ht="15" customHeight="1" x14ac:dyDescent="0.25">
      <c r="A312" s="420">
        <f>IF('Account Info'!$T$7=TRUE,1,0)</f>
        <v>1</v>
      </c>
      <c r="B312" s="1091"/>
      <c r="C312" s="1092"/>
      <c r="D312" s="440" t="s">
        <v>563</v>
      </c>
      <c r="E312" s="349"/>
      <c r="F312" s="439"/>
      <c r="G312" s="439"/>
      <c r="H312" s="453"/>
      <c r="I312" s="361" t="str">
        <f>IF('Account Info'!$AA$4="Range State","Low","")</f>
        <v>Low</v>
      </c>
      <c r="J312" s="361" t="str">
        <f>IF('Account Info'!$AA$4="Range State","Benchmark","Selection")</f>
        <v>Benchmark</v>
      </c>
      <c r="K312" s="361" t="str">
        <f>IF('Account Info'!$AA$4="Range State","High","")</f>
        <v>High</v>
      </c>
      <c r="L312" s="361" t="str">
        <f>IF('Account Info'!$AA$4="Range State","Selection","")</f>
        <v>Selection</v>
      </c>
      <c r="M312" s="440" t="s">
        <v>377</v>
      </c>
      <c r="N312" s="440"/>
      <c r="O312" s="441"/>
      <c r="P312" s="348"/>
      <c r="Q312" s="348"/>
      <c r="R312" s="348"/>
      <c r="S312" s="348"/>
      <c r="T312" s="348"/>
      <c r="U312" s="322"/>
      <c r="V312" s="340">
        <v>1</v>
      </c>
      <c r="X312" s="408">
        <v>1000000</v>
      </c>
      <c r="Y312" s="408">
        <v>150</v>
      </c>
      <c r="Z312" s="408">
        <v>5000000</v>
      </c>
      <c r="AA312" s="408">
        <v>250</v>
      </c>
      <c r="AB312" s="408">
        <f>I128</f>
        <v>1000000</v>
      </c>
      <c r="AC312" s="408">
        <f>(((AB312-AB309)/(AB314-AB309))*(AC314-AC309))+AC309</f>
        <v>150</v>
      </c>
      <c r="AD312" s="407">
        <v>10000000</v>
      </c>
      <c r="AE312" s="407">
        <v>750</v>
      </c>
      <c r="AF312" s="407">
        <v>25000000</v>
      </c>
      <c r="AG312" s="407">
        <v>1250</v>
      </c>
      <c r="AH312" s="407">
        <f>VLOOKUP(D198,AD306:AG313,3,TRUE)</f>
        <v>50000</v>
      </c>
      <c r="AI312" s="407">
        <f>VLOOKUP(AH312,AD306:AG313,2,FALSE)</f>
        <v>25</v>
      </c>
      <c r="AJ312" s="532"/>
      <c r="AK312" s="420"/>
      <c r="AL312" s="340"/>
      <c r="AM312" s="340"/>
    </row>
    <row r="313" spans="1:41" ht="15" customHeight="1" x14ac:dyDescent="0.25">
      <c r="A313" s="420">
        <f>IF('Account Info'!$T$7=TRUE,1,0)</f>
        <v>1</v>
      </c>
      <c r="B313" s="1091"/>
      <c r="C313" s="1092"/>
      <c r="D313" s="1054" t="s">
        <v>586</v>
      </c>
      <c r="E313" s="1055"/>
      <c r="F313" s="1055"/>
      <c r="G313" s="1055"/>
      <c r="H313" s="1056"/>
      <c r="I313" s="443">
        <f>IF(D313="","",VLOOKUP(D313,X350:AA352,2,FALSE))</f>
        <v>0.96</v>
      </c>
      <c r="J313" s="443">
        <f>IF(D313="","",VLOOKUP(D313,X350:AA352,3,FALSE))</f>
        <v>1.01</v>
      </c>
      <c r="K313" s="443">
        <f>IF(D313="","",VLOOKUP(D313,X350:AA352,4,FALSE))</f>
        <v>1.05</v>
      </c>
      <c r="L313" s="444">
        <f>J313</f>
        <v>1.01</v>
      </c>
      <c r="M313" s="1057"/>
      <c r="N313" s="1058"/>
      <c r="O313" s="1058"/>
      <c r="P313" s="1058"/>
      <c r="Q313" s="1058"/>
      <c r="R313" s="1058"/>
      <c r="S313" s="1058"/>
      <c r="T313" s="1059"/>
      <c r="U313" s="322"/>
      <c r="V313" s="340">
        <f>IF('Account Info'!$AA$4="Flat Rate State",IF(J313="",1,J313),IF(L313="",1,L313))</f>
        <v>1.01</v>
      </c>
      <c r="X313" s="408">
        <v>5000000</v>
      </c>
      <c r="Y313" s="408">
        <v>250</v>
      </c>
      <c r="Z313" s="408">
        <v>10000000</v>
      </c>
      <c r="AA313" s="408">
        <v>350</v>
      </c>
      <c r="AB313" s="526"/>
      <c r="AC313" s="527"/>
      <c r="AD313" s="407">
        <v>25000000</v>
      </c>
      <c r="AE313" s="407">
        <v>1250</v>
      </c>
      <c r="AF313" s="388"/>
      <c r="AG313" s="388"/>
      <c r="AH313" s="529"/>
      <c r="AI313" s="529"/>
      <c r="AJ313" s="523"/>
      <c r="AK313" s="533"/>
      <c r="AL313" s="340"/>
      <c r="AM313" s="340"/>
    </row>
    <row r="314" spans="1:41" ht="15" customHeight="1" x14ac:dyDescent="0.25">
      <c r="A314" s="420">
        <f>IF('Account Info'!$T$7=TRUE,1,0)</f>
        <v>1</v>
      </c>
      <c r="B314" s="1091"/>
      <c r="C314" s="1092"/>
      <c r="D314" s="456"/>
      <c r="E314" s="456"/>
      <c r="F314" s="457"/>
      <c r="G314" s="457"/>
      <c r="H314" s="458"/>
      <c r="I314" s="459"/>
      <c r="J314" s="459"/>
      <c r="K314" s="460"/>
      <c r="L314" s="460" t="str">
        <f>IF(AND('Account Info'!$AA$4="Range State",L313&lt;&gt;"",OR(L313&lt;I313,L313&gt;K313)),"Factor is out of range","")</f>
        <v/>
      </c>
      <c r="M314" s="1051"/>
      <c r="N314" s="1052"/>
      <c r="O314" s="1052"/>
      <c r="P314" s="1052"/>
      <c r="Q314" s="1052"/>
      <c r="R314" s="1052"/>
      <c r="S314" s="1052"/>
      <c r="T314" s="1053"/>
      <c r="U314" s="322"/>
      <c r="V314" s="340">
        <v>1</v>
      </c>
      <c r="X314" s="408">
        <v>10000000</v>
      </c>
      <c r="Y314" s="408">
        <v>350</v>
      </c>
      <c r="Z314" s="408">
        <v>25000000</v>
      </c>
      <c r="AA314" s="408">
        <v>500</v>
      </c>
      <c r="AB314" s="408">
        <f>VLOOKUP(I128,X309:AA315,3,TRUE)</f>
        <v>5000000</v>
      </c>
      <c r="AC314" s="408">
        <f>VLOOKUP(AB314,X309:Y315,2,FALSE)</f>
        <v>250</v>
      </c>
      <c r="AD314" s="503" t="s">
        <v>564</v>
      </c>
      <c r="AE314" s="388"/>
      <c r="AF314" s="388"/>
      <c r="AG314" s="388"/>
      <c r="AH314" s="529"/>
      <c r="AI314" s="529"/>
      <c r="AJ314" s="504" t="s">
        <v>565</v>
      </c>
      <c r="AK314" s="533"/>
      <c r="AL314" s="340"/>
      <c r="AM314" s="340"/>
    </row>
    <row r="315" spans="1:41" ht="15" customHeight="1" x14ac:dyDescent="0.25">
      <c r="A315" s="420">
        <f>IF('Account Info'!$T$7=TRUE,1,0)</f>
        <v>1</v>
      </c>
      <c r="B315" s="1091"/>
      <c r="C315" s="1092"/>
      <c r="D315" s="440" t="s">
        <v>566</v>
      </c>
      <c r="E315" s="349"/>
      <c r="F315" s="439"/>
      <c r="G315" s="439"/>
      <c r="H315" s="453"/>
      <c r="I315" s="361" t="str">
        <f>IF('Account Info'!$AA$4="Range State","Low","")</f>
        <v>Low</v>
      </c>
      <c r="J315" s="361" t="str">
        <f>IF('Account Info'!$AA$4="Range State","Benchmark","Selection")</f>
        <v>Benchmark</v>
      </c>
      <c r="K315" s="361" t="str">
        <f>IF('Account Info'!$AA$4="Range State","High","")</f>
        <v>High</v>
      </c>
      <c r="L315" s="361" t="str">
        <f>IF('Account Info'!$AA$4="Range State","Selection","")</f>
        <v>Selection</v>
      </c>
      <c r="M315" s="440" t="s">
        <v>377</v>
      </c>
      <c r="N315" s="440"/>
      <c r="O315" s="441"/>
      <c r="P315" s="348"/>
      <c r="Q315" s="348"/>
      <c r="R315" s="348"/>
      <c r="S315" s="348"/>
      <c r="T315" s="348"/>
      <c r="U315" s="322"/>
      <c r="V315" s="340">
        <v>1</v>
      </c>
      <c r="X315" s="408">
        <v>25000000</v>
      </c>
      <c r="Y315" s="408">
        <v>500</v>
      </c>
      <c r="Z315" s="420"/>
      <c r="AA315" s="420"/>
      <c r="AB315" s="523"/>
      <c r="AC315" s="523"/>
      <c r="AD315" s="407">
        <v>0</v>
      </c>
      <c r="AE315" s="407">
        <v>0</v>
      </c>
      <c r="AF315" s="407">
        <v>50000</v>
      </c>
      <c r="AG315" s="407">
        <v>250</v>
      </c>
      <c r="AH315" s="407">
        <f>VLOOKUP(I210,AD315:AG322,1,TRUE)</f>
        <v>0</v>
      </c>
      <c r="AI315" s="407">
        <f>VLOOKUP(AH315,AD315:AG322,2,FALSE)</f>
        <v>0</v>
      </c>
      <c r="AJ315" s="408">
        <v>0</v>
      </c>
      <c r="AK315" s="408">
        <v>0</v>
      </c>
      <c r="AL315" s="408">
        <v>50000</v>
      </c>
      <c r="AM315" s="408">
        <v>5</v>
      </c>
      <c r="AN315" s="520">
        <f>D274</f>
        <v>250000</v>
      </c>
      <c r="AO315" s="521" t="s">
        <v>285</v>
      </c>
    </row>
    <row r="316" spans="1:41" ht="15" customHeight="1" x14ac:dyDescent="0.25">
      <c r="A316" s="420">
        <f>IF('Account Info'!$T$7=TRUE,1,0)</f>
        <v>1</v>
      </c>
      <c r="B316" s="1091"/>
      <c r="C316" s="1092"/>
      <c r="D316" s="1054" t="s">
        <v>586</v>
      </c>
      <c r="E316" s="1055"/>
      <c r="F316" s="1055"/>
      <c r="G316" s="1055"/>
      <c r="H316" s="1056"/>
      <c r="I316" s="443">
        <f>IF(D316="","",VLOOKUP(D316,X354:AA356,2,FALSE))</f>
        <v>0.96</v>
      </c>
      <c r="J316" s="443">
        <f>IF(D316="","",VLOOKUP(D316,X354:AA356,3,FALSE))</f>
        <v>1.01</v>
      </c>
      <c r="K316" s="443">
        <f>IF(D316="","",VLOOKUP(D316,X354:AA356,4,FALSE))</f>
        <v>1.05</v>
      </c>
      <c r="L316" s="444">
        <f>J316</f>
        <v>1.01</v>
      </c>
      <c r="M316" s="1057"/>
      <c r="N316" s="1058"/>
      <c r="O316" s="1058"/>
      <c r="P316" s="1058"/>
      <c r="Q316" s="1058"/>
      <c r="R316" s="1058"/>
      <c r="S316" s="1058"/>
      <c r="T316" s="1059"/>
      <c r="U316" s="322"/>
      <c r="V316" s="340">
        <f>IF('Account Info'!$AA$4="Flat Rate State",IF(J316="",1,J316),IF(L316="",1,L316))</f>
        <v>1.01</v>
      </c>
      <c r="AD316" s="407">
        <v>50000</v>
      </c>
      <c r="AE316" s="407">
        <v>250</v>
      </c>
      <c r="AF316" s="407">
        <v>250000</v>
      </c>
      <c r="AG316" s="407">
        <v>500</v>
      </c>
      <c r="AH316" s="530"/>
      <c r="AI316" s="531"/>
      <c r="AJ316" s="408">
        <v>50000</v>
      </c>
      <c r="AK316" s="408">
        <v>5</v>
      </c>
      <c r="AL316" s="408">
        <v>250000</v>
      </c>
      <c r="AM316" s="408">
        <v>10</v>
      </c>
      <c r="AN316" s="522"/>
      <c r="AO316" s="521"/>
    </row>
    <row r="317" spans="1:41" ht="15" customHeight="1" x14ac:dyDescent="0.25">
      <c r="A317" s="420">
        <f>IF('Account Info'!$T$7=TRUE,1,0)</f>
        <v>1</v>
      </c>
      <c r="B317" s="1091"/>
      <c r="C317" s="1092"/>
      <c r="D317" s="456"/>
      <c r="E317" s="456"/>
      <c r="F317" s="457"/>
      <c r="G317" s="457"/>
      <c r="H317" s="458"/>
      <c r="I317" s="459"/>
      <c r="J317" s="459"/>
      <c r="K317" s="460"/>
      <c r="L317" s="460" t="str">
        <f>IF(AND('Account Info'!$AA$4="Range State",L316&lt;&gt;"",OR(L316&lt;I316,L316&gt;K316)),"Factor is out of range","")</f>
        <v/>
      </c>
      <c r="M317" s="1051"/>
      <c r="N317" s="1052"/>
      <c r="O317" s="1052"/>
      <c r="P317" s="1052"/>
      <c r="Q317" s="1052"/>
      <c r="R317" s="1052"/>
      <c r="S317" s="1052"/>
      <c r="T317" s="1053"/>
      <c r="U317" s="322"/>
      <c r="V317" s="340">
        <v>1</v>
      </c>
      <c r="AD317" s="407">
        <v>250000</v>
      </c>
      <c r="AE317" s="407">
        <v>500</v>
      </c>
      <c r="AF317" s="407">
        <v>500000</v>
      </c>
      <c r="AG317" s="966">
        <v>750</v>
      </c>
      <c r="AH317" s="968"/>
      <c r="AI317" s="968"/>
      <c r="AJ317" s="967">
        <v>250000</v>
      </c>
      <c r="AK317" s="408">
        <v>10</v>
      </c>
      <c r="AL317" s="408">
        <v>500000</v>
      </c>
      <c r="AM317" s="408">
        <v>15</v>
      </c>
      <c r="AN317" s="520">
        <f>VLOOKUP(AN315,AJ315:AM325,3,TRUE)</f>
        <v>500000</v>
      </c>
      <c r="AO317" s="521" t="s">
        <v>534</v>
      </c>
    </row>
    <row r="318" spans="1:41" ht="15" customHeight="1" x14ac:dyDescent="0.25">
      <c r="A318" s="420">
        <f>IF('Account Info'!$T$7=TRUE,1,0)</f>
        <v>1</v>
      </c>
      <c r="B318" s="1091"/>
      <c r="C318" s="1092"/>
      <c r="D318" s="440" t="s">
        <v>567</v>
      </c>
      <c r="E318" s="349"/>
      <c r="F318" s="439"/>
      <c r="G318" s="439"/>
      <c r="H318" s="453"/>
      <c r="I318" s="361" t="str">
        <f>IF('Account Info'!$AA$4="Range State","Low","")</f>
        <v>Low</v>
      </c>
      <c r="J318" s="361" t="str">
        <f>IF('Account Info'!$AA$4="Range State","Benchmark","Selection")</f>
        <v>Benchmark</v>
      </c>
      <c r="K318" s="361" t="str">
        <f>IF('Account Info'!$AA$4="Range State","High","")</f>
        <v>High</v>
      </c>
      <c r="L318" s="361" t="str">
        <f>IF('Account Info'!$AA$4="Range State","Selection","")</f>
        <v>Selection</v>
      </c>
      <c r="M318" s="440" t="s">
        <v>377</v>
      </c>
      <c r="N318" s="440"/>
      <c r="O318" s="441"/>
      <c r="P318" s="348"/>
      <c r="Q318" s="348"/>
      <c r="R318" s="348"/>
      <c r="S318" s="348"/>
      <c r="T318" s="348"/>
      <c r="U318" s="322"/>
      <c r="V318" s="340">
        <v>1</v>
      </c>
      <c r="AD318" s="407">
        <v>500000</v>
      </c>
      <c r="AE318" s="407">
        <v>750</v>
      </c>
      <c r="AF318" s="407">
        <v>1000000</v>
      </c>
      <c r="AG318" s="407">
        <v>1000</v>
      </c>
      <c r="AH318" s="965">
        <f>I210</f>
        <v>0</v>
      </c>
      <c r="AI318" s="965">
        <f>(((AH318-AH315)/(AH320-AH315))*(AI320-AI315))+AI315</f>
        <v>0</v>
      </c>
      <c r="AJ318" s="408">
        <v>500000</v>
      </c>
      <c r="AK318" s="408">
        <v>15</v>
      </c>
      <c r="AL318" s="408">
        <v>750000</v>
      </c>
      <c r="AM318" s="408">
        <v>20</v>
      </c>
      <c r="AN318" s="522"/>
      <c r="AO318" s="521"/>
    </row>
    <row r="319" spans="1:41" ht="15" customHeight="1" x14ac:dyDescent="0.25">
      <c r="A319" s="420">
        <f>IF('Account Info'!$T$7=TRUE,1,0)</f>
        <v>1</v>
      </c>
      <c r="B319" s="1091"/>
      <c r="C319" s="1092"/>
      <c r="D319" s="1054" t="s">
        <v>586</v>
      </c>
      <c r="E319" s="1055"/>
      <c r="F319" s="1055"/>
      <c r="G319" s="1055"/>
      <c r="H319" s="1056"/>
      <c r="I319" s="443">
        <f>IF(D319="","",VLOOKUP(D319,X358:AA360,2,FALSE))</f>
        <v>0.96</v>
      </c>
      <c r="J319" s="443">
        <f>IF(D319="","",VLOOKUP(D319,X358:AA360,3,FALSE))</f>
        <v>1.01</v>
      </c>
      <c r="K319" s="443">
        <f>IF(D319="","",VLOOKUP(D319,X358:AA360,4,FALSE))</f>
        <v>1.05</v>
      </c>
      <c r="L319" s="444">
        <f>J319</f>
        <v>1.01</v>
      </c>
      <c r="M319" s="1057"/>
      <c r="N319" s="1058"/>
      <c r="O319" s="1058"/>
      <c r="P319" s="1058"/>
      <c r="Q319" s="1058"/>
      <c r="R319" s="1058"/>
      <c r="S319" s="1058"/>
      <c r="T319" s="1059"/>
      <c r="U319" s="322"/>
      <c r="V319" s="340">
        <f>IF('Account Info'!$AA$4="Flat Rate State",IF(J319="",1,J319),IF(L319="",1,L319))</f>
        <v>1.01</v>
      </c>
      <c r="AD319" s="407">
        <v>1000000</v>
      </c>
      <c r="AE319" s="407">
        <v>1000</v>
      </c>
      <c r="AF319" s="407">
        <v>5000000</v>
      </c>
      <c r="AG319" s="966">
        <v>3000</v>
      </c>
      <c r="AH319" s="968"/>
      <c r="AI319" s="968"/>
      <c r="AJ319" s="967">
        <v>750000</v>
      </c>
      <c r="AK319" s="408">
        <v>20</v>
      </c>
      <c r="AL319" s="408">
        <v>1000000</v>
      </c>
      <c r="AM319" s="408">
        <v>25</v>
      </c>
      <c r="AN319" s="520">
        <f>VLOOKUP(AN315,AJ315:AM325,4,TRUE)</f>
        <v>15</v>
      </c>
      <c r="AO319" s="521" t="s">
        <v>537</v>
      </c>
    </row>
    <row r="320" spans="1:41" ht="15" customHeight="1" x14ac:dyDescent="0.25">
      <c r="A320" s="420">
        <f>IF('Account Info'!$T$7=TRUE,1,0)</f>
        <v>1</v>
      </c>
      <c r="B320" s="1091"/>
      <c r="C320" s="1092"/>
      <c r="D320" s="456"/>
      <c r="E320" s="456"/>
      <c r="F320" s="457"/>
      <c r="G320" s="457"/>
      <c r="H320" s="458"/>
      <c r="I320" s="459"/>
      <c r="J320" s="459"/>
      <c r="K320" s="460"/>
      <c r="L320" s="460" t="str">
        <f>IF(AND('Account Info'!$AA$4="Range State",L319&lt;&gt;"",OR(L319&lt;I319,L319&gt;K319)),"Factor is out of range","")</f>
        <v/>
      </c>
      <c r="M320" s="1051"/>
      <c r="N320" s="1052"/>
      <c r="O320" s="1052"/>
      <c r="P320" s="1052"/>
      <c r="Q320" s="1052"/>
      <c r="R320" s="1052"/>
      <c r="S320" s="1052"/>
      <c r="T320" s="1053"/>
      <c r="U320" s="322"/>
      <c r="V320" s="340">
        <v>1</v>
      </c>
      <c r="AD320" s="407">
        <v>5000000</v>
      </c>
      <c r="AE320" s="407">
        <v>3000</v>
      </c>
      <c r="AF320" s="407">
        <v>10000000</v>
      </c>
      <c r="AG320" s="407">
        <v>5000</v>
      </c>
      <c r="AH320" s="969">
        <f>VLOOKUP(I210,AD315:AG322,3,TRUE)</f>
        <v>50000</v>
      </c>
      <c r="AI320" s="969">
        <f>VLOOKUP(AH320,AD315:AG322,2,FALSE)</f>
        <v>250</v>
      </c>
      <c r="AJ320" s="408">
        <v>1000000</v>
      </c>
      <c r="AK320" s="408">
        <v>25</v>
      </c>
      <c r="AL320" s="408">
        <v>1250000</v>
      </c>
      <c r="AM320" s="408">
        <v>30</v>
      </c>
      <c r="AN320" s="522"/>
      <c r="AO320" s="521"/>
    </row>
    <row r="321" spans="1:41" ht="15" customHeight="1" x14ac:dyDescent="0.25">
      <c r="A321" s="420">
        <f>IF('Account Info'!$T$7=TRUE,1,0)</f>
        <v>1</v>
      </c>
      <c r="B321" s="1091"/>
      <c r="C321" s="1092"/>
      <c r="D321" s="348" t="s">
        <v>568</v>
      </c>
      <c r="E321" s="439"/>
      <c r="F321" s="349"/>
      <c r="G321" s="349"/>
      <c r="H321" s="453"/>
      <c r="I321" s="361" t="str">
        <f>IF('Account Info'!$AA$4="Range State","Low","")</f>
        <v>Low</v>
      </c>
      <c r="J321" s="361" t="str">
        <f>IF('Account Info'!$AA$4="Range State","Benchmark","Selection")</f>
        <v>Benchmark</v>
      </c>
      <c r="K321" s="361" t="str">
        <f>IF('Account Info'!$AA$4="Range State","High","")</f>
        <v>High</v>
      </c>
      <c r="L321" s="361" t="str">
        <f>IF('Account Info'!$AA$4="Range State","Selection","")</f>
        <v>Selection</v>
      </c>
      <c r="M321" s="440" t="s">
        <v>377</v>
      </c>
      <c r="N321" s="440"/>
      <c r="O321" s="441"/>
      <c r="P321" s="348"/>
      <c r="Q321" s="348"/>
      <c r="R321" s="348"/>
      <c r="S321" s="348"/>
      <c r="T321" s="348"/>
      <c r="U321" s="322"/>
      <c r="V321" s="340">
        <v>1</v>
      </c>
      <c r="AD321" s="407">
        <v>10000000</v>
      </c>
      <c r="AE321" s="407">
        <v>5000</v>
      </c>
      <c r="AF321" s="419">
        <v>25000000</v>
      </c>
      <c r="AG321" s="419">
        <v>10000</v>
      </c>
      <c r="AH321" s="529"/>
      <c r="AI321" s="529"/>
      <c r="AJ321" s="408">
        <v>1250000</v>
      </c>
      <c r="AK321" s="408">
        <v>30</v>
      </c>
      <c r="AL321" s="408">
        <v>1500000</v>
      </c>
      <c r="AM321" s="408">
        <v>35</v>
      </c>
      <c r="AN321" s="520">
        <f>VLOOKUP(AN315,AJ315:AM325,1,TRUE)</f>
        <v>250000</v>
      </c>
      <c r="AO321" s="521" t="s">
        <v>540</v>
      </c>
    </row>
    <row r="322" spans="1:41" ht="15" customHeight="1" x14ac:dyDescent="0.25">
      <c r="A322" s="420">
        <f>IF('Account Info'!$T$7=TRUE,1,0)</f>
        <v>1</v>
      </c>
      <c r="B322" s="1091"/>
      <c r="C322" s="1092"/>
      <c r="D322" s="1054" t="s">
        <v>586</v>
      </c>
      <c r="E322" s="1055"/>
      <c r="F322" s="1055"/>
      <c r="G322" s="1055"/>
      <c r="H322" s="1056"/>
      <c r="I322" s="443">
        <f>IF(D322="","",VLOOKUP(D322,X362:AA364,2,FALSE))</f>
        <v>0.96</v>
      </c>
      <c r="J322" s="443">
        <f>IF(D322="","",VLOOKUP(D322,X362:AA364,3,FALSE))</f>
        <v>1.01</v>
      </c>
      <c r="K322" s="443">
        <f>IF(D322="","",VLOOKUP(D322,X362:AA364,4,FALSE))</f>
        <v>1.05</v>
      </c>
      <c r="L322" s="444">
        <f>J322</f>
        <v>1.01</v>
      </c>
      <c r="M322" s="1057"/>
      <c r="N322" s="1058"/>
      <c r="O322" s="1058"/>
      <c r="P322" s="1058"/>
      <c r="Q322" s="1058"/>
      <c r="R322" s="1058"/>
      <c r="S322" s="1058"/>
      <c r="T322" s="1059"/>
      <c r="U322" s="322"/>
      <c r="V322" s="340">
        <f>IF('Account Info'!$AA$4="Flat Rate State",IF(J322="",1,J322),IF(L322="",1,L322))</f>
        <v>1.01</v>
      </c>
      <c r="AD322" s="407">
        <v>25000000</v>
      </c>
      <c r="AE322" s="407">
        <v>10000</v>
      </c>
      <c r="AF322" s="419"/>
      <c r="AG322" s="419"/>
      <c r="AH322" s="529"/>
      <c r="AI322" s="529"/>
      <c r="AJ322" s="408">
        <v>1500000</v>
      </c>
      <c r="AK322" s="408">
        <v>35</v>
      </c>
      <c r="AL322" s="408">
        <v>5000000</v>
      </c>
      <c r="AM322" s="408">
        <v>75</v>
      </c>
      <c r="AN322" s="522"/>
      <c r="AO322" s="521"/>
    </row>
    <row r="323" spans="1:41" ht="15" customHeight="1" x14ac:dyDescent="0.25">
      <c r="A323" s="420">
        <f>IF('Account Info'!$T$7=TRUE,1,0)</f>
        <v>1</v>
      </c>
      <c r="B323" s="1091"/>
      <c r="C323" s="1092"/>
      <c r="D323" s="456"/>
      <c r="E323" s="457"/>
      <c r="F323" s="456"/>
      <c r="G323" s="456"/>
      <c r="H323" s="456"/>
      <c r="I323" s="464"/>
      <c r="J323" s="464"/>
      <c r="K323" s="460"/>
      <c r="L323" s="460" t="str">
        <f>IF(AND('Account Info'!$AA$4="Range State",L322&lt;&gt;"",OR(L322&lt;I322,L322&gt;K322)),"Factor is out of range","")</f>
        <v/>
      </c>
      <c r="M323" s="1051"/>
      <c r="N323" s="1052"/>
      <c r="O323" s="1052"/>
      <c r="P323" s="1052"/>
      <c r="Q323" s="1052"/>
      <c r="R323" s="1052"/>
      <c r="S323" s="1052"/>
      <c r="T323" s="1053"/>
      <c r="U323" s="322"/>
      <c r="V323" s="340">
        <v>1</v>
      </c>
      <c r="X323" s="503" t="s">
        <v>380</v>
      </c>
      <c r="Y323" s="388"/>
      <c r="Z323" s="388"/>
      <c r="AA323" s="388"/>
      <c r="AJ323" s="408">
        <v>5000000</v>
      </c>
      <c r="AK323" s="408">
        <v>75</v>
      </c>
      <c r="AL323" s="408">
        <v>10000000</v>
      </c>
      <c r="AM323" s="408">
        <v>100</v>
      </c>
      <c r="AN323" s="520">
        <f>VLOOKUP(AN315,AJ315:AM325,2,TRUE)</f>
        <v>10</v>
      </c>
      <c r="AO323" s="521" t="s">
        <v>542</v>
      </c>
    </row>
    <row r="324" spans="1:41" ht="15" customHeight="1" x14ac:dyDescent="0.25">
      <c r="A324" s="420">
        <f>IF('Account Info'!$T$7=TRUE,1,0)</f>
        <v>1</v>
      </c>
      <c r="B324" s="1091"/>
      <c r="C324" s="1092"/>
      <c r="D324" s="348" t="s">
        <v>569</v>
      </c>
      <c r="E324" s="439"/>
      <c r="F324" s="349"/>
      <c r="G324" s="349"/>
      <c r="H324" s="453"/>
      <c r="I324" s="361" t="str">
        <f>IF('Account Info'!$AA$4="Range State","Low","")</f>
        <v>Low</v>
      </c>
      <c r="J324" s="361" t="str">
        <f>IF('Account Info'!$AA$4="Range State","Benchmark","Selection")</f>
        <v>Benchmark</v>
      </c>
      <c r="K324" s="361" t="str">
        <f>IF('Account Info'!$AA$4="Range State","High","")</f>
        <v>High</v>
      </c>
      <c r="L324" s="361" t="str">
        <f>IF('Account Info'!$AA$4="Range State","Selection","")</f>
        <v>Selection</v>
      </c>
      <c r="M324" s="440" t="s">
        <v>377</v>
      </c>
      <c r="N324" s="440"/>
      <c r="O324" s="441"/>
      <c r="P324" s="348"/>
      <c r="Q324" s="348"/>
      <c r="R324" s="348"/>
      <c r="S324" s="348"/>
      <c r="T324" s="348"/>
      <c r="U324" s="322"/>
      <c r="V324" s="340">
        <v>1</v>
      </c>
      <c r="X324" s="405" t="s">
        <v>417</v>
      </c>
      <c r="Y324" s="378">
        <v>0.75</v>
      </c>
      <c r="Z324" s="378">
        <f>ROUND(AVERAGE(Y324,AA324),2)</f>
        <v>0.87</v>
      </c>
      <c r="AA324" s="378">
        <v>0.99</v>
      </c>
      <c r="AI324" s="970"/>
      <c r="AJ324" s="408">
        <v>10000000</v>
      </c>
      <c r="AK324" s="408">
        <v>100</v>
      </c>
      <c r="AL324" s="408">
        <v>25000000</v>
      </c>
      <c r="AM324" s="408">
        <v>150</v>
      </c>
      <c r="AN324" s="522"/>
      <c r="AO324" s="521"/>
    </row>
    <row r="325" spans="1:41" ht="15" customHeight="1" x14ac:dyDescent="0.25">
      <c r="A325" s="420">
        <f>IF('Account Info'!$T$7=TRUE,1,0)</f>
        <v>1</v>
      </c>
      <c r="B325" s="1091"/>
      <c r="C325" s="1092"/>
      <c r="D325" s="1054" t="s">
        <v>586</v>
      </c>
      <c r="E325" s="1055"/>
      <c r="F325" s="1055"/>
      <c r="G325" s="1055"/>
      <c r="H325" s="1056"/>
      <c r="I325" s="443">
        <f>IF(D325="","",VLOOKUP(D325,X366:AA368,2,FALSE))</f>
        <v>0.96</v>
      </c>
      <c r="J325" s="443">
        <f>IF(D325="","",VLOOKUP(D325,X366:AA368,3,FALSE))</f>
        <v>1.01</v>
      </c>
      <c r="K325" s="443">
        <f>IF(D325="","",VLOOKUP(D325,X366:AA368,4,FALSE))</f>
        <v>1.05</v>
      </c>
      <c r="L325" s="444">
        <f>J325</f>
        <v>1.01</v>
      </c>
      <c r="M325" s="1057"/>
      <c r="N325" s="1058"/>
      <c r="O325" s="1058"/>
      <c r="P325" s="1058"/>
      <c r="Q325" s="1058"/>
      <c r="R325" s="1058"/>
      <c r="S325" s="1058"/>
      <c r="T325" s="1059"/>
      <c r="U325" s="322"/>
      <c r="V325" s="340">
        <f>IF('Account Info'!$AA$4="Flat Rate State",IF(J325="",1,J325),IF(L325="",1,L325))</f>
        <v>1.01</v>
      </c>
      <c r="X325" s="405" t="s">
        <v>418</v>
      </c>
      <c r="Y325" s="378">
        <v>1</v>
      </c>
      <c r="Z325" s="378">
        <f>ROUND(AVERAGE(Y325,AA325),2)</f>
        <v>1.1299999999999999</v>
      </c>
      <c r="AA325" s="378">
        <v>1.25</v>
      </c>
      <c r="AD325" s="503" t="s">
        <v>570</v>
      </c>
      <c r="AE325" s="388"/>
      <c r="AF325" s="388"/>
      <c r="AG325" s="388"/>
      <c r="AJ325" s="408">
        <v>25000000</v>
      </c>
      <c r="AK325" s="408">
        <v>150</v>
      </c>
      <c r="AN325" s="520">
        <f>(((AN315-AN321)/(AN317-AN321))*(AN319-AN323))+AN323</f>
        <v>10</v>
      </c>
      <c r="AO325" s="521" t="s">
        <v>544</v>
      </c>
    </row>
    <row r="326" spans="1:41" ht="15" customHeight="1" x14ac:dyDescent="0.25">
      <c r="A326" s="420">
        <f>IF('Account Info'!$T$7=TRUE,1,0)</f>
        <v>1</v>
      </c>
      <c r="B326" s="1091"/>
      <c r="C326" s="1092"/>
      <c r="D326" s="456"/>
      <c r="E326" s="456"/>
      <c r="F326" s="457"/>
      <c r="G326" s="457"/>
      <c r="H326" s="458"/>
      <c r="I326" s="459"/>
      <c r="J326" s="459"/>
      <c r="K326" s="460"/>
      <c r="L326" s="460" t="str">
        <f>IF(AND('Account Info'!$AA$4="Range State",L325&lt;&gt;"",OR(L325&lt;I325,L325&gt;K325)),"Factor is out of range","")</f>
        <v/>
      </c>
      <c r="M326" s="1051"/>
      <c r="N326" s="1052"/>
      <c r="O326" s="1052"/>
      <c r="P326" s="1052"/>
      <c r="Q326" s="1052"/>
      <c r="R326" s="1052"/>
      <c r="S326" s="1052"/>
      <c r="T326" s="1053"/>
      <c r="U326" s="322"/>
      <c r="V326" s="340">
        <v>1</v>
      </c>
      <c r="X326" s="405" t="s">
        <v>420</v>
      </c>
      <c r="Y326" s="378">
        <v>1.26</v>
      </c>
      <c r="Z326" s="378">
        <f>ROUND(AVERAGE(Y326,AA326),2)</f>
        <v>1.38</v>
      </c>
      <c r="AA326" s="378">
        <v>1.5</v>
      </c>
      <c r="AD326" s="405" t="s">
        <v>522</v>
      </c>
      <c r="AE326" s="378">
        <v>1</v>
      </c>
      <c r="AF326" s="378">
        <f>ROUND(AVERAGE(AE326,AG326),2)</f>
        <v>1</v>
      </c>
      <c r="AG326" s="378">
        <v>1</v>
      </c>
      <c r="AJ326" s="420"/>
      <c r="AK326" s="420"/>
    </row>
    <row r="327" spans="1:41" ht="15" customHeight="1" x14ac:dyDescent="0.25">
      <c r="A327" s="420">
        <f>IF('Account Info'!$T$7=TRUE,1,0)</f>
        <v>1</v>
      </c>
      <c r="B327" s="1091"/>
      <c r="C327" s="1092"/>
      <c r="D327" s="440" t="s">
        <v>571</v>
      </c>
      <c r="E327" s="349"/>
      <c r="F327" s="439"/>
      <c r="G327" s="439"/>
      <c r="H327" s="453"/>
      <c r="I327" s="361" t="str">
        <f>IF('Account Info'!$AA$4="Range State","Low","")</f>
        <v>Low</v>
      </c>
      <c r="J327" s="361" t="str">
        <f>IF('Account Info'!$AA$4="Range State","Benchmark","Selection")</f>
        <v>Benchmark</v>
      </c>
      <c r="K327" s="361" t="str">
        <f>IF('Account Info'!$AA$4="Range State","High","")</f>
        <v>High</v>
      </c>
      <c r="L327" s="361" t="str">
        <f>IF('Account Info'!$AA$4="Range State","Selection","")</f>
        <v>Selection</v>
      </c>
      <c r="M327" s="440" t="s">
        <v>377</v>
      </c>
      <c r="N327" s="440"/>
      <c r="O327" s="441"/>
      <c r="P327" s="348"/>
      <c r="Q327" s="348"/>
      <c r="R327" s="348"/>
      <c r="S327" s="348"/>
      <c r="T327" s="348"/>
      <c r="U327" s="322"/>
      <c r="V327" s="340">
        <v>1</v>
      </c>
      <c r="X327" s="405" t="s">
        <v>422</v>
      </c>
      <c r="Y327" s="378">
        <v>1.51</v>
      </c>
      <c r="Z327" s="378">
        <f>ROUND(AVERAGE(Y327,AA327),2)</f>
        <v>1.63</v>
      </c>
      <c r="AA327" s="378">
        <v>1.75</v>
      </c>
      <c r="AD327" s="405" t="s">
        <v>524</v>
      </c>
      <c r="AE327" s="378">
        <v>0.8</v>
      </c>
      <c r="AF327" s="378">
        <f>ROUND(AVERAGE(AE327,AG327),2)</f>
        <v>0.9</v>
      </c>
      <c r="AG327" s="378">
        <v>0.99</v>
      </c>
      <c r="AJ327" s="523"/>
      <c r="AK327" s="533"/>
    </row>
    <row r="328" spans="1:41" ht="15" customHeight="1" x14ac:dyDescent="0.25">
      <c r="A328" s="420">
        <f>IF('Account Info'!$T$7=TRUE,1,0)</f>
        <v>1</v>
      </c>
      <c r="B328" s="1091"/>
      <c r="C328" s="1092"/>
      <c r="D328" s="1054" t="s">
        <v>602</v>
      </c>
      <c r="E328" s="1055"/>
      <c r="F328" s="1055"/>
      <c r="G328" s="1055"/>
      <c r="H328" s="1056"/>
      <c r="I328" s="443">
        <f>IF(D328="","",VLOOKUP(D328,X375:AA377,2,FALSE))</f>
        <v>1</v>
      </c>
      <c r="J328" s="443">
        <f>IF(D328="","",VLOOKUP(D328,X375:AA377,3,FALSE))</f>
        <v>1.03</v>
      </c>
      <c r="K328" s="443">
        <f>IF(D328="","",VLOOKUP(D328,X375:AA377,4,FALSE))</f>
        <v>1.05</v>
      </c>
      <c r="L328" s="444">
        <f>J328</f>
        <v>1.03</v>
      </c>
      <c r="M328" s="1057"/>
      <c r="N328" s="1058"/>
      <c r="O328" s="1058"/>
      <c r="P328" s="1058"/>
      <c r="Q328" s="1058"/>
      <c r="R328" s="1058"/>
      <c r="S328" s="1058"/>
      <c r="T328" s="1059"/>
      <c r="U328" s="322"/>
      <c r="V328" s="340">
        <f>IF('Account Info'!$AA$4="Flat Rate State",IF(J328="",1,J328),IF(L328="",1,L328))</f>
        <v>1.03</v>
      </c>
      <c r="X328" s="503" t="s">
        <v>556</v>
      </c>
      <c r="Y328" s="388"/>
      <c r="Z328" s="388"/>
      <c r="AA328" s="388"/>
      <c r="AD328" s="405" t="s">
        <v>526</v>
      </c>
      <c r="AE328" s="378">
        <v>1.01</v>
      </c>
      <c r="AF328" s="378">
        <f>ROUND(AVERAGE(AE328,AG328),2)</f>
        <v>1.1100000000000001</v>
      </c>
      <c r="AG328" s="378">
        <v>1.2</v>
      </c>
      <c r="AJ328" s="504" t="s">
        <v>573</v>
      </c>
      <c r="AK328" s="420"/>
    </row>
    <row r="329" spans="1:41" ht="15" customHeight="1" x14ac:dyDescent="0.25">
      <c r="A329" s="420">
        <f>IF('Account Info'!$T$7=TRUE,1,0)</f>
        <v>1</v>
      </c>
      <c r="B329" s="1091"/>
      <c r="C329" s="1092"/>
      <c r="D329" s="456"/>
      <c r="E329" s="456"/>
      <c r="F329" s="457"/>
      <c r="G329" s="457"/>
      <c r="H329" s="458"/>
      <c r="I329" s="459"/>
      <c r="J329" s="459"/>
      <c r="K329" s="460"/>
      <c r="L329" s="460" t="str">
        <f>IF(AND('Account Info'!$AA$4="Range State",L328&lt;&gt;"",OR(L328&lt;I328,L328&gt;K328)),"Factor is out of range","")</f>
        <v/>
      </c>
      <c r="M329" s="1051"/>
      <c r="N329" s="1052"/>
      <c r="O329" s="1052"/>
      <c r="P329" s="1052"/>
      <c r="Q329" s="1052"/>
      <c r="R329" s="1052"/>
      <c r="S329" s="1052"/>
      <c r="T329" s="1053"/>
      <c r="U329" s="322"/>
      <c r="V329" s="340">
        <v>1</v>
      </c>
      <c r="X329" s="405" t="s">
        <v>572</v>
      </c>
      <c r="Y329" s="378">
        <v>0.9</v>
      </c>
      <c r="Z329" s="378">
        <f>ROUND(AVERAGE(Y329,AA329),2)</f>
        <v>0.93</v>
      </c>
      <c r="AA329" s="378">
        <v>0.95</v>
      </c>
      <c r="AD329" s="405" t="s">
        <v>527</v>
      </c>
      <c r="AE329" s="378">
        <v>0.65</v>
      </c>
      <c r="AF329" s="378">
        <f>ROUND(AVERAGE(AE329,AG329),2)</f>
        <v>0.72</v>
      </c>
      <c r="AG329" s="378">
        <v>0.79</v>
      </c>
      <c r="AJ329" s="408">
        <v>0</v>
      </c>
      <c r="AK329" s="408">
        <v>0</v>
      </c>
      <c r="AL329" s="408">
        <v>50000</v>
      </c>
      <c r="AM329" s="408">
        <v>5</v>
      </c>
      <c r="AN329" s="520">
        <f>D277</f>
        <v>250000</v>
      </c>
      <c r="AO329" s="521" t="s">
        <v>285</v>
      </c>
    </row>
    <row r="330" spans="1:41" ht="15" customHeight="1" x14ac:dyDescent="0.25">
      <c r="A330" s="420">
        <f>IF('Account Info'!$T$7=TRUE,1,0)</f>
        <v>1</v>
      </c>
      <c r="B330" s="1091"/>
      <c r="C330" s="1092"/>
      <c r="D330" s="348" t="s">
        <v>575</v>
      </c>
      <c r="E330" s="439"/>
      <c r="F330" s="349"/>
      <c r="G330" s="349"/>
      <c r="H330" s="453"/>
      <c r="I330" s="361" t="str">
        <f>IF('Account Info'!$AA$4="Range State","Low","")</f>
        <v>Low</v>
      </c>
      <c r="J330" s="361" t="str">
        <f>IF('Account Info'!$AA$4="Range State","Benchmark","Selection")</f>
        <v>Benchmark</v>
      </c>
      <c r="K330" s="361" t="str">
        <f>IF('Account Info'!$AA$4="Range State","High","")</f>
        <v>High</v>
      </c>
      <c r="L330" s="361" t="str">
        <f>IF('Account Info'!$AA$4="Range State","Selection","")</f>
        <v>Selection</v>
      </c>
      <c r="M330" s="440" t="s">
        <v>377</v>
      </c>
      <c r="N330" s="440"/>
      <c r="O330" s="441"/>
      <c r="P330" s="348"/>
      <c r="Q330" s="348"/>
      <c r="R330" s="348"/>
      <c r="S330" s="348"/>
      <c r="T330" s="348"/>
      <c r="U330" s="322"/>
      <c r="V330" s="340">
        <v>1</v>
      </c>
      <c r="X330" s="405" t="s">
        <v>418</v>
      </c>
      <c r="Y330" s="378">
        <v>0.96</v>
      </c>
      <c r="Z330" s="378">
        <f>ROUND(AVERAGE(Y330,AA330),2)</f>
        <v>1.01</v>
      </c>
      <c r="AA330" s="378">
        <v>1.05</v>
      </c>
      <c r="AD330" s="405" t="s">
        <v>535</v>
      </c>
      <c r="AE330" s="378">
        <v>1.21</v>
      </c>
      <c r="AF330" s="378">
        <f>ROUND(AVERAGE(AE330,AG330),2)</f>
        <v>1.28</v>
      </c>
      <c r="AG330" s="378">
        <v>1.35</v>
      </c>
      <c r="AJ330" s="408">
        <v>50000</v>
      </c>
      <c r="AK330" s="408">
        <v>5</v>
      </c>
      <c r="AL330" s="408">
        <v>250000</v>
      </c>
      <c r="AM330" s="408">
        <v>10</v>
      </c>
      <c r="AN330" s="522"/>
      <c r="AO330" s="521"/>
    </row>
    <row r="331" spans="1:41" ht="15" customHeight="1" x14ac:dyDescent="0.25">
      <c r="A331" s="420">
        <f>IF('Account Info'!$T$7=TRUE,1,0)</f>
        <v>1</v>
      </c>
      <c r="B331" s="1091"/>
      <c r="C331" s="1092"/>
      <c r="D331" s="1054" t="s">
        <v>418</v>
      </c>
      <c r="E331" s="1055"/>
      <c r="F331" s="1055"/>
      <c r="G331" s="1055"/>
      <c r="H331" s="1056"/>
      <c r="I331" s="443">
        <f>IF(D331="","",VLOOKUP(D331,X379:AA382,2,FALSE))</f>
        <v>1</v>
      </c>
      <c r="J331" s="443">
        <f>IF(D331="","",VLOOKUP(D331,X379:AA382,3,FALSE))</f>
        <v>1.1299999999999999</v>
      </c>
      <c r="K331" s="443">
        <f>IF(D331="","",VLOOKUP(D331,X379:AA382,4,FALSE))</f>
        <v>1.25</v>
      </c>
      <c r="L331" s="444">
        <f>J331</f>
        <v>1.1299999999999999</v>
      </c>
      <c r="M331" s="1057"/>
      <c r="N331" s="1058"/>
      <c r="O331" s="1058"/>
      <c r="P331" s="1058"/>
      <c r="Q331" s="1058"/>
      <c r="R331" s="1058"/>
      <c r="S331" s="1058"/>
      <c r="T331" s="1059"/>
      <c r="U331" s="322"/>
      <c r="V331" s="340">
        <f>IF('Account Info'!$AA$4="Flat Rate State",IF(J331="",1,J331),IF(L331="",1,L331))</f>
        <v>1.1299999999999999</v>
      </c>
      <c r="X331" s="405" t="s">
        <v>574</v>
      </c>
      <c r="Y331" s="378">
        <v>1.06</v>
      </c>
      <c r="Z331" s="378">
        <f>ROUND(AVERAGE(Y331,AA331),2)</f>
        <v>1.1100000000000001</v>
      </c>
      <c r="AA331" s="378">
        <v>1.1499999999999999</v>
      </c>
      <c r="AD331" s="503" t="s">
        <v>576</v>
      </c>
      <c r="AE331" s="388"/>
      <c r="AF331" s="388"/>
      <c r="AG331" s="388"/>
      <c r="AJ331" s="408">
        <v>250000</v>
      </c>
      <c r="AK331" s="408">
        <v>10</v>
      </c>
      <c r="AL331" s="408">
        <v>500000</v>
      </c>
      <c r="AM331" s="408">
        <v>15</v>
      </c>
      <c r="AN331" s="520">
        <f>VLOOKUP(AN329,AJ329:AM339,3,TRUE)</f>
        <v>500000</v>
      </c>
      <c r="AO331" s="521" t="s">
        <v>534</v>
      </c>
    </row>
    <row r="332" spans="1:41" ht="15" customHeight="1" x14ac:dyDescent="0.25">
      <c r="A332" s="420">
        <f>IF('Account Info'!$T$7=TRUE,1,0)</f>
        <v>1</v>
      </c>
      <c r="B332" s="1091"/>
      <c r="C332" s="1092"/>
      <c r="D332" s="456"/>
      <c r="E332" s="457"/>
      <c r="F332" s="456"/>
      <c r="G332" s="456"/>
      <c r="H332" s="456"/>
      <c r="I332" s="464"/>
      <c r="J332" s="464"/>
      <c r="K332" s="460"/>
      <c r="L332" s="460" t="str">
        <f>IF(AND('Account Info'!$AA$4="Range State",L331&lt;&gt;"",OR(L331&lt;I331,L331&gt;K331)),"Factor is out of range","")</f>
        <v/>
      </c>
      <c r="M332" s="1051"/>
      <c r="N332" s="1052"/>
      <c r="O332" s="1052"/>
      <c r="P332" s="1052"/>
      <c r="Q332" s="1052"/>
      <c r="R332" s="1052"/>
      <c r="S332" s="1052"/>
      <c r="T332" s="1053"/>
      <c r="U332" s="322"/>
      <c r="V332" s="340">
        <v>1</v>
      </c>
      <c r="X332" s="503" t="s">
        <v>558</v>
      </c>
      <c r="Y332" s="388"/>
      <c r="Z332" s="388"/>
      <c r="AA332" s="388"/>
      <c r="AD332" s="405">
        <v>1</v>
      </c>
      <c r="AE332" s="378">
        <v>7.0000000000000007E-2</v>
      </c>
      <c r="AF332" s="378">
        <f>ROUND(AVERAGE(AE332,AG332),2)</f>
        <v>0.08</v>
      </c>
      <c r="AG332" s="378">
        <v>0.09</v>
      </c>
      <c r="AJ332" s="408">
        <v>500000</v>
      </c>
      <c r="AK332" s="408">
        <v>15</v>
      </c>
      <c r="AL332" s="408">
        <v>750000</v>
      </c>
      <c r="AM332" s="408">
        <v>20</v>
      </c>
      <c r="AN332" s="522"/>
      <c r="AO332" s="521"/>
    </row>
    <row r="333" spans="1:41" ht="15" customHeight="1" x14ac:dyDescent="0.25">
      <c r="A333" s="420">
        <f>IF('Account Info'!$T$7=TRUE,1,0)</f>
        <v>1</v>
      </c>
      <c r="B333" s="1091"/>
      <c r="C333" s="1092"/>
      <c r="D333" s="461"/>
      <c r="E333" s="462"/>
      <c r="F333" s="462"/>
      <c r="G333" s="462"/>
      <c r="J333" s="466"/>
      <c r="K333" s="466"/>
      <c r="L333" s="463"/>
      <c r="M333" s="467"/>
      <c r="N333" s="468"/>
      <c r="O333" s="468"/>
      <c r="P333" s="468"/>
      <c r="Q333" s="468"/>
      <c r="R333" s="468"/>
      <c r="S333" s="468"/>
      <c r="T333" s="468"/>
      <c r="U333" s="322"/>
      <c r="V333" s="312">
        <f>PRODUCT(V296:V332)</f>
        <v>1.4237967865874941</v>
      </c>
      <c r="X333" s="405" t="s">
        <v>417</v>
      </c>
      <c r="Y333" s="378">
        <v>0.9</v>
      </c>
      <c r="Z333" s="378">
        <f>ROUND(AVERAGE(Y333,AA333),2)</f>
        <v>0.95</v>
      </c>
      <c r="AA333" s="378">
        <v>1</v>
      </c>
      <c r="AD333" s="405">
        <v>6</v>
      </c>
      <c r="AE333" s="378">
        <v>0.11</v>
      </c>
      <c r="AF333" s="378">
        <f>ROUND(AVERAGE(AE333,AG333),2)</f>
        <v>0.12</v>
      </c>
      <c r="AG333" s="378">
        <v>0.13</v>
      </c>
      <c r="AJ333" s="408">
        <v>750000</v>
      </c>
      <c r="AK333" s="408">
        <v>20</v>
      </c>
      <c r="AL333" s="408">
        <v>1000000</v>
      </c>
      <c r="AM333" s="408">
        <v>25</v>
      </c>
      <c r="AN333" s="520">
        <f>VLOOKUP(AN329,AJ329:AM339,4,TRUE)</f>
        <v>15</v>
      </c>
      <c r="AO333" s="521" t="s">
        <v>537</v>
      </c>
    </row>
    <row r="334" spans="1:41" ht="15" customHeight="1" thickBot="1" x14ac:dyDescent="0.3">
      <c r="A334" s="420">
        <f>IF('Account Info'!$T$7=TRUE,1,0)</f>
        <v>1</v>
      </c>
      <c r="B334" s="1093"/>
      <c r="C334" s="1094"/>
      <c r="D334" s="325"/>
      <c r="E334" s="326"/>
      <c r="F334" s="325"/>
      <c r="G334" s="325"/>
      <c r="H334" s="325"/>
      <c r="I334" s="469"/>
      <c r="J334" s="469"/>
      <c r="K334" s="469"/>
      <c r="L334" s="469"/>
      <c r="M334" s="325"/>
      <c r="N334" s="325"/>
      <c r="O334" s="325"/>
      <c r="P334" s="325"/>
      <c r="Q334" s="325"/>
      <c r="R334" s="325"/>
      <c r="S334" s="325"/>
      <c r="T334" s="325"/>
      <c r="U334" s="327"/>
      <c r="V334" s="458" t="s">
        <v>577</v>
      </c>
      <c r="W334" s="939">
        <f ca="1">IF(T28="","",T28*PRODUCT(V296:V332))</f>
        <v>3168.6241536308034</v>
      </c>
      <c r="X334" s="405" t="s">
        <v>420</v>
      </c>
      <c r="Y334" s="378">
        <v>1.01</v>
      </c>
      <c r="Z334" s="378">
        <f>ROUND(AVERAGE(Y334,AA334),2)</f>
        <v>1.08</v>
      </c>
      <c r="AA334" s="378">
        <v>1.1499999999999999</v>
      </c>
      <c r="AD334" s="405">
        <v>11</v>
      </c>
      <c r="AE334" s="378">
        <v>0.14000000000000001</v>
      </c>
      <c r="AF334" s="378">
        <f>ROUND(AVERAGE(AE334,AG334),2)</f>
        <v>0.15</v>
      </c>
      <c r="AG334" s="378">
        <v>0.16</v>
      </c>
      <c r="AJ334" s="408">
        <v>1000000</v>
      </c>
      <c r="AK334" s="408">
        <v>25</v>
      </c>
      <c r="AL334" s="408">
        <v>1250000</v>
      </c>
      <c r="AM334" s="408">
        <v>30</v>
      </c>
      <c r="AN334" s="522"/>
      <c r="AO334" s="521"/>
    </row>
    <row r="335" spans="1:41" ht="19.5" thickBot="1" x14ac:dyDescent="0.35">
      <c r="A335" s="420">
        <f>IF('Account Info'!$T$7=TRUE,1,0)</f>
        <v>1</v>
      </c>
      <c r="B335" s="470" t="s">
        <v>578</v>
      </c>
      <c r="C335" s="309"/>
      <c r="D335" s="310"/>
      <c r="E335" s="310"/>
      <c r="F335" s="310"/>
      <c r="G335" s="310"/>
      <c r="H335" s="310"/>
      <c r="I335" s="512"/>
      <c r="J335" s="512"/>
      <c r="K335" s="512"/>
      <c r="L335" s="512"/>
      <c r="M335" s="310"/>
      <c r="N335" s="310"/>
      <c r="O335" s="310"/>
      <c r="P335" s="310"/>
      <c r="Q335" s="310"/>
      <c r="R335" s="310"/>
      <c r="S335" s="310"/>
      <c r="T335" s="310"/>
      <c r="U335" s="311"/>
      <c r="X335" s="405" t="s">
        <v>422</v>
      </c>
      <c r="Y335" s="378">
        <v>1.1599999999999999</v>
      </c>
      <c r="Z335" s="378">
        <f>ROUND(AVERAGE(Y335,AA335),2)</f>
        <v>1.21</v>
      </c>
      <c r="AA335" s="378">
        <v>1.25</v>
      </c>
      <c r="AD335" s="388"/>
      <c r="AE335" s="388"/>
      <c r="AF335" s="388"/>
      <c r="AG335" s="388"/>
      <c r="AJ335" s="408">
        <v>1250000</v>
      </c>
      <c r="AK335" s="408">
        <v>30</v>
      </c>
      <c r="AL335" s="408">
        <v>1500000</v>
      </c>
      <c r="AM335" s="408">
        <v>35</v>
      </c>
      <c r="AN335" s="520">
        <f>VLOOKUP(AN329,AJ329:AM339,1,TRUE)</f>
        <v>250000</v>
      </c>
      <c r="AO335" s="521" t="s">
        <v>540</v>
      </c>
    </row>
    <row r="336" spans="1:41" x14ac:dyDescent="0.25">
      <c r="A336" s="420">
        <f>IF('Account Info'!$T$7=TRUE,1,0)</f>
        <v>1</v>
      </c>
      <c r="B336" s="317"/>
      <c r="C336" s="321"/>
      <c r="D336" s="321"/>
      <c r="E336" s="320"/>
      <c r="F336" s="321"/>
      <c r="G336" s="321"/>
      <c r="H336" s="471" t="s">
        <v>393</v>
      </c>
      <c r="I336" s="472">
        <v>0.8</v>
      </c>
      <c r="J336" s="473">
        <v>1.25</v>
      </c>
      <c r="K336" s="949">
        <v>1</v>
      </c>
      <c r="L336" s="474"/>
      <c r="M336" s="320"/>
      <c r="N336" s="320"/>
      <c r="O336" s="320"/>
      <c r="P336" s="320"/>
      <c r="Q336" s="320"/>
      <c r="R336" s="320"/>
      <c r="S336" s="320"/>
      <c r="T336" s="320"/>
      <c r="U336" s="322"/>
      <c r="X336" s="503" t="s">
        <v>560</v>
      </c>
      <c r="Y336" s="388"/>
      <c r="Z336" s="388"/>
      <c r="AA336" s="388"/>
      <c r="AD336" s="503" t="s">
        <v>579</v>
      </c>
      <c r="AE336" s="388"/>
      <c r="AF336" s="388"/>
      <c r="AG336" s="388"/>
      <c r="AJ336" s="408">
        <v>1500000</v>
      </c>
      <c r="AK336" s="408">
        <v>35</v>
      </c>
      <c r="AL336" s="408">
        <v>5000000</v>
      </c>
      <c r="AM336" s="408">
        <v>75</v>
      </c>
      <c r="AN336" s="522"/>
      <c r="AO336" s="521"/>
    </row>
    <row r="337" spans="1:41" x14ac:dyDescent="0.25">
      <c r="A337" s="420">
        <f>IF('Account Info'!$T$7=TRUE,1,0)</f>
        <v>1</v>
      </c>
      <c r="B337" s="317"/>
      <c r="C337" s="321"/>
      <c r="D337" s="321"/>
      <c r="E337" s="320"/>
      <c r="F337" s="321"/>
      <c r="G337" s="321"/>
      <c r="H337" s="475" t="s">
        <v>394</v>
      </c>
      <c r="I337" s="476">
        <v>0.8</v>
      </c>
      <c r="J337" s="477">
        <v>1.25</v>
      </c>
      <c r="K337" s="950">
        <v>1</v>
      </c>
      <c r="L337" s="474"/>
      <c r="M337" s="320"/>
      <c r="N337" s="320"/>
      <c r="O337" s="320"/>
      <c r="P337" s="320"/>
      <c r="Q337" s="320"/>
      <c r="R337" s="320"/>
      <c r="S337" s="320"/>
      <c r="T337" s="320"/>
      <c r="U337" s="322"/>
      <c r="X337" s="405" t="s">
        <v>417</v>
      </c>
      <c r="Y337" s="378">
        <v>0.75</v>
      </c>
      <c r="Z337" s="378">
        <f>ROUND(AVERAGE(Y337,AA337),2)</f>
        <v>0.87</v>
      </c>
      <c r="AA337" s="378">
        <v>0.99</v>
      </c>
      <c r="AD337" s="405">
        <v>1</v>
      </c>
      <c r="AE337" s="378">
        <v>0.01</v>
      </c>
      <c r="AF337" s="378">
        <f>ROUND(AVERAGE(AE337,AG337),2)</f>
        <v>0.02</v>
      </c>
      <c r="AG337" s="378">
        <v>0.03</v>
      </c>
      <c r="AJ337" s="408">
        <v>5000000</v>
      </c>
      <c r="AK337" s="408">
        <v>75</v>
      </c>
      <c r="AL337" s="408">
        <v>10000000</v>
      </c>
      <c r="AM337" s="408">
        <v>100</v>
      </c>
      <c r="AN337" s="520">
        <f>VLOOKUP(AN329,AJ329:AM339,2,TRUE)</f>
        <v>10</v>
      </c>
      <c r="AO337" s="521" t="s">
        <v>542</v>
      </c>
    </row>
    <row r="338" spans="1:41" x14ac:dyDescent="0.25">
      <c r="A338" s="420">
        <f>IF('Account Info'!$T$7=TRUE,1,0)</f>
        <v>1</v>
      </c>
      <c r="B338" s="317"/>
      <c r="C338" s="321"/>
      <c r="D338" s="321"/>
      <c r="E338" s="320"/>
      <c r="F338" s="321"/>
      <c r="G338" s="321"/>
      <c r="H338" s="475" t="s">
        <v>395</v>
      </c>
      <c r="I338" s="476">
        <v>0.8</v>
      </c>
      <c r="J338" s="477">
        <v>1.25</v>
      </c>
      <c r="K338" s="950">
        <v>1</v>
      </c>
      <c r="L338" s="474"/>
      <c r="M338" s="320"/>
      <c r="N338" s="320"/>
      <c r="O338" s="320"/>
      <c r="P338" s="320"/>
      <c r="Q338" s="320"/>
      <c r="R338" s="320"/>
      <c r="S338" s="320"/>
      <c r="T338" s="320"/>
      <c r="U338" s="322"/>
      <c r="X338" s="405" t="s">
        <v>418</v>
      </c>
      <c r="Y338" s="378">
        <v>1</v>
      </c>
      <c r="Z338" s="378">
        <f>ROUND(AVERAGE(Y338,AA338),2)</f>
        <v>1.1299999999999999</v>
      </c>
      <c r="AA338" s="378">
        <v>1.25</v>
      </c>
      <c r="AD338" s="405">
        <v>6</v>
      </c>
      <c r="AE338" s="378">
        <v>0.03</v>
      </c>
      <c r="AF338" s="378">
        <f>ROUND(AVERAGE(AE338,AG338),2)</f>
        <v>0.04</v>
      </c>
      <c r="AG338" s="378">
        <v>0.05</v>
      </c>
      <c r="AJ338" s="408">
        <v>10000000</v>
      </c>
      <c r="AK338" s="408">
        <v>100</v>
      </c>
      <c r="AL338" s="408">
        <v>25000000</v>
      </c>
      <c r="AM338" s="408">
        <v>150</v>
      </c>
      <c r="AN338" s="522"/>
      <c r="AO338" s="521"/>
    </row>
    <row r="339" spans="1:41" x14ac:dyDescent="0.25">
      <c r="A339" s="420">
        <f>IF('Account Info'!$T$7=TRUE,1,0)</f>
        <v>1</v>
      </c>
      <c r="B339" s="317"/>
      <c r="C339" s="321"/>
      <c r="D339" s="321"/>
      <c r="E339" s="320"/>
      <c r="F339" s="321"/>
      <c r="G339" s="321"/>
      <c r="H339" s="475" t="s">
        <v>396</v>
      </c>
      <c r="I339" s="476">
        <v>0.8</v>
      </c>
      <c r="J339" s="477">
        <v>1.25</v>
      </c>
      <c r="K339" s="950">
        <v>1</v>
      </c>
      <c r="L339" s="474"/>
      <c r="M339" s="320"/>
      <c r="N339" s="320"/>
      <c r="O339" s="320"/>
      <c r="P339" s="320"/>
      <c r="Q339" s="320"/>
      <c r="R339" s="320"/>
      <c r="S339" s="320"/>
      <c r="T339" s="320"/>
      <c r="U339" s="322"/>
      <c r="X339" s="405" t="s">
        <v>420</v>
      </c>
      <c r="Y339" s="378">
        <v>1.26</v>
      </c>
      <c r="Z339" s="378">
        <f>ROUND(AVERAGE(Y339,AA339),2)</f>
        <v>1.38</v>
      </c>
      <c r="AA339" s="378">
        <v>1.5</v>
      </c>
      <c r="AD339" s="405">
        <v>11</v>
      </c>
      <c r="AE339" s="378">
        <v>0.05</v>
      </c>
      <c r="AF339" s="378">
        <f>ROUND(AVERAGE(AE339,AG339),2)</f>
        <v>0.06</v>
      </c>
      <c r="AG339" s="378">
        <v>7.0000000000000007E-2</v>
      </c>
      <c r="AJ339" s="408">
        <v>25000000</v>
      </c>
      <c r="AK339" s="408">
        <v>150</v>
      </c>
      <c r="AN339" s="520">
        <f>(((AN329-AN335)/(AN331-AN335))*(AN333-AN337))+AN337</f>
        <v>10</v>
      </c>
      <c r="AO339" s="521" t="s">
        <v>544</v>
      </c>
    </row>
    <row r="340" spans="1:41" ht="15.75" thickBot="1" x14ac:dyDescent="0.3">
      <c r="A340" s="420">
        <f>IF('Account Info'!$T$7=TRUE,1,0)</f>
        <v>1</v>
      </c>
      <c r="B340" s="317"/>
      <c r="C340" s="321"/>
      <c r="D340" s="321"/>
      <c r="E340" s="320"/>
      <c r="F340" s="321"/>
      <c r="G340" s="321"/>
      <c r="H340" s="478" t="s">
        <v>397</v>
      </c>
      <c r="I340" s="479">
        <v>0.8</v>
      </c>
      <c r="J340" s="480">
        <v>1.25</v>
      </c>
      <c r="K340" s="951">
        <v>1</v>
      </c>
      <c r="L340" s="474"/>
      <c r="M340" s="320"/>
      <c r="N340" s="320"/>
      <c r="O340" s="320"/>
      <c r="P340" s="320"/>
      <c r="Q340" s="320"/>
      <c r="R340" s="320"/>
      <c r="S340" s="320"/>
      <c r="T340" s="320"/>
      <c r="U340" s="322"/>
      <c r="X340" s="405" t="s">
        <v>422</v>
      </c>
      <c r="Y340" s="378">
        <v>1.51</v>
      </c>
      <c r="Z340" s="378">
        <f>ROUND(AVERAGE(Y340,AA340),2)</f>
        <v>1.63</v>
      </c>
      <c r="AA340" s="378">
        <v>1.75</v>
      </c>
      <c r="AD340" s="388"/>
      <c r="AE340" s="388"/>
      <c r="AF340" s="388"/>
      <c r="AG340" s="388"/>
      <c r="AJ340" s="420"/>
      <c r="AK340" s="420"/>
    </row>
    <row r="341" spans="1:41" ht="15.75" thickBot="1" x14ac:dyDescent="0.3">
      <c r="A341" s="420">
        <f>IF('Account Info'!$T$7=TRUE,1,0)</f>
        <v>1</v>
      </c>
      <c r="B341" s="317"/>
      <c r="C341" s="321"/>
      <c r="D341" s="321"/>
      <c r="E341" s="320"/>
      <c r="F341" s="321"/>
      <c r="G341" s="321"/>
      <c r="H341" s="481"/>
      <c r="I341" s="482"/>
      <c r="J341" s="483"/>
      <c r="K341" s="952">
        <f>IF(PRODUCT(K336:K340)=0,1,PRODUCT(K336:K340))</f>
        <v>1</v>
      </c>
      <c r="L341" s="464"/>
      <c r="M341" s="320"/>
      <c r="N341" s="320"/>
      <c r="O341" s="320"/>
      <c r="P341" s="320"/>
      <c r="Q341" s="320"/>
      <c r="R341" s="320"/>
      <c r="S341" s="320"/>
      <c r="T341" s="320"/>
      <c r="U341" s="322"/>
      <c r="V341" s="312">
        <f>W98</f>
        <v>0.5</v>
      </c>
      <c r="W341" s="484">
        <f>X98</f>
        <v>1.5</v>
      </c>
      <c r="AD341" s="388"/>
      <c r="AE341" s="388"/>
      <c r="AF341" s="388"/>
      <c r="AG341" s="388"/>
      <c r="AJ341" s="504" t="s">
        <v>580</v>
      </c>
      <c r="AK341" s="420"/>
    </row>
    <row r="342" spans="1:41" x14ac:dyDescent="0.25">
      <c r="A342" s="420">
        <f>IF('Account Info'!$T$7=TRUE,1,0)</f>
        <v>1</v>
      </c>
      <c r="B342" s="317"/>
      <c r="C342" s="321"/>
      <c r="D342" s="321"/>
      <c r="E342" s="320"/>
      <c r="F342" s="321"/>
      <c r="G342" s="321"/>
      <c r="H342" s="485"/>
      <c r="I342" s="482"/>
      <c r="J342" s="483"/>
      <c r="K342" s="486"/>
      <c r="L342" s="464"/>
      <c r="M342" s="320"/>
      <c r="N342" s="320"/>
      <c r="O342" s="320"/>
      <c r="P342" s="320"/>
      <c r="Q342" s="320"/>
      <c r="R342" s="320"/>
      <c r="S342" s="320"/>
      <c r="T342" s="320"/>
      <c r="U342" s="322"/>
      <c r="AD342" s="503" t="s">
        <v>581</v>
      </c>
      <c r="AE342" s="388"/>
      <c r="AF342" s="388"/>
      <c r="AG342" s="388"/>
      <c r="AJ342" s="408">
        <v>0</v>
      </c>
      <c r="AK342" s="408">
        <v>0</v>
      </c>
      <c r="AL342" s="408">
        <v>50000</v>
      </c>
      <c r="AM342" s="408">
        <v>5</v>
      </c>
      <c r="AN342" s="520">
        <f>D280</f>
        <v>250000</v>
      </c>
      <c r="AO342" s="521" t="s">
        <v>285</v>
      </c>
    </row>
    <row r="343" spans="1:41" x14ac:dyDescent="0.25">
      <c r="A343" s="420">
        <f>IF('Account Info'!$T$7=TRUE,1,0)</f>
        <v>1</v>
      </c>
      <c r="B343" s="317"/>
      <c r="C343" s="321"/>
      <c r="D343" s="321"/>
      <c r="E343" s="320"/>
      <c r="F343" s="321"/>
      <c r="G343" s="321"/>
      <c r="J343" s="483"/>
      <c r="K343" s="486"/>
      <c r="L343" s="466"/>
      <c r="M343" s="320"/>
      <c r="N343" s="320"/>
      <c r="O343" s="320"/>
      <c r="P343" s="320"/>
      <c r="Q343" s="320"/>
      <c r="R343" s="320"/>
      <c r="S343" s="320"/>
      <c r="T343" s="320"/>
      <c r="U343" s="322"/>
      <c r="V343" s="458" t="s">
        <v>582</v>
      </c>
      <c r="W343" s="939">
        <f ca="1">IF(W334="","",W334*K341)</f>
        <v>3168.6241536308034</v>
      </c>
      <c r="AD343" s="405" t="s">
        <v>547</v>
      </c>
      <c r="AE343" s="378">
        <v>0.01</v>
      </c>
      <c r="AF343" s="378">
        <f>ROUND(AVERAGE(AE343,AG343),2)</f>
        <v>0.02</v>
      </c>
      <c r="AG343" s="378">
        <v>0.03</v>
      </c>
      <c r="AJ343" s="408">
        <v>50000</v>
      </c>
      <c r="AK343" s="408">
        <v>5</v>
      </c>
      <c r="AL343" s="408">
        <v>250000</v>
      </c>
      <c r="AM343" s="408">
        <v>10</v>
      </c>
      <c r="AN343" s="522"/>
      <c r="AO343" s="521"/>
    </row>
    <row r="344" spans="1:41" ht="15.75" thickBot="1" x14ac:dyDescent="0.3">
      <c r="A344" s="420">
        <f>IF('Account Info'!$T$7=TRUE,1,0)</f>
        <v>1</v>
      </c>
      <c r="B344" s="324"/>
      <c r="C344" s="325"/>
      <c r="D344" s="325"/>
      <c r="E344" s="326"/>
      <c r="F344" s="325"/>
      <c r="G344" s="325"/>
      <c r="H344" s="488"/>
      <c r="I344" s="489"/>
      <c r="J344" s="489"/>
      <c r="K344" s="325"/>
      <c r="L344" s="469"/>
      <c r="M344" s="326"/>
      <c r="N344" s="326"/>
      <c r="O344" s="326"/>
      <c r="P344" s="326"/>
      <c r="Q344" s="326"/>
      <c r="R344" s="326"/>
      <c r="S344" s="326"/>
      <c r="T344" s="326"/>
      <c r="U344" s="327"/>
      <c r="AD344" s="405" t="s">
        <v>583</v>
      </c>
      <c r="AE344" s="378">
        <v>0.04</v>
      </c>
      <c r="AF344" s="378">
        <f>ROUND(AVERAGE(AE344,AG344),2)</f>
        <v>0.05</v>
      </c>
      <c r="AG344" s="378">
        <v>0.06</v>
      </c>
      <c r="AJ344" s="408">
        <v>250000</v>
      </c>
      <c r="AK344" s="408">
        <v>10</v>
      </c>
      <c r="AL344" s="408">
        <v>500000</v>
      </c>
      <c r="AM344" s="408">
        <v>15</v>
      </c>
      <c r="AN344" s="520">
        <f>VLOOKUP(AN342,AJ342:AM352,3,TRUE)</f>
        <v>500000</v>
      </c>
      <c r="AO344" s="521" t="s">
        <v>534</v>
      </c>
    </row>
    <row r="345" spans="1:41" ht="15" customHeight="1" x14ac:dyDescent="0.3">
      <c r="A345" s="420">
        <f>IF('Account Info'!$T$7=TRUE,1,0)</f>
        <v>1</v>
      </c>
      <c r="B345" s="470" t="s">
        <v>584</v>
      </c>
      <c r="C345" s="309"/>
      <c r="D345" s="534"/>
      <c r="E345" s="535"/>
      <c r="F345" s="534"/>
      <c r="G345" s="534"/>
      <c r="H345" s="534"/>
      <c r="I345" s="512"/>
      <c r="J345" s="512"/>
      <c r="K345" s="512"/>
      <c r="L345" s="512"/>
      <c r="M345" s="309"/>
      <c r="N345" s="309"/>
      <c r="O345" s="309"/>
      <c r="P345" s="309"/>
      <c r="Q345" s="309"/>
      <c r="R345" s="309"/>
      <c r="S345" s="309"/>
      <c r="T345" s="309"/>
      <c r="U345" s="311"/>
      <c r="X345" s="503" t="s">
        <v>562</v>
      </c>
      <c r="Y345" s="388"/>
      <c r="Z345" s="388"/>
      <c r="AA345" s="388"/>
      <c r="AD345" s="405" t="s">
        <v>549</v>
      </c>
      <c r="AE345" s="378">
        <v>7.0000000000000007E-2</v>
      </c>
      <c r="AF345" s="378">
        <f>ROUND(AVERAGE(AE345,AG345),2)</f>
        <v>0.09</v>
      </c>
      <c r="AG345" s="378">
        <v>0.1</v>
      </c>
      <c r="AJ345" s="408">
        <v>500000</v>
      </c>
      <c r="AK345" s="408">
        <v>15</v>
      </c>
      <c r="AL345" s="408">
        <v>750000</v>
      </c>
      <c r="AM345" s="408">
        <v>20</v>
      </c>
      <c r="AN345" s="522"/>
      <c r="AO345" s="521"/>
    </row>
    <row r="346" spans="1:41" ht="15" customHeight="1" x14ac:dyDescent="0.3">
      <c r="A346" s="420">
        <f>IF('Account Info'!$T$7=TRUE,1,0)</f>
        <v>1</v>
      </c>
      <c r="B346" s="451"/>
      <c r="C346" s="348" t="s">
        <v>570</v>
      </c>
      <c r="D346" s="348"/>
      <c r="E346" s="439"/>
      <c r="F346" s="349"/>
      <c r="G346" s="349"/>
      <c r="H346" s="453"/>
      <c r="I346" s="361" t="str">
        <f>IF('Account Info'!$AA$4="Range State","Low","")</f>
        <v>Low</v>
      </c>
      <c r="J346" s="361" t="str">
        <f>IF('Account Info'!$AA$4="Range State","Benchmark","Selection")</f>
        <v>Benchmark</v>
      </c>
      <c r="K346" s="361" t="str">
        <f>IF('Account Info'!$AA$4="Range State","High","")</f>
        <v>High</v>
      </c>
      <c r="L346" s="361" t="str">
        <f>IF('Account Info'!$AA$4="Range State","Selection","")</f>
        <v>Selection</v>
      </c>
      <c r="M346" s="536"/>
      <c r="N346" s="536"/>
      <c r="O346" s="441" t="s">
        <v>377</v>
      </c>
      <c r="P346" s="348"/>
      <c r="Q346" s="348"/>
      <c r="R346" s="348"/>
      <c r="S346" s="348"/>
      <c r="T346" s="348"/>
      <c r="U346" s="322"/>
      <c r="V346" s="340"/>
      <c r="X346" s="405" t="s">
        <v>417</v>
      </c>
      <c r="Y346" s="378">
        <v>0.9</v>
      </c>
      <c r="Z346" s="378">
        <f>ROUND(AVERAGE(Y346,AA346),2)</f>
        <v>0.95</v>
      </c>
      <c r="AA346" s="378">
        <v>1</v>
      </c>
      <c r="AJ346" s="408">
        <v>750000</v>
      </c>
      <c r="AK346" s="408">
        <v>20</v>
      </c>
      <c r="AL346" s="408">
        <v>1000000</v>
      </c>
      <c r="AM346" s="408">
        <v>25</v>
      </c>
      <c r="AN346" s="520">
        <f>VLOOKUP(AN342,AJ342:AM352,4,TRUE)</f>
        <v>15</v>
      </c>
      <c r="AO346" s="521" t="s">
        <v>537</v>
      </c>
    </row>
    <row r="347" spans="1:41" ht="15" customHeight="1" x14ac:dyDescent="0.3">
      <c r="A347" s="420">
        <f>IF('Account Info'!$T$7=TRUE,1,0)</f>
        <v>1</v>
      </c>
      <c r="B347" s="451"/>
      <c r="C347" s="1060" t="s">
        <v>522</v>
      </c>
      <c r="D347" s="1061"/>
      <c r="E347" s="1061"/>
      <c r="F347" s="1061"/>
      <c r="G347" s="1061"/>
      <c r="H347" s="1062"/>
      <c r="I347" s="443">
        <f>IF(C347="","",VLOOKUP(C347,$AO$383:$AR$387,2,FALSE))</f>
        <v>1</v>
      </c>
      <c r="J347" s="443">
        <f>IF(C347="","",VLOOKUP(C347,$AO$383:$AR$387,3,FALSE))</f>
        <v>1</v>
      </c>
      <c r="K347" s="443">
        <f>IF(C347="","",VLOOKUP(C347,$AO$383:$AR$387,4,FALSE))</f>
        <v>1</v>
      </c>
      <c r="L347" s="454">
        <f>J347</f>
        <v>1</v>
      </c>
      <c r="M347" s="1063"/>
      <c r="N347" s="1064"/>
      <c r="O347" s="1040"/>
      <c r="P347" s="1065"/>
      <c r="Q347" s="1065"/>
      <c r="R347" s="1065"/>
      <c r="S347" s="1065"/>
      <c r="T347" s="1066"/>
      <c r="U347" s="322"/>
      <c r="V347" s="340">
        <f>IF('Account Info'!$AA$4="Flat Rate State",IF(J347="",1,J347),IF(L347="",1,L347))</f>
        <v>1</v>
      </c>
      <c r="X347" s="405" t="s">
        <v>420</v>
      </c>
      <c r="Y347" s="378">
        <v>1.01</v>
      </c>
      <c r="Z347" s="378">
        <f>ROUND(AVERAGE(Y347,AA347),2)</f>
        <v>1.1299999999999999</v>
      </c>
      <c r="AA347" s="378">
        <v>1.25</v>
      </c>
      <c r="AJ347" s="408">
        <v>1000000</v>
      </c>
      <c r="AK347" s="408">
        <v>25</v>
      </c>
      <c r="AL347" s="408">
        <v>1250000</v>
      </c>
      <c r="AM347" s="408">
        <v>30</v>
      </c>
      <c r="AN347" s="522"/>
      <c r="AO347" s="521"/>
    </row>
    <row r="348" spans="1:41" ht="15" customHeight="1" x14ac:dyDescent="0.3">
      <c r="A348" s="420">
        <f>IF('Account Info'!$T$7=TRUE,1,0)</f>
        <v>1</v>
      </c>
      <c r="B348" s="451"/>
      <c r="C348" s="321"/>
      <c r="D348" s="456"/>
      <c r="E348" s="457"/>
      <c r="F348" s="456"/>
      <c r="G348" s="456"/>
      <c r="H348" s="456"/>
      <c r="I348" s="464"/>
      <c r="J348" s="464"/>
      <c r="K348" s="460"/>
      <c r="L348" s="460" t="str">
        <f>IF(AND('Account Info'!$AA$4="Range State",L347&lt;&gt;"",OR(L347&lt;I347,L347&gt;K347)),"Factor is out of range","")</f>
        <v/>
      </c>
      <c r="M348" s="362"/>
      <c r="N348" s="362"/>
      <c r="O348" s="1046"/>
      <c r="P348" s="1047"/>
      <c r="Q348" s="1047"/>
      <c r="R348" s="1047"/>
      <c r="S348" s="1047"/>
      <c r="T348" s="1048"/>
      <c r="U348" s="322"/>
      <c r="V348" s="340"/>
      <c r="X348" s="405" t="s">
        <v>422</v>
      </c>
      <c r="Y348" s="378">
        <v>1.26</v>
      </c>
      <c r="Z348" s="378">
        <f>ROUND(AVERAGE(Y348,AA348),2)</f>
        <v>1.38</v>
      </c>
      <c r="AA348" s="378">
        <v>1.5</v>
      </c>
      <c r="AJ348" s="408">
        <v>1250000</v>
      </c>
      <c r="AK348" s="408">
        <v>30</v>
      </c>
      <c r="AL348" s="408">
        <v>1500000</v>
      </c>
      <c r="AM348" s="408">
        <v>35</v>
      </c>
      <c r="AN348" s="520">
        <f>VLOOKUP(AN342,AJ342:AM352,1,TRUE)</f>
        <v>250000</v>
      </c>
      <c r="AO348" s="521" t="s">
        <v>540</v>
      </c>
    </row>
    <row r="349" spans="1:41" ht="20.100000000000001" customHeight="1" x14ac:dyDescent="0.3">
      <c r="A349" s="420">
        <f>IF('Account Info'!$T$7=TRUE,1,0)</f>
        <v>1</v>
      </c>
      <c r="B349" s="451"/>
      <c r="C349" s="361"/>
      <c r="D349" s="537"/>
      <c r="E349" s="538"/>
      <c r="F349" s="538"/>
      <c r="G349" s="538"/>
      <c r="H349" s="456"/>
      <c r="I349" s="464"/>
      <c r="J349" s="464"/>
      <c r="K349" s="464"/>
      <c r="L349" s="464"/>
      <c r="M349" s="321"/>
      <c r="N349" s="321"/>
      <c r="O349" s="321"/>
      <c r="P349" s="321"/>
      <c r="Q349" s="321"/>
      <c r="R349" s="321"/>
      <c r="S349" s="321"/>
      <c r="T349" s="321"/>
      <c r="U349" s="322"/>
      <c r="X349" s="503" t="s">
        <v>563</v>
      </c>
      <c r="Y349" s="388"/>
      <c r="Z349" s="388"/>
      <c r="AA349" s="388"/>
      <c r="AJ349" s="408">
        <v>1500000</v>
      </c>
      <c r="AK349" s="408">
        <v>35</v>
      </c>
      <c r="AL349" s="408">
        <v>5000000</v>
      </c>
      <c r="AM349" s="408">
        <v>75</v>
      </c>
      <c r="AN349" s="522"/>
      <c r="AO349" s="521"/>
    </row>
    <row r="350" spans="1:41" ht="15" customHeight="1" x14ac:dyDescent="0.25">
      <c r="A350" s="420">
        <f>IF('Account Info'!$T$7=TRUE,1,0)</f>
        <v>1</v>
      </c>
      <c r="B350" s="317"/>
      <c r="C350" s="539" t="s">
        <v>587</v>
      </c>
      <c r="D350" s="540"/>
      <c r="E350" s="1032" t="s">
        <v>367</v>
      </c>
      <c r="F350" s="1032"/>
      <c r="G350" s="1032"/>
      <c r="H350" s="361" t="s">
        <v>588</v>
      </c>
      <c r="I350" s="361" t="str">
        <f>IF('Account Info'!$AA$4="Range State","Low","")</f>
        <v>Low</v>
      </c>
      <c r="J350" s="361" t="str">
        <f>IF('Account Info'!$AA$4="Range State","Benchmark","Selection")</f>
        <v>Benchmark</v>
      </c>
      <c r="K350" s="361" t="str">
        <f>IF('Account Info'!$AA$4="Range State","High","")</f>
        <v>High</v>
      </c>
      <c r="L350" s="361" t="str">
        <f>IF('Account Info'!$AA$4="Range State","Selection","")</f>
        <v>Selection</v>
      </c>
      <c r="M350" s="440" t="s">
        <v>403</v>
      </c>
      <c r="N350" s="440"/>
      <c r="O350" s="441" t="s">
        <v>377</v>
      </c>
      <c r="P350" s="348"/>
      <c r="Q350" s="348"/>
      <c r="R350" s="348"/>
      <c r="S350" s="348"/>
      <c r="T350" s="348"/>
      <c r="U350" s="322"/>
      <c r="X350" s="405" t="s">
        <v>585</v>
      </c>
      <c r="Y350" s="378">
        <v>0.85</v>
      </c>
      <c r="Z350" s="378">
        <f>ROUND(AVERAGE(Y350,AA350),2)</f>
        <v>0.9</v>
      </c>
      <c r="AA350" s="378">
        <v>0.95</v>
      </c>
      <c r="AJ350" s="408">
        <v>5000000</v>
      </c>
      <c r="AK350" s="408">
        <v>75</v>
      </c>
      <c r="AL350" s="408">
        <v>10000000</v>
      </c>
      <c r="AM350" s="408">
        <v>100</v>
      </c>
      <c r="AN350" s="520">
        <f>VLOOKUP(AN342,AJ342:AM352,2,TRUE)</f>
        <v>10</v>
      </c>
      <c r="AO350" s="521" t="s">
        <v>542</v>
      </c>
    </row>
    <row r="351" spans="1:41" x14ac:dyDescent="0.25">
      <c r="A351" s="420">
        <f>IF('Account Info'!$T$7=TRUE,1,0)</f>
        <v>1</v>
      </c>
      <c r="B351" s="317"/>
      <c r="C351" s="1033">
        <f>$T$24</f>
        <v>1000000</v>
      </c>
      <c r="D351" s="1034"/>
      <c r="E351" s="1085">
        <f>$T$26</f>
        <v>10000</v>
      </c>
      <c r="F351" s="1086"/>
      <c r="G351" s="1087"/>
      <c r="H351" s="541">
        <v>1</v>
      </c>
      <c r="I351" s="443">
        <f>IF(OR(C351="",H351=""),"",VLOOKUP(H351,AD332:AG334,2,TRUE))</f>
        <v>7.0000000000000007E-2</v>
      </c>
      <c r="J351" s="443">
        <f>IF(OR(C351="",H351=""),"",VLOOKUP(H351,AD332:AG334,3,TRUE))</f>
        <v>0.08</v>
      </c>
      <c r="K351" s="443">
        <f>IF(OR(C351="",H351=""),"",VLOOKUP(H351,AD332:AG334,4,TRUE))</f>
        <v>0.09</v>
      </c>
      <c r="L351" s="444">
        <f>J351</f>
        <v>0.08</v>
      </c>
      <c r="M351" s="1049">
        <f ca="1">ROUND(IF(C351=0,0,IF('Account Info'!$AA$4="Flat Rate State",J351,L351)*$T$21*'Crime ILFs'!AE6*$V$333*K341*V347),0)</f>
        <v>253</v>
      </c>
      <c r="N351" s="1099"/>
      <c r="O351" s="1040"/>
      <c r="P351" s="1041"/>
      <c r="Q351" s="1041"/>
      <c r="R351" s="1041"/>
      <c r="S351" s="1041"/>
      <c r="T351" s="1042"/>
      <c r="U351" s="322"/>
      <c r="X351" s="405" t="s">
        <v>586</v>
      </c>
      <c r="Y351" s="378">
        <v>0.96</v>
      </c>
      <c r="Z351" s="378">
        <f>ROUND(AVERAGE(Y351,AA351),2)</f>
        <v>1.01</v>
      </c>
      <c r="AA351" s="378">
        <v>1.05</v>
      </c>
      <c r="AJ351" s="408">
        <v>10000000</v>
      </c>
      <c r="AK351" s="408">
        <v>100</v>
      </c>
      <c r="AL351" s="408">
        <v>25000000</v>
      </c>
      <c r="AM351" s="408">
        <v>150</v>
      </c>
      <c r="AN351" s="522"/>
      <c r="AO351" s="521"/>
    </row>
    <row r="352" spans="1:41" ht="20.100000000000001" customHeight="1" x14ac:dyDescent="0.25">
      <c r="A352" s="420">
        <f>IF('Account Info'!$T$7=TRUE,1,0)</f>
        <v>1</v>
      </c>
      <c r="B352" s="317"/>
      <c r="C352" s="1095" t="s">
        <v>590</v>
      </c>
      <c r="D352" s="1065"/>
      <c r="E352" s="940" t="s">
        <v>6538</v>
      </c>
      <c r="F352" s="538"/>
      <c r="G352" s="538"/>
      <c r="H352" s="321"/>
      <c r="I352" s="321"/>
      <c r="J352" s="321"/>
      <c r="K352" s="321"/>
      <c r="L352" s="460" t="str">
        <f>IF(AND('Account Info'!$AA$4="Range State",L351&lt;&gt;"",OR(L351&lt;I351,L351&gt;K351)),"Factor is out of range","")</f>
        <v/>
      </c>
      <c r="M352" s="542"/>
      <c r="N352" s="542"/>
      <c r="O352" s="1051"/>
      <c r="P352" s="1052"/>
      <c r="Q352" s="1052"/>
      <c r="R352" s="1052"/>
      <c r="S352" s="1052"/>
      <c r="T352" s="1053"/>
      <c r="U352" s="322"/>
      <c r="X352" s="405" t="s">
        <v>589</v>
      </c>
      <c r="Y352" s="378">
        <v>1.06</v>
      </c>
      <c r="Z352" s="378">
        <f>ROUND(AVERAGE(Y352,AA352),2)</f>
        <v>1.1100000000000001</v>
      </c>
      <c r="AA352" s="378">
        <v>1.1499999999999999</v>
      </c>
      <c r="AJ352" s="408">
        <v>25000000</v>
      </c>
      <c r="AK352" s="408">
        <v>150</v>
      </c>
      <c r="AN352" s="520">
        <f>(((AN342-AN348)/(AN344-AN348))*(AN346-AN350))+AN350</f>
        <v>10</v>
      </c>
      <c r="AO352" s="521" t="s">
        <v>544</v>
      </c>
    </row>
    <row r="353" spans="1:37" ht="20.100000000000001" customHeight="1" x14ac:dyDescent="0.25">
      <c r="A353" s="420">
        <f>IF('Account Info'!$T$7=TRUE,1,0)</f>
        <v>1</v>
      </c>
      <c r="B353" s="317"/>
      <c r="C353" s="1047"/>
      <c r="D353" s="1047"/>
      <c r="E353" s="1032" t="s">
        <v>367</v>
      </c>
      <c r="F353" s="1032"/>
      <c r="G353" s="1032"/>
      <c r="H353" s="361" t="s">
        <v>588</v>
      </c>
      <c r="I353" s="361" t="str">
        <f>IF('Account Info'!$AA$4="Range State","Low","")</f>
        <v>Low</v>
      </c>
      <c r="J353" s="361" t="str">
        <f>IF('Account Info'!$AA$4="Range State","Benchmark","Selection")</f>
        <v>Benchmark</v>
      </c>
      <c r="K353" s="361" t="str">
        <f>IF('Account Info'!$AA$4="Range State","High","")</f>
        <v>High</v>
      </c>
      <c r="L353" s="361" t="str">
        <f>IF('Account Info'!$AA$4="Range State","Selection","")</f>
        <v>Selection</v>
      </c>
      <c r="M353" s="536" t="s">
        <v>403</v>
      </c>
      <c r="N353" s="536"/>
      <c r="O353" s="441" t="s">
        <v>377</v>
      </c>
      <c r="P353" s="348"/>
      <c r="Q353" s="348"/>
      <c r="R353" s="348"/>
      <c r="S353" s="348"/>
      <c r="T353" s="348"/>
      <c r="U353" s="322"/>
      <c r="X353" s="503" t="s">
        <v>566</v>
      </c>
      <c r="Y353" s="388"/>
      <c r="Z353" s="388"/>
      <c r="AA353" s="388"/>
      <c r="AJ353" s="420"/>
      <c r="AK353" s="420"/>
    </row>
    <row r="354" spans="1:37" x14ac:dyDescent="0.25">
      <c r="A354" s="420">
        <f>IF('Account Info'!$T$7=TRUE,1,0)</f>
        <v>1</v>
      </c>
      <c r="B354" s="317"/>
      <c r="C354" s="1033">
        <f>$T$24</f>
        <v>1000000</v>
      </c>
      <c r="D354" s="1034"/>
      <c r="E354" s="1085">
        <f>$T$26</f>
        <v>10000</v>
      </c>
      <c r="F354" s="1086"/>
      <c r="G354" s="1087"/>
      <c r="H354" s="543">
        <f>H351</f>
        <v>1</v>
      </c>
      <c r="I354" s="443">
        <f>IF(OR(C354=0,H354=0),"",VLOOKUP(H354,AD337:AG339,2,TRUE))</f>
        <v>0.01</v>
      </c>
      <c r="J354" s="443">
        <f>IF(OR(C354=0,H354=0),"",VLOOKUP(H354,AD337:AG339,3,TRUE))</f>
        <v>0.02</v>
      </c>
      <c r="K354" s="443">
        <f>IF(OR(C354=0,H354=0),"",VLOOKUP(H354,AD337:AG339,4,TRUE))</f>
        <v>0.03</v>
      </c>
      <c r="L354" s="444">
        <v>0.02</v>
      </c>
      <c r="M354" s="1049">
        <f ca="1">ROUND(IF(OR(C354=0,H354=0),0,IF('Account Info'!$AA$4="Flat Rate State",J354,L354)*$T$21*'Crime ILFs'!AE10*$V$333*K341*V347),0)</f>
        <v>63</v>
      </c>
      <c r="N354" s="1050"/>
      <c r="O354" s="1040"/>
      <c r="P354" s="1041"/>
      <c r="Q354" s="1041"/>
      <c r="R354" s="1041"/>
      <c r="S354" s="1041"/>
      <c r="T354" s="1042"/>
      <c r="U354" s="322"/>
      <c r="X354" s="405" t="s">
        <v>585</v>
      </c>
      <c r="Y354" s="378">
        <v>0.75</v>
      </c>
      <c r="Z354" s="378">
        <f>ROUND(AVERAGE(Y354,AA354),2)</f>
        <v>0.85</v>
      </c>
      <c r="AA354" s="378">
        <v>0.95</v>
      </c>
      <c r="AJ354" s="420"/>
      <c r="AK354" s="420"/>
    </row>
    <row r="355" spans="1:37" ht="20.100000000000001" customHeight="1" x14ac:dyDescent="0.25">
      <c r="A355" s="420">
        <f>IF('Account Info'!$T$7=TRUE,1,0)</f>
        <v>1</v>
      </c>
      <c r="B355" s="317"/>
      <c r="C355" s="1095" t="s">
        <v>591</v>
      </c>
      <c r="D355" s="1065"/>
      <c r="E355" s="538"/>
      <c r="F355" s="538"/>
      <c r="G355" s="538"/>
      <c r="H355" s="321"/>
      <c r="I355" s="321"/>
      <c r="J355" s="321"/>
      <c r="K355" s="321"/>
      <c r="L355" s="460" t="str">
        <f>IF(AND('Account Info'!$AA$4="Range State",L354&lt;&gt;"",OR(L354&lt;I354,L354&gt;K354)),"Factor is out of range","")</f>
        <v/>
      </c>
      <c r="M355" s="542"/>
      <c r="N355" s="542"/>
      <c r="O355" s="1051"/>
      <c r="P355" s="1052"/>
      <c r="Q355" s="1052"/>
      <c r="R355" s="1052"/>
      <c r="S355" s="1052"/>
      <c r="T355" s="1053"/>
      <c r="U355" s="322"/>
      <c r="X355" s="405" t="s">
        <v>586</v>
      </c>
      <c r="Y355" s="378">
        <v>0.96</v>
      </c>
      <c r="Z355" s="378">
        <f>ROUND(AVERAGE(Y355,AA355),2)</f>
        <v>1.01</v>
      </c>
      <c r="AA355" s="378">
        <v>1.05</v>
      </c>
      <c r="AJ355" s="504" t="s">
        <v>592</v>
      </c>
      <c r="AK355" s="420"/>
    </row>
    <row r="356" spans="1:37" ht="20.100000000000001" customHeight="1" x14ac:dyDescent="0.25">
      <c r="A356" s="420">
        <f>IF('Account Info'!$T$7=TRUE,1,0)</f>
        <v>1</v>
      </c>
      <c r="B356" s="317"/>
      <c r="C356" s="1047"/>
      <c r="D356" s="1047"/>
      <c r="E356" s="1032" t="s">
        <v>367</v>
      </c>
      <c r="F356" s="1032"/>
      <c r="G356" s="1032"/>
      <c r="H356" s="361"/>
      <c r="I356" s="361" t="str">
        <f>IF('Account Info'!$AA$4="Range State","Low","")</f>
        <v>Low</v>
      </c>
      <c r="J356" s="361" t="str">
        <f>IF('Account Info'!$AA$4="Range State","Benchmark","Selection")</f>
        <v>Benchmark</v>
      </c>
      <c r="K356" s="361" t="str">
        <f>IF('Account Info'!$AA$4="Range State","High","")</f>
        <v>High</v>
      </c>
      <c r="L356" s="361" t="str">
        <f>IF('Account Info'!$AA$4="Range State","Selection","")</f>
        <v>Selection</v>
      </c>
      <c r="M356" s="536" t="s">
        <v>403</v>
      </c>
      <c r="N356" s="536"/>
      <c r="O356" s="441" t="s">
        <v>377</v>
      </c>
      <c r="P356" s="348"/>
      <c r="Q356" s="348"/>
      <c r="R356" s="348"/>
      <c r="S356" s="348"/>
      <c r="T356" s="348"/>
      <c r="U356" s="322"/>
      <c r="X356" s="405" t="s">
        <v>589</v>
      </c>
      <c r="Y356" s="378">
        <v>1.06</v>
      </c>
      <c r="Z356" s="378">
        <f>ROUND(AVERAGE(Y356,AA356),2)</f>
        <v>1.1599999999999999</v>
      </c>
      <c r="AA356" s="378">
        <v>1.25</v>
      </c>
      <c r="AJ356" s="408">
        <v>50000</v>
      </c>
      <c r="AK356" s="408">
        <v>250</v>
      </c>
    </row>
    <row r="357" spans="1:37" x14ac:dyDescent="0.25">
      <c r="A357" s="420">
        <f>IF('Account Info'!$T$7=TRUE,1,0)</f>
        <v>1</v>
      </c>
      <c r="B357" s="317"/>
      <c r="C357" s="1033">
        <f>$T$24</f>
        <v>1000000</v>
      </c>
      <c r="D357" s="1034"/>
      <c r="E357" s="1085">
        <f>$T$26</f>
        <v>10000</v>
      </c>
      <c r="F357" s="1086"/>
      <c r="G357" s="1087"/>
      <c r="H357" s="544"/>
      <c r="I357" s="443">
        <f>IF(C357="","",0.03)</f>
        <v>0.03</v>
      </c>
      <c r="J357" s="443">
        <f>IF(C357="","",0.04)</f>
        <v>0.04</v>
      </c>
      <c r="K357" s="443">
        <f>IF(C357="","",0.05)</f>
        <v>0.05</v>
      </c>
      <c r="L357" s="444">
        <f>J357</f>
        <v>0.04</v>
      </c>
      <c r="M357" s="1049">
        <f ca="1">ROUND(IF(C357=0,0,IF('Account Info'!$AA$4="Flat Rate State",J357,L357)*$T$21*'Crime ILFs'!AE14*$V$333*K341*V347),0)</f>
        <v>127</v>
      </c>
      <c r="N357" s="1050"/>
      <c r="O357" s="1040"/>
      <c r="P357" s="1041"/>
      <c r="Q357" s="1041"/>
      <c r="R357" s="1041"/>
      <c r="S357" s="1041"/>
      <c r="T357" s="1042"/>
      <c r="U357" s="322"/>
      <c r="X357" s="503" t="s">
        <v>567</v>
      </c>
      <c r="Y357" s="388"/>
      <c r="Z357" s="388"/>
      <c r="AA357" s="388"/>
      <c r="AJ357" s="408">
        <v>250000</v>
      </c>
      <c r="AK357" s="408">
        <v>500</v>
      </c>
    </row>
    <row r="358" spans="1:37" ht="20.100000000000001" customHeight="1" x14ac:dyDescent="0.25">
      <c r="A358" s="420">
        <f>IF('Account Info'!$T$7=TRUE,1,0)</f>
        <v>1</v>
      </c>
      <c r="B358" s="317"/>
      <c r="C358" s="1095" t="s">
        <v>593</v>
      </c>
      <c r="D358" s="1065"/>
      <c r="E358" s="538"/>
      <c r="F358" s="538"/>
      <c r="G358" s="538"/>
      <c r="H358" s="321"/>
      <c r="I358" s="321"/>
      <c r="J358" s="321"/>
      <c r="K358" s="321"/>
      <c r="L358" s="460" t="str">
        <f>IF(AND('Account Info'!$AA$4="Range State",L357&lt;&gt;"",OR(L357&lt;I357,L357&gt;K357)),"Factor is out of range","")</f>
        <v/>
      </c>
      <c r="M358" s="542"/>
      <c r="N358" s="542"/>
      <c r="O358" s="1051"/>
      <c r="P358" s="1052"/>
      <c r="Q358" s="1052"/>
      <c r="R358" s="1052"/>
      <c r="S358" s="1052"/>
      <c r="T358" s="1053"/>
      <c r="U358" s="322"/>
      <c r="X358" s="405" t="s">
        <v>585</v>
      </c>
      <c r="Y358" s="378">
        <v>0.85</v>
      </c>
      <c r="Z358" s="378">
        <f>ROUND(AVERAGE(Y358,AA358),2)</f>
        <v>0.9</v>
      </c>
      <c r="AA358" s="378">
        <v>0.95</v>
      </c>
      <c r="AJ358" s="408">
        <v>500000</v>
      </c>
      <c r="AK358" s="408">
        <v>750</v>
      </c>
    </row>
    <row r="359" spans="1:37" ht="20.100000000000001" customHeight="1" x14ac:dyDescent="0.25">
      <c r="A359" s="420">
        <f>IF('Account Info'!$T$7=TRUE,1,0)</f>
        <v>1</v>
      </c>
      <c r="B359" s="317"/>
      <c r="C359" s="1047"/>
      <c r="D359" s="1047"/>
      <c r="E359" s="1032" t="s">
        <v>367</v>
      </c>
      <c r="F359" s="1032"/>
      <c r="G359" s="1032"/>
      <c r="H359" s="361"/>
      <c r="I359" s="361" t="str">
        <f>IF('Account Info'!$AA$4="Range State","Low","")</f>
        <v>Low</v>
      </c>
      <c r="J359" s="361" t="str">
        <f>IF('Account Info'!$AA$4="Range State","Benchmark","Selection")</f>
        <v>Benchmark</v>
      </c>
      <c r="K359" s="361" t="str">
        <f>IF('Account Info'!$AA$4="Range State","High","")</f>
        <v>High</v>
      </c>
      <c r="L359" s="361" t="str">
        <f>IF('Account Info'!$AA$4="Range State","Selection","")</f>
        <v>Selection</v>
      </c>
      <c r="M359" s="536" t="s">
        <v>403</v>
      </c>
      <c r="N359" s="536"/>
      <c r="O359" s="441" t="s">
        <v>377</v>
      </c>
      <c r="P359" s="348"/>
      <c r="Q359" s="348"/>
      <c r="R359" s="348"/>
      <c r="S359" s="348"/>
      <c r="T359" s="348"/>
      <c r="U359" s="322"/>
      <c r="X359" s="405" t="s">
        <v>586</v>
      </c>
      <c r="Y359" s="378">
        <v>0.96</v>
      </c>
      <c r="Z359" s="378">
        <f>ROUND(AVERAGE(Y359,AA359),2)</f>
        <v>1.01</v>
      </c>
      <c r="AA359" s="378">
        <v>1.05</v>
      </c>
      <c r="AJ359" s="408">
        <v>1000000</v>
      </c>
      <c r="AK359" s="408">
        <v>1000</v>
      </c>
    </row>
    <row r="360" spans="1:37" x14ac:dyDescent="0.25">
      <c r="A360" s="420">
        <f>IF('Account Info'!$T$7=TRUE,1,0)</f>
        <v>1</v>
      </c>
      <c r="B360" s="317"/>
      <c r="C360" s="1033">
        <f>$T$24</f>
        <v>1000000</v>
      </c>
      <c r="D360" s="1034"/>
      <c r="E360" s="1085">
        <f>$T$26</f>
        <v>10000</v>
      </c>
      <c r="F360" s="1086"/>
      <c r="G360" s="1087"/>
      <c r="H360" s="544"/>
      <c r="I360" s="443">
        <f>IF(C360="","",0.02)</f>
        <v>0.02</v>
      </c>
      <c r="J360" s="443">
        <f>IF(C360="","",0.03)</f>
        <v>0.03</v>
      </c>
      <c r="K360" s="443">
        <f>IF(C360="","",0.04)</f>
        <v>0.04</v>
      </c>
      <c r="L360" s="444">
        <f>J360</f>
        <v>0.03</v>
      </c>
      <c r="M360" s="1049">
        <f ca="1">ROUND(IF(C360=0,0,IF('Account Info'!$AA$4="Flat Rate State",J360,L360)*$T$21*'Crime ILFs'!AE18*$V$333*K341*V347),0)</f>
        <v>95</v>
      </c>
      <c r="N360" s="1050"/>
      <c r="O360" s="1040"/>
      <c r="P360" s="1041"/>
      <c r="Q360" s="1041"/>
      <c r="R360" s="1041"/>
      <c r="S360" s="1041"/>
      <c r="T360" s="1042"/>
      <c r="U360" s="322"/>
      <c r="X360" s="405" t="s">
        <v>589</v>
      </c>
      <c r="Y360" s="378">
        <v>1.06</v>
      </c>
      <c r="Z360" s="378">
        <f>ROUND(AVERAGE(Y360,AA360),2)</f>
        <v>1.1599999999999999</v>
      </c>
      <c r="AA360" s="378">
        <v>1.25</v>
      </c>
      <c r="AJ360" s="408">
        <v>5000000</v>
      </c>
      <c r="AK360" s="408">
        <v>3000</v>
      </c>
    </row>
    <row r="361" spans="1:37" ht="20.100000000000001" customHeight="1" x14ac:dyDescent="0.25">
      <c r="A361" s="420">
        <f>IF('Account Info'!$T$7=TRUE,1,0)</f>
        <v>1</v>
      </c>
      <c r="B361" s="317"/>
      <c r="C361" s="1095" t="s">
        <v>594</v>
      </c>
      <c r="D361" s="1065"/>
      <c r="E361" s="538"/>
      <c r="F361" s="538"/>
      <c r="G361" s="538"/>
      <c r="H361" s="321"/>
      <c r="I361" s="321"/>
      <c r="J361" s="321"/>
      <c r="K361" s="321"/>
      <c r="L361" s="460" t="str">
        <f>IF(AND('Account Info'!$AA$4="Range State",L360&lt;&gt;"",OR(L360&lt;I360,L360&gt;K360)),"Factor is out of range","")</f>
        <v/>
      </c>
      <c r="M361" s="542"/>
      <c r="N361" s="542"/>
      <c r="O361" s="1051"/>
      <c r="P361" s="1052"/>
      <c r="Q361" s="1052"/>
      <c r="R361" s="1052"/>
      <c r="S361" s="1052"/>
      <c r="T361" s="1053"/>
      <c r="U361" s="322"/>
      <c r="X361" s="503" t="s">
        <v>568</v>
      </c>
      <c r="Y361" s="388"/>
      <c r="Z361" s="388"/>
      <c r="AA361" s="388"/>
      <c r="AJ361" s="408">
        <v>10000000</v>
      </c>
      <c r="AK361" s="408">
        <v>5000</v>
      </c>
    </row>
    <row r="362" spans="1:37" ht="20.100000000000001" customHeight="1" x14ac:dyDescent="0.25">
      <c r="A362" s="420">
        <f>IF('Account Info'!$T$7=TRUE,1,0)</f>
        <v>1</v>
      </c>
      <c r="B362" s="317"/>
      <c r="C362" s="1047"/>
      <c r="D362" s="1047"/>
      <c r="E362" s="1032" t="s">
        <v>367</v>
      </c>
      <c r="F362" s="1032"/>
      <c r="G362" s="1032"/>
      <c r="H362" s="361"/>
      <c r="I362" s="361" t="str">
        <f>IF('Account Info'!$AA$4="Range State","Low","")</f>
        <v>Low</v>
      </c>
      <c r="J362" s="361" t="str">
        <f>IF('Account Info'!$AA$4="Range State","Benchmark","Selection")</f>
        <v>Benchmark</v>
      </c>
      <c r="K362" s="361" t="str">
        <f>IF('Account Info'!$AA$4="Range State","High","")</f>
        <v>High</v>
      </c>
      <c r="L362" s="361" t="str">
        <f>IF('Account Info'!$AA$4="Range State","Selection","")</f>
        <v>Selection</v>
      </c>
      <c r="M362" s="536" t="s">
        <v>403</v>
      </c>
      <c r="N362" s="536"/>
      <c r="O362" s="441" t="s">
        <v>377</v>
      </c>
      <c r="P362" s="348"/>
      <c r="Q362" s="348"/>
      <c r="R362" s="348"/>
      <c r="S362" s="348"/>
      <c r="T362" s="348"/>
      <c r="U362" s="322"/>
      <c r="X362" s="405" t="s">
        <v>585</v>
      </c>
      <c r="Y362" s="378">
        <v>0.85</v>
      </c>
      <c r="Z362" s="378">
        <f>ROUND(AVERAGE(Y362,AA362),2)</f>
        <v>0.9</v>
      </c>
      <c r="AA362" s="378">
        <v>0.95</v>
      </c>
      <c r="AJ362" s="408">
        <v>25000000</v>
      </c>
      <c r="AK362" s="408">
        <v>10000</v>
      </c>
    </row>
    <row r="363" spans="1:37" x14ac:dyDescent="0.25">
      <c r="A363" s="420">
        <f>IF('Account Info'!$T$7=TRUE,1,0)</f>
        <v>1</v>
      </c>
      <c r="B363" s="317"/>
      <c r="C363" s="1033">
        <f>$T$24</f>
        <v>1000000</v>
      </c>
      <c r="D363" s="1034"/>
      <c r="E363" s="1085">
        <f>$T$26</f>
        <v>10000</v>
      </c>
      <c r="F363" s="1086"/>
      <c r="G363" s="1087"/>
      <c r="H363" s="544"/>
      <c r="I363" s="443">
        <f>IF(C363="","",0.02)</f>
        <v>0.02</v>
      </c>
      <c r="J363" s="443">
        <f>IF(C363="","",0.03)</f>
        <v>0.03</v>
      </c>
      <c r="K363" s="443">
        <f>IF(C363="","",0.04)</f>
        <v>0.04</v>
      </c>
      <c r="L363" s="444">
        <f>J363</f>
        <v>0.03</v>
      </c>
      <c r="M363" s="1049">
        <f ca="1">ROUND(IF(C363=0,0,IF('Account Info'!$AA$4="Flat Rate State",J363,L363)*$T$21*'Crime ILFs'!AE22*$V$333*K341*V347),0)</f>
        <v>95</v>
      </c>
      <c r="N363" s="1050"/>
      <c r="O363" s="1040"/>
      <c r="P363" s="1041"/>
      <c r="Q363" s="1041"/>
      <c r="R363" s="1041"/>
      <c r="S363" s="1041"/>
      <c r="T363" s="1042"/>
      <c r="U363" s="322"/>
      <c r="X363" s="405" t="s">
        <v>586</v>
      </c>
      <c r="Y363" s="378">
        <v>0.96</v>
      </c>
      <c r="Z363" s="378">
        <f>ROUND(AVERAGE(Y363,AA363),2)</f>
        <v>1.01</v>
      </c>
      <c r="AA363" s="378">
        <v>1.05</v>
      </c>
    </row>
    <row r="364" spans="1:37" ht="24.95" customHeight="1" x14ac:dyDescent="0.25">
      <c r="A364" s="420">
        <f>IF('Account Info'!$T$7=TRUE,1,0)</f>
        <v>1</v>
      </c>
      <c r="B364" s="317"/>
      <c r="C364" s="1095" t="s">
        <v>596</v>
      </c>
      <c r="D364" s="1065"/>
      <c r="E364" s="538"/>
      <c r="F364" s="538"/>
      <c r="G364" s="538"/>
      <c r="H364" s="321"/>
      <c r="I364" s="321"/>
      <c r="J364" s="321"/>
      <c r="K364" s="321"/>
      <c r="L364" s="460" t="str">
        <f>IF(AND('Account Info'!$AA$4="Range State",L363&lt;&gt;"",OR(L363&lt;I363,L363&gt;K363)),"Factor is out of range","")</f>
        <v/>
      </c>
      <c r="M364" s="542"/>
      <c r="N364" s="542"/>
      <c r="O364" s="1051"/>
      <c r="P364" s="1052"/>
      <c r="Q364" s="1052"/>
      <c r="R364" s="1052"/>
      <c r="S364" s="1052"/>
      <c r="T364" s="1053"/>
      <c r="U364" s="322"/>
      <c r="X364" s="405" t="s">
        <v>589</v>
      </c>
      <c r="Y364" s="378">
        <v>1.06</v>
      </c>
      <c r="Z364" s="378">
        <f>ROUND(AVERAGE(Y364,AA364),2)</f>
        <v>1.1599999999999999</v>
      </c>
      <c r="AA364" s="378">
        <v>1.25</v>
      </c>
    </row>
    <row r="365" spans="1:37" ht="24.95" customHeight="1" x14ac:dyDescent="0.25">
      <c r="A365" s="420">
        <f>IF('Account Info'!$T$7=TRUE,1,0)</f>
        <v>1</v>
      </c>
      <c r="B365" s="317"/>
      <c r="C365" s="1047"/>
      <c r="D365" s="1047"/>
      <c r="E365" s="1032" t="s">
        <v>367</v>
      </c>
      <c r="F365" s="1032"/>
      <c r="G365" s="1032"/>
      <c r="H365" s="361"/>
      <c r="I365" s="361" t="str">
        <f>IF('Account Info'!$AA$4="Range State","Low","")</f>
        <v>Low</v>
      </c>
      <c r="J365" s="361" t="str">
        <f>IF('Account Info'!$AA$4="Range State","Benchmark","Selection")</f>
        <v>Benchmark</v>
      </c>
      <c r="K365" s="361" t="str">
        <f>IF('Account Info'!$AA$4="Range State","High","")</f>
        <v>High</v>
      </c>
      <c r="L365" s="361" t="str">
        <f>IF('Account Info'!$AA$4="Range State","Selection","")</f>
        <v>Selection</v>
      </c>
      <c r="M365" s="536" t="s">
        <v>403</v>
      </c>
      <c r="N365" s="536"/>
      <c r="O365" s="441" t="s">
        <v>377</v>
      </c>
      <c r="P365" s="348"/>
      <c r="Q365" s="348"/>
      <c r="R365" s="348"/>
      <c r="S365" s="348"/>
      <c r="T365" s="348"/>
      <c r="U365" s="322"/>
      <c r="X365" s="503" t="s">
        <v>595</v>
      </c>
      <c r="Y365" s="388"/>
      <c r="Z365" s="388"/>
      <c r="AA365" s="388"/>
    </row>
    <row r="366" spans="1:37" x14ac:dyDescent="0.25">
      <c r="A366" s="420">
        <f>IF('Account Info'!$T$7=TRUE,1,0)</f>
        <v>1</v>
      </c>
      <c r="B366" s="317"/>
      <c r="C366" s="1033">
        <f>$T$24</f>
        <v>1000000</v>
      </c>
      <c r="D366" s="1034"/>
      <c r="E366" s="1085">
        <f>$T$26</f>
        <v>10000</v>
      </c>
      <c r="F366" s="1086"/>
      <c r="G366" s="1087"/>
      <c r="H366" s="544"/>
      <c r="I366" s="443">
        <f>IF(C366="","",0.02)</f>
        <v>0.02</v>
      </c>
      <c r="J366" s="443">
        <f>IF(C366="","",0.03)</f>
        <v>0.03</v>
      </c>
      <c r="K366" s="443">
        <f>IF(C366="","",0.04)</f>
        <v>0.04</v>
      </c>
      <c r="L366" s="444">
        <f>J366</f>
        <v>0.03</v>
      </c>
      <c r="M366" s="1049">
        <f ca="1">ROUND(IF(C366=0,0,IF('Account Info'!$AA$4="Flat Rate State",J366,L366)*$T$21*'Crime ILFs'!AE26*$V$333*K341*V347),0)</f>
        <v>95</v>
      </c>
      <c r="N366" s="1050"/>
      <c r="O366" s="1040"/>
      <c r="P366" s="1041"/>
      <c r="Q366" s="1041"/>
      <c r="R366" s="1041"/>
      <c r="S366" s="1041"/>
      <c r="T366" s="1042"/>
      <c r="U366" s="322"/>
      <c r="X366" s="405" t="s">
        <v>585</v>
      </c>
      <c r="Y366" s="378">
        <v>0.8</v>
      </c>
      <c r="Z366" s="378">
        <f>ROUND(AVERAGE(Y366,AA366),2)</f>
        <v>0.88</v>
      </c>
      <c r="AA366" s="378">
        <v>0.95</v>
      </c>
    </row>
    <row r="367" spans="1:37" ht="20.100000000000001" customHeight="1" x14ac:dyDescent="0.25">
      <c r="A367" s="420">
        <f>IF('Account Info'!$T$7=TRUE,1,0)</f>
        <v>1</v>
      </c>
      <c r="B367" s="317"/>
      <c r="C367" s="1095" t="s">
        <v>597</v>
      </c>
      <c r="D367" s="1065"/>
      <c r="E367" s="538"/>
      <c r="F367" s="538"/>
      <c r="G367" s="538"/>
      <c r="H367" s="321"/>
      <c r="I367" s="321"/>
      <c r="J367" s="321"/>
      <c r="K367" s="321"/>
      <c r="L367" s="460" t="str">
        <f>IF(AND('Account Info'!$AA$4="Range State",L366&lt;&gt;"",OR(L366&lt;I366,L366&gt;K366)),"Factor is out of range","")</f>
        <v/>
      </c>
      <c r="M367" s="542"/>
      <c r="N367" s="542"/>
      <c r="O367" s="1051"/>
      <c r="P367" s="1052"/>
      <c r="Q367" s="1052"/>
      <c r="R367" s="1052"/>
      <c r="S367" s="1052"/>
      <c r="T367" s="1053"/>
      <c r="U367" s="322"/>
      <c r="X367" s="405" t="s">
        <v>586</v>
      </c>
      <c r="Y367" s="378">
        <v>0.96</v>
      </c>
      <c r="Z367" s="378">
        <f>ROUND(AVERAGE(Y367,AA367),2)</f>
        <v>1.01</v>
      </c>
      <c r="AA367" s="378">
        <v>1.05</v>
      </c>
    </row>
    <row r="368" spans="1:37" ht="20.100000000000001" customHeight="1" x14ac:dyDescent="0.25">
      <c r="A368" s="420">
        <f>IF('Account Info'!$T$7=TRUE,1,0)</f>
        <v>1</v>
      </c>
      <c r="B368" s="317"/>
      <c r="C368" s="1047"/>
      <c r="D368" s="1047"/>
      <c r="E368" s="1032" t="s">
        <v>367</v>
      </c>
      <c r="F368" s="1032"/>
      <c r="G368" s="1032"/>
      <c r="H368" s="361"/>
      <c r="I368" s="361" t="str">
        <f>IF('Account Info'!$AA$4="Range State","Low","")</f>
        <v>Low</v>
      </c>
      <c r="J368" s="361" t="str">
        <f>IF('Account Info'!$AA$4="Range State","Benchmark","Selection")</f>
        <v>Benchmark</v>
      </c>
      <c r="K368" s="361" t="str">
        <f>IF('Account Info'!$AA$4="Range State","High","")</f>
        <v>High</v>
      </c>
      <c r="L368" s="361" t="str">
        <f>IF('Account Info'!$AA$4="Range State","Selection","")</f>
        <v>Selection</v>
      </c>
      <c r="M368" s="536" t="s">
        <v>403</v>
      </c>
      <c r="N368" s="536"/>
      <c r="O368" s="441" t="s">
        <v>377</v>
      </c>
      <c r="P368" s="348"/>
      <c r="Q368" s="348"/>
      <c r="R368" s="348"/>
      <c r="S368" s="348"/>
      <c r="T368" s="348"/>
      <c r="U368" s="322"/>
      <c r="X368" s="405" t="s">
        <v>589</v>
      </c>
      <c r="Y368" s="378">
        <v>1.06</v>
      </c>
      <c r="Z368" s="378">
        <f>ROUND(AVERAGE(Y368,AA368),2)</f>
        <v>1.28</v>
      </c>
      <c r="AA368" s="378">
        <v>1.5</v>
      </c>
    </row>
    <row r="369" spans="1:44" x14ac:dyDescent="0.25">
      <c r="A369" s="420">
        <f>IF('Account Info'!$T$7=TRUE,1,0)</f>
        <v>1</v>
      </c>
      <c r="B369" s="317"/>
      <c r="C369" s="1033">
        <f>$T$24</f>
        <v>1000000</v>
      </c>
      <c r="D369" s="1098"/>
      <c r="E369" s="1085">
        <f>$T$26</f>
        <v>10000</v>
      </c>
      <c r="F369" s="1086"/>
      <c r="G369" s="1087"/>
      <c r="H369" s="544"/>
      <c r="I369" s="443">
        <f>IF(C369="","",0.03)</f>
        <v>0.03</v>
      </c>
      <c r="J369" s="443">
        <f>IF(C369="","",0.04)</f>
        <v>0.04</v>
      </c>
      <c r="K369" s="443">
        <f>IF(C369="","",0.05)</f>
        <v>0.05</v>
      </c>
      <c r="L369" s="444">
        <f>J369</f>
        <v>0.04</v>
      </c>
      <c r="M369" s="1049">
        <f ca="1">ROUND(IF(C369=0,0,IF('Account Info'!$AA$4="Flat Rate State",J369,L369)*$T$21*'Crime ILFs'!AE30*$V$333*K341*V347),0)</f>
        <v>127</v>
      </c>
      <c r="N369" s="1050"/>
      <c r="O369" s="1040"/>
      <c r="P369" s="1041"/>
      <c r="Q369" s="1041"/>
      <c r="R369" s="1041"/>
      <c r="S369" s="1041"/>
      <c r="T369" s="1042"/>
      <c r="U369" s="322"/>
      <c r="X369" s="362"/>
      <c r="Y369" s="362"/>
      <c r="Z369" s="362"/>
      <c r="AA369" s="362"/>
    </row>
    <row r="370" spans="1:44" ht="20.100000000000001" customHeight="1" x14ac:dyDescent="0.25">
      <c r="A370" s="420">
        <f>IF('Account Info'!$T$7=TRUE,1,0)</f>
        <v>1</v>
      </c>
      <c r="B370" s="317"/>
      <c r="C370" s="1095" t="s">
        <v>598</v>
      </c>
      <c r="D370" s="1065"/>
      <c r="E370" s="538"/>
      <c r="F370" s="538"/>
      <c r="G370" s="538"/>
      <c r="H370" s="321"/>
      <c r="I370" s="321"/>
      <c r="J370" s="321"/>
      <c r="K370" s="321"/>
      <c r="L370" s="460" t="str">
        <f>IF(AND('Account Info'!$AA$4="Range State",L369&lt;&gt;"",OR(L369&lt;I369,L369&gt;K369)),"Factor is out of range","")</f>
        <v/>
      </c>
      <c r="M370" s="542"/>
      <c r="N370" s="542"/>
      <c r="O370" s="1051"/>
      <c r="P370" s="1052"/>
      <c r="Q370" s="1052"/>
      <c r="R370" s="1052"/>
      <c r="S370" s="1052"/>
      <c r="T370" s="1053"/>
      <c r="U370" s="322"/>
      <c r="X370" s="362"/>
      <c r="Y370" s="362"/>
      <c r="Z370" s="362"/>
      <c r="AA370" s="362"/>
    </row>
    <row r="371" spans="1:44" ht="20.100000000000001" customHeight="1" x14ac:dyDescent="0.25">
      <c r="A371" s="420">
        <f>IF('Account Info'!$T$7=TRUE,1,0)</f>
        <v>1</v>
      </c>
      <c r="B371" s="317"/>
      <c r="C371" s="1047"/>
      <c r="D371" s="1047"/>
      <c r="E371" s="1032" t="s">
        <v>367</v>
      </c>
      <c r="F371" s="1032"/>
      <c r="G371" s="1032"/>
      <c r="H371" s="361" t="s">
        <v>599</v>
      </c>
      <c r="I371" s="361" t="str">
        <f>IF('Account Info'!$AA$4="Range State","Low","")</f>
        <v>Low</v>
      </c>
      <c r="J371" s="361" t="str">
        <f>IF('Account Info'!$AA$4="Range State","Benchmark","Selection")</f>
        <v>Benchmark</v>
      </c>
      <c r="K371" s="361" t="str">
        <f>IF('Account Info'!$AA$4="Range State","High","")</f>
        <v>High</v>
      </c>
      <c r="L371" s="361" t="str">
        <f>IF('Account Info'!$AA$4="Range State","Selection","")</f>
        <v>Selection</v>
      </c>
      <c r="M371" s="536" t="s">
        <v>403</v>
      </c>
      <c r="N371" s="536"/>
      <c r="O371" s="441" t="s">
        <v>377</v>
      </c>
      <c r="P371" s="348"/>
      <c r="Q371" s="348"/>
      <c r="R371" s="348"/>
      <c r="S371" s="348"/>
      <c r="T371" s="348"/>
      <c r="U371" s="322"/>
      <c r="X371" s="362"/>
      <c r="Y371" s="362"/>
      <c r="Z371" s="362"/>
      <c r="AA371" s="362"/>
    </row>
    <row r="372" spans="1:44" x14ac:dyDescent="0.25">
      <c r="A372" s="420">
        <f>IF('Account Info'!$T$7=TRUE,1,0)</f>
        <v>1</v>
      </c>
      <c r="B372" s="317"/>
      <c r="C372" s="1033">
        <f>$T$24</f>
        <v>1000000</v>
      </c>
      <c r="D372" s="1034"/>
      <c r="E372" s="1085">
        <f>$T$26</f>
        <v>10000</v>
      </c>
      <c r="F372" s="1086"/>
      <c r="G372" s="1087"/>
      <c r="H372" s="541" t="s">
        <v>583</v>
      </c>
      <c r="I372" s="443">
        <f>IF(OR(C372="",H372=""),"",IF(H372="High",0.07,VLOOKUP(H372,AD343:AG345,2,TRUE)))</f>
        <v>0.04</v>
      </c>
      <c r="J372" s="443">
        <f>IF(OR(C372="",H372=""),"",IF(H372="High",0.09,VLOOKUP(H372,AD343:AG345,3,TRUE)))</f>
        <v>0.05</v>
      </c>
      <c r="K372" s="443">
        <f>IF(OR(C372="",H372=""),"",IF(H372="High",0.1,VLOOKUP(H372,AD343:AG345,4,TRUE)))</f>
        <v>0.06</v>
      </c>
      <c r="L372" s="444">
        <f>J372</f>
        <v>0.05</v>
      </c>
      <c r="M372" s="1049">
        <f ca="1">ROUND(IF(OR(C372="",H372=""),0,IF('Account Info'!$AA$4="Flat Rate State",J372,L372)*$T$21*'Crime ILFs'!AE34*$V$333*K341*V347),0)</f>
        <v>158</v>
      </c>
      <c r="N372" s="1050"/>
      <c r="O372" s="1040"/>
      <c r="P372" s="1041"/>
      <c r="Q372" s="1041"/>
      <c r="R372" s="1041"/>
      <c r="S372" s="1041"/>
      <c r="T372" s="1042"/>
      <c r="U372" s="322"/>
      <c r="X372" s="362"/>
      <c r="Y372" s="362"/>
      <c r="Z372" s="362"/>
      <c r="AA372" s="362"/>
    </row>
    <row r="373" spans="1:44" ht="44.25" customHeight="1" x14ac:dyDescent="0.25">
      <c r="A373" s="420">
        <f>IF('Account Info'!$T$7=TRUE,1,0)</f>
        <v>1</v>
      </c>
      <c r="B373" s="317"/>
      <c r="C373" s="1095" t="s">
        <v>600</v>
      </c>
      <c r="D373" s="1065"/>
      <c r="E373" s="1096" t="s">
        <v>6536</v>
      </c>
      <c r="F373" s="1097"/>
      <c r="G373" s="1097"/>
      <c r="H373" s="1097"/>
      <c r="I373" s="1097"/>
      <c r="J373" s="1097"/>
      <c r="K373" s="1097"/>
      <c r="L373" s="460" t="str">
        <f>IF(AND('Account Info'!$AA$4="Range State",L372&lt;&gt;"",OR(L372&lt;I372,L372&gt;K372)),"Factor is out of range","")</f>
        <v/>
      </c>
      <c r="M373" s="542"/>
      <c r="N373" s="542"/>
      <c r="O373" s="1051"/>
      <c r="P373" s="1052"/>
      <c r="Q373" s="1052"/>
      <c r="R373" s="1052"/>
      <c r="S373" s="1052"/>
      <c r="T373" s="1053"/>
      <c r="U373" s="322"/>
      <c r="X373" s="362"/>
      <c r="Y373" s="362"/>
      <c r="Z373" s="362"/>
      <c r="AA373" s="362"/>
    </row>
    <row r="374" spans="1:44" ht="20.100000000000001" customHeight="1" x14ac:dyDescent="0.25">
      <c r="A374" s="420">
        <f>IF('Account Info'!$T$7=TRUE,1,0)</f>
        <v>1</v>
      </c>
      <c r="B374" s="317"/>
      <c r="C374" s="1047"/>
      <c r="D374" s="1047"/>
      <c r="E374" s="1032" t="s">
        <v>367</v>
      </c>
      <c r="F374" s="1032"/>
      <c r="G374" s="1032"/>
      <c r="H374" s="361"/>
      <c r="I374" s="361" t="str">
        <f>IF('Account Info'!$AA$4="Range State","Low","")</f>
        <v>Low</v>
      </c>
      <c r="J374" s="361" t="str">
        <f>IF('Account Info'!$AA$4="Range State","Benchmark","Selection")</f>
        <v>Benchmark</v>
      </c>
      <c r="K374" s="361" t="str">
        <f>IF('Account Info'!$AA$4="Range State","High","")</f>
        <v>High</v>
      </c>
      <c r="L374" s="361" t="str">
        <f>IF('Account Info'!$AA$4="Range State","Selection","")</f>
        <v>Selection</v>
      </c>
      <c r="M374" s="536" t="s">
        <v>403</v>
      </c>
      <c r="N374" s="536"/>
      <c r="O374" s="441" t="s">
        <v>377</v>
      </c>
      <c r="P374" s="348"/>
      <c r="Q374" s="348"/>
      <c r="R374" s="348"/>
      <c r="S374" s="348"/>
      <c r="T374" s="348"/>
      <c r="U374" s="322"/>
      <c r="X374" s="503" t="s">
        <v>571</v>
      </c>
      <c r="Y374" s="388"/>
      <c r="Z374" s="388"/>
      <c r="AA374" s="388"/>
    </row>
    <row r="375" spans="1:44" x14ac:dyDescent="0.25">
      <c r="A375" s="420">
        <f>IF('Account Info'!$T$7=TRUE,1,0)</f>
        <v>1</v>
      </c>
      <c r="B375" s="317"/>
      <c r="C375" s="1033">
        <v>50000</v>
      </c>
      <c r="D375" s="1034"/>
      <c r="E375" s="1085">
        <v>50000</v>
      </c>
      <c r="F375" s="1086"/>
      <c r="G375" s="1087"/>
      <c r="H375" s="544"/>
      <c r="I375" s="443">
        <f>IF(C375="","",0.01)</f>
        <v>0.01</v>
      </c>
      <c r="J375" s="443">
        <f>IF(C375="","",0.02)</f>
        <v>0.02</v>
      </c>
      <c r="K375" s="443">
        <f>IF(C375="","",0.03)</f>
        <v>0.03</v>
      </c>
      <c r="L375" s="444">
        <f>J375</f>
        <v>0.02</v>
      </c>
      <c r="M375" s="1049">
        <f ca="1">ROUND(IF(OR(C375="",T21=""),0,IF('Account Info'!$AA$4="Flat Rate State",J375,L375)*$T$21*'Crime ILFs'!AE38*$V$333*K341*V347),0)</f>
        <v>11</v>
      </c>
      <c r="N375" s="1050"/>
      <c r="O375" s="1040"/>
      <c r="P375" s="1041"/>
      <c r="Q375" s="1041"/>
      <c r="R375" s="1041"/>
      <c r="S375" s="1041"/>
      <c r="T375" s="1042"/>
      <c r="U375" s="322"/>
      <c r="X375" s="405" t="s">
        <v>601</v>
      </c>
      <c r="Y375" s="378">
        <v>0.9</v>
      </c>
      <c r="Z375" s="378">
        <f>ROUND(AVERAGE(Y375,AA375),2)</f>
        <v>0.95</v>
      </c>
      <c r="AA375" s="378">
        <v>0.99</v>
      </c>
    </row>
    <row r="376" spans="1:44" ht="20.100000000000001" customHeight="1" x14ac:dyDescent="0.25">
      <c r="A376" s="420">
        <f>IF('Account Info'!$T$7=TRUE,1,0)</f>
        <v>1</v>
      </c>
      <c r="B376" s="317"/>
      <c r="C376" s="1095" t="s">
        <v>604</v>
      </c>
      <c r="D376" s="1065"/>
      <c r="E376" s="538"/>
      <c r="F376" s="538"/>
      <c r="G376" s="538"/>
      <c r="H376" s="321"/>
      <c r="I376" s="321"/>
      <c r="J376" s="321"/>
      <c r="K376" s="321"/>
      <c r="L376" s="460" t="str">
        <f>IF(AND('Account Info'!$AA$4="Range State",L375&lt;&gt;"",OR(L375&lt;I375,L375&gt;K375)),"Factor is out of range","")</f>
        <v/>
      </c>
      <c r="M376" s="542"/>
      <c r="N376" s="542"/>
      <c r="O376" s="1051"/>
      <c r="P376" s="1052"/>
      <c r="Q376" s="1052"/>
      <c r="R376" s="1052"/>
      <c r="S376" s="1052"/>
      <c r="T376" s="1053"/>
      <c r="U376" s="322"/>
      <c r="X376" s="405" t="s">
        <v>602</v>
      </c>
      <c r="Y376" s="378">
        <v>1</v>
      </c>
      <c r="Z376" s="378">
        <f>ROUND(AVERAGE(Y376,AA376),2)</f>
        <v>1.03</v>
      </c>
      <c r="AA376" s="378">
        <v>1.05</v>
      </c>
    </row>
    <row r="377" spans="1:44" ht="20.100000000000001" customHeight="1" x14ac:dyDescent="0.25">
      <c r="A377" s="420">
        <f>IF('Account Info'!$T$7=TRUE,1,0)</f>
        <v>1</v>
      </c>
      <c r="B377" s="317"/>
      <c r="C377" s="1047"/>
      <c r="D377" s="1047"/>
      <c r="E377" s="1032" t="s">
        <v>367</v>
      </c>
      <c r="F377" s="1032"/>
      <c r="G377" s="1032"/>
      <c r="H377" s="361"/>
      <c r="I377" s="361"/>
      <c r="J377" s="361" t="s">
        <v>605</v>
      </c>
      <c r="K377" s="361"/>
      <c r="L377" s="361"/>
      <c r="M377" s="536" t="s">
        <v>403</v>
      </c>
      <c r="N377" s="536"/>
      <c r="O377" s="441" t="s">
        <v>377</v>
      </c>
      <c r="P377" s="348"/>
      <c r="Q377" s="348"/>
      <c r="R377" s="348"/>
      <c r="S377" s="348"/>
      <c r="T377" s="348"/>
      <c r="U377" s="322"/>
      <c r="X377" s="405" t="s">
        <v>603</v>
      </c>
      <c r="Y377" s="378">
        <v>1.06</v>
      </c>
      <c r="Z377" s="378">
        <f>ROUND(AVERAGE(Y377,AA377),2)</f>
        <v>1.1599999999999999</v>
      </c>
      <c r="AA377" s="378">
        <v>1.25</v>
      </c>
    </row>
    <row r="378" spans="1:44" x14ac:dyDescent="0.25">
      <c r="A378" s="420">
        <f>IF('Account Info'!$T$7=TRUE,1,0)</f>
        <v>1</v>
      </c>
      <c r="B378" s="317"/>
      <c r="C378" s="1033">
        <v>25000</v>
      </c>
      <c r="D378" s="1034"/>
      <c r="E378" s="1085">
        <v>0</v>
      </c>
      <c r="F378" s="1086"/>
      <c r="G378" s="1087"/>
      <c r="H378" s="544"/>
      <c r="I378" s="516" t="e">
        <f>IF(C378="","",VLOOKUP(C378,X698:AA700,2,FALSE))</f>
        <v>#N/A</v>
      </c>
      <c r="J378" s="443">
        <f>IF(C378="","",0.1)</f>
        <v>0.1</v>
      </c>
      <c r="K378" s="516" t="str">
        <f>IF(F378="","",VLOOKUP(F378,Z698:AC700,2,FALSE))</f>
        <v/>
      </c>
      <c r="L378" s="516" t="str">
        <f>IF(G378="","",VLOOKUP(G378,AA696:AD698,2,FALSE))</f>
        <v/>
      </c>
      <c r="M378" s="1049">
        <f ca="1">ROUND(IF(C378="",0,J378*('D&amp;O-EPL-Crime-Fidu ILFs'!AG18+SUM('Crime ILFs'!AG6:AG38))),0)</f>
        <v>195</v>
      </c>
      <c r="N378" s="1050"/>
      <c r="O378" s="1040"/>
      <c r="P378" s="1041"/>
      <c r="Q378" s="1041"/>
      <c r="R378" s="1041"/>
      <c r="S378" s="1041"/>
      <c r="T378" s="1042"/>
      <c r="U378" s="322"/>
      <c r="X378" s="503" t="s">
        <v>575</v>
      </c>
      <c r="Y378" s="388"/>
      <c r="Z378" s="388"/>
      <c r="AA378" s="388"/>
    </row>
    <row r="379" spans="1:44" x14ac:dyDescent="0.25">
      <c r="A379" s="420">
        <f>IF('Account Info'!$T$7=TRUE,1,0)</f>
        <v>1</v>
      </c>
      <c r="B379" s="317"/>
      <c r="C379" s="321"/>
      <c r="D379" s="321"/>
      <c r="E379" s="320"/>
      <c r="F379" s="321"/>
      <c r="G379" s="321"/>
      <c r="H379" s="321"/>
      <c r="I379" s="321"/>
      <c r="J379" s="321"/>
      <c r="K379" s="321"/>
      <c r="L379" s="321"/>
      <c r="M379" s="321"/>
      <c r="N379" s="321"/>
      <c r="O379" s="1051"/>
      <c r="P379" s="1052"/>
      <c r="Q379" s="1052"/>
      <c r="R379" s="1052"/>
      <c r="S379" s="1052"/>
      <c r="T379" s="1053"/>
      <c r="U379" s="322"/>
      <c r="X379" s="405" t="s">
        <v>417</v>
      </c>
      <c r="Y379" s="378">
        <v>0.75</v>
      </c>
      <c r="Z379" s="378">
        <f>ROUND(AVERAGE(Y379,AA379),2)</f>
        <v>0.87</v>
      </c>
      <c r="AA379" s="378">
        <v>0.99</v>
      </c>
    </row>
    <row r="380" spans="1:44" x14ac:dyDescent="0.25">
      <c r="A380" s="420">
        <f>IF('Account Info'!$T$7=TRUE,1,0)</f>
        <v>1</v>
      </c>
      <c r="B380" s="317"/>
      <c r="C380" s="321"/>
      <c r="D380" s="491"/>
      <c r="E380" s="492"/>
      <c r="F380" s="492"/>
      <c r="G380" s="492"/>
      <c r="H380" s="465" t="s">
        <v>606</v>
      </c>
      <c r="I380" s="939">
        <f ca="1">IF(W343="","",ROUND((W343*V347)+M351+M354+M357+M360+M363+M366+M369+M372+M375+M378,0))</f>
        <v>4388</v>
      </c>
      <c r="J380" s="496"/>
      <c r="K380" s="494"/>
      <c r="L380" s="494"/>
      <c r="M380" s="467"/>
      <c r="N380" s="468"/>
      <c r="O380" s="468"/>
      <c r="P380" s="468"/>
      <c r="Q380" s="468"/>
      <c r="R380" s="468"/>
      <c r="S380" s="468"/>
      <c r="T380" s="468"/>
      <c r="U380" s="322"/>
      <c r="X380" s="405" t="s">
        <v>418</v>
      </c>
      <c r="Y380" s="378">
        <v>1</v>
      </c>
      <c r="Z380" s="378">
        <f>ROUND(AVERAGE(Y380,AA380),2)</f>
        <v>1.1299999999999999</v>
      </c>
      <c r="AA380" s="378">
        <v>1.25</v>
      </c>
    </row>
    <row r="381" spans="1:44" ht="15.75" thickBot="1" x14ac:dyDescent="0.3">
      <c r="A381" s="420">
        <f>IF('Account Info'!$T$7=TRUE,1,0)</f>
        <v>1</v>
      </c>
      <c r="B381" s="324"/>
      <c r="C381" s="325"/>
      <c r="D381" s="326"/>
      <c r="E381" s="326"/>
      <c r="F381" s="326"/>
      <c r="G381" s="326"/>
      <c r="H381" s="326"/>
      <c r="I381" s="469"/>
      <c r="J381" s="469"/>
      <c r="K381" s="469"/>
      <c r="L381" s="469"/>
      <c r="M381" s="326"/>
      <c r="N381" s="326"/>
      <c r="O381" s="326"/>
      <c r="P381" s="326"/>
      <c r="Q381" s="326"/>
      <c r="R381" s="326"/>
      <c r="S381" s="326"/>
      <c r="T381" s="326"/>
      <c r="U381" s="327"/>
      <c r="X381" s="405" t="s">
        <v>420</v>
      </c>
      <c r="Y381" s="378">
        <v>1.26</v>
      </c>
      <c r="Z381" s="378">
        <f>ROUND(AVERAGE(Y381,AA381),2)</f>
        <v>1.38</v>
      </c>
      <c r="AA381" s="378">
        <v>1.5</v>
      </c>
    </row>
    <row r="382" spans="1:44" ht="18.75" x14ac:dyDescent="0.3">
      <c r="A382" s="388">
        <f>IF('Account Info'!$T$8=TRUE,1,0)</f>
        <v>1</v>
      </c>
      <c r="B382" s="451" t="s">
        <v>607</v>
      </c>
      <c r="C382" s="321"/>
      <c r="D382" s="320"/>
      <c r="E382" s="320"/>
      <c r="F382" s="320"/>
      <c r="G382" s="320"/>
      <c r="H382" s="320"/>
      <c r="I382" s="464"/>
      <c r="J382" s="464"/>
      <c r="K382" s="464"/>
      <c r="L382" s="464"/>
      <c r="M382" s="320"/>
      <c r="N382" s="320"/>
      <c r="O382" s="320"/>
      <c r="P382" s="320"/>
      <c r="Q382" s="320"/>
      <c r="R382" s="320"/>
      <c r="S382" s="320"/>
      <c r="T382" s="320"/>
      <c r="U382" s="322"/>
      <c r="X382" s="405" t="s">
        <v>422</v>
      </c>
      <c r="Y382" s="378">
        <v>1.51</v>
      </c>
      <c r="Z382" s="378">
        <f>ROUND(AVERAGE(Y382,AA382),2)</f>
        <v>1.63</v>
      </c>
      <c r="AA382" s="378">
        <v>1.75</v>
      </c>
      <c r="AJ382" s="510" t="s">
        <v>608</v>
      </c>
      <c r="AO382" s="510" t="s">
        <v>570</v>
      </c>
    </row>
    <row r="383" spans="1:44" x14ac:dyDescent="0.25">
      <c r="A383" s="388">
        <f>IF('Account Info'!$T$8=TRUE,1,0)</f>
        <v>1</v>
      </c>
      <c r="B383" s="1091" t="s">
        <v>300</v>
      </c>
      <c r="C383" s="1092"/>
      <c r="D383" s="348" t="s">
        <v>608</v>
      </c>
      <c r="E383" s="349"/>
      <c r="F383" s="439"/>
      <c r="G383" s="439"/>
      <c r="H383" s="453"/>
      <c r="I383" s="361" t="str">
        <f>IF('Account Info'!$AA$4="Range State","Low","")</f>
        <v>Low</v>
      </c>
      <c r="J383" s="361" t="str">
        <f>IF('Account Info'!$AA$4="Range State","Benchmark","Selection")</f>
        <v>Benchmark</v>
      </c>
      <c r="K383" s="361" t="str">
        <f>IF('Account Info'!$AA$4="Range State","High","")</f>
        <v>High</v>
      </c>
      <c r="L383" s="361" t="str">
        <f>IF('Account Info'!$AA$4="Range State","Selection","")</f>
        <v>Selection</v>
      </c>
      <c r="M383" s="440" t="s">
        <v>377</v>
      </c>
      <c r="N383" s="440"/>
      <c r="O383" s="441"/>
      <c r="P383" s="348"/>
      <c r="Q383" s="348"/>
      <c r="R383" s="348"/>
      <c r="S383" s="348"/>
      <c r="T383" s="348"/>
      <c r="U383" s="322"/>
      <c r="X383" s="316"/>
      <c r="Y383" s="316"/>
      <c r="Z383" s="316"/>
      <c r="AA383" s="316"/>
      <c r="AJ383" s="397" t="s">
        <v>417</v>
      </c>
      <c r="AK383" s="545">
        <v>0.75</v>
      </c>
      <c r="AL383" s="545">
        <f>ROUND(AVERAGE(AK383,AM383),2)</f>
        <v>0.88</v>
      </c>
      <c r="AM383" s="545">
        <v>1</v>
      </c>
      <c r="AO383" s="397" t="s">
        <v>522</v>
      </c>
      <c r="AP383" s="545">
        <v>1</v>
      </c>
      <c r="AQ383" s="545">
        <f>ROUND(AVERAGE(AP383,AR383),2)</f>
        <v>1</v>
      </c>
      <c r="AR383" s="545">
        <v>1</v>
      </c>
    </row>
    <row r="384" spans="1:44" x14ac:dyDescent="0.25">
      <c r="A384" s="388">
        <f>IF('Account Info'!$T$8=TRUE,1,0)</f>
        <v>1</v>
      </c>
      <c r="B384" s="1091"/>
      <c r="C384" s="1092"/>
      <c r="D384" s="1054" t="s">
        <v>417</v>
      </c>
      <c r="E384" s="1055"/>
      <c r="F384" s="1055"/>
      <c r="G384" s="1055"/>
      <c r="H384" s="1056"/>
      <c r="I384" s="443">
        <f>IF(D384="","",VLOOKUP(D384,AJ383:AM386,2,FALSE))</f>
        <v>0.75</v>
      </c>
      <c r="J384" s="443">
        <f>IF(D384="","",VLOOKUP(D384,AJ383:AM386,3,FALSE))</f>
        <v>0.88</v>
      </c>
      <c r="K384" s="443">
        <f>IF(D384="","",VLOOKUP(D384,AJ383:AM386,4,FALSE))</f>
        <v>1</v>
      </c>
      <c r="L384" s="454">
        <f>J384</f>
        <v>0.88</v>
      </c>
      <c r="M384" s="1057"/>
      <c r="N384" s="1058"/>
      <c r="O384" s="1058"/>
      <c r="P384" s="1058"/>
      <c r="Q384" s="1058"/>
      <c r="R384" s="1058"/>
      <c r="S384" s="1058"/>
      <c r="T384" s="1059"/>
      <c r="U384" s="322"/>
      <c r="V384" s="340">
        <f>IF('Account Info'!$AA$4="Flat Rate State",IF(J384="",1,J384),IF(L384="",1,L384))</f>
        <v>0.88</v>
      </c>
      <c r="X384" s="316"/>
      <c r="Y384" s="316"/>
      <c r="Z384" s="316"/>
      <c r="AA384" s="316"/>
      <c r="AJ384" s="397" t="s">
        <v>418</v>
      </c>
      <c r="AK384" s="545">
        <f>AM383+0.01</f>
        <v>1.01</v>
      </c>
      <c r="AL384" s="545">
        <f>ROUND(AVERAGE(AK384,AM384),2)</f>
        <v>1.06</v>
      </c>
      <c r="AM384" s="545">
        <v>1.1000000000000001</v>
      </c>
      <c r="AO384" s="397" t="s">
        <v>524</v>
      </c>
      <c r="AP384" s="545">
        <v>0.8</v>
      </c>
      <c r="AQ384" s="545">
        <f>ROUND(AVERAGE(AP384,AR384),2)</f>
        <v>0.9</v>
      </c>
      <c r="AR384" s="545">
        <v>0.99</v>
      </c>
    </row>
    <row r="385" spans="1:44" x14ac:dyDescent="0.25">
      <c r="A385" s="388">
        <f>IF('Account Info'!$T$8=TRUE,1,0)</f>
        <v>1</v>
      </c>
      <c r="B385" s="1091"/>
      <c r="C385" s="1092"/>
      <c r="D385" s="320"/>
      <c r="E385" s="320"/>
      <c r="F385" s="320"/>
      <c r="G385" s="320"/>
      <c r="H385" s="320"/>
      <c r="I385" s="464"/>
      <c r="J385" s="464"/>
      <c r="K385" s="464"/>
      <c r="L385" s="464"/>
      <c r="M385" s="1051"/>
      <c r="N385" s="1052"/>
      <c r="O385" s="1052"/>
      <c r="P385" s="1052"/>
      <c r="Q385" s="1052"/>
      <c r="R385" s="1052"/>
      <c r="S385" s="1052"/>
      <c r="T385" s="1053"/>
      <c r="U385" s="322"/>
      <c r="V385" s="340">
        <v>1</v>
      </c>
      <c r="X385" s="316"/>
      <c r="Y385" s="316"/>
      <c r="Z385" s="316"/>
      <c r="AA385" s="316"/>
      <c r="AJ385" s="397" t="s">
        <v>420</v>
      </c>
      <c r="AK385" s="545">
        <f t="shared" ref="AK385:AK386" si="18">AM384+0.01</f>
        <v>1.1100000000000001</v>
      </c>
      <c r="AL385" s="545">
        <f>ROUND(AVERAGE(AK385,AM385),2)</f>
        <v>1.1599999999999999</v>
      </c>
      <c r="AM385" s="545">
        <v>1.2</v>
      </c>
      <c r="AO385" s="397" t="s">
        <v>526</v>
      </c>
      <c r="AP385" s="545">
        <v>1.01</v>
      </c>
      <c r="AQ385" s="545">
        <f>ROUND(AVERAGE(AP385,AR385),2)</f>
        <v>1.1100000000000001</v>
      </c>
      <c r="AR385" s="545">
        <v>1.2</v>
      </c>
    </row>
    <row r="386" spans="1:44" x14ac:dyDescent="0.25">
      <c r="A386" s="388">
        <f>IF('Account Info'!$T$8=TRUE,1,0)</f>
        <v>1</v>
      </c>
      <c r="B386" s="1091"/>
      <c r="C386" s="1092"/>
      <c r="D386" s="348" t="s">
        <v>609</v>
      </c>
      <c r="E386" s="349"/>
      <c r="F386" s="439"/>
      <c r="G386" s="439"/>
      <c r="H386" s="453"/>
      <c r="I386" s="361" t="str">
        <f>IF('Account Info'!$AA$4="Range State","Low","")</f>
        <v>Low</v>
      </c>
      <c r="J386" s="361" t="str">
        <f>IF('Account Info'!$AA$4="Range State","Benchmark","Selection")</f>
        <v>Benchmark</v>
      </c>
      <c r="K386" s="361" t="str">
        <f>IF('Account Info'!$AA$4="Range State","High","")</f>
        <v>High</v>
      </c>
      <c r="L386" s="361" t="str">
        <f>IF('Account Info'!$AA$4="Range State","Selection","")</f>
        <v>Selection</v>
      </c>
      <c r="M386" s="440" t="s">
        <v>377</v>
      </c>
      <c r="N386" s="440"/>
      <c r="O386" s="441"/>
      <c r="P386" s="348"/>
      <c r="Q386" s="348"/>
      <c r="R386" s="348"/>
      <c r="S386" s="348"/>
      <c r="T386" s="348"/>
      <c r="U386" s="322"/>
      <c r="V386" s="340">
        <v>1</v>
      </c>
      <c r="X386" s="316"/>
      <c r="Y386" s="316"/>
      <c r="Z386" s="316"/>
      <c r="AA386" s="316"/>
      <c r="AJ386" s="397" t="s">
        <v>422</v>
      </c>
      <c r="AK386" s="545">
        <f t="shared" si="18"/>
        <v>1.21</v>
      </c>
      <c r="AL386" s="545">
        <f>ROUND(AVERAGE(AK386,AM386),2)</f>
        <v>1.36</v>
      </c>
      <c r="AM386" s="545">
        <v>1.5</v>
      </c>
      <c r="AO386" s="397" t="s">
        <v>533</v>
      </c>
      <c r="AP386" s="545">
        <v>0.65</v>
      </c>
      <c r="AQ386" s="545">
        <f>ROUND(AVERAGE(AP386,AR386),2)</f>
        <v>0.72</v>
      </c>
      <c r="AR386" s="545">
        <v>0.79</v>
      </c>
    </row>
    <row r="387" spans="1:44" x14ac:dyDescent="0.25">
      <c r="A387" s="388">
        <f>IF('Account Info'!$T$8=TRUE,1,0)</f>
        <v>1</v>
      </c>
      <c r="B387" s="1091"/>
      <c r="C387" s="1092"/>
      <c r="D387" s="1054" t="s">
        <v>610</v>
      </c>
      <c r="E387" s="1055"/>
      <c r="F387" s="1055"/>
      <c r="G387" s="1055"/>
      <c r="H387" s="1056"/>
      <c r="I387" s="443">
        <f>IF(D387="","",VLOOKUP(D387,AJ388:AM390,2,FALSE))</f>
        <v>0.8</v>
      </c>
      <c r="J387" s="443">
        <f>IF(D387="","",VLOOKUP(D387,AJ388:AM390,3,FALSE))</f>
        <v>0.9</v>
      </c>
      <c r="K387" s="443">
        <f>IF(D387="","",VLOOKUP(D387,AJ388:AM390,4,FALSE))</f>
        <v>1</v>
      </c>
      <c r="L387" s="454">
        <f>J387</f>
        <v>0.9</v>
      </c>
      <c r="M387" s="1057"/>
      <c r="N387" s="1058"/>
      <c r="O387" s="1058"/>
      <c r="P387" s="1058"/>
      <c r="Q387" s="1058"/>
      <c r="R387" s="1058"/>
      <c r="S387" s="1058"/>
      <c r="T387" s="1059"/>
      <c r="U387" s="322"/>
      <c r="V387" s="340">
        <f>IF('Account Info'!$AA$4="Flat Rate State",IF(J387="",1,J387),IF(L387="",1,L387))</f>
        <v>0.9</v>
      </c>
      <c r="X387" s="316"/>
      <c r="Y387" s="316"/>
      <c r="Z387" s="316"/>
      <c r="AA387" s="316"/>
      <c r="AJ387" s="510" t="s">
        <v>609</v>
      </c>
      <c r="AK387" s="312"/>
      <c r="AL387" s="312"/>
      <c r="AM387" s="312"/>
      <c r="AO387" s="397" t="s">
        <v>535</v>
      </c>
      <c r="AP387" s="545">
        <v>1.21</v>
      </c>
      <c r="AQ387" s="545">
        <f>ROUND(AVERAGE(AP387,AR387),2)</f>
        <v>1.28</v>
      </c>
      <c r="AR387" s="545">
        <v>1.35</v>
      </c>
    </row>
    <row r="388" spans="1:44" x14ac:dyDescent="0.25">
      <c r="A388" s="388">
        <f>IF('Account Info'!$T$8=TRUE,1,0)</f>
        <v>1</v>
      </c>
      <c r="B388" s="1091"/>
      <c r="C388" s="1092"/>
      <c r="D388" s="320"/>
      <c r="E388" s="320"/>
      <c r="F388" s="320"/>
      <c r="G388" s="320"/>
      <c r="H388" s="320"/>
      <c r="I388" s="464"/>
      <c r="J388" s="464"/>
      <c r="K388" s="464"/>
      <c r="L388" s="464"/>
      <c r="M388" s="1051"/>
      <c r="N388" s="1052"/>
      <c r="O388" s="1052"/>
      <c r="P388" s="1052"/>
      <c r="Q388" s="1052"/>
      <c r="R388" s="1052"/>
      <c r="S388" s="1052"/>
      <c r="T388" s="1053"/>
      <c r="U388" s="322"/>
      <c r="V388" s="340">
        <v>1</v>
      </c>
      <c r="X388" s="316"/>
      <c r="Y388" s="316"/>
      <c r="Z388" s="316"/>
      <c r="AA388" s="316"/>
      <c r="AJ388" s="397" t="s">
        <v>610</v>
      </c>
      <c r="AK388" s="545">
        <v>0.8</v>
      </c>
      <c r="AL388" s="545">
        <f>ROUND(AVERAGE(AK388,AM388),2)</f>
        <v>0.9</v>
      </c>
      <c r="AM388" s="545">
        <v>1</v>
      </c>
      <c r="AO388" s="510" t="s">
        <v>611</v>
      </c>
    </row>
    <row r="389" spans="1:44" x14ac:dyDescent="0.25">
      <c r="A389" s="388">
        <f>IF('Account Info'!$T$8=TRUE,1,0)</f>
        <v>1</v>
      </c>
      <c r="B389" s="1091"/>
      <c r="C389" s="1092"/>
      <c r="D389" s="348" t="s">
        <v>612</v>
      </c>
      <c r="E389" s="349"/>
      <c r="F389" s="439"/>
      <c r="G389" s="439"/>
      <c r="H389" s="453"/>
      <c r="I389" s="361" t="str">
        <f>IF('Account Info'!$AA$4="Range State","Low","")</f>
        <v>Low</v>
      </c>
      <c r="J389" s="361" t="str">
        <f>IF('Account Info'!$AA$4="Range State","Benchmark","Selection")</f>
        <v>Benchmark</v>
      </c>
      <c r="K389" s="361" t="str">
        <f>IF('Account Info'!$AA$4="Range State","High","")</f>
        <v>High</v>
      </c>
      <c r="L389" s="361" t="str">
        <f>IF('Account Info'!$AA$4="Range State","Selection","")</f>
        <v>Selection</v>
      </c>
      <c r="M389" s="440" t="s">
        <v>377</v>
      </c>
      <c r="N389" s="440"/>
      <c r="O389" s="441"/>
      <c r="P389" s="348"/>
      <c r="Q389" s="348"/>
      <c r="R389" s="348"/>
      <c r="S389" s="348"/>
      <c r="T389" s="348"/>
      <c r="U389" s="322"/>
      <c r="V389" s="340">
        <v>1</v>
      </c>
      <c r="X389" s="316"/>
      <c r="Y389" s="316"/>
      <c r="Z389" s="316"/>
      <c r="AA389" s="316"/>
      <c r="AJ389" s="397" t="s">
        <v>583</v>
      </c>
      <c r="AK389" s="545">
        <f t="shared" ref="AK389:AK390" si="19">AM388+0.01</f>
        <v>1.01</v>
      </c>
      <c r="AL389" s="545">
        <f>ROUND(AVERAGE(AK389,AM389),2)</f>
        <v>1.06</v>
      </c>
      <c r="AM389" s="545">
        <v>1.1000000000000001</v>
      </c>
      <c r="AO389" s="397" t="s">
        <v>613</v>
      </c>
      <c r="AP389" s="545">
        <v>0.01</v>
      </c>
      <c r="AQ389" s="545">
        <f>ROUND(AVERAGE(AP389,AR389),2)</f>
        <v>0.03</v>
      </c>
      <c r="AR389" s="545">
        <v>0.05</v>
      </c>
    </row>
    <row r="390" spans="1:44" x14ac:dyDescent="0.25">
      <c r="A390" s="388">
        <f>IF('Account Info'!$T$8=TRUE,1,0)</f>
        <v>1</v>
      </c>
      <c r="B390" s="1091"/>
      <c r="C390" s="1092"/>
      <c r="D390" s="1054" t="s">
        <v>417</v>
      </c>
      <c r="E390" s="1055"/>
      <c r="F390" s="1055"/>
      <c r="G390" s="1055"/>
      <c r="H390" s="1056"/>
      <c r="I390" s="443">
        <f>IF(D390="","",VLOOKUP(D390,AJ392:AM394,2,FALSE))</f>
        <v>0.8</v>
      </c>
      <c r="J390" s="443">
        <f>IF(D390="","",VLOOKUP(D390,AJ392:AM394,3,FALSE))</f>
        <v>0.9</v>
      </c>
      <c r="K390" s="443">
        <f>IF(D390="","",VLOOKUP(D390,AJ392:AM394,4,FALSE))</f>
        <v>1</v>
      </c>
      <c r="L390" s="454">
        <f>J390</f>
        <v>0.9</v>
      </c>
      <c r="M390" s="1057"/>
      <c r="N390" s="1058"/>
      <c r="O390" s="1058"/>
      <c r="P390" s="1058"/>
      <c r="Q390" s="1058"/>
      <c r="R390" s="1058"/>
      <c r="S390" s="1058"/>
      <c r="T390" s="1059"/>
      <c r="U390" s="322"/>
      <c r="V390" s="340">
        <f>IF('Account Info'!$AA$4="Flat Rate State",IF(J390="",1,J390),IF(L390="",1,L390))</f>
        <v>0.9</v>
      </c>
      <c r="X390" s="316"/>
      <c r="Y390" s="316"/>
      <c r="Z390" s="316"/>
      <c r="AA390" s="316"/>
      <c r="AJ390" s="397" t="s">
        <v>614</v>
      </c>
      <c r="AK390" s="545">
        <f t="shared" si="19"/>
        <v>1.1100000000000001</v>
      </c>
      <c r="AL390" s="545">
        <f>ROUND(AVERAGE(AK390,AM390),2)</f>
        <v>1.31</v>
      </c>
      <c r="AM390" s="545">
        <v>1.5</v>
      </c>
      <c r="AO390" s="397" t="s">
        <v>615</v>
      </c>
      <c r="AP390" s="545">
        <v>0.1</v>
      </c>
      <c r="AQ390" s="545">
        <f>ROUND(AVERAGE(AP390,AR390),2)</f>
        <v>0.13</v>
      </c>
      <c r="AR390" s="545">
        <v>0.15</v>
      </c>
    </row>
    <row r="391" spans="1:44" x14ac:dyDescent="0.25">
      <c r="A391" s="388">
        <f>IF('Account Info'!$T$8=TRUE,1,0)</f>
        <v>1</v>
      </c>
      <c r="B391" s="1091"/>
      <c r="C391" s="1092"/>
      <c r="D391" s="320"/>
      <c r="E391" s="320"/>
      <c r="F391" s="320"/>
      <c r="G391" s="320"/>
      <c r="H391" s="320"/>
      <c r="I391" s="464"/>
      <c r="J391" s="464"/>
      <c r="K391" s="464"/>
      <c r="L391" s="464"/>
      <c r="M391" s="1051"/>
      <c r="N391" s="1052"/>
      <c r="O391" s="1052"/>
      <c r="P391" s="1052"/>
      <c r="Q391" s="1052"/>
      <c r="R391" s="1052"/>
      <c r="S391" s="1052"/>
      <c r="T391" s="1053"/>
      <c r="U391" s="322"/>
      <c r="V391" s="340">
        <v>1</v>
      </c>
      <c r="X391" s="316"/>
      <c r="Y391" s="316"/>
      <c r="Z391" s="316"/>
      <c r="AA391" s="316"/>
      <c r="AJ391" s="510" t="s">
        <v>616</v>
      </c>
      <c r="AK391" s="312"/>
      <c r="AL391" s="312"/>
      <c r="AM391" s="312"/>
      <c r="AO391" s="397" t="s">
        <v>617</v>
      </c>
      <c r="AP391" s="545">
        <v>0.2</v>
      </c>
      <c r="AQ391" s="545">
        <f>ROUND(AVERAGE(AP391,AR391),2)</f>
        <v>0.23</v>
      </c>
      <c r="AR391" s="545">
        <v>0.25</v>
      </c>
    </row>
    <row r="392" spans="1:44" x14ac:dyDescent="0.25">
      <c r="A392" s="388">
        <f>IF('Account Info'!$T$8=TRUE,1,0)</f>
        <v>1</v>
      </c>
      <c r="B392" s="1091"/>
      <c r="C392" s="1092"/>
      <c r="D392" s="348" t="s">
        <v>618</v>
      </c>
      <c r="E392" s="349"/>
      <c r="F392" s="439"/>
      <c r="G392" s="439"/>
      <c r="H392" s="453"/>
      <c r="I392" s="361" t="str">
        <f>IF('Account Info'!$AA$4="Range State","Low","")</f>
        <v>Low</v>
      </c>
      <c r="J392" s="361" t="str">
        <f>IF('Account Info'!$AA$4="Range State","Benchmark","Selection")</f>
        <v>Benchmark</v>
      </c>
      <c r="K392" s="361" t="str">
        <f>IF('Account Info'!$AA$4="Range State","High","")</f>
        <v>High</v>
      </c>
      <c r="L392" s="361" t="str">
        <f>IF('Account Info'!$AA$4="Range State","Selection","")</f>
        <v>Selection</v>
      </c>
      <c r="M392" s="440" t="s">
        <v>377</v>
      </c>
      <c r="N392" s="440"/>
      <c r="O392" s="441"/>
      <c r="P392" s="348"/>
      <c r="Q392" s="348"/>
      <c r="R392" s="348"/>
      <c r="S392" s="348"/>
      <c r="T392" s="348"/>
      <c r="U392" s="322"/>
      <c r="V392" s="340">
        <v>1</v>
      </c>
      <c r="X392" s="316"/>
      <c r="Y392" s="316"/>
      <c r="Z392" s="316"/>
      <c r="AA392" s="316"/>
      <c r="AJ392" s="397" t="s">
        <v>417</v>
      </c>
      <c r="AK392" s="545">
        <v>0.8</v>
      </c>
      <c r="AL392" s="545">
        <f>ROUND(AVERAGE(AK392,AM392),2)</f>
        <v>0.9</v>
      </c>
      <c r="AM392" s="545">
        <v>1</v>
      </c>
      <c r="AO392" s="397" t="s">
        <v>619</v>
      </c>
      <c r="AP392" s="545">
        <v>0.3</v>
      </c>
      <c r="AQ392" s="545">
        <f>ROUND(AVERAGE(AP392,AR392),2)</f>
        <v>0.33</v>
      </c>
      <c r="AR392" s="545">
        <v>0.35</v>
      </c>
    </row>
    <row r="393" spans="1:44" x14ac:dyDescent="0.25">
      <c r="A393" s="388">
        <f>IF('Account Info'!$T$8=TRUE,1,0)</f>
        <v>1</v>
      </c>
      <c r="B393" s="1091"/>
      <c r="C393" s="1092"/>
      <c r="D393" s="1054" t="s">
        <v>417</v>
      </c>
      <c r="E393" s="1055"/>
      <c r="F393" s="1055"/>
      <c r="G393" s="1055"/>
      <c r="H393" s="1056"/>
      <c r="I393" s="443">
        <f>IF(D393="","",VLOOKUP(D393,AJ396:AM399,2,FALSE))</f>
        <v>0.75</v>
      </c>
      <c r="J393" s="443">
        <f>IF(D393="","",VLOOKUP(D393,AJ396:AM399,3,FALSE))</f>
        <v>0.88</v>
      </c>
      <c r="K393" s="443">
        <f>IF(D393="","",VLOOKUP(D393,AJ396:AM399,4,FALSE))</f>
        <v>1</v>
      </c>
      <c r="L393" s="454">
        <f>J393</f>
        <v>0.88</v>
      </c>
      <c r="M393" s="1057"/>
      <c r="N393" s="1058"/>
      <c r="O393" s="1058"/>
      <c r="P393" s="1058"/>
      <c r="Q393" s="1058"/>
      <c r="R393" s="1058"/>
      <c r="S393" s="1058"/>
      <c r="T393" s="1059"/>
      <c r="U393" s="322"/>
      <c r="V393" s="340">
        <f>IF('Account Info'!$AA$4="Flat Rate State",IF(J393="",1,J393),IF(L393="",1,L393))</f>
        <v>0.88</v>
      </c>
      <c r="X393" s="316"/>
      <c r="Y393" s="316"/>
      <c r="Z393" s="316"/>
      <c r="AA393" s="316"/>
      <c r="AJ393" s="397" t="s">
        <v>420</v>
      </c>
      <c r="AK393" s="545">
        <f t="shared" ref="AK393:AK394" si="20">AM392+0.01</f>
        <v>1.01</v>
      </c>
      <c r="AL393" s="545">
        <f>ROUND(AVERAGE(AK393,AM393),2)</f>
        <v>1.06</v>
      </c>
      <c r="AM393" s="545">
        <v>1.1000000000000001</v>
      </c>
      <c r="AO393" s="510" t="s">
        <v>620</v>
      </c>
    </row>
    <row r="394" spans="1:44" x14ac:dyDescent="0.25">
      <c r="A394" s="388">
        <f>IF('Account Info'!$T$8=TRUE,1,0)</f>
        <v>1</v>
      </c>
      <c r="B394" s="1091"/>
      <c r="C394" s="1092"/>
      <c r="D394" s="320"/>
      <c r="E394" s="320"/>
      <c r="F394" s="320"/>
      <c r="G394" s="320"/>
      <c r="H394" s="320"/>
      <c r="I394" s="464"/>
      <c r="J394" s="464"/>
      <c r="K394" s="464"/>
      <c r="L394" s="464"/>
      <c r="M394" s="1051"/>
      <c r="N394" s="1052"/>
      <c r="O394" s="1052"/>
      <c r="P394" s="1052"/>
      <c r="Q394" s="1052"/>
      <c r="R394" s="1052"/>
      <c r="S394" s="1052"/>
      <c r="T394" s="1053"/>
      <c r="U394" s="322"/>
      <c r="V394" s="340">
        <v>1</v>
      </c>
      <c r="X394" s="316"/>
      <c r="Y394" s="316"/>
      <c r="Z394" s="316"/>
      <c r="AA394" s="316"/>
      <c r="AJ394" s="397" t="s">
        <v>422</v>
      </c>
      <c r="AK394" s="545">
        <f t="shared" si="20"/>
        <v>1.1100000000000001</v>
      </c>
      <c r="AL394" s="545">
        <f>ROUND(AVERAGE(AK394,AM394),2)</f>
        <v>1.18</v>
      </c>
      <c r="AM394" s="545">
        <v>1.25</v>
      </c>
      <c r="AO394" s="397" t="s">
        <v>613</v>
      </c>
      <c r="AP394" s="545">
        <v>0.01</v>
      </c>
      <c r="AQ394" s="545">
        <f>ROUND(AVERAGE(AP394,AR394),2)</f>
        <v>0.03</v>
      </c>
      <c r="AR394" s="545">
        <v>0.05</v>
      </c>
    </row>
    <row r="395" spans="1:44" x14ac:dyDescent="0.25">
      <c r="A395" s="388">
        <f>IF('Account Info'!$T$8=TRUE,1,0)</f>
        <v>1</v>
      </c>
      <c r="B395" s="1091"/>
      <c r="C395" s="1092"/>
      <c r="D395" s="348" t="s">
        <v>621</v>
      </c>
      <c r="E395" s="349"/>
      <c r="F395" s="439"/>
      <c r="G395" s="439"/>
      <c r="H395" s="453"/>
      <c r="I395" s="361" t="str">
        <f>IF('Account Info'!$AA$4="Range State","Low","")</f>
        <v>Low</v>
      </c>
      <c r="J395" s="361" t="str">
        <f>IF('Account Info'!$AA$4="Range State","Benchmark","Selection")</f>
        <v>Benchmark</v>
      </c>
      <c r="K395" s="361" t="str">
        <f>IF('Account Info'!$AA$4="Range State","High","")</f>
        <v>High</v>
      </c>
      <c r="L395" s="361" t="str">
        <f>IF('Account Info'!$AA$4="Range State","Selection","")</f>
        <v>Selection</v>
      </c>
      <c r="M395" s="440" t="s">
        <v>377</v>
      </c>
      <c r="N395" s="440"/>
      <c r="O395" s="441"/>
      <c r="P395" s="348"/>
      <c r="Q395" s="348"/>
      <c r="R395" s="348"/>
      <c r="S395" s="348"/>
      <c r="T395" s="348"/>
      <c r="U395" s="322"/>
      <c r="V395" s="340">
        <v>1</v>
      </c>
      <c r="X395" s="316"/>
      <c r="Y395" s="316"/>
      <c r="Z395" s="316"/>
      <c r="AA395" s="316"/>
      <c r="AJ395" s="510" t="s">
        <v>622</v>
      </c>
      <c r="AK395" s="312"/>
      <c r="AL395" s="312"/>
      <c r="AM395" s="312"/>
      <c r="AO395" s="397" t="s">
        <v>615</v>
      </c>
      <c r="AP395" s="545">
        <v>0.1</v>
      </c>
      <c r="AQ395" s="545">
        <f>ROUND(AVERAGE(AP395,AR395),2)</f>
        <v>0.13</v>
      </c>
      <c r="AR395" s="545">
        <v>0.15</v>
      </c>
    </row>
    <row r="396" spans="1:44" x14ac:dyDescent="0.25">
      <c r="A396" s="388">
        <f>IF('Account Info'!$T$8=TRUE,1,0)</f>
        <v>1</v>
      </c>
      <c r="B396" s="1091"/>
      <c r="C396" s="1092"/>
      <c r="D396" s="1054" t="s">
        <v>417</v>
      </c>
      <c r="E396" s="1055"/>
      <c r="F396" s="1055"/>
      <c r="G396" s="1055"/>
      <c r="H396" s="1056"/>
      <c r="I396" s="443">
        <f>IF(D396="","",VLOOKUP(D396,AJ401:AM403,2,FALSE))</f>
        <v>0.8</v>
      </c>
      <c r="J396" s="443">
        <f>IF(D396="","",VLOOKUP(D396,AJ401:AM403,3,FALSE))</f>
        <v>0.9</v>
      </c>
      <c r="K396" s="443">
        <f>IF(D396="","",VLOOKUP(D396,AJ401:AM403,4,FALSE))</f>
        <v>1</v>
      </c>
      <c r="L396" s="454">
        <f>J396</f>
        <v>0.9</v>
      </c>
      <c r="M396" s="1057"/>
      <c r="N396" s="1058"/>
      <c r="O396" s="1058"/>
      <c r="P396" s="1058"/>
      <c r="Q396" s="1058"/>
      <c r="R396" s="1058"/>
      <c r="S396" s="1058"/>
      <c r="T396" s="1059"/>
      <c r="U396" s="322"/>
      <c r="V396" s="340">
        <f>IF('Account Info'!$AA$4="Flat Rate State",IF(J396="",1,J396),IF(L396="",1,L396))</f>
        <v>0.9</v>
      </c>
      <c r="X396" s="316"/>
      <c r="Y396" s="316"/>
      <c r="Z396" s="316"/>
      <c r="AA396" s="316"/>
      <c r="AJ396" s="397" t="s">
        <v>417</v>
      </c>
      <c r="AK396" s="545">
        <v>0.75</v>
      </c>
      <c r="AL396" s="545">
        <f>ROUND(AVERAGE(AK396,AM396),2)</f>
        <v>0.88</v>
      </c>
      <c r="AM396" s="545">
        <v>1</v>
      </c>
      <c r="AO396" s="397" t="s">
        <v>617</v>
      </c>
      <c r="AP396" s="545">
        <v>0.2</v>
      </c>
      <c r="AQ396" s="545">
        <f>ROUND(AVERAGE(AP396,AR396),2)</f>
        <v>0.23</v>
      </c>
      <c r="AR396" s="545">
        <v>0.25</v>
      </c>
    </row>
    <row r="397" spans="1:44" x14ac:dyDescent="0.25">
      <c r="A397" s="388">
        <f>IF('Account Info'!$T$8=TRUE,1,0)</f>
        <v>1</v>
      </c>
      <c r="B397" s="1091"/>
      <c r="C397" s="1092"/>
      <c r="D397" s="320"/>
      <c r="E397" s="320"/>
      <c r="F397" s="320"/>
      <c r="G397" s="320"/>
      <c r="H397" s="320"/>
      <c r="I397" s="464"/>
      <c r="J397" s="464"/>
      <c r="K397" s="464"/>
      <c r="L397" s="464"/>
      <c r="M397" s="1051"/>
      <c r="N397" s="1052"/>
      <c r="O397" s="1052"/>
      <c r="P397" s="1052"/>
      <c r="Q397" s="1052"/>
      <c r="R397" s="1052"/>
      <c r="S397" s="1052"/>
      <c r="T397" s="1053"/>
      <c r="U397" s="322"/>
      <c r="V397" s="340">
        <v>1</v>
      </c>
      <c r="X397" s="316"/>
      <c r="Y397" s="316"/>
      <c r="Z397" s="316"/>
      <c r="AA397" s="316"/>
      <c r="AJ397" s="397" t="s">
        <v>418</v>
      </c>
      <c r="AK397" s="545">
        <f t="shared" ref="AK397:AK399" si="21">AM396+0.01</f>
        <v>1.01</v>
      </c>
      <c r="AL397" s="545">
        <f>ROUND(AVERAGE(AK397,AM397),2)</f>
        <v>1.06</v>
      </c>
      <c r="AM397" s="545">
        <v>1.1000000000000001</v>
      </c>
      <c r="AO397" s="397" t="s">
        <v>619</v>
      </c>
      <c r="AP397" s="545">
        <v>0.3</v>
      </c>
      <c r="AQ397" s="545">
        <f>ROUND(AVERAGE(AP397,AR397),2)</f>
        <v>0.33</v>
      </c>
      <c r="AR397" s="545">
        <v>0.35</v>
      </c>
    </row>
    <row r="398" spans="1:44" x14ac:dyDescent="0.25">
      <c r="A398" s="388">
        <f>IF('Account Info'!$T$8=TRUE,1,0)</f>
        <v>1</v>
      </c>
      <c r="B398" s="1091"/>
      <c r="C398" s="1092"/>
      <c r="D398" s="348" t="s">
        <v>623</v>
      </c>
      <c r="E398" s="349"/>
      <c r="F398" s="439"/>
      <c r="G398" s="439"/>
      <c r="H398" s="453"/>
      <c r="I398" s="361" t="str">
        <f>IF('Account Info'!$AA$4="Range State","Low","")</f>
        <v>Low</v>
      </c>
      <c r="J398" s="361" t="str">
        <f>IF('Account Info'!$AA$4="Range State","Benchmark","Selection")</f>
        <v>Benchmark</v>
      </c>
      <c r="K398" s="361" t="str">
        <f>IF('Account Info'!$AA$4="Range State","High","")</f>
        <v>High</v>
      </c>
      <c r="L398" s="361" t="str">
        <f>IF('Account Info'!$AA$4="Range State","Selection","")</f>
        <v>Selection</v>
      </c>
      <c r="M398" s="440" t="s">
        <v>377</v>
      </c>
      <c r="N398" s="440"/>
      <c r="O398" s="441"/>
      <c r="P398" s="348"/>
      <c r="Q398" s="348"/>
      <c r="R398" s="348"/>
      <c r="S398" s="348"/>
      <c r="T398" s="348"/>
      <c r="U398" s="322"/>
      <c r="V398" s="340">
        <v>1</v>
      </c>
      <c r="X398" s="316"/>
      <c r="Y398" s="316"/>
      <c r="Z398" s="316"/>
      <c r="AA398" s="316"/>
      <c r="AJ398" s="397" t="s">
        <v>420</v>
      </c>
      <c r="AK398" s="545">
        <f t="shared" si="21"/>
        <v>1.1100000000000001</v>
      </c>
      <c r="AL398" s="545">
        <f>ROUND(AVERAGE(AK398,AM398),2)</f>
        <v>1.1599999999999999</v>
      </c>
      <c r="AM398" s="545">
        <v>1.2</v>
      </c>
      <c r="AO398" s="510" t="s">
        <v>624</v>
      </c>
    </row>
    <row r="399" spans="1:44" x14ac:dyDescent="0.25">
      <c r="A399" s="388">
        <f>IF('Account Info'!$T$8=TRUE,1,0)</f>
        <v>1</v>
      </c>
      <c r="B399" s="1091"/>
      <c r="C399" s="1092"/>
      <c r="D399" s="1054" t="s">
        <v>585</v>
      </c>
      <c r="E399" s="1055"/>
      <c r="F399" s="1055"/>
      <c r="G399" s="1055"/>
      <c r="H399" s="1056"/>
      <c r="I399" s="443">
        <f>IF(D399="","",VLOOKUP(D399,AJ405:AM407,2,FALSE))</f>
        <v>0.8</v>
      </c>
      <c r="J399" s="443">
        <f>IF(D399="","",VLOOKUP(D399,AJ405:AM407,3,FALSE))</f>
        <v>0.85</v>
      </c>
      <c r="K399" s="443">
        <f>IF(D399="","",VLOOKUP(D399,AJ405:AM407,4,FALSE))</f>
        <v>0.9</v>
      </c>
      <c r="L399" s="454">
        <f>J399</f>
        <v>0.85</v>
      </c>
      <c r="M399" s="1057"/>
      <c r="N399" s="1058"/>
      <c r="O399" s="1058"/>
      <c r="P399" s="1058"/>
      <c r="Q399" s="1058"/>
      <c r="R399" s="1058"/>
      <c r="S399" s="1058"/>
      <c r="T399" s="1059"/>
      <c r="U399" s="322"/>
      <c r="V399" s="340">
        <f>IF('Account Info'!$AA$4="Flat Rate State",IF(J399="",1,J399),IF(L399="",1,L399))</f>
        <v>0.85</v>
      </c>
      <c r="X399" s="316"/>
      <c r="Y399" s="316"/>
      <c r="Z399" s="316"/>
      <c r="AA399" s="316"/>
      <c r="AJ399" s="397" t="s">
        <v>422</v>
      </c>
      <c r="AK399" s="545">
        <f t="shared" si="21"/>
        <v>1.21</v>
      </c>
      <c r="AL399" s="545">
        <f>ROUND(AVERAGE(AK399,AM399),2)</f>
        <v>1.36</v>
      </c>
      <c r="AM399" s="545">
        <v>1.5</v>
      </c>
      <c r="AO399" s="397" t="s">
        <v>613</v>
      </c>
      <c r="AP399" s="545">
        <v>0.01</v>
      </c>
      <c r="AQ399" s="545">
        <f>ROUND(AVERAGE(AP399,AR399),2)</f>
        <v>0.03</v>
      </c>
      <c r="AR399" s="545">
        <v>0.05</v>
      </c>
    </row>
    <row r="400" spans="1:44" x14ac:dyDescent="0.25">
      <c r="A400" s="388">
        <f>IF('Account Info'!$T$8=TRUE,1,0)</f>
        <v>1</v>
      </c>
      <c r="B400" s="1091"/>
      <c r="C400" s="1092"/>
      <c r="D400" s="320"/>
      <c r="E400" s="320"/>
      <c r="F400" s="320"/>
      <c r="G400" s="320"/>
      <c r="H400" s="320"/>
      <c r="I400" s="464"/>
      <c r="J400" s="464"/>
      <c r="K400" s="464"/>
      <c r="L400" s="464"/>
      <c r="M400" s="1051"/>
      <c r="N400" s="1052"/>
      <c r="O400" s="1052"/>
      <c r="P400" s="1052"/>
      <c r="Q400" s="1052"/>
      <c r="R400" s="1052"/>
      <c r="S400" s="1052"/>
      <c r="T400" s="1053"/>
      <c r="U400" s="322"/>
      <c r="V400" s="340">
        <v>1</v>
      </c>
      <c r="X400" s="316"/>
      <c r="Y400" s="316"/>
      <c r="Z400" s="316"/>
      <c r="AA400" s="316"/>
      <c r="AJ400" s="510" t="s">
        <v>621</v>
      </c>
      <c r="AK400" s="312"/>
      <c r="AL400" s="312"/>
      <c r="AM400" s="312"/>
      <c r="AO400" s="397" t="s">
        <v>615</v>
      </c>
      <c r="AP400" s="545">
        <v>0.06</v>
      </c>
      <c r="AQ400" s="545">
        <f>ROUND(AVERAGE(AP400,AR400),2)</f>
        <v>0.08</v>
      </c>
      <c r="AR400" s="545">
        <v>0.1</v>
      </c>
    </row>
    <row r="401" spans="1:51" x14ac:dyDescent="0.25">
      <c r="A401" s="388">
        <f>IF('Account Info'!$T$8=TRUE,1,0)</f>
        <v>1</v>
      </c>
      <c r="B401" s="1091"/>
      <c r="C401" s="1092"/>
      <c r="D401" s="348" t="s">
        <v>625</v>
      </c>
      <c r="E401" s="349"/>
      <c r="F401" s="439"/>
      <c r="G401" s="439"/>
      <c r="H401" s="453"/>
      <c r="I401" s="361" t="str">
        <f>IF('Account Info'!$AA$4="Range State","Low","")</f>
        <v>Low</v>
      </c>
      <c r="J401" s="361" t="str">
        <f>IF('Account Info'!$AA$4="Range State","Benchmark","Selection")</f>
        <v>Benchmark</v>
      </c>
      <c r="K401" s="361" t="str">
        <f>IF('Account Info'!$AA$4="Range State","High","")</f>
        <v>High</v>
      </c>
      <c r="L401" s="361" t="str">
        <f>IF('Account Info'!$AA$4="Range State","Selection","")</f>
        <v>Selection</v>
      </c>
      <c r="M401" s="440" t="s">
        <v>377</v>
      </c>
      <c r="N401" s="440"/>
      <c r="O401" s="441"/>
      <c r="P401" s="348"/>
      <c r="Q401" s="348"/>
      <c r="R401" s="348"/>
      <c r="S401" s="348"/>
      <c r="T401" s="348"/>
      <c r="U401" s="322"/>
      <c r="V401" s="340">
        <v>1</v>
      </c>
      <c r="X401" s="316"/>
      <c r="Y401" s="316"/>
      <c r="Z401" s="316"/>
      <c r="AA401" s="316"/>
      <c r="AJ401" s="397" t="s">
        <v>417</v>
      </c>
      <c r="AK401" s="545">
        <v>0.8</v>
      </c>
      <c r="AL401" s="545">
        <f>ROUND(AVERAGE(AK401,AM401),2)</f>
        <v>0.9</v>
      </c>
      <c r="AM401" s="545">
        <v>1</v>
      </c>
      <c r="AO401" s="397" t="s">
        <v>617</v>
      </c>
      <c r="AP401" s="545">
        <v>0.11</v>
      </c>
      <c r="AQ401" s="545">
        <f>ROUND(AVERAGE(AP401,AR401),2)</f>
        <v>0.13</v>
      </c>
      <c r="AR401" s="545">
        <v>0.15</v>
      </c>
    </row>
    <row r="402" spans="1:51" x14ac:dyDescent="0.25">
      <c r="A402" s="388">
        <f>IF('Account Info'!$T$8=TRUE,1,0)</f>
        <v>1</v>
      </c>
      <c r="B402" s="1091"/>
      <c r="C402" s="1092"/>
      <c r="D402" s="1054" t="s">
        <v>417</v>
      </c>
      <c r="E402" s="1055"/>
      <c r="F402" s="1055"/>
      <c r="G402" s="1055"/>
      <c r="H402" s="1056"/>
      <c r="I402" s="443">
        <f>IF(D402="","",VLOOKUP(D402,AJ409:AM411,2,FALSE))</f>
        <v>0.8</v>
      </c>
      <c r="J402" s="443">
        <f>IF(D402="","",VLOOKUP(D402,AJ409:AM411,3,FALSE))</f>
        <v>0.9</v>
      </c>
      <c r="K402" s="443">
        <f>IF(D402="","",VLOOKUP(D402,AJ409:AM411,4,FALSE))</f>
        <v>1</v>
      </c>
      <c r="L402" s="454">
        <f>J402</f>
        <v>0.9</v>
      </c>
      <c r="M402" s="1057"/>
      <c r="N402" s="1058"/>
      <c r="O402" s="1058"/>
      <c r="P402" s="1058"/>
      <c r="Q402" s="1058"/>
      <c r="R402" s="1058"/>
      <c r="S402" s="1058"/>
      <c r="T402" s="1059"/>
      <c r="U402" s="322"/>
      <c r="V402" s="340">
        <f>IF('Account Info'!$AA$4="Flat Rate State",IF(J402="",1,J402),IF(L402="",1,L402))</f>
        <v>0.9</v>
      </c>
      <c r="X402" s="316"/>
      <c r="Y402" s="316"/>
      <c r="Z402" s="316"/>
      <c r="AA402" s="316"/>
      <c r="AJ402" s="397" t="s">
        <v>420</v>
      </c>
      <c r="AK402" s="545">
        <f t="shared" ref="AK402" si="22">AM401+0.01</f>
        <v>1.01</v>
      </c>
      <c r="AL402" s="545">
        <f>ROUND(AVERAGE(AK402,AM402),2)</f>
        <v>1.06</v>
      </c>
      <c r="AM402" s="545">
        <v>1.1000000000000001</v>
      </c>
      <c r="AO402" s="397" t="s">
        <v>619</v>
      </c>
      <c r="AP402" s="545">
        <v>0.16</v>
      </c>
      <c r="AQ402" s="545">
        <f>ROUND(AVERAGE(AP402,AR402),2)</f>
        <v>0.18</v>
      </c>
      <c r="AR402" s="545">
        <v>0.2</v>
      </c>
    </row>
    <row r="403" spans="1:51" x14ac:dyDescent="0.25">
      <c r="A403" s="388">
        <f>IF('Account Info'!$T$8=TRUE,1,0)</f>
        <v>1</v>
      </c>
      <c r="B403" s="1091"/>
      <c r="C403" s="1092"/>
      <c r="D403" s="546"/>
      <c r="E403" s="547"/>
      <c r="F403" s="547"/>
      <c r="G403" s="547"/>
      <c r="H403" s="547"/>
      <c r="I403" s="463"/>
      <c r="J403" s="463"/>
      <c r="K403" s="463"/>
      <c r="L403" s="548"/>
      <c r="M403" s="1051"/>
      <c r="N403" s="1052"/>
      <c r="O403" s="1052"/>
      <c r="P403" s="1052"/>
      <c r="Q403" s="1052"/>
      <c r="R403" s="1052"/>
      <c r="S403" s="1052"/>
      <c r="T403" s="1053"/>
      <c r="U403" s="322"/>
      <c r="V403" s="340">
        <v>1</v>
      </c>
      <c r="X403" s="316"/>
      <c r="Y403" s="316"/>
      <c r="Z403" s="316"/>
      <c r="AA403" s="316"/>
      <c r="AJ403" s="397" t="s">
        <v>422</v>
      </c>
      <c r="AK403" s="545">
        <f>AM402+0.01</f>
        <v>1.1100000000000001</v>
      </c>
      <c r="AL403" s="545">
        <f>ROUND(AVERAGE(AK403,AM403),2)</f>
        <v>1.18</v>
      </c>
      <c r="AM403" s="545">
        <v>1.25</v>
      </c>
      <c r="AO403" s="510" t="s">
        <v>626</v>
      </c>
    </row>
    <row r="404" spans="1:51" x14ac:dyDescent="0.25">
      <c r="A404" s="388">
        <f>IF('Account Info'!$T$8=TRUE,1,0)</f>
        <v>1</v>
      </c>
      <c r="B404" s="1091"/>
      <c r="C404" s="1092"/>
      <c r="D404" s="348" t="s">
        <v>627</v>
      </c>
      <c r="E404" s="349"/>
      <c r="F404" s="439"/>
      <c r="G404" s="439"/>
      <c r="H404" s="453"/>
      <c r="I404" s="361" t="str">
        <f>IF('Account Info'!$AA$4="Range State","Low","")</f>
        <v>Low</v>
      </c>
      <c r="J404" s="361" t="str">
        <f>IF('Account Info'!$AA$4="Range State","Benchmark","Selection")</f>
        <v>Benchmark</v>
      </c>
      <c r="K404" s="361" t="str">
        <f>IF('Account Info'!$AA$4="Range State","High","")</f>
        <v>High</v>
      </c>
      <c r="L404" s="361" t="str">
        <f>IF('Account Info'!$AA$4="Range State","Selection","")</f>
        <v>Selection</v>
      </c>
      <c r="M404" s="440" t="s">
        <v>377</v>
      </c>
      <c r="N404" s="440"/>
      <c r="O404" s="441"/>
      <c r="P404" s="348"/>
      <c r="Q404" s="348"/>
      <c r="R404" s="348"/>
      <c r="S404" s="348"/>
      <c r="T404" s="348"/>
      <c r="U404" s="322"/>
      <c r="V404" s="340">
        <v>1</v>
      </c>
      <c r="X404" s="316"/>
      <c r="Y404" s="316"/>
      <c r="Z404" s="316"/>
      <c r="AA404" s="316"/>
      <c r="AJ404" s="510" t="s">
        <v>623</v>
      </c>
      <c r="AK404" s="312"/>
      <c r="AL404" s="312"/>
      <c r="AM404" s="312"/>
      <c r="AO404" s="397" t="s">
        <v>613</v>
      </c>
      <c r="AP404" s="545">
        <v>0.01</v>
      </c>
      <c r="AQ404" s="545">
        <f>ROUND(AVERAGE(AP404,AR404),2)</f>
        <v>0.03</v>
      </c>
      <c r="AR404" s="545">
        <v>0.05</v>
      </c>
    </row>
    <row r="405" spans="1:51" x14ac:dyDescent="0.25">
      <c r="A405" s="388">
        <f>IF('Account Info'!$T$8=TRUE,1,0)</f>
        <v>1</v>
      </c>
      <c r="B405" s="1091"/>
      <c r="C405" s="1092"/>
      <c r="D405" s="1054" t="s">
        <v>585</v>
      </c>
      <c r="E405" s="1055"/>
      <c r="F405" s="1055"/>
      <c r="G405" s="1055"/>
      <c r="H405" s="1056"/>
      <c r="I405" s="443">
        <f>IF(D405="","",VLOOKUP(D405,AJ413:AM415,2,FALSE))</f>
        <v>0.6</v>
      </c>
      <c r="J405" s="443">
        <f>IF(D405="","",VLOOKUP(D405,AJ413:AM415,3,FALSE))</f>
        <v>0.8</v>
      </c>
      <c r="K405" s="443">
        <f>IF(D405="","",VLOOKUP(D405,AJ413:AM415,4,FALSE))</f>
        <v>1</v>
      </c>
      <c r="L405" s="454">
        <f>J405</f>
        <v>0.8</v>
      </c>
      <c r="M405" s="1057"/>
      <c r="N405" s="1058"/>
      <c r="O405" s="1058"/>
      <c r="P405" s="1058"/>
      <c r="Q405" s="1058"/>
      <c r="R405" s="1058"/>
      <c r="S405" s="1058"/>
      <c r="T405" s="1059"/>
      <c r="U405" s="322"/>
      <c r="V405" s="340">
        <f>IF('Account Info'!$AA$4="Flat Rate State",IF(J405="",1,J405),IF(L405="",1,L405))</f>
        <v>0.8</v>
      </c>
      <c r="X405" s="316"/>
      <c r="Y405" s="316"/>
      <c r="Z405" s="316"/>
      <c r="AA405" s="316"/>
      <c r="AJ405" s="397" t="s">
        <v>585</v>
      </c>
      <c r="AK405" s="545">
        <v>0.8</v>
      </c>
      <c r="AL405" s="545">
        <f>ROUND(AVERAGE(AK405,AM405),2)</f>
        <v>0.85</v>
      </c>
      <c r="AM405" s="545">
        <v>0.9</v>
      </c>
      <c r="AO405" s="397" t="s">
        <v>615</v>
      </c>
      <c r="AP405" s="545">
        <v>0.1</v>
      </c>
      <c r="AQ405" s="545">
        <f>ROUND(AVERAGE(AP405,AR405),2)</f>
        <v>0.13</v>
      </c>
      <c r="AR405" s="545">
        <v>0.15</v>
      </c>
    </row>
    <row r="406" spans="1:51" x14ac:dyDescent="0.25">
      <c r="A406" s="388">
        <f>IF('Account Info'!$T$8=TRUE,1,0)</f>
        <v>1</v>
      </c>
      <c r="B406" s="1091"/>
      <c r="C406" s="1092"/>
      <c r="D406" s="546"/>
      <c r="E406" s="547"/>
      <c r="F406" s="547"/>
      <c r="G406" s="547"/>
      <c r="H406" s="547"/>
      <c r="I406" s="463"/>
      <c r="J406" s="463"/>
      <c r="K406" s="463"/>
      <c r="L406" s="548"/>
      <c r="M406" s="1051"/>
      <c r="N406" s="1052"/>
      <c r="O406" s="1052"/>
      <c r="P406" s="1052"/>
      <c r="Q406" s="1052"/>
      <c r="R406" s="1052"/>
      <c r="S406" s="1052"/>
      <c r="T406" s="1053"/>
      <c r="U406" s="322"/>
      <c r="V406" s="340">
        <v>1</v>
      </c>
      <c r="X406" s="316"/>
      <c r="Y406" s="316"/>
      <c r="Z406" s="316"/>
      <c r="AA406" s="316"/>
      <c r="AJ406" s="397" t="s">
        <v>586</v>
      </c>
      <c r="AK406" s="545">
        <f>AM405+0.01</f>
        <v>0.91</v>
      </c>
      <c r="AL406" s="545">
        <f>ROUND(AVERAGE(AK406,AM406),2)</f>
        <v>1.01</v>
      </c>
      <c r="AM406" s="545">
        <v>1.1000000000000001</v>
      </c>
      <c r="AO406" s="397" t="s">
        <v>617</v>
      </c>
      <c r="AP406" s="545">
        <v>0.2</v>
      </c>
      <c r="AQ406" s="545">
        <f>ROUND(AVERAGE(AP406,AR406),2)</f>
        <v>0.23</v>
      </c>
      <c r="AR406" s="545">
        <v>0.25</v>
      </c>
    </row>
    <row r="407" spans="1:51" x14ac:dyDescent="0.25">
      <c r="A407" s="388">
        <f>IF('Account Info'!$T$8=TRUE,1,0)</f>
        <v>1</v>
      </c>
      <c r="B407" s="1091"/>
      <c r="C407" s="1092"/>
      <c r="D407" s="348" t="s">
        <v>628</v>
      </c>
      <c r="E407" s="349"/>
      <c r="F407" s="439"/>
      <c r="G407" s="439"/>
      <c r="H407" s="453"/>
      <c r="I407" s="361" t="str">
        <f>IF('Account Info'!$AA$4="Range State","Low","")</f>
        <v>Low</v>
      </c>
      <c r="J407" s="361" t="str">
        <f>IF('Account Info'!$AA$4="Range State","Benchmark","Selection")</f>
        <v>Benchmark</v>
      </c>
      <c r="K407" s="361" t="str">
        <f>IF('Account Info'!$AA$4="Range State","High","")</f>
        <v>High</v>
      </c>
      <c r="L407" s="361" t="str">
        <f>IF('Account Info'!$AA$4="Range State","Selection","")</f>
        <v>Selection</v>
      </c>
      <c r="M407" s="440" t="s">
        <v>377</v>
      </c>
      <c r="N407" s="440"/>
      <c r="O407" s="441"/>
      <c r="P407" s="348"/>
      <c r="Q407" s="348"/>
      <c r="R407" s="348"/>
      <c r="S407" s="348"/>
      <c r="T407" s="348"/>
      <c r="U407" s="322"/>
      <c r="V407" s="340">
        <v>1</v>
      </c>
      <c r="X407" s="316"/>
      <c r="Y407" s="316"/>
      <c r="Z407" s="316"/>
      <c r="AA407" s="316"/>
      <c r="AJ407" s="397" t="s">
        <v>589</v>
      </c>
      <c r="AK407" s="545">
        <f t="shared" ref="AK407" si="23">AM406+0.01</f>
        <v>1.1100000000000001</v>
      </c>
      <c r="AL407" s="545">
        <f>ROUND(AVERAGE(AK407,AM407),2)</f>
        <v>1.18</v>
      </c>
      <c r="AM407" s="545">
        <v>1.25</v>
      </c>
      <c r="AO407" s="397" t="s">
        <v>619</v>
      </c>
      <c r="AP407" s="545">
        <v>0.26</v>
      </c>
      <c r="AQ407" s="545">
        <f>ROUND(AVERAGE(AP407,AR407),2)</f>
        <v>0.28000000000000003</v>
      </c>
      <c r="AR407" s="545">
        <v>0.3</v>
      </c>
      <c r="AT407" s="510" t="s">
        <v>629</v>
      </c>
    </row>
    <row r="408" spans="1:51" x14ac:dyDescent="0.25">
      <c r="A408" s="388">
        <f>IF('Account Info'!$T$8=TRUE,1,0)</f>
        <v>1</v>
      </c>
      <c r="B408" s="1091"/>
      <c r="C408" s="1092"/>
      <c r="D408" s="1054" t="s">
        <v>586</v>
      </c>
      <c r="E408" s="1055"/>
      <c r="F408" s="1055"/>
      <c r="G408" s="1055"/>
      <c r="H408" s="1056"/>
      <c r="I408" s="443">
        <f>IF(D408="","",VLOOKUP(D408,AJ417:AM419,2,FALSE))</f>
        <v>1.01</v>
      </c>
      <c r="J408" s="443">
        <f>IF(D408="","",VLOOKUP(D408,AJ417:AM419,3,FALSE))</f>
        <v>1.06</v>
      </c>
      <c r="K408" s="443">
        <f>IF(D408="","",VLOOKUP(D408,AJ417:AM419,4,FALSE))</f>
        <v>1.1000000000000001</v>
      </c>
      <c r="L408" s="454">
        <f>J408</f>
        <v>1.06</v>
      </c>
      <c r="M408" s="1057"/>
      <c r="N408" s="1058"/>
      <c r="O408" s="1058"/>
      <c r="P408" s="1058"/>
      <c r="Q408" s="1058"/>
      <c r="R408" s="1058"/>
      <c r="S408" s="1058"/>
      <c r="T408" s="1059"/>
      <c r="U408" s="322"/>
      <c r="V408" s="340">
        <f>IF('Account Info'!$AA$4="Flat Rate State",IF(J408="",1,J408),IF(L408="",1,L408))</f>
        <v>1.06</v>
      </c>
      <c r="X408" s="316"/>
      <c r="Y408" s="316"/>
      <c r="Z408" s="316"/>
      <c r="AA408" s="316"/>
      <c r="AJ408" s="510" t="s">
        <v>625</v>
      </c>
      <c r="AK408" s="312"/>
      <c r="AL408" s="312"/>
      <c r="AM408" s="312"/>
      <c r="AO408" s="510" t="s">
        <v>630</v>
      </c>
      <c r="AT408" s="397">
        <v>1</v>
      </c>
      <c r="AU408" s="545">
        <v>2</v>
      </c>
      <c r="AV408" s="397">
        <v>2</v>
      </c>
      <c r="AW408" s="545">
        <v>1.75</v>
      </c>
      <c r="AX408" s="410">
        <f>VLOOKUP(AX410,AT408:AW417,1,TRUE)</f>
        <v>8</v>
      </c>
      <c r="AY408" s="545">
        <f>VLOOKUP(AX408,AT408:AU417,2,FALSE)</f>
        <v>1</v>
      </c>
    </row>
    <row r="409" spans="1:51" x14ac:dyDescent="0.25">
      <c r="A409" s="388">
        <f>IF('Account Info'!$T$8=TRUE,1,0)</f>
        <v>1</v>
      </c>
      <c r="B409" s="1091"/>
      <c r="C409" s="1092"/>
      <c r="D409" s="546"/>
      <c r="E409" s="547"/>
      <c r="F409" s="547"/>
      <c r="G409" s="547"/>
      <c r="H409" s="547"/>
      <c r="I409" s="463"/>
      <c r="J409" s="463"/>
      <c r="K409" s="463"/>
      <c r="L409" s="548"/>
      <c r="M409" s="1051"/>
      <c r="N409" s="1052"/>
      <c r="O409" s="1052"/>
      <c r="P409" s="1052"/>
      <c r="Q409" s="1052"/>
      <c r="R409" s="1052"/>
      <c r="S409" s="1052"/>
      <c r="T409" s="1053"/>
      <c r="U409" s="322"/>
      <c r="V409" s="340">
        <v>1</v>
      </c>
      <c r="X409" s="316"/>
      <c r="Y409" s="316"/>
      <c r="Z409" s="316"/>
      <c r="AA409" s="316"/>
      <c r="AJ409" s="397" t="s">
        <v>417</v>
      </c>
      <c r="AK409" s="545">
        <v>0.8</v>
      </c>
      <c r="AL409" s="545">
        <f>ROUND(AVERAGE(AK409,AM409),2)</f>
        <v>0.9</v>
      </c>
      <c r="AM409" s="545">
        <v>1</v>
      </c>
      <c r="AO409" s="397" t="s">
        <v>613</v>
      </c>
      <c r="AP409" s="545">
        <v>0.01</v>
      </c>
      <c r="AQ409" s="545">
        <f>ROUND(AVERAGE(AP409,AR409),2)</f>
        <v>0.06</v>
      </c>
      <c r="AR409" s="545">
        <v>0.1</v>
      </c>
      <c r="AT409" s="397">
        <v>2</v>
      </c>
      <c r="AU409" s="545">
        <v>1.75</v>
      </c>
      <c r="AV409" s="397">
        <v>4</v>
      </c>
      <c r="AW409" s="545">
        <v>1.5</v>
      </c>
      <c r="AX409" s="422"/>
      <c r="AY409" s="312"/>
    </row>
    <row r="410" spans="1:51" x14ac:dyDescent="0.25">
      <c r="A410" s="388">
        <f>IF('Account Info'!$T$8=TRUE,1,0)</f>
        <v>1</v>
      </c>
      <c r="B410" s="1091"/>
      <c r="C410" s="1092"/>
      <c r="D410" s="348" t="s">
        <v>631</v>
      </c>
      <c r="E410" s="349"/>
      <c r="F410" s="439"/>
      <c r="G410" s="439"/>
      <c r="H410" s="453"/>
      <c r="I410" s="361" t="str">
        <f>IF('Account Info'!$AA$4="Range State","Low","")</f>
        <v>Low</v>
      </c>
      <c r="J410" s="361" t="str">
        <f>IF('Account Info'!$AA$4="Range State","Benchmark","Selection")</f>
        <v>Benchmark</v>
      </c>
      <c r="K410" s="361" t="str">
        <f>IF('Account Info'!$AA$4="Range State","High","")</f>
        <v>High</v>
      </c>
      <c r="L410" s="361" t="str">
        <f>IF('Account Info'!$AA$4="Range State","Selection","")</f>
        <v>Selection</v>
      </c>
      <c r="M410" s="440" t="s">
        <v>377</v>
      </c>
      <c r="N410" s="440"/>
      <c r="O410" s="441"/>
      <c r="P410" s="348"/>
      <c r="Q410" s="348"/>
      <c r="R410" s="348"/>
      <c r="S410" s="348"/>
      <c r="T410" s="348"/>
      <c r="U410" s="322"/>
      <c r="V410" s="340">
        <v>1</v>
      </c>
      <c r="X410" s="316"/>
      <c r="Y410" s="316"/>
      <c r="Z410" s="316"/>
      <c r="AA410" s="316"/>
      <c r="AJ410" s="397" t="s">
        <v>420</v>
      </c>
      <c r="AK410" s="545">
        <f t="shared" ref="AK410:AK411" si="24">AM409+0.01</f>
        <v>1.01</v>
      </c>
      <c r="AL410" s="545">
        <f>ROUND(AVERAGE(AK410,AM410),2)</f>
        <v>1.06</v>
      </c>
      <c r="AM410" s="545">
        <v>1.1000000000000001</v>
      </c>
      <c r="AO410" s="397" t="s">
        <v>615</v>
      </c>
      <c r="AP410" s="545">
        <v>0.25</v>
      </c>
      <c r="AQ410" s="545">
        <f>ROUND(AVERAGE(AP410,AR410),2)</f>
        <v>0.38</v>
      </c>
      <c r="AR410" s="545">
        <v>0.5</v>
      </c>
      <c r="AT410" s="397">
        <v>4</v>
      </c>
      <c r="AU410" s="545">
        <v>1.5</v>
      </c>
      <c r="AV410" s="397">
        <v>6</v>
      </c>
      <c r="AW410" s="545">
        <v>1.25</v>
      </c>
      <c r="AX410" s="410">
        <f>H464</f>
        <v>8</v>
      </c>
      <c r="AY410" s="545">
        <f>(((AX410-AX408)/(AX412-AX408))*(AY412-AY408))+AY408</f>
        <v>1</v>
      </c>
    </row>
    <row r="411" spans="1:51" x14ac:dyDescent="0.25">
      <c r="A411" s="388">
        <f>IF('Account Info'!$T$8=TRUE,1,0)</f>
        <v>1</v>
      </c>
      <c r="B411" s="1091"/>
      <c r="C411" s="1092"/>
      <c r="D411" s="1054" t="s">
        <v>586</v>
      </c>
      <c r="E411" s="1055"/>
      <c r="F411" s="1055"/>
      <c r="G411" s="1055"/>
      <c r="H411" s="1056"/>
      <c r="I411" s="443">
        <f>IF(D411="","",VLOOKUP(D411,AJ421:AM423,2,FALSE))</f>
        <v>1.01</v>
      </c>
      <c r="J411" s="443">
        <f>IF(D411="","",VLOOKUP(D411,AJ421:AM423,3,FALSE))</f>
        <v>1.06</v>
      </c>
      <c r="K411" s="443">
        <f>IF(D411="","",VLOOKUP(D411,AJ421:AM423,4,FALSE))</f>
        <v>1.1000000000000001</v>
      </c>
      <c r="L411" s="454">
        <f>J411</f>
        <v>1.06</v>
      </c>
      <c r="M411" s="1057"/>
      <c r="N411" s="1058"/>
      <c r="O411" s="1058"/>
      <c r="P411" s="1058"/>
      <c r="Q411" s="1058"/>
      <c r="R411" s="1058"/>
      <c r="S411" s="1058"/>
      <c r="T411" s="1059"/>
      <c r="U411" s="322"/>
      <c r="V411" s="340">
        <f>IF('Account Info'!$AA$4="Flat Rate State",IF(J411="",1,J411),IF(L411="",1,L411))</f>
        <v>1.06</v>
      </c>
      <c r="X411" s="316"/>
      <c r="Y411" s="316"/>
      <c r="Z411" s="316"/>
      <c r="AA411" s="316"/>
      <c r="AJ411" s="397" t="s">
        <v>422</v>
      </c>
      <c r="AK411" s="545">
        <f t="shared" si="24"/>
        <v>1.1100000000000001</v>
      </c>
      <c r="AL411" s="545">
        <f>ROUND(AVERAGE(AK411,AM411),2)</f>
        <v>1.18</v>
      </c>
      <c r="AM411" s="545">
        <v>1.25</v>
      </c>
      <c r="AO411" s="397" t="s">
        <v>617</v>
      </c>
      <c r="AP411" s="545">
        <v>0.75</v>
      </c>
      <c r="AQ411" s="545">
        <f>ROUND(AVERAGE(AP411,AR411),2)</f>
        <v>0.88</v>
      </c>
      <c r="AR411" s="545">
        <v>1</v>
      </c>
      <c r="AT411" s="397">
        <v>6</v>
      </c>
      <c r="AU411" s="545">
        <v>1.25</v>
      </c>
      <c r="AV411" s="397">
        <v>8</v>
      </c>
      <c r="AW411" s="545">
        <v>1</v>
      </c>
      <c r="AX411" s="422"/>
      <c r="AY411" s="312"/>
    </row>
    <row r="412" spans="1:51" x14ac:dyDescent="0.25">
      <c r="A412" s="388">
        <f>IF('Account Info'!$T$8=TRUE,1,0)</f>
        <v>1</v>
      </c>
      <c r="B412" s="1091"/>
      <c r="C412" s="1092"/>
      <c r="D412" s="546"/>
      <c r="E412" s="547"/>
      <c r="F412" s="547"/>
      <c r="G412" s="547"/>
      <c r="H412" s="547"/>
      <c r="I412" s="463"/>
      <c r="J412" s="463"/>
      <c r="K412" s="463"/>
      <c r="L412" s="548"/>
      <c r="M412" s="1051"/>
      <c r="N412" s="1052"/>
      <c r="O412" s="1052"/>
      <c r="P412" s="1052"/>
      <c r="Q412" s="1052"/>
      <c r="R412" s="1052"/>
      <c r="S412" s="1052"/>
      <c r="T412" s="1053"/>
      <c r="U412" s="322"/>
      <c r="V412" s="340">
        <v>1</v>
      </c>
      <c r="X412" s="316"/>
      <c r="Y412" s="316"/>
      <c r="Z412" s="316"/>
      <c r="AA412" s="316"/>
      <c r="AJ412" s="510" t="s">
        <v>632</v>
      </c>
      <c r="AK412" s="312"/>
      <c r="AL412" s="312"/>
      <c r="AM412" s="312"/>
      <c r="AO412" s="397" t="s">
        <v>619</v>
      </c>
      <c r="AP412" s="545">
        <v>1.25</v>
      </c>
      <c r="AQ412" s="545">
        <f>ROUND(AVERAGE(AP412,AR412),2)</f>
        <v>1.38</v>
      </c>
      <c r="AR412" s="545">
        <v>1.5</v>
      </c>
      <c r="AT412" s="397">
        <v>8</v>
      </c>
      <c r="AU412" s="545">
        <v>1</v>
      </c>
      <c r="AV412" s="397">
        <v>10</v>
      </c>
      <c r="AW412" s="545">
        <v>0.9</v>
      </c>
      <c r="AX412" s="410">
        <f>VLOOKUP(AX410,AT408:AW417,3,TRUE)</f>
        <v>10</v>
      </c>
      <c r="AY412" s="545">
        <f>IF(AX412=0,2,VLOOKUP(AX412,AT408:AU417,2,FALSE))</f>
        <v>0.9</v>
      </c>
    </row>
    <row r="413" spans="1:51" x14ac:dyDescent="0.25">
      <c r="A413" s="388">
        <f>IF('Account Info'!$T$8=TRUE,1,0)</f>
        <v>1</v>
      </c>
      <c r="B413" s="1091"/>
      <c r="C413" s="1092"/>
      <c r="D413" s="348" t="s">
        <v>633</v>
      </c>
      <c r="E413" s="349"/>
      <c r="F413" s="439"/>
      <c r="G413" s="439"/>
      <c r="H413" s="453"/>
      <c r="I413" s="361" t="str">
        <f>IF('Account Info'!$AA$4="Range State","Low","")</f>
        <v>Low</v>
      </c>
      <c r="J413" s="361" t="str">
        <f>IF('Account Info'!$AA$4="Range State","Benchmark","Selection")</f>
        <v>Benchmark</v>
      </c>
      <c r="K413" s="361" t="str">
        <f>IF('Account Info'!$AA$4="Range State","High","")</f>
        <v>High</v>
      </c>
      <c r="L413" s="361" t="str">
        <f>IF('Account Info'!$AA$4="Range State","Selection","")</f>
        <v>Selection</v>
      </c>
      <c r="M413" s="440" t="s">
        <v>377</v>
      </c>
      <c r="N413" s="440"/>
      <c r="O413" s="441"/>
      <c r="P413" s="348"/>
      <c r="Q413" s="348"/>
      <c r="R413" s="348"/>
      <c r="S413" s="348"/>
      <c r="T413" s="348"/>
      <c r="U413" s="322"/>
      <c r="V413" s="340">
        <v>1</v>
      </c>
      <c r="X413" s="316"/>
      <c r="Y413" s="316"/>
      <c r="Z413" s="316"/>
      <c r="AA413" s="316"/>
      <c r="AJ413" s="397" t="s">
        <v>585</v>
      </c>
      <c r="AK413" s="545">
        <v>0.6</v>
      </c>
      <c r="AL413" s="545">
        <f>ROUND(AVERAGE(AK413,AM413),2)</f>
        <v>0.8</v>
      </c>
      <c r="AM413" s="545">
        <v>1</v>
      </c>
      <c r="AO413" s="510" t="s">
        <v>634</v>
      </c>
      <c r="AT413" s="397">
        <v>10</v>
      </c>
      <c r="AU413" s="545">
        <v>0.9</v>
      </c>
      <c r="AV413" s="397">
        <v>12</v>
      </c>
      <c r="AW413" s="545">
        <v>0.8</v>
      </c>
      <c r="AY413" s="312"/>
    </row>
    <row r="414" spans="1:51" x14ac:dyDescent="0.25">
      <c r="A414" s="388">
        <f>IF('Account Info'!$T$8=TRUE,1,0)</f>
        <v>1</v>
      </c>
      <c r="B414" s="1091"/>
      <c r="C414" s="1092"/>
      <c r="D414" s="1054" t="s">
        <v>586</v>
      </c>
      <c r="E414" s="1055"/>
      <c r="F414" s="1055"/>
      <c r="G414" s="1055"/>
      <c r="H414" s="1056"/>
      <c r="I414" s="443">
        <f>IF(D414="","",VLOOKUP(D414,AJ425:AM427,2,FALSE))</f>
        <v>1.01</v>
      </c>
      <c r="J414" s="443">
        <f>IF(D414="","",VLOOKUP(D414,AJ425:AM427,3,FALSE))</f>
        <v>1.06</v>
      </c>
      <c r="K414" s="443">
        <f>IF(D414="","",VLOOKUP(D414,AJ425:AM427,4,FALSE))</f>
        <v>1.1000000000000001</v>
      </c>
      <c r="L414" s="454">
        <f>J414</f>
        <v>1.06</v>
      </c>
      <c r="M414" s="1057"/>
      <c r="N414" s="1058"/>
      <c r="O414" s="1058"/>
      <c r="P414" s="1058"/>
      <c r="Q414" s="1058"/>
      <c r="R414" s="1058"/>
      <c r="S414" s="1058"/>
      <c r="T414" s="1059"/>
      <c r="U414" s="322"/>
      <c r="V414" s="340">
        <f>IF('Account Info'!$AA$4="Flat Rate State",IF(J414="",1,J414),IF(L414="",1,L414))</f>
        <v>1.06</v>
      </c>
      <c r="X414" s="316"/>
      <c r="Y414" s="316"/>
      <c r="Z414" s="316"/>
      <c r="AA414" s="316"/>
      <c r="AJ414" s="397" t="s">
        <v>586</v>
      </c>
      <c r="AK414" s="545">
        <f t="shared" ref="AK414:AK415" si="25">AM413+0.01</f>
        <v>1.01</v>
      </c>
      <c r="AL414" s="545">
        <f>ROUND(AVERAGE(AK414,AM414),2)</f>
        <v>1.06</v>
      </c>
      <c r="AM414" s="545">
        <v>1.1000000000000001</v>
      </c>
      <c r="AO414" s="397" t="s">
        <v>613</v>
      </c>
      <c r="AP414" s="545">
        <v>0.01</v>
      </c>
      <c r="AQ414" s="545">
        <f>ROUND(AVERAGE(AP414,AR414),2)</f>
        <v>0.06</v>
      </c>
      <c r="AR414" s="545">
        <v>0.1</v>
      </c>
      <c r="AT414" s="397">
        <v>12</v>
      </c>
      <c r="AU414" s="545">
        <v>0.8</v>
      </c>
      <c r="AV414" s="397">
        <v>24</v>
      </c>
      <c r="AW414" s="545">
        <v>0.7</v>
      </c>
      <c r="AY414" s="312"/>
    </row>
    <row r="415" spans="1:51" x14ac:dyDescent="0.25">
      <c r="A415" s="388">
        <f>IF('Account Info'!$T$8=TRUE,1,0)</f>
        <v>1</v>
      </c>
      <c r="B415" s="1091"/>
      <c r="C415" s="1092"/>
      <c r="D415" s="546"/>
      <c r="E415" s="547"/>
      <c r="F415" s="547"/>
      <c r="G415" s="547"/>
      <c r="H415" s="547"/>
      <c r="I415" s="463"/>
      <c r="J415" s="463"/>
      <c r="K415" s="463"/>
      <c r="L415" s="548"/>
      <c r="M415" s="1051"/>
      <c r="N415" s="1052"/>
      <c r="O415" s="1052"/>
      <c r="P415" s="1052"/>
      <c r="Q415" s="1052"/>
      <c r="R415" s="1052"/>
      <c r="S415" s="1052"/>
      <c r="T415" s="1053"/>
      <c r="U415" s="322"/>
      <c r="V415" s="340">
        <v>1</v>
      </c>
      <c r="X415" s="316"/>
      <c r="Y415" s="316"/>
      <c r="Z415" s="316"/>
      <c r="AA415" s="316"/>
      <c r="AJ415" s="397" t="s">
        <v>589</v>
      </c>
      <c r="AK415" s="545">
        <f t="shared" si="25"/>
        <v>1.1100000000000001</v>
      </c>
      <c r="AL415" s="545">
        <f>ROUND(AVERAGE(AK415,AM415),2)</f>
        <v>1.31</v>
      </c>
      <c r="AM415" s="545">
        <v>1.5</v>
      </c>
      <c r="AO415" s="397" t="s">
        <v>615</v>
      </c>
      <c r="AP415" s="545">
        <v>0.25</v>
      </c>
      <c r="AQ415" s="545">
        <f>ROUND(AVERAGE(AP415,AR415),2)</f>
        <v>0.38</v>
      </c>
      <c r="AR415" s="545">
        <v>0.5</v>
      </c>
      <c r="AT415" s="397">
        <v>24</v>
      </c>
      <c r="AU415" s="545">
        <v>0.7</v>
      </c>
      <c r="AV415" s="397">
        <v>48</v>
      </c>
      <c r="AW415" s="545">
        <v>0.6</v>
      </c>
      <c r="AY415" s="312"/>
    </row>
    <row r="416" spans="1:51" x14ac:dyDescent="0.25">
      <c r="A416" s="388">
        <f>IF('Account Info'!$T$8=TRUE,1,0)</f>
        <v>1</v>
      </c>
      <c r="B416" s="1091"/>
      <c r="C416" s="1092"/>
      <c r="D416" s="348" t="s">
        <v>635</v>
      </c>
      <c r="E416" s="349"/>
      <c r="F416" s="439"/>
      <c r="G416" s="439"/>
      <c r="H416" s="453"/>
      <c r="I416" s="361" t="str">
        <f>IF('Account Info'!$AA$4="Range State","Low","")</f>
        <v>Low</v>
      </c>
      <c r="J416" s="361" t="str">
        <f>IF('Account Info'!$AA$4="Range State","Benchmark","Selection")</f>
        <v>Benchmark</v>
      </c>
      <c r="K416" s="361" t="str">
        <f>IF('Account Info'!$AA$4="Range State","High","")</f>
        <v>High</v>
      </c>
      <c r="L416" s="361" t="str">
        <f>IF('Account Info'!$AA$4="Range State","Selection","")</f>
        <v>Selection</v>
      </c>
      <c r="M416" s="440" t="s">
        <v>377</v>
      </c>
      <c r="N416" s="440"/>
      <c r="O416" s="441"/>
      <c r="P416" s="348"/>
      <c r="Q416" s="348"/>
      <c r="R416" s="348"/>
      <c r="S416" s="348"/>
      <c r="T416" s="348"/>
      <c r="U416" s="322"/>
      <c r="V416" s="340">
        <v>1</v>
      </c>
      <c r="X416" s="316"/>
      <c r="Y416" s="316"/>
      <c r="Z416" s="316"/>
      <c r="AA416" s="316"/>
      <c r="AJ416" s="510" t="s">
        <v>636</v>
      </c>
      <c r="AK416" s="312"/>
      <c r="AL416" s="312"/>
      <c r="AM416" s="312"/>
      <c r="AO416" s="397" t="s">
        <v>617</v>
      </c>
      <c r="AP416" s="545">
        <v>0.75</v>
      </c>
      <c r="AQ416" s="545">
        <f>ROUND(AVERAGE(AP416,AR416),2)</f>
        <v>0.88</v>
      </c>
      <c r="AR416" s="545">
        <v>1</v>
      </c>
      <c r="AT416" s="397">
        <v>48</v>
      </c>
      <c r="AU416" s="545">
        <v>0.6</v>
      </c>
      <c r="AV416" s="397">
        <v>72</v>
      </c>
      <c r="AW416" s="545">
        <v>0.5</v>
      </c>
      <c r="AY416" s="312"/>
    </row>
    <row r="417" spans="1:51" x14ac:dyDescent="0.25">
      <c r="A417" s="388">
        <f>IF('Account Info'!$T$8=TRUE,1,0)</f>
        <v>1</v>
      </c>
      <c r="B417" s="1091"/>
      <c r="C417" s="1092"/>
      <c r="D417" s="1054" t="s">
        <v>420</v>
      </c>
      <c r="E417" s="1055"/>
      <c r="F417" s="1055"/>
      <c r="G417" s="1055"/>
      <c r="H417" s="1056"/>
      <c r="I417" s="443">
        <f>IF(D417="","",VLOOKUP(D417,AJ429:AM431,2,FALSE))</f>
        <v>1.01</v>
      </c>
      <c r="J417" s="443">
        <f>IF(D417="","",VLOOKUP(D417,AJ429:AM431,3,FALSE))</f>
        <v>1.06</v>
      </c>
      <c r="K417" s="443">
        <f>IF(D417="","",VLOOKUP(D417,AJ429:AM431,4,FALSE))</f>
        <v>1.1000000000000001</v>
      </c>
      <c r="L417" s="454">
        <f>J417</f>
        <v>1.06</v>
      </c>
      <c r="M417" s="1057"/>
      <c r="N417" s="1058"/>
      <c r="O417" s="1058"/>
      <c r="P417" s="1058"/>
      <c r="Q417" s="1058"/>
      <c r="R417" s="1058"/>
      <c r="S417" s="1058"/>
      <c r="T417" s="1059"/>
      <c r="U417" s="322"/>
      <c r="V417" s="340">
        <f>IF('Account Info'!$AA$4="Flat Rate State",IF(J417="",1,J417),IF(L417="",1,L417))</f>
        <v>1.06</v>
      </c>
      <c r="X417" s="316"/>
      <c r="Y417" s="316"/>
      <c r="Z417" s="316"/>
      <c r="AA417" s="316"/>
      <c r="AJ417" s="397" t="s">
        <v>585</v>
      </c>
      <c r="AK417" s="545">
        <v>0.8</v>
      </c>
      <c r="AL417" s="545">
        <f>ROUND(AVERAGE(AK417,AM417),2)</f>
        <v>0.9</v>
      </c>
      <c r="AM417" s="545">
        <v>1</v>
      </c>
      <c r="AO417" s="397" t="s">
        <v>619</v>
      </c>
      <c r="AP417" s="545">
        <v>1.25</v>
      </c>
      <c r="AQ417" s="545">
        <f>ROUND(AVERAGE(AP417,AR417),2)</f>
        <v>1.38</v>
      </c>
      <c r="AR417" s="545">
        <v>1.5</v>
      </c>
      <c r="AT417" s="397">
        <v>72</v>
      </c>
      <c r="AU417" s="545">
        <v>0.5</v>
      </c>
      <c r="AY417" s="312"/>
    </row>
    <row r="418" spans="1:51" x14ac:dyDescent="0.25">
      <c r="A418" s="388">
        <f>IF('Account Info'!$T$8=TRUE,1,0)</f>
        <v>1</v>
      </c>
      <c r="B418" s="1091"/>
      <c r="C418" s="1092"/>
      <c r="D418" s="546"/>
      <c r="E418" s="547"/>
      <c r="F418" s="547"/>
      <c r="G418" s="547"/>
      <c r="H418" s="547"/>
      <c r="I418" s="463"/>
      <c r="J418" s="463"/>
      <c r="K418" s="463"/>
      <c r="L418" s="548"/>
      <c r="M418" s="1051"/>
      <c r="N418" s="1052"/>
      <c r="O418" s="1052"/>
      <c r="P418" s="1052"/>
      <c r="Q418" s="1052"/>
      <c r="R418" s="1052"/>
      <c r="S418" s="1052"/>
      <c r="T418" s="1053"/>
      <c r="U418" s="322"/>
      <c r="V418" s="340">
        <v>1</v>
      </c>
      <c r="X418" s="316"/>
      <c r="Y418" s="316"/>
      <c r="Z418" s="316"/>
      <c r="AA418" s="316"/>
      <c r="AJ418" s="397" t="s">
        <v>586</v>
      </c>
      <c r="AK418" s="545">
        <f t="shared" ref="AK418:AK419" si="26">AM417+0.01</f>
        <v>1.01</v>
      </c>
      <c r="AL418" s="545">
        <f>ROUND(AVERAGE(AK418,AM418),2)</f>
        <v>1.06</v>
      </c>
      <c r="AM418" s="545">
        <v>1.1000000000000001</v>
      </c>
      <c r="AO418" s="510" t="s">
        <v>637</v>
      </c>
      <c r="AY418" s="312"/>
    </row>
    <row r="419" spans="1:51" x14ac:dyDescent="0.25">
      <c r="A419" s="388">
        <f>IF('Account Info'!$T$8=TRUE,1,0)</f>
        <v>1</v>
      </c>
      <c r="B419" s="1091"/>
      <c r="C419" s="1092"/>
      <c r="D419" s="348" t="s">
        <v>638</v>
      </c>
      <c r="E419" s="349"/>
      <c r="F419" s="439"/>
      <c r="G419" s="439"/>
      <c r="H419" s="453"/>
      <c r="I419" s="361" t="str">
        <f>IF('Account Info'!$AA$4="Range State","Low","")</f>
        <v>Low</v>
      </c>
      <c r="J419" s="361" t="str">
        <f>IF('Account Info'!$AA$4="Range State","Benchmark","Selection")</f>
        <v>Benchmark</v>
      </c>
      <c r="K419" s="361" t="str">
        <f>IF('Account Info'!$AA$4="Range State","High","")</f>
        <v>High</v>
      </c>
      <c r="L419" s="361" t="str">
        <f>IF('Account Info'!$AA$4="Range State","Selection","")</f>
        <v>Selection</v>
      </c>
      <c r="M419" s="440" t="s">
        <v>377</v>
      </c>
      <c r="N419" s="440"/>
      <c r="O419" s="441"/>
      <c r="P419" s="348"/>
      <c r="Q419" s="348"/>
      <c r="R419" s="348"/>
      <c r="S419" s="348"/>
      <c r="T419" s="348"/>
      <c r="U419" s="322"/>
      <c r="V419" s="340">
        <v>1</v>
      </c>
      <c r="X419" s="316"/>
      <c r="Y419" s="316"/>
      <c r="Z419" s="316"/>
      <c r="AA419" s="316"/>
      <c r="AJ419" s="397" t="s">
        <v>589</v>
      </c>
      <c r="AK419" s="545">
        <f t="shared" si="26"/>
        <v>1.1100000000000001</v>
      </c>
      <c r="AL419" s="545">
        <f>ROUND(AVERAGE(AK419,AM419),2)</f>
        <v>1.18</v>
      </c>
      <c r="AM419" s="545">
        <v>1.25</v>
      </c>
      <c r="AO419" s="397" t="s">
        <v>613</v>
      </c>
      <c r="AP419" s="545">
        <v>0.01</v>
      </c>
      <c r="AQ419" s="545">
        <f>ROUND(AVERAGE(AP419,AR419),2)</f>
        <v>0.06</v>
      </c>
      <c r="AR419" s="545">
        <v>0.1</v>
      </c>
      <c r="AT419" s="397">
        <v>1</v>
      </c>
      <c r="AU419" s="545">
        <v>2</v>
      </c>
      <c r="AV419" s="397">
        <v>2</v>
      </c>
      <c r="AW419" s="545">
        <v>1.75</v>
      </c>
      <c r="AX419" s="410">
        <f>VLOOKUP(AX421,AT419:AW428,1,TRUE)</f>
        <v>8</v>
      </c>
      <c r="AY419" s="545">
        <f>VLOOKUP(AX419,AT419:AU428,2,FALSE)</f>
        <v>1</v>
      </c>
    </row>
    <row r="420" spans="1:51" x14ac:dyDescent="0.25">
      <c r="A420" s="388">
        <f>IF('Account Info'!$T$8=TRUE,1,0)</f>
        <v>1</v>
      </c>
      <c r="B420" s="1091"/>
      <c r="C420" s="1092"/>
      <c r="D420" s="1054" t="s">
        <v>420</v>
      </c>
      <c r="E420" s="1055"/>
      <c r="F420" s="1055"/>
      <c r="G420" s="1055"/>
      <c r="H420" s="1056"/>
      <c r="I420" s="443">
        <f>IF(D420="","",VLOOKUP(D420,AJ433:AM435,2,FALSE))</f>
        <v>1.01</v>
      </c>
      <c r="J420" s="443">
        <f>IF(D420="","",VLOOKUP(D420,AJ433:AM435,3,FALSE))</f>
        <v>1.06</v>
      </c>
      <c r="K420" s="443">
        <f>IF(D420="","",VLOOKUP(D420,AJ433:AM435,4,FALSE))</f>
        <v>1.1000000000000001</v>
      </c>
      <c r="L420" s="454">
        <f>J420</f>
        <v>1.06</v>
      </c>
      <c r="M420" s="1057"/>
      <c r="N420" s="1058"/>
      <c r="O420" s="1058"/>
      <c r="P420" s="1058"/>
      <c r="Q420" s="1058"/>
      <c r="R420" s="1058"/>
      <c r="S420" s="1058"/>
      <c r="T420" s="1059"/>
      <c r="U420" s="322"/>
      <c r="V420" s="340">
        <f>IF('Account Info'!$AA$4="Flat Rate State",IF(J420="",1,J420),IF(L420="",1,L420))</f>
        <v>1.06</v>
      </c>
      <c r="X420" s="316"/>
      <c r="Y420" s="316"/>
      <c r="Z420" s="316"/>
      <c r="AA420" s="316"/>
      <c r="AJ420" s="510" t="s">
        <v>631</v>
      </c>
      <c r="AK420" s="312"/>
      <c r="AL420" s="312"/>
      <c r="AM420" s="312"/>
      <c r="AO420" s="397" t="s">
        <v>615</v>
      </c>
      <c r="AP420" s="545">
        <v>0.2</v>
      </c>
      <c r="AQ420" s="545">
        <f>ROUND(AVERAGE(AP420,AR420),2)</f>
        <v>0.25</v>
      </c>
      <c r="AR420" s="545">
        <v>0.3</v>
      </c>
      <c r="AT420" s="397">
        <v>2</v>
      </c>
      <c r="AU420" s="545">
        <v>1.75</v>
      </c>
      <c r="AV420" s="397">
        <v>4</v>
      </c>
      <c r="AW420" s="545">
        <v>1.5</v>
      </c>
      <c r="AX420" s="422"/>
      <c r="AY420" s="312"/>
    </row>
    <row r="421" spans="1:51" x14ac:dyDescent="0.25">
      <c r="A421" s="388">
        <f>IF('Account Info'!$T$8=TRUE,1,0)</f>
        <v>1</v>
      </c>
      <c r="B421" s="1091"/>
      <c r="C421" s="1092"/>
      <c r="D421" s="546"/>
      <c r="E421" s="547"/>
      <c r="F421" s="547"/>
      <c r="G421" s="547"/>
      <c r="H421" s="547"/>
      <c r="I421" s="463"/>
      <c r="J421" s="463"/>
      <c r="K421" s="463"/>
      <c r="L421" s="548"/>
      <c r="M421" s="1051"/>
      <c r="N421" s="1052"/>
      <c r="O421" s="1052"/>
      <c r="P421" s="1052"/>
      <c r="Q421" s="1052"/>
      <c r="R421" s="1052"/>
      <c r="S421" s="1052"/>
      <c r="T421" s="1053"/>
      <c r="U421" s="322"/>
      <c r="V421" s="340">
        <v>1</v>
      </c>
      <c r="X421" s="316"/>
      <c r="Y421" s="316"/>
      <c r="Z421" s="316"/>
      <c r="AA421" s="316"/>
      <c r="AJ421" s="397" t="s">
        <v>585</v>
      </c>
      <c r="AK421" s="545">
        <v>0.75</v>
      </c>
      <c r="AL421" s="545">
        <f>ROUND(AVERAGE(AK421,AM421),2)</f>
        <v>0.88</v>
      </c>
      <c r="AM421" s="545">
        <v>1</v>
      </c>
      <c r="AO421" s="397" t="s">
        <v>617</v>
      </c>
      <c r="AP421" s="545">
        <v>0.4</v>
      </c>
      <c r="AQ421" s="545">
        <f>ROUND(AVERAGE(AP421,AR421),2)</f>
        <v>0.45</v>
      </c>
      <c r="AR421" s="545">
        <v>0.5</v>
      </c>
      <c r="AT421" s="397">
        <v>4</v>
      </c>
      <c r="AU421" s="545">
        <v>1.5</v>
      </c>
      <c r="AV421" s="397">
        <v>6</v>
      </c>
      <c r="AW421" s="545">
        <v>1.25</v>
      </c>
      <c r="AX421" s="410">
        <f>H469</f>
        <v>8</v>
      </c>
      <c r="AY421" s="545">
        <f>(((AX421-AX419)/(AX423-AX419))*(AY423-AY419))+AY419</f>
        <v>1</v>
      </c>
    </row>
    <row r="422" spans="1:51" x14ac:dyDescent="0.25">
      <c r="A422" s="388">
        <f>IF('Account Info'!$T$8=TRUE,1,0)</f>
        <v>1</v>
      </c>
      <c r="B422" s="1091"/>
      <c r="C422" s="1092"/>
      <c r="D422" s="348" t="s">
        <v>639</v>
      </c>
      <c r="E422" s="349"/>
      <c r="F422" s="439"/>
      <c r="G422" s="439"/>
      <c r="H422" s="453"/>
      <c r="I422" s="361" t="str">
        <f>IF('Account Info'!$AA$4="Range State","Low","")</f>
        <v>Low</v>
      </c>
      <c r="J422" s="361" t="str">
        <f>IF('Account Info'!$AA$4="Range State","Benchmark","Selection")</f>
        <v>Benchmark</v>
      </c>
      <c r="K422" s="361" t="str">
        <f>IF('Account Info'!$AA$4="Range State","High","")</f>
        <v>High</v>
      </c>
      <c r="L422" s="361" t="str">
        <f>IF('Account Info'!$AA$4="Range State","Selection","")</f>
        <v>Selection</v>
      </c>
      <c r="M422" s="440" t="s">
        <v>377</v>
      </c>
      <c r="N422" s="440"/>
      <c r="O422" s="441"/>
      <c r="P422" s="348"/>
      <c r="Q422" s="348"/>
      <c r="R422" s="348"/>
      <c r="S422" s="348"/>
      <c r="T422" s="348"/>
      <c r="U422" s="322"/>
      <c r="V422" s="340">
        <v>1</v>
      </c>
      <c r="X422" s="316"/>
      <c r="Y422" s="316"/>
      <c r="Z422" s="316"/>
      <c r="AA422" s="316"/>
      <c r="AJ422" s="397" t="s">
        <v>586</v>
      </c>
      <c r="AK422" s="545">
        <f t="shared" ref="AK422:AK423" si="27">AM421+0.01</f>
        <v>1.01</v>
      </c>
      <c r="AL422" s="545">
        <f>ROUND(AVERAGE(AK422,AM422),2)</f>
        <v>1.06</v>
      </c>
      <c r="AM422" s="545">
        <v>1.1000000000000001</v>
      </c>
      <c r="AO422" s="397" t="s">
        <v>619</v>
      </c>
      <c r="AP422" s="545">
        <v>0.6</v>
      </c>
      <c r="AQ422" s="545">
        <f>ROUND(AVERAGE(AP422,AR422),2)</f>
        <v>0.65</v>
      </c>
      <c r="AR422" s="545">
        <v>0.7</v>
      </c>
      <c r="AT422" s="397">
        <v>6</v>
      </c>
      <c r="AU422" s="545">
        <v>1.25</v>
      </c>
      <c r="AV422" s="397">
        <v>8</v>
      </c>
      <c r="AW422" s="545">
        <v>1</v>
      </c>
      <c r="AX422" s="422"/>
      <c r="AY422" s="312"/>
    </row>
    <row r="423" spans="1:51" x14ac:dyDescent="0.25">
      <c r="A423" s="388">
        <f>IF('Account Info'!$T$8=TRUE,1,0)</f>
        <v>1</v>
      </c>
      <c r="B423" s="1091"/>
      <c r="C423" s="1092"/>
      <c r="D423" s="1054" t="s">
        <v>586</v>
      </c>
      <c r="E423" s="1055"/>
      <c r="F423" s="1055"/>
      <c r="G423" s="1055"/>
      <c r="H423" s="1056"/>
      <c r="I423" s="443">
        <f>IF(D423="","",VLOOKUP(D423,AJ437:AM439,2,FALSE))</f>
        <v>1.01</v>
      </c>
      <c r="J423" s="443">
        <f>IF(D423="","",VLOOKUP(D423,AJ437:AM439,3,FALSE))</f>
        <v>1.06</v>
      </c>
      <c r="K423" s="443">
        <f>IF(D423="","",VLOOKUP(D423,AJ437:AM439,4,FALSE))</f>
        <v>1.1000000000000001</v>
      </c>
      <c r="L423" s="454">
        <f>J423</f>
        <v>1.06</v>
      </c>
      <c r="M423" s="1057"/>
      <c r="N423" s="1058"/>
      <c r="O423" s="1058"/>
      <c r="P423" s="1058"/>
      <c r="Q423" s="1058"/>
      <c r="R423" s="1058"/>
      <c r="S423" s="1058"/>
      <c r="T423" s="1059"/>
      <c r="U423" s="322"/>
      <c r="V423" s="340">
        <f>IF('Account Info'!$AA$4="Flat Rate State",IF(J423="",1,J423),IF(L423="",1,L423))</f>
        <v>1.06</v>
      </c>
      <c r="X423" s="316"/>
      <c r="Y423" s="316"/>
      <c r="Z423" s="316"/>
      <c r="AA423" s="316"/>
      <c r="AJ423" s="397" t="s">
        <v>589</v>
      </c>
      <c r="AK423" s="545">
        <f t="shared" si="27"/>
        <v>1.1100000000000001</v>
      </c>
      <c r="AL423" s="545">
        <f>ROUND(AVERAGE(AK423,AM423),2)</f>
        <v>1.31</v>
      </c>
      <c r="AM423" s="545">
        <v>1.5</v>
      </c>
      <c r="AO423" s="510" t="s">
        <v>640</v>
      </c>
      <c r="AT423" s="397">
        <v>8</v>
      </c>
      <c r="AU423" s="545">
        <v>1</v>
      </c>
      <c r="AV423" s="397">
        <v>10</v>
      </c>
      <c r="AW423" s="545">
        <v>0.9</v>
      </c>
      <c r="AX423" s="410">
        <f>VLOOKUP(AX421,AT419:AW428,3,TRUE)</f>
        <v>10</v>
      </c>
      <c r="AY423" s="545">
        <f>IF(AX423=0,2,VLOOKUP(AX423,AT419:AU428,2,FALSE))</f>
        <v>0.9</v>
      </c>
    </row>
    <row r="424" spans="1:51" x14ac:dyDescent="0.25">
      <c r="A424" s="388">
        <f>IF('Account Info'!$T$8=TRUE,1,0)</f>
        <v>1</v>
      </c>
      <c r="B424" s="1091"/>
      <c r="C424" s="1092"/>
      <c r="D424" s="546"/>
      <c r="E424" s="547"/>
      <c r="F424" s="547"/>
      <c r="G424" s="547"/>
      <c r="H424" s="547"/>
      <c r="I424" s="463"/>
      <c r="J424" s="463"/>
      <c r="K424" s="463"/>
      <c r="L424" s="548"/>
      <c r="M424" s="1051"/>
      <c r="N424" s="1052"/>
      <c r="O424" s="1052"/>
      <c r="P424" s="1052"/>
      <c r="Q424" s="1052"/>
      <c r="R424" s="1052"/>
      <c r="S424" s="1052"/>
      <c r="T424" s="1053"/>
      <c r="U424" s="322"/>
      <c r="V424" s="340">
        <v>1</v>
      </c>
      <c r="X424" s="316"/>
      <c r="Y424" s="316"/>
      <c r="Z424" s="316"/>
      <c r="AA424" s="316"/>
      <c r="AJ424" s="510" t="s">
        <v>633</v>
      </c>
      <c r="AK424" s="312"/>
      <c r="AL424" s="312"/>
      <c r="AM424" s="312"/>
      <c r="AO424" s="397" t="s">
        <v>613</v>
      </c>
      <c r="AP424" s="545">
        <v>0.01</v>
      </c>
      <c r="AQ424" s="545">
        <f>ROUND(AVERAGE(AP424,AR424),2)</f>
        <v>0.03</v>
      </c>
      <c r="AR424" s="545">
        <v>0.05</v>
      </c>
      <c r="AT424" s="397">
        <v>10</v>
      </c>
      <c r="AU424" s="545">
        <v>0.9</v>
      </c>
      <c r="AV424" s="397">
        <v>12</v>
      </c>
      <c r="AW424" s="545">
        <v>0.8</v>
      </c>
    </row>
    <row r="425" spans="1:51" x14ac:dyDescent="0.25">
      <c r="A425" s="388">
        <f>IF('Account Info'!$T$8=TRUE,1,0)</f>
        <v>1</v>
      </c>
      <c r="B425" s="1091"/>
      <c r="C425" s="1092"/>
      <c r="D425" s="348" t="s">
        <v>641</v>
      </c>
      <c r="E425" s="349"/>
      <c r="F425" s="439"/>
      <c r="G425" s="439"/>
      <c r="H425" s="453"/>
      <c r="I425" s="361" t="str">
        <f>IF('Account Info'!$AA$4="Range State","Low","")</f>
        <v>Low</v>
      </c>
      <c r="J425" s="361" t="str">
        <f>IF('Account Info'!$AA$4="Range State","Benchmark","Selection")</f>
        <v>Benchmark</v>
      </c>
      <c r="K425" s="361" t="str">
        <f>IF('Account Info'!$AA$4="Range State","High","")</f>
        <v>High</v>
      </c>
      <c r="L425" s="361" t="str">
        <f>IF('Account Info'!$AA$4="Range State","Selection","")</f>
        <v>Selection</v>
      </c>
      <c r="M425" s="440" t="s">
        <v>377</v>
      </c>
      <c r="N425" s="440"/>
      <c r="O425" s="441"/>
      <c r="P425" s="348"/>
      <c r="Q425" s="348"/>
      <c r="R425" s="348"/>
      <c r="S425" s="348"/>
      <c r="T425" s="348"/>
      <c r="U425" s="322"/>
      <c r="V425" s="340">
        <v>1</v>
      </c>
      <c r="X425" s="316"/>
      <c r="Y425" s="316"/>
      <c r="Z425" s="316"/>
      <c r="AA425" s="316"/>
      <c r="AJ425" s="397" t="s">
        <v>585</v>
      </c>
      <c r="AK425" s="545">
        <v>0.75</v>
      </c>
      <c r="AL425" s="545">
        <f>ROUND(AVERAGE(AK425,AM425),2)</f>
        <v>0.88</v>
      </c>
      <c r="AM425" s="545">
        <v>1</v>
      </c>
      <c r="AO425" s="397" t="s">
        <v>615</v>
      </c>
      <c r="AP425" s="545">
        <v>0.1</v>
      </c>
      <c r="AQ425" s="545">
        <f>ROUND(AVERAGE(AP425,AR425),2)</f>
        <v>0.13</v>
      </c>
      <c r="AR425" s="545">
        <v>0.15</v>
      </c>
      <c r="AT425" s="397">
        <v>12</v>
      </c>
      <c r="AU425" s="545">
        <v>0.8</v>
      </c>
      <c r="AV425" s="397">
        <v>24</v>
      </c>
      <c r="AW425" s="545">
        <v>0.7</v>
      </c>
    </row>
    <row r="426" spans="1:51" x14ac:dyDescent="0.25">
      <c r="A426" s="388">
        <f>IF('Account Info'!$T$8=TRUE,1,0)</f>
        <v>1</v>
      </c>
      <c r="B426" s="1091"/>
      <c r="C426" s="1092"/>
      <c r="D426" s="1054" t="s">
        <v>420</v>
      </c>
      <c r="E426" s="1055"/>
      <c r="F426" s="1055"/>
      <c r="G426" s="1055"/>
      <c r="H426" s="1056"/>
      <c r="I426" s="443">
        <f>IF(D426="","",VLOOKUP(D426,AJ441:AM443,2,FALSE))</f>
        <v>1.01</v>
      </c>
      <c r="J426" s="443">
        <f>IF(D426="","",VLOOKUP(D426,AJ441:AM443,3,FALSE))</f>
        <v>1.06</v>
      </c>
      <c r="K426" s="443">
        <f>IF(D426="","",VLOOKUP(D426,AJ441:AM443,4,FALSE))</f>
        <v>1.1000000000000001</v>
      </c>
      <c r="L426" s="454">
        <f>J426</f>
        <v>1.06</v>
      </c>
      <c r="M426" s="1057"/>
      <c r="N426" s="1058"/>
      <c r="O426" s="1058"/>
      <c r="P426" s="1058"/>
      <c r="Q426" s="1058"/>
      <c r="R426" s="1058"/>
      <c r="S426" s="1058"/>
      <c r="T426" s="1059"/>
      <c r="U426" s="322"/>
      <c r="V426" s="340">
        <f>IF('Account Info'!$AA$4="Flat Rate State",IF(J426="",1,J426),IF(L426="",1,L426))</f>
        <v>1.06</v>
      </c>
      <c r="X426" s="316"/>
      <c r="Y426" s="316"/>
      <c r="Z426" s="316"/>
      <c r="AA426" s="316"/>
      <c r="AJ426" s="397" t="s">
        <v>586</v>
      </c>
      <c r="AK426" s="545">
        <f t="shared" ref="AK426:AK427" si="28">AM425+0.01</f>
        <v>1.01</v>
      </c>
      <c r="AL426" s="545">
        <f>ROUND(AVERAGE(AK426,AM426),2)</f>
        <v>1.06</v>
      </c>
      <c r="AM426" s="545">
        <v>1.1000000000000001</v>
      </c>
      <c r="AO426" s="397" t="s">
        <v>617</v>
      </c>
      <c r="AP426" s="545">
        <v>0.2</v>
      </c>
      <c r="AQ426" s="545">
        <f>ROUND(AVERAGE(AP426,AR426),2)</f>
        <v>0.23</v>
      </c>
      <c r="AR426" s="545">
        <v>0.25</v>
      </c>
      <c r="AT426" s="397">
        <v>24</v>
      </c>
      <c r="AU426" s="545">
        <v>0.7</v>
      </c>
      <c r="AV426" s="397">
        <v>48</v>
      </c>
      <c r="AW426" s="545">
        <v>0.6</v>
      </c>
    </row>
    <row r="427" spans="1:51" x14ac:dyDescent="0.25">
      <c r="A427" s="388">
        <f>IF('Account Info'!$T$8=TRUE,1,0)</f>
        <v>1</v>
      </c>
      <c r="B427" s="1091"/>
      <c r="C427" s="1092"/>
      <c r="D427" s="546"/>
      <c r="E427" s="547"/>
      <c r="F427" s="547"/>
      <c r="G427" s="547"/>
      <c r="H427" s="547"/>
      <c r="I427" s="463"/>
      <c r="J427" s="463"/>
      <c r="K427" s="463"/>
      <c r="L427" s="548"/>
      <c r="M427" s="1051"/>
      <c r="N427" s="1052"/>
      <c r="O427" s="1052"/>
      <c r="P427" s="1052"/>
      <c r="Q427" s="1052"/>
      <c r="R427" s="1052"/>
      <c r="S427" s="1052"/>
      <c r="T427" s="1053"/>
      <c r="U427" s="322"/>
      <c r="X427" s="316"/>
      <c r="Y427" s="316"/>
      <c r="Z427" s="316"/>
      <c r="AA427" s="316"/>
      <c r="AJ427" s="397" t="s">
        <v>589</v>
      </c>
      <c r="AK427" s="545">
        <f t="shared" si="28"/>
        <v>1.1100000000000001</v>
      </c>
      <c r="AL427" s="545">
        <f>ROUND(AVERAGE(AK427,AM427),2)</f>
        <v>1.31</v>
      </c>
      <c r="AM427" s="545">
        <v>1.5</v>
      </c>
      <c r="AO427" s="397" t="s">
        <v>619</v>
      </c>
      <c r="AP427" s="545">
        <v>0.3</v>
      </c>
      <c r="AQ427" s="545">
        <f>ROUND(AVERAGE(AP427,AR427),2)</f>
        <v>0.33</v>
      </c>
      <c r="AR427" s="545">
        <v>0.35</v>
      </c>
      <c r="AT427" s="397">
        <v>48</v>
      </c>
      <c r="AU427" s="545">
        <v>0.6</v>
      </c>
      <c r="AV427" s="397">
        <v>72</v>
      </c>
      <c r="AW427" s="545">
        <v>0.5</v>
      </c>
    </row>
    <row r="428" spans="1:51" x14ac:dyDescent="0.25">
      <c r="A428" s="388">
        <f>IF('Account Info'!$T$8=TRUE,1,0)</f>
        <v>1</v>
      </c>
      <c r="B428" s="1091"/>
      <c r="C428" s="1092"/>
      <c r="D428" s="320"/>
      <c r="E428" s="320"/>
      <c r="F428" s="320"/>
      <c r="G428" s="320"/>
      <c r="J428" s="459"/>
      <c r="K428" s="459"/>
      <c r="L428" s="459"/>
      <c r="M428" s="320"/>
      <c r="N428" s="320"/>
      <c r="O428" s="320"/>
      <c r="P428" s="320"/>
      <c r="Q428" s="320"/>
      <c r="R428" s="320"/>
      <c r="S428" s="320"/>
      <c r="T428" s="320"/>
      <c r="U428" s="322"/>
      <c r="W428" s="458" t="s">
        <v>642</v>
      </c>
      <c r="X428" s="939">
        <f ca="1">IF(D45="","",D45*PRODUCT(V384:V426))</f>
        <v>474.82278103429684</v>
      </c>
      <c r="Y428" s="316"/>
      <c r="Z428" s="316"/>
      <c r="AA428" s="316"/>
      <c r="AJ428" s="510" t="s">
        <v>635</v>
      </c>
      <c r="AK428" s="312"/>
      <c r="AL428" s="312"/>
      <c r="AM428" s="312"/>
      <c r="AO428" s="510" t="s">
        <v>643</v>
      </c>
      <c r="AT428" s="397">
        <v>72</v>
      </c>
      <c r="AU428" s="545">
        <v>0.5</v>
      </c>
    </row>
    <row r="429" spans="1:51" ht="15.75" thickBot="1" x14ac:dyDescent="0.3">
      <c r="A429" s="388">
        <f>IF('Account Info'!$T$8=TRUE,1,0)</f>
        <v>1</v>
      </c>
      <c r="B429" s="1093"/>
      <c r="C429" s="1094"/>
      <c r="D429" s="326"/>
      <c r="E429" s="326"/>
      <c r="F429" s="326"/>
      <c r="G429" s="326"/>
      <c r="H429" s="326"/>
      <c r="I429" s="469"/>
      <c r="J429" s="469"/>
      <c r="K429" s="469"/>
      <c r="L429" s="469"/>
      <c r="M429" s="326"/>
      <c r="N429" s="326"/>
      <c r="O429" s="326"/>
      <c r="P429" s="326"/>
      <c r="Q429" s="326"/>
      <c r="R429" s="326"/>
      <c r="S429" s="326"/>
      <c r="T429" s="326"/>
      <c r="U429" s="327"/>
      <c r="X429" s="316"/>
      <c r="Y429" s="316"/>
      <c r="Z429" s="316"/>
      <c r="AA429" s="316"/>
      <c r="AJ429" s="397" t="s">
        <v>417</v>
      </c>
      <c r="AK429" s="545">
        <v>0.75</v>
      </c>
      <c r="AL429" s="545">
        <f>ROUND(AVERAGE(AK429,AM429),2)</f>
        <v>0.88</v>
      </c>
      <c r="AM429" s="545">
        <v>1</v>
      </c>
      <c r="AO429" s="397" t="s">
        <v>613</v>
      </c>
      <c r="AP429" s="545">
        <v>0.01</v>
      </c>
      <c r="AQ429" s="545">
        <f>ROUND(AVERAGE(AP429,AR429),2)</f>
        <v>0.03</v>
      </c>
      <c r="AR429" s="545">
        <v>0.05</v>
      </c>
    </row>
    <row r="430" spans="1:51" ht="15" customHeight="1" thickBot="1" x14ac:dyDescent="0.35">
      <c r="A430" s="388">
        <f>IF('Account Info'!$T$8=TRUE,1,0)</f>
        <v>1</v>
      </c>
      <c r="B430" s="470" t="s">
        <v>644</v>
      </c>
      <c r="C430" s="309"/>
      <c r="D430" s="310"/>
      <c r="E430" s="310"/>
      <c r="F430" s="310"/>
      <c r="G430" s="310"/>
      <c r="H430" s="310"/>
      <c r="I430" s="501"/>
      <c r="J430" s="501"/>
      <c r="K430" s="501"/>
      <c r="L430" s="501"/>
      <c r="M430" s="310"/>
      <c r="N430" s="310"/>
      <c r="O430" s="310"/>
      <c r="P430" s="310"/>
      <c r="Q430" s="310"/>
      <c r="R430" s="310"/>
      <c r="S430" s="310"/>
      <c r="T430" s="310"/>
      <c r="U430" s="311"/>
      <c r="V430" s="340"/>
      <c r="X430" s="316"/>
      <c r="Y430" s="316"/>
      <c r="Z430" s="316"/>
      <c r="AA430" s="316"/>
      <c r="AJ430" s="397" t="s">
        <v>420</v>
      </c>
      <c r="AK430" s="545">
        <f t="shared" ref="AK430:AK431" si="29">AM429+0.01</f>
        <v>1.01</v>
      </c>
      <c r="AL430" s="545">
        <f>ROUND(AVERAGE(AK430,AM430),2)</f>
        <v>1.06</v>
      </c>
      <c r="AM430" s="545">
        <v>1.1000000000000001</v>
      </c>
      <c r="AO430" s="397" t="s">
        <v>615</v>
      </c>
      <c r="AP430" s="545">
        <v>0.1</v>
      </c>
      <c r="AQ430" s="545">
        <f>ROUND(AVERAGE(AP430,AR430),2)</f>
        <v>0.13</v>
      </c>
      <c r="AR430" s="545">
        <v>0.15</v>
      </c>
    </row>
    <row r="431" spans="1:51" ht="15" customHeight="1" x14ac:dyDescent="0.25">
      <c r="A431" s="388">
        <f>IF('Account Info'!$T$8=TRUE,1,0)</f>
        <v>1</v>
      </c>
      <c r="B431" s="317"/>
      <c r="C431" s="321"/>
      <c r="D431" s="320"/>
      <c r="E431" s="320"/>
      <c r="F431" s="320"/>
      <c r="G431" s="320"/>
      <c r="H431" s="471" t="s">
        <v>393</v>
      </c>
      <c r="I431" s="472">
        <v>0.8</v>
      </c>
      <c r="J431" s="473">
        <v>1.25</v>
      </c>
      <c r="K431" s="949">
        <v>1</v>
      </c>
      <c r="L431" s="474"/>
      <c r="M431" s="320"/>
      <c r="N431" s="320"/>
      <c r="O431" s="320"/>
      <c r="P431" s="320"/>
      <c r="Q431" s="320"/>
      <c r="R431" s="320"/>
      <c r="S431" s="320"/>
      <c r="T431" s="320"/>
      <c r="U431" s="322"/>
      <c r="V431" s="340"/>
      <c r="X431" s="316"/>
      <c r="Y431" s="316"/>
      <c r="Z431" s="316"/>
      <c r="AA431" s="316"/>
      <c r="AJ431" s="397" t="s">
        <v>422</v>
      </c>
      <c r="AK431" s="545">
        <f t="shared" si="29"/>
        <v>1.1100000000000001</v>
      </c>
      <c r="AL431" s="545">
        <f>ROUND(AVERAGE(AK431,AM431),2)</f>
        <v>1.31</v>
      </c>
      <c r="AM431" s="545">
        <v>1.5</v>
      </c>
      <c r="AO431" s="397" t="s">
        <v>617</v>
      </c>
      <c r="AP431" s="545">
        <v>0.2</v>
      </c>
      <c r="AQ431" s="545">
        <f>ROUND(AVERAGE(AP431,AR431),2)</f>
        <v>0.23</v>
      </c>
      <c r="AR431" s="545">
        <v>0.25</v>
      </c>
    </row>
    <row r="432" spans="1:51" ht="15" customHeight="1" x14ac:dyDescent="0.25">
      <c r="A432" s="388">
        <f>IF('Account Info'!$T$8=TRUE,1,0)</f>
        <v>1</v>
      </c>
      <c r="B432" s="317"/>
      <c r="C432" s="321"/>
      <c r="D432" s="320"/>
      <c r="E432" s="320"/>
      <c r="F432" s="320"/>
      <c r="G432" s="320"/>
      <c r="H432" s="475" t="s">
        <v>394</v>
      </c>
      <c r="I432" s="476">
        <v>0.8</v>
      </c>
      <c r="J432" s="477">
        <v>1.25</v>
      </c>
      <c r="K432" s="950">
        <v>1</v>
      </c>
      <c r="L432" s="474"/>
      <c r="M432" s="320"/>
      <c r="N432" s="320"/>
      <c r="O432" s="320"/>
      <c r="P432" s="320"/>
      <c r="Q432" s="320"/>
      <c r="R432" s="320"/>
      <c r="S432" s="320"/>
      <c r="T432" s="320"/>
      <c r="U432" s="322"/>
      <c r="V432" s="340"/>
      <c r="AJ432" s="510" t="s">
        <v>638</v>
      </c>
      <c r="AK432" s="312"/>
      <c r="AL432" s="312"/>
      <c r="AM432" s="312"/>
      <c r="AO432" s="397" t="s">
        <v>619</v>
      </c>
      <c r="AP432" s="545">
        <v>0.3</v>
      </c>
      <c r="AQ432" s="545">
        <f>ROUND(AVERAGE(AP432,AR432),2)</f>
        <v>0.33</v>
      </c>
      <c r="AR432" s="545">
        <v>0.35</v>
      </c>
    </row>
    <row r="433" spans="1:44" ht="15" customHeight="1" x14ac:dyDescent="0.25">
      <c r="A433" s="388">
        <f>IF('Account Info'!$T$8=TRUE,1,0)</f>
        <v>1</v>
      </c>
      <c r="B433" s="317"/>
      <c r="C433" s="321"/>
      <c r="D433" s="320"/>
      <c r="E433" s="320"/>
      <c r="F433" s="320"/>
      <c r="G433" s="320"/>
      <c r="H433" s="475" t="s">
        <v>395</v>
      </c>
      <c r="I433" s="476">
        <v>0.8</v>
      </c>
      <c r="J433" s="477">
        <v>1.25</v>
      </c>
      <c r="K433" s="950">
        <v>1</v>
      </c>
      <c r="L433" s="474"/>
      <c r="M433" s="320"/>
      <c r="N433" s="320"/>
      <c r="O433" s="320"/>
      <c r="P433" s="320"/>
      <c r="Q433" s="320"/>
      <c r="R433" s="320"/>
      <c r="S433" s="320"/>
      <c r="T433" s="320"/>
      <c r="U433" s="322"/>
      <c r="V433" s="340"/>
      <c r="AJ433" s="397" t="s">
        <v>417</v>
      </c>
      <c r="AK433" s="545">
        <v>0.75</v>
      </c>
      <c r="AL433" s="545">
        <f>ROUND(AVERAGE(AK433,AM433),2)</f>
        <v>0.88</v>
      </c>
      <c r="AM433" s="545">
        <v>1</v>
      </c>
      <c r="AO433" s="510" t="s">
        <v>645</v>
      </c>
    </row>
    <row r="434" spans="1:44" ht="15" customHeight="1" x14ac:dyDescent="0.25">
      <c r="A434" s="388">
        <f>IF('Account Info'!$T$8=TRUE,1,0)</f>
        <v>1</v>
      </c>
      <c r="B434" s="317"/>
      <c r="C434" s="321"/>
      <c r="D434" s="320"/>
      <c r="E434" s="320"/>
      <c r="F434" s="320"/>
      <c r="G434" s="320"/>
      <c r="H434" s="475" t="s">
        <v>396</v>
      </c>
      <c r="I434" s="476">
        <v>0.8</v>
      </c>
      <c r="J434" s="477">
        <v>1.25</v>
      </c>
      <c r="K434" s="950">
        <v>1</v>
      </c>
      <c r="L434" s="474"/>
      <c r="M434" s="320"/>
      <c r="N434" s="320"/>
      <c r="O434" s="320"/>
      <c r="P434" s="320"/>
      <c r="Q434" s="320"/>
      <c r="R434" s="320"/>
      <c r="S434" s="320"/>
      <c r="T434" s="320"/>
      <c r="U434" s="322"/>
      <c r="V434" s="340"/>
      <c r="AJ434" s="397" t="s">
        <v>420</v>
      </c>
      <c r="AK434" s="545">
        <f t="shared" ref="AK434:AK435" si="30">AM433+0.01</f>
        <v>1.01</v>
      </c>
      <c r="AL434" s="545">
        <f>ROUND(AVERAGE(AK434,AM434),2)</f>
        <v>1.06</v>
      </c>
      <c r="AM434" s="545">
        <v>1.1000000000000001</v>
      </c>
      <c r="AO434" s="397" t="s">
        <v>613</v>
      </c>
      <c r="AP434" s="545">
        <v>0.01</v>
      </c>
      <c r="AQ434" s="545">
        <f>ROUND(AVERAGE(AP434,AR434),2)</f>
        <v>0.03</v>
      </c>
      <c r="AR434" s="545">
        <v>0.05</v>
      </c>
    </row>
    <row r="435" spans="1:44" ht="15" customHeight="1" thickBot="1" x14ac:dyDescent="0.3">
      <c r="A435" s="388">
        <f>IF('Account Info'!$T$8=TRUE,1,0)</f>
        <v>1</v>
      </c>
      <c r="B435" s="317"/>
      <c r="C435" s="321"/>
      <c r="D435" s="320"/>
      <c r="E435" s="320"/>
      <c r="F435" s="320"/>
      <c r="G435" s="320"/>
      <c r="H435" s="478" t="s">
        <v>397</v>
      </c>
      <c r="I435" s="479">
        <v>0.8</v>
      </c>
      <c r="J435" s="480">
        <v>1.25</v>
      </c>
      <c r="K435" s="951">
        <v>1</v>
      </c>
      <c r="L435" s="474"/>
      <c r="M435" s="320"/>
      <c r="N435" s="320"/>
      <c r="O435" s="320"/>
      <c r="P435" s="320"/>
      <c r="Q435" s="320"/>
      <c r="R435" s="320"/>
      <c r="S435" s="320"/>
      <c r="T435" s="320"/>
      <c r="U435" s="322"/>
      <c r="V435" s="340"/>
      <c r="AJ435" s="397" t="s">
        <v>422</v>
      </c>
      <c r="AK435" s="545">
        <f t="shared" si="30"/>
        <v>1.1100000000000001</v>
      </c>
      <c r="AL435" s="545">
        <f>ROUND(AVERAGE(AK435,AM435),2)</f>
        <v>1.31</v>
      </c>
      <c r="AM435" s="545">
        <v>1.5</v>
      </c>
      <c r="AO435" s="397" t="s">
        <v>615</v>
      </c>
      <c r="AP435" s="545">
        <v>0.06</v>
      </c>
      <c r="AQ435" s="545">
        <f>ROUND(AVERAGE(AP435,AR435),2)</f>
        <v>0.08</v>
      </c>
      <c r="AR435" s="545">
        <v>0.1</v>
      </c>
    </row>
    <row r="436" spans="1:44" ht="15" customHeight="1" thickBot="1" x14ac:dyDescent="0.3">
      <c r="A436" s="388">
        <f>IF('Account Info'!$T$8=TRUE,1,0)</f>
        <v>1</v>
      </c>
      <c r="B436" s="317"/>
      <c r="C436" s="321"/>
      <c r="D436" s="320"/>
      <c r="E436" s="320"/>
      <c r="F436" s="320"/>
      <c r="G436" s="320"/>
      <c r="H436" s="310"/>
      <c r="I436" s="483"/>
      <c r="J436" s="483"/>
      <c r="K436" s="952">
        <f>IF(PRODUCT(K431:K435)=0,1,PRODUCT(K431:K435))</f>
        <v>1</v>
      </c>
      <c r="L436" s="459"/>
      <c r="M436" s="320"/>
      <c r="N436" s="320"/>
      <c r="O436" s="320"/>
      <c r="P436" s="320"/>
      <c r="Q436" s="320"/>
      <c r="R436" s="320"/>
      <c r="S436" s="320"/>
      <c r="T436" s="320"/>
      <c r="U436" s="322"/>
      <c r="V436" s="340"/>
      <c r="W436" s="484">
        <f>W98</f>
        <v>0.5</v>
      </c>
      <c r="X436" s="484">
        <f>X98</f>
        <v>1.5</v>
      </c>
      <c r="AJ436" s="510" t="s">
        <v>639</v>
      </c>
      <c r="AK436" s="312"/>
      <c r="AL436" s="312"/>
      <c r="AM436" s="312"/>
      <c r="AO436" s="397" t="s">
        <v>617</v>
      </c>
      <c r="AP436" s="545">
        <v>0.11</v>
      </c>
      <c r="AQ436" s="545">
        <f>ROUND(AVERAGE(AP436,AR436),2)</f>
        <v>0.13</v>
      </c>
      <c r="AR436" s="545">
        <v>0.15</v>
      </c>
    </row>
    <row r="437" spans="1:44" ht="15" customHeight="1" x14ac:dyDescent="0.25">
      <c r="A437" s="388">
        <f>IF('Account Info'!$T$8=TRUE,1,0)</f>
        <v>1</v>
      </c>
      <c r="B437" s="317"/>
      <c r="C437" s="321"/>
      <c r="D437" s="320"/>
      <c r="E437" s="320"/>
      <c r="F437" s="320"/>
      <c r="G437" s="320"/>
      <c r="H437" s="513"/>
      <c r="I437" s="514"/>
      <c r="J437" s="514"/>
      <c r="K437" s="515"/>
      <c r="L437" s="459"/>
      <c r="M437" s="320"/>
      <c r="N437" s="320"/>
      <c r="O437" s="320"/>
      <c r="P437" s="320"/>
      <c r="Q437" s="320"/>
      <c r="R437" s="320"/>
      <c r="S437" s="320"/>
      <c r="T437" s="320"/>
      <c r="U437" s="322"/>
      <c r="V437" s="340"/>
      <c r="AJ437" s="397" t="s">
        <v>585</v>
      </c>
      <c r="AK437" s="545">
        <v>0.8</v>
      </c>
      <c r="AL437" s="545">
        <f>ROUND(AVERAGE(AK437,AM437),2)</f>
        <v>0.9</v>
      </c>
      <c r="AM437" s="545">
        <v>1</v>
      </c>
      <c r="AO437" s="397" t="s">
        <v>619</v>
      </c>
      <c r="AP437" s="545">
        <v>0.16</v>
      </c>
      <c r="AQ437" s="545">
        <f>ROUND(AVERAGE(AP437,AR437),2)</f>
        <v>0.18</v>
      </c>
      <c r="AR437" s="545">
        <v>0.2</v>
      </c>
    </row>
    <row r="438" spans="1:44" ht="15" customHeight="1" x14ac:dyDescent="0.25">
      <c r="A438" s="388">
        <f>IF('Account Info'!$T$8=TRUE,1,0)</f>
        <v>1</v>
      </c>
      <c r="B438" s="317"/>
      <c r="C438" s="321"/>
      <c r="D438" s="320"/>
      <c r="E438" s="320"/>
      <c r="F438" s="320"/>
      <c r="G438" s="320"/>
      <c r="J438" s="514"/>
      <c r="K438" s="515"/>
      <c r="L438" s="459"/>
      <c r="M438" s="320"/>
      <c r="N438" s="320"/>
      <c r="O438" s="320"/>
      <c r="P438" s="320"/>
      <c r="Q438" s="320"/>
      <c r="R438" s="320"/>
      <c r="S438" s="320"/>
      <c r="T438" s="320"/>
      <c r="U438" s="322"/>
      <c r="V438" s="340"/>
      <c r="AJ438" s="397" t="s">
        <v>586</v>
      </c>
      <c r="AK438" s="545">
        <f t="shared" ref="AK438:AK439" si="31">AM437+0.01</f>
        <v>1.01</v>
      </c>
      <c r="AL438" s="545">
        <f>ROUND(AVERAGE(AK438,AM438),2)</f>
        <v>1.06</v>
      </c>
      <c r="AM438" s="545">
        <v>1.1000000000000001</v>
      </c>
      <c r="AO438" s="510" t="s">
        <v>647</v>
      </c>
    </row>
    <row r="439" spans="1:44" ht="15" customHeight="1" thickBot="1" x14ac:dyDescent="0.3">
      <c r="A439" s="388">
        <f>IF('Account Info'!$T$8=TRUE,1,0)</f>
        <v>1</v>
      </c>
      <c r="B439" s="324"/>
      <c r="C439" s="325"/>
      <c r="D439" s="326"/>
      <c r="E439" s="326"/>
      <c r="F439" s="326"/>
      <c r="G439" s="326"/>
      <c r="H439" s="325"/>
      <c r="I439" s="325"/>
      <c r="J439" s="469"/>
      <c r="K439" s="469"/>
      <c r="L439" s="519"/>
      <c r="M439" s="326"/>
      <c r="N439" s="326"/>
      <c r="O439" s="326"/>
      <c r="P439" s="326"/>
      <c r="Q439" s="326"/>
      <c r="R439" s="326"/>
      <c r="S439" s="326"/>
      <c r="T439" s="326"/>
      <c r="U439" s="327"/>
      <c r="V439" s="340"/>
      <c r="W439" s="458" t="s">
        <v>646</v>
      </c>
      <c r="X439" s="939">
        <f ca="1">IF(X428="","",X428*K436)</f>
        <v>474.82278103429684</v>
      </c>
      <c r="AJ439" s="397" t="s">
        <v>589</v>
      </c>
      <c r="AK439" s="545">
        <f t="shared" si="31"/>
        <v>1.1100000000000001</v>
      </c>
      <c r="AL439" s="545">
        <f>ROUND(AVERAGE(AK439,AM439),2)</f>
        <v>1.18</v>
      </c>
      <c r="AM439" s="545">
        <v>1.25</v>
      </c>
      <c r="AO439" s="397" t="s">
        <v>613</v>
      </c>
      <c r="AP439" s="545">
        <v>0.01</v>
      </c>
      <c r="AQ439" s="545">
        <f>ROUND(AVERAGE(AP439,AR439),2)</f>
        <v>0.03</v>
      </c>
      <c r="AR439" s="545">
        <v>0.05</v>
      </c>
    </row>
    <row r="440" spans="1:44" ht="18.75" x14ac:dyDescent="0.3">
      <c r="A440" s="388">
        <f>IF('Account Info'!$T$8=TRUE,1,0)</f>
        <v>1</v>
      </c>
      <c r="B440" s="470" t="s">
        <v>648</v>
      </c>
      <c r="C440" s="309"/>
      <c r="D440" s="309"/>
      <c r="E440" s="310"/>
      <c r="F440" s="309"/>
      <c r="G440" s="309"/>
      <c r="H440" s="309"/>
      <c r="I440" s="309"/>
      <c r="J440" s="309"/>
      <c r="K440" s="309"/>
      <c r="L440" s="309"/>
      <c r="M440" s="309"/>
      <c r="N440" s="309"/>
      <c r="O440" s="309"/>
      <c r="P440" s="309"/>
      <c r="Q440" s="309"/>
      <c r="R440" s="309"/>
      <c r="S440" s="309"/>
      <c r="T440" s="309"/>
      <c r="U440" s="311"/>
      <c r="V440" s="340"/>
      <c r="AD440" s="316"/>
      <c r="AE440" s="316"/>
      <c r="AF440" s="316"/>
      <c r="AG440" s="316"/>
      <c r="AJ440" s="510" t="s">
        <v>641</v>
      </c>
      <c r="AK440" s="312"/>
      <c r="AL440" s="312"/>
      <c r="AM440" s="312"/>
      <c r="AO440" s="397" t="s">
        <v>615</v>
      </c>
      <c r="AP440" s="545">
        <v>0.06</v>
      </c>
      <c r="AQ440" s="545">
        <f>ROUND(AVERAGE(AP440,AR440),2)</f>
        <v>0.08</v>
      </c>
      <c r="AR440" s="545">
        <v>0.1</v>
      </c>
    </row>
    <row r="441" spans="1:44" ht="15" customHeight="1" x14ac:dyDescent="0.3">
      <c r="A441" s="388">
        <f>IF('Account Info'!$T$8=TRUE,1,0)</f>
        <v>1</v>
      </c>
      <c r="B441" s="451"/>
      <c r="C441" s="348" t="s">
        <v>570</v>
      </c>
      <c r="D441" s="348"/>
      <c r="E441" s="439"/>
      <c r="F441" s="349"/>
      <c r="G441" s="349"/>
      <c r="H441" s="453"/>
      <c r="I441" s="361" t="str">
        <f>IF('Account Info'!$AA$4="Range State","Low","")</f>
        <v>Low</v>
      </c>
      <c r="J441" s="361" t="str">
        <f>IF('Account Info'!$AA$4="Range State","Benchmark","Selection")</f>
        <v>Benchmark</v>
      </c>
      <c r="K441" s="361" t="str">
        <f>IF('Account Info'!$AA$4="Range State","High","")</f>
        <v>High</v>
      </c>
      <c r="L441" s="361" t="str">
        <f>IF('Account Info'!$AA$4="Range State","Selection","")</f>
        <v>Selection</v>
      </c>
      <c r="M441" s="536"/>
      <c r="N441" s="536"/>
      <c r="O441" s="441" t="s">
        <v>377</v>
      </c>
      <c r="P441" s="348"/>
      <c r="Q441" s="348"/>
      <c r="R441" s="348"/>
      <c r="S441" s="348"/>
      <c r="T441" s="348"/>
      <c r="U441" s="322"/>
      <c r="V441" s="340"/>
      <c r="AD441" s="316"/>
      <c r="AE441" s="316"/>
      <c r="AF441" s="316"/>
      <c r="AG441" s="316"/>
      <c r="AJ441" s="397" t="s">
        <v>417</v>
      </c>
      <c r="AK441" s="545">
        <v>0.8</v>
      </c>
      <c r="AL441" s="545">
        <f>ROUND(AVERAGE(AK441,AM441),2)</f>
        <v>0.9</v>
      </c>
      <c r="AM441" s="545">
        <v>1</v>
      </c>
      <c r="AO441" s="397" t="s">
        <v>617</v>
      </c>
      <c r="AP441" s="545">
        <v>0.11</v>
      </c>
      <c r="AQ441" s="545">
        <f>ROUND(AVERAGE(AP441,AR441),2)</f>
        <v>0.13</v>
      </c>
      <c r="AR441" s="545">
        <v>0.15</v>
      </c>
    </row>
    <row r="442" spans="1:44" ht="15" customHeight="1" x14ac:dyDescent="0.3">
      <c r="A442" s="388">
        <f>IF('Account Info'!$T$8=TRUE,1,0)</f>
        <v>1</v>
      </c>
      <c r="B442" s="451"/>
      <c r="C442" s="1060" t="s">
        <v>522</v>
      </c>
      <c r="D442" s="1061"/>
      <c r="E442" s="1061"/>
      <c r="F442" s="1061"/>
      <c r="G442" s="1061"/>
      <c r="H442" s="1062"/>
      <c r="I442" s="443">
        <f>IF(C442="","",VLOOKUP(C442,$AO$383:$AR$387,2,FALSE))</f>
        <v>1</v>
      </c>
      <c r="J442" s="443">
        <f>IF(C442="","",VLOOKUP(C442,$AO$383:$AR$387,3,FALSE))</f>
        <v>1</v>
      </c>
      <c r="K442" s="443">
        <f>IF(C442="","",VLOOKUP(C442,$AO$383:$AR$387,4,FALSE))</f>
        <v>1</v>
      </c>
      <c r="L442" s="454">
        <f>J442</f>
        <v>1</v>
      </c>
      <c r="M442" s="1063"/>
      <c r="N442" s="1064"/>
      <c r="O442" s="1040"/>
      <c r="P442" s="1065"/>
      <c r="Q442" s="1065"/>
      <c r="R442" s="1065"/>
      <c r="S442" s="1065"/>
      <c r="T442" s="1066"/>
      <c r="U442" s="322"/>
      <c r="V442" s="340">
        <f>IF('Account Info'!$AA$4="Flat Rate State",IF(J442="",1,J442),IF(L442="",1,L442))</f>
        <v>1</v>
      </c>
      <c r="X442" s="316"/>
      <c r="Y442" s="316"/>
      <c r="Z442" s="316"/>
      <c r="AA442" s="316"/>
      <c r="AB442" s="316"/>
      <c r="AC442" s="316"/>
      <c r="AD442" s="316"/>
      <c r="AE442" s="316"/>
      <c r="AF442" s="316"/>
      <c r="AG442" s="316"/>
      <c r="AJ442" s="397" t="s">
        <v>420</v>
      </c>
      <c r="AK442" s="545">
        <f t="shared" ref="AK442:AK443" si="32">AM441+0.01</f>
        <v>1.01</v>
      </c>
      <c r="AL442" s="545">
        <f>ROUND(AVERAGE(AK442,AM442),2)</f>
        <v>1.06</v>
      </c>
      <c r="AM442" s="545">
        <v>1.1000000000000001</v>
      </c>
      <c r="AO442" s="397" t="s">
        <v>619</v>
      </c>
      <c r="AP442" s="545">
        <v>0.16</v>
      </c>
      <c r="AQ442" s="545">
        <f>ROUND(AVERAGE(AP442,AR442),2)</f>
        <v>0.18</v>
      </c>
      <c r="AR442" s="545">
        <v>0.2</v>
      </c>
    </row>
    <row r="443" spans="1:44" ht="18.75" x14ac:dyDescent="0.3">
      <c r="A443" s="388">
        <f>IF('Account Info'!$T$8=TRUE,1,0)</f>
        <v>1</v>
      </c>
      <c r="B443" s="451"/>
      <c r="C443" s="321"/>
      <c r="D443" s="456"/>
      <c r="E443" s="457"/>
      <c r="F443" s="456"/>
      <c r="G443" s="456"/>
      <c r="H443" s="456"/>
      <c r="I443" s="464"/>
      <c r="J443" s="464"/>
      <c r="K443" s="460"/>
      <c r="L443" s="460" t="str">
        <f>IF(AND('Account Info'!$AA$4="Range State",L442&lt;&gt;"",OR(L442&lt;I442,L442&gt;K442)),"Factor is out of range","")</f>
        <v/>
      </c>
      <c r="M443" s="362"/>
      <c r="N443" s="362"/>
      <c r="O443" s="1046"/>
      <c r="P443" s="1047"/>
      <c r="Q443" s="1047"/>
      <c r="R443" s="1047"/>
      <c r="S443" s="1047"/>
      <c r="T443" s="1048"/>
      <c r="U443" s="322"/>
      <c r="V443" s="340"/>
      <c r="X443" s="316"/>
      <c r="Y443" s="316"/>
      <c r="Z443" s="316"/>
      <c r="AA443" s="316"/>
      <c r="AB443" s="316"/>
      <c r="AC443" s="316"/>
      <c r="AD443" s="316"/>
      <c r="AE443" s="316"/>
      <c r="AF443" s="316"/>
      <c r="AG443" s="316"/>
      <c r="AJ443" s="397" t="s">
        <v>422</v>
      </c>
      <c r="AK443" s="545">
        <f t="shared" si="32"/>
        <v>1.1100000000000001</v>
      </c>
      <c r="AL443" s="545">
        <f>ROUND(AVERAGE(AK443,AM443),2)</f>
        <v>1.18</v>
      </c>
      <c r="AM443" s="545">
        <v>1.25</v>
      </c>
      <c r="AO443" s="510" t="s">
        <v>649</v>
      </c>
    </row>
    <row r="444" spans="1:44" x14ac:dyDescent="0.25">
      <c r="A444" s="388">
        <f>IF('Account Info'!$T$8=TRUE,1,0)</f>
        <v>1</v>
      </c>
      <c r="B444" s="317"/>
      <c r="C444" s="1083" t="s">
        <v>650</v>
      </c>
      <c r="D444" s="1084"/>
      <c r="E444" s="538"/>
      <c r="F444" s="538"/>
      <c r="G444" s="538"/>
      <c r="H444" s="440"/>
      <c r="I444" s="361"/>
      <c r="J444" s="361"/>
      <c r="K444" s="361"/>
      <c r="L444" s="361"/>
      <c r="M444" s="440"/>
      <c r="N444" s="440"/>
      <c r="O444" s="549"/>
      <c r="P444" s="549"/>
      <c r="Q444" s="549"/>
      <c r="R444" s="549"/>
      <c r="S444" s="549"/>
      <c r="T444" s="549"/>
      <c r="U444" s="322"/>
      <c r="V444" s="340"/>
      <c r="X444" s="316"/>
      <c r="Y444" s="316"/>
      <c r="Z444" s="316"/>
      <c r="AA444" s="316"/>
      <c r="AB444" s="316"/>
      <c r="AC444" s="316"/>
      <c r="AO444" s="397" t="s">
        <v>613</v>
      </c>
      <c r="AP444" s="545">
        <v>0.01</v>
      </c>
      <c r="AQ444" s="545">
        <f>ROUND(AVERAGE(AP444,AR444),2)</f>
        <v>0.13</v>
      </c>
      <c r="AR444" s="545">
        <v>0.25</v>
      </c>
    </row>
    <row r="445" spans="1:44" ht="15" customHeight="1" x14ac:dyDescent="0.25">
      <c r="A445" s="388">
        <f>IF('Account Info'!$T$8=TRUE,1,0)</f>
        <v>1</v>
      </c>
      <c r="B445" s="317"/>
      <c r="C445" s="1047"/>
      <c r="D445" s="1047"/>
      <c r="E445" s="1032" t="s">
        <v>366</v>
      </c>
      <c r="F445" s="1032"/>
      <c r="G445" s="1032"/>
      <c r="H445" s="361" t="s">
        <v>139</v>
      </c>
      <c r="I445" s="361" t="str">
        <f>IF('Account Info'!$AA$4="Range State","Low","")</f>
        <v>Low</v>
      </c>
      <c r="J445" s="361" t="str">
        <f>IF('Account Info'!$AA$4="Range State","Benchmark","Selection")</f>
        <v>Benchmark</v>
      </c>
      <c r="K445" s="361" t="str">
        <f>IF('Account Info'!$AA$4="Range State","High","")</f>
        <v>High</v>
      </c>
      <c r="L445" s="361" t="str">
        <f>IF('Account Info'!$AA$4="Range State","Selection","")</f>
        <v>Selection</v>
      </c>
      <c r="M445" s="536"/>
      <c r="N445" s="536"/>
      <c r="O445" s="441" t="s">
        <v>377</v>
      </c>
      <c r="P445" s="348"/>
      <c r="Q445" s="348"/>
      <c r="R445" s="348"/>
      <c r="S445" s="348"/>
      <c r="T445" s="348"/>
      <c r="U445" s="322"/>
      <c r="V445" s="340"/>
      <c r="X445" s="316"/>
      <c r="Y445" s="316"/>
      <c r="Z445" s="316"/>
      <c r="AA445" s="316"/>
      <c r="AB445" s="316"/>
      <c r="AC445" s="316"/>
      <c r="AO445" s="397" t="s">
        <v>615</v>
      </c>
      <c r="AP445" s="545">
        <v>0.26</v>
      </c>
      <c r="AQ445" s="545">
        <f>ROUND(AVERAGE(AP445,AR445),2)</f>
        <v>0.38</v>
      </c>
      <c r="AR445" s="545">
        <v>0.5</v>
      </c>
    </row>
    <row r="446" spans="1:44" ht="15" customHeight="1" x14ac:dyDescent="0.25">
      <c r="A446" s="388">
        <f>IF('Account Info'!$T$8=TRUE,1,0)</f>
        <v>1</v>
      </c>
      <c r="B446" s="317"/>
      <c r="C446" s="1033">
        <f>$D$41</f>
        <v>1000000</v>
      </c>
      <c r="D446" s="1034"/>
      <c r="E446" s="1085">
        <f>$D$43</f>
        <v>10000</v>
      </c>
      <c r="F446" s="1086"/>
      <c r="G446" s="1087"/>
      <c r="H446" s="550" t="s">
        <v>615</v>
      </c>
      <c r="I446" s="443">
        <f>IF(H446="","",VLOOKUP(H446,AO389:AR392,2,FALSE))</f>
        <v>0.1</v>
      </c>
      <c r="J446" s="443">
        <f>IF(H446="","",VLOOKUP(H446,AO389:AR392,3,FALSE))</f>
        <v>0.13</v>
      </c>
      <c r="K446" s="443">
        <f>IF(H446="","",VLOOKUP(H446,AO389:AR392,4,FALSE))</f>
        <v>0.15</v>
      </c>
      <c r="L446" s="444">
        <f>J446</f>
        <v>0.13</v>
      </c>
      <c r="M446" s="1049">
        <f ca="1">ROUND(IF(OR(C446="",E446="",H446=""),0,IF('Account Info'!$AA$4="Flat Rate State",J446,L446)*$D$38*$V$442*('Cyber ILFs'!K9/'Cyber ILFs'!$K$5)*('Cyber ILFs'!W9/'Cyber ILFs'!$W$5)*PRODUCT(Rater!$V$384:$V$426)*CySchdMod),0)</f>
        <v>68</v>
      </c>
      <c r="N446" s="1050"/>
      <c r="O446" s="1040"/>
      <c r="P446" s="1065"/>
      <c r="Q446" s="1065"/>
      <c r="R446" s="1065"/>
      <c r="S446" s="1065"/>
      <c r="T446" s="1066"/>
      <c r="U446" s="322"/>
      <c r="V446" s="340"/>
      <c r="AO446" s="397" t="s">
        <v>617</v>
      </c>
      <c r="AP446" s="545">
        <v>0.51</v>
      </c>
      <c r="AQ446" s="545">
        <f>ROUND(AVERAGE(AP446,AR446),2)</f>
        <v>0.63</v>
      </c>
      <c r="AR446" s="545">
        <v>0.75</v>
      </c>
    </row>
    <row r="447" spans="1:44" x14ac:dyDescent="0.25">
      <c r="A447" s="388">
        <f>IF('Account Info'!$T$8=TRUE,1,0)</f>
        <v>1</v>
      </c>
      <c r="B447" s="317"/>
      <c r="C447" s="361"/>
      <c r="D447" s="537"/>
      <c r="E447" s="538"/>
      <c r="F447" s="538"/>
      <c r="G447" s="538"/>
      <c r="H447" s="362"/>
      <c r="I447" s="362"/>
      <c r="J447" s="362"/>
      <c r="K447" s="362"/>
      <c r="L447" s="362"/>
      <c r="M447" s="362"/>
      <c r="N447" s="362"/>
      <c r="O447" s="1046"/>
      <c r="P447" s="1047"/>
      <c r="Q447" s="1047"/>
      <c r="R447" s="1047"/>
      <c r="S447" s="1047"/>
      <c r="T447" s="1048"/>
      <c r="U447" s="322"/>
      <c r="V447" s="340"/>
      <c r="AO447" s="397" t="s">
        <v>619</v>
      </c>
      <c r="AP447" s="545">
        <v>0.76</v>
      </c>
      <c r="AQ447" s="545">
        <f>ROUND(AVERAGE(AP447,AR447),2)</f>
        <v>0.88</v>
      </c>
      <c r="AR447" s="545">
        <v>1</v>
      </c>
    </row>
    <row r="448" spans="1:44" x14ac:dyDescent="0.25">
      <c r="A448" s="388">
        <f>IF('Account Info'!$T$8=TRUE,1,0)</f>
        <v>1</v>
      </c>
      <c r="B448" s="317"/>
      <c r="C448" s="1083" t="s">
        <v>651</v>
      </c>
      <c r="D448" s="1084"/>
      <c r="E448" s="538"/>
      <c r="F448" s="538"/>
      <c r="G448" s="538"/>
      <c r="H448" s="440"/>
      <c r="I448" s="361"/>
      <c r="J448" s="361"/>
      <c r="K448" s="361"/>
      <c r="L448" s="361"/>
      <c r="M448" s="440"/>
      <c r="N448" s="440"/>
      <c r="O448" s="549"/>
      <c r="P448" s="549"/>
      <c r="Q448" s="549"/>
      <c r="R448" s="549"/>
      <c r="S448" s="549"/>
      <c r="T448" s="549"/>
      <c r="U448" s="322"/>
      <c r="V448" s="340"/>
      <c r="AO448" s="510" t="s">
        <v>652</v>
      </c>
    </row>
    <row r="449" spans="1:44" ht="15" customHeight="1" x14ac:dyDescent="0.25">
      <c r="A449" s="388">
        <f>IF('Account Info'!$T$8=TRUE,1,0)</f>
        <v>1</v>
      </c>
      <c r="B449" s="317"/>
      <c r="C449" s="1047"/>
      <c r="D449" s="1047"/>
      <c r="E449" s="1032" t="s">
        <v>366</v>
      </c>
      <c r="F449" s="1032"/>
      <c r="G449" s="1032"/>
      <c r="H449" s="361" t="s">
        <v>139</v>
      </c>
      <c r="I449" s="361" t="str">
        <f>IF('Account Info'!$AA$4="Range State","Low","")</f>
        <v>Low</v>
      </c>
      <c r="J449" s="361" t="str">
        <f>IF('Account Info'!$AA$4="Range State","Benchmark","Selection")</f>
        <v>Benchmark</v>
      </c>
      <c r="K449" s="361" t="str">
        <f>IF('Account Info'!$AA$4="Range State","High","")</f>
        <v>High</v>
      </c>
      <c r="L449" s="361" t="str">
        <f>IF('Account Info'!$AA$4="Range State","Selection","")</f>
        <v>Selection</v>
      </c>
      <c r="M449" s="536"/>
      <c r="N449" s="536"/>
      <c r="O449" s="441" t="s">
        <v>377</v>
      </c>
      <c r="P449" s="348"/>
      <c r="Q449" s="348"/>
      <c r="R449" s="348"/>
      <c r="S449" s="348"/>
      <c r="T449" s="348"/>
      <c r="U449" s="322"/>
      <c r="V449" s="340"/>
      <c r="AO449" s="397" t="s">
        <v>613</v>
      </c>
      <c r="AP449" s="545">
        <v>0.01</v>
      </c>
      <c r="AQ449" s="545">
        <f>ROUND(AVERAGE(AP449,AR449),2)</f>
        <v>0.06</v>
      </c>
      <c r="AR449" s="545">
        <v>0.1</v>
      </c>
    </row>
    <row r="450" spans="1:44" x14ac:dyDescent="0.25">
      <c r="A450" s="388">
        <f>IF('Account Info'!$T$8=TRUE,1,0)</f>
        <v>1</v>
      </c>
      <c r="B450" s="317"/>
      <c r="C450" s="1033">
        <f>$D$41</f>
        <v>1000000</v>
      </c>
      <c r="D450" s="1034"/>
      <c r="E450" s="1085">
        <f>$D$43</f>
        <v>10000</v>
      </c>
      <c r="F450" s="1086"/>
      <c r="G450" s="1087"/>
      <c r="H450" s="550" t="s">
        <v>615</v>
      </c>
      <c r="I450" s="443">
        <f>IF(H450="","",VLOOKUP(H450,AO394:AR397,2,FALSE))</f>
        <v>0.1</v>
      </c>
      <c r="J450" s="443">
        <f>IF(H450="","",VLOOKUP(H450,AO394:AR397,3,FALSE))</f>
        <v>0.13</v>
      </c>
      <c r="K450" s="443">
        <f>IF(H450="","",VLOOKUP(H450,AO394:AR397,4,FALSE))</f>
        <v>0.15</v>
      </c>
      <c r="L450" s="444">
        <f>J450</f>
        <v>0.13</v>
      </c>
      <c r="M450" s="1049">
        <f ca="1">ROUND(IF(OR(C450="",E450="",H450=""),0,IF('Account Info'!$AA$4="Flat Rate State",J450,L450)*$D$38*$V$442*('Cyber ILFs'!K13/'Cyber ILFs'!$K$5)*('Cyber ILFs'!W13/'Cyber ILFs'!$W$5)*PRODUCT(Rater!$V$384:$V$426)*CySchdMod),0)</f>
        <v>68</v>
      </c>
      <c r="N450" s="1050"/>
      <c r="O450" s="1040"/>
      <c r="P450" s="1065"/>
      <c r="Q450" s="1065"/>
      <c r="R450" s="1065"/>
      <c r="S450" s="1065"/>
      <c r="T450" s="1066"/>
      <c r="U450" s="322"/>
      <c r="V450" s="340"/>
      <c r="AO450" s="397" t="s">
        <v>615</v>
      </c>
      <c r="AP450" s="545">
        <v>0.11</v>
      </c>
      <c r="AQ450" s="545">
        <f>ROUND(AVERAGE(AP450,AR450),2)</f>
        <v>0.16</v>
      </c>
      <c r="AR450" s="545">
        <v>0.2</v>
      </c>
    </row>
    <row r="451" spans="1:44" x14ac:dyDescent="0.25">
      <c r="A451" s="388">
        <f>IF('Account Info'!$T$8=TRUE,1,0)</f>
        <v>1</v>
      </c>
      <c r="B451" s="317"/>
      <c r="C451" s="361"/>
      <c r="D451" s="537"/>
      <c r="E451" s="538"/>
      <c r="F451" s="538"/>
      <c r="G451" s="538"/>
      <c r="H451" s="362"/>
      <c r="I451" s="362"/>
      <c r="J451" s="362"/>
      <c r="K451" s="362"/>
      <c r="L451" s="362"/>
      <c r="M451" s="362"/>
      <c r="N451" s="362"/>
      <c r="O451" s="1046"/>
      <c r="P451" s="1047"/>
      <c r="Q451" s="1047"/>
      <c r="R451" s="1047"/>
      <c r="S451" s="1047"/>
      <c r="T451" s="1048"/>
      <c r="U451" s="322"/>
      <c r="V451" s="340"/>
      <c r="AO451" s="397" t="s">
        <v>617</v>
      </c>
      <c r="AP451" s="545">
        <v>0.21</v>
      </c>
      <c r="AQ451" s="545">
        <f>ROUND(AVERAGE(AP451,AR451),2)</f>
        <v>0.26</v>
      </c>
      <c r="AR451" s="545">
        <v>0.3</v>
      </c>
    </row>
    <row r="452" spans="1:44" x14ac:dyDescent="0.25">
      <c r="A452" s="388">
        <f>IF('Account Info'!$T$8=TRUE,1,0)</f>
        <v>1</v>
      </c>
      <c r="B452" s="317"/>
      <c r="C452" s="1083" t="s">
        <v>653</v>
      </c>
      <c r="D452" s="1084"/>
      <c r="E452" s="538"/>
      <c r="F452" s="538"/>
      <c r="G452" s="538"/>
      <c r="H452" s="440"/>
      <c r="I452" s="361"/>
      <c r="J452" s="361"/>
      <c r="K452" s="361"/>
      <c r="L452" s="361"/>
      <c r="M452" s="440"/>
      <c r="N452" s="440"/>
      <c r="O452" s="549"/>
      <c r="P452" s="549"/>
      <c r="Q452" s="549"/>
      <c r="R452" s="549"/>
      <c r="S452" s="549"/>
      <c r="T452" s="549"/>
      <c r="U452" s="322"/>
      <c r="V452" s="340"/>
      <c r="AO452" s="397" t="s">
        <v>619</v>
      </c>
      <c r="AP452" s="545">
        <v>0.31</v>
      </c>
      <c r="AQ452" s="545">
        <f>ROUND(AVERAGE(AP452,AR452),2)</f>
        <v>0.36</v>
      </c>
      <c r="AR452" s="545">
        <v>0.4</v>
      </c>
    </row>
    <row r="453" spans="1:44" x14ac:dyDescent="0.25">
      <c r="A453" s="388">
        <f>IF('Account Info'!$T$8=TRUE,1,0)</f>
        <v>1</v>
      </c>
      <c r="B453" s="317"/>
      <c r="C453" s="1047"/>
      <c r="D453" s="1047"/>
      <c r="E453" s="1032" t="s">
        <v>366</v>
      </c>
      <c r="F453" s="1032"/>
      <c r="G453" s="1032"/>
      <c r="H453" s="361" t="s">
        <v>139</v>
      </c>
      <c r="I453" s="361" t="str">
        <f>IF('Account Info'!$AA$4="Range State","Low","")</f>
        <v>Low</v>
      </c>
      <c r="J453" s="361" t="str">
        <f>IF('Account Info'!$AA$4="Range State","Benchmark","Selection")</f>
        <v>Benchmark</v>
      </c>
      <c r="K453" s="361" t="str">
        <f>IF('Account Info'!$AA$4="Range State","High","")</f>
        <v>High</v>
      </c>
      <c r="L453" s="361" t="str">
        <f>IF('Account Info'!$AA$4="Range State","Selection","")</f>
        <v>Selection</v>
      </c>
      <c r="M453" s="536"/>
      <c r="N453" s="536"/>
      <c r="O453" s="441" t="s">
        <v>377</v>
      </c>
      <c r="P453" s="348"/>
      <c r="Q453" s="348"/>
      <c r="R453" s="348"/>
      <c r="S453" s="348"/>
      <c r="T453" s="348"/>
      <c r="U453" s="322"/>
      <c r="V453" s="340"/>
      <c r="AO453" s="510" t="s">
        <v>654</v>
      </c>
    </row>
    <row r="454" spans="1:44" x14ac:dyDescent="0.25">
      <c r="A454" s="388">
        <f>IF('Account Info'!$T$8=TRUE,1,0)</f>
        <v>1</v>
      </c>
      <c r="B454" s="317"/>
      <c r="C454" s="1033">
        <v>0</v>
      </c>
      <c r="D454" s="1034"/>
      <c r="E454" s="1085">
        <v>0</v>
      </c>
      <c r="F454" s="1086"/>
      <c r="G454" s="1087"/>
      <c r="H454" s="550"/>
      <c r="I454" s="443" t="str">
        <f>IF(H454="","",VLOOKUP(H454,AO399:AR402,2,FALSE))</f>
        <v/>
      </c>
      <c r="J454" s="443" t="str">
        <f>IF(H454="","",VLOOKUP(H454,AO399:AR402,3,FALSE))</f>
        <v/>
      </c>
      <c r="K454" s="443" t="str">
        <f>IF(H454="","",VLOOKUP(H454,AO399:AR402,4,FALSE))</f>
        <v/>
      </c>
      <c r="L454" s="444"/>
      <c r="M454" s="1049">
        <f>ROUND(IF(OR(C454="",E454="",H454=""),0,IF('Account Info'!$AA$4="Flat Rate State",J454,L454)*$D$38*$V$442*('Cyber ILFs'!K17/'Cyber ILFs'!$K$5)*('Cyber ILFs'!W17/'Cyber ILFs'!$W$5)*PRODUCT(Rater!$V$384:$V$426)*CySchdMod),0)</f>
        <v>0</v>
      </c>
      <c r="N454" s="1050"/>
      <c r="O454" s="1040"/>
      <c r="P454" s="1065"/>
      <c r="Q454" s="1065"/>
      <c r="R454" s="1065"/>
      <c r="S454" s="1065"/>
      <c r="T454" s="1066"/>
      <c r="U454" s="322"/>
      <c r="V454" s="340"/>
      <c r="AO454" s="397" t="s">
        <v>613</v>
      </c>
      <c r="AP454" s="545">
        <v>0.01</v>
      </c>
      <c r="AQ454" s="545">
        <f>ROUND(AVERAGE(AP454,AR454),2)</f>
        <v>0.06</v>
      </c>
      <c r="AR454" s="545">
        <v>0.1</v>
      </c>
    </row>
    <row r="455" spans="1:44" x14ac:dyDescent="0.25">
      <c r="A455" s="388">
        <f>IF('Account Info'!$T$8=TRUE,1,0)</f>
        <v>1</v>
      </c>
      <c r="B455" s="317"/>
      <c r="C455" s="361"/>
      <c r="D455" s="537"/>
      <c r="E455" s="538"/>
      <c r="F455" s="538"/>
      <c r="G455" s="538"/>
      <c r="H455" s="362"/>
      <c r="I455" s="362"/>
      <c r="J455" s="362"/>
      <c r="K455" s="362"/>
      <c r="L455" s="362"/>
      <c r="M455" s="362"/>
      <c r="N455" s="362"/>
      <c r="O455" s="1046"/>
      <c r="P455" s="1047"/>
      <c r="Q455" s="1047"/>
      <c r="R455" s="1047"/>
      <c r="S455" s="1047"/>
      <c r="T455" s="1048"/>
      <c r="U455" s="322"/>
      <c r="V455" s="340"/>
      <c r="AO455" s="397" t="s">
        <v>615</v>
      </c>
      <c r="AP455" s="545">
        <v>0.11</v>
      </c>
      <c r="AQ455" s="545">
        <f>ROUND(AVERAGE(AP455,AR455),2)</f>
        <v>0.16</v>
      </c>
      <c r="AR455" s="545">
        <v>0.2</v>
      </c>
    </row>
    <row r="456" spans="1:44" x14ac:dyDescent="0.25">
      <c r="A456" s="388">
        <f>IF('Account Info'!$T$8=TRUE,1,0)</f>
        <v>1</v>
      </c>
      <c r="B456" s="317"/>
      <c r="C456" s="1083" t="s">
        <v>655</v>
      </c>
      <c r="D456" s="1084"/>
      <c r="E456" s="538"/>
      <c r="F456" s="538"/>
      <c r="G456" s="538"/>
      <c r="H456" s="440"/>
      <c r="I456" s="361"/>
      <c r="J456" s="361"/>
      <c r="K456" s="361"/>
      <c r="L456" s="361"/>
      <c r="M456" s="440"/>
      <c r="N456" s="440"/>
      <c r="O456" s="549"/>
      <c r="P456" s="549"/>
      <c r="Q456" s="549"/>
      <c r="R456" s="549"/>
      <c r="S456" s="549"/>
      <c r="T456" s="549"/>
      <c r="U456" s="322"/>
      <c r="V456" s="340"/>
      <c r="AO456" s="397" t="s">
        <v>617</v>
      </c>
      <c r="AP456" s="545">
        <v>0.21</v>
      </c>
      <c r="AQ456" s="545">
        <f>ROUND(AVERAGE(AP456,AR456),2)</f>
        <v>0.26</v>
      </c>
      <c r="AR456" s="545">
        <v>0.3</v>
      </c>
    </row>
    <row r="457" spans="1:44" ht="15" customHeight="1" x14ac:dyDescent="0.25">
      <c r="A457" s="388">
        <f>IF('Account Info'!$T$8=TRUE,1,0)</f>
        <v>1</v>
      </c>
      <c r="B457" s="317"/>
      <c r="C457" s="1047"/>
      <c r="D457" s="1047"/>
      <c r="E457" s="1032" t="s">
        <v>366</v>
      </c>
      <c r="F457" s="1032"/>
      <c r="G457" s="1032"/>
      <c r="H457" s="361" t="s">
        <v>139</v>
      </c>
      <c r="I457" s="361" t="str">
        <f>IF('Account Info'!$AA$4="Range State","Low","")</f>
        <v>Low</v>
      </c>
      <c r="J457" s="361" t="str">
        <f>IF('Account Info'!$AA$4="Range State","Benchmark","Selection")</f>
        <v>Benchmark</v>
      </c>
      <c r="K457" s="361" t="str">
        <f>IF('Account Info'!$AA$4="Range State","High","")</f>
        <v>High</v>
      </c>
      <c r="L457" s="361" t="str">
        <f>IF('Account Info'!$AA$4="Range State","Selection","")</f>
        <v>Selection</v>
      </c>
      <c r="M457" s="536"/>
      <c r="N457" s="536"/>
      <c r="O457" s="441" t="s">
        <v>377</v>
      </c>
      <c r="P457" s="348"/>
      <c r="Q457" s="348"/>
      <c r="R457" s="348"/>
      <c r="S457" s="348"/>
      <c r="T457" s="348"/>
      <c r="U457" s="322"/>
      <c r="V457" s="340"/>
      <c r="AJ457" s="316"/>
      <c r="AK457" s="316"/>
      <c r="AL457" s="316"/>
      <c r="AM457" s="316"/>
      <c r="AN457" s="316"/>
      <c r="AO457" s="397" t="s">
        <v>619</v>
      </c>
      <c r="AP457" s="545">
        <v>0.31</v>
      </c>
      <c r="AQ457" s="545">
        <f>ROUND(AVERAGE(AP457,AR457),2)</f>
        <v>0.36</v>
      </c>
      <c r="AR457" s="545">
        <v>0.4</v>
      </c>
    </row>
    <row r="458" spans="1:44" x14ac:dyDescent="0.25">
      <c r="A458" s="388">
        <f>IF('Account Info'!$T$8=TRUE,1,0)</f>
        <v>1</v>
      </c>
      <c r="B458" s="317"/>
      <c r="C458" s="1033">
        <f>$D$41</f>
        <v>1000000</v>
      </c>
      <c r="D458" s="1034"/>
      <c r="E458" s="1085">
        <f>$D$43</f>
        <v>10000</v>
      </c>
      <c r="F458" s="1086"/>
      <c r="G458" s="1087"/>
      <c r="H458" s="550" t="s">
        <v>615</v>
      </c>
      <c r="I458" s="443">
        <f>IF(H458="","",VLOOKUP(H458,AO404:AR407,2,FALSE))</f>
        <v>0.1</v>
      </c>
      <c r="J458" s="443">
        <f>IF(H458="","",VLOOKUP(H458,AO404:AR407,3,FALSE))</f>
        <v>0.13</v>
      </c>
      <c r="K458" s="443">
        <f>IF(H458="","",VLOOKUP(H458,AO404:AR407,4,FALSE))</f>
        <v>0.15</v>
      </c>
      <c r="L458" s="444">
        <f>J458</f>
        <v>0.13</v>
      </c>
      <c r="M458" s="1049">
        <f ca="1">ROUND(IF(OR(C458="",E458="",H458=""),0,IF('Account Info'!$AA$4="Flat Rate State",J458,L458)*$D$38*$V$442*('Cyber ILFs'!K21/'Cyber ILFs'!$K$5)*('Cyber ILFs'!W21/'Cyber ILFs'!$W$5)*PRODUCT(Rater!$V$384:$V$426)*CySchdMod),0)</f>
        <v>68</v>
      </c>
      <c r="N458" s="1050"/>
      <c r="O458" s="1040"/>
      <c r="P458" s="1065"/>
      <c r="Q458" s="1065"/>
      <c r="R458" s="1065"/>
      <c r="S458" s="1065"/>
      <c r="T458" s="1066"/>
      <c r="U458" s="322"/>
      <c r="V458" s="340"/>
      <c r="AJ458" s="316"/>
      <c r="AK458" s="316"/>
      <c r="AL458" s="316"/>
      <c r="AM458" s="316"/>
      <c r="AN458" s="316"/>
      <c r="AO458" s="316"/>
      <c r="AP458" s="316"/>
      <c r="AQ458" s="316"/>
      <c r="AR458" s="316"/>
    </row>
    <row r="459" spans="1:44" x14ac:dyDescent="0.25">
      <c r="A459" s="388">
        <f>IF('Account Info'!$T$8=TRUE,1,0)</f>
        <v>1</v>
      </c>
      <c r="B459" s="317"/>
      <c r="C459" s="361"/>
      <c r="D459" s="537"/>
      <c r="E459" s="538"/>
      <c r="F459" s="538"/>
      <c r="G459" s="538"/>
      <c r="H459" s="362"/>
      <c r="I459" s="362"/>
      <c r="J459" s="362"/>
      <c r="K459" s="362"/>
      <c r="L459" s="362"/>
      <c r="M459" s="362"/>
      <c r="N459" s="362"/>
      <c r="O459" s="1046"/>
      <c r="P459" s="1047"/>
      <c r="Q459" s="1047"/>
      <c r="R459" s="1047"/>
      <c r="S459" s="1047"/>
      <c r="T459" s="1048"/>
      <c r="U459" s="322"/>
      <c r="V459" s="340"/>
      <c r="AJ459" s="316"/>
      <c r="AK459" s="316"/>
      <c r="AL459" s="316"/>
      <c r="AM459" s="316"/>
      <c r="AN459" s="316"/>
      <c r="AO459" s="316"/>
      <c r="AP459" s="316"/>
      <c r="AQ459" s="316"/>
      <c r="AR459" s="316"/>
    </row>
    <row r="460" spans="1:44" x14ac:dyDescent="0.25">
      <c r="A460" s="388">
        <f>IF('Account Info'!$T$8=TRUE,1,0)</f>
        <v>1</v>
      </c>
      <c r="B460" s="317"/>
      <c r="C460" s="1083" t="s">
        <v>656</v>
      </c>
      <c r="D460" s="1084"/>
      <c r="E460" s="538"/>
      <c r="F460" s="538"/>
      <c r="G460" s="538"/>
      <c r="H460" s="440"/>
      <c r="I460" s="361"/>
      <c r="J460" s="361"/>
      <c r="K460" s="361"/>
      <c r="L460" s="361"/>
      <c r="M460" s="440"/>
      <c r="N460" s="440"/>
      <c r="O460" s="549"/>
      <c r="P460" s="549"/>
      <c r="Q460" s="549"/>
      <c r="R460" s="549"/>
      <c r="S460" s="549"/>
      <c r="T460" s="549"/>
      <c r="U460" s="322"/>
      <c r="V460" s="340"/>
    </row>
    <row r="461" spans="1:44" ht="15" customHeight="1" x14ac:dyDescent="0.25">
      <c r="A461" s="388">
        <f>IF('Account Info'!$T$8=TRUE,1,0)</f>
        <v>1</v>
      </c>
      <c r="B461" s="317"/>
      <c r="C461" s="1047"/>
      <c r="D461" s="1047"/>
      <c r="E461" s="1032" t="s">
        <v>366</v>
      </c>
      <c r="F461" s="1032"/>
      <c r="G461" s="1032"/>
      <c r="H461" s="361" t="s">
        <v>139</v>
      </c>
      <c r="I461" s="361" t="str">
        <f>IF('Account Info'!$AA$4="Range State","Low","")</f>
        <v>Low</v>
      </c>
      <c r="J461" s="361" t="str">
        <f>IF('Account Info'!$AA$4="Range State","Benchmark","Selection")</f>
        <v>Benchmark</v>
      </c>
      <c r="K461" s="361" t="str">
        <f>IF('Account Info'!$AA$4="Range State","High","")</f>
        <v>High</v>
      </c>
      <c r="L461" s="361" t="str">
        <f>IF('Account Info'!$AA$4="Range State","Selection","")</f>
        <v>Selection</v>
      </c>
      <c r="M461" s="536"/>
      <c r="N461" s="536"/>
      <c r="O461" s="441" t="s">
        <v>377</v>
      </c>
      <c r="P461" s="348"/>
      <c r="Q461" s="348"/>
      <c r="R461" s="348"/>
      <c r="S461" s="348"/>
      <c r="T461" s="348"/>
      <c r="U461" s="322"/>
      <c r="V461" s="340"/>
    </row>
    <row r="462" spans="1:44" x14ac:dyDescent="0.25">
      <c r="A462" s="388">
        <f>IF('Account Info'!$T$8=TRUE,1,0)</f>
        <v>1</v>
      </c>
      <c r="B462" s="317"/>
      <c r="C462" s="1033">
        <f>$D$41</f>
        <v>1000000</v>
      </c>
      <c r="D462" s="1034"/>
      <c r="E462" s="1085">
        <v>10000</v>
      </c>
      <c r="F462" s="1086"/>
      <c r="G462" s="1087"/>
      <c r="H462" s="550" t="s">
        <v>615</v>
      </c>
      <c r="I462" s="443">
        <f>IF(H462="","",VLOOKUP(H462,AO409:AR412,2,FALSE))</f>
        <v>0.25</v>
      </c>
      <c r="J462" s="443">
        <f>IF(H462="","",VLOOKUP(H462,AO409:AR412,3,FALSE))</f>
        <v>0.38</v>
      </c>
      <c r="K462" s="443">
        <f>IF(H462="","",VLOOKUP(H462,AO409:AR412,4,FALSE))</f>
        <v>0.5</v>
      </c>
      <c r="L462" s="444">
        <f>J462</f>
        <v>0.38</v>
      </c>
      <c r="M462" s="1049">
        <f ca="1">ROUND(IF(OR(C462="",E462="",H462=""),0,IF('Account Info'!$AA$4="Flat Rate State",J462,L462)*$D$38*$V$442*('Cyber ILFs'!K25/'Cyber ILFs'!$K$5)*('Cyber ILFs'!W25/'Cyber ILFs'!$W$5)*PRODUCT(Rater!$V$384:$V$426)*CySchdMod*I464),0)</f>
        <v>197</v>
      </c>
      <c r="N462" s="1050"/>
      <c r="O462" s="1040"/>
      <c r="P462" s="1065"/>
      <c r="Q462" s="1065"/>
      <c r="R462" s="1065"/>
      <c r="S462" s="1065"/>
      <c r="T462" s="1066"/>
      <c r="U462" s="322"/>
      <c r="V462" s="340"/>
    </row>
    <row r="463" spans="1:44" x14ac:dyDescent="0.25">
      <c r="A463" s="388">
        <f>IF('Account Info'!$T$8=TRUE,1,0)</f>
        <v>1</v>
      </c>
      <c r="B463" s="317"/>
      <c r="C463" s="362"/>
      <c r="D463" s="362"/>
      <c r="E463" s="362"/>
      <c r="F463" s="362"/>
      <c r="G463" s="362"/>
      <c r="H463" s="551" t="s">
        <v>657</v>
      </c>
      <c r="I463" s="552" t="s">
        <v>156</v>
      </c>
      <c r="J463" s="466"/>
      <c r="K463" s="466"/>
      <c r="L463" s="548"/>
      <c r="M463" s="553"/>
      <c r="N463" s="554"/>
      <c r="O463" s="1088"/>
      <c r="P463" s="1089"/>
      <c r="Q463" s="1089"/>
      <c r="R463" s="1089"/>
      <c r="S463" s="1089"/>
      <c r="T463" s="1090"/>
      <c r="U463" s="322"/>
      <c r="V463" s="340"/>
    </row>
    <row r="464" spans="1:44" x14ac:dyDescent="0.25">
      <c r="A464" s="388">
        <f>IF('Account Info'!$T$8=TRUE,1,0)</f>
        <v>1</v>
      </c>
      <c r="B464" s="317"/>
      <c r="C464" s="361"/>
      <c r="D464" s="537"/>
      <c r="E464" s="538"/>
      <c r="F464" s="538"/>
      <c r="G464" s="538"/>
      <c r="H464" s="550">
        <v>8</v>
      </c>
      <c r="I464" s="443">
        <f>IF(H464="","",AY410)</f>
        <v>1</v>
      </c>
      <c r="J464" s="362"/>
      <c r="K464" s="362"/>
      <c r="L464" s="362"/>
      <c r="M464" s="362"/>
      <c r="N464" s="362"/>
      <c r="O464" s="1046"/>
      <c r="P464" s="1047"/>
      <c r="Q464" s="1047"/>
      <c r="R464" s="1047"/>
      <c r="S464" s="1047"/>
      <c r="T464" s="1048"/>
      <c r="U464" s="322"/>
      <c r="V464" s="340"/>
    </row>
    <row r="465" spans="1:22" x14ac:dyDescent="0.25">
      <c r="A465" s="388">
        <f>IF('Account Info'!$T$8=TRUE,1,0)</f>
        <v>1</v>
      </c>
      <c r="B465" s="317"/>
      <c r="C465" s="1083" t="s">
        <v>658</v>
      </c>
      <c r="D465" s="1084"/>
      <c r="E465" s="538"/>
      <c r="F465" s="538"/>
      <c r="G465" s="538"/>
      <c r="H465" s="440"/>
      <c r="I465" s="361"/>
      <c r="J465" s="361"/>
      <c r="K465" s="361"/>
      <c r="L465" s="361"/>
      <c r="M465" s="440"/>
      <c r="N465" s="440"/>
      <c r="O465" s="549"/>
      <c r="P465" s="549"/>
      <c r="Q465" s="549"/>
      <c r="R465" s="549"/>
      <c r="S465" s="549"/>
      <c r="T465" s="549"/>
      <c r="U465" s="322"/>
      <c r="V465" s="340"/>
    </row>
    <row r="466" spans="1:22" ht="15" customHeight="1" x14ac:dyDescent="0.25">
      <c r="A466" s="388">
        <f>IF('Account Info'!$T$8=TRUE,1,0)</f>
        <v>1</v>
      </c>
      <c r="B466" s="317"/>
      <c r="C466" s="1047"/>
      <c r="D466" s="1047"/>
      <c r="E466" s="1032" t="s">
        <v>366</v>
      </c>
      <c r="F466" s="1032"/>
      <c r="G466" s="1032"/>
      <c r="H466" s="361" t="s">
        <v>139</v>
      </c>
      <c r="I466" s="361" t="str">
        <f>IF('Account Info'!$AA$4="Range State","Low","")</f>
        <v>Low</v>
      </c>
      <c r="J466" s="361" t="str">
        <f>IF('Account Info'!$AA$4="Range State","Benchmark","Selection")</f>
        <v>Benchmark</v>
      </c>
      <c r="K466" s="361" t="str">
        <f>IF('Account Info'!$AA$4="Range State","High","")</f>
        <v>High</v>
      </c>
      <c r="L466" s="361" t="str">
        <f>IF('Account Info'!$AA$4="Range State","Selection","")</f>
        <v>Selection</v>
      </c>
      <c r="M466" s="536"/>
      <c r="N466" s="536"/>
      <c r="O466" s="441" t="s">
        <v>377</v>
      </c>
      <c r="P466" s="348"/>
      <c r="Q466" s="348"/>
      <c r="R466" s="348"/>
      <c r="S466" s="348"/>
      <c r="T466" s="348"/>
      <c r="U466" s="322"/>
      <c r="V466" s="340"/>
    </row>
    <row r="467" spans="1:22" x14ac:dyDescent="0.25">
      <c r="A467" s="388">
        <f>IF('Account Info'!$T$8=TRUE,1,0)</f>
        <v>1</v>
      </c>
      <c r="B467" s="317"/>
      <c r="C467" s="1033">
        <f>$D$41</f>
        <v>1000000</v>
      </c>
      <c r="D467" s="1034"/>
      <c r="E467" s="1085">
        <v>10000</v>
      </c>
      <c r="F467" s="1086"/>
      <c r="G467" s="1087"/>
      <c r="H467" s="550" t="s">
        <v>615</v>
      </c>
      <c r="I467" s="443">
        <f>IF(H467="","",VLOOKUP(H467,AO414:AR417,2,FALSE))</f>
        <v>0.25</v>
      </c>
      <c r="J467" s="443">
        <f>IF(H467="","",VLOOKUP(H467,AO414:AR417,3,FALSE))</f>
        <v>0.38</v>
      </c>
      <c r="K467" s="443">
        <f>IF(H467="","",VLOOKUP(H467,AO414:AR417,4,FALSE))</f>
        <v>0.5</v>
      </c>
      <c r="L467" s="444">
        <f>J467</f>
        <v>0.38</v>
      </c>
      <c r="M467" s="1049">
        <f ca="1">ROUND(IF(OR(C467="",E467="",H467=""),0,IF('Account Info'!$AA$4="Flat Rate State",J467,L467)*$D$38*$V$442*('Cyber ILFs'!K29/'Cyber ILFs'!$K$5)*('Cyber ILFs'!W29/'Cyber ILFs'!$W$5)*PRODUCT(Rater!$V$384:$V$426)*CySchdMod*I469),0)</f>
        <v>197</v>
      </c>
      <c r="N467" s="1050"/>
      <c r="O467" s="1040"/>
      <c r="P467" s="1065"/>
      <c r="Q467" s="1065"/>
      <c r="R467" s="1065"/>
      <c r="S467" s="1065"/>
      <c r="T467" s="1066"/>
      <c r="U467" s="322"/>
      <c r="V467" s="340"/>
    </row>
    <row r="468" spans="1:22" x14ac:dyDescent="0.25">
      <c r="A468" s="388">
        <f>IF('Account Info'!$T$8=TRUE,1,0)</f>
        <v>1</v>
      </c>
      <c r="B468" s="317"/>
      <c r="C468" s="362"/>
      <c r="D468" s="362"/>
      <c r="E468" s="362"/>
      <c r="F468" s="362"/>
      <c r="G468" s="362"/>
      <c r="H468" s="551" t="s">
        <v>657</v>
      </c>
      <c r="I468" s="552" t="s">
        <v>156</v>
      </c>
      <c r="J468" s="466"/>
      <c r="K468" s="466"/>
      <c r="L468" s="548"/>
      <c r="M468" s="553"/>
      <c r="N468" s="554"/>
      <c r="O468" s="1088"/>
      <c r="P468" s="1089"/>
      <c r="Q468" s="1089"/>
      <c r="R468" s="1089"/>
      <c r="S468" s="1089"/>
      <c r="T468" s="1090"/>
      <c r="U468" s="322"/>
      <c r="V468" s="340"/>
    </row>
    <row r="469" spans="1:22" x14ac:dyDescent="0.25">
      <c r="A469" s="388">
        <f>IF('Account Info'!$T$8=TRUE,1,0)</f>
        <v>1</v>
      </c>
      <c r="B469" s="317"/>
      <c r="C469" s="361"/>
      <c r="D469" s="537"/>
      <c r="E469" s="538"/>
      <c r="F469" s="538"/>
      <c r="G469" s="538"/>
      <c r="H469" s="550">
        <v>8</v>
      </c>
      <c r="I469" s="443">
        <f>IF(H469="","",AY421)</f>
        <v>1</v>
      </c>
      <c r="J469" s="362"/>
      <c r="K469" s="362"/>
      <c r="L469" s="362"/>
      <c r="M469" s="362"/>
      <c r="N469" s="362"/>
      <c r="O469" s="1046"/>
      <c r="P469" s="1047"/>
      <c r="Q469" s="1047"/>
      <c r="R469" s="1047"/>
      <c r="S469" s="1047"/>
      <c r="T469" s="1048"/>
      <c r="U469" s="322"/>
      <c r="V469" s="340"/>
    </row>
    <row r="470" spans="1:22" x14ac:dyDescent="0.25">
      <c r="A470" s="388">
        <f>IF('Account Info'!$T$8=TRUE,1,0)</f>
        <v>1</v>
      </c>
      <c r="B470" s="317"/>
      <c r="C470" s="1083" t="s">
        <v>659</v>
      </c>
      <c r="D470" s="1084"/>
      <c r="E470" s="538"/>
      <c r="F470" s="538"/>
      <c r="G470" s="538"/>
      <c r="H470" s="440"/>
      <c r="I470" s="361"/>
      <c r="J470" s="361"/>
      <c r="K470" s="361"/>
      <c r="L470" s="361"/>
      <c r="M470" s="440"/>
      <c r="N470" s="440"/>
      <c r="O470" s="549"/>
      <c r="P470" s="549"/>
      <c r="Q470" s="549"/>
      <c r="R470" s="549"/>
      <c r="S470" s="549"/>
      <c r="T470" s="549"/>
      <c r="U470" s="322"/>
      <c r="V470" s="340"/>
    </row>
    <row r="471" spans="1:22" ht="15" customHeight="1" x14ac:dyDescent="0.25">
      <c r="A471" s="388">
        <f>IF('Account Info'!$T$8=TRUE,1,0)</f>
        <v>1</v>
      </c>
      <c r="B471" s="317"/>
      <c r="C471" s="1047"/>
      <c r="D471" s="1047"/>
      <c r="E471" s="1032" t="s">
        <v>366</v>
      </c>
      <c r="F471" s="1032"/>
      <c r="G471" s="1032"/>
      <c r="H471" s="361" t="s">
        <v>139</v>
      </c>
      <c r="I471" s="361" t="str">
        <f>IF('Account Info'!$AA$4="Range State","Low","")</f>
        <v>Low</v>
      </c>
      <c r="J471" s="361" t="str">
        <f>IF('Account Info'!$AA$4="Range State","Benchmark","Selection")</f>
        <v>Benchmark</v>
      </c>
      <c r="K471" s="361" t="str">
        <f>IF('Account Info'!$AA$4="Range State","High","")</f>
        <v>High</v>
      </c>
      <c r="L471" s="361" t="str">
        <f>IF('Account Info'!$AA$4="Range State","Selection","")</f>
        <v>Selection</v>
      </c>
      <c r="M471" s="536"/>
      <c r="N471" s="536"/>
      <c r="O471" s="441" t="s">
        <v>377</v>
      </c>
      <c r="P471" s="348"/>
      <c r="Q471" s="348"/>
      <c r="R471" s="348"/>
      <c r="S471" s="348"/>
      <c r="T471" s="348"/>
      <c r="U471" s="322"/>
      <c r="V471" s="340"/>
    </row>
    <row r="472" spans="1:22" x14ac:dyDescent="0.25">
      <c r="A472" s="388">
        <f>IF('Account Info'!$T$8=TRUE,1,0)</f>
        <v>1</v>
      </c>
      <c r="B472" s="317"/>
      <c r="C472" s="1033">
        <f>$D$41</f>
        <v>1000000</v>
      </c>
      <c r="D472" s="1034"/>
      <c r="E472" s="1085">
        <f>$D$43</f>
        <v>10000</v>
      </c>
      <c r="F472" s="1086"/>
      <c r="G472" s="1087"/>
      <c r="H472" s="550" t="s">
        <v>615</v>
      </c>
      <c r="I472" s="443">
        <f>IF(H472="","",VLOOKUP(H472,AO419:AR422,2,FALSE))</f>
        <v>0.2</v>
      </c>
      <c r="J472" s="443">
        <f>IF(H472="","",VLOOKUP(H472,AO419:AR422,3,FALSE))</f>
        <v>0.25</v>
      </c>
      <c r="K472" s="443">
        <f>IF(H472="","",VLOOKUP(H472,AO419:AR422,4,FALSE))</f>
        <v>0.3</v>
      </c>
      <c r="L472" s="444">
        <f>J472</f>
        <v>0.25</v>
      </c>
      <c r="M472" s="1049">
        <f ca="1">ROUND(IF(OR(C472="",E472="",H472=""),0,IF('Account Info'!$AA$4="Flat Rate State",J472,L472)*$D$38*$V$442*('Cyber ILFs'!K33/'Cyber ILFs'!$K$5)*('Cyber ILFs'!W33/'Cyber ILFs'!$W$5)*PRODUCT(Rater!$V$384:$V$426)*CySchdMod),0)</f>
        <v>130</v>
      </c>
      <c r="N472" s="1050"/>
      <c r="O472" s="1040"/>
      <c r="P472" s="1065"/>
      <c r="Q472" s="1065"/>
      <c r="R472" s="1065"/>
      <c r="S472" s="1065"/>
      <c r="T472" s="1066"/>
      <c r="U472" s="322"/>
      <c r="V472" s="340"/>
    </row>
    <row r="473" spans="1:22" x14ac:dyDescent="0.25">
      <c r="A473" s="388">
        <f>IF('Account Info'!$T$8=TRUE,1,0)</f>
        <v>1</v>
      </c>
      <c r="B473" s="317"/>
      <c r="C473" s="361"/>
      <c r="D473" s="537"/>
      <c r="E473" s="538"/>
      <c r="F473" s="538"/>
      <c r="G473" s="538"/>
      <c r="H473" s="362"/>
      <c r="I473" s="362"/>
      <c r="J473" s="362"/>
      <c r="K473" s="362"/>
      <c r="L473" s="362"/>
      <c r="M473" s="362"/>
      <c r="N473" s="362"/>
      <c r="O473" s="1046"/>
      <c r="P473" s="1047"/>
      <c r="Q473" s="1047"/>
      <c r="R473" s="1047"/>
      <c r="S473" s="1047"/>
      <c r="T473" s="1048"/>
      <c r="U473" s="322"/>
      <c r="V473" s="340"/>
    </row>
    <row r="474" spans="1:22" x14ac:dyDescent="0.25">
      <c r="A474" s="388">
        <f>IF('Account Info'!$T$8=TRUE,1,0)</f>
        <v>1</v>
      </c>
      <c r="B474" s="317"/>
      <c r="C474" s="1083" t="s">
        <v>660</v>
      </c>
      <c r="D474" s="1084"/>
      <c r="E474" s="538"/>
      <c r="F474" s="538"/>
      <c r="G474" s="538"/>
      <c r="H474" s="440"/>
      <c r="I474" s="361"/>
      <c r="J474" s="361"/>
      <c r="K474" s="361"/>
      <c r="L474" s="361"/>
      <c r="M474" s="440"/>
      <c r="N474" s="440"/>
      <c r="O474" s="549"/>
      <c r="P474" s="549"/>
      <c r="Q474" s="549"/>
      <c r="R474" s="549"/>
      <c r="S474" s="549"/>
      <c r="T474" s="549"/>
      <c r="U474" s="322"/>
      <c r="V474" s="340"/>
    </row>
    <row r="475" spans="1:22" ht="15" customHeight="1" x14ac:dyDescent="0.25">
      <c r="A475" s="388">
        <f>IF('Account Info'!$T$8=TRUE,1,0)</f>
        <v>1</v>
      </c>
      <c r="B475" s="317"/>
      <c r="C475" s="1047"/>
      <c r="D475" s="1047"/>
      <c r="E475" s="1032" t="s">
        <v>366</v>
      </c>
      <c r="F475" s="1032"/>
      <c r="G475" s="1032"/>
      <c r="H475" s="361" t="s">
        <v>139</v>
      </c>
      <c r="I475" s="361" t="str">
        <f>IF('Account Info'!$AA$4="Range State","Low","")</f>
        <v>Low</v>
      </c>
      <c r="J475" s="361" t="str">
        <f>IF('Account Info'!$AA$4="Range State","Benchmark","Selection")</f>
        <v>Benchmark</v>
      </c>
      <c r="K475" s="361" t="str">
        <f>IF('Account Info'!$AA$4="Range State","High","")</f>
        <v>High</v>
      </c>
      <c r="L475" s="361" t="str">
        <f>IF('Account Info'!$AA$4="Range State","Selection","")</f>
        <v>Selection</v>
      </c>
      <c r="M475" s="536"/>
      <c r="N475" s="536"/>
      <c r="O475" s="441" t="s">
        <v>377</v>
      </c>
      <c r="P475" s="348"/>
      <c r="Q475" s="348"/>
      <c r="R475" s="348"/>
      <c r="S475" s="348"/>
      <c r="T475" s="348"/>
      <c r="U475" s="322"/>
      <c r="V475" s="340"/>
    </row>
    <row r="476" spans="1:22" x14ac:dyDescent="0.25">
      <c r="A476" s="388">
        <f>IF('Account Info'!$T$8=TRUE,1,0)</f>
        <v>1</v>
      </c>
      <c r="B476" s="317"/>
      <c r="C476" s="1033">
        <f>$D$41</f>
        <v>1000000</v>
      </c>
      <c r="D476" s="1034"/>
      <c r="E476" s="1085">
        <f>$D$43</f>
        <v>10000</v>
      </c>
      <c r="F476" s="1086"/>
      <c r="G476" s="1087"/>
      <c r="H476" s="550" t="s">
        <v>615</v>
      </c>
      <c r="I476" s="443">
        <f>IF(H476="","",VLOOKUP(H476,AO424:AR427,2,FALSE))</f>
        <v>0.1</v>
      </c>
      <c r="J476" s="443">
        <f>IF(H476="","",VLOOKUP(H476,AO424:AR427,3,FALSE))</f>
        <v>0.13</v>
      </c>
      <c r="K476" s="443">
        <f>IF(H476="","",VLOOKUP(H476,AO424:AR427,4,FALSE))</f>
        <v>0.15</v>
      </c>
      <c r="L476" s="444">
        <f>J476</f>
        <v>0.13</v>
      </c>
      <c r="M476" s="1049">
        <f ca="1">ROUND(IF(OR(C476="",E476="",H476=""),0,IF('Account Info'!$AA$4="Flat Rate State",J476,L476)*$D$38*$V$442*('Cyber ILFs'!K37/'Cyber ILFs'!$K$5)*('Cyber ILFs'!W37/'Cyber ILFs'!$W$5)*PRODUCT(Rater!$V$384:$V$426)*CySchdMod),0)</f>
        <v>68</v>
      </c>
      <c r="N476" s="1050"/>
      <c r="O476" s="1040"/>
      <c r="P476" s="1065"/>
      <c r="Q476" s="1065"/>
      <c r="R476" s="1065"/>
      <c r="S476" s="1065"/>
      <c r="T476" s="1066"/>
      <c r="U476" s="322"/>
      <c r="V476" s="340"/>
    </row>
    <row r="477" spans="1:22" x14ac:dyDescent="0.25">
      <c r="A477" s="388">
        <f>IF('Account Info'!$T$8=TRUE,1,0)</f>
        <v>1</v>
      </c>
      <c r="B477" s="317"/>
      <c r="C477" s="361"/>
      <c r="D477" s="537"/>
      <c r="E477" s="538"/>
      <c r="F477" s="538"/>
      <c r="G477" s="538"/>
      <c r="H477" s="362"/>
      <c r="I477" s="362"/>
      <c r="J477" s="362"/>
      <c r="K477" s="362"/>
      <c r="L477" s="362"/>
      <c r="M477" s="362"/>
      <c r="N477" s="362"/>
      <c r="O477" s="1046"/>
      <c r="P477" s="1047"/>
      <c r="Q477" s="1047"/>
      <c r="R477" s="1047"/>
      <c r="S477" s="1047"/>
      <c r="T477" s="1048"/>
      <c r="U477" s="322"/>
      <c r="V477" s="340"/>
    </row>
    <row r="478" spans="1:22" x14ac:dyDescent="0.25">
      <c r="A478" s="388">
        <f>IF('Account Info'!$T$8=TRUE,1,0)</f>
        <v>1</v>
      </c>
      <c r="B478" s="317"/>
      <c r="C478" s="1083" t="s">
        <v>661</v>
      </c>
      <c r="D478" s="1084"/>
      <c r="E478" s="538"/>
      <c r="F478" s="538"/>
      <c r="G478" s="538"/>
      <c r="H478" s="440"/>
      <c r="I478" s="361"/>
      <c r="J478" s="361"/>
      <c r="K478" s="361"/>
      <c r="L478" s="361"/>
      <c r="M478" s="440"/>
      <c r="N478" s="440"/>
      <c r="O478" s="549"/>
      <c r="P478" s="549"/>
      <c r="Q478" s="549"/>
      <c r="R478" s="549"/>
      <c r="S478" s="549"/>
      <c r="T478" s="549"/>
      <c r="U478" s="322"/>
      <c r="V478" s="340"/>
    </row>
    <row r="479" spans="1:22" ht="15" customHeight="1" x14ac:dyDescent="0.25">
      <c r="A479" s="388">
        <f>IF('Account Info'!$T$8=TRUE,1,0)</f>
        <v>1</v>
      </c>
      <c r="B479" s="317"/>
      <c r="C479" s="1047"/>
      <c r="D479" s="1047"/>
      <c r="E479" s="1032" t="s">
        <v>366</v>
      </c>
      <c r="F479" s="1032"/>
      <c r="G479" s="1032"/>
      <c r="H479" s="361" t="s">
        <v>139</v>
      </c>
      <c r="I479" s="361" t="str">
        <f>IF('Account Info'!$AA$4="Range State","Low","")</f>
        <v>Low</v>
      </c>
      <c r="J479" s="361" t="str">
        <f>IF('Account Info'!$AA$4="Range State","Benchmark","Selection")</f>
        <v>Benchmark</v>
      </c>
      <c r="K479" s="361" t="str">
        <f>IF('Account Info'!$AA$4="Range State","High","")</f>
        <v>High</v>
      </c>
      <c r="L479" s="361" t="str">
        <f>IF('Account Info'!$AA$4="Range State","Selection","")</f>
        <v>Selection</v>
      </c>
      <c r="M479" s="536"/>
      <c r="N479" s="536"/>
      <c r="O479" s="441" t="s">
        <v>377</v>
      </c>
      <c r="P479" s="348"/>
      <c r="Q479" s="348"/>
      <c r="R479" s="348"/>
      <c r="S479" s="348"/>
      <c r="T479" s="348"/>
      <c r="U479" s="322"/>
      <c r="V479" s="340"/>
    </row>
    <row r="480" spans="1:22" x14ac:dyDescent="0.25">
      <c r="A480" s="388">
        <f>IF('Account Info'!$T$8=TRUE,1,0)</f>
        <v>1</v>
      </c>
      <c r="B480" s="317"/>
      <c r="C480" s="1033">
        <f>$D$41</f>
        <v>1000000</v>
      </c>
      <c r="D480" s="1034"/>
      <c r="E480" s="1085">
        <f>$D$43</f>
        <v>10000</v>
      </c>
      <c r="F480" s="1086"/>
      <c r="G480" s="1087"/>
      <c r="H480" s="550" t="s">
        <v>615</v>
      </c>
      <c r="I480" s="443">
        <f>IF(H480="","",VLOOKUP(H480,AO429:AR432,2,FALSE))</f>
        <v>0.1</v>
      </c>
      <c r="J480" s="443">
        <f>IF(H480="","",VLOOKUP(H480,AO429:AR432,3,FALSE))</f>
        <v>0.13</v>
      </c>
      <c r="K480" s="443">
        <f>IF(H480="","",VLOOKUP(H480,AO429:AR432,4,FALSE))</f>
        <v>0.15</v>
      </c>
      <c r="L480" s="444">
        <f>J480</f>
        <v>0.13</v>
      </c>
      <c r="M480" s="1049">
        <f ca="1">ROUND(IF(OR(C480="",E480="",H480=""),0,IF('Account Info'!$AA$4="Flat Rate State",J480,L480)*$D$38*$V$442*('Cyber ILFs'!K41/'Cyber ILFs'!$K$5)*('Cyber ILFs'!W41/'Cyber ILFs'!$W$5)*PRODUCT(Rater!$V$384:$V$426)*CySchdMod),0)</f>
        <v>68</v>
      </c>
      <c r="N480" s="1050"/>
      <c r="O480" s="1040"/>
      <c r="P480" s="1065"/>
      <c r="Q480" s="1065"/>
      <c r="R480" s="1065"/>
      <c r="S480" s="1065"/>
      <c r="T480" s="1066"/>
      <c r="U480" s="322"/>
      <c r="V480" s="340"/>
    </row>
    <row r="481" spans="1:22" x14ac:dyDescent="0.25">
      <c r="A481" s="388">
        <f>IF('Account Info'!$T$8=TRUE,1,0)</f>
        <v>1</v>
      </c>
      <c r="B481" s="317"/>
      <c r="C481" s="361"/>
      <c r="D481" s="537"/>
      <c r="E481" s="538"/>
      <c r="F481" s="538"/>
      <c r="G481" s="538"/>
      <c r="H481" s="362"/>
      <c r="I481" s="362"/>
      <c r="J481" s="362"/>
      <c r="K481" s="362"/>
      <c r="L481" s="362"/>
      <c r="M481" s="362"/>
      <c r="N481" s="362"/>
      <c r="O481" s="1046"/>
      <c r="P481" s="1047"/>
      <c r="Q481" s="1047"/>
      <c r="R481" s="1047"/>
      <c r="S481" s="1047"/>
      <c r="T481" s="1048"/>
      <c r="U481" s="322"/>
      <c r="V481" s="340"/>
    </row>
    <row r="482" spans="1:22" x14ac:dyDescent="0.25">
      <c r="A482" s="388">
        <f>IF('Account Info'!$T$8=TRUE,1,0)</f>
        <v>1</v>
      </c>
      <c r="B482" s="317"/>
      <c r="C482" s="1083" t="s">
        <v>662</v>
      </c>
      <c r="D482" s="1084"/>
      <c r="E482" s="538"/>
      <c r="F482" s="538"/>
      <c r="G482" s="538"/>
      <c r="H482" s="440"/>
      <c r="I482" s="361"/>
      <c r="J482" s="361"/>
      <c r="K482" s="361"/>
      <c r="L482" s="361"/>
      <c r="M482" s="440"/>
      <c r="N482" s="440"/>
      <c r="O482" s="549"/>
      <c r="P482" s="549"/>
      <c r="Q482" s="549"/>
      <c r="R482" s="549"/>
      <c r="S482" s="549"/>
      <c r="T482" s="549"/>
      <c r="U482" s="322"/>
      <c r="V482" s="340"/>
    </row>
    <row r="483" spans="1:22" ht="15" customHeight="1" x14ac:dyDescent="0.25">
      <c r="A483" s="388">
        <f>IF('Account Info'!$T$8=TRUE,1,0)</f>
        <v>1</v>
      </c>
      <c r="B483" s="317"/>
      <c r="C483" s="1047"/>
      <c r="D483" s="1047"/>
      <c r="E483" s="1032" t="s">
        <v>366</v>
      </c>
      <c r="F483" s="1032"/>
      <c r="G483" s="1032"/>
      <c r="H483" s="361" t="s">
        <v>139</v>
      </c>
      <c r="I483" s="361" t="str">
        <f>IF('Account Info'!$AA$4="Range State","Low","")</f>
        <v>Low</v>
      </c>
      <c r="J483" s="361" t="str">
        <f>IF('Account Info'!$AA$4="Range State","Benchmark","Selection")</f>
        <v>Benchmark</v>
      </c>
      <c r="K483" s="361" t="str">
        <f>IF('Account Info'!$AA$4="Range State","High","")</f>
        <v>High</v>
      </c>
      <c r="L483" s="361" t="str">
        <f>IF('Account Info'!$AA$4="Range State","Selection","")</f>
        <v>Selection</v>
      </c>
      <c r="M483" s="536"/>
      <c r="N483" s="536"/>
      <c r="O483" s="441" t="s">
        <v>377</v>
      </c>
      <c r="P483" s="348"/>
      <c r="Q483" s="348"/>
      <c r="R483" s="348"/>
      <c r="S483" s="348"/>
      <c r="T483" s="348"/>
      <c r="U483" s="322"/>
      <c r="V483" s="340"/>
    </row>
    <row r="484" spans="1:22" x14ac:dyDescent="0.25">
      <c r="A484" s="388">
        <f>IF('Account Info'!$T$8=TRUE,1,0)</f>
        <v>1</v>
      </c>
      <c r="B484" s="317"/>
      <c r="C484" s="1033">
        <v>0</v>
      </c>
      <c r="D484" s="1034"/>
      <c r="E484" s="1085">
        <v>0</v>
      </c>
      <c r="F484" s="1086"/>
      <c r="G484" s="1087"/>
      <c r="H484" s="550" t="s">
        <v>613</v>
      </c>
      <c r="I484" s="443">
        <f>IF(H484="","",VLOOKUP(H484,AO434:AR437,2,FALSE))</f>
        <v>0.01</v>
      </c>
      <c r="J484" s="443">
        <f>IF(H484="","",VLOOKUP(H484,AO434:AR437,3,FALSE))</f>
        <v>0.03</v>
      </c>
      <c r="K484" s="443">
        <f>IF(H484="","",VLOOKUP(H484,AO434:AR437,4,FALSE))</f>
        <v>0.05</v>
      </c>
      <c r="L484" s="444">
        <f>J484</f>
        <v>0.03</v>
      </c>
      <c r="M484" s="1049">
        <f ca="1">ROUND(IF(OR(C484="",E484="",H484=""),0,IF('Account Info'!$AA$4="Flat Rate State",J484,L484)*$D$38*$V$442*('Cyber ILFs'!K45/'Cyber ILFs'!$K$5)*('Cyber ILFs'!W45/'Cyber ILFs'!$W$5)*PRODUCT(Rater!$V$384:$V$426)*CySchdMod),0)</f>
        <v>0</v>
      </c>
      <c r="N484" s="1050"/>
      <c r="O484" s="1040"/>
      <c r="P484" s="1065"/>
      <c r="Q484" s="1065"/>
      <c r="R484" s="1065"/>
      <c r="S484" s="1065"/>
      <c r="T484" s="1066"/>
      <c r="U484" s="322"/>
      <c r="V484" s="340"/>
    </row>
    <row r="485" spans="1:22" x14ac:dyDescent="0.25">
      <c r="A485" s="388">
        <f>IF('Account Info'!$T$8=TRUE,1,0)</f>
        <v>1</v>
      </c>
      <c r="B485" s="317"/>
      <c r="C485" s="361"/>
      <c r="D485" s="537"/>
      <c r="E485" s="538"/>
      <c r="F485" s="538"/>
      <c r="G485" s="538"/>
      <c r="H485" s="362"/>
      <c r="I485" s="362"/>
      <c r="J485" s="362"/>
      <c r="K485" s="362"/>
      <c r="L485" s="362"/>
      <c r="M485" s="362"/>
      <c r="N485" s="362"/>
      <c r="O485" s="1046"/>
      <c r="P485" s="1047"/>
      <c r="Q485" s="1047"/>
      <c r="R485" s="1047"/>
      <c r="S485" s="1047"/>
      <c r="T485" s="1048"/>
      <c r="U485" s="322"/>
      <c r="V485" s="340"/>
    </row>
    <row r="486" spans="1:22" x14ac:dyDescent="0.25">
      <c r="A486" s="388">
        <f>IF('Account Info'!$T$8=TRUE,1,0)</f>
        <v>1</v>
      </c>
      <c r="B486" s="317"/>
      <c r="C486" s="1083" t="s">
        <v>663</v>
      </c>
      <c r="D486" s="1084"/>
      <c r="E486" s="538"/>
      <c r="F486" s="538"/>
      <c r="G486" s="538"/>
      <c r="H486" s="440"/>
      <c r="I486" s="361"/>
      <c r="J486" s="361"/>
      <c r="K486" s="361"/>
      <c r="L486" s="361"/>
      <c r="M486" s="440"/>
      <c r="N486" s="440"/>
      <c r="O486" s="549"/>
      <c r="P486" s="549"/>
      <c r="Q486" s="549"/>
      <c r="R486" s="549"/>
      <c r="S486" s="549"/>
      <c r="T486" s="549"/>
      <c r="U486" s="322"/>
      <c r="V486" s="340"/>
    </row>
    <row r="487" spans="1:22" ht="15" customHeight="1" x14ac:dyDescent="0.25">
      <c r="A487" s="388">
        <f>IF('Account Info'!$T$8=TRUE,1,0)</f>
        <v>1</v>
      </c>
      <c r="B487" s="317"/>
      <c r="C487" s="1047"/>
      <c r="D487" s="1047"/>
      <c r="E487" s="1032" t="s">
        <v>366</v>
      </c>
      <c r="F487" s="1032"/>
      <c r="G487" s="1032"/>
      <c r="H487" s="361" t="s">
        <v>139</v>
      </c>
      <c r="I487" s="361" t="str">
        <f>IF('Account Info'!$AA$4="Range State","Low","")</f>
        <v>Low</v>
      </c>
      <c r="J487" s="361" t="str">
        <f>IF('Account Info'!$AA$4="Range State","Benchmark","Selection")</f>
        <v>Benchmark</v>
      </c>
      <c r="K487" s="361" t="str">
        <f>IF('Account Info'!$AA$4="Range State","High","")</f>
        <v>High</v>
      </c>
      <c r="L487" s="361" t="str">
        <f>IF('Account Info'!$AA$4="Range State","Selection","")</f>
        <v>Selection</v>
      </c>
      <c r="M487" s="536"/>
      <c r="N487" s="536"/>
      <c r="O487" s="441" t="s">
        <v>377</v>
      </c>
      <c r="P487" s="348"/>
      <c r="Q487" s="348"/>
      <c r="R487" s="348"/>
      <c r="S487" s="348"/>
      <c r="T487" s="348"/>
      <c r="U487" s="322"/>
      <c r="V487" s="340"/>
    </row>
    <row r="488" spans="1:22" x14ac:dyDescent="0.25">
      <c r="A488" s="388">
        <f>IF('Account Info'!$T$8=TRUE,1,0)</f>
        <v>1</v>
      </c>
      <c r="B488" s="317"/>
      <c r="C488" s="1033">
        <v>0</v>
      </c>
      <c r="D488" s="1034"/>
      <c r="E488" s="1085">
        <v>0</v>
      </c>
      <c r="F488" s="1086"/>
      <c r="G488" s="1087"/>
      <c r="H488" s="550" t="s">
        <v>615</v>
      </c>
      <c r="I488" s="443">
        <f>IF(H488="","",VLOOKUP(H488,AO439:AR442,2,FALSE))</f>
        <v>0.06</v>
      </c>
      <c r="J488" s="443">
        <f>IF(H488="","",VLOOKUP(H488,AO439:AR442,3,FALSE))</f>
        <v>0.08</v>
      </c>
      <c r="K488" s="443">
        <f>IF(H488="","",VLOOKUP(H488,AO439:AR442,4,FALSE))</f>
        <v>0.1</v>
      </c>
      <c r="L488" s="444">
        <f>J488</f>
        <v>0.08</v>
      </c>
      <c r="M488" s="1049">
        <f ca="1">ROUND(IF(OR(C488="",E488="",H488=""),0,IF('Account Info'!$AA$4="Flat Rate State",J488,L488)*$D$38*$V$442*('Cyber ILFs'!K49/'Cyber ILFs'!$K$5)*('Cyber ILFs'!W49/'Cyber ILFs'!$W$5)*PRODUCT(Rater!$V$384:$V$426)*CySchdMod),0)</f>
        <v>0</v>
      </c>
      <c r="N488" s="1050"/>
      <c r="O488" s="1040"/>
      <c r="P488" s="1065"/>
      <c r="Q488" s="1065"/>
      <c r="R488" s="1065"/>
      <c r="S488" s="1065"/>
      <c r="T488" s="1066"/>
      <c r="U488" s="322"/>
      <c r="V488" s="340"/>
    </row>
    <row r="489" spans="1:22" x14ac:dyDescent="0.25">
      <c r="A489" s="388">
        <f>IF('Account Info'!$T$8=TRUE,1,0)</f>
        <v>1</v>
      </c>
      <c r="B489" s="317"/>
      <c r="C489" s="361"/>
      <c r="D489" s="537"/>
      <c r="E489" s="538"/>
      <c r="F489" s="538"/>
      <c r="G489" s="538"/>
      <c r="H489" s="362"/>
      <c r="I489" s="362"/>
      <c r="J489" s="362"/>
      <c r="K489" s="362"/>
      <c r="L489" s="362"/>
      <c r="M489" s="362"/>
      <c r="N489" s="362"/>
      <c r="O489" s="1046"/>
      <c r="P489" s="1047"/>
      <c r="Q489" s="1047"/>
      <c r="R489" s="1047"/>
      <c r="S489" s="1047"/>
      <c r="T489" s="1048"/>
      <c r="U489" s="322"/>
      <c r="V489" s="340"/>
    </row>
    <row r="490" spans="1:22" x14ac:dyDescent="0.25">
      <c r="A490" s="388">
        <f>IF('Account Info'!$T$8=TRUE,1,0)</f>
        <v>1</v>
      </c>
      <c r="B490" s="317"/>
      <c r="C490" s="1083" t="s">
        <v>664</v>
      </c>
      <c r="D490" s="1084"/>
      <c r="E490" s="538"/>
      <c r="F490" s="538"/>
      <c r="G490" s="538"/>
      <c r="H490" s="440"/>
      <c r="I490" s="361"/>
      <c r="J490" s="361"/>
      <c r="K490" s="361"/>
      <c r="L490" s="361"/>
      <c r="M490" s="440"/>
      <c r="N490" s="440"/>
      <c r="O490" s="549"/>
      <c r="P490" s="549"/>
      <c r="Q490" s="549"/>
      <c r="R490" s="549"/>
      <c r="S490" s="549"/>
      <c r="T490" s="549"/>
      <c r="U490" s="322"/>
      <c r="V490" s="340"/>
    </row>
    <row r="491" spans="1:22" ht="15" customHeight="1" x14ac:dyDescent="0.25">
      <c r="A491" s="388">
        <f>IF('Account Info'!$T$8=TRUE,1,0)</f>
        <v>1</v>
      </c>
      <c r="B491" s="317"/>
      <c r="C491" s="1047"/>
      <c r="D491" s="1047"/>
      <c r="E491" s="1032" t="s">
        <v>366</v>
      </c>
      <c r="F491" s="1032"/>
      <c r="G491" s="1032"/>
      <c r="H491" s="361" t="s">
        <v>139</v>
      </c>
      <c r="I491" s="361" t="str">
        <f>IF('Account Info'!$AA$4="Range State","Low","")</f>
        <v>Low</v>
      </c>
      <c r="J491" s="361" t="str">
        <f>IF('Account Info'!$AA$4="Range State","Benchmark","Selection")</f>
        <v>Benchmark</v>
      </c>
      <c r="K491" s="361" t="str">
        <f>IF('Account Info'!$AA$4="Range State","High","")</f>
        <v>High</v>
      </c>
      <c r="L491" s="361" t="str">
        <f>IF('Account Info'!$AA$4="Range State","Selection","")</f>
        <v>Selection</v>
      </c>
      <c r="M491" s="536"/>
      <c r="N491" s="536"/>
      <c r="O491" s="441" t="s">
        <v>377</v>
      </c>
      <c r="P491" s="348"/>
      <c r="Q491" s="348"/>
      <c r="R491" s="348"/>
      <c r="S491" s="348"/>
      <c r="T491" s="348"/>
      <c r="U491" s="322"/>
      <c r="V491" s="340"/>
    </row>
    <row r="492" spans="1:22" x14ac:dyDescent="0.25">
      <c r="A492" s="388">
        <f>IF('Account Info'!$T$8=TRUE,1,0)</f>
        <v>1</v>
      </c>
      <c r="B492" s="317"/>
      <c r="C492" s="1033">
        <v>0</v>
      </c>
      <c r="D492" s="1034"/>
      <c r="E492" s="1085">
        <v>10000</v>
      </c>
      <c r="F492" s="1086"/>
      <c r="G492" s="1087"/>
      <c r="H492" s="550" t="s">
        <v>619</v>
      </c>
      <c r="I492" s="443">
        <f>IF(H492="","",VLOOKUP(H492,AO444:AR447,2,FALSE))</f>
        <v>0.76</v>
      </c>
      <c r="J492" s="443">
        <f>IF(H492="","",VLOOKUP(H492,AO444:AR447,3,FALSE))</f>
        <v>0.88</v>
      </c>
      <c r="K492" s="443">
        <f>IF(H492="","",VLOOKUP(H492,AO444:AR447,4,FALSE))</f>
        <v>1</v>
      </c>
      <c r="L492" s="444"/>
      <c r="M492" s="1049">
        <f ca="1">ROUND(IF(OR(C492="",E492="",H492=""),0,IF('Account Info'!$AA$4="Flat Rate State",J492,L492)*$D$38*$V$442*('Cyber ILFs'!K53/'Cyber ILFs'!$K$5)*('Cyber ILFs'!W53/'Cyber ILFs'!$W$5)*PRODUCT(Rater!$V$384:$V$426)*CySchdMod),0)</f>
        <v>0</v>
      </c>
      <c r="N492" s="1050"/>
      <c r="O492" s="1040"/>
      <c r="P492" s="1065"/>
      <c r="Q492" s="1065"/>
      <c r="R492" s="1065"/>
      <c r="S492" s="1065"/>
      <c r="T492" s="1066"/>
      <c r="U492" s="322"/>
      <c r="V492" s="340"/>
    </row>
    <row r="493" spans="1:22" x14ac:dyDescent="0.25">
      <c r="A493" s="388">
        <f>IF('Account Info'!$T$8=TRUE,1,0)</f>
        <v>1</v>
      </c>
      <c r="B493" s="317"/>
      <c r="C493" s="361"/>
      <c r="D493" s="537"/>
      <c r="E493" s="538"/>
      <c r="F493" s="538"/>
      <c r="G493" s="538"/>
      <c r="H493" s="362"/>
      <c r="I493" s="362"/>
      <c r="J493" s="362"/>
      <c r="K493" s="362"/>
      <c r="L493" s="362"/>
      <c r="M493" s="362"/>
      <c r="N493" s="362"/>
      <c r="O493" s="1046"/>
      <c r="P493" s="1047"/>
      <c r="Q493" s="1047"/>
      <c r="R493" s="1047"/>
      <c r="S493" s="1047"/>
      <c r="T493" s="1048"/>
      <c r="U493" s="322"/>
      <c r="V493" s="340"/>
    </row>
    <row r="494" spans="1:22" x14ac:dyDescent="0.25">
      <c r="A494" s="388">
        <f>IF('Account Info'!$T$8=TRUE,1,0)</f>
        <v>1</v>
      </c>
      <c r="B494" s="317"/>
      <c r="C494" s="1083" t="s">
        <v>665</v>
      </c>
      <c r="D494" s="1084"/>
      <c r="E494" s="538"/>
      <c r="F494" s="538"/>
      <c r="G494" s="538"/>
      <c r="H494" s="440"/>
      <c r="I494" s="361"/>
      <c r="J494" s="361"/>
      <c r="K494" s="361"/>
      <c r="L494" s="361"/>
      <c r="M494" s="440"/>
      <c r="N494" s="440"/>
      <c r="O494" s="549"/>
      <c r="P494" s="549"/>
      <c r="Q494" s="549"/>
      <c r="R494" s="549"/>
      <c r="S494" s="549"/>
      <c r="T494" s="549"/>
      <c r="U494" s="322"/>
      <c r="V494" s="340"/>
    </row>
    <row r="495" spans="1:22" ht="15" customHeight="1" x14ac:dyDescent="0.25">
      <c r="A495" s="388">
        <f>IF('Account Info'!$T$8=TRUE,1,0)</f>
        <v>1</v>
      </c>
      <c r="B495" s="317"/>
      <c r="C495" s="1047"/>
      <c r="D495" s="1047"/>
      <c r="E495" s="1032" t="s">
        <v>366</v>
      </c>
      <c r="F495" s="1032"/>
      <c r="G495" s="1032"/>
      <c r="H495" s="361" t="s">
        <v>139</v>
      </c>
      <c r="I495" s="361" t="str">
        <f>IF('Account Info'!$AA$4="Range State","Low","")</f>
        <v>Low</v>
      </c>
      <c r="J495" s="361" t="str">
        <f>IF('Account Info'!$AA$4="Range State","Benchmark","Selection")</f>
        <v>Benchmark</v>
      </c>
      <c r="K495" s="361" t="str">
        <f>IF('Account Info'!$AA$4="Range State","High","")</f>
        <v>High</v>
      </c>
      <c r="L495" s="361" t="str">
        <f>IF('Account Info'!$AA$4="Range State","Selection","")</f>
        <v>Selection</v>
      </c>
      <c r="M495" s="536"/>
      <c r="N495" s="536"/>
      <c r="O495" s="441" t="s">
        <v>377</v>
      </c>
      <c r="P495" s="348"/>
      <c r="Q495" s="348"/>
      <c r="R495" s="348"/>
      <c r="S495" s="348"/>
      <c r="T495" s="348"/>
      <c r="U495" s="322"/>
      <c r="V495" s="340"/>
    </row>
    <row r="496" spans="1:22" x14ac:dyDescent="0.25">
      <c r="A496" s="388">
        <f>IF('Account Info'!$T$8=TRUE,1,0)</f>
        <v>1</v>
      </c>
      <c r="B496" s="317"/>
      <c r="C496" s="1033">
        <v>0</v>
      </c>
      <c r="D496" s="1034"/>
      <c r="E496" s="1085">
        <v>0</v>
      </c>
      <c r="F496" s="1086"/>
      <c r="G496" s="1087"/>
      <c r="H496" s="550" t="s">
        <v>615</v>
      </c>
      <c r="I496" s="443">
        <f>IF(H496="","",VLOOKUP(H496,AO449:AR452,2,FALSE))</f>
        <v>0.11</v>
      </c>
      <c r="J496" s="443">
        <f>IF(H496="","",VLOOKUP(H496,AO449:AR452,3,FALSE))</f>
        <v>0.16</v>
      </c>
      <c r="K496" s="443">
        <f>IF(H496="","",VLOOKUP(H496,AO449:AR452,4,FALSE))</f>
        <v>0.2</v>
      </c>
      <c r="L496" s="444">
        <f>J496</f>
        <v>0.16</v>
      </c>
      <c r="M496" s="1049">
        <f ca="1">ROUND(IF(OR(C496="",E496="",H496=""),0,IF('Account Info'!$AA$4="Flat Rate State",J496,L496)*$D$38*$V$442*('Cyber ILFs'!K57/'Cyber ILFs'!$K$5)*('Cyber ILFs'!W57/'Cyber ILFs'!$W$5)*PRODUCT(Rater!$V$384:$V$426)*CySchdMod),0)</f>
        <v>0</v>
      </c>
      <c r="N496" s="1050"/>
      <c r="O496" s="1040"/>
      <c r="P496" s="1065"/>
      <c r="Q496" s="1065"/>
      <c r="R496" s="1065"/>
      <c r="S496" s="1065"/>
      <c r="T496" s="1066"/>
      <c r="U496" s="322"/>
      <c r="V496" s="340"/>
    </row>
    <row r="497" spans="1:39" x14ac:dyDescent="0.25">
      <c r="A497" s="388">
        <f>IF('Account Info'!$T$8=TRUE,1,0)</f>
        <v>1</v>
      </c>
      <c r="B497" s="317"/>
      <c r="C497" s="361"/>
      <c r="D497" s="537"/>
      <c r="E497" s="538"/>
      <c r="F497" s="538"/>
      <c r="G497" s="538"/>
      <c r="H497" s="362"/>
      <c r="I497" s="362"/>
      <c r="J497" s="362"/>
      <c r="K497" s="362"/>
      <c r="L497" s="362"/>
      <c r="M497" s="362"/>
      <c r="N497" s="362"/>
      <c r="O497" s="1046"/>
      <c r="P497" s="1047"/>
      <c r="Q497" s="1047"/>
      <c r="R497" s="1047"/>
      <c r="S497" s="1047"/>
      <c r="T497" s="1048"/>
      <c r="U497" s="322"/>
      <c r="V497" s="340"/>
    </row>
    <row r="498" spans="1:39" x14ac:dyDescent="0.25">
      <c r="A498" s="388">
        <f>IF('Account Info'!$T$8=TRUE,1,0)</f>
        <v>1</v>
      </c>
      <c r="B498" s="317"/>
      <c r="C498" s="1083" t="s">
        <v>666</v>
      </c>
      <c r="D498" s="1084"/>
      <c r="E498" s="538"/>
      <c r="F498" s="538"/>
      <c r="G498" s="538"/>
      <c r="H498" s="440"/>
      <c r="I498" s="361"/>
      <c r="J498" s="361"/>
      <c r="K498" s="361"/>
      <c r="L498" s="361"/>
      <c r="M498" s="440"/>
      <c r="N498" s="440"/>
      <c r="O498" s="549"/>
      <c r="P498" s="549"/>
      <c r="Q498" s="549"/>
      <c r="R498" s="549"/>
      <c r="S498" s="549"/>
      <c r="T498" s="549"/>
      <c r="U498" s="322"/>
      <c r="V498" s="340"/>
    </row>
    <row r="499" spans="1:39" ht="15" customHeight="1" x14ac:dyDescent="0.25">
      <c r="A499" s="388">
        <f>IF('Account Info'!$T$8=TRUE,1,0)</f>
        <v>1</v>
      </c>
      <c r="B499" s="317"/>
      <c r="C499" s="1047"/>
      <c r="D499" s="1047"/>
      <c r="E499" s="1032" t="s">
        <v>366</v>
      </c>
      <c r="F499" s="1032"/>
      <c r="G499" s="1032"/>
      <c r="H499" s="361" t="s">
        <v>139</v>
      </c>
      <c r="I499" s="361" t="str">
        <f>IF('Account Info'!$AA$4="Range State","Low","")</f>
        <v>Low</v>
      </c>
      <c r="J499" s="361" t="str">
        <f>IF('Account Info'!$AA$4="Range State","Benchmark","Selection")</f>
        <v>Benchmark</v>
      </c>
      <c r="K499" s="361" t="str">
        <f>IF('Account Info'!$AA$4="Range State","High","")</f>
        <v>High</v>
      </c>
      <c r="L499" s="361" t="str">
        <f>IF('Account Info'!$AA$4="Range State","Selection","")</f>
        <v>Selection</v>
      </c>
      <c r="M499" s="536"/>
      <c r="N499" s="536"/>
      <c r="O499" s="441" t="s">
        <v>377</v>
      </c>
      <c r="P499" s="348"/>
      <c r="Q499" s="348"/>
      <c r="R499" s="348"/>
      <c r="S499" s="348"/>
      <c r="T499" s="348"/>
      <c r="U499" s="322"/>
      <c r="V499" s="340"/>
    </row>
    <row r="500" spans="1:39" x14ac:dyDescent="0.25">
      <c r="A500" s="388">
        <f>IF('Account Info'!$T$8=TRUE,1,0)</f>
        <v>1</v>
      </c>
      <c r="B500" s="317"/>
      <c r="C500" s="1033">
        <v>0</v>
      </c>
      <c r="D500" s="1034"/>
      <c r="E500" s="1085">
        <v>0</v>
      </c>
      <c r="F500" s="1086"/>
      <c r="G500" s="1087"/>
      <c r="H500" s="550"/>
      <c r="I500" s="443" t="str">
        <f>IF(H500="","",VLOOKUP(H500,AO454:AR457,2,FALSE))</f>
        <v/>
      </c>
      <c r="J500" s="443" t="str">
        <f>IF(H500="","",VLOOKUP(H500,AO454:AR457,3,FALSE))</f>
        <v/>
      </c>
      <c r="K500" s="443" t="str">
        <f>IF(H500="","",VLOOKUP(H500,AO454:AR457,4,FALSE))</f>
        <v/>
      </c>
      <c r="L500" s="444"/>
      <c r="M500" s="1049">
        <f>ROUND(IF(OR(C500="",E500="",H500=""),0,IF('Account Info'!$AA$4="Flat Rate State",J500,L500)*$D$38*$V$442*('Cyber ILFs'!K61/'Cyber ILFs'!$K$5)*('Cyber ILFs'!W61/'Cyber ILFs'!$W$5)*PRODUCT(Rater!$V$384:$V$426)*CySchdMod),0)</f>
        <v>0</v>
      </c>
      <c r="N500" s="1050"/>
      <c r="O500" s="1040"/>
      <c r="P500" s="1065"/>
      <c r="Q500" s="1065"/>
      <c r="R500" s="1065"/>
      <c r="S500" s="1065"/>
      <c r="T500" s="1066"/>
      <c r="U500" s="322"/>
      <c r="V500" s="340"/>
    </row>
    <row r="501" spans="1:39" x14ac:dyDescent="0.25">
      <c r="A501" s="388">
        <f>IF('Account Info'!$T$8=TRUE,1,0)</f>
        <v>1</v>
      </c>
      <c r="B501" s="317"/>
      <c r="C501" s="361"/>
      <c r="D501" s="537"/>
      <c r="E501" s="538"/>
      <c r="F501" s="538"/>
      <c r="G501" s="538"/>
      <c r="H501" s="362"/>
      <c r="I501" s="362"/>
      <c r="J501" s="362"/>
      <c r="K501" s="362"/>
      <c r="L501" s="362"/>
      <c r="M501" s="362"/>
      <c r="N501" s="362"/>
      <c r="O501" s="1046"/>
      <c r="P501" s="1047"/>
      <c r="Q501" s="1047"/>
      <c r="R501" s="1047"/>
      <c r="S501" s="1047"/>
      <c r="T501" s="1048"/>
      <c r="U501" s="322"/>
      <c r="V501" s="340"/>
    </row>
    <row r="502" spans="1:39" x14ac:dyDescent="0.25">
      <c r="A502" s="388">
        <f>IF('Account Info'!$T$8=TRUE,1,0)</f>
        <v>1</v>
      </c>
      <c r="B502" s="317"/>
      <c r="C502" s="321"/>
      <c r="D502" s="491"/>
      <c r="E502" s="492"/>
      <c r="F502" s="492"/>
      <c r="G502" s="492"/>
      <c r="H502" s="465" t="s">
        <v>667</v>
      </c>
      <c r="I502" s="939">
        <f ca="1">IF(X439="","",ROUND(X439*V442+M446+M450+M454+M458+M462+M467+M472+M476+M480+M484+M488+M492+M496+M500,0))</f>
        <v>1339</v>
      </c>
      <c r="J502" s="463"/>
      <c r="K502" s="463"/>
      <c r="L502" s="463"/>
      <c r="M502" s="467"/>
      <c r="N502" s="362"/>
      <c r="O502" s="538"/>
      <c r="P502" s="538"/>
      <c r="Q502" s="538"/>
      <c r="R502" s="538"/>
      <c r="S502" s="538"/>
      <c r="T502" s="538"/>
      <c r="U502" s="322"/>
      <c r="V502" s="340"/>
    </row>
    <row r="503" spans="1:39" hidden="1" x14ac:dyDescent="0.25">
      <c r="A503" s="495">
        <f>IF(AND($AA$30=TRUE,'Account Info'!$T$8=TRUE),1,0)</f>
        <v>0</v>
      </c>
      <c r="B503" s="317"/>
      <c r="C503" s="321"/>
      <c r="D503" s="491"/>
      <c r="E503" s="492"/>
      <c r="F503" s="492"/>
      <c r="G503" s="492"/>
      <c r="H503" s="465"/>
      <c r="I503" s="496"/>
      <c r="J503" s="463"/>
      <c r="K503" s="463"/>
      <c r="L503" s="463"/>
      <c r="M503" s="467"/>
      <c r="N503" s="362"/>
      <c r="O503" s="538"/>
      <c r="P503" s="538"/>
      <c r="Q503" s="538"/>
      <c r="R503" s="538"/>
      <c r="S503" s="538"/>
      <c r="T503" s="538"/>
      <c r="U503" s="322"/>
      <c r="V503" s="340"/>
    </row>
    <row r="504" spans="1:39" hidden="1" x14ac:dyDescent="0.25">
      <c r="A504" s="495">
        <f>IF(AND($AA$30=TRUE,'Account Info'!$T$8=TRUE),1,0)</f>
        <v>0</v>
      </c>
      <c r="B504" s="317"/>
      <c r="C504" s="321"/>
      <c r="D504" s="491"/>
      <c r="E504" s="492"/>
      <c r="F504" s="492"/>
      <c r="G504" s="492"/>
      <c r="H504" s="465" t="s">
        <v>668</v>
      </c>
      <c r="I504" s="939">
        <f ca="1">IF(I502="","",ROUND((X439*V442*IF(AA30=FALSE,1,$V$51))+M446+M450+M454+M458+M462+M467+M472+M476+M480+M484+M488+M492+M496+M500,0))</f>
        <v>1339</v>
      </c>
      <c r="J504" s="463"/>
      <c r="K504" s="463"/>
      <c r="L504" s="463"/>
      <c r="M504" s="467"/>
      <c r="N504" s="362"/>
      <c r="O504" s="538"/>
      <c r="P504" s="538"/>
      <c r="Q504" s="538"/>
      <c r="R504" s="538"/>
      <c r="S504" s="538"/>
      <c r="T504" s="538"/>
      <c r="U504" s="322"/>
      <c r="V504" s="340"/>
    </row>
    <row r="505" spans="1:39" x14ac:dyDescent="0.25">
      <c r="A505" s="388">
        <f>IF(AND('Account Info'!$T$8=TRUE,'Account Info'!$AA$7&lt;&gt;"Everest Cyber Elevation"),1,0)</f>
        <v>1</v>
      </c>
      <c r="B505" s="423"/>
      <c r="C505" s="321"/>
      <c r="D505" s="491"/>
      <c r="E505" s="492"/>
      <c r="F505" s="492"/>
      <c r="G505" s="492"/>
      <c r="H505" s="465"/>
      <c r="I505" s="496"/>
      <c r="J505" s="497" t="s">
        <v>403</v>
      </c>
      <c r="K505" s="494"/>
      <c r="L505" s="494"/>
      <c r="M505" s="467"/>
      <c r="N505" s="362"/>
      <c r="O505" s="538"/>
      <c r="P505" s="538"/>
      <c r="Q505" s="538"/>
      <c r="R505" s="538"/>
      <c r="S505" s="538"/>
      <c r="T505" s="538"/>
      <c r="U505" s="322"/>
      <c r="V505" s="340"/>
    </row>
    <row r="506" spans="1:39" x14ac:dyDescent="0.25">
      <c r="A506" s="388">
        <f>IF(AND('Account Info'!$T$8=TRUE,'Account Info'!$AA$7&lt;&gt;"Everest Cyber Elevation"),1,0)</f>
        <v>1</v>
      </c>
      <c r="B506" s="423"/>
      <c r="C506" s="321"/>
      <c r="D506" s="491"/>
      <c r="E506" s="492"/>
      <c r="F506" s="492"/>
      <c r="G506" s="492"/>
      <c r="H506" s="465" t="s">
        <v>409</v>
      </c>
      <c r="I506" s="498">
        <v>0</v>
      </c>
      <c r="J506" s="939">
        <f>ROUND(IF(I506=0,0,((('Cyber ILFs'!K66-'Cyber ILFs'!K70)*0.4)/'Cyber ILFs'!K70)*X439*V442),0)</f>
        <v>0</v>
      </c>
      <c r="K506" s="494"/>
      <c r="L506" s="494"/>
      <c r="M506" s="467"/>
      <c r="N506" s="362"/>
      <c r="O506" s="538"/>
      <c r="P506" s="538"/>
      <c r="Q506" s="538"/>
      <c r="R506" s="538"/>
      <c r="S506" s="538"/>
      <c r="T506" s="538"/>
      <c r="U506" s="322"/>
      <c r="V506" s="340"/>
    </row>
    <row r="507" spans="1:39" x14ac:dyDescent="0.25">
      <c r="A507" s="499">
        <f>IF(AND('Account Info'!$U$12&gt;1,'Account Info'!$T$8=TRUE),1,0)</f>
        <v>1</v>
      </c>
      <c r="B507" s="423"/>
      <c r="C507" s="321"/>
      <c r="D507" s="491"/>
      <c r="E507" s="492"/>
      <c r="F507" s="492"/>
      <c r="G507" s="492"/>
      <c r="H507" s="465"/>
      <c r="J507" s="361" t="str">
        <f>IF(AND('Account Info'!$AA$4="Range State",I508="Yes"),"Low","")</f>
        <v/>
      </c>
      <c r="K507" s="361" t="str">
        <f>IF(I508&lt;&gt;"Yes","",IF('Account Info'!$AA$4="Range State","Benchmark","Selection"))</f>
        <v/>
      </c>
      <c r="L507" s="361" t="str">
        <f>IF(AND('Account Info'!$AA$4="Range State",I508="Yes"),"High","")</f>
        <v/>
      </c>
      <c r="M507" s="361" t="str">
        <f>IF(AND('Account Info'!$AA$4="Range State",I508="Yes"),"Selection","")</f>
        <v/>
      </c>
      <c r="N507" s="362"/>
      <c r="O507" s="538"/>
      <c r="P507" s="538"/>
      <c r="Q507" s="538"/>
      <c r="R507" s="538"/>
      <c r="S507" s="538"/>
      <c r="T507" s="538"/>
      <c r="U507" s="322"/>
      <c r="V507" s="340"/>
    </row>
    <row r="508" spans="1:39" x14ac:dyDescent="0.25">
      <c r="A508" s="499">
        <f>IF(AND('Account Info'!$U$12&gt;1,'Account Info'!$T$8=TRUE),1,0)</f>
        <v>1</v>
      </c>
      <c r="B508" s="423"/>
      <c r="C508" s="321"/>
      <c r="D508" s="491"/>
      <c r="E508" s="492"/>
      <c r="F508" s="492"/>
      <c r="G508" s="492"/>
      <c r="H508" s="465" t="s">
        <v>410</v>
      </c>
      <c r="I508" s="498" t="s">
        <v>411</v>
      </c>
      <c r="J508" s="443">
        <f>IF(I508="Yes",0.8,1)</f>
        <v>1</v>
      </c>
      <c r="K508" s="443">
        <f>IF(I508="Yes",0.9,1)</f>
        <v>1</v>
      </c>
      <c r="L508" s="443">
        <f>IF(I508="Yes",1,1)</f>
        <v>1</v>
      </c>
      <c r="M508" s="444"/>
      <c r="N508" s="362"/>
      <c r="O508" s="538"/>
      <c r="P508" s="538"/>
      <c r="Q508" s="538"/>
      <c r="R508" s="538"/>
      <c r="S508" s="538"/>
      <c r="T508" s="538"/>
      <c r="U508" s="322"/>
      <c r="V508" s="340">
        <f>IF('Account Info'!$AA$4="Flat Rate State",IF(K508="",1,K508),IF(M508="",1,M508))</f>
        <v>1</v>
      </c>
    </row>
    <row r="509" spans="1:39" x14ac:dyDescent="0.25">
      <c r="A509" s="388">
        <f>IF('Account Info'!$T$8=TRUE,1,0)</f>
        <v>1</v>
      </c>
      <c r="B509" s="317"/>
      <c r="C509" s="361"/>
      <c r="D509" s="537"/>
      <c r="E509" s="538"/>
      <c r="F509" s="538"/>
      <c r="G509" s="538"/>
      <c r="H509" s="362"/>
      <c r="I509" s="362"/>
      <c r="J509" s="362"/>
      <c r="K509" s="362"/>
      <c r="L509" s="362"/>
      <c r="M509" s="362"/>
      <c r="N509" s="362"/>
      <c r="O509" s="538"/>
      <c r="P509" s="538"/>
      <c r="Q509" s="538"/>
      <c r="R509" s="538"/>
      <c r="S509" s="538"/>
      <c r="T509" s="538"/>
      <c r="U509" s="322"/>
      <c r="V509" s="340"/>
    </row>
    <row r="510" spans="1:39" x14ac:dyDescent="0.25">
      <c r="A510" s="388">
        <f>IF('Account Info'!$T$8=TRUE,1,0)</f>
        <v>1</v>
      </c>
      <c r="B510" s="317"/>
      <c r="C510" s="321"/>
      <c r="D510" s="555"/>
      <c r="E510" s="555"/>
      <c r="F510" s="555"/>
      <c r="G510" s="555"/>
      <c r="H510" s="465" t="s">
        <v>669</v>
      </c>
      <c r="I510" s="939">
        <f ca="1">IF(I504="","",ROUND(I504+(J506*V508),0))</f>
        <v>1339</v>
      </c>
      <c r="J510" s="463"/>
      <c r="K510" s="463"/>
      <c r="L510" s="463"/>
      <c r="M510" s="467"/>
      <c r="N510" s="468"/>
      <c r="O510" s="468"/>
      <c r="P510" s="468"/>
      <c r="Q510" s="468"/>
      <c r="R510" s="468"/>
      <c r="S510" s="468"/>
      <c r="T510" s="468"/>
      <c r="U510" s="322"/>
      <c r="V510" s="340"/>
    </row>
    <row r="511" spans="1:39" ht="15.75" thickBot="1" x14ac:dyDescent="0.3">
      <c r="A511" s="388">
        <f>IF('Account Info'!$T$8=TRUE,1,0)</f>
        <v>1</v>
      </c>
      <c r="B511" s="324"/>
      <c r="C511" s="325"/>
      <c r="D511" s="325"/>
      <c r="E511" s="326"/>
      <c r="F511" s="325"/>
      <c r="G511" s="325"/>
      <c r="H511" s="325"/>
      <c r="I511" s="325"/>
      <c r="J511" s="325"/>
      <c r="K511" s="325"/>
      <c r="L511" s="325"/>
      <c r="M511" s="325"/>
      <c r="N511" s="325"/>
      <c r="O511" s="325"/>
      <c r="P511" s="325"/>
      <c r="Q511" s="325"/>
      <c r="R511" s="325"/>
      <c r="S511" s="325"/>
      <c r="T511" s="325"/>
      <c r="U511" s="327"/>
    </row>
    <row r="512" spans="1:39" ht="18.75" customHeight="1" x14ac:dyDescent="0.3">
      <c r="A512" s="420">
        <f>IF('Account Info'!$T$9=TRUE,1,0)</f>
        <v>1</v>
      </c>
      <c r="B512" s="451" t="s">
        <v>670</v>
      </c>
      <c r="C512" s="321"/>
      <c r="D512" s="321"/>
      <c r="E512" s="321"/>
      <c r="F512" s="320"/>
      <c r="G512" s="320"/>
      <c r="H512" s="452"/>
      <c r="I512" s="320"/>
      <c r="J512" s="320"/>
      <c r="K512" s="320"/>
      <c r="L512" s="320"/>
      <c r="M512" s="320"/>
      <c r="N512" s="320"/>
      <c r="O512" s="452"/>
      <c r="P512" s="321"/>
      <c r="Q512" s="321"/>
      <c r="R512" s="321"/>
      <c r="S512" s="321"/>
      <c r="T512" s="321"/>
      <c r="U512" s="322"/>
      <c r="V512" s="340">
        <v>1</v>
      </c>
      <c r="AJ512" s="316"/>
      <c r="AK512" s="316"/>
      <c r="AL512" s="316"/>
      <c r="AM512" s="316"/>
    </row>
    <row r="513" spans="1:39" ht="15" customHeight="1" x14ac:dyDescent="0.25">
      <c r="A513" s="420">
        <f>IF('Account Info'!$T$9=TRUE,1,0)</f>
        <v>1</v>
      </c>
      <c r="B513" s="1079" t="s">
        <v>671</v>
      </c>
      <c r="C513" s="1080"/>
      <c r="D513" s="348" t="s">
        <v>672</v>
      </c>
      <c r="E513" s="349"/>
      <c r="F513" s="439"/>
      <c r="G513" s="439"/>
      <c r="H513" s="453"/>
      <c r="I513" s="361" t="str">
        <f>IF('Account Info'!$AA$4="Range State","Low","")</f>
        <v>Low</v>
      </c>
      <c r="J513" s="361" t="str">
        <f>IF('Account Info'!$AA$4="Range State","Benchmark","Selection")</f>
        <v>Benchmark</v>
      </c>
      <c r="K513" s="361" t="str">
        <f>IF('Account Info'!$AA$4="Range State","High","")</f>
        <v>High</v>
      </c>
      <c r="L513" s="361" t="str">
        <f>IF('Account Info'!$AA$4="Range State","Selection","")</f>
        <v>Selection</v>
      </c>
      <c r="M513" s="440" t="s">
        <v>377</v>
      </c>
      <c r="N513" s="440"/>
      <c r="O513" s="441"/>
      <c r="P513" s="348"/>
      <c r="Q513" s="348"/>
      <c r="R513" s="348"/>
      <c r="S513" s="348"/>
      <c r="T513" s="348"/>
      <c r="U513" s="322"/>
      <c r="V513" s="340">
        <v>1</v>
      </c>
      <c r="AJ513" s="316"/>
      <c r="AK513" s="316"/>
      <c r="AL513" s="316"/>
      <c r="AM513" s="316"/>
    </row>
    <row r="514" spans="1:39" ht="15" customHeight="1" x14ac:dyDescent="0.25">
      <c r="A514" s="420">
        <f>IF('Account Info'!$T$9=TRUE,1,0)</f>
        <v>1</v>
      </c>
      <c r="B514" s="1079"/>
      <c r="C514" s="1080"/>
      <c r="D514" s="1054" t="s">
        <v>418</v>
      </c>
      <c r="E514" s="1055"/>
      <c r="F514" s="1055"/>
      <c r="G514" s="1055"/>
      <c r="H514" s="1056"/>
      <c r="I514" s="443">
        <f>IF(D514="","",VLOOKUP(D514,AD596:AG598,2,FALSE))</f>
        <v>0.91</v>
      </c>
      <c r="J514" s="443">
        <f>IF(D514="","",VLOOKUP(D514,AD596:AG598,3,FALSE))</f>
        <v>1.01</v>
      </c>
      <c r="K514" s="443">
        <f>IF(D514="","",VLOOKUP(D514,AD596:AG598,4,FALSE))</f>
        <v>1.1000000000000001</v>
      </c>
      <c r="L514" s="454">
        <f>J514</f>
        <v>1.01</v>
      </c>
      <c r="M514" s="1057"/>
      <c r="N514" s="1058"/>
      <c r="O514" s="1058"/>
      <c r="P514" s="1058"/>
      <c r="Q514" s="1058"/>
      <c r="R514" s="1058"/>
      <c r="S514" s="1058"/>
      <c r="T514" s="1059"/>
      <c r="U514" s="322"/>
      <c r="V514" s="340">
        <f>IF('Account Info'!$AA$4="Flat Rate State",IF(J514="",1,J514),IF(L514="",1,L514))</f>
        <v>1.01</v>
      </c>
      <c r="X514" s="316"/>
      <c r="Y514" s="316"/>
      <c r="Z514" s="316"/>
      <c r="AA514" s="316"/>
      <c r="AJ514" s="316"/>
      <c r="AK514" s="316"/>
      <c r="AL514" s="316"/>
      <c r="AM514" s="316"/>
    </row>
    <row r="515" spans="1:39" ht="15" customHeight="1" x14ac:dyDescent="0.25">
      <c r="A515" s="420">
        <f>IF('Account Info'!$T$9=TRUE,1,0)</f>
        <v>1</v>
      </c>
      <c r="B515" s="1079"/>
      <c r="C515" s="1080"/>
      <c r="D515" s="456"/>
      <c r="E515" s="456"/>
      <c r="F515" s="457"/>
      <c r="G515" s="457"/>
      <c r="H515" s="458"/>
      <c r="I515" s="459"/>
      <c r="J515" s="459"/>
      <c r="K515" s="460"/>
      <c r="L515" s="460" t="str">
        <f>IF(AND('Account Info'!$AA$4="Range State",L514&lt;&gt;"",OR(L514&lt;I514,L514&gt;K514)),"Factor is out of range","")</f>
        <v/>
      </c>
      <c r="M515" s="1051"/>
      <c r="N515" s="1052"/>
      <c r="O515" s="1052"/>
      <c r="P515" s="1052"/>
      <c r="Q515" s="1052"/>
      <c r="R515" s="1052"/>
      <c r="S515" s="1052"/>
      <c r="T515" s="1053"/>
      <c r="U515" s="322"/>
      <c r="V515" s="340">
        <v>1</v>
      </c>
      <c r="X515" s="316"/>
      <c r="Y515" s="316"/>
      <c r="Z515" s="316"/>
      <c r="AA515" s="316"/>
      <c r="AJ515" s="316"/>
      <c r="AK515" s="316"/>
      <c r="AL515" s="316"/>
      <c r="AM515" s="316"/>
    </row>
    <row r="516" spans="1:39" ht="15" customHeight="1" x14ac:dyDescent="0.25">
      <c r="A516" s="420">
        <f>IF('Account Info'!$T$9=TRUE,1,0)</f>
        <v>1</v>
      </c>
      <c r="B516" s="1079"/>
      <c r="C516" s="1080"/>
      <c r="D516" s="348" t="s">
        <v>673</v>
      </c>
      <c r="E516" s="349"/>
      <c r="F516" s="439"/>
      <c r="G516" s="439"/>
      <c r="H516" s="453"/>
      <c r="I516" s="361" t="str">
        <f>IF('Account Info'!$AA$4="Range State","Low","")</f>
        <v>Low</v>
      </c>
      <c r="J516" s="361" t="str">
        <f>IF('Account Info'!$AA$4="Range State","Benchmark","Selection")</f>
        <v>Benchmark</v>
      </c>
      <c r="K516" s="361" t="str">
        <f>IF('Account Info'!$AA$4="Range State","High","")</f>
        <v>High</v>
      </c>
      <c r="L516" s="361" t="str">
        <f>IF('Account Info'!$AA$4="Range State","Selection","")</f>
        <v>Selection</v>
      </c>
      <c r="M516" s="440" t="s">
        <v>377</v>
      </c>
      <c r="N516" s="440"/>
      <c r="O516" s="441"/>
      <c r="P516" s="348"/>
      <c r="Q516" s="348"/>
      <c r="R516" s="348"/>
      <c r="S516" s="348"/>
      <c r="T516" s="348"/>
      <c r="U516" s="322"/>
      <c r="V516" s="340">
        <v>1</v>
      </c>
      <c r="X516" s="316"/>
      <c r="Y516" s="316"/>
      <c r="Z516" s="316"/>
      <c r="AA516" s="316"/>
      <c r="AJ516" s="316"/>
      <c r="AK516" s="316"/>
      <c r="AL516" s="316"/>
      <c r="AM516" s="316"/>
    </row>
    <row r="517" spans="1:39" ht="15" customHeight="1" x14ac:dyDescent="0.25">
      <c r="A517" s="420">
        <f>IF('Account Info'!$T$9=TRUE,1,0)</f>
        <v>1</v>
      </c>
      <c r="B517" s="1079"/>
      <c r="C517" s="1080"/>
      <c r="D517" s="1054" t="s">
        <v>703</v>
      </c>
      <c r="E517" s="1055"/>
      <c r="F517" s="1055"/>
      <c r="G517" s="1055"/>
      <c r="H517" s="1056"/>
      <c r="I517" s="443">
        <f>IF(D517="","",VLOOKUP(D517,AD600:AG603,2,FALSE))</f>
        <v>0.9</v>
      </c>
      <c r="J517" s="443">
        <f>IF(D517="","",VLOOKUP(D517,AD600:AG603,3,FALSE))</f>
        <v>0.95</v>
      </c>
      <c r="K517" s="443">
        <f>IF(D517="","",VLOOKUP(D517,AD600:AG603,4,FALSE))</f>
        <v>1</v>
      </c>
      <c r="L517" s="454">
        <f>J517</f>
        <v>0.95</v>
      </c>
      <c r="M517" s="1057"/>
      <c r="N517" s="1058"/>
      <c r="O517" s="1058"/>
      <c r="P517" s="1058"/>
      <c r="Q517" s="1058"/>
      <c r="R517" s="1058"/>
      <c r="S517" s="1058"/>
      <c r="T517" s="1059"/>
      <c r="U517" s="322"/>
      <c r="V517" s="340">
        <f>IF('Account Info'!$AA$4="Flat Rate State",IF(J517="",1,J517),IF(L517="",1,L517))</f>
        <v>0.95</v>
      </c>
      <c r="X517" s="316"/>
      <c r="Y517" s="316"/>
      <c r="Z517" s="316"/>
      <c r="AA517" s="316"/>
      <c r="AJ517" s="316"/>
      <c r="AK517" s="316"/>
      <c r="AL517" s="316"/>
      <c r="AM517" s="316"/>
    </row>
    <row r="518" spans="1:39" ht="15" customHeight="1" x14ac:dyDescent="0.25">
      <c r="A518" s="420">
        <f>IF('Account Info'!$T$9=TRUE,1,0)</f>
        <v>1</v>
      </c>
      <c r="B518" s="1079"/>
      <c r="C518" s="1080"/>
      <c r="D518" s="456"/>
      <c r="E518" s="456"/>
      <c r="F518" s="457"/>
      <c r="G518" s="457"/>
      <c r="H518" s="458"/>
      <c r="I518" s="459"/>
      <c r="J518" s="459"/>
      <c r="K518" s="460"/>
      <c r="L518" s="460" t="str">
        <f>IF(AND('Account Info'!$AA$4="Range State",L517&lt;&gt;"",OR(L517&lt;I517,L517&gt;K517)),"Factor is out of range","")</f>
        <v/>
      </c>
      <c r="M518" s="1051"/>
      <c r="N518" s="1052"/>
      <c r="O518" s="1052"/>
      <c r="P518" s="1052"/>
      <c r="Q518" s="1052"/>
      <c r="R518" s="1052"/>
      <c r="S518" s="1052"/>
      <c r="T518" s="1053"/>
      <c r="U518" s="322"/>
      <c r="V518" s="340">
        <v>1</v>
      </c>
      <c r="X518" s="316"/>
      <c r="Y518" s="316"/>
      <c r="Z518" s="316"/>
      <c r="AA518" s="316"/>
      <c r="AJ518" s="316"/>
      <c r="AK518" s="316"/>
      <c r="AL518" s="316"/>
      <c r="AM518" s="316"/>
    </row>
    <row r="519" spans="1:39" ht="15" customHeight="1" x14ac:dyDescent="0.25">
      <c r="A519" s="420">
        <f>IF('Account Info'!$T$9=TRUE,1,0)</f>
        <v>1</v>
      </c>
      <c r="B519" s="1079"/>
      <c r="C519" s="1080"/>
      <c r="D519" s="348" t="s">
        <v>674</v>
      </c>
      <c r="E519" s="349"/>
      <c r="F519" s="439"/>
      <c r="G519" s="439"/>
      <c r="H519" s="453"/>
      <c r="I519" s="361" t="str">
        <f>IF('Account Info'!$AA$4="Range State","Low","")</f>
        <v>Low</v>
      </c>
      <c r="J519" s="361" t="str">
        <f>IF('Account Info'!$AA$4="Range State","Benchmark","Selection")</f>
        <v>Benchmark</v>
      </c>
      <c r="K519" s="361" t="str">
        <f>IF('Account Info'!$AA$4="Range State","High","")</f>
        <v>High</v>
      </c>
      <c r="L519" s="361" t="str">
        <f>IF('Account Info'!$AA$4="Range State","Selection","")</f>
        <v>Selection</v>
      </c>
      <c r="M519" s="440" t="s">
        <v>377</v>
      </c>
      <c r="N519" s="440"/>
      <c r="O519" s="441"/>
      <c r="P519" s="348"/>
      <c r="Q519" s="348"/>
      <c r="R519" s="348"/>
      <c r="S519" s="348"/>
      <c r="T519" s="348"/>
      <c r="U519" s="322"/>
      <c r="V519" s="340">
        <v>1</v>
      </c>
      <c r="X519" s="316"/>
      <c r="Y519" s="316"/>
      <c r="Z519" s="316"/>
      <c r="AA519" s="316"/>
      <c r="AJ519" s="316"/>
      <c r="AK519" s="316"/>
      <c r="AL519" s="316"/>
      <c r="AM519" s="316"/>
    </row>
    <row r="520" spans="1:39" ht="15" customHeight="1" x14ac:dyDescent="0.25">
      <c r="A520" s="420">
        <f>IF('Account Info'!$T$9=TRUE,1,0)</f>
        <v>1</v>
      </c>
      <c r="B520" s="1079"/>
      <c r="C520" s="1080"/>
      <c r="D520" s="1054" t="s">
        <v>411</v>
      </c>
      <c r="E520" s="1055"/>
      <c r="F520" s="1055"/>
      <c r="G520" s="1055"/>
      <c r="H520" s="1056"/>
      <c r="I520" s="443">
        <f>IF(D520="","",VLOOKUP(D520,AD605:AG606,2,FALSE))</f>
        <v>0.9</v>
      </c>
      <c r="J520" s="443">
        <f>IF(D520="","",VLOOKUP(D520,AD605:AG606,3,FALSE))</f>
        <v>0.98</v>
      </c>
      <c r="K520" s="443">
        <f>IF(D520="","",VLOOKUP(D520,AD605:AG606,4,FALSE))</f>
        <v>1.05</v>
      </c>
      <c r="L520" s="454">
        <f>J520</f>
        <v>0.98</v>
      </c>
      <c r="M520" s="1057"/>
      <c r="N520" s="1058"/>
      <c r="O520" s="1058"/>
      <c r="P520" s="1058"/>
      <c r="Q520" s="1058"/>
      <c r="R520" s="1058"/>
      <c r="S520" s="1058"/>
      <c r="T520" s="1059"/>
      <c r="U520" s="322"/>
      <c r="V520" s="340">
        <f>IF('Account Info'!$AA$4="Flat Rate State",IF(J520="",1,J520),IF(L520="",1,L520))</f>
        <v>0.98</v>
      </c>
      <c r="X520" s="316"/>
      <c r="Y520" s="316"/>
      <c r="Z520" s="316"/>
      <c r="AA520" s="316"/>
      <c r="AJ520" s="316"/>
      <c r="AK520" s="316"/>
      <c r="AL520" s="316"/>
      <c r="AM520" s="316"/>
    </row>
    <row r="521" spans="1:39" ht="15" customHeight="1" x14ac:dyDescent="0.25">
      <c r="A521" s="420">
        <f>IF('Account Info'!$T$9=TRUE,1,0)</f>
        <v>1</v>
      </c>
      <c r="B521" s="1079"/>
      <c r="C521" s="1080"/>
      <c r="D521" s="461"/>
      <c r="E521" s="462"/>
      <c r="F521" s="462"/>
      <c r="G521" s="462"/>
      <c r="H521" s="462"/>
      <c r="I521" s="463"/>
      <c r="J521" s="463"/>
      <c r="K521" s="460"/>
      <c r="L521" s="460" t="str">
        <f>IF(AND('Account Info'!$AA$4="Range State",L520&lt;&gt;"",OR(L520&lt;I520,L520&gt;K520)),"Factor is out of range","")</f>
        <v/>
      </c>
      <c r="M521" s="1051"/>
      <c r="N521" s="1052"/>
      <c r="O521" s="1052"/>
      <c r="P521" s="1052"/>
      <c r="Q521" s="1052"/>
      <c r="R521" s="1052"/>
      <c r="S521" s="1052"/>
      <c r="T521" s="1053"/>
      <c r="U521" s="322"/>
      <c r="V521" s="340">
        <v>1</v>
      </c>
      <c r="X521" s="316"/>
      <c r="Y521" s="316"/>
      <c r="Z521" s="316"/>
      <c r="AA521" s="316"/>
      <c r="AJ521" s="316"/>
      <c r="AK521" s="316"/>
      <c r="AL521" s="316"/>
      <c r="AM521" s="316"/>
    </row>
    <row r="522" spans="1:39" ht="15" customHeight="1" x14ac:dyDescent="0.25">
      <c r="A522" s="420">
        <f>IF('Account Info'!$T$9=TRUE,1,0)</f>
        <v>1</v>
      </c>
      <c r="B522" s="1079"/>
      <c r="C522" s="1080"/>
      <c r="D522" s="348" t="s">
        <v>383</v>
      </c>
      <c r="E522" s="439"/>
      <c r="F522" s="349"/>
      <c r="G522" s="349"/>
      <c r="H522" s="453"/>
      <c r="I522" s="361" t="str">
        <f>IF('Account Info'!$AA$4="Range State","Low","")</f>
        <v>Low</v>
      </c>
      <c r="J522" s="361" t="str">
        <f>IF('Account Info'!$AA$4="Range State","Benchmark","Selection")</f>
        <v>Benchmark</v>
      </c>
      <c r="K522" s="361" t="str">
        <f>IF('Account Info'!$AA$4="Range State","High","")</f>
        <v>High</v>
      </c>
      <c r="L522" s="361" t="str">
        <f>IF('Account Info'!$AA$4="Range State","Selection","")</f>
        <v>Selection</v>
      </c>
      <c r="M522" s="440" t="s">
        <v>377</v>
      </c>
      <c r="N522" s="440"/>
      <c r="O522" s="441"/>
      <c r="P522" s="348"/>
      <c r="Q522" s="348"/>
      <c r="R522" s="348"/>
      <c r="S522" s="348"/>
      <c r="T522" s="348"/>
      <c r="U522" s="322"/>
      <c r="V522" s="340">
        <v>1</v>
      </c>
      <c r="X522" s="316"/>
      <c r="Y522" s="316"/>
      <c r="Z522" s="316"/>
      <c r="AA522" s="316"/>
      <c r="AJ522" s="316"/>
      <c r="AK522" s="316"/>
      <c r="AL522" s="316"/>
      <c r="AM522" s="316"/>
    </row>
    <row r="523" spans="1:39" ht="15" customHeight="1" x14ac:dyDescent="0.25">
      <c r="A523" s="420">
        <f>IF('Account Info'!$T$9=TRUE,1,0)</f>
        <v>1</v>
      </c>
      <c r="B523" s="1079"/>
      <c r="C523" s="1080"/>
      <c r="D523" s="1054" t="s">
        <v>418</v>
      </c>
      <c r="E523" s="1055"/>
      <c r="F523" s="1055"/>
      <c r="G523" s="1055"/>
      <c r="H523" s="1056"/>
      <c r="I523" s="443">
        <f>IF(D523="","",VLOOKUP(D523,AD616:AG619,2,FALSE))</f>
        <v>1</v>
      </c>
      <c r="J523" s="443">
        <f>IF(D523="","",VLOOKUP(D523,AD616:AG619,3,FALSE))</f>
        <v>1.1299999999999999</v>
      </c>
      <c r="K523" s="443">
        <f>IF(D523="","",VLOOKUP(D523,AD616:AG619,4,FALSE))</f>
        <v>1.25</v>
      </c>
      <c r="L523" s="454">
        <f>J523</f>
        <v>1.1299999999999999</v>
      </c>
      <c r="M523" s="1057"/>
      <c r="N523" s="1058"/>
      <c r="O523" s="1058"/>
      <c r="P523" s="1058"/>
      <c r="Q523" s="1058"/>
      <c r="R523" s="1058"/>
      <c r="S523" s="1058"/>
      <c r="T523" s="1059"/>
      <c r="U523" s="322"/>
      <c r="V523" s="340">
        <f>IF('Account Info'!$AA$4="Flat Rate State",IF(J523="",1,J523),IF(L523="",1,L523))</f>
        <v>1.1299999999999999</v>
      </c>
      <c r="AJ523" s="316"/>
      <c r="AK523" s="316"/>
      <c r="AL523" s="316"/>
      <c r="AM523" s="316"/>
    </row>
    <row r="524" spans="1:39" ht="15" customHeight="1" x14ac:dyDescent="0.25">
      <c r="A524" s="420">
        <f>IF('Account Info'!$T$9=TRUE,1,0)</f>
        <v>1</v>
      </c>
      <c r="B524" s="1079"/>
      <c r="C524" s="1080"/>
      <c r="D524" s="456"/>
      <c r="E524" s="456"/>
      <c r="F524" s="457"/>
      <c r="G524" s="457"/>
      <c r="H524" s="458"/>
      <c r="I524" s="459"/>
      <c r="J524" s="459"/>
      <c r="K524" s="460"/>
      <c r="L524" s="460" t="str">
        <f>IF(AND('Account Info'!$AA$4="Range State",L523&lt;&gt;"",OR(L523&lt;I523,L523&gt;K523)),"Factor is out of range","")</f>
        <v/>
      </c>
      <c r="M524" s="1051"/>
      <c r="N524" s="1052"/>
      <c r="O524" s="1052"/>
      <c r="P524" s="1052"/>
      <c r="Q524" s="1052"/>
      <c r="R524" s="1052"/>
      <c r="S524" s="1052"/>
      <c r="T524" s="1053"/>
      <c r="U524" s="322"/>
      <c r="V524" s="340">
        <v>1</v>
      </c>
      <c r="AJ524" s="316"/>
      <c r="AK524" s="316"/>
      <c r="AL524" s="316"/>
      <c r="AM524" s="316"/>
    </row>
    <row r="525" spans="1:39" ht="15" customHeight="1" x14ac:dyDescent="0.25">
      <c r="A525" s="420">
        <f>IF('Account Info'!$T$9=TRUE,1,0)</f>
        <v>1</v>
      </c>
      <c r="B525" s="1079"/>
      <c r="C525" s="1080"/>
      <c r="D525" s="440" t="s">
        <v>675</v>
      </c>
      <c r="E525" s="349"/>
      <c r="F525" s="439"/>
      <c r="G525" s="439"/>
      <c r="H525" s="453"/>
      <c r="I525" s="361" t="str">
        <f>IF('Account Info'!$AA$4="Range State","Low","")</f>
        <v>Low</v>
      </c>
      <c r="J525" s="361" t="str">
        <f>IF('Account Info'!$AA$4="Range State","Benchmark","Selection")</f>
        <v>Benchmark</v>
      </c>
      <c r="K525" s="361" t="str">
        <f>IF('Account Info'!$AA$4="Range State","High","")</f>
        <v>High</v>
      </c>
      <c r="L525" s="361" t="str">
        <f>IF('Account Info'!$AA$4="Range State","Selection","")</f>
        <v>Selection</v>
      </c>
      <c r="M525" s="440" t="s">
        <v>377</v>
      </c>
      <c r="N525" s="440"/>
      <c r="O525" s="441"/>
      <c r="P525" s="348"/>
      <c r="Q525" s="348"/>
      <c r="R525" s="348"/>
      <c r="S525" s="348"/>
      <c r="T525" s="348"/>
      <c r="U525" s="322"/>
      <c r="V525" s="340">
        <v>1</v>
      </c>
      <c r="AJ525" s="316"/>
      <c r="AK525" s="316"/>
      <c r="AL525" s="316"/>
      <c r="AM525" s="316"/>
    </row>
    <row r="526" spans="1:39" ht="15" customHeight="1" x14ac:dyDescent="0.25">
      <c r="A526" s="420">
        <f>IF('Account Info'!$T$9=TRUE,1,0)</f>
        <v>1</v>
      </c>
      <c r="B526" s="1079"/>
      <c r="C526" s="1080"/>
      <c r="D526" s="1054" t="s">
        <v>500</v>
      </c>
      <c r="E526" s="1055"/>
      <c r="F526" s="1055"/>
      <c r="G526" s="1055"/>
      <c r="H526" s="1056"/>
      <c r="I526" s="443">
        <f>IF(D526="","",VLOOKUP(D526,AD621:AG623,2,FALSE))</f>
        <v>0.96</v>
      </c>
      <c r="J526" s="443">
        <f>IF(D526="","",VLOOKUP(D526,AD621:AG623,3,FALSE))</f>
        <v>1.01</v>
      </c>
      <c r="K526" s="443">
        <f>IF(D526="","",VLOOKUP(D526,AD621:AG623,4,FALSE))</f>
        <v>1.05</v>
      </c>
      <c r="L526" s="454">
        <f>J526</f>
        <v>1.01</v>
      </c>
      <c r="M526" s="1057"/>
      <c r="N526" s="1058"/>
      <c r="O526" s="1058"/>
      <c r="P526" s="1058"/>
      <c r="Q526" s="1058"/>
      <c r="R526" s="1058"/>
      <c r="S526" s="1058"/>
      <c r="T526" s="1059"/>
      <c r="U526" s="322"/>
      <c r="V526" s="340">
        <f>IF('Account Info'!$AA$4="Flat Rate State",IF(J526="",1,J526),IF(L526="",1,L526))</f>
        <v>1.01</v>
      </c>
      <c r="AJ526" s="316"/>
      <c r="AK526" s="316"/>
      <c r="AL526" s="316"/>
      <c r="AM526" s="316"/>
    </row>
    <row r="527" spans="1:39" ht="15" customHeight="1" x14ac:dyDescent="0.25">
      <c r="A527" s="420">
        <f>IF('Account Info'!$T$9=TRUE,1,0)</f>
        <v>1</v>
      </c>
      <c r="B527" s="1079"/>
      <c r="C527" s="1080"/>
      <c r="D527" s="456"/>
      <c r="E527" s="456"/>
      <c r="F527" s="457"/>
      <c r="G527" s="457"/>
      <c r="H527" s="458"/>
      <c r="I527" s="459"/>
      <c r="J527" s="459"/>
      <c r="K527" s="460"/>
      <c r="L527" s="460" t="str">
        <f>IF(AND('Account Info'!$AA$4="Range State",L526&lt;&gt;"",OR(L526&lt;I526,L526&gt;K526)),"Factor is out of range","")</f>
        <v/>
      </c>
      <c r="M527" s="1051"/>
      <c r="N527" s="1052"/>
      <c r="O527" s="1052"/>
      <c r="P527" s="1052"/>
      <c r="Q527" s="1052"/>
      <c r="R527" s="1052"/>
      <c r="S527" s="1052"/>
      <c r="T527" s="1053"/>
      <c r="U527" s="322"/>
      <c r="V527" s="340">
        <v>1</v>
      </c>
      <c r="AJ527" s="316"/>
      <c r="AK527" s="316"/>
      <c r="AL527" s="316"/>
      <c r="AM527" s="316"/>
    </row>
    <row r="528" spans="1:39" ht="15" customHeight="1" x14ac:dyDescent="0.25">
      <c r="A528" s="420">
        <f>IF('Account Info'!$T$9=TRUE,1,0)</f>
        <v>1</v>
      </c>
      <c r="B528" s="1079"/>
      <c r="C528" s="1080"/>
      <c r="D528" s="440" t="s">
        <v>676</v>
      </c>
      <c r="E528" s="349"/>
      <c r="F528" s="439"/>
      <c r="G528" s="439"/>
      <c r="H528" s="453"/>
      <c r="I528" s="361" t="str">
        <f>IF('Account Info'!$AA$4="Range State","Low","")</f>
        <v>Low</v>
      </c>
      <c r="J528" s="361" t="str">
        <f>IF('Account Info'!$AA$4="Range State","Benchmark","Selection")</f>
        <v>Benchmark</v>
      </c>
      <c r="K528" s="361" t="str">
        <f>IF('Account Info'!$AA$4="Range State","High","")</f>
        <v>High</v>
      </c>
      <c r="L528" s="361" t="str">
        <f>IF('Account Info'!$AA$4="Range State","Selection","")</f>
        <v>Selection</v>
      </c>
      <c r="M528" s="440" t="s">
        <v>377</v>
      </c>
      <c r="N528" s="440"/>
      <c r="O528" s="441"/>
      <c r="P528" s="348"/>
      <c r="Q528" s="348"/>
      <c r="R528" s="348"/>
      <c r="S528" s="348"/>
      <c r="T528" s="348"/>
      <c r="U528" s="322"/>
      <c r="V528" s="340">
        <v>1</v>
      </c>
      <c r="AJ528" s="316"/>
      <c r="AK528" s="316"/>
      <c r="AL528" s="316"/>
      <c r="AM528" s="316"/>
    </row>
    <row r="529" spans="1:39" ht="15" customHeight="1" x14ac:dyDescent="0.25">
      <c r="A529" s="420">
        <f>IF('Account Info'!$T$9=TRUE,1,0)</f>
        <v>1</v>
      </c>
      <c r="B529" s="1079"/>
      <c r="C529" s="1080"/>
      <c r="D529" s="1054" t="s">
        <v>500</v>
      </c>
      <c r="E529" s="1055"/>
      <c r="F529" s="1055"/>
      <c r="G529" s="1055"/>
      <c r="H529" s="1056"/>
      <c r="I529" s="443">
        <f>IF(D529="","",VLOOKUP(D529,AD626:AG628,2,FALSE))</f>
        <v>0.91</v>
      </c>
      <c r="J529" s="443">
        <f>IF(D529="","",VLOOKUP(D529,AD626:AG628,3,FALSE))</f>
        <v>1.01</v>
      </c>
      <c r="K529" s="443">
        <f>IF(D529="","",VLOOKUP(D529,AD626:AG628,4,FALSE))</f>
        <v>1.1000000000000001</v>
      </c>
      <c r="L529" s="454">
        <f>J529</f>
        <v>1.01</v>
      </c>
      <c r="M529" s="1057"/>
      <c r="N529" s="1058"/>
      <c r="O529" s="1058"/>
      <c r="P529" s="1058"/>
      <c r="Q529" s="1058"/>
      <c r="R529" s="1058"/>
      <c r="S529" s="1058"/>
      <c r="T529" s="1059"/>
      <c r="U529" s="322"/>
      <c r="V529" s="340">
        <f>IF('Account Info'!$AA$4="Flat Rate State",IF(J529="",1,J529),IF(L529="",1,L529))</f>
        <v>1.01</v>
      </c>
      <c r="AJ529" s="316"/>
      <c r="AK529" s="316"/>
      <c r="AL529" s="316"/>
      <c r="AM529" s="316"/>
    </row>
    <row r="530" spans="1:39" ht="15" customHeight="1" x14ac:dyDescent="0.25">
      <c r="A530" s="420">
        <f>IF('Account Info'!$T$9=TRUE,1,0)</f>
        <v>1</v>
      </c>
      <c r="B530" s="1079"/>
      <c r="C530" s="1080"/>
      <c r="D530" s="456"/>
      <c r="E530" s="456"/>
      <c r="F530" s="457"/>
      <c r="G530" s="457"/>
      <c r="H530" s="458"/>
      <c r="I530" s="459"/>
      <c r="J530" s="459"/>
      <c r="K530" s="460"/>
      <c r="L530" s="460" t="str">
        <f>IF(AND('Account Info'!$AA$4="Range State",L529&lt;&gt;"",OR(L529&lt;I529,L529&gt;K529)),"Factor is out of range","")</f>
        <v/>
      </c>
      <c r="M530" s="1051"/>
      <c r="N530" s="1052"/>
      <c r="O530" s="1052"/>
      <c r="P530" s="1052"/>
      <c r="Q530" s="1052"/>
      <c r="R530" s="1052"/>
      <c r="S530" s="1052"/>
      <c r="T530" s="1053"/>
      <c r="U530" s="322"/>
      <c r="V530" s="340">
        <v>1</v>
      </c>
      <c r="AJ530" s="316"/>
      <c r="AK530" s="316"/>
      <c r="AL530" s="316"/>
      <c r="AM530" s="316"/>
    </row>
    <row r="531" spans="1:39" ht="15" customHeight="1" x14ac:dyDescent="0.25">
      <c r="A531" s="420">
        <f>IF('Account Info'!$T$9=TRUE,1,0)</f>
        <v>1</v>
      </c>
      <c r="B531" s="1079"/>
      <c r="C531" s="1080"/>
      <c r="D531" s="348" t="s">
        <v>677</v>
      </c>
      <c r="E531" s="439"/>
      <c r="F531" s="349"/>
      <c r="G531" s="349"/>
      <c r="H531" s="453"/>
      <c r="I531" s="361" t="str">
        <f>IF('Account Info'!$AA$4="Range State","Low","")</f>
        <v>Low</v>
      </c>
      <c r="J531" s="361" t="str">
        <f>IF('Account Info'!$AA$4="Range State","Benchmark","Selection")</f>
        <v>Benchmark</v>
      </c>
      <c r="K531" s="361" t="str">
        <f>IF('Account Info'!$AA$4="Range State","High","")</f>
        <v>High</v>
      </c>
      <c r="L531" s="361" t="str">
        <f>IF('Account Info'!$AA$4="Range State","Selection","")</f>
        <v>Selection</v>
      </c>
      <c r="M531" s="440" t="s">
        <v>377</v>
      </c>
      <c r="N531" s="440"/>
      <c r="O531" s="441"/>
      <c r="P531" s="348"/>
      <c r="Q531" s="348"/>
      <c r="R531" s="348"/>
      <c r="S531" s="348"/>
      <c r="T531" s="348"/>
      <c r="U531" s="322"/>
      <c r="V531" s="340">
        <v>1</v>
      </c>
      <c r="AD531" s="510" t="s">
        <v>678</v>
      </c>
      <c r="AJ531" s="316"/>
      <c r="AK531" s="316"/>
      <c r="AL531" s="316"/>
      <c r="AM531" s="316"/>
    </row>
    <row r="532" spans="1:39" ht="15" customHeight="1" x14ac:dyDescent="0.25">
      <c r="A532" s="420">
        <f>IF('Account Info'!$T$9=TRUE,1,0)</f>
        <v>1</v>
      </c>
      <c r="B532" s="1079"/>
      <c r="C532" s="1080"/>
      <c r="D532" s="1054" t="s">
        <v>418</v>
      </c>
      <c r="E532" s="1055"/>
      <c r="F532" s="1055"/>
      <c r="G532" s="1055"/>
      <c r="H532" s="1056"/>
      <c r="I532" s="443">
        <f>IF(D532="","",VLOOKUP(D532,AD634:AG637,2,FALSE))</f>
        <v>1</v>
      </c>
      <c r="J532" s="443">
        <f>IF(D532="","",VLOOKUP(D532,AD634:AG637,3,FALSE))</f>
        <v>1.1299999999999999</v>
      </c>
      <c r="K532" s="443">
        <f>IF(D532="","",VLOOKUP(D532,AD634:AG637,4,FALSE))</f>
        <v>1.25</v>
      </c>
      <c r="L532" s="454">
        <f>J532</f>
        <v>1.1299999999999999</v>
      </c>
      <c r="M532" s="1057"/>
      <c r="N532" s="1058"/>
      <c r="O532" s="1058"/>
      <c r="P532" s="1058"/>
      <c r="Q532" s="1058"/>
      <c r="R532" s="1058"/>
      <c r="S532" s="1058"/>
      <c r="T532" s="1059"/>
      <c r="U532" s="322"/>
      <c r="V532" s="340">
        <f>IF('Account Info'!$AA$4="Flat Rate State",IF(J532="",1,J532),IF(L532="",1,L532))</f>
        <v>1.1299999999999999</v>
      </c>
      <c r="AD532" s="397" t="s">
        <v>517</v>
      </c>
      <c r="AE532" s="545">
        <v>0.8</v>
      </c>
      <c r="AF532" s="545">
        <f>ROUND(AVERAGE(AE532,AG532),2)</f>
        <v>0.9</v>
      </c>
      <c r="AG532" s="545">
        <v>0.99</v>
      </c>
      <c r="AJ532" s="316"/>
      <c r="AK532" s="316"/>
      <c r="AL532" s="316"/>
      <c r="AM532" s="316"/>
    </row>
    <row r="533" spans="1:39" ht="15" customHeight="1" x14ac:dyDescent="0.25">
      <c r="A533" s="420">
        <f>IF('Account Info'!$T$9=TRUE,1,0)</f>
        <v>1</v>
      </c>
      <c r="B533" s="1079"/>
      <c r="C533" s="1080"/>
      <c r="D533" s="456"/>
      <c r="E533" s="457"/>
      <c r="F533" s="456"/>
      <c r="G533" s="456"/>
      <c r="H533" s="456"/>
      <c r="I533" s="464"/>
      <c r="J533" s="464"/>
      <c r="K533" s="460"/>
      <c r="L533" s="460" t="str">
        <f>IF(AND('Account Info'!$AA$4="Range State",L532&lt;&gt;"",OR(L532&lt;I532,L532&gt;K532)),"Factor is out of range","")</f>
        <v/>
      </c>
      <c r="M533" s="1051"/>
      <c r="N533" s="1052"/>
      <c r="O533" s="1052"/>
      <c r="P533" s="1052"/>
      <c r="Q533" s="1052"/>
      <c r="R533" s="1052"/>
      <c r="S533" s="1052"/>
      <c r="T533" s="1053"/>
      <c r="U533" s="322"/>
      <c r="V533" s="340">
        <v>1</v>
      </c>
      <c r="X533" s="503" t="s">
        <v>678</v>
      </c>
      <c r="Y533" s="388"/>
      <c r="Z533" s="388"/>
      <c r="AA533" s="388"/>
      <c r="AD533" s="397" t="s">
        <v>518</v>
      </c>
      <c r="AE533" s="545">
        <v>1</v>
      </c>
      <c r="AF533" s="545">
        <f>ROUND(AVERAGE(AE533,AG533),2)</f>
        <v>1</v>
      </c>
      <c r="AG533" s="545">
        <v>1</v>
      </c>
      <c r="AJ533" s="316"/>
      <c r="AK533" s="316"/>
      <c r="AL533" s="316"/>
      <c r="AM533" s="316"/>
    </row>
    <row r="534" spans="1:39" ht="15" customHeight="1" x14ac:dyDescent="0.25">
      <c r="A534" s="420">
        <f>IF('Account Info'!$T$9=TRUE,1,0)</f>
        <v>1</v>
      </c>
      <c r="B534" s="1079"/>
      <c r="C534" s="1080"/>
      <c r="D534" s="461"/>
      <c r="E534" s="462"/>
      <c r="F534" s="462"/>
      <c r="G534" s="462"/>
      <c r="J534" s="466"/>
      <c r="K534" s="466"/>
      <c r="L534" s="463"/>
      <c r="M534" s="467"/>
      <c r="N534" s="468"/>
      <c r="O534" s="468"/>
      <c r="P534" s="468"/>
      <c r="Q534" s="468"/>
      <c r="R534" s="468"/>
      <c r="S534" s="468"/>
      <c r="T534" s="468"/>
      <c r="U534" s="322"/>
      <c r="V534" s="458" t="s">
        <v>679</v>
      </c>
      <c r="W534" s="939">
        <f ca="1">IF(I45="","",I45*PRODUCT(V512:V533))</f>
        <v>4290.0266761325156</v>
      </c>
      <c r="X534" s="405" t="s">
        <v>517</v>
      </c>
      <c r="Y534" s="378">
        <v>0.8</v>
      </c>
      <c r="Z534" s="378">
        <f>ROUND(AVERAGE(Y534,AA534),2)</f>
        <v>0.9</v>
      </c>
      <c r="AA534" s="378">
        <v>0.99</v>
      </c>
      <c r="AD534" s="397" t="s">
        <v>516</v>
      </c>
      <c r="AE534" s="397">
        <v>1.01</v>
      </c>
      <c r="AF534" s="545">
        <f>ROUND(AVERAGE(AE534,AG534),2)</f>
        <v>1.1100000000000001</v>
      </c>
      <c r="AG534" s="545">
        <v>1.2</v>
      </c>
      <c r="AJ534" s="316"/>
      <c r="AK534" s="316"/>
      <c r="AL534" s="316"/>
      <c r="AM534" s="316"/>
    </row>
    <row r="535" spans="1:39" ht="15" customHeight="1" thickBot="1" x14ac:dyDescent="0.3">
      <c r="A535" s="420">
        <f>IF('Account Info'!$T$9=TRUE,1,0)</f>
        <v>1</v>
      </c>
      <c r="B535" s="1081"/>
      <c r="C535" s="1082"/>
      <c r="D535" s="325"/>
      <c r="E535" s="326"/>
      <c r="F535" s="325"/>
      <c r="G535" s="325"/>
      <c r="H535" s="325"/>
      <c r="I535" s="469"/>
      <c r="J535" s="469"/>
      <c r="K535" s="469"/>
      <c r="L535" s="469"/>
      <c r="M535" s="325"/>
      <c r="N535" s="325"/>
      <c r="O535" s="325"/>
      <c r="P535" s="325"/>
      <c r="Q535" s="325"/>
      <c r="R535" s="325"/>
      <c r="S535" s="325"/>
      <c r="T535" s="325"/>
      <c r="U535" s="327"/>
      <c r="V535" s="340"/>
      <c r="X535" s="405" t="s">
        <v>518</v>
      </c>
      <c r="Y535" s="378">
        <v>1</v>
      </c>
      <c r="Z535" s="378">
        <f>ROUND(AVERAGE(Y535,AA535),2)</f>
        <v>1</v>
      </c>
      <c r="AA535" s="378">
        <v>1</v>
      </c>
      <c r="AD535" s="510" t="s">
        <v>680</v>
      </c>
      <c r="AJ535" s="316"/>
      <c r="AK535" s="316"/>
      <c r="AL535" s="316"/>
      <c r="AM535" s="316"/>
    </row>
    <row r="536" spans="1:39" ht="19.5" thickBot="1" x14ac:dyDescent="0.35">
      <c r="A536" s="420">
        <f>IF('Account Info'!$T$9=TRUE,1,0)</f>
        <v>1</v>
      </c>
      <c r="B536" s="470" t="s">
        <v>681</v>
      </c>
      <c r="C536" s="309"/>
      <c r="D536" s="310"/>
      <c r="E536" s="310"/>
      <c r="F536" s="310"/>
      <c r="G536" s="310"/>
      <c r="H536" s="310"/>
      <c r="I536" s="512"/>
      <c r="J536" s="512"/>
      <c r="K536" s="512"/>
      <c r="L536" s="512"/>
      <c r="M536" s="310"/>
      <c r="N536" s="310"/>
      <c r="O536" s="310"/>
      <c r="P536" s="310"/>
      <c r="Q536" s="310"/>
      <c r="R536" s="310"/>
      <c r="S536" s="310"/>
      <c r="T536" s="310"/>
      <c r="U536" s="311"/>
      <c r="X536" s="405" t="s">
        <v>516</v>
      </c>
      <c r="Y536" s="405">
        <v>1.01</v>
      </c>
      <c r="Z536" s="378">
        <f>ROUND(AVERAGE(Y536,AA536),2)</f>
        <v>1.1100000000000001</v>
      </c>
      <c r="AA536" s="378">
        <v>1.2</v>
      </c>
      <c r="AD536" s="397" t="s">
        <v>522</v>
      </c>
      <c r="AE536" s="545">
        <v>1</v>
      </c>
      <c r="AF536" s="545">
        <f>ROUND(AVERAGE(AE536,AG536),2)</f>
        <v>1</v>
      </c>
      <c r="AG536" s="545">
        <v>1</v>
      </c>
      <c r="AJ536" s="316"/>
      <c r="AK536" s="316"/>
      <c r="AL536" s="316"/>
      <c r="AM536" s="316"/>
    </row>
    <row r="537" spans="1:39" x14ac:dyDescent="0.25">
      <c r="A537" s="420">
        <f>IF('Account Info'!$T$9=TRUE,1,0)</f>
        <v>1</v>
      </c>
      <c r="B537" s="317"/>
      <c r="C537" s="321"/>
      <c r="D537" s="321"/>
      <c r="E537" s="320"/>
      <c r="F537" s="321"/>
      <c r="G537" s="321"/>
      <c r="H537" s="471" t="s">
        <v>393</v>
      </c>
      <c r="I537" s="472">
        <v>0.8</v>
      </c>
      <c r="J537" s="473">
        <v>1.25</v>
      </c>
      <c r="K537" s="949">
        <v>1</v>
      </c>
      <c r="L537" s="474"/>
      <c r="M537" s="320"/>
      <c r="N537" s="320"/>
      <c r="O537" s="320"/>
      <c r="P537" s="320"/>
      <c r="Q537" s="320"/>
      <c r="R537" s="320"/>
      <c r="S537" s="320"/>
      <c r="T537" s="320"/>
      <c r="U537" s="322"/>
      <c r="AD537" s="397" t="s">
        <v>524</v>
      </c>
      <c r="AE537" s="545">
        <v>0.8</v>
      </c>
      <c r="AF537" s="545">
        <f>ROUND(AVERAGE(AE537,AG537),2)</f>
        <v>0.9</v>
      </c>
      <c r="AG537" s="545">
        <v>0.99</v>
      </c>
      <c r="AJ537" s="316"/>
      <c r="AK537" s="316"/>
      <c r="AL537" s="316"/>
      <c r="AM537" s="316"/>
    </row>
    <row r="538" spans="1:39" x14ac:dyDescent="0.25">
      <c r="A538" s="420">
        <f>IF('Account Info'!$T$9=TRUE,1,0)</f>
        <v>1</v>
      </c>
      <c r="B538" s="317"/>
      <c r="C538" s="321"/>
      <c r="D538" s="321"/>
      <c r="E538" s="320"/>
      <c r="F538" s="321"/>
      <c r="G538" s="321"/>
      <c r="H538" s="475" t="s">
        <v>394</v>
      </c>
      <c r="I538" s="476">
        <v>0.8</v>
      </c>
      <c r="J538" s="477">
        <v>1.25</v>
      </c>
      <c r="K538" s="950">
        <v>1</v>
      </c>
      <c r="L538" s="474"/>
      <c r="M538" s="320"/>
      <c r="N538" s="320"/>
      <c r="O538" s="320"/>
      <c r="P538" s="320"/>
      <c r="Q538" s="320"/>
      <c r="R538" s="320"/>
      <c r="S538" s="320"/>
      <c r="T538" s="320"/>
      <c r="U538" s="322"/>
      <c r="AD538" s="397" t="s">
        <v>526</v>
      </c>
      <c r="AE538" s="545">
        <v>1.01</v>
      </c>
      <c r="AF538" s="545">
        <f>ROUND(AVERAGE(AE538,AG538),2)</f>
        <v>1.1100000000000001</v>
      </c>
      <c r="AG538" s="545">
        <v>1.2</v>
      </c>
      <c r="AJ538" s="316"/>
      <c r="AK538" s="316"/>
      <c r="AL538" s="316"/>
      <c r="AM538" s="316"/>
    </row>
    <row r="539" spans="1:39" x14ac:dyDescent="0.25">
      <c r="A539" s="420">
        <f>IF('Account Info'!$T$9=TRUE,1,0)</f>
        <v>1</v>
      </c>
      <c r="B539" s="317"/>
      <c r="C539" s="321"/>
      <c r="D539" s="321"/>
      <c r="E539" s="320"/>
      <c r="F539" s="321"/>
      <c r="G539" s="321"/>
      <c r="H539" s="475" t="s">
        <v>395</v>
      </c>
      <c r="I539" s="476">
        <v>0.8</v>
      </c>
      <c r="J539" s="477">
        <v>1.25</v>
      </c>
      <c r="K539" s="950">
        <v>1</v>
      </c>
      <c r="L539" s="474"/>
      <c r="M539" s="320"/>
      <c r="N539" s="320"/>
      <c r="O539" s="320"/>
      <c r="P539" s="320"/>
      <c r="Q539" s="320"/>
      <c r="R539" s="320"/>
      <c r="S539" s="320"/>
      <c r="T539" s="320"/>
      <c r="U539" s="322"/>
      <c r="AD539" s="397" t="s">
        <v>533</v>
      </c>
      <c r="AE539" s="545">
        <v>0.65</v>
      </c>
      <c r="AF539" s="545">
        <f>ROUND(AVERAGE(AE539,AG539),2)</f>
        <v>0.72</v>
      </c>
      <c r="AG539" s="545">
        <v>0.79</v>
      </c>
      <c r="AJ539" s="316"/>
      <c r="AK539" s="316"/>
      <c r="AL539" s="316"/>
      <c r="AM539" s="316"/>
    </row>
    <row r="540" spans="1:39" x14ac:dyDescent="0.25">
      <c r="A540" s="420">
        <f>IF('Account Info'!$T$9=TRUE,1,0)</f>
        <v>1</v>
      </c>
      <c r="B540" s="317"/>
      <c r="C540" s="321"/>
      <c r="D540" s="321"/>
      <c r="E540" s="320"/>
      <c r="F540" s="321"/>
      <c r="G540" s="321"/>
      <c r="H540" s="475" t="s">
        <v>396</v>
      </c>
      <c r="I540" s="476">
        <v>0.8</v>
      </c>
      <c r="J540" s="477">
        <v>1.25</v>
      </c>
      <c r="K540" s="950">
        <v>1</v>
      </c>
      <c r="L540" s="474"/>
      <c r="M540" s="320"/>
      <c r="N540" s="320"/>
      <c r="O540" s="320"/>
      <c r="P540" s="320"/>
      <c r="Q540" s="320"/>
      <c r="R540" s="320"/>
      <c r="S540" s="320"/>
      <c r="T540" s="320"/>
      <c r="U540" s="322"/>
      <c r="AD540" s="397" t="s">
        <v>535</v>
      </c>
      <c r="AE540" s="545">
        <v>1.21</v>
      </c>
      <c r="AF540" s="545">
        <f>ROUND(AVERAGE(AE540,AG540),2)</f>
        <v>1.28</v>
      </c>
      <c r="AG540" s="545">
        <v>1.35</v>
      </c>
      <c r="AJ540" s="316"/>
      <c r="AK540" s="316"/>
      <c r="AL540" s="316"/>
      <c r="AM540" s="316"/>
    </row>
    <row r="541" spans="1:39" ht="15.75" thickBot="1" x14ac:dyDescent="0.3">
      <c r="A541" s="420">
        <f>IF('Account Info'!$T$9=TRUE,1,0)</f>
        <v>1</v>
      </c>
      <c r="B541" s="317"/>
      <c r="C541" s="321"/>
      <c r="D541" s="321"/>
      <c r="E541" s="320"/>
      <c r="F541" s="321"/>
      <c r="G541" s="321"/>
      <c r="H541" s="478" t="s">
        <v>397</v>
      </c>
      <c r="I541" s="479">
        <v>0.8</v>
      </c>
      <c r="J541" s="480">
        <v>1.25</v>
      </c>
      <c r="K541" s="951">
        <v>1</v>
      </c>
      <c r="L541" s="474"/>
      <c r="M541" s="320"/>
      <c r="N541" s="320"/>
      <c r="O541" s="320"/>
      <c r="P541" s="320"/>
      <c r="Q541" s="320"/>
      <c r="R541" s="320"/>
      <c r="S541" s="320"/>
      <c r="T541" s="320"/>
      <c r="U541" s="322"/>
      <c r="AD541" s="525" t="s">
        <v>682</v>
      </c>
      <c r="AE541" s="340"/>
      <c r="AF541" s="340"/>
      <c r="AG541" s="340"/>
      <c r="AJ541" s="316"/>
      <c r="AK541" s="316"/>
      <c r="AL541" s="316"/>
      <c r="AM541" s="316"/>
    </row>
    <row r="542" spans="1:39" ht="15.75" thickBot="1" x14ac:dyDescent="0.3">
      <c r="A542" s="420">
        <f>IF('Account Info'!$T$9=TRUE,1,0)</f>
        <v>1</v>
      </c>
      <c r="B542" s="317"/>
      <c r="C542" s="321"/>
      <c r="D542" s="321"/>
      <c r="E542" s="320"/>
      <c r="F542" s="321"/>
      <c r="G542" s="321"/>
      <c r="H542" s="481"/>
      <c r="I542" s="482"/>
      <c r="J542" s="483"/>
      <c r="K542" s="952">
        <f>IF(PRODUCT(K537:K541)=0,1,PRODUCT(K537:K541))</f>
        <v>1</v>
      </c>
      <c r="L542" s="464"/>
      <c r="M542" s="320"/>
      <c r="N542" s="320"/>
      <c r="O542" s="320"/>
      <c r="P542" s="320"/>
      <c r="Q542" s="320"/>
      <c r="R542" s="320"/>
      <c r="S542" s="320"/>
      <c r="T542" s="320"/>
      <c r="U542" s="322"/>
      <c r="W542" s="484">
        <f>W98</f>
        <v>0.5</v>
      </c>
      <c r="X542" s="484">
        <f>X98</f>
        <v>1.5</v>
      </c>
      <c r="AD542" s="397" t="s">
        <v>412</v>
      </c>
      <c r="AE542" s="545">
        <v>1.05</v>
      </c>
      <c r="AF542" s="545">
        <f>ROUND(AVERAGE(AE542,AG542),2)</f>
        <v>1.1299999999999999</v>
      </c>
      <c r="AG542" s="545">
        <v>1.2</v>
      </c>
      <c r="AJ542" s="316"/>
      <c r="AK542" s="316"/>
      <c r="AL542" s="316"/>
      <c r="AM542" s="316"/>
    </row>
    <row r="543" spans="1:39" x14ac:dyDescent="0.25">
      <c r="A543" s="420">
        <f>IF('Account Info'!$T$9=TRUE,1,0)</f>
        <v>1</v>
      </c>
      <c r="B543" s="317"/>
      <c r="C543" s="321"/>
      <c r="D543" s="321"/>
      <c r="E543" s="320"/>
      <c r="F543" s="321"/>
      <c r="G543" s="321"/>
      <c r="H543" s="485"/>
      <c r="I543" s="482"/>
      <c r="J543" s="483"/>
      <c r="K543" s="486"/>
      <c r="L543" s="464"/>
      <c r="M543" s="320"/>
      <c r="N543" s="320"/>
      <c r="O543" s="320"/>
      <c r="P543" s="320"/>
      <c r="Q543" s="320"/>
      <c r="R543" s="320"/>
      <c r="S543" s="320"/>
      <c r="T543" s="320"/>
      <c r="U543" s="322"/>
      <c r="AD543" s="397" t="s">
        <v>411</v>
      </c>
      <c r="AE543" s="545">
        <v>1</v>
      </c>
      <c r="AF543" s="545">
        <f>ROUND(AVERAGE(AE543,AG543),2)</f>
        <v>1</v>
      </c>
      <c r="AG543" s="545">
        <v>1</v>
      </c>
      <c r="AJ543" s="316"/>
      <c r="AK543" s="316"/>
      <c r="AL543" s="316"/>
      <c r="AM543" s="316"/>
    </row>
    <row r="544" spans="1:39" x14ac:dyDescent="0.25">
      <c r="A544" s="420">
        <f>IF('Account Info'!$T$9=TRUE,1,0)</f>
        <v>1</v>
      </c>
      <c r="B544" s="317"/>
      <c r="C544" s="321"/>
      <c r="D544" s="321"/>
      <c r="E544" s="320"/>
      <c r="F544" s="321"/>
      <c r="G544" s="321"/>
      <c r="J544" s="483"/>
      <c r="K544" s="486"/>
      <c r="L544" s="464"/>
      <c r="M544" s="320"/>
      <c r="N544" s="320"/>
      <c r="O544" s="320"/>
      <c r="P544" s="320"/>
      <c r="Q544" s="320"/>
      <c r="R544" s="320"/>
      <c r="S544" s="320"/>
      <c r="T544" s="320"/>
      <c r="U544" s="322"/>
      <c r="V544" s="458" t="s">
        <v>683</v>
      </c>
      <c r="W544" s="939">
        <f ca="1">IF(W534="","",W534*K542)</f>
        <v>4290.0266761325156</v>
      </c>
      <c r="AJ544" s="316"/>
      <c r="AK544" s="316"/>
      <c r="AL544" s="316"/>
      <c r="AM544" s="316"/>
    </row>
    <row r="545" spans="1:39" ht="15.75" thickBot="1" x14ac:dyDescent="0.3">
      <c r="A545" s="420">
        <f>IF('Account Info'!$T$9=TRUE,1,0)</f>
        <v>1</v>
      </c>
      <c r="B545" s="324"/>
      <c r="C545" s="325"/>
      <c r="D545" s="325"/>
      <c r="E545" s="326"/>
      <c r="F545" s="325"/>
      <c r="G545" s="325"/>
      <c r="H545" s="488"/>
      <c r="I545" s="489"/>
      <c r="J545" s="489"/>
      <c r="K545" s="325"/>
      <c r="L545" s="469"/>
      <c r="M545" s="326"/>
      <c r="N545" s="326"/>
      <c r="O545" s="326"/>
      <c r="P545" s="326"/>
      <c r="Q545" s="326"/>
      <c r="R545" s="326"/>
      <c r="S545" s="326"/>
      <c r="T545" s="326"/>
      <c r="U545" s="327"/>
      <c r="AJ545" s="316"/>
      <c r="AK545" s="316"/>
      <c r="AL545" s="316"/>
      <c r="AM545" s="316"/>
    </row>
    <row r="546" spans="1:39" ht="18.75" x14ac:dyDescent="0.3">
      <c r="A546" s="420">
        <f>IF('Account Info'!$T$9=TRUE,1,0)</f>
        <v>1</v>
      </c>
      <c r="B546" s="470" t="s">
        <v>684</v>
      </c>
      <c r="C546" s="321"/>
      <c r="D546" s="321"/>
      <c r="E546" s="320"/>
      <c r="F546" s="321"/>
      <c r="G546" s="321"/>
      <c r="H546" s="321"/>
      <c r="I546" s="464"/>
      <c r="J546" s="464"/>
      <c r="K546" s="464"/>
      <c r="L546" s="464"/>
      <c r="M546" s="321"/>
      <c r="N546" s="321"/>
      <c r="O546" s="321"/>
      <c r="P546" s="321"/>
      <c r="Q546" s="321"/>
      <c r="R546" s="321"/>
      <c r="S546" s="321"/>
      <c r="T546" s="321"/>
      <c r="U546" s="322"/>
      <c r="V546" s="340">
        <v>1</v>
      </c>
      <c r="X546" s="503" t="s">
        <v>680</v>
      </c>
      <c r="Y546" s="388"/>
      <c r="Z546" s="388"/>
      <c r="AA546" s="388"/>
      <c r="AD546" s="316"/>
      <c r="AE546" s="316"/>
      <c r="AF546" s="316"/>
      <c r="AG546" s="316"/>
      <c r="AJ546" s="316"/>
      <c r="AK546" s="316"/>
      <c r="AL546" s="316"/>
      <c r="AM546" s="316"/>
    </row>
    <row r="547" spans="1:39" x14ac:dyDescent="0.25">
      <c r="A547" s="420">
        <f>IF('Account Info'!$T$9=TRUE,1,0)</f>
        <v>1</v>
      </c>
      <c r="B547" s="1075" t="s">
        <v>671</v>
      </c>
      <c r="C547" s="1076"/>
      <c r="D547" s="348" t="s">
        <v>473</v>
      </c>
      <c r="E547" s="439"/>
      <c r="F547" s="349"/>
      <c r="G547" s="349"/>
      <c r="H547" s="453"/>
      <c r="I547" s="361" t="str">
        <f>IF('Account Info'!$AA$4="Range State","Low","")</f>
        <v>Low</v>
      </c>
      <c r="J547" s="361" t="str">
        <f>IF('Account Info'!$AA$4="Range State","Benchmark","Selection")</f>
        <v>Benchmark</v>
      </c>
      <c r="K547" s="361" t="str">
        <f>IF('Account Info'!$AA$4="Range State","High","")</f>
        <v>High</v>
      </c>
      <c r="L547" s="361" t="str">
        <f>IF('Account Info'!$AA$4="Range State","Selection","")</f>
        <v>Selection</v>
      </c>
      <c r="M547" s="440" t="s">
        <v>377</v>
      </c>
      <c r="N547" s="440"/>
      <c r="O547" s="441"/>
      <c r="P547" s="348"/>
      <c r="Q547" s="348"/>
      <c r="R547" s="348"/>
      <c r="S547" s="348"/>
      <c r="T547" s="348"/>
      <c r="U547" s="322"/>
      <c r="V547" s="340">
        <v>1</v>
      </c>
      <c r="X547" s="405" t="s">
        <v>522</v>
      </c>
      <c r="Y547" s="378">
        <v>1</v>
      </c>
      <c r="Z547" s="378">
        <f>ROUND(AVERAGE(Y547,AA547),2)</f>
        <v>1</v>
      </c>
      <c r="AA547" s="378">
        <v>1</v>
      </c>
      <c r="AD547" s="316"/>
      <c r="AE547" s="316"/>
      <c r="AF547" s="316"/>
      <c r="AG547" s="316"/>
      <c r="AJ547" s="316"/>
      <c r="AK547" s="316"/>
      <c r="AL547" s="316"/>
      <c r="AM547" s="316"/>
    </row>
    <row r="548" spans="1:39" x14ac:dyDescent="0.25">
      <c r="A548" s="420">
        <f>IF('Account Info'!$T$9=TRUE,1,0)</f>
        <v>1</v>
      </c>
      <c r="B548" s="1075"/>
      <c r="C548" s="1076"/>
      <c r="D548" s="1054" t="s">
        <v>517</v>
      </c>
      <c r="E548" s="1055"/>
      <c r="F548" s="1055"/>
      <c r="G548" s="1055"/>
      <c r="H548" s="1056"/>
      <c r="I548" s="443">
        <f>IF(D548="","",VLOOKUP(D548,AD532:AG534,2,FALSE))</f>
        <v>0.8</v>
      </c>
      <c r="J548" s="443">
        <f>IF(D548="","",VLOOKUP(D548,AD532:AG534,3,FALSE))</f>
        <v>0.9</v>
      </c>
      <c r="K548" s="443">
        <f>IF(D548="","",VLOOKUP(D548,AD532:AG534,4,FALSE))</f>
        <v>0.99</v>
      </c>
      <c r="L548" s="454">
        <f>J548</f>
        <v>0.9</v>
      </c>
      <c r="M548" s="1057"/>
      <c r="N548" s="1058"/>
      <c r="O548" s="1058"/>
      <c r="P548" s="1058"/>
      <c r="Q548" s="1058"/>
      <c r="R548" s="1058"/>
      <c r="S548" s="1058"/>
      <c r="T548" s="1059"/>
      <c r="U548" s="322"/>
      <c r="V548" s="340">
        <f>IF('Account Info'!$AA$4="Flat Rate State",IF(J548="",1,J548),IF(L548="",1,L548))</f>
        <v>0.9</v>
      </c>
      <c r="X548" s="405" t="s">
        <v>524</v>
      </c>
      <c r="Y548" s="378">
        <v>0.8</v>
      </c>
      <c r="Z548" s="378">
        <f>ROUND(AVERAGE(Y548,AA548),2)</f>
        <v>0.9</v>
      </c>
      <c r="AA548" s="378">
        <v>0.99</v>
      </c>
      <c r="AB548" s="316"/>
      <c r="AC548" s="316"/>
      <c r="AD548" s="316"/>
      <c r="AE548" s="316"/>
      <c r="AF548" s="316"/>
      <c r="AG548" s="316"/>
      <c r="AJ548" s="316"/>
      <c r="AK548" s="316"/>
      <c r="AL548" s="316"/>
      <c r="AM548" s="316"/>
    </row>
    <row r="549" spans="1:39" x14ac:dyDescent="0.25">
      <c r="A549" s="420">
        <f>IF('Account Info'!$T$9=TRUE,1,0)</f>
        <v>1</v>
      </c>
      <c r="B549" s="1075"/>
      <c r="C549" s="1076"/>
      <c r="D549" s="456"/>
      <c r="E549" s="457"/>
      <c r="F549" s="456"/>
      <c r="G549" s="456"/>
      <c r="H549" s="456"/>
      <c r="I549" s="464"/>
      <c r="J549" s="464"/>
      <c r="K549" s="460"/>
      <c r="L549" s="460" t="str">
        <f>IF(AND('Account Info'!$AA$4="Range State",L548&lt;&gt;"",OR(L548&lt;I548,L548&gt;K548)),"Factor is out of range","")</f>
        <v/>
      </c>
      <c r="M549" s="1051"/>
      <c r="N549" s="1052"/>
      <c r="O549" s="1052"/>
      <c r="P549" s="1052"/>
      <c r="Q549" s="1052"/>
      <c r="R549" s="1052"/>
      <c r="S549" s="1052"/>
      <c r="T549" s="1053"/>
      <c r="U549" s="322"/>
      <c r="V549" s="340">
        <v>1</v>
      </c>
      <c r="X549" s="405" t="s">
        <v>526</v>
      </c>
      <c r="Y549" s="378">
        <v>1.01</v>
      </c>
      <c r="Z549" s="378">
        <f>ROUND(AVERAGE(Y549,AA549),2)</f>
        <v>1.1100000000000001</v>
      </c>
      <c r="AA549" s="378">
        <v>1.2</v>
      </c>
      <c r="AB549" s="316"/>
      <c r="AC549" s="316"/>
      <c r="AD549" s="316"/>
      <c r="AE549" s="316"/>
      <c r="AF549" s="316"/>
      <c r="AG549" s="316"/>
      <c r="AJ549" s="316"/>
      <c r="AK549" s="316"/>
      <c r="AL549" s="316"/>
      <c r="AM549" s="316"/>
    </row>
    <row r="550" spans="1:39" x14ac:dyDescent="0.25">
      <c r="A550" s="420">
        <f>IF('Account Info'!$T$9=TRUE,1,0)</f>
        <v>1</v>
      </c>
      <c r="B550" s="1075"/>
      <c r="C550" s="1076"/>
      <c r="D550" s="348" t="s">
        <v>401</v>
      </c>
      <c r="E550" s="439"/>
      <c r="F550" s="349"/>
      <c r="G550" s="349"/>
      <c r="H550" s="453"/>
      <c r="I550" s="361" t="str">
        <f>IF('Account Info'!$AA$4="Range State","Low","")</f>
        <v>Low</v>
      </c>
      <c r="J550" s="361" t="str">
        <f>IF('Account Info'!$AA$4="Range State","Benchmark","Selection")</f>
        <v>Benchmark</v>
      </c>
      <c r="K550" s="361" t="str">
        <f>IF('Account Info'!$AA$4="Range State","High","")</f>
        <v>High</v>
      </c>
      <c r="L550" s="361" t="str">
        <f>IF('Account Info'!$AA$4="Range State","Selection","")</f>
        <v>Selection</v>
      </c>
      <c r="M550" s="440" t="s">
        <v>377</v>
      </c>
      <c r="N550" s="440"/>
      <c r="O550" s="441"/>
      <c r="P550" s="348"/>
      <c r="Q550" s="348"/>
      <c r="R550" s="348"/>
      <c r="S550" s="348"/>
      <c r="T550" s="348"/>
      <c r="U550" s="322"/>
      <c r="V550" s="340">
        <v>1</v>
      </c>
      <c r="X550" s="405" t="s">
        <v>533</v>
      </c>
      <c r="Y550" s="378">
        <v>0.65</v>
      </c>
      <c r="Z550" s="378">
        <f>ROUND(AVERAGE(Y550,AA550),2)</f>
        <v>0.72</v>
      </c>
      <c r="AA550" s="378">
        <v>0.79</v>
      </c>
      <c r="AB550" s="316"/>
      <c r="AC550" s="316"/>
      <c r="AD550" s="316"/>
      <c r="AE550" s="316"/>
      <c r="AF550" s="316"/>
      <c r="AG550" s="316"/>
    </row>
    <row r="551" spans="1:39" x14ac:dyDescent="0.25">
      <c r="A551" s="420">
        <f>IF('Account Info'!$T$9=TRUE,1,0)</f>
        <v>1</v>
      </c>
      <c r="B551" s="1075"/>
      <c r="C551" s="1076"/>
      <c r="D551" s="1054" t="s">
        <v>522</v>
      </c>
      <c r="E551" s="1055"/>
      <c r="F551" s="1055"/>
      <c r="G551" s="1055"/>
      <c r="H551" s="1056"/>
      <c r="I551" s="443">
        <f>IF(D551="","",VLOOKUP(D551,AD536:AG540,2,FALSE))</f>
        <v>1</v>
      </c>
      <c r="J551" s="443">
        <f>IF(D551="","",VLOOKUP(D551,AD536:AG540,3,FALSE))</f>
        <v>1</v>
      </c>
      <c r="K551" s="443">
        <f>IF(D551="","",VLOOKUP(D551,AD536:AG540,4,FALSE))</f>
        <v>1</v>
      </c>
      <c r="L551" s="454">
        <f>J551</f>
        <v>1</v>
      </c>
      <c r="M551" s="1057"/>
      <c r="N551" s="1058"/>
      <c r="O551" s="1058"/>
      <c r="P551" s="1058"/>
      <c r="Q551" s="1058"/>
      <c r="R551" s="1058"/>
      <c r="S551" s="1058"/>
      <c r="T551" s="1059"/>
      <c r="U551" s="322"/>
      <c r="V551" s="340">
        <f>IF('Account Info'!$AA$4="Flat Rate State",IF(J551="",1,J551),IF(L551="",1,L551))</f>
        <v>1</v>
      </c>
      <c r="X551" s="405" t="s">
        <v>535</v>
      </c>
      <c r="Y551" s="378">
        <v>1.21</v>
      </c>
      <c r="Z551" s="378">
        <f>ROUND(AVERAGE(Y551,AA551),2)</f>
        <v>1.28</v>
      </c>
      <c r="AA551" s="378">
        <v>1.35</v>
      </c>
      <c r="AB551" s="316"/>
      <c r="AC551" s="316"/>
      <c r="AD551" s="316"/>
      <c r="AE551" s="316"/>
      <c r="AF551" s="316"/>
      <c r="AG551" s="316"/>
    </row>
    <row r="552" spans="1:39" x14ac:dyDescent="0.25">
      <c r="A552" s="420">
        <f>IF('Account Info'!$T$9=TRUE,1,0)</f>
        <v>1</v>
      </c>
      <c r="B552" s="1075"/>
      <c r="C552" s="1076"/>
      <c r="D552" s="456"/>
      <c r="E552" s="457"/>
      <c r="F552" s="456"/>
      <c r="G552" s="456"/>
      <c r="H552" s="456"/>
      <c r="I552" s="464"/>
      <c r="J552" s="464"/>
      <c r="K552" s="460"/>
      <c r="L552" s="460" t="str">
        <f>IF(AND('Account Info'!$AA$4="Range State",L551&lt;&gt;"",OR(L551&lt;I551,L551&gt;K551)),"Factor is out of range","")</f>
        <v/>
      </c>
      <c r="M552" s="1051"/>
      <c r="N552" s="1052"/>
      <c r="O552" s="1052"/>
      <c r="P552" s="1052"/>
      <c r="Q552" s="1052"/>
      <c r="R552" s="1052"/>
      <c r="S552" s="1052"/>
      <c r="T552" s="1053"/>
      <c r="U552" s="322"/>
      <c r="V552" s="340">
        <v>1</v>
      </c>
      <c r="X552" s="556" t="s">
        <v>685</v>
      </c>
      <c r="Y552" s="557"/>
      <c r="Z552" s="557"/>
      <c r="AA552" s="557"/>
      <c r="AB552" s="316"/>
      <c r="AC552" s="316"/>
      <c r="AD552" s="316"/>
      <c r="AE552" s="316"/>
      <c r="AF552" s="316"/>
      <c r="AG552" s="316"/>
    </row>
    <row r="553" spans="1:39" ht="15" customHeight="1" x14ac:dyDescent="0.25">
      <c r="A553" s="420">
        <f>IF('Account Info'!$T$9=TRUE,1,0)</f>
        <v>1</v>
      </c>
      <c r="B553" s="1075"/>
      <c r="C553" s="1076"/>
      <c r="D553" s="348" t="s">
        <v>686</v>
      </c>
      <c r="E553" s="439"/>
      <c r="F553" s="349"/>
      <c r="G553" s="349"/>
      <c r="H553" s="453"/>
      <c r="I553" s="361" t="str">
        <f>IF('Account Info'!$AA$4="Range State","Low","")</f>
        <v>Low</v>
      </c>
      <c r="J553" s="361" t="str">
        <f>IF('Account Info'!$AA$4="Range State","Benchmark","Selection")</f>
        <v>Benchmark</v>
      </c>
      <c r="K553" s="361" t="str">
        <f>IF('Account Info'!$AA$4="Range State","High","")</f>
        <v>High</v>
      </c>
      <c r="L553" s="361" t="str">
        <f>IF('Account Info'!$AA$4="Range State","Selection","")</f>
        <v>Selection</v>
      </c>
      <c r="M553" s="440" t="s">
        <v>377</v>
      </c>
      <c r="N553" s="440"/>
      <c r="O553" s="441"/>
      <c r="P553" s="348"/>
      <c r="Q553" s="348"/>
      <c r="R553" s="348"/>
      <c r="S553" s="348"/>
      <c r="T553" s="348"/>
      <c r="U553" s="322"/>
      <c r="V553" s="340">
        <v>1</v>
      </c>
      <c r="X553" s="405" t="s">
        <v>412</v>
      </c>
      <c r="Y553" s="378">
        <v>1.01</v>
      </c>
      <c r="Z553" s="378">
        <f>ROUND(AVERAGE(Y553,AA553),2)</f>
        <v>1.06</v>
      </c>
      <c r="AA553" s="378">
        <v>1.1000000000000001</v>
      </c>
      <c r="AB553" s="316"/>
      <c r="AC553" s="316"/>
    </row>
    <row r="554" spans="1:39" x14ac:dyDescent="0.25">
      <c r="A554" s="420">
        <f>IF('Account Info'!$T$9=TRUE,1,0)</f>
        <v>1</v>
      </c>
      <c r="B554" s="1075"/>
      <c r="C554" s="1076"/>
      <c r="D554" s="1054" t="s">
        <v>411</v>
      </c>
      <c r="E554" s="1055"/>
      <c r="F554" s="1055"/>
      <c r="G554" s="1055"/>
      <c r="H554" s="1056"/>
      <c r="I554" s="443">
        <f>IF(D554="","",VLOOKUP(D554,AD542:AG543,2,FALSE))</f>
        <v>1</v>
      </c>
      <c r="J554" s="443">
        <f>IF(D554="","",VLOOKUP(D554,AD542:AG543,3,FALSE))</f>
        <v>1</v>
      </c>
      <c r="K554" s="443">
        <f>IF(D554="","",VLOOKUP(D554,AD542:AG543,4,FALSE))</f>
        <v>1</v>
      </c>
      <c r="L554" s="454">
        <f>J554</f>
        <v>1</v>
      </c>
      <c r="M554" s="1057"/>
      <c r="N554" s="1058"/>
      <c r="O554" s="1058"/>
      <c r="P554" s="1058"/>
      <c r="Q554" s="1058"/>
      <c r="R554" s="1058"/>
      <c r="S554" s="1058"/>
      <c r="T554" s="1059"/>
      <c r="U554" s="322"/>
      <c r="V554" s="340">
        <f>IF('Account Info'!$AA$4="Flat Rate State",IF(J554="",1,J554),IF(L554="",1,L554))</f>
        <v>1</v>
      </c>
      <c r="X554" s="405" t="s">
        <v>411</v>
      </c>
      <c r="Y554" s="378">
        <v>1</v>
      </c>
      <c r="Z554" s="378">
        <f>ROUND(AVERAGE(Y554,AA554),2)</f>
        <v>1</v>
      </c>
      <c r="AA554" s="378">
        <v>1</v>
      </c>
      <c r="AB554" s="316"/>
      <c r="AC554" s="316"/>
    </row>
    <row r="555" spans="1:39" x14ac:dyDescent="0.25">
      <c r="A555" s="420">
        <f>IF('Account Info'!$T$9=TRUE,1,0)</f>
        <v>1</v>
      </c>
      <c r="B555" s="1075"/>
      <c r="C555" s="1076"/>
      <c r="D555" s="491"/>
      <c r="E555" s="492"/>
      <c r="F555" s="492"/>
      <c r="G555" s="492"/>
      <c r="H555" s="492"/>
      <c r="I555" s="496"/>
      <c r="J555" s="463"/>
      <c r="K555" s="460"/>
      <c r="L555" s="460" t="str">
        <f>IF(AND('Account Info'!$AA$4="Range State",L554&lt;&gt;"",OR(L554&lt;I554,L554&gt;K554)),"Factor is out of range","")</f>
        <v/>
      </c>
      <c r="M555" s="1051"/>
      <c r="N555" s="1052"/>
      <c r="O555" s="1052"/>
      <c r="P555" s="1052"/>
      <c r="Q555" s="1052"/>
      <c r="R555" s="1052"/>
      <c r="S555" s="1052"/>
      <c r="T555" s="1053"/>
      <c r="U555" s="322"/>
      <c r="V555" s="340"/>
      <c r="X555" s="510"/>
    </row>
    <row r="556" spans="1:39" x14ac:dyDescent="0.25">
      <c r="A556" s="420">
        <f>IF('Account Info'!$T$9=TRUE,1,0)</f>
        <v>1</v>
      </c>
      <c r="B556" s="1075"/>
      <c r="C556" s="1076"/>
      <c r="D556" s="491"/>
      <c r="E556" s="492"/>
      <c r="F556" s="492"/>
      <c r="G556" s="492"/>
      <c r="H556" s="465" t="s">
        <v>687</v>
      </c>
      <c r="I556" s="939">
        <f ca="1">IF(W544="","",ROUND(W544*PRODUCT(V546:V554),0))</f>
        <v>3861</v>
      </c>
      <c r="J556" s="463"/>
      <c r="K556" s="463"/>
      <c r="L556" s="463"/>
      <c r="M556" s="467"/>
      <c r="N556" s="468"/>
      <c r="O556" s="468"/>
      <c r="P556" s="468"/>
      <c r="Q556" s="468"/>
      <c r="R556" s="468"/>
      <c r="S556" s="468"/>
      <c r="T556" s="468"/>
      <c r="U556" s="322"/>
      <c r="V556" s="340"/>
      <c r="X556" s="510"/>
    </row>
    <row r="557" spans="1:39" hidden="1" x14ac:dyDescent="0.25">
      <c r="A557" s="495">
        <f>IF($AB$30=TRUE,1,0)</f>
        <v>0</v>
      </c>
      <c r="B557" s="1075"/>
      <c r="C557" s="1076"/>
      <c r="D557" s="491"/>
      <c r="E557" s="492"/>
      <c r="F557" s="492"/>
      <c r="G557" s="492"/>
      <c r="H557" s="465"/>
      <c r="I557" s="496"/>
      <c r="J557" s="463"/>
      <c r="K557" s="463"/>
      <c r="L557" s="463"/>
      <c r="M557" s="467"/>
      <c r="N557" s="468"/>
      <c r="O557" s="468"/>
      <c r="P557" s="468"/>
      <c r="Q557" s="468"/>
      <c r="R557" s="468"/>
      <c r="S557" s="468"/>
      <c r="T557" s="468"/>
      <c r="U557" s="322"/>
      <c r="V557" s="340"/>
      <c r="X557" s="510"/>
    </row>
    <row r="558" spans="1:39" hidden="1" x14ac:dyDescent="0.25">
      <c r="A558" s="495">
        <f>IF($AB$30=TRUE,1,0)</f>
        <v>0</v>
      </c>
      <c r="B558" s="1075"/>
      <c r="C558" s="1076"/>
      <c r="D558" s="491"/>
      <c r="E558" s="492"/>
      <c r="F558" s="492"/>
      <c r="G558" s="492"/>
      <c r="H558" s="465" t="s">
        <v>688</v>
      </c>
      <c r="I558" s="939">
        <f ca="1">IF(I556="","",ROUND(IF(AB30=FALSE,I556,I556*$V$51),0))</f>
        <v>3861</v>
      </c>
      <c r="J558" s="463"/>
      <c r="K558" s="463"/>
      <c r="L558" s="463"/>
      <c r="M558" s="467"/>
      <c r="N558" s="468"/>
      <c r="O558" s="468"/>
      <c r="P558" s="468"/>
      <c r="Q558" s="468"/>
      <c r="R558" s="468"/>
      <c r="S558" s="468"/>
      <c r="T558" s="468"/>
      <c r="U558" s="322"/>
      <c r="V558" s="340"/>
      <c r="X558" s="510"/>
    </row>
    <row r="559" spans="1:39" x14ac:dyDescent="0.25">
      <c r="A559" s="420">
        <f>IF('Account Info'!$T$9=TRUE,1,0)</f>
        <v>1</v>
      </c>
      <c r="B559" s="1075"/>
      <c r="C559" s="1076"/>
      <c r="D559" s="491"/>
      <c r="E559" s="492"/>
      <c r="F559" s="492"/>
      <c r="G559" s="492"/>
      <c r="H559" s="465"/>
      <c r="I559" s="496"/>
      <c r="J559" s="497" t="s">
        <v>403</v>
      </c>
      <c r="K559" s="494"/>
      <c r="L559" s="494"/>
      <c r="M559" s="467"/>
      <c r="N559" s="468"/>
      <c r="O559" s="468"/>
      <c r="P559" s="468"/>
      <c r="Q559" s="468"/>
      <c r="R559" s="468"/>
      <c r="S559" s="468"/>
      <c r="T559" s="468"/>
      <c r="U559" s="322"/>
      <c r="V559" s="340"/>
      <c r="X559" s="510"/>
    </row>
    <row r="560" spans="1:39" x14ac:dyDescent="0.25">
      <c r="A560" s="420">
        <f>IF('Account Info'!$T$9=TRUE,1,0)</f>
        <v>1</v>
      </c>
      <c r="B560" s="1075"/>
      <c r="C560" s="1076"/>
      <c r="D560" s="491"/>
      <c r="E560" s="492"/>
      <c r="F560" s="492"/>
      <c r="G560" s="492"/>
      <c r="H560" s="465" t="s">
        <v>409</v>
      </c>
      <c r="I560" s="498">
        <v>0</v>
      </c>
      <c r="J560" s="939">
        <f>ROUND(IF(I560=0,0,((('MPL and Law ILFs'!AX31-'MPL and Law ILFs'!AG31)*0.4)/'MPL and Law ILFs'!AG31)*I556),0)</f>
        <v>0</v>
      </c>
      <c r="K560" s="494"/>
      <c r="L560" s="494"/>
      <c r="M560" s="467"/>
      <c r="N560" s="468"/>
      <c r="O560" s="468"/>
      <c r="P560" s="468"/>
      <c r="Q560" s="468"/>
      <c r="R560" s="468"/>
      <c r="S560" s="468"/>
      <c r="T560" s="468"/>
      <c r="U560" s="322"/>
      <c r="V560" s="340"/>
      <c r="X560" s="510"/>
    </row>
    <row r="561" spans="1:24" x14ac:dyDescent="0.25">
      <c r="A561" s="499">
        <f>IF(AND('Account Info'!$U$12&gt;1,'Account Info'!$T$9=TRUE),1,0)</f>
        <v>1</v>
      </c>
      <c r="B561" s="1075"/>
      <c r="C561" s="1076"/>
      <c r="D561" s="491"/>
      <c r="E561" s="492"/>
      <c r="F561" s="492"/>
      <c r="G561" s="492"/>
      <c r="H561" s="465"/>
      <c r="J561" s="361" t="str">
        <f>IF(AND('Account Info'!$AA$4="Range State",I562="Yes"),"Low","")</f>
        <v/>
      </c>
      <c r="K561" s="361" t="str">
        <f>IF(I562&lt;&gt;"Yes","",IF('Account Info'!$AA$4="Range State","Benchmark","Selection"))</f>
        <v/>
      </c>
      <c r="L561" s="361" t="str">
        <f>IF(AND('Account Info'!$AA$4="Range State",I562="Yes"),"High","")</f>
        <v/>
      </c>
      <c r="M561" s="361" t="str">
        <f>IF(AND('Account Info'!$AA$4="Range State",I562="Yes"),"Selection","")</f>
        <v/>
      </c>
      <c r="N561" s="468"/>
      <c r="O561" s="468"/>
      <c r="P561" s="468"/>
      <c r="Q561" s="468"/>
      <c r="R561" s="468"/>
      <c r="S561" s="468"/>
      <c r="T561" s="468"/>
      <c r="U561" s="322"/>
      <c r="V561" s="340"/>
      <c r="X561" s="510"/>
    </row>
    <row r="562" spans="1:24" x14ac:dyDescent="0.25">
      <c r="A562" s="499">
        <f>IF(AND('Account Info'!$U$12&gt;1,'Account Info'!$T$9=TRUE),1,0)</f>
        <v>1</v>
      </c>
      <c r="B562" s="1075"/>
      <c r="C562" s="1076"/>
      <c r="D562" s="491"/>
      <c r="E562" s="492"/>
      <c r="F562" s="492"/>
      <c r="G562" s="492"/>
      <c r="H562" s="465" t="s">
        <v>410</v>
      </c>
      <c r="I562" s="498" t="s">
        <v>411</v>
      </c>
      <c r="J562" s="443">
        <f>IF(I562="Yes",0.8,1)</f>
        <v>1</v>
      </c>
      <c r="K562" s="443">
        <f>IF(I562="Yes",0.9,1)</f>
        <v>1</v>
      </c>
      <c r="L562" s="443">
        <f>IF(I562="Yes",1,1)</f>
        <v>1</v>
      </c>
      <c r="M562" s="444"/>
      <c r="N562" s="468"/>
      <c r="O562" s="468"/>
      <c r="P562" s="468"/>
      <c r="Q562" s="468"/>
      <c r="R562" s="468"/>
      <c r="S562" s="468"/>
      <c r="T562" s="468"/>
      <c r="U562" s="322"/>
      <c r="V562" s="340">
        <f>IF('Account Info'!$AA$4="Flat Rate State",IF(K562="",1,K562),IF(M562="",1,M562))</f>
        <v>1</v>
      </c>
      <c r="X562" s="510"/>
    </row>
    <row r="563" spans="1:24" x14ac:dyDescent="0.25">
      <c r="A563" s="420">
        <f>IF('Account Info'!$T$9=TRUE,1,0)</f>
        <v>1</v>
      </c>
      <c r="B563" s="1075"/>
      <c r="C563" s="1076"/>
      <c r="D563" s="491"/>
      <c r="E563" s="492"/>
      <c r="F563" s="492"/>
      <c r="G563" s="492"/>
      <c r="H563" s="465"/>
      <c r="I563" s="496"/>
      <c r="J563" s="494"/>
      <c r="K563" s="494"/>
      <c r="L563" s="494"/>
      <c r="M563" s="467"/>
      <c r="N563" s="468"/>
      <c r="O563" s="468"/>
      <c r="P563" s="468"/>
      <c r="Q563" s="468"/>
      <c r="R563" s="468"/>
      <c r="S563" s="468"/>
      <c r="T563" s="468"/>
      <c r="U563" s="322"/>
      <c r="V563" s="340"/>
      <c r="X563" s="510"/>
    </row>
    <row r="564" spans="1:24" x14ac:dyDescent="0.25">
      <c r="A564" s="420">
        <f>IF('Account Info'!$T$9=TRUE,1,0)</f>
        <v>1</v>
      </c>
      <c r="B564" s="1075"/>
      <c r="C564" s="1076"/>
      <c r="D564" s="491"/>
      <c r="E564" s="492"/>
      <c r="F564" s="492"/>
      <c r="G564" s="492"/>
      <c r="H564" s="465" t="s">
        <v>689</v>
      </c>
      <c r="I564" s="939">
        <f ca="1">IF(I558="","",ROUND(I558+(J560*V562),0))</f>
        <v>3861</v>
      </c>
      <c r="J564" s="494"/>
      <c r="K564" s="494"/>
      <c r="L564" s="494"/>
      <c r="M564" s="467"/>
      <c r="N564" s="468"/>
      <c r="O564" s="468"/>
      <c r="P564" s="468"/>
      <c r="Q564" s="468"/>
      <c r="R564" s="468"/>
      <c r="S564" s="468"/>
      <c r="T564" s="468"/>
      <c r="U564" s="322"/>
      <c r="V564" s="340"/>
      <c r="X564" s="510"/>
    </row>
    <row r="565" spans="1:24" ht="15.75" thickBot="1" x14ac:dyDescent="0.3">
      <c r="A565" s="420">
        <f>IF('Account Info'!$T$9=TRUE,1,0)</f>
        <v>1</v>
      </c>
      <c r="B565" s="1077"/>
      <c r="C565" s="1078"/>
      <c r="D565" s="326"/>
      <c r="E565" s="326"/>
      <c r="F565" s="326"/>
      <c r="G565" s="326"/>
      <c r="H565" s="326"/>
      <c r="I565" s="519"/>
      <c r="J565" s="519"/>
      <c r="K565" s="519"/>
      <c r="L565" s="519"/>
      <c r="M565" s="326"/>
      <c r="N565" s="326"/>
      <c r="O565" s="326"/>
      <c r="P565" s="326"/>
      <c r="Q565" s="326"/>
      <c r="R565" s="326"/>
      <c r="S565" s="326"/>
      <c r="T565" s="326"/>
      <c r="U565" s="327"/>
      <c r="V565" s="340"/>
      <c r="X565" s="510"/>
    </row>
    <row r="566" spans="1:24" ht="18.75" customHeight="1" x14ac:dyDescent="0.3">
      <c r="A566" s="388">
        <f>IF('Account Info'!$T$10=TRUE,1,0)</f>
        <v>1</v>
      </c>
      <c r="B566" s="470" t="s">
        <v>690</v>
      </c>
      <c r="C566" s="309"/>
      <c r="D566" s="309"/>
      <c r="E566" s="309"/>
      <c r="F566" s="310"/>
      <c r="G566" s="310"/>
      <c r="H566" s="528"/>
      <c r="I566" s="310"/>
      <c r="J566" s="310"/>
      <c r="K566" s="310"/>
      <c r="L566" s="310"/>
      <c r="M566" s="310"/>
      <c r="N566" s="310"/>
      <c r="O566" s="528"/>
      <c r="P566" s="309"/>
      <c r="Q566" s="309"/>
      <c r="R566" s="309"/>
      <c r="S566" s="309"/>
      <c r="T566" s="309"/>
      <c r="U566" s="311"/>
      <c r="V566" s="340">
        <v>1</v>
      </c>
      <c r="X566" s="510"/>
    </row>
    <row r="567" spans="1:24" ht="15" customHeight="1" x14ac:dyDescent="0.25">
      <c r="A567" s="388">
        <f>IF('Account Info'!$T$10=TRUE,1,0)</f>
        <v>1</v>
      </c>
      <c r="B567" s="1075" t="s">
        <v>691</v>
      </c>
      <c r="C567" s="1076"/>
      <c r="D567" s="440" t="s">
        <v>692</v>
      </c>
      <c r="E567" s="349"/>
      <c r="F567" s="439"/>
      <c r="G567" s="439"/>
      <c r="H567" s="453"/>
      <c r="I567" s="361" t="str">
        <f>IF('Account Info'!$AA$4="Range State","Low","")</f>
        <v>Low</v>
      </c>
      <c r="J567" s="361" t="str">
        <f>IF('Account Info'!$AA$4="Range State","Benchmark","Selection")</f>
        <v>Benchmark</v>
      </c>
      <c r="K567" s="361" t="str">
        <f>IF('Account Info'!$AA$4="Range State","High","")</f>
        <v>High</v>
      </c>
      <c r="L567" s="361" t="str">
        <f>IF('Account Info'!$AA$4="Range State","Selection","")</f>
        <v>Selection</v>
      </c>
      <c r="M567" s="440" t="s">
        <v>377</v>
      </c>
      <c r="N567" s="440"/>
      <c r="O567" s="441"/>
      <c r="P567" s="348"/>
      <c r="Q567" s="348"/>
      <c r="R567" s="348"/>
      <c r="S567" s="348"/>
      <c r="T567" s="348"/>
      <c r="U567" s="322"/>
      <c r="V567" s="340">
        <v>1</v>
      </c>
      <c r="X567" s="510"/>
    </row>
    <row r="568" spans="1:24" ht="15" customHeight="1" x14ac:dyDescent="0.25">
      <c r="A568" s="388">
        <f>IF('Account Info'!$T$10=TRUE,1,0)</f>
        <v>1</v>
      </c>
      <c r="B568" s="1075"/>
      <c r="C568" s="1076"/>
      <c r="D568" s="1054" t="s">
        <v>602</v>
      </c>
      <c r="E568" s="1055"/>
      <c r="F568" s="1055"/>
      <c r="G568" s="1055"/>
      <c r="H568" s="1056"/>
      <c r="I568" s="443">
        <f>IF(D568="","",VLOOKUP(D568,X594:AA596,2,FALSE))</f>
        <v>1</v>
      </c>
      <c r="J568" s="443">
        <f>IF(D568="","",VLOOKUP(D568,X594:AA596,3,FALSE))</f>
        <v>1.03</v>
      </c>
      <c r="K568" s="443">
        <f>IF(D568="","",VLOOKUP(D568,X594:AA596,4,FALSE))</f>
        <v>1.05</v>
      </c>
      <c r="L568" s="444">
        <f>J568</f>
        <v>1.03</v>
      </c>
      <c r="M568" s="1057"/>
      <c r="N568" s="1058"/>
      <c r="O568" s="1058"/>
      <c r="P568" s="1058"/>
      <c r="Q568" s="1058"/>
      <c r="R568" s="1058"/>
      <c r="S568" s="1058"/>
      <c r="T568" s="1059"/>
      <c r="U568" s="322"/>
      <c r="V568" s="340">
        <f>IF('Account Info'!$AA$4="Flat Rate State",IF(J568="",1,J568),IF(L568="",1,L568))</f>
        <v>1.03</v>
      </c>
      <c r="X568" s="510"/>
    </row>
    <row r="569" spans="1:24" ht="15" customHeight="1" x14ac:dyDescent="0.25">
      <c r="A569" s="388">
        <f>IF('Account Info'!$T$10=TRUE,1,0)</f>
        <v>1</v>
      </c>
      <c r="B569" s="1075"/>
      <c r="C569" s="1076"/>
      <c r="D569" s="456"/>
      <c r="E569" s="456"/>
      <c r="F569" s="457"/>
      <c r="G569" s="457"/>
      <c r="H569" s="458"/>
      <c r="I569" s="459"/>
      <c r="J569" s="459"/>
      <c r="K569" s="460"/>
      <c r="L569" s="460" t="str">
        <f>IF(AND('Account Info'!$AA$4="Range State",L568&lt;&gt;"",OR(L568&lt;I568,L568&gt;K568)),"Factor is out of range","")</f>
        <v/>
      </c>
      <c r="M569" s="1051"/>
      <c r="N569" s="1052"/>
      <c r="O569" s="1052"/>
      <c r="P569" s="1052"/>
      <c r="Q569" s="1052"/>
      <c r="R569" s="1052"/>
      <c r="S569" s="1052"/>
      <c r="T569" s="1053"/>
      <c r="U569" s="322"/>
      <c r="V569" s="340">
        <v>1</v>
      </c>
      <c r="X569" s="510"/>
    </row>
    <row r="570" spans="1:24" ht="15" customHeight="1" x14ac:dyDescent="0.25">
      <c r="A570" s="388">
        <f>IF('Account Info'!$T$10=TRUE,1,0)</f>
        <v>1</v>
      </c>
      <c r="B570" s="1075"/>
      <c r="C570" s="1076"/>
      <c r="D570" s="348" t="s">
        <v>693</v>
      </c>
      <c r="E570" s="349"/>
      <c r="F570" s="439"/>
      <c r="G570" s="439"/>
      <c r="H570" s="453"/>
      <c r="I570" s="361" t="str">
        <f>IF('Account Info'!$AA$4="Range State","Low","")</f>
        <v>Low</v>
      </c>
      <c r="J570" s="361" t="str">
        <f>IF('Account Info'!$AA$4="Range State","Benchmark","Selection")</f>
        <v>Benchmark</v>
      </c>
      <c r="K570" s="361" t="str">
        <f>IF('Account Info'!$AA$4="Range State","High","")</f>
        <v>High</v>
      </c>
      <c r="L570" s="361" t="str">
        <f>IF('Account Info'!$AA$4="Range State","Selection","")</f>
        <v>Selection</v>
      </c>
      <c r="M570" s="440" t="s">
        <v>377</v>
      </c>
      <c r="N570" s="440"/>
      <c r="O570" s="441"/>
      <c r="P570" s="348"/>
      <c r="Q570" s="348"/>
      <c r="R570" s="348"/>
      <c r="S570" s="348"/>
      <c r="T570" s="348"/>
      <c r="U570" s="322"/>
      <c r="V570" s="340">
        <v>1</v>
      </c>
      <c r="X570" s="510"/>
    </row>
    <row r="571" spans="1:24" ht="15" customHeight="1" x14ac:dyDescent="0.25">
      <c r="A571" s="388">
        <f>IF('Account Info'!$T$10=TRUE,1,0)</f>
        <v>1</v>
      </c>
      <c r="B571" s="1075"/>
      <c r="C571" s="1076"/>
      <c r="D571" s="1054" t="s">
        <v>500</v>
      </c>
      <c r="E571" s="1055"/>
      <c r="F571" s="1055"/>
      <c r="G571" s="1055"/>
      <c r="H571" s="1056"/>
      <c r="I571" s="443">
        <f>IF(D571="","",VLOOKUP(D571,X598:AA600,2,FALSE))</f>
        <v>0.96</v>
      </c>
      <c r="J571" s="443">
        <f>IF(D571="","",VLOOKUP(D571,X598:AA600,3,FALSE))</f>
        <v>1.01</v>
      </c>
      <c r="K571" s="443">
        <f>IF(D571="","",VLOOKUP(D571,X598:AA600,4,FALSE))</f>
        <v>1.05</v>
      </c>
      <c r="L571" s="444">
        <f>J571</f>
        <v>1.01</v>
      </c>
      <c r="M571" s="1057"/>
      <c r="N571" s="1058"/>
      <c r="O571" s="1058"/>
      <c r="P571" s="1058"/>
      <c r="Q571" s="1058"/>
      <c r="R571" s="1058"/>
      <c r="S571" s="1058"/>
      <c r="T571" s="1059"/>
      <c r="U571" s="322"/>
      <c r="V571" s="340">
        <f>IF('Account Info'!$AA$4="Flat Rate State",IF(J571="",1,J571),IF(L571="",1,L571))</f>
        <v>1.01</v>
      </c>
      <c r="X571" s="510"/>
    </row>
    <row r="572" spans="1:24" ht="15" customHeight="1" x14ac:dyDescent="0.25">
      <c r="A572" s="388">
        <f>IF('Account Info'!$T$10=TRUE,1,0)</f>
        <v>1</v>
      </c>
      <c r="B572" s="1075"/>
      <c r="C572" s="1076"/>
      <c r="D572" s="456"/>
      <c r="E572" s="456"/>
      <c r="F572" s="457"/>
      <c r="G572" s="457"/>
      <c r="H572" s="458"/>
      <c r="I572" s="459"/>
      <c r="J572" s="459"/>
      <c r="K572" s="460"/>
      <c r="L572" s="460" t="str">
        <f>IF(AND('Account Info'!$AA$4="Range State",L571&lt;&gt;"",OR(L571&lt;I571,L571&gt;K571)),"Factor is out of range","")</f>
        <v/>
      </c>
      <c r="M572" s="1051"/>
      <c r="N572" s="1052"/>
      <c r="O572" s="1052"/>
      <c r="P572" s="1052"/>
      <c r="Q572" s="1052"/>
      <c r="R572" s="1052"/>
      <c r="S572" s="1052"/>
      <c r="T572" s="1053"/>
      <c r="U572" s="322"/>
      <c r="V572" s="340">
        <v>1</v>
      </c>
      <c r="X572" s="510"/>
    </row>
    <row r="573" spans="1:24" ht="15" customHeight="1" x14ac:dyDescent="0.25">
      <c r="A573" s="388">
        <f>IF('Account Info'!$T$10=TRUE,1,0)</f>
        <v>1</v>
      </c>
      <c r="B573" s="1075"/>
      <c r="C573" s="1076"/>
      <c r="D573" s="348" t="s">
        <v>694</v>
      </c>
      <c r="E573" s="349"/>
      <c r="F573" s="439"/>
      <c r="G573" s="439"/>
      <c r="H573" s="453"/>
      <c r="I573" s="361" t="str">
        <f>IF('Account Info'!$AA$4="Range State","Low","")</f>
        <v>Low</v>
      </c>
      <c r="J573" s="361" t="str">
        <f>IF('Account Info'!$AA$4="Range State","Benchmark","Selection")</f>
        <v>Benchmark</v>
      </c>
      <c r="K573" s="361" t="str">
        <f>IF('Account Info'!$AA$4="Range State","High","")</f>
        <v>High</v>
      </c>
      <c r="L573" s="361" t="str">
        <f>IF('Account Info'!$AA$4="Range State","Selection","")</f>
        <v>Selection</v>
      </c>
      <c r="M573" s="440" t="s">
        <v>377</v>
      </c>
      <c r="N573" s="440"/>
      <c r="O573" s="441"/>
      <c r="P573" s="348"/>
      <c r="Q573" s="348"/>
      <c r="R573" s="348"/>
      <c r="S573" s="348"/>
      <c r="T573" s="348"/>
      <c r="U573" s="322"/>
      <c r="V573" s="340">
        <v>1</v>
      </c>
      <c r="X573" s="510"/>
    </row>
    <row r="574" spans="1:24" ht="15" customHeight="1" x14ac:dyDescent="0.25">
      <c r="A574" s="388">
        <f>IF('Account Info'!$T$10=TRUE,1,0)</f>
        <v>1</v>
      </c>
      <c r="B574" s="1075"/>
      <c r="C574" s="1076"/>
      <c r="D574" s="1054" t="s">
        <v>708</v>
      </c>
      <c r="E574" s="1055"/>
      <c r="F574" s="1055"/>
      <c r="G574" s="1055"/>
      <c r="H574" s="1056"/>
      <c r="I574" s="443">
        <f>IF(D574="","",VLOOKUP(D574,X607:AA609,2,FALSE))</f>
        <v>1</v>
      </c>
      <c r="J574" s="443">
        <f>IF(D574="","",VLOOKUP(D574,X607:AA609,3,FALSE))</f>
        <v>1.08</v>
      </c>
      <c r="K574" s="443">
        <f>IF(D574="","",VLOOKUP(D574,X607:AA609,4,FALSE))</f>
        <v>1.1499999999999999</v>
      </c>
      <c r="L574" s="444">
        <f>J574</f>
        <v>1.08</v>
      </c>
      <c r="M574" s="1057"/>
      <c r="N574" s="1058"/>
      <c r="O574" s="1058"/>
      <c r="P574" s="1058"/>
      <c r="Q574" s="1058"/>
      <c r="R574" s="1058"/>
      <c r="S574" s="1058"/>
      <c r="T574" s="1059"/>
      <c r="U574" s="322"/>
      <c r="V574" s="340">
        <f>IF('Account Info'!$AA$4="Flat Rate State",IF(J574="",1,J574),IF(L574="",1,L574))</f>
        <v>1.08</v>
      </c>
      <c r="X574" s="510"/>
    </row>
    <row r="575" spans="1:24" ht="15" customHeight="1" x14ac:dyDescent="0.25">
      <c r="A575" s="388">
        <f>IF('Account Info'!$T$10=TRUE,1,0)</f>
        <v>1</v>
      </c>
      <c r="B575" s="1075"/>
      <c r="C575" s="1076"/>
      <c r="D575" s="456"/>
      <c r="E575" s="456"/>
      <c r="F575" s="457"/>
      <c r="G575" s="457"/>
      <c r="H575" s="458"/>
      <c r="I575" s="459"/>
      <c r="J575" s="459"/>
      <c r="K575" s="460"/>
      <c r="L575" s="460" t="str">
        <f>IF(AND('Account Info'!$AA$4="Range State",L574&lt;&gt;"",OR(L574&lt;I574,L574&gt;K574)),"Factor is out of range","")</f>
        <v/>
      </c>
      <c r="M575" s="1051"/>
      <c r="N575" s="1052"/>
      <c r="O575" s="1052"/>
      <c r="P575" s="1052"/>
      <c r="Q575" s="1052"/>
      <c r="R575" s="1052"/>
      <c r="S575" s="1052"/>
      <c r="T575" s="1053"/>
      <c r="U575" s="322"/>
      <c r="V575" s="340">
        <v>1</v>
      </c>
      <c r="X575" s="510"/>
    </row>
    <row r="576" spans="1:24" ht="15" customHeight="1" x14ac:dyDescent="0.25">
      <c r="A576" s="388">
        <f>IF('Account Info'!$T$10=TRUE,1,0)</f>
        <v>1</v>
      </c>
      <c r="B576" s="1075"/>
      <c r="C576" s="1076"/>
      <c r="D576" s="348" t="s">
        <v>695</v>
      </c>
      <c r="E576" s="349"/>
      <c r="F576" s="439"/>
      <c r="G576" s="439"/>
      <c r="H576" s="453"/>
      <c r="I576" s="361" t="str">
        <f>IF('Account Info'!$AA$4="Range State","Low","")</f>
        <v>Low</v>
      </c>
      <c r="J576" s="361" t="str">
        <f>IF('Account Info'!$AA$4="Range State","Benchmark","Selection")</f>
        <v>Benchmark</v>
      </c>
      <c r="K576" s="361" t="str">
        <f>IF('Account Info'!$AA$4="Range State","High","")</f>
        <v>High</v>
      </c>
      <c r="L576" s="361" t="str">
        <f>IF('Account Info'!$AA$4="Range State","Selection","")</f>
        <v>Selection</v>
      </c>
      <c r="M576" s="440" t="s">
        <v>377</v>
      </c>
      <c r="N576" s="440"/>
      <c r="O576" s="441"/>
      <c r="P576" s="348"/>
      <c r="Q576" s="348"/>
      <c r="R576" s="348"/>
      <c r="S576" s="348"/>
      <c r="T576" s="348"/>
      <c r="U576" s="322"/>
      <c r="V576" s="340">
        <v>1</v>
      </c>
      <c r="X576" s="510"/>
    </row>
    <row r="577" spans="1:33" ht="15" customHeight="1" x14ac:dyDescent="0.25">
      <c r="A577" s="388">
        <f>IF('Account Info'!$T$10=TRUE,1,0)</f>
        <v>1</v>
      </c>
      <c r="B577" s="1075"/>
      <c r="C577" s="1076"/>
      <c r="D577" s="1054" t="s">
        <v>418</v>
      </c>
      <c r="E577" s="1055"/>
      <c r="F577" s="1055"/>
      <c r="G577" s="1055"/>
      <c r="H577" s="1056"/>
      <c r="I577" s="443">
        <f>IF(D577="","",VLOOKUP(D577,X611:AA614,2,FALSE))</f>
        <v>1</v>
      </c>
      <c r="J577" s="443">
        <f>IF(D577="","",VLOOKUP(D577,X611:AA614,3,FALSE))</f>
        <v>1.1299999999999999</v>
      </c>
      <c r="K577" s="443">
        <f>IF(D577="","",VLOOKUP(D577,X611:AA614,4,FALSE))</f>
        <v>1.25</v>
      </c>
      <c r="L577" s="444">
        <f>J577</f>
        <v>1.1299999999999999</v>
      </c>
      <c r="M577" s="1057"/>
      <c r="N577" s="1058"/>
      <c r="O577" s="1058"/>
      <c r="P577" s="1058"/>
      <c r="Q577" s="1058"/>
      <c r="R577" s="1058"/>
      <c r="S577" s="1058"/>
      <c r="T577" s="1059"/>
      <c r="U577" s="322"/>
      <c r="V577" s="340">
        <f>IF('Account Info'!$AA$4="Flat Rate State",IF(J577="",1,J577),IF(L577="",1,L577))</f>
        <v>1.1299999999999999</v>
      </c>
      <c r="X577" s="510"/>
    </row>
    <row r="578" spans="1:33" ht="15" customHeight="1" x14ac:dyDescent="0.25">
      <c r="A578" s="388">
        <f>IF('Account Info'!$T$10=TRUE,1,0)</f>
        <v>1</v>
      </c>
      <c r="B578" s="1075"/>
      <c r="C578" s="1076"/>
      <c r="D578" s="461"/>
      <c r="E578" s="462"/>
      <c r="F578" s="462"/>
      <c r="G578" s="462"/>
      <c r="H578" s="462"/>
      <c r="I578" s="463"/>
      <c r="J578" s="463"/>
      <c r="K578" s="460"/>
      <c r="L578" s="460" t="str">
        <f>IF(AND('Account Info'!$AA$4="Range State",L577&lt;&gt;"",OR(L577&lt;I577,L577&gt;K577)),"Factor is out of range","")</f>
        <v/>
      </c>
      <c r="M578" s="1051"/>
      <c r="N578" s="1052"/>
      <c r="O578" s="1052"/>
      <c r="P578" s="1052"/>
      <c r="Q578" s="1052"/>
      <c r="R578" s="1052"/>
      <c r="S578" s="1052"/>
      <c r="T578" s="1053"/>
      <c r="U578" s="322"/>
      <c r="V578" s="340">
        <v>1</v>
      </c>
      <c r="X578" s="510"/>
    </row>
    <row r="579" spans="1:33" ht="15" customHeight="1" x14ac:dyDescent="0.25">
      <c r="A579" s="388">
        <f>IF('Account Info'!$T$10=TRUE,1,0)</f>
        <v>1</v>
      </c>
      <c r="B579" s="1075"/>
      <c r="C579" s="1076"/>
      <c r="D579" s="348" t="s">
        <v>696</v>
      </c>
      <c r="E579" s="349"/>
      <c r="F579" s="349"/>
      <c r="G579" s="349"/>
      <c r="H579" s="453"/>
      <c r="I579" s="361" t="str">
        <f>IF('Account Info'!$AA$4="Range State","Low","")</f>
        <v>Low</v>
      </c>
      <c r="J579" s="361" t="str">
        <f>IF('Account Info'!$AA$4="Range State","Benchmark","Selection")</f>
        <v>Benchmark</v>
      </c>
      <c r="K579" s="361" t="str">
        <f>IF('Account Info'!$AA$4="Range State","High","")</f>
        <v>High</v>
      </c>
      <c r="L579" s="361" t="str">
        <f>IF('Account Info'!$AA$4="Range State","Selection","")</f>
        <v>Selection</v>
      </c>
      <c r="M579" s="440" t="s">
        <v>377</v>
      </c>
      <c r="N579" s="440"/>
      <c r="O579" s="441"/>
      <c r="P579" s="348"/>
      <c r="Q579" s="348"/>
      <c r="R579" s="348"/>
      <c r="S579" s="348"/>
      <c r="T579" s="348"/>
      <c r="U579" s="322"/>
      <c r="V579" s="340">
        <v>1</v>
      </c>
      <c r="X579" s="510"/>
    </row>
    <row r="580" spans="1:33" ht="15" customHeight="1" x14ac:dyDescent="0.25">
      <c r="A580" s="388">
        <f>IF('Account Info'!$T$10=TRUE,1,0)</f>
        <v>1</v>
      </c>
      <c r="B580" s="1075"/>
      <c r="C580" s="1076"/>
      <c r="D580" s="1054" t="s">
        <v>500</v>
      </c>
      <c r="E580" s="1055"/>
      <c r="F580" s="1055"/>
      <c r="G580" s="1055"/>
      <c r="H580" s="1056"/>
      <c r="I580" s="443">
        <f>IF(D580="","",VLOOKUP(D580,X616:AA618,2,FALSE))</f>
        <v>0.96</v>
      </c>
      <c r="J580" s="443">
        <f>IF(D580="","",VLOOKUP(D580,X616:AA618,3,FALSE))</f>
        <v>1.03</v>
      </c>
      <c r="K580" s="443">
        <f>IF(D580="","",VLOOKUP(D580,X616:AA618,4,FALSE))</f>
        <v>1.1000000000000001</v>
      </c>
      <c r="L580" s="444">
        <f>J580</f>
        <v>1.03</v>
      </c>
      <c r="M580" s="1057"/>
      <c r="N580" s="1058"/>
      <c r="O580" s="1058"/>
      <c r="P580" s="1058"/>
      <c r="Q580" s="1058"/>
      <c r="R580" s="1058"/>
      <c r="S580" s="1058"/>
      <c r="T580" s="1059"/>
      <c r="U580" s="322"/>
      <c r="V580" s="340">
        <f>IF('Account Info'!$AA$4="Flat Rate State",IF(J580="",1,J580),IF(L580="",1,L580))</f>
        <v>1.03</v>
      </c>
      <c r="X580" s="510"/>
    </row>
    <row r="581" spans="1:33" ht="15" customHeight="1" x14ac:dyDescent="0.25">
      <c r="A581" s="388">
        <f>IF('Account Info'!$T$10=TRUE,1,0)</f>
        <v>1</v>
      </c>
      <c r="B581" s="1075"/>
      <c r="C581" s="1076"/>
      <c r="D581" s="457"/>
      <c r="E581" s="457"/>
      <c r="F581" s="457"/>
      <c r="G581" s="457"/>
      <c r="H581" s="457"/>
      <c r="I581" s="459"/>
      <c r="J581" s="459"/>
      <c r="K581" s="460"/>
      <c r="L581" s="460" t="str">
        <f>IF(AND('Account Info'!$AA$4="Range State",L580&lt;&gt;"",OR(L580&lt;I580,L580&gt;K580)),"Factor is out of range","")</f>
        <v/>
      </c>
      <c r="M581" s="1051"/>
      <c r="N581" s="1052"/>
      <c r="O581" s="1052"/>
      <c r="P581" s="1052"/>
      <c r="Q581" s="1052"/>
      <c r="R581" s="1052"/>
      <c r="S581" s="1052"/>
      <c r="T581" s="1053"/>
      <c r="U581" s="322"/>
      <c r="V581" s="340">
        <v>1</v>
      </c>
    </row>
    <row r="582" spans="1:33" ht="15" customHeight="1" x14ac:dyDescent="0.25">
      <c r="A582" s="388">
        <f>IF('Account Info'!$T$10=TRUE,1,0)</f>
        <v>1</v>
      </c>
      <c r="B582" s="1075"/>
      <c r="C582" s="1076"/>
      <c r="D582" s="348" t="s">
        <v>697</v>
      </c>
      <c r="E582" s="439"/>
      <c r="F582" s="349"/>
      <c r="G582" s="349"/>
      <c r="H582" s="453"/>
      <c r="I582" s="361" t="str">
        <f>IF('Account Info'!$AA$4="Range State","Low","")</f>
        <v>Low</v>
      </c>
      <c r="J582" s="361" t="str">
        <f>IF('Account Info'!$AA$4="Range State","Benchmark","Selection")</f>
        <v>Benchmark</v>
      </c>
      <c r="K582" s="361" t="str">
        <f>IF('Account Info'!$AA$4="Range State","High","")</f>
        <v>High</v>
      </c>
      <c r="L582" s="361" t="str">
        <f>IF('Account Info'!$AA$4="Range State","Selection","")</f>
        <v>Selection</v>
      </c>
      <c r="M582" s="440" t="s">
        <v>377</v>
      </c>
      <c r="N582" s="440"/>
      <c r="O582" s="441"/>
      <c r="P582" s="348"/>
      <c r="Q582" s="348"/>
      <c r="R582" s="348"/>
      <c r="S582" s="348"/>
      <c r="T582" s="348"/>
      <c r="U582" s="322"/>
      <c r="V582" s="340">
        <v>1</v>
      </c>
    </row>
    <row r="583" spans="1:33" ht="15" customHeight="1" x14ac:dyDescent="0.25">
      <c r="A583" s="388">
        <f>IF('Account Info'!$T$10=TRUE,1,0)</f>
        <v>1</v>
      </c>
      <c r="B583" s="1075"/>
      <c r="C583" s="1076"/>
      <c r="D583" s="1054" t="s">
        <v>500</v>
      </c>
      <c r="E583" s="1055"/>
      <c r="F583" s="1055"/>
      <c r="G583" s="1055"/>
      <c r="H583" s="1056"/>
      <c r="I583" s="443">
        <f>IF(D583="","",VLOOKUP(D583,X620:AA622,2,FALSE))</f>
        <v>0.96</v>
      </c>
      <c r="J583" s="443">
        <f>IF(D583="","",VLOOKUP(D583,X620:AA622,3,FALSE))</f>
        <v>1.03</v>
      </c>
      <c r="K583" s="443">
        <f>IF(D583="","",VLOOKUP(D583,X620:AA622,4,FALSE))</f>
        <v>1.1000000000000001</v>
      </c>
      <c r="L583" s="444">
        <f>J583</f>
        <v>1.03</v>
      </c>
      <c r="M583" s="1057"/>
      <c r="N583" s="1058"/>
      <c r="O583" s="1058"/>
      <c r="P583" s="1058"/>
      <c r="Q583" s="1058"/>
      <c r="R583" s="1058"/>
      <c r="S583" s="1058"/>
      <c r="T583" s="1059"/>
      <c r="U583" s="322"/>
      <c r="V583" s="340">
        <f>IF('Account Info'!$AA$4="Flat Rate State",IF(J583="",1,J583),IF(L583="",1,L583))</f>
        <v>1.03</v>
      </c>
    </row>
    <row r="584" spans="1:33" ht="15" customHeight="1" x14ac:dyDescent="0.25">
      <c r="A584" s="388">
        <f>IF('Account Info'!$T$10=TRUE,1,0)</f>
        <v>1</v>
      </c>
      <c r="B584" s="1075"/>
      <c r="C584" s="1076"/>
      <c r="D584" s="456"/>
      <c r="E584" s="456"/>
      <c r="F584" s="457"/>
      <c r="G584" s="457"/>
      <c r="H584" s="458"/>
      <c r="I584" s="459"/>
      <c r="J584" s="459"/>
      <c r="K584" s="460"/>
      <c r="L584" s="460" t="str">
        <f>IF(AND('Account Info'!$AA$4="Range State",L583&lt;&gt;"",OR(L583&lt;I583,L583&gt;K583)),"Factor is out of range","")</f>
        <v/>
      </c>
      <c r="M584" s="1051"/>
      <c r="N584" s="1052"/>
      <c r="O584" s="1052"/>
      <c r="P584" s="1052"/>
      <c r="Q584" s="1052"/>
      <c r="R584" s="1052"/>
      <c r="S584" s="1052"/>
      <c r="T584" s="1053"/>
      <c r="U584" s="322"/>
      <c r="V584" s="340">
        <v>1</v>
      </c>
    </row>
    <row r="585" spans="1:33" ht="15" customHeight="1" x14ac:dyDescent="0.25">
      <c r="A585" s="388">
        <f>IF('Account Info'!$T$10=TRUE,1,0)</f>
        <v>1</v>
      </c>
      <c r="B585" s="1075"/>
      <c r="C585" s="1076"/>
      <c r="D585" s="440" t="s">
        <v>698</v>
      </c>
      <c r="E585" s="349"/>
      <c r="F585" s="439"/>
      <c r="G585" s="439"/>
      <c r="H585" s="453"/>
      <c r="I585" s="361"/>
      <c r="J585" s="361" t="s">
        <v>605</v>
      </c>
      <c r="K585" s="361"/>
      <c r="L585" s="361"/>
      <c r="M585" s="440" t="s">
        <v>377</v>
      </c>
      <c r="N585" s="440"/>
      <c r="O585" s="441"/>
      <c r="P585" s="348"/>
      <c r="Q585" s="348"/>
      <c r="R585" s="348"/>
      <c r="S585" s="348"/>
      <c r="T585" s="348"/>
      <c r="U585" s="322"/>
      <c r="V585" s="340">
        <v>1</v>
      </c>
    </row>
    <row r="586" spans="1:33" ht="15" customHeight="1" x14ac:dyDescent="0.25">
      <c r="A586" s="388">
        <f>IF('Account Info'!$T$10=TRUE,1,0)</f>
        <v>1</v>
      </c>
      <c r="B586" s="1075"/>
      <c r="C586" s="1076"/>
      <c r="D586" s="1054" t="s">
        <v>717</v>
      </c>
      <c r="E586" s="1055"/>
      <c r="F586" s="1055"/>
      <c r="G586" s="1055"/>
      <c r="H586" s="1056"/>
      <c r="I586" s="516"/>
      <c r="J586" s="443">
        <f>IF(D586="","",VLOOKUP(D586,X625:AA628,3,FALSE))</f>
        <v>1</v>
      </c>
      <c r="K586" s="516"/>
      <c r="L586" s="516"/>
      <c r="M586" s="1057"/>
      <c r="N586" s="1058"/>
      <c r="O586" s="1058"/>
      <c r="P586" s="1058"/>
      <c r="Q586" s="1058"/>
      <c r="R586" s="1058"/>
      <c r="S586" s="1058"/>
      <c r="T586" s="1059"/>
      <c r="U586" s="322"/>
      <c r="V586" s="340">
        <f>IF(J586="",1,J586)</f>
        <v>1</v>
      </c>
    </row>
    <row r="587" spans="1:33" ht="15" customHeight="1" x14ac:dyDescent="0.25">
      <c r="A587" s="388">
        <f>IF('Account Info'!$T$10=TRUE,1,0)</f>
        <v>1</v>
      </c>
      <c r="B587" s="1075"/>
      <c r="C587" s="1076"/>
      <c r="D587" s="456"/>
      <c r="E587" s="456"/>
      <c r="F587" s="457"/>
      <c r="G587" s="457"/>
      <c r="H587" s="458"/>
      <c r="I587" s="459"/>
      <c r="J587" s="459"/>
      <c r="K587" s="459"/>
      <c r="L587" s="459"/>
      <c r="M587" s="1051"/>
      <c r="N587" s="1052"/>
      <c r="O587" s="1052"/>
      <c r="P587" s="1052"/>
      <c r="Q587" s="1052"/>
      <c r="R587" s="1052"/>
      <c r="S587" s="1052"/>
      <c r="T587" s="1053"/>
      <c r="U587" s="322"/>
      <c r="V587" s="340">
        <v>1</v>
      </c>
    </row>
    <row r="588" spans="1:33" ht="15" customHeight="1" x14ac:dyDescent="0.25">
      <c r="A588" s="388">
        <f>IF('Account Info'!$T$10=TRUE,1,0)</f>
        <v>1</v>
      </c>
      <c r="B588" s="1075"/>
      <c r="C588" s="1076"/>
      <c r="D588" s="440" t="s">
        <v>699</v>
      </c>
      <c r="E588" s="349"/>
      <c r="F588" s="439"/>
      <c r="G588" s="439"/>
      <c r="H588" s="453"/>
      <c r="I588" s="361" t="str">
        <f>IF('Account Info'!$AA$4="Range State","Low","")</f>
        <v>Low</v>
      </c>
      <c r="J588" s="361" t="str">
        <f>IF('Account Info'!$AA$4="Range State","Benchmark","Selection")</f>
        <v>Benchmark</v>
      </c>
      <c r="K588" s="361" t="str">
        <f>IF('Account Info'!$AA$4="Range State","High","")</f>
        <v>High</v>
      </c>
      <c r="L588" s="361" t="str">
        <f>IF('Account Info'!$AA$4="Range State","Selection","")</f>
        <v>Selection</v>
      </c>
      <c r="M588" s="440" t="s">
        <v>377</v>
      </c>
      <c r="N588" s="440"/>
      <c r="O588" s="441"/>
      <c r="P588" s="348"/>
      <c r="Q588" s="348"/>
      <c r="R588" s="348"/>
      <c r="S588" s="348"/>
      <c r="T588" s="348"/>
      <c r="U588" s="322"/>
      <c r="V588" s="340">
        <v>1</v>
      </c>
    </row>
    <row r="589" spans="1:33" ht="15" customHeight="1" x14ac:dyDescent="0.25">
      <c r="A589" s="388">
        <f>IF('Account Info'!$T$10=TRUE,1,0)</f>
        <v>1</v>
      </c>
      <c r="B589" s="1075"/>
      <c r="C589" s="1076"/>
      <c r="D589" s="1054" t="s">
        <v>418</v>
      </c>
      <c r="E589" s="1055"/>
      <c r="F589" s="1055"/>
      <c r="G589" s="1055"/>
      <c r="H589" s="1056"/>
      <c r="I589" s="443">
        <f>IF(D589="","",VLOOKUP(D589,X630:AA632,2,FALSE))</f>
        <v>0.96</v>
      </c>
      <c r="J589" s="443">
        <f>IF(D589="","",VLOOKUP(D589,X630:AA632,3,FALSE))</f>
        <v>1.03</v>
      </c>
      <c r="K589" s="443">
        <f>IF(D589="","",VLOOKUP(D589,X630:AA632,4,FALSE))</f>
        <v>1.1000000000000001</v>
      </c>
      <c r="L589" s="444">
        <f>J589</f>
        <v>1.03</v>
      </c>
      <c r="M589" s="1057"/>
      <c r="N589" s="1058"/>
      <c r="O589" s="1058"/>
      <c r="P589" s="1058"/>
      <c r="Q589" s="1058"/>
      <c r="R589" s="1058"/>
      <c r="S589" s="1058"/>
      <c r="T589" s="1059"/>
      <c r="U589" s="322"/>
      <c r="V589" s="340">
        <f>IF('Account Info'!$AA$4="Flat Rate State",IF(J589="",1,J589),IF(L589="",1,L589))</f>
        <v>1.03</v>
      </c>
    </row>
    <row r="590" spans="1:33" ht="15" customHeight="1" x14ac:dyDescent="0.25">
      <c r="A590" s="388">
        <f>IF('Account Info'!$T$10=TRUE,1,0)</f>
        <v>1</v>
      </c>
      <c r="B590" s="1075"/>
      <c r="C590" s="1076"/>
      <c r="D590" s="456"/>
      <c r="E590" s="456"/>
      <c r="F590" s="457"/>
      <c r="G590" s="457"/>
      <c r="H590" s="458"/>
      <c r="I590" s="459"/>
      <c r="J590" s="459"/>
      <c r="K590" s="460"/>
      <c r="L590" s="460" t="str">
        <f>IF(AND('Account Info'!$AA$4="Range State",L589&lt;&gt;"",OR(L589&lt;I589,L589&gt;K589)),"Factor is out of range","")</f>
        <v/>
      </c>
      <c r="M590" s="1051"/>
      <c r="N590" s="1052"/>
      <c r="O590" s="1052"/>
      <c r="P590" s="1052"/>
      <c r="Q590" s="1052"/>
      <c r="R590" s="1052"/>
      <c r="S590" s="1052"/>
      <c r="T590" s="1053"/>
      <c r="U590" s="322"/>
      <c r="V590" s="340">
        <v>1</v>
      </c>
    </row>
    <row r="591" spans="1:33" ht="15" customHeight="1" x14ac:dyDescent="0.25">
      <c r="A591" s="388">
        <f>IF('Account Info'!$T$10=TRUE,1,0)</f>
        <v>1</v>
      </c>
      <c r="B591" s="1075"/>
      <c r="C591" s="1076"/>
      <c r="D591" s="440" t="s">
        <v>700</v>
      </c>
      <c r="E591" s="349"/>
      <c r="F591" s="439"/>
      <c r="G591" s="439"/>
      <c r="H591" s="453"/>
      <c r="I591" s="361" t="str">
        <f>IF('Account Info'!$AA$4="Range State","Low","")</f>
        <v>Low</v>
      </c>
      <c r="J591" s="361" t="str">
        <f>IF('Account Info'!$AA$4="Range State","Benchmark","Selection")</f>
        <v>Benchmark</v>
      </c>
      <c r="K591" s="361" t="str">
        <f>IF('Account Info'!$AA$4="Range State","High","")</f>
        <v>High</v>
      </c>
      <c r="L591" s="361" t="str">
        <f>IF('Account Info'!$AA$4="Range State","Selection","")</f>
        <v>Selection</v>
      </c>
      <c r="M591" s="440" t="s">
        <v>377</v>
      </c>
      <c r="N591" s="440"/>
      <c r="O591" s="441"/>
      <c r="P591" s="348"/>
      <c r="Q591" s="348"/>
      <c r="R591" s="348"/>
      <c r="S591" s="348"/>
      <c r="T591" s="348"/>
      <c r="U591" s="322"/>
      <c r="V591" s="340">
        <v>1</v>
      </c>
      <c r="AD591" s="362"/>
      <c r="AE591" s="362"/>
      <c r="AF591" s="362"/>
      <c r="AG591" s="362"/>
    </row>
    <row r="592" spans="1:33" ht="15" customHeight="1" x14ac:dyDescent="0.25">
      <c r="A592" s="388">
        <f>IF('Account Info'!$T$10=TRUE,1,0)</f>
        <v>1</v>
      </c>
      <c r="B592" s="1075"/>
      <c r="C592" s="1076"/>
      <c r="D592" s="1054" t="s">
        <v>486</v>
      </c>
      <c r="E592" s="1055"/>
      <c r="F592" s="1055"/>
      <c r="G592" s="1055"/>
      <c r="H592" s="1056"/>
      <c r="I592" s="443">
        <f>IF(D592="","",VLOOKUP(D592,X634:AA636,2,FALSE))</f>
        <v>0.96</v>
      </c>
      <c r="J592" s="443">
        <f>IF(D592="","",VLOOKUP(D592,X634:AA636,3,FALSE))</f>
        <v>1.03</v>
      </c>
      <c r="K592" s="443">
        <f>IF(D592="","",VLOOKUP(D592,X634:AA636,4,FALSE))</f>
        <v>1.1000000000000001</v>
      </c>
      <c r="L592" s="444">
        <f>J592</f>
        <v>1.03</v>
      </c>
      <c r="M592" s="1057"/>
      <c r="N592" s="1058"/>
      <c r="O592" s="1058"/>
      <c r="P592" s="1058"/>
      <c r="Q592" s="1058"/>
      <c r="R592" s="1058"/>
      <c r="S592" s="1058"/>
      <c r="T592" s="1059"/>
      <c r="U592" s="322"/>
      <c r="V592" s="340">
        <f>IF('Account Info'!$AA$4="Flat Rate State",IF(J592="",1,J592),IF(L592="",1,L592))</f>
        <v>1.03</v>
      </c>
      <c r="AD592" s="362"/>
      <c r="AE592" s="362"/>
      <c r="AF592" s="362"/>
      <c r="AG592" s="362"/>
    </row>
    <row r="593" spans="1:33" ht="15" customHeight="1" x14ac:dyDescent="0.25">
      <c r="A593" s="388">
        <f>IF('Account Info'!$T$10=TRUE,1,0)</f>
        <v>1</v>
      </c>
      <c r="B593" s="1075"/>
      <c r="C593" s="1076"/>
      <c r="D593" s="456"/>
      <c r="E593" s="456"/>
      <c r="F593" s="457"/>
      <c r="G593" s="457"/>
      <c r="H593" s="458"/>
      <c r="I593" s="459"/>
      <c r="J593" s="459"/>
      <c r="K593" s="460"/>
      <c r="L593" s="460" t="str">
        <f>IF(AND('Account Info'!$AA$4="Range State",L592&lt;&gt;"",OR(L592&lt;I592,L592&gt;K592)),"Factor is out of range","")</f>
        <v/>
      </c>
      <c r="M593" s="1051"/>
      <c r="N593" s="1052"/>
      <c r="O593" s="1052"/>
      <c r="P593" s="1052"/>
      <c r="Q593" s="1052"/>
      <c r="R593" s="1052"/>
      <c r="S593" s="1052"/>
      <c r="T593" s="1053"/>
      <c r="U593" s="322"/>
      <c r="V593" s="340">
        <v>1</v>
      </c>
      <c r="X593" s="503" t="s">
        <v>692</v>
      </c>
      <c r="Y593" s="388"/>
      <c r="Z593" s="388"/>
      <c r="AA593" s="388"/>
      <c r="AD593" s="362"/>
      <c r="AE593" s="362"/>
      <c r="AF593" s="362"/>
      <c r="AG593" s="362"/>
    </row>
    <row r="594" spans="1:33" ht="15" customHeight="1" x14ac:dyDescent="0.25">
      <c r="A594" s="388">
        <f>IF('Account Info'!$T$10=TRUE,1,0)</f>
        <v>1</v>
      </c>
      <c r="B594" s="1075"/>
      <c r="C594" s="1076"/>
      <c r="D594" s="461"/>
      <c r="E594" s="462"/>
      <c r="F594" s="462"/>
      <c r="G594" s="462"/>
      <c r="J594" s="466"/>
      <c r="K594" s="466"/>
      <c r="L594" s="463"/>
      <c r="M594" s="467"/>
      <c r="N594" s="468"/>
      <c r="O594" s="468"/>
      <c r="P594" s="468"/>
      <c r="Q594" s="468"/>
      <c r="R594" s="468"/>
      <c r="S594" s="468"/>
      <c r="T594" s="468"/>
      <c r="U594" s="322"/>
      <c r="V594" s="458" t="s">
        <v>701</v>
      </c>
      <c r="W594" s="939">
        <f ca="1">IF(P45="","",P45*PRODUCT(V566:V593))</f>
        <v>7830.5137187100554</v>
      </c>
      <c r="X594" s="405" t="s">
        <v>601</v>
      </c>
      <c r="Y594" s="378">
        <v>0.9</v>
      </c>
      <c r="Z594" s="378">
        <f>ROUND(AVERAGE(Y594,AA594),2)</f>
        <v>0.95</v>
      </c>
      <c r="AA594" s="378">
        <v>0.99</v>
      </c>
      <c r="AD594" s="558"/>
      <c r="AE594" s="558"/>
      <c r="AF594" s="558"/>
      <c r="AG594" s="558"/>
    </row>
    <row r="595" spans="1:33" ht="15" customHeight="1" thickBot="1" x14ac:dyDescent="0.3">
      <c r="A595" s="388">
        <f>IF('Account Info'!$T$10=TRUE,1,0)</f>
        <v>1</v>
      </c>
      <c r="B595" s="1077"/>
      <c r="C595" s="1078"/>
      <c r="D595" s="325"/>
      <c r="E595" s="326"/>
      <c r="F595" s="325"/>
      <c r="G595" s="325"/>
      <c r="H595" s="325"/>
      <c r="I595" s="469"/>
      <c r="J595" s="469"/>
      <c r="K595" s="469"/>
      <c r="L595" s="469"/>
      <c r="M595" s="325"/>
      <c r="N595" s="325"/>
      <c r="O595" s="325"/>
      <c r="P595" s="325"/>
      <c r="Q595" s="325"/>
      <c r="R595" s="325"/>
      <c r="S595" s="325"/>
      <c r="T595" s="325"/>
      <c r="U595" s="327"/>
      <c r="V595" s="340"/>
      <c r="X595" s="405" t="s">
        <v>602</v>
      </c>
      <c r="Y595" s="378">
        <v>1</v>
      </c>
      <c r="Z595" s="378">
        <f>ROUND(AVERAGE(Y595,AA595),2)</f>
        <v>1.03</v>
      </c>
      <c r="AA595" s="378">
        <v>1.05</v>
      </c>
      <c r="AD595" s="504" t="s">
        <v>672</v>
      </c>
      <c r="AE595" s="420"/>
      <c r="AF595" s="420"/>
      <c r="AG595" s="420"/>
    </row>
    <row r="596" spans="1:33" ht="19.5" thickBot="1" x14ac:dyDescent="0.35">
      <c r="A596" s="388">
        <f>IF('Account Info'!$T$10=TRUE,1,0)</f>
        <v>1</v>
      </c>
      <c r="B596" s="470" t="s">
        <v>702</v>
      </c>
      <c r="C596" s="309"/>
      <c r="D596" s="310"/>
      <c r="E596" s="310"/>
      <c r="F596" s="310"/>
      <c r="G596" s="310"/>
      <c r="H596" s="310"/>
      <c r="I596" s="512"/>
      <c r="J596" s="512"/>
      <c r="K596" s="512"/>
      <c r="L596" s="512"/>
      <c r="M596" s="310"/>
      <c r="N596" s="310"/>
      <c r="O596" s="310"/>
      <c r="P596" s="310"/>
      <c r="Q596" s="310"/>
      <c r="R596" s="310"/>
      <c r="S596" s="310"/>
      <c r="T596" s="310"/>
      <c r="U596" s="311"/>
      <c r="V596" s="340"/>
      <c r="X596" s="405" t="s">
        <v>603</v>
      </c>
      <c r="Y596" s="378">
        <v>1.06</v>
      </c>
      <c r="Z596" s="378">
        <f>ROUND(AVERAGE(Y596,AA596),2)</f>
        <v>1.1599999999999999</v>
      </c>
      <c r="AA596" s="378">
        <v>1.25</v>
      </c>
      <c r="AD596" s="505" t="s">
        <v>417</v>
      </c>
      <c r="AE596" s="506">
        <v>0.8</v>
      </c>
      <c r="AF596" s="506">
        <f>ROUND(AVERAGE(AE596,AG596),2)</f>
        <v>0.85</v>
      </c>
      <c r="AG596" s="506">
        <v>0.9</v>
      </c>
    </row>
    <row r="597" spans="1:33" x14ac:dyDescent="0.25">
      <c r="A597" s="388">
        <f>IF('Account Info'!$T$10=TRUE,1,0)</f>
        <v>1</v>
      </c>
      <c r="B597" s="317"/>
      <c r="C597" s="321"/>
      <c r="D597" s="321"/>
      <c r="E597" s="320"/>
      <c r="F597" s="321"/>
      <c r="G597" s="321"/>
      <c r="H597" s="471" t="s">
        <v>393</v>
      </c>
      <c r="I597" s="472">
        <v>0.8</v>
      </c>
      <c r="J597" s="473">
        <v>1.25</v>
      </c>
      <c r="K597" s="949">
        <v>1</v>
      </c>
      <c r="L597" s="474"/>
      <c r="M597" s="320"/>
      <c r="N597" s="320"/>
      <c r="O597" s="320"/>
      <c r="P597" s="320"/>
      <c r="Q597" s="320"/>
      <c r="R597" s="320"/>
      <c r="S597" s="320"/>
      <c r="T597" s="320"/>
      <c r="U597" s="322"/>
      <c r="V597" s="340"/>
      <c r="X597" s="503" t="s">
        <v>693</v>
      </c>
      <c r="Y597" s="388"/>
      <c r="Z597" s="388"/>
      <c r="AA597" s="388"/>
      <c r="AD597" s="505" t="s">
        <v>418</v>
      </c>
      <c r="AE597" s="506">
        <v>0.91</v>
      </c>
      <c r="AF597" s="506">
        <f>ROUND(AVERAGE(AE597,AG597),2)</f>
        <v>1.01</v>
      </c>
      <c r="AG597" s="506">
        <v>1.1000000000000001</v>
      </c>
    </row>
    <row r="598" spans="1:33" x14ac:dyDescent="0.25">
      <c r="A598" s="388">
        <f>IF('Account Info'!$T$10=TRUE,1,0)</f>
        <v>1</v>
      </c>
      <c r="B598" s="317"/>
      <c r="C598" s="321"/>
      <c r="D598" s="321"/>
      <c r="E598" s="320"/>
      <c r="F598" s="321"/>
      <c r="G598" s="321"/>
      <c r="H598" s="475" t="s">
        <v>394</v>
      </c>
      <c r="I598" s="476">
        <v>0.8</v>
      </c>
      <c r="J598" s="477">
        <v>1.25</v>
      </c>
      <c r="K598" s="950">
        <v>1</v>
      </c>
      <c r="L598" s="474"/>
      <c r="M598" s="320"/>
      <c r="N598" s="320"/>
      <c r="O598" s="320"/>
      <c r="P598" s="320"/>
      <c r="Q598" s="320"/>
      <c r="R598" s="320"/>
      <c r="S598" s="320"/>
      <c r="T598" s="320"/>
      <c r="U598" s="322"/>
      <c r="V598" s="340"/>
      <c r="X598" s="405" t="s">
        <v>547</v>
      </c>
      <c r="Y598" s="378">
        <v>0.8</v>
      </c>
      <c r="Z598" s="378">
        <f>ROUND(AVERAGE(Y598,AA598),2)</f>
        <v>0.88</v>
      </c>
      <c r="AA598" s="378">
        <v>0.95</v>
      </c>
      <c r="AD598" s="505" t="s">
        <v>422</v>
      </c>
      <c r="AE598" s="506">
        <v>1.1100000000000001</v>
      </c>
      <c r="AF598" s="506">
        <f>ROUND(AVERAGE(AE598,AG598),2)</f>
        <v>1.18</v>
      </c>
      <c r="AG598" s="506">
        <v>1.25</v>
      </c>
    </row>
    <row r="599" spans="1:33" x14ac:dyDescent="0.25">
      <c r="A599" s="388">
        <f>IF('Account Info'!$T$10=TRUE,1,0)</f>
        <v>1</v>
      </c>
      <c r="B599" s="317"/>
      <c r="C599" s="321"/>
      <c r="D599" s="321"/>
      <c r="E599" s="320"/>
      <c r="F599" s="321"/>
      <c r="G599" s="321"/>
      <c r="H599" s="475" t="s">
        <v>395</v>
      </c>
      <c r="I599" s="476">
        <v>0.8</v>
      </c>
      <c r="J599" s="477">
        <v>1.25</v>
      </c>
      <c r="K599" s="950">
        <v>1</v>
      </c>
      <c r="L599" s="474"/>
      <c r="M599" s="320"/>
      <c r="N599" s="320"/>
      <c r="O599" s="320"/>
      <c r="P599" s="320"/>
      <c r="Q599" s="320"/>
      <c r="R599" s="320"/>
      <c r="S599" s="320"/>
      <c r="T599" s="320"/>
      <c r="U599" s="322"/>
      <c r="V599" s="340"/>
      <c r="X599" s="405" t="s">
        <v>500</v>
      </c>
      <c r="Y599" s="378">
        <v>0.96</v>
      </c>
      <c r="Z599" s="378">
        <f>ROUND(AVERAGE(Y599,AA599),2)</f>
        <v>1.01</v>
      </c>
      <c r="AA599" s="378">
        <v>1.05</v>
      </c>
      <c r="AD599" s="504" t="s">
        <v>673</v>
      </c>
      <c r="AE599" s="420"/>
      <c r="AF599" s="420"/>
      <c r="AG599" s="420"/>
    </row>
    <row r="600" spans="1:33" x14ac:dyDescent="0.25">
      <c r="A600" s="388">
        <f>IF('Account Info'!$T$10=TRUE,1,0)</f>
        <v>1</v>
      </c>
      <c r="B600" s="317"/>
      <c r="C600" s="321"/>
      <c r="D600" s="321"/>
      <c r="E600" s="320"/>
      <c r="F600" s="321"/>
      <c r="G600" s="321"/>
      <c r="H600" s="475" t="s">
        <v>396</v>
      </c>
      <c r="I600" s="476">
        <v>0.8</v>
      </c>
      <c r="J600" s="477">
        <v>1.25</v>
      </c>
      <c r="K600" s="950">
        <v>1</v>
      </c>
      <c r="L600" s="474"/>
      <c r="M600" s="320"/>
      <c r="N600" s="320"/>
      <c r="O600" s="320"/>
      <c r="P600" s="320"/>
      <c r="Q600" s="320"/>
      <c r="R600" s="320"/>
      <c r="S600" s="320"/>
      <c r="T600" s="320"/>
      <c r="U600" s="322"/>
      <c r="V600" s="340"/>
      <c r="X600" s="405" t="s">
        <v>549</v>
      </c>
      <c r="Y600" s="378">
        <v>1.06</v>
      </c>
      <c r="Z600" s="378">
        <f>ROUND(AVERAGE(Y600,AA600),2)</f>
        <v>1.1599999999999999</v>
      </c>
      <c r="AA600" s="378">
        <v>1.25</v>
      </c>
      <c r="AD600" s="505" t="s">
        <v>703</v>
      </c>
      <c r="AE600" s="506">
        <v>0.9</v>
      </c>
      <c r="AF600" s="506">
        <f>ROUND(AVERAGE(AE600,AG600),2)</f>
        <v>0.95</v>
      </c>
      <c r="AG600" s="506">
        <v>1</v>
      </c>
    </row>
    <row r="601" spans="1:33" ht="15.75" thickBot="1" x14ac:dyDescent="0.3">
      <c r="A601" s="388">
        <f>IF('Account Info'!$T$10=TRUE,1,0)</f>
        <v>1</v>
      </c>
      <c r="B601" s="317"/>
      <c r="C601" s="321"/>
      <c r="D601" s="321"/>
      <c r="E601" s="320"/>
      <c r="F601" s="321"/>
      <c r="G601" s="321"/>
      <c r="H601" s="478" t="s">
        <v>397</v>
      </c>
      <c r="I601" s="479">
        <v>0.8</v>
      </c>
      <c r="J601" s="480">
        <v>1.25</v>
      </c>
      <c r="K601" s="951">
        <v>1</v>
      </c>
      <c r="L601" s="474"/>
      <c r="M601" s="320"/>
      <c r="N601" s="320"/>
      <c r="O601" s="320"/>
      <c r="P601" s="320"/>
      <c r="Q601" s="320"/>
      <c r="R601" s="320"/>
      <c r="S601" s="320"/>
      <c r="T601" s="320"/>
      <c r="U601" s="322"/>
      <c r="V601" s="340"/>
      <c r="AD601" s="505" t="s">
        <v>589</v>
      </c>
      <c r="AE601" s="506">
        <v>1.01</v>
      </c>
      <c r="AF601" s="506">
        <f>ROUND(AVERAGE(AE601,AG601),2)</f>
        <v>1.06</v>
      </c>
      <c r="AG601" s="506">
        <v>1.1000000000000001</v>
      </c>
    </row>
    <row r="602" spans="1:33" ht="15.75" thickBot="1" x14ac:dyDescent="0.3">
      <c r="A602" s="388">
        <f>IF('Account Info'!$T$10=TRUE,1,0)</f>
        <v>1</v>
      </c>
      <c r="B602" s="317"/>
      <c r="C602" s="321"/>
      <c r="D602" s="321"/>
      <c r="E602" s="320"/>
      <c r="F602" s="321"/>
      <c r="G602" s="321"/>
      <c r="H602" s="481"/>
      <c r="I602" s="482"/>
      <c r="J602" s="483"/>
      <c r="K602" s="952">
        <f>IF(PRODUCT(K597:K601)=0,1,PRODUCT(K597:K601))</f>
        <v>1</v>
      </c>
      <c r="L602" s="464"/>
      <c r="M602" s="320"/>
      <c r="N602" s="320"/>
      <c r="O602" s="320"/>
      <c r="P602" s="320"/>
      <c r="Q602" s="320"/>
      <c r="R602" s="320"/>
      <c r="S602" s="320"/>
      <c r="T602" s="320"/>
      <c r="U602" s="322"/>
      <c r="V602" s="340"/>
      <c r="W602" s="484">
        <f>W98</f>
        <v>0.5</v>
      </c>
      <c r="X602" s="484">
        <f>X98</f>
        <v>1.5</v>
      </c>
      <c r="AD602" s="505" t="s">
        <v>583</v>
      </c>
      <c r="AE602" s="506">
        <v>1.1100000000000001</v>
      </c>
      <c r="AF602" s="506">
        <f>ROUND(AVERAGE(AE602,AG602),2)</f>
        <v>1.18</v>
      </c>
      <c r="AG602" s="506">
        <v>1.25</v>
      </c>
    </row>
    <row r="603" spans="1:33" x14ac:dyDescent="0.25">
      <c r="A603" s="388">
        <f>IF('Account Info'!$T$10=TRUE,1,0)</f>
        <v>1</v>
      </c>
      <c r="B603" s="317"/>
      <c r="C603" s="321"/>
      <c r="D603" s="321"/>
      <c r="E603" s="320"/>
      <c r="F603" s="321"/>
      <c r="G603" s="321"/>
      <c r="H603" s="485"/>
      <c r="I603" s="482"/>
      <c r="J603" s="483"/>
      <c r="K603" s="486"/>
      <c r="L603" s="464"/>
      <c r="M603" s="320"/>
      <c r="N603" s="320"/>
      <c r="O603" s="320"/>
      <c r="P603" s="320"/>
      <c r="Q603" s="320"/>
      <c r="R603" s="320"/>
      <c r="S603" s="320"/>
      <c r="T603" s="320"/>
      <c r="U603" s="322"/>
      <c r="V603" s="340"/>
      <c r="AD603" s="505" t="s">
        <v>704</v>
      </c>
      <c r="AE603" s="506">
        <v>1.26</v>
      </c>
      <c r="AF603" s="506">
        <f>ROUND(AVERAGE(AE603,AG603),2)</f>
        <v>1.88</v>
      </c>
      <c r="AG603" s="506">
        <v>2.5</v>
      </c>
    </row>
    <row r="604" spans="1:33" x14ac:dyDescent="0.25">
      <c r="A604" s="388">
        <f>IF('Account Info'!$T$10=TRUE,1,0)</f>
        <v>1</v>
      </c>
      <c r="B604" s="317"/>
      <c r="C604" s="321"/>
      <c r="D604" s="321"/>
      <c r="E604" s="320"/>
      <c r="F604" s="321"/>
      <c r="G604" s="321"/>
      <c r="J604" s="483"/>
      <c r="K604" s="486"/>
      <c r="L604" s="464"/>
      <c r="M604" s="320"/>
      <c r="N604" s="320"/>
      <c r="O604" s="320"/>
      <c r="P604" s="320"/>
      <c r="Q604" s="320"/>
      <c r="R604" s="320"/>
      <c r="S604" s="320"/>
      <c r="T604" s="320"/>
      <c r="U604" s="322"/>
      <c r="V604" s="458" t="s">
        <v>705</v>
      </c>
      <c r="W604" s="939">
        <f ca="1">IF(W594="","",W594*K602)</f>
        <v>7830.5137187100554</v>
      </c>
      <c r="AD604" s="504" t="s">
        <v>674</v>
      </c>
      <c r="AE604" s="420"/>
      <c r="AF604" s="420"/>
      <c r="AG604" s="420"/>
    </row>
    <row r="605" spans="1:33" ht="15.75" thickBot="1" x14ac:dyDescent="0.3">
      <c r="A605" s="388">
        <f>IF('Account Info'!$T$10=TRUE,1,0)</f>
        <v>1</v>
      </c>
      <c r="B605" s="324"/>
      <c r="C605" s="325"/>
      <c r="D605" s="325"/>
      <c r="E605" s="326"/>
      <c r="F605" s="325"/>
      <c r="G605" s="325"/>
      <c r="H605" s="488"/>
      <c r="I605" s="489"/>
      <c r="J605" s="489"/>
      <c r="K605" s="325"/>
      <c r="L605" s="469"/>
      <c r="M605" s="326"/>
      <c r="N605" s="326"/>
      <c r="O605" s="326"/>
      <c r="P605" s="326"/>
      <c r="Q605" s="326"/>
      <c r="R605" s="326"/>
      <c r="S605" s="326"/>
      <c r="T605" s="326"/>
      <c r="U605" s="327"/>
      <c r="V605" s="340"/>
      <c r="AD605" s="505" t="s">
        <v>411</v>
      </c>
      <c r="AE605" s="506">
        <v>0.9</v>
      </c>
      <c r="AF605" s="506">
        <f>ROUND(AVERAGE(AE605,AG605),2)</f>
        <v>0.98</v>
      </c>
      <c r="AG605" s="506">
        <v>1.05</v>
      </c>
    </row>
    <row r="606" spans="1:33" ht="18.75" x14ac:dyDescent="0.3">
      <c r="A606" s="388">
        <f>IF('Account Info'!$T$10=TRUE,1,0)</f>
        <v>1</v>
      </c>
      <c r="B606" s="470" t="s">
        <v>707</v>
      </c>
      <c r="C606" s="321"/>
      <c r="D606" s="321"/>
      <c r="E606" s="320"/>
      <c r="F606" s="321"/>
      <c r="G606" s="321"/>
      <c r="H606" s="321"/>
      <c r="I606" s="464"/>
      <c r="J606" s="464"/>
      <c r="K606" s="464"/>
      <c r="L606" s="464"/>
      <c r="M606" s="321"/>
      <c r="N606" s="321"/>
      <c r="O606" s="321"/>
      <c r="P606" s="321"/>
      <c r="Q606" s="321"/>
      <c r="R606" s="321"/>
      <c r="S606" s="321"/>
      <c r="T606" s="321"/>
      <c r="U606" s="322"/>
      <c r="V606" s="340">
        <v>1</v>
      </c>
      <c r="X606" s="503" t="s">
        <v>694</v>
      </c>
      <c r="Y606" s="388"/>
      <c r="Z606" s="388"/>
      <c r="AA606" s="388"/>
      <c r="AD606" s="505" t="s">
        <v>412</v>
      </c>
      <c r="AE606" s="506">
        <v>1.06</v>
      </c>
      <c r="AF606" s="506">
        <f>ROUND(AVERAGE(AE606,AG606),2)</f>
        <v>1.1100000000000001</v>
      </c>
      <c r="AG606" s="506">
        <v>1.1499999999999999</v>
      </c>
    </row>
    <row r="607" spans="1:33" x14ac:dyDescent="0.25">
      <c r="A607" s="388">
        <f>IF('Account Info'!$T$10=TRUE,1,0)</f>
        <v>1</v>
      </c>
      <c r="B607" s="1071" t="s">
        <v>691</v>
      </c>
      <c r="C607" s="1072"/>
      <c r="D607" s="348" t="s">
        <v>473</v>
      </c>
      <c r="E607" s="439"/>
      <c r="F607" s="349"/>
      <c r="G607" s="349"/>
      <c r="H607" s="453"/>
      <c r="I607" s="361" t="str">
        <f>IF('Account Info'!$AA$4="Range State","Low","")</f>
        <v>Low</v>
      </c>
      <c r="J607" s="361" t="str">
        <f>IF('Account Info'!$AA$4="Range State","Benchmark","Selection")</f>
        <v>Benchmark</v>
      </c>
      <c r="K607" s="361" t="str">
        <f>IF('Account Info'!$AA$4="Range State","High","")</f>
        <v>High</v>
      </c>
      <c r="L607" s="361" t="str">
        <f>IF('Account Info'!$AA$4="Range State","Selection","")</f>
        <v>Selection</v>
      </c>
      <c r="M607" s="440" t="s">
        <v>377</v>
      </c>
      <c r="N607" s="440"/>
      <c r="O607" s="441"/>
      <c r="P607" s="348"/>
      <c r="Q607" s="348"/>
      <c r="R607" s="348"/>
      <c r="S607" s="348"/>
      <c r="T607" s="348"/>
      <c r="U607" s="322"/>
      <c r="V607" s="340">
        <v>1</v>
      </c>
      <c r="X607" s="405" t="s">
        <v>706</v>
      </c>
      <c r="Y607" s="378">
        <v>0.8</v>
      </c>
      <c r="Z607" s="378">
        <f>ROUND(AVERAGE(Y607,AA607),2)</f>
        <v>0.9</v>
      </c>
      <c r="AA607" s="378">
        <v>0.99</v>
      </c>
      <c r="AD607" s="392"/>
      <c r="AE607" s="392"/>
      <c r="AF607" s="392"/>
      <c r="AG607" s="392"/>
    </row>
    <row r="608" spans="1:33" x14ac:dyDescent="0.25">
      <c r="A608" s="388">
        <f>IF('Account Info'!$T$10=TRUE,1,0)</f>
        <v>1</v>
      </c>
      <c r="B608" s="1071"/>
      <c r="C608" s="1072"/>
      <c r="D608" s="1054" t="s">
        <v>517</v>
      </c>
      <c r="E608" s="1055"/>
      <c r="F608" s="1055"/>
      <c r="G608" s="1055"/>
      <c r="H608" s="1056"/>
      <c r="I608" s="443">
        <f>IF(D608="","",VLOOKUP(D608,X534:AA536,2,FALSE))</f>
        <v>0.8</v>
      </c>
      <c r="J608" s="443">
        <f>IF(D608="","",VLOOKUP(D608,X534:AA536,3,FALSE))</f>
        <v>0.9</v>
      </c>
      <c r="K608" s="443">
        <f>IF(D608="","",VLOOKUP(D608,X534:AA536,4,FALSE))</f>
        <v>0.99</v>
      </c>
      <c r="L608" s="444">
        <f>J608</f>
        <v>0.9</v>
      </c>
      <c r="M608" s="1057"/>
      <c r="N608" s="1058"/>
      <c r="O608" s="1058"/>
      <c r="P608" s="1058"/>
      <c r="Q608" s="1058"/>
      <c r="R608" s="1058"/>
      <c r="S608" s="1058"/>
      <c r="T608" s="1059"/>
      <c r="U608" s="322"/>
      <c r="V608" s="340">
        <f>IF('Account Info'!$AA$4="Flat Rate State",IF(J608="",1,J608),IF(L608="",1,L608))</f>
        <v>0.9</v>
      </c>
      <c r="X608" s="405" t="s">
        <v>708</v>
      </c>
      <c r="Y608" s="378">
        <v>1</v>
      </c>
      <c r="Z608" s="378">
        <f>ROUND(AVERAGE(Y608,AA608),2)</f>
        <v>1.08</v>
      </c>
      <c r="AA608" s="378">
        <v>1.1499999999999999</v>
      </c>
      <c r="AD608" s="392"/>
      <c r="AE608" s="392"/>
      <c r="AF608" s="392"/>
      <c r="AG608" s="392"/>
    </row>
    <row r="609" spans="1:33" x14ac:dyDescent="0.25">
      <c r="A609" s="388">
        <f>IF('Account Info'!$T$10=TRUE,1,0)</f>
        <v>1</v>
      </c>
      <c r="B609" s="1071"/>
      <c r="C609" s="1072"/>
      <c r="D609" s="456"/>
      <c r="E609" s="457"/>
      <c r="F609" s="456"/>
      <c r="G609" s="456"/>
      <c r="H609" s="456"/>
      <c r="I609" s="464"/>
      <c r="J609" s="464"/>
      <c r="K609" s="460"/>
      <c r="L609" s="460" t="str">
        <f>IF(AND('Account Info'!$AA$4="Range State",L608&lt;&gt;"",OR(L608&lt;I608,L608&gt;K608)),"Factor is out of range","")</f>
        <v/>
      </c>
      <c r="M609" s="1051"/>
      <c r="N609" s="1052"/>
      <c r="O609" s="1052"/>
      <c r="P609" s="1052"/>
      <c r="Q609" s="1052"/>
      <c r="R609" s="1052"/>
      <c r="S609" s="1052"/>
      <c r="T609" s="1053"/>
      <c r="U609" s="322"/>
      <c r="V609" s="340">
        <v>1</v>
      </c>
      <c r="X609" s="405" t="s">
        <v>436</v>
      </c>
      <c r="Y609" s="378">
        <v>1.1599999999999999</v>
      </c>
      <c r="Z609" s="378">
        <f>ROUND(AVERAGE(Y609,AA609),2)</f>
        <v>1.26</v>
      </c>
      <c r="AA609" s="378">
        <v>1.35</v>
      </c>
      <c r="AD609" s="362"/>
      <c r="AE609" s="362"/>
      <c r="AF609" s="362"/>
      <c r="AG609" s="362"/>
    </row>
    <row r="610" spans="1:33" x14ac:dyDescent="0.25">
      <c r="A610" s="388">
        <f>IF('Account Info'!$T$10=TRUE,1,0)</f>
        <v>1</v>
      </c>
      <c r="B610" s="1071"/>
      <c r="C610" s="1072"/>
      <c r="D610" s="348" t="s">
        <v>401</v>
      </c>
      <c r="E610" s="439"/>
      <c r="F610" s="349"/>
      <c r="G610" s="349"/>
      <c r="H610" s="453"/>
      <c r="I610" s="361" t="str">
        <f>IF('Account Info'!$AA$4="Range State","Low","")</f>
        <v>Low</v>
      </c>
      <c r="J610" s="361" t="str">
        <f>IF('Account Info'!$AA$4="Range State","Benchmark","Selection")</f>
        <v>Benchmark</v>
      </c>
      <c r="K610" s="361" t="str">
        <f>IF('Account Info'!$AA$4="Range State","High","")</f>
        <v>High</v>
      </c>
      <c r="L610" s="361" t="str">
        <f>IF('Account Info'!$AA$4="Range State","Selection","")</f>
        <v>Selection</v>
      </c>
      <c r="M610" s="440" t="s">
        <v>377</v>
      </c>
      <c r="N610" s="440"/>
      <c r="O610" s="441"/>
      <c r="P610" s="348"/>
      <c r="Q610" s="348"/>
      <c r="R610" s="348"/>
      <c r="S610" s="348"/>
      <c r="T610" s="348"/>
      <c r="U610" s="322"/>
      <c r="V610" s="340">
        <v>1</v>
      </c>
      <c r="X610" s="503" t="s">
        <v>695</v>
      </c>
      <c r="Y610" s="388"/>
      <c r="Z610" s="388"/>
      <c r="AA610" s="388"/>
      <c r="AD610" s="362"/>
      <c r="AE610" s="362"/>
      <c r="AF610" s="362"/>
      <c r="AG610" s="362"/>
    </row>
    <row r="611" spans="1:33" x14ac:dyDescent="0.25">
      <c r="A611" s="388">
        <f>IF('Account Info'!$T$10=TRUE,1,0)</f>
        <v>1</v>
      </c>
      <c r="B611" s="1071"/>
      <c r="C611" s="1072"/>
      <c r="D611" s="1054" t="s">
        <v>522</v>
      </c>
      <c r="E611" s="1055"/>
      <c r="F611" s="1055"/>
      <c r="G611" s="1055"/>
      <c r="H611" s="1056"/>
      <c r="I611" s="443">
        <f>IF(D611="","",VLOOKUP(D611,X547:AA551,2,FALSE))</f>
        <v>1</v>
      </c>
      <c r="J611" s="443">
        <f>IF(D611="","",VLOOKUP(D611,X547:AA551,3,FALSE))</f>
        <v>1</v>
      </c>
      <c r="K611" s="443">
        <f>IF(D611="","",VLOOKUP(D611,X547:AA551,4,FALSE))</f>
        <v>1</v>
      </c>
      <c r="L611" s="444">
        <f>J611</f>
        <v>1</v>
      </c>
      <c r="M611" s="1057"/>
      <c r="N611" s="1058"/>
      <c r="O611" s="1058"/>
      <c r="P611" s="1058"/>
      <c r="Q611" s="1058"/>
      <c r="R611" s="1058"/>
      <c r="S611" s="1058"/>
      <c r="T611" s="1059"/>
      <c r="U611" s="322"/>
      <c r="V611" s="340">
        <f>IF('Account Info'!$AA$4="Flat Rate State",IF(J611="",1,J611),IF(L611="",1,L611))</f>
        <v>1</v>
      </c>
      <c r="X611" s="405" t="s">
        <v>417</v>
      </c>
      <c r="Y611" s="378">
        <v>0.75</v>
      </c>
      <c r="Z611" s="378">
        <f>ROUND(AVERAGE(Y611,AA611),2)</f>
        <v>0.87</v>
      </c>
      <c r="AA611" s="378">
        <v>0.99</v>
      </c>
      <c r="AD611" s="362"/>
      <c r="AE611" s="362"/>
      <c r="AF611" s="362"/>
      <c r="AG611" s="362"/>
    </row>
    <row r="612" spans="1:33" x14ac:dyDescent="0.25">
      <c r="A612" s="388">
        <f>IF('Account Info'!$T$10=TRUE,1,0)</f>
        <v>1</v>
      </c>
      <c r="B612" s="1071"/>
      <c r="C612" s="1072"/>
      <c r="D612" s="456"/>
      <c r="E612" s="457"/>
      <c r="F612" s="456"/>
      <c r="G612" s="456"/>
      <c r="H612" s="456"/>
      <c r="I612" s="464"/>
      <c r="J612" s="464"/>
      <c r="K612" s="460"/>
      <c r="L612" s="460" t="str">
        <f>IF(AND('Account Info'!$AA$4="Range State",L611&lt;&gt;"",OR(L611&lt;I611,L611&gt;K611)),"Factor is out of range","")</f>
        <v/>
      </c>
      <c r="M612" s="1051"/>
      <c r="N612" s="1052"/>
      <c r="O612" s="1052"/>
      <c r="P612" s="1052"/>
      <c r="Q612" s="1052"/>
      <c r="R612" s="1052"/>
      <c r="S612" s="1052"/>
      <c r="T612" s="1053"/>
      <c r="U612" s="322"/>
      <c r="V612" s="340">
        <v>1</v>
      </c>
      <c r="X612" s="405" t="s">
        <v>418</v>
      </c>
      <c r="Y612" s="378">
        <v>1</v>
      </c>
      <c r="Z612" s="378">
        <f>ROUND(AVERAGE(Y612,AA612),2)</f>
        <v>1.1299999999999999</v>
      </c>
      <c r="AA612" s="378">
        <v>1.25</v>
      </c>
      <c r="AD612" s="362"/>
      <c r="AE612" s="362"/>
      <c r="AF612" s="362"/>
      <c r="AG612" s="362"/>
    </row>
    <row r="613" spans="1:33" ht="15" customHeight="1" x14ac:dyDescent="0.25">
      <c r="A613" s="388">
        <f>IF('Account Info'!$T$10=TRUE,1,0)</f>
        <v>1</v>
      </c>
      <c r="B613" s="1071"/>
      <c r="C613" s="1072"/>
      <c r="D613" s="348" t="s">
        <v>709</v>
      </c>
      <c r="E613" s="439"/>
      <c r="F613" s="349"/>
      <c r="G613" s="349"/>
      <c r="H613" s="453"/>
      <c r="I613" s="361" t="str">
        <f>IF('Account Info'!$AA$4="Range State","Low","")</f>
        <v>Low</v>
      </c>
      <c r="J613" s="361" t="str">
        <f>IF('Account Info'!$AA$4="Range State","Benchmark","Selection")</f>
        <v>Benchmark</v>
      </c>
      <c r="K613" s="361" t="str">
        <f>IF('Account Info'!$AA$4="Range State","High","")</f>
        <v>High</v>
      </c>
      <c r="L613" s="361" t="str">
        <f>IF('Account Info'!$AA$4="Range State","Selection","")</f>
        <v>Selection</v>
      </c>
      <c r="M613" s="440" t="s">
        <v>377</v>
      </c>
      <c r="N613" s="440"/>
      <c r="O613" s="441"/>
      <c r="P613" s="348"/>
      <c r="Q613" s="348"/>
      <c r="R613" s="348"/>
      <c r="S613" s="348"/>
      <c r="T613" s="348"/>
      <c r="U613" s="322"/>
      <c r="V613" s="340">
        <v>1</v>
      </c>
      <c r="X613" s="405" t="s">
        <v>420</v>
      </c>
      <c r="Y613" s="378">
        <v>1.26</v>
      </c>
      <c r="Z613" s="378">
        <f>ROUND(AVERAGE(Y613,AA613),2)</f>
        <v>1.38</v>
      </c>
      <c r="AA613" s="378">
        <v>1.5</v>
      </c>
      <c r="AD613" s="362"/>
      <c r="AE613" s="362"/>
      <c r="AF613" s="362"/>
      <c r="AG613" s="362"/>
    </row>
    <row r="614" spans="1:33" x14ac:dyDescent="0.25">
      <c r="A614" s="388">
        <f>IF('Account Info'!$T$10=TRUE,1,0)</f>
        <v>1</v>
      </c>
      <c r="B614" s="1071"/>
      <c r="C614" s="1072"/>
      <c r="D614" s="1054" t="s">
        <v>411</v>
      </c>
      <c r="E614" s="1055"/>
      <c r="F614" s="1055"/>
      <c r="G614" s="1055"/>
      <c r="H614" s="1056"/>
      <c r="I614" s="443">
        <f>IF(D614="","",VLOOKUP(D614,X553:AA554,2,FALSE))</f>
        <v>1</v>
      </c>
      <c r="J614" s="443">
        <f>IF(D614="","",VLOOKUP(D614,X553:AA554,3,FALSE))</f>
        <v>1</v>
      </c>
      <c r="K614" s="443">
        <f>IF(D614="","",VLOOKUP(D614,X553:AA554,4,FALSE))</f>
        <v>1</v>
      </c>
      <c r="L614" s="444">
        <f>J614</f>
        <v>1</v>
      </c>
      <c r="M614" s="1057"/>
      <c r="N614" s="1058"/>
      <c r="O614" s="1058"/>
      <c r="P614" s="1058"/>
      <c r="Q614" s="1058"/>
      <c r="R614" s="1058"/>
      <c r="S614" s="1058"/>
      <c r="T614" s="1059"/>
      <c r="U614" s="322"/>
      <c r="V614" s="340">
        <f>IF('Account Info'!$AA$4="Flat Rate State",IF(J614="",1,J614),IF(L614="",1,L614))</f>
        <v>1</v>
      </c>
      <c r="X614" s="405" t="s">
        <v>422</v>
      </c>
      <c r="Y614" s="378">
        <v>1.51</v>
      </c>
      <c r="Z614" s="378">
        <f>ROUND(AVERAGE(Y614,AA614),2)</f>
        <v>1.63</v>
      </c>
      <c r="AA614" s="378">
        <v>1.75</v>
      </c>
      <c r="AD614" s="362"/>
      <c r="AE614" s="362"/>
      <c r="AF614" s="362"/>
      <c r="AG614" s="362"/>
    </row>
    <row r="615" spans="1:33" x14ac:dyDescent="0.25">
      <c r="A615" s="388">
        <f>IF('Account Info'!$T$10=TRUE,1,0)</f>
        <v>1</v>
      </c>
      <c r="B615" s="1071"/>
      <c r="C615" s="1072"/>
      <c r="D615" s="491"/>
      <c r="E615" s="492"/>
      <c r="F615" s="492"/>
      <c r="G615" s="492"/>
      <c r="H615" s="492"/>
      <c r="I615" s="496"/>
      <c r="J615" s="463"/>
      <c r="K615" s="460"/>
      <c r="L615" s="460" t="str">
        <f>IF(AND('Account Info'!$AA$4="Range State",L614&lt;&gt;"",OR(L614&lt;I614,L614&gt;K614)),"Factor is out of range","")</f>
        <v/>
      </c>
      <c r="M615" s="1051"/>
      <c r="N615" s="1052"/>
      <c r="O615" s="1052"/>
      <c r="P615" s="1052"/>
      <c r="Q615" s="1052"/>
      <c r="R615" s="1052"/>
      <c r="S615" s="1052"/>
      <c r="T615" s="1053"/>
      <c r="U615" s="322"/>
      <c r="V615" s="340"/>
      <c r="X615" s="503" t="s">
        <v>696</v>
      </c>
      <c r="Y615" s="388"/>
      <c r="Z615" s="388"/>
      <c r="AA615" s="388"/>
      <c r="AD615" s="504" t="s">
        <v>383</v>
      </c>
      <c r="AE615" s="420"/>
      <c r="AF615" s="420"/>
      <c r="AG615" s="420"/>
    </row>
    <row r="616" spans="1:33" ht="15.75" customHeight="1" x14ac:dyDescent="0.25">
      <c r="A616" s="388">
        <f>IF('Account Info'!$T$10=TRUE,1,0)</f>
        <v>1</v>
      </c>
      <c r="B616" s="1071"/>
      <c r="C616" s="1072"/>
      <c r="D616" s="491"/>
      <c r="E616" s="492"/>
      <c r="F616" s="492"/>
      <c r="G616" s="492"/>
      <c r="H616" s="465" t="s">
        <v>710</v>
      </c>
      <c r="I616" s="939">
        <f ca="1">IF(W604="","",ROUND(W604*PRODUCT(V606:V614),0))</f>
        <v>7047</v>
      </c>
      <c r="J616" s="463"/>
      <c r="K616" s="463"/>
      <c r="L616" s="463"/>
      <c r="M616" s="467"/>
      <c r="N616" s="468"/>
      <c r="O616" s="468"/>
      <c r="P616" s="468"/>
      <c r="Q616" s="468"/>
      <c r="R616" s="468"/>
      <c r="S616" s="468"/>
      <c r="T616" s="468"/>
      <c r="U616" s="322"/>
      <c r="V616" s="340"/>
      <c r="X616" s="405" t="s">
        <v>547</v>
      </c>
      <c r="Y616" s="378">
        <v>0.8</v>
      </c>
      <c r="Z616" s="378">
        <f>ROUND(AVERAGE(Y616,AA616),2)</f>
        <v>0.88</v>
      </c>
      <c r="AA616" s="378">
        <v>0.95</v>
      </c>
      <c r="AD616" s="505" t="s">
        <v>417</v>
      </c>
      <c r="AE616" s="506">
        <v>0.75</v>
      </c>
      <c r="AF616" s="506">
        <f>ROUND(AVERAGE(AE616,AG616),2)</f>
        <v>0.87</v>
      </c>
      <c r="AG616" s="506">
        <v>0.99</v>
      </c>
    </row>
    <row r="617" spans="1:33" hidden="1" x14ac:dyDescent="0.25">
      <c r="A617" s="495">
        <f>IF($AC$30=TRUE,1,0)</f>
        <v>0</v>
      </c>
      <c r="B617" s="1071"/>
      <c r="C617" s="1072"/>
      <c r="D617" s="491"/>
      <c r="E617" s="492"/>
      <c r="F617" s="492"/>
      <c r="G617" s="492"/>
      <c r="H617" s="465"/>
      <c r="I617" s="496"/>
      <c r="J617" s="463"/>
      <c r="K617" s="463"/>
      <c r="L617" s="463"/>
      <c r="M617" s="467"/>
      <c r="N617" s="468"/>
      <c r="O617" s="468"/>
      <c r="P617" s="468"/>
      <c r="Q617" s="468"/>
      <c r="R617" s="468"/>
      <c r="S617" s="468"/>
      <c r="T617" s="468"/>
      <c r="U617" s="322"/>
      <c r="V617" s="340"/>
      <c r="X617" s="405" t="s">
        <v>500</v>
      </c>
      <c r="Y617" s="378">
        <v>0.96</v>
      </c>
      <c r="Z617" s="378">
        <f>ROUND(AVERAGE(Y617,AA617),2)</f>
        <v>1.03</v>
      </c>
      <c r="AA617" s="378">
        <v>1.1000000000000001</v>
      </c>
      <c r="AD617" s="505" t="s">
        <v>418</v>
      </c>
      <c r="AE617" s="506">
        <v>1</v>
      </c>
      <c r="AF617" s="506">
        <f>ROUND(AVERAGE(AE617,AG617),2)</f>
        <v>1.1299999999999999</v>
      </c>
      <c r="AG617" s="506">
        <v>1.25</v>
      </c>
    </row>
    <row r="618" spans="1:33" hidden="1" x14ac:dyDescent="0.25">
      <c r="A618" s="495">
        <f>IF($AC$30=TRUE,1,0)</f>
        <v>0</v>
      </c>
      <c r="B618" s="1071"/>
      <c r="C618" s="1072"/>
      <c r="D618" s="491"/>
      <c r="E618" s="492"/>
      <c r="F618" s="492"/>
      <c r="G618" s="492"/>
      <c r="H618" s="465" t="s">
        <v>711</v>
      </c>
      <c r="I618" s="939">
        <f ca="1">IF(I616="","",ROUND(IF(AC30=FALSE,I616,I616*$V$51),0))</f>
        <v>7047</v>
      </c>
      <c r="J618" s="463"/>
      <c r="K618" s="463"/>
      <c r="L618" s="463"/>
      <c r="M618" s="467"/>
      <c r="N618" s="468"/>
      <c r="O618" s="468"/>
      <c r="P618" s="468"/>
      <c r="Q618" s="468"/>
      <c r="R618" s="468"/>
      <c r="S618" s="468"/>
      <c r="T618" s="468"/>
      <c r="U618" s="322"/>
      <c r="V618" s="340"/>
      <c r="X618" s="405" t="s">
        <v>549</v>
      </c>
      <c r="Y618" s="378">
        <v>1.1100000000000001</v>
      </c>
      <c r="Z618" s="378">
        <f>ROUND(AVERAGE(Y618,AA618),2)</f>
        <v>1.18</v>
      </c>
      <c r="AA618" s="378">
        <v>1.25</v>
      </c>
      <c r="AD618" s="505" t="s">
        <v>420</v>
      </c>
      <c r="AE618" s="506">
        <v>1.26</v>
      </c>
      <c r="AF618" s="506">
        <f>ROUND(AVERAGE(AE618,AG618),2)</f>
        <v>1.38</v>
      </c>
      <c r="AG618" s="506">
        <v>1.5</v>
      </c>
    </row>
    <row r="619" spans="1:33" x14ac:dyDescent="0.25">
      <c r="A619" s="388">
        <f>IF('Account Info'!$T$10=TRUE,1,0)</f>
        <v>1</v>
      </c>
      <c r="B619" s="1071"/>
      <c r="C619" s="1072"/>
      <c r="D619" s="491"/>
      <c r="E619" s="492"/>
      <c r="F619" s="492"/>
      <c r="G619" s="492"/>
      <c r="H619" s="465"/>
      <c r="I619" s="496"/>
      <c r="J619" s="497" t="s">
        <v>403</v>
      </c>
      <c r="K619" s="494"/>
      <c r="L619" s="494"/>
      <c r="M619" s="467"/>
      <c r="N619" s="468"/>
      <c r="O619" s="468"/>
      <c r="P619" s="468"/>
      <c r="Q619" s="468"/>
      <c r="R619" s="468"/>
      <c r="S619" s="468"/>
      <c r="T619" s="468"/>
      <c r="U619" s="322"/>
      <c r="V619" s="340"/>
      <c r="X619" s="503" t="s">
        <v>697</v>
      </c>
      <c r="Y619" s="388"/>
      <c r="Z619" s="388"/>
      <c r="AA619" s="388"/>
      <c r="AD619" s="505" t="s">
        <v>422</v>
      </c>
      <c r="AE619" s="506">
        <v>1.51</v>
      </c>
      <c r="AF619" s="506">
        <f>ROUND(AVERAGE(AE619,AG619),2)</f>
        <v>1.63</v>
      </c>
      <c r="AG619" s="506">
        <v>1.75</v>
      </c>
    </row>
    <row r="620" spans="1:33" x14ac:dyDescent="0.25">
      <c r="A620" s="388">
        <f>IF('Account Info'!$T$10=TRUE,1,0)</f>
        <v>1</v>
      </c>
      <c r="B620" s="1071"/>
      <c r="C620" s="1072"/>
      <c r="D620" s="491"/>
      <c r="E620" s="492"/>
      <c r="F620" s="492"/>
      <c r="G620" s="492"/>
      <c r="H620" s="465" t="s">
        <v>409</v>
      </c>
      <c r="I620" s="498">
        <v>0</v>
      </c>
      <c r="J620" s="939">
        <f>ROUND(IF(I620=0,0,((('MPL and Law ILFs'!AX6-'MPL and Law ILFs'!AG6)*0.4)/'MPL and Law ILFs'!AG6)*I616),0)</f>
        <v>0</v>
      </c>
      <c r="K620" s="494"/>
      <c r="L620" s="494"/>
      <c r="M620" s="467"/>
      <c r="N620" s="468"/>
      <c r="O620" s="468"/>
      <c r="P620" s="468"/>
      <c r="Q620" s="468"/>
      <c r="R620" s="468"/>
      <c r="S620" s="468"/>
      <c r="T620" s="468"/>
      <c r="U620" s="322"/>
      <c r="V620" s="340"/>
      <c r="X620" s="405" t="s">
        <v>498</v>
      </c>
      <c r="Y620" s="378">
        <v>0.8</v>
      </c>
      <c r="Z620" s="378">
        <f>ROUND(AVERAGE(Y620,AA620),2)</f>
        <v>0.88</v>
      </c>
      <c r="AA620" s="378">
        <v>0.95</v>
      </c>
      <c r="AD620" s="504" t="s">
        <v>675</v>
      </c>
      <c r="AE620" s="420"/>
      <c r="AF620" s="420"/>
      <c r="AG620" s="420"/>
    </row>
    <row r="621" spans="1:33" x14ac:dyDescent="0.25">
      <c r="A621" s="499">
        <f>IF(AND('Account Info'!$U$12&gt;1,'Account Info'!$T$10=TRUE),1,0)</f>
        <v>1</v>
      </c>
      <c r="B621" s="1071"/>
      <c r="C621" s="1072"/>
      <c r="D621" s="491"/>
      <c r="E621" s="492"/>
      <c r="F621" s="492"/>
      <c r="G621" s="492"/>
      <c r="H621" s="465"/>
      <c r="J621" s="361" t="str">
        <f>IF(AND('Account Info'!$AA$4="Range State",I622="Yes"),"Low","")</f>
        <v/>
      </c>
      <c r="K621" s="361" t="str">
        <f>IF(I622&lt;&gt;"Yes","",IF('Account Info'!$AA$4="Range State","Benchmark","Selection"))</f>
        <v/>
      </c>
      <c r="L621" s="361" t="str">
        <f>IF(AND('Account Info'!$AA$4="Range State",I622="Yes"),"High","")</f>
        <v/>
      </c>
      <c r="M621" s="361" t="str">
        <f>IF(AND('Account Info'!$AA$4="Range State",I622="Yes"),"Selection","")</f>
        <v/>
      </c>
      <c r="N621" s="468"/>
      <c r="O621" s="468"/>
      <c r="P621" s="468"/>
      <c r="Q621" s="468"/>
      <c r="R621" s="468"/>
      <c r="S621" s="468"/>
      <c r="T621" s="468"/>
      <c r="U621" s="322"/>
      <c r="V621" s="340"/>
      <c r="X621" s="405" t="s">
        <v>500</v>
      </c>
      <c r="Y621" s="378">
        <v>0.96</v>
      </c>
      <c r="Z621" s="378">
        <f>ROUND(AVERAGE(Y621,AA621),2)</f>
        <v>1.03</v>
      </c>
      <c r="AA621" s="378">
        <v>1.1000000000000001</v>
      </c>
      <c r="AD621" s="505" t="s">
        <v>498</v>
      </c>
      <c r="AE621" s="506">
        <v>0.85</v>
      </c>
      <c r="AF621" s="506">
        <f>ROUND(AVERAGE(AE621,AG621),2)</f>
        <v>0.9</v>
      </c>
      <c r="AG621" s="506">
        <v>0.95</v>
      </c>
    </row>
    <row r="622" spans="1:33" x14ac:dyDescent="0.25">
      <c r="A622" s="499">
        <f>IF(AND('Account Info'!$U$12&gt;1,'Account Info'!$T$10=TRUE),1,0)</f>
        <v>1</v>
      </c>
      <c r="B622" s="1071"/>
      <c r="C622" s="1072"/>
      <c r="D622" s="491"/>
      <c r="E622" s="492"/>
      <c r="F622" s="492"/>
      <c r="G622" s="492"/>
      <c r="H622" s="465" t="s">
        <v>410</v>
      </c>
      <c r="I622" s="498" t="s">
        <v>411</v>
      </c>
      <c r="J622" s="443">
        <f>IF(I622="Yes",0.8,1)</f>
        <v>1</v>
      </c>
      <c r="K622" s="443">
        <f>IF(I622="Yes",0.9,1)</f>
        <v>1</v>
      </c>
      <c r="L622" s="443">
        <f>IF(I622="Yes",1,1)</f>
        <v>1</v>
      </c>
      <c r="M622" s="444"/>
      <c r="N622" s="468"/>
      <c r="O622" s="468"/>
      <c r="P622" s="468"/>
      <c r="Q622" s="468"/>
      <c r="R622" s="468"/>
      <c r="S622" s="468"/>
      <c r="T622" s="468"/>
      <c r="U622" s="322"/>
      <c r="V622" s="340">
        <f>IF('Account Info'!$AA$4="Flat Rate State",IF(K622="",1,K622),IF(M622="",1,M622))</f>
        <v>1</v>
      </c>
      <c r="X622" s="405" t="s">
        <v>508</v>
      </c>
      <c r="Y622" s="378">
        <v>1.1100000000000001</v>
      </c>
      <c r="Z622" s="378">
        <f>ROUND(AVERAGE(Y622,AA622),2)</f>
        <v>1.18</v>
      </c>
      <c r="AA622" s="378">
        <v>1.25</v>
      </c>
      <c r="AD622" s="505" t="s">
        <v>500</v>
      </c>
      <c r="AE622" s="506">
        <v>0.96</v>
      </c>
      <c r="AF622" s="506">
        <f>ROUND(AVERAGE(AE622,AG622),2)</f>
        <v>1.01</v>
      </c>
      <c r="AG622" s="506">
        <v>1.05</v>
      </c>
    </row>
    <row r="623" spans="1:33" x14ac:dyDescent="0.25">
      <c r="A623" s="388">
        <f>IF('Account Info'!$T$10=TRUE,1,0)</f>
        <v>1</v>
      </c>
      <c r="B623" s="1071"/>
      <c r="C623" s="1072"/>
      <c r="D623" s="491"/>
      <c r="E623" s="492"/>
      <c r="F623" s="492"/>
      <c r="G623" s="492"/>
      <c r="H623" s="465"/>
      <c r="I623" s="496"/>
      <c r="J623" s="494"/>
      <c r="K623" s="494"/>
      <c r="L623" s="494"/>
      <c r="M623" s="467"/>
      <c r="N623" s="468"/>
      <c r="O623" s="468"/>
      <c r="P623" s="468"/>
      <c r="Q623" s="468"/>
      <c r="R623" s="468"/>
      <c r="S623" s="468"/>
      <c r="T623" s="468"/>
      <c r="U623" s="322"/>
      <c r="V623" s="340"/>
      <c r="X623" s="388"/>
      <c r="Y623" s="388"/>
      <c r="Z623" s="388"/>
      <c r="AA623" s="388"/>
      <c r="AD623" s="505" t="s">
        <v>508</v>
      </c>
      <c r="AE623" s="506">
        <v>1.06</v>
      </c>
      <c r="AF623" s="506">
        <f>ROUND(AVERAGE(AE623,AG623),2)</f>
        <v>1.1100000000000001</v>
      </c>
      <c r="AG623" s="506">
        <v>1.1499999999999999</v>
      </c>
    </row>
    <row r="624" spans="1:33" x14ac:dyDescent="0.25">
      <c r="A624" s="388">
        <f>IF('Account Info'!$T$10=TRUE,1,0)</f>
        <v>1</v>
      </c>
      <c r="B624" s="1071"/>
      <c r="C624" s="1072"/>
      <c r="D624" s="491"/>
      <c r="E624" s="492"/>
      <c r="F624" s="492"/>
      <c r="G624" s="492"/>
      <c r="H624" s="465" t="s">
        <v>713</v>
      </c>
      <c r="I624" s="939">
        <f ca="1">IF(I618="","",ROUND(I618+(J620*V622),0))</f>
        <v>7047</v>
      </c>
      <c r="J624" s="494"/>
      <c r="K624" s="494"/>
      <c r="L624" s="494"/>
      <c r="M624" s="467"/>
      <c r="N624" s="468"/>
      <c r="O624" s="468"/>
      <c r="P624" s="468"/>
      <c r="Q624" s="468"/>
      <c r="R624" s="468"/>
      <c r="S624" s="468"/>
      <c r="T624" s="468"/>
      <c r="U624" s="322"/>
      <c r="V624" s="340"/>
      <c r="X624" s="503" t="s">
        <v>698</v>
      </c>
      <c r="Y624" s="388"/>
      <c r="Z624" s="388"/>
      <c r="AA624" s="388"/>
      <c r="AD624" s="389"/>
      <c r="AE624" s="389"/>
      <c r="AF624" s="389"/>
      <c r="AG624" s="389"/>
    </row>
    <row r="625" spans="1:33" ht="15.75" thickBot="1" x14ac:dyDescent="0.3">
      <c r="A625" s="388">
        <f>IF('Account Info'!$T$10=TRUE,1,0)</f>
        <v>1</v>
      </c>
      <c r="B625" s="1073"/>
      <c r="C625" s="1074"/>
      <c r="D625" s="326"/>
      <c r="E625" s="326"/>
      <c r="F625" s="326"/>
      <c r="G625" s="326"/>
      <c r="H625" s="326"/>
      <c r="I625" s="519"/>
      <c r="J625" s="519"/>
      <c r="K625" s="519"/>
      <c r="L625" s="519"/>
      <c r="M625" s="326"/>
      <c r="N625" s="326"/>
      <c r="O625" s="326"/>
      <c r="P625" s="326"/>
      <c r="Q625" s="326"/>
      <c r="R625" s="326"/>
      <c r="S625" s="326"/>
      <c r="T625" s="326"/>
      <c r="U625" s="327"/>
      <c r="V625" s="340"/>
      <c r="X625" s="405" t="s">
        <v>712</v>
      </c>
      <c r="Y625" s="378">
        <v>0.77</v>
      </c>
      <c r="Z625" s="378">
        <f>ROUND(AVERAGE(Y625,AA625),2)</f>
        <v>0.77</v>
      </c>
      <c r="AA625" s="378">
        <v>0.77</v>
      </c>
      <c r="AD625" s="504" t="s">
        <v>676</v>
      </c>
      <c r="AE625" s="420"/>
      <c r="AF625" s="420"/>
      <c r="AG625" s="420"/>
    </row>
    <row r="626" spans="1:33" ht="18.75" x14ac:dyDescent="0.3">
      <c r="A626" s="420">
        <f>IF('Account Info'!$T$11=TRUE,1,0)</f>
        <v>1</v>
      </c>
      <c r="B626" s="470" t="s">
        <v>716</v>
      </c>
      <c r="C626" s="309"/>
      <c r="D626" s="309"/>
      <c r="E626" s="310"/>
      <c r="F626" s="309"/>
      <c r="G626" s="309"/>
      <c r="H626" s="309"/>
      <c r="I626" s="512"/>
      <c r="J626" s="512"/>
      <c r="K626" s="512"/>
      <c r="L626" s="512"/>
      <c r="M626" s="309"/>
      <c r="N626" s="309"/>
      <c r="O626" s="309"/>
      <c r="P626" s="309"/>
      <c r="Q626" s="309"/>
      <c r="R626" s="309"/>
      <c r="S626" s="309"/>
      <c r="T626" s="309"/>
      <c r="U626" s="311"/>
      <c r="V626" s="340">
        <v>1</v>
      </c>
      <c r="X626" s="405" t="s">
        <v>714</v>
      </c>
      <c r="Y626" s="378">
        <v>0.87</v>
      </c>
      <c r="Z626" s="378">
        <f>ROUND(AVERAGE(Y626,AA626),2)</f>
        <v>0.87</v>
      </c>
      <c r="AA626" s="378">
        <v>0.87</v>
      </c>
      <c r="AD626" s="505" t="s">
        <v>498</v>
      </c>
      <c r="AE626" s="506">
        <v>0.8</v>
      </c>
      <c r="AF626" s="506">
        <f>ROUND(AVERAGE(AE626,AG626),2)</f>
        <v>0.85</v>
      </c>
      <c r="AG626" s="506">
        <v>0.9</v>
      </c>
    </row>
    <row r="627" spans="1:33" x14ac:dyDescent="0.25">
      <c r="A627" s="420">
        <f>IF('Account Info'!$T$11=TRUE,1,0)</f>
        <v>1</v>
      </c>
      <c r="B627" s="1067" t="s">
        <v>371</v>
      </c>
      <c r="C627" s="1068"/>
      <c r="D627" s="348" t="s">
        <v>415</v>
      </c>
      <c r="E627" s="439"/>
      <c r="F627" s="349"/>
      <c r="G627" s="349"/>
      <c r="H627" s="453"/>
      <c r="I627" s="361" t="str">
        <f>IF('Account Info'!$AA$4="Range State","Low","")</f>
        <v>Low</v>
      </c>
      <c r="J627" s="361" t="str">
        <f>IF('Account Info'!$AA$4="Range State","Benchmark","Selection")</f>
        <v>Benchmark</v>
      </c>
      <c r="K627" s="361" t="str">
        <f>IF('Account Info'!$AA$4="Range State","High","")</f>
        <v>High</v>
      </c>
      <c r="L627" s="361" t="str">
        <f>IF('Account Info'!$AA$4="Range State","Selection","")</f>
        <v>Selection</v>
      </c>
      <c r="M627" s="440" t="s">
        <v>377</v>
      </c>
      <c r="N627" s="440"/>
      <c r="O627" s="441"/>
      <c r="P627" s="348"/>
      <c r="Q627" s="348"/>
      <c r="R627" s="348"/>
      <c r="S627" s="348"/>
      <c r="T627" s="348"/>
      <c r="U627" s="322"/>
      <c r="V627" s="340">
        <v>1</v>
      </c>
      <c r="X627" s="405" t="s">
        <v>715</v>
      </c>
      <c r="Y627" s="378">
        <v>0.95</v>
      </c>
      <c r="Z627" s="378">
        <f>ROUND(AVERAGE(Y627,AA627),2)</f>
        <v>0.95</v>
      </c>
      <c r="AA627" s="378">
        <v>0.95</v>
      </c>
      <c r="AD627" s="505" t="s">
        <v>500</v>
      </c>
      <c r="AE627" s="506">
        <v>0.91</v>
      </c>
      <c r="AF627" s="506">
        <f>ROUND(AVERAGE(AE627,AG627),2)</f>
        <v>1.01</v>
      </c>
      <c r="AG627" s="506">
        <v>1.1000000000000001</v>
      </c>
    </row>
    <row r="628" spans="1:33" x14ac:dyDescent="0.25">
      <c r="A628" s="420">
        <f>IF('Account Info'!$T$11=TRUE,1,0)</f>
        <v>1</v>
      </c>
      <c r="B628" s="1067"/>
      <c r="C628" s="1068"/>
      <c r="D628" s="1054" t="s">
        <v>418</v>
      </c>
      <c r="E628" s="1055"/>
      <c r="F628" s="1055"/>
      <c r="G628" s="1055"/>
      <c r="H628" s="1056"/>
      <c r="I628" s="443">
        <f>IF(D628="","",VLOOKUP(D628,AN130:AQ133,2,FALSE))</f>
        <v>1</v>
      </c>
      <c r="J628" s="443">
        <f>IF(D628="","",VLOOKUP(D628,AN130:AQ133,3,FALSE))</f>
        <v>1.1000000000000001</v>
      </c>
      <c r="K628" s="443">
        <f>IF(D628="","",VLOOKUP(D628,AN130:AQ133,4,FALSE))</f>
        <v>1.2</v>
      </c>
      <c r="L628" s="444">
        <f>J628</f>
        <v>1.1000000000000001</v>
      </c>
      <c r="M628" s="1057"/>
      <c r="N628" s="1058"/>
      <c r="O628" s="1058"/>
      <c r="P628" s="1058"/>
      <c r="Q628" s="1058"/>
      <c r="R628" s="1058"/>
      <c r="S628" s="1058"/>
      <c r="T628" s="1059"/>
      <c r="U628" s="322"/>
      <c r="V628" s="340">
        <f>IF('Account Info'!$AA$4="Flat Rate State",IF(J628="",1,J628),IF(L628="",1,L628))</f>
        <v>1.1000000000000001</v>
      </c>
      <c r="X628" s="405" t="s">
        <v>717</v>
      </c>
      <c r="Y628" s="378">
        <v>1</v>
      </c>
      <c r="Z628" s="378">
        <f>ROUND(AVERAGE(Y628,AA628),2)</f>
        <v>1</v>
      </c>
      <c r="AA628" s="378">
        <v>1</v>
      </c>
      <c r="AD628" s="505" t="s">
        <v>508</v>
      </c>
      <c r="AE628" s="506">
        <v>1.1100000000000001</v>
      </c>
      <c r="AF628" s="506">
        <f>ROUND(AVERAGE(AE628,AG628),2)</f>
        <v>1.18</v>
      </c>
      <c r="AG628" s="506">
        <v>1.25</v>
      </c>
    </row>
    <row r="629" spans="1:33" x14ac:dyDescent="0.25">
      <c r="A629" s="420">
        <f>IF('Account Info'!$T$11=TRUE,1,0)</f>
        <v>1</v>
      </c>
      <c r="B629" s="1067"/>
      <c r="C629" s="1068"/>
      <c r="D629" s="456"/>
      <c r="E629" s="457"/>
      <c r="F629" s="456"/>
      <c r="G629" s="456"/>
      <c r="H629" s="559"/>
      <c r="I629" s="463"/>
      <c r="J629" s="463"/>
      <c r="K629" s="460"/>
      <c r="L629" s="460" t="str">
        <f>IF(AND('Account Info'!$AA$4="Range State",L628&lt;&gt;"",OR(L628&lt;I628,L628&gt;K628)),"Factor is out of range","")</f>
        <v/>
      </c>
      <c r="M629" s="1051"/>
      <c r="N629" s="1052"/>
      <c r="O629" s="1052"/>
      <c r="P629" s="1052"/>
      <c r="Q629" s="1052"/>
      <c r="R629" s="1052"/>
      <c r="S629" s="1052"/>
      <c r="T629" s="1053"/>
      <c r="U629" s="322"/>
      <c r="V629" s="340">
        <v>1</v>
      </c>
      <c r="X629" s="503" t="s">
        <v>699</v>
      </c>
      <c r="Y629" s="388"/>
      <c r="Z629" s="388"/>
      <c r="AA629" s="388"/>
      <c r="AD629" s="362"/>
      <c r="AE629" s="362"/>
      <c r="AF629" s="362"/>
      <c r="AG629" s="362"/>
    </row>
    <row r="630" spans="1:33" x14ac:dyDescent="0.25">
      <c r="A630" s="420">
        <f>IF('Account Info'!$T$11=TRUE,1,0)</f>
        <v>1</v>
      </c>
      <c r="B630" s="1067"/>
      <c r="C630" s="1068"/>
      <c r="D630" s="348" t="s">
        <v>424</v>
      </c>
      <c r="E630" s="439"/>
      <c r="F630" s="349"/>
      <c r="G630" s="349"/>
      <c r="H630" s="453"/>
      <c r="I630" s="361" t="str">
        <f>IF('Account Info'!$AA$4="Range State","Low","")</f>
        <v>Low</v>
      </c>
      <c r="J630" s="361" t="str">
        <f>IF('Account Info'!$AA$4="Range State","Benchmark","Selection")</f>
        <v>Benchmark</v>
      </c>
      <c r="K630" s="361" t="str">
        <f>IF('Account Info'!$AA$4="Range State","High","")</f>
        <v>High</v>
      </c>
      <c r="L630" s="361" t="str">
        <f>IF('Account Info'!$AA$4="Range State","Selection","")</f>
        <v>Selection</v>
      </c>
      <c r="M630" s="440" t="s">
        <v>377</v>
      </c>
      <c r="N630" s="440"/>
      <c r="O630" s="441"/>
      <c r="P630" s="348"/>
      <c r="Q630" s="348"/>
      <c r="R630" s="348"/>
      <c r="S630" s="348"/>
      <c r="T630" s="348"/>
      <c r="U630" s="322"/>
      <c r="V630" s="340">
        <v>1</v>
      </c>
      <c r="X630" s="405" t="s">
        <v>417</v>
      </c>
      <c r="Y630" s="378">
        <v>0.85</v>
      </c>
      <c r="Z630" s="378">
        <f>ROUND(AVERAGE(Y630,AA630),2)</f>
        <v>0.9</v>
      </c>
      <c r="AA630" s="378">
        <v>0.95</v>
      </c>
      <c r="AD630" s="362"/>
      <c r="AE630" s="362"/>
      <c r="AF630" s="362"/>
      <c r="AG630" s="362"/>
    </row>
    <row r="631" spans="1:33" x14ac:dyDescent="0.25">
      <c r="A631" s="420">
        <f>IF('Account Info'!$T$11=TRUE,1,0)</f>
        <v>1</v>
      </c>
      <c r="B631" s="1067"/>
      <c r="C631" s="1068"/>
      <c r="D631" s="1054" t="s">
        <v>427</v>
      </c>
      <c r="E631" s="1055"/>
      <c r="F631" s="1055"/>
      <c r="G631" s="1055"/>
      <c r="H631" s="1056"/>
      <c r="I631" s="443">
        <f>IF(D631="","",VLOOKUP(D631,AN135:AQ138,2,FALSE))</f>
        <v>1</v>
      </c>
      <c r="J631" s="443">
        <f>IF(D631="","",VLOOKUP(D631,AN135:AQ138,3,FALSE))</f>
        <v>1.1299999999999999</v>
      </c>
      <c r="K631" s="443">
        <f>IF(D631="","",VLOOKUP(D631,AN135:AQ138,4,FALSE))</f>
        <v>1.25</v>
      </c>
      <c r="L631" s="444">
        <f>J631</f>
        <v>1.1299999999999999</v>
      </c>
      <c r="M631" s="1057"/>
      <c r="N631" s="1058"/>
      <c r="O631" s="1058"/>
      <c r="P631" s="1058"/>
      <c r="Q631" s="1058"/>
      <c r="R631" s="1058"/>
      <c r="S631" s="1058"/>
      <c r="T631" s="1059"/>
      <c r="U631" s="322"/>
      <c r="V631" s="340">
        <f>IF('Account Info'!$AA$4="Flat Rate State",IF(J631="",1,J631),IF(L631="",1,L631))</f>
        <v>1.1299999999999999</v>
      </c>
      <c r="X631" s="405" t="s">
        <v>418</v>
      </c>
      <c r="Y631" s="378">
        <v>0.96</v>
      </c>
      <c r="Z631" s="378">
        <f>ROUND(AVERAGE(Y631,AA631),2)</f>
        <v>1.03</v>
      </c>
      <c r="AA631" s="378">
        <v>1.1000000000000001</v>
      </c>
      <c r="AD631" s="362"/>
      <c r="AE631" s="362"/>
      <c r="AF631" s="362"/>
      <c r="AG631" s="362"/>
    </row>
    <row r="632" spans="1:33" x14ac:dyDescent="0.25">
      <c r="A632" s="420">
        <f>IF('Account Info'!$T$11=TRUE,1,0)</f>
        <v>1</v>
      </c>
      <c r="B632" s="1067"/>
      <c r="C632" s="1068"/>
      <c r="D632" s="456"/>
      <c r="E632" s="457"/>
      <c r="F632" s="456"/>
      <c r="G632" s="456"/>
      <c r="H632" s="559"/>
      <c r="I632" s="463"/>
      <c r="J632" s="463"/>
      <c r="K632" s="460"/>
      <c r="L632" s="460" t="str">
        <f>IF(AND('Account Info'!$AA$4="Range State",L631&lt;&gt;"",OR(L631&lt;I631,L631&gt;K631)),"Factor is out of range","")</f>
        <v/>
      </c>
      <c r="M632" s="1051"/>
      <c r="N632" s="1052"/>
      <c r="O632" s="1052"/>
      <c r="P632" s="1052"/>
      <c r="Q632" s="1052"/>
      <c r="R632" s="1052"/>
      <c r="S632" s="1052"/>
      <c r="T632" s="1053"/>
      <c r="U632" s="322"/>
      <c r="V632" s="340">
        <v>1</v>
      </c>
      <c r="X632" s="405" t="s">
        <v>422</v>
      </c>
      <c r="Y632" s="378">
        <v>1.1100000000000001</v>
      </c>
      <c r="Z632" s="378">
        <f>ROUND(AVERAGE(Y632,AA632),2)</f>
        <v>1.1299999999999999</v>
      </c>
      <c r="AA632" s="378">
        <v>1.1499999999999999</v>
      </c>
      <c r="AD632" s="362"/>
      <c r="AE632" s="362"/>
      <c r="AF632" s="362"/>
      <c r="AG632" s="362"/>
    </row>
    <row r="633" spans="1:33" x14ac:dyDescent="0.25">
      <c r="A633" s="420">
        <f>IF('Account Info'!$T$11=TRUE,1,0)</f>
        <v>1</v>
      </c>
      <c r="B633" s="1067"/>
      <c r="C633" s="1068"/>
      <c r="D633" s="348" t="s">
        <v>718</v>
      </c>
      <c r="E633" s="439"/>
      <c r="F633" s="349"/>
      <c r="G633" s="349"/>
      <c r="H633" s="453"/>
      <c r="I633" s="361" t="str">
        <f>IF('Account Info'!$AA$4="Range State","Low","")</f>
        <v>Low</v>
      </c>
      <c r="J633" s="361" t="str">
        <f>IF('Account Info'!$AA$4="Range State","Benchmark","Selection")</f>
        <v>Benchmark</v>
      </c>
      <c r="K633" s="361" t="str">
        <f>IF('Account Info'!$AA$4="Range State","High","")</f>
        <v>High</v>
      </c>
      <c r="L633" s="361" t="str">
        <f>IF('Account Info'!$AA$4="Range State","Selection","")</f>
        <v>Selection</v>
      </c>
      <c r="M633" s="440" t="s">
        <v>377</v>
      </c>
      <c r="N633" s="440"/>
      <c r="O633" s="441"/>
      <c r="P633" s="348"/>
      <c r="Q633" s="348"/>
      <c r="R633" s="348"/>
      <c r="S633" s="348"/>
      <c r="T633" s="348"/>
      <c r="U633" s="322"/>
      <c r="V633" s="340">
        <v>1</v>
      </c>
      <c r="X633" s="503" t="s">
        <v>700</v>
      </c>
      <c r="Y633" s="388"/>
      <c r="Z633" s="388"/>
      <c r="AA633" s="388"/>
      <c r="AD633" s="504" t="s">
        <v>719</v>
      </c>
      <c r="AE633" s="420"/>
      <c r="AF633" s="420"/>
      <c r="AG633" s="420"/>
    </row>
    <row r="634" spans="1:33" x14ac:dyDescent="0.25">
      <c r="A634" s="420">
        <f>IF('Account Info'!$T$11=TRUE,1,0)</f>
        <v>1</v>
      </c>
      <c r="B634" s="1067"/>
      <c r="C634" s="1068"/>
      <c r="D634" s="1054" t="s">
        <v>438</v>
      </c>
      <c r="E634" s="1055"/>
      <c r="F634" s="1055"/>
      <c r="G634" s="1055"/>
      <c r="H634" s="1056"/>
      <c r="I634" s="443">
        <f>IF(D634="","",VLOOKUP(D634,AN140:AQ143,2,FALSE))</f>
        <v>1</v>
      </c>
      <c r="J634" s="443">
        <f>IF(D634="","",VLOOKUP(D634,AN140:AQ143,3,FALSE))</f>
        <v>1.1299999999999999</v>
      </c>
      <c r="K634" s="443">
        <f>IF(D634="","",VLOOKUP(D634,AN140:AQ143,4,FALSE))</f>
        <v>1.25</v>
      </c>
      <c r="L634" s="444">
        <f>J634</f>
        <v>1.1299999999999999</v>
      </c>
      <c r="M634" s="1057"/>
      <c r="N634" s="1058"/>
      <c r="O634" s="1058"/>
      <c r="P634" s="1058"/>
      <c r="Q634" s="1058"/>
      <c r="R634" s="1058"/>
      <c r="S634" s="1058"/>
      <c r="T634" s="1059"/>
      <c r="U634" s="322"/>
      <c r="V634" s="340">
        <f>IF('Account Info'!$AA$4="Flat Rate State",IF(J634="",1,J634),IF(L634="",1,L634))</f>
        <v>1.1299999999999999</v>
      </c>
      <c r="X634" s="405" t="s">
        <v>417</v>
      </c>
      <c r="Y634" s="378">
        <v>0.85</v>
      </c>
      <c r="Z634" s="378">
        <f>ROUND(AVERAGE(Y634,AA634),2)</f>
        <v>0.9</v>
      </c>
      <c r="AA634" s="378">
        <v>0.95</v>
      </c>
      <c r="AD634" s="505" t="s">
        <v>417</v>
      </c>
      <c r="AE634" s="506">
        <v>0.75</v>
      </c>
      <c r="AF634" s="506">
        <f>ROUND(AVERAGE(AE634,AG634),2)</f>
        <v>0.87</v>
      </c>
      <c r="AG634" s="506">
        <v>0.99</v>
      </c>
    </row>
    <row r="635" spans="1:33" x14ac:dyDescent="0.25">
      <c r="A635" s="420">
        <f>IF('Account Info'!$T$11=TRUE,1,0)</f>
        <v>1</v>
      </c>
      <c r="B635" s="1067"/>
      <c r="C635" s="1068"/>
      <c r="D635" s="456"/>
      <c r="E635" s="457"/>
      <c r="F635" s="456"/>
      <c r="G635" s="456"/>
      <c r="H635" s="456"/>
      <c r="I635" s="464"/>
      <c r="J635" s="459"/>
      <c r="K635" s="460"/>
      <c r="L635" s="460" t="str">
        <f>IF(AND('Account Info'!$AA$4="Range State",L634&lt;&gt;"",OR(L634&lt;I634,L634&gt;K634)),"Factor is out of range","")</f>
        <v/>
      </c>
      <c r="M635" s="1051"/>
      <c r="N635" s="1052"/>
      <c r="O635" s="1052"/>
      <c r="P635" s="1052"/>
      <c r="Q635" s="1052"/>
      <c r="R635" s="1052"/>
      <c r="S635" s="1052"/>
      <c r="T635" s="1053"/>
      <c r="U635" s="322"/>
      <c r="V635" s="340">
        <v>1</v>
      </c>
      <c r="X635" s="405" t="s">
        <v>486</v>
      </c>
      <c r="Y635" s="378">
        <v>0.96</v>
      </c>
      <c r="Z635" s="378">
        <f>ROUND(AVERAGE(Y635,AA635),2)</f>
        <v>1.03</v>
      </c>
      <c r="AA635" s="378">
        <v>1.1000000000000001</v>
      </c>
      <c r="AD635" s="505" t="s">
        <v>418</v>
      </c>
      <c r="AE635" s="506">
        <v>1</v>
      </c>
      <c r="AF635" s="506">
        <f>ROUND(AVERAGE(AE635,AG635),2)</f>
        <v>1.1299999999999999</v>
      </c>
      <c r="AG635" s="506">
        <v>1.25</v>
      </c>
    </row>
    <row r="636" spans="1:33" x14ac:dyDescent="0.25">
      <c r="A636" s="420">
        <f>IF('Account Info'!$T$11=TRUE,1,0)</f>
        <v>1</v>
      </c>
      <c r="B636" s="1067"/>
      <c r="C636" s="1068"/>
      <c r="D636" s="348" t="s">
        <v>446</v>
      </c>
      <c r="E636" s="439"/>
      <c r="F636" s="349"/>
      <c r="G636" s="349"/>
      <c r="H636" s="453"/>
      <c r="I636" s="361" t="str">
        <f>IF('Account Info'!$AA$4="Range State","Low","")</f>
        <v>Low</v>
      </c>
      <c r="J636" s="361" t="str">
        <f>IF('Account Info'!$AA$4="Range State","Benchmark","Selection")</f>
        <v>Benchmark</v>
      </c>
      <c r="K636" s="361" t="str">
        <f>IF('Account Info'!$AA$4="Range State","High","")</f>
        <v>High</v>
      </c>
      <c r="L636" s="361" t="str">
        <f>IF('Account Info'!$AA$4="Range State","Selection","")</f>
        <v>Selection</v>
      </c>
      <c r="M636" s="440" t="s">
        <v>377</v>
      </c>
      <c r="N636" s="440"/>
      <c r="O636" s="441"/>
      <c r="P636" s="348"/>
      <c r="Q636" s="348"/>
      <c r="R636" s="348"/>
      <c r="S636" s="348"/>
      <c r="T636" s="348"/>
      <c r="U636" s="322"/>
      <c r="V636" s="340">
        <v>1</v>
      </c>
      <c r="X636" s="405" t="s">
        <v>422</v>
      </c>
      <c r="Y636" s="378">
        <v>1.1100000000000001</v>
      </c>
      <c r="Z636" s="378">
        <f>ROUND(AVERAGE(Y636,AA636),2)</f>
        <v>1.18</v>
      </c>
      <c r="AA636" s="378">
        <v>1.25</v>
      </c>
      <c r="AD636" s="505" t="s">
        <v>420</v>
      </c>
      <c r="AE636" s="506">
        <v>1.26</v>
      </c>
      <c r="AF636" s="506">
        <f>ROUND(AVERAGE(AE636,AG636),2)</f>
        <v>1.38</v>
      </c>
      <c r="AG636" s="506">
        <v>1.5</v>
      </c>
    </row>
    <row r="637" spans="1:33" x14ac:dyDescent="0.25">
      <c r="A637" s="420">
        <f>IF('Account Info'!$T$11=TRUE,1,0)</f>
        <v>1</v>
      </c>
      <c r="B637" s="1067"/>
      <c r="C637" s="1068"/>
      <c r="D637" s="1054" t="s">
        <v>418</v>
      </c>
      <c r="E637" s="1055"/>
      <c r="F637" s="1055"/>
      <c r="G637" s="1055"/>
      <c r="H637" s="1056"/>
      <c r="I637" s="443">
        <f>IF(D637="","",VLOOKUP(D637,AN152:AQ155,2,FALSE))</f>
        <v>1</v>
      </c>
      <c r="J637" s="443">
        <f>IF(D637="","",VLOOKUP(D637,AN152:AQ155,3,FALSE))</f>
        <v>1.1299999999999999</v>
      </c>
      <c r="K637" s="443">
        <f>IF(D637="","",VLOOKUP(D637,AN152:AQ155,4,FALSE))</f>
        <v>1.25</v>
      </c>
      <c r="L637" s="444">
        <f>J637</f>
        <v>1.1299999999999999</v>
      </c>
      <c r="M637" s="1057"/>
      <c r="N637" s="1058"/>
      <c r="O637" s="1058"/>
      <c r="P637" s="1058"/>
      <c r="Q637" s="1058"/>
      <c r="R637" s="1058"/>
      <c r="S637" s="1058"/>
      <c r="T637" s="1059"/>
      <c r="U637" s="322"/>
      <c r="V637" s="340">
        <f>IF('Account Info'!$AA$4="Flat Rate State",IF(J637="",1,J637),IF(L637="",1,L637))</f>
        <v>1.1299999999999999</v>
      </c>
      <c r="X637" s="362"/>
      <c r="Y637" s="362"/>
      <c r="Z637" s="362"/>
      <c r="AA637" s="362"/>
      <c r="AD637" s="505" t="s">
        <v>422</v>
      </c>
      <c r="AE637" s="506">
        <v>1.51</v>
      </c>
      <c r="AF637" s="506">
        <f>ROUND(AVERAGE(AE637,AG637),2)</f>
        <v>1.63</v>
      </c>
      <c r="AG637" s="506">
        <v>1.75</v>
      </c>
    </row>
    <row r="638" spans="1:33" x14ac:dyDescent="0.25">
      <c r="A638" s="420">
        <f>IF('Account Info'!$T$11=TRUE,1,0)</f>
        <v>1</v>
      </c>
      <c r="B638" s="1067"/>
      <c r="C638" s="1068"/>
      <c r="D638" s="456"/>
      <c r="E638" s="457"/>
      <c r="F638" s="456"/>
      <c r="G638" s="456"/>
      <c r="H638" s="456"/>
      <c r="I638" s="464"/>
      <c r="J638" s="459"/>
      <c r="K638" s="460"/>
      <c r="L638" s="460" t="str">
        <f>IF(AND('Account Info'!$AA$4="Range State",L637&lt;&gt;"",OR(L637&lt;I637,L637&gt;K637)),"Factor is out of range","")</f>
        <v/>
      </c>
      <c r="M638" s="1051"/>
      <c r="N638" s="1052"/>
      <c r="O638" s="1052"/>
      <c r="P638" s="1052"/>
      <c r="Q638" s="1052"/>
      <c r="R638" s="1052"/>
      <c r="S638" s="1052"/>
      <c r="T638" s="1053"/>
      <c r="U638" s="322"/>
      <c r="V638" s="340">
        <v>1</v>
      </c>
      <c r="X638" s="362"/>
      <c r="Y638" s="362"/>
      <c r="Z638" s="362"/>
      <c r="AA638" s="362"/>
      <c r="AD638" s="316"/>
      <c r="AE638" s="316"/>
      <c r="AF638" s="316"/>
      <c r="AG638" s="316"/>
    </row>
    <row r="639" spans="1:33" x14ac:dyDescent="0.25">
      <c r="A639" s="420">
        <f>IF('Account Info'!$T$11=TRUE,1,0)</f>
        <v>1</v>
      </c>
      <c r="B639" s="1067"/>
      <c r="C639" s="1068"/>
      <c r="D639" s="348" t="s">
        <v>720</v>
      </c>
      <c r="E639" s="439"/>
      <c r="F639" s="349"/>
      <c r="G639" s="349"/>
      <c r="H639" s="453"/>
      <c r="I639" s="361" t="str">
        <f>IF('Account Info'!$AA$4="Range State","Low","")</f>
        <v>Low</v>
      </c>
      <c r="J639" s="361" t="str">
        <f>IF('Account Info'!$AA$4="Range State","Benchmark","Selection")</f>
        <v>Benchmark</v>
      </c>
      <c r="K639" s="361" t="str">
        <f>IF('Account Info'!$AA$4="Range State","High","")</f>
        <v>High</v>
      </c>
      <c r="L639" s="361" t="str">
        <f>IF('Account Info'!$AA$4="Range State","Selection","")</f>
        <v>Selection</v>
      </c>
      <c r="M639" s="440" t="s">
        <v>377</v>
      </c>
      <c r="N639" s="440"/>
      <c r="O639" s="441"/>
      <c r="P639" s="348"/>
      <c r="Q639" s="348"/>
      <c r="R639" s="348"/>
      <c r="S639" s="348"/>
      <c r="T639" s="348"/>
      <c r="U639" s="322"/>
      <c r="V639" s="340">
        <v>1</v>
      </c>
      <c r="X639" s="362"/>
      <c r="Y639" s="362"/>
      <c r="Z639" s="362"/>
      <c r="AA639" s="362"/>
      <c r="AD639" s="316"/>
      <c r="AE639" s="316"/>
      <c r="AF639" s="316"/>
      <c r="AG639" s="316"/>
    </row>
    <row r="640" spans="1:33" x14ac:dyDescent="0.25">
      <c r="A640" s="420">
        <f>IF('Account Info'!$T$11=TRUE,1,0)</f>
        <v>1</v>
      </c>
      <c r="B640" s="1067"/>
      <c r="C640" s="1068"/>
      <c r="D640" s="1054" t="s">
        <v>456</v>
      </c>
      <c r="E640" s="1055"/>
      <c r="F640" s="1055"/>
      <c r="G640" s="1055"/>
      <c r="H640" s="1056"/>
      <c r="I640" s="443">
        <f>IF(D640="","",VLOOKUP(D640,AN157:AQ160,2,FALSE))</f>
        <v>1</v>
      </c>
      <c r="J640" s="443">
        <f>IF(D640="","",VLOOKUP(D640,AN157:AQ160,3,FALSE))</f>
        <v>1.1299999999999999</v>
      </c>
      <c r="K640" s="443">
        <f>IF(D640="","",VLOOKUP(D640,AN157:AQ160,4,FALSE))</f>
        <v>1.25</v>
      </c>
      <c r="L640" s="444">
        <f>J640</f>
        <v>1.1299999999999999</v>
      </c>
      <c r="M640" s="1057"/>
      <c r="N640" s="1058"/>
      <c r="O640" s="1058"/>
      <c r="P640" s="1058"/>
      <c r="Q640" s="1058"/>
      <c r="R640" s="1058"/>
      <c r="S640" s="1058"/>
      <c r="T640" s="1059"/>
      <c r="U640" s="322"/>
      <c r="V640" s="340">
        <f>IF('Account Info'!$AA$4="Flat Rate State",IF(J640="",1,J640),IF(L640="",1,L640))</f>
        <v>1.1299999999999999</v>
      </c>
      <c r="X640" s="316"/>
      <c r="Y640" s="316"/>
      <c r="Z640" s="316"/>
      <c r="AA640" s="316"/>
      <c r="AB640" s="316"/>
      <c r="AC640" s="316"/>
      <c r="AD640" s="316"/>
      <c r="AE640" s="316"/>
      <c r="AF640" s="316"/>
      <c r="AG640" s="316"/>
    </row>
    <row r="641" spans="1:33" x14ac:dyDescent="0.25">
      <c r="A641" s="420">
        <f>IF('Account Info'!$T$11=TRUE,1,0)</f>
        <v>1</v>
      </c>
      <c r="B641" s="1067"/>
      <c r="C641" s="1068"/>
      <c r="D641" s="456"/>
      <c r="E641" s="457"/>
      <c r="F641" s="456"/>
      <c r="G641" s="456"/>
      <c r="H641" s="456"/>
      <c r="I641" s="464"/>
      <c r="J641" s="459"/>
      <c r="K641" s="460"/>
      <c r="L641" s="460" t="str">
        <f>IF(AND('Account Info'!$AA$4="Range State",L640&lt;&gt;"",OR(L640&lt;I640,L640&gt;K640)),"Factor is out of range","")</f>
        <v/>
      </c>
      <c r="M641" s="1051"/>
      <c r="N641" s="1052"/>
      <c r="O641" s="1052"/>
      <c r="P641" s="1052"/>
      <c r="Q641" s="1052"/>
      <c r="R641" s="1052"/>
      <c r="S641" s="1052"/>
      <c r="T641" s="1053"/>
      <c r="U641" s="322"/>
      <c r="V641" s="340">
        <v>1</v>
      </c>
      <c r="X641" s="316"/>
      <c r="Y641" s="316"/>
      <c r="Z641" s="316"/>
      <c r="AA641" s="316"/>
      <c r="AB641" s="316"/>
      <c r="AC641" s="316"/>
      <c r="AD641" s="316"/>
      <c r="AE641" s="316"/>
      <c r="AF641" s="316"/>
      <c r="AG641" s="316"/>
    </row>
    <row r="642" spans="1:33" x14ac:dyDescent="0.25">
      <c r="A642" s="420">
        <f>IF('Account Info'!$T$11=TRUE,1,0)</f>
        <v>1</v>
      </c>
      <c r="B642" s="1067"/>
      <c r="C642" s="1068"/>
      <c r="D642" s="348" t="s">
        <v>461</v>
      </c>
      <c r="E642" s="439"/>
      <c r="F642" s="349"/>
      <c r="G642" s="349"/>
      <c r="H642" s="453"/>
      <c r="I642" s="361" t="str">
        <f>IF('Account Info'!$AA$4="Range State","Low","")</f>
        <v>Low</v>
      </c>
      <c r="J642" s="361" t="str">
        <f>IF('Account Info'!$AA$4="Range State","Benchmark","Selection")</f>
        <v>Benchmark</v>
      </c>
      <c r="K642" s="361" t="str">
        <f>IF('Account Info'!$AA$4="Range State","High","")</f>
        <v>High</v>
      </c>
      <c r="L642" s="361" t="str">
        <f>IF('Account Info'!$AA$4="Range State","Selection","")</f>
        <v>Selection</v>
      </c>
      <c r="M642" s="440" t="s">
        <v>377</v>
      </c>
      <c r="N642" s="440"/>
      <c r="O642" s="441"/>
      <c r="P642" s="348"/>
      <c r="Q642" s="348"/>
      <c r="R642" s="348"/>
      <c r="S642" s="348"/>
      <c r="T642" s="348"/>
      <c r="U642" s="322"/>
      <c r="V642" s="340">
        <v>1</v>
      </c>
      <c r="X642" s="316"/>
      <c r="Y642" s="316"/>
      <c r="Z642" s="316"/>
      <c r="AA642" s="316"/>
      <c r="AB642" s="316"/>
      <c r="AC642" s="316"/>
      <c r="AD642" s="316"/>
      <c r="AE642" s="316"/>
      <c r="AF642" s="316"/>
      <c r="AG642" s="316"/>
    </row>
    <row r="643" spans="1:33" x14ac:dyDescent="0.25">
      <c r="A643" s="420">
        <f>IF('Account Info'!$T$11=TRUE,1,0)</f>
        <v>1</v>
      </c>
      <c r="B643" s="1067"/>
      <c r="C643" s="1068"/>
      <c r="D643" s="1054" t="s">
        <v>418</v>
      </c>
      <c r="E643" s="1055"/>
      <c r="F643" s="1055"/>
      <c r="G643" s="1055"/>
      <c r="H643" s="1056"/>
      <c r="I643" s="443">
        <f>IF(D643="","",VLOOKUP(D643,AN162:AQ165,2,FALSE))</f>
        <v>1</v>
      </c>
      <c r="J643" s="443">
        <f>IF(D643="","",VLOOKUP(D643,AN162:AQ165,3,FALSE))</f>
        <v>1.1299999999999999</v>
      </c>
      <c r="K643" s="443">
        <f>IF(D643="","",VLOOKUP(D643,AN162:AQ165,4,FALSE))</f>
        <v>1.25</v>
      </c>
      <c r="L643" s="444">
        <f>J643</f>
        <v>1.1299999999999999</v>
      </c>
      <c r="M643" s="1057"/>
      <c r="N643" s="1058"/>
      <c r="O643" s="1058"/>
      <c r="P643" s="1058"/>
      <c r="Q643" s="1058"/>
      <c r="R643" s="1058"/>
      <c r="S643" s="1058"/>
      <c r="T643" s="1059"/>
      <c r="U643" s="322"/>
      <c r="V643" s="340">
        <f>IF('Account Info'!$AA$4="Flat Rate State",IF(J643="",1,J643),IF(L643="",1,L643))</f>
        <v>1.1299999999999999</v>
      </c>
      <c r="X643" s="316"/>
      <c r="Y643" s="316"/>
      <c r="Z643" s="316"/>
      <c r="AA643" s="316"/>
      <c r="AB643" s="316"/>
      <c r="AC643" s="316"/>
      <c r="AD643" s="316"/>
      <c r="AE643" s="316"/>
      <c r="AF643" s="316"/>
      <c r="AG643" s="316"/>
    </row>
    <row r="644" spans="1:33" x14ac:dyDescent="0.25">
      <c r="A644" s="420">
        <f>IF('Account Info'!$T$11=TRUE,1,0)</f>
        <v>1</v>
      </c>
      <c r="B644" s="1067"/>
      <c r="C644" s="1068"/>
      <c r="D644" s="461"/>
      <c r="E644" s="462"/>
      <c r="F644" s="462"/>
      <c r="G644" s="462"/>
      <c r="H644" s="462"/>
      <c r="I644" s="463"/>
      <c r="J644" s="463"/>
      <c r="K644" s="460"/>
      <c r="L644" s="460" t="str">
        <f>IF(AND('Account Info'!$AA$4="Range State",L643&lt;&gt;"",OR(L643&lt;I643,L643&gt;K643)),"Factor is out of range","")</f>
        <v/>
      </c>
      <c r="M644" s="1051"/>
      <c r="N644" s="1052"/>
      <c r="O644" s="1052"/>
      <c r="P644" s="1052"/>
      <c r="Q644" s="1052"/>
      <c r="R644" s="1052"/>
      <c r="S644" s="1052"/>
      <c r="T644" s="1053"/>
      <c r="U644" s="322"/>
      <c r="V644" s="340">
        <v>1</v>
      </c>
      <c r="X644" s="316"/>
      <c r="Y644" s="316"/>
      <c r="Z644" s="316"/>
      <c r="AA644" s="316"/>
      <c r="AB644" s="316"/>
      <c r="AC644" s="316"/>
      <c r="AD644" s="316"/>
      <c r="AE644" s="316"/>
      <c r="AF644" s="316"/>
      <c r="AG644" s="316"/>
    </row>
    <row r="645" spans="1:33" x14ac:dyDescent="0.25">
      <c r="A645" s="420">
        <f>IF('Account Info'!$T$11=TRUE,1,0)</f>
        <v>1</v>
      </c>
      <c r="B645" s="1067"/>
      <c r="C645" s="1068"/>
      <c r="D645" s="461"/>
      <c r="E645" s="462"/>
      <c r="F645" s="462"/>
      <c r="G645" s="462"/>
      <c r="J645" s="463"/>
      <c r="K645" s="463"/>
      <c r="L645" s="463"/>
      <c r="M645" s="467"/>
      <c r="N645" s="468"/>
      <c r="O645" s="468"/>
      <c r="P645" s="468"/>
      <c r="Q645" s="468"/>
      <c r="R645" s="468"/>
      <c r="S645" s="468"/>
      <c r="T645" s="468"/>
      <c r="U645" s="322"/>
      <c r="V645" s="458" t="s">
        <v>721</v>
      </c>
      <c r="W645" s="939">
        <f ca="1">IF(T45="","",T45*PRODUCT(V626:V643))</f>
        <v>1997.1062123514976</v>
      </c>
      <c r="X645" s="316"/>
      <c r="Y645" s="316"/>
      <c r="Z645" s="316"/>
      <c r="AA645" s="316"/>
      <c r="AB645" s="316"/>
      <c r="AC645" s="316"/>
      <c r="AD645" s="316"/>
      <c r="AE645" s="316"/>
      <c r="AF645" s="316"/>
      <c r="AG645" s="316"/>
    </row>
    <row r="646" spans="1:33" ht="15.75" thickBot="1" x14ac:dyDescent="0.3">
      <c r="A646" s="420">
        <f>IF('Account Info'!$T$11=TRUE,1,0)</f>
        <v>1</v>
      </c>
      <c r="B646" s="1069"/>
      <c r="C646" s="1070"/>
      <c r="D646" s="326"/>
      <c r="E646" s="326"/>
      <c r="F646" s="326"/>
      <c r="G646" s="326"/>
      <c r="H646" s="326"/>
      <c r="I646" s="326"/>
      <c r="J646" s="326"/>
      <c r="K646" s="326"/>
      <c r="L646" s="326"/>
      <c r="M646" s="326"/>
      <c r="N646" s="326"/>
      <c r="O646" s="326"/>
      <c r="P646" s="326"/>
      <c r="Q646" s="326"/>
      <c r="R646" s="326"/>
      <c r="S646" s="326"/>
      <c r="T646" s="326"/>
      <c r="U646" s="327"/>
      <c r="V646" s="340"/>
      <c r="X646" s="316"/>
      <c r="Y646" s="316"/>
      <c r="Z646" s="316"/>
      <c r="AA646" s="316"/>
      <c r="AB646" s="316"/>
      <c r="AC646" s="316"/>
      <c r="AD646" s="316"/>
      <c r="AE646" s="316"/>
      <c r="AF646" s="316"/>
      <c r="AG646" s="316"/>
    </row>
    <row r="647" spans="1:33" ht="19.5" thickBot="1" x14ac:dyDescent="0.35">
      <c r="A647" s="420">
        <f>IF('Account Info'!$T$11=TRUE,1,0)</f>
        <v>1</v>
      </c>
      <c r="B647" s="470" t="s">
        <v>722</v>
      </c>
      <c r="C647" s="309"/>
      <c r="D647" s="310"/>
      <c r="E647" s="310"/>
      <c r="F647" s="310"/>
      <c r="G647" s="310"/>
      <c r="H647" s="310"/>
      <c r="I647" s="501"/>
      <c r="J647" s="501"/>
      <c r="K647" s="501"/>
      <c r="L647" s="501"/>
      <c r="M647" s="310"/>
      <c r="N647" s="310"/>
      <c r="O647" s="310"/>
      <c r="P647" s="310"/>
      <c r="Q647" s="310"/>
      <c r="R647" s="310"/>
      <c r="S647" s="310"/>
      <c r="T647" s="310"/>
      <c r="U647" s="311"/>
      <c r="X647" s="316"/>
      <c r="Y647" s="316"/>
      <c r="Z647" s="316"/>
      <c r="AA647" s="316"/>
      <c r="AB647" s="316"/>
      <c r="AC647" s="316"/>
    </row>
    <row r="648" spans="1:33" x14ac:dyDescent="0.25">
      <c r="A648" s="420">
        <f>IF('Account Info'!$T$11=TRUE,1,0)</f>
        <v>1</v>
      </c>
      <c r="B648" s="317"/>
      <c r="C648" s="321"/>
      <c r="D648" s="320"/>
      <c r="E648" s="320"/>
      <c r="F648" s="320"/>
      <c r="G648" s="320"/>
      <c r="H648" s="560" t="s">
        <v>393</v>
      </c>
      <c r="I648" s="472">
        <v>0.8</v>
      </c>
      <c r="J648" s="473">
        <v>1.25</v>
      </c>
      <c r="K648" s="949">
        <v>1</v>
      </c>
      <c r="L648" s="474"/>
      <c r="M648" s="320"/>
      <c r="N648" s="320"/>
      <c r="O648" s="320"/>
      <c r="P648" s="320"/>
      <c r="Q648" s="320"/>
      <c r="R648" s="320"/>
      <c r="S648" s="320"/>
      <c r="T648" s="320"/>
      <c r="U648" s="322"/>
      <c r="X648" s="316"/>
      <c r="Y648" s="316"/>
      <c r="Z648" s="316"/>
      <c r="AA648" s="316"/>
      <c r="AB648" s="316"/>
      <c r="AC648" s="316"/>
    </row>
    <row r="649" spans="1:33" x14ac:dyDescent="0.25">
      <c r="A649" s="420">
        <f>IF('Account Info'!$T$11=TRUE,1,0)</f>
        <v>1</v>
      </c>
      <c r="B649" s="317"/>
      <c r="C649" s="321"/>
      <c r="D649" s="320"/>
      <c r="E649" s="320"/>
      <c r="F649" s="320"/>
      <c r="G649" s="320"/>
      <c r="H649" s="561" t="s">
        <v>394</v>
      </c>
      <c r="I649" s="476">
        <v>0.8</v>
      </c>
      <c r="J649" s="477">
        <v>1.25</v>
      </c>
      <c r="K649" s="953">
        <v>1</v>
      </c>
      <c r="L649" s="474"/>
      <c r="M649" s="320"/>
      <c r="N649" s="320"/>
      <c r="O649" s="320"/>
      <c r="P649" s="320"/>
      <c r="Q649" s="320"/>
      <c r="R649" s="320"/>
      <c r="S649" s="320"/>
      <c r="T649" s="320"/>
      <c r="U649" s="322"/>
    </row>
    <row r="650" spans="1:33" x14ac:dyDescent="0.25">
      <c r="A650" s="420">
        <f>IF('Account Info'!$T$11=TRUE,1,0)</f>
        <v>1</v>
      </c>
      <c r="B650" s="317"/>
      <c r="C650" s="321"/>
      <c r="D650" s="320"/>
      <c r="E650" s="320"/>
      <c r="F650" s="320"/>
      <c r="G650" s="320"/>
      <c r="H650" s="562" t="s">
        <v>395</v>
      </c>
      <c r="I650" s="476">
        <v>0.8</v>
      </c>
      <c r="J650" s="477">
        <v>1.25</v>
      </c>
      <c r="K650" s="950">
        <v>1</v>
      </c>
      <c r="L650" s="474"/>
      <c r="M650" s="320"/>
      <c r="N650" s="320"/>
      <c r="O650" s="320"/>
      <c r="P650" s="320"/>
      <c r="Q650" s="320"/>
      <c r="R650" s="320"/>
      <c r="S650" s="320"/>
      <c r="T650" s="320"/>
      <c r="U650" s="322"/>
    </row>
    <row r="651" spans="1:33" x14ac:dyDescent="0.25">
      <c r="A651" s="420">
        <f>IF('Account Info'!$T$11=TRUE,1,0)</f>
        <v>1</v>
      </c>
      <c r="B651" s="317"/>
      <c r="C651" s="321"/>
      <c r="D651" s="320"/>
      <c r="E651" s="320"/>
      <c r="F651" s="320"/>
      <c r="G651" s="320"/>
      <c r="H651" s="562" t="s">
        <v>396</v>
      </c>
      <c r="I651" s="476">
        <v>0.8</v>
      </c>
      <c r="J651" s="477">
        <v>1.25</v>
      </c>
      <c r="K651" s="950">
        <v>1</v>
      </c>
      <c r="L651" s="474"/>
      <c r="M651" s="320"/>
      <c r="N651" s="320"/>
      <c r="O651" s="320"/>
      <c r="P651" s="320"/>
      <c r="Q651" s="320"/>
      <c r="R651" s="320"/>
      <c r="S651" s="320"/>
      <c r="T651" s="320"/>
      <c r="U651" s="322"/>
    </row>
    <row r="652" spans="1:33" ht="15.75" thickBot="1" x14ac:dyDescent="0.3">
      <c r="A652" s="420">
        <f>IF('Account Info'!$T$11=TRUE,1,0)</f>
        <v>1</v>
      </c>
      <c r="B652" s="317"/>
      <c r="C652" s="321"/>
      <c r="D652" s="320"/>
      <c r="E652" s="320"/>
      <c r="F652" s="320"/>
      <c r="G652" s="320"/>
      <c r="H652" s="563" t="s">
        <v>397</v>
      </c>
      <c r="I652" s="479">
        <v>0.8</v>
      </c>
      <c r="J652" s="480">
        <v>1.25</v>
      </c>
      <c r="K652" s="951">
        <v>1</v>
      </c>
      <c r="L652" s="474"/>
      <c r="M652" s="320"/>
      <c r="N652" s="320"/>
      <c r="O652" s="320"/>
      <c r="P652" s="320"/>
      <c r="Q652" s="320"/>
      <c r="R652" s="320"/>
      <c r="S652" s="320"/>
      <c r="T652" s="320"/>
      <c r="U652" s="322"/>
    </row>
    <row r="653" spans="1:33" ht="15.75" thickBot="1" x14ac:dyDescent="0.3">
      <c r="A653" s="420">
        <f>IF('Account Info'!$T$11=TRUE,1,0)</f>
        <v>1</v>
      </c>
      <c r="B653" s="317"/>
      <c r="C653" s="321"/>
      <c r="D653" s="320"/>
      <c r="E653" s="320"/>
      <c r="F653" s="320"/>
      <c r="G653" s="320"/>
      <c r="H653" s="310"/>
      <c r="I653" s="483"/>
      <c r="J653" s="564" t="s">
        <v>723</v>
      </c>
      <c r="K653" s="952">
        <f>IF(SUM(K648:K652)=0,1,PRODUCT(K648:K652))</f>
        <v>1</v>
      </c>
      <c r="L653" s="459"/>
      <c r="M653" s="320"/>
      <c r="N653" s="320"/>
      <c r="O653" s="320"/>
      <c r="P653" s="320"/>
      <c r="Q653" s="320"/>
      <c r="R653" s="320"/>
      <c r="S653" s="320"/>
      <c r="T653" s="320"/>
      <c r="U653" s="322"/>
      <c r="W653" s="484">
        <f>W98</f>
        <v>0.5</v>
      </c>
      <c r="X653" s="484">
        <f>X98</f>
        <v>1.5</v>
      </c>
    </row>
    <row r="654" spans="1:33" x14ac:dyDescent="0.25">
      <c r="A654" s="420">
        <f>IF('Account Info'!$T$11=TRUE,1,0)</f>
        <v>1</v>
      </c>
      <c r="B654" s="317"/>
      <c r="C654" s="321"/>
      <c r="D654" s="320"/>
      <c r="E654" s="320"/>
      <c r="F654" s="320"/>
      <c r="G654" s="320"/>
      <c r="H654" s="513"/>
      <c r="I654" s="514"/>
      <c r="J654" s="565"/>
      <c r="K654" s="515"/>
      <c r="L654" s="459"/>
      <c r="M654" s="320"/>
      <c r="N654" s="320"/>
      <c r="O654" s="320"/>
      <c r="P654" s="320"/>
      <c r="Q654" s="320"/>
      <c r="R654" s="320"/>
      <c r="S654" s="320"/>
      <c r="T654" s="320"/>
      <c r="U654" s="322"/>
    </row>
    <row r="655" spans="1:33" x14ac:dyDescent="0.25">
      <c r="A655" s="420">
        <f>IF('Account Info'!$T$11=TRUE,1,0)</f>
        <v>1</v>
      </c>
      <c r="B655" s="317"/>
      <c r="C655" s="321"/>
      <c r="D655" s="320"/>
      <c r="E655" s="320"/>
      <c r="F655" s="320"/>
      <c r="G655" s="320"/>
      <c r="J655" s="514"/>
      <c r="K655" s="515"/>
      <c r="L655" s="459"/>
      <c r="M655" s="320"/>
      <c r="N655" s="320"/>
      <c r="O655" s="320"/>
      <c r="P655" s="320"/>
      <c r="Q655" s="320"/>
      <c r="R655" s="320"/>
      <c r="S655" s="320"/>
      <c r="T655" s="320"/>
      <c r="U655" s="322"/>
      <c r="V655" s="458" t="s">
        <v>724</v>
      </c>
      <c r="W655" s="939">
        <f ca="1">IF(W645="","",W645*K653)</f>
        <v>1997.1062123514976</v>
      </c>
    </row>
    <row r="656" spans="1:33" ht="15.75" thickBot="1" x14ac:dyDescent="0.3">
      <c r="A656" s="420">
        <f>IF('Account Info'!$T$11=TRUE,1,0)</f>
        <v>1</v>
      </c>
      <c r="B656" s="566"/>
      <c r="C656" s="567"/>
      <c r="D656" s="568"/>
      <c r="E656" s="568"/>
      <c r="F656" s="568"/>
      <c r="G656" s="568"/>
      <c r="H656" s="567"/>
      <c r="I656" s="567"/>
      <c r="J656" s="569"/>
      <c r="K656" s="569"/>
      <c r="L656" s="570"/>
      <c r="M656" s="568"/>
      <c r="N656" s="568"/>
      <c r="O656" s="568"/>
      <c r="P656" s="568"/>
      <c r="Q656" s="568"/>
      <c r="R656" s="568"/>
      <c r="S656" s="568"/>
      <c r="T656" s="568"/>
      <c r="U656" s="571"/>
    </row>
    <row r="657" spans="1:33" ht="18.75" x14ac:dyDescent="0.3">
      <c r="A657" s="420">
        <f>IF('Account Info'!$T$11=TRUE,1,0)</f>
        <v>1</v>
      </c>
      <c r="B657" s="470" t="s">
        <v>725</v>
      </c>
      <c r="C657" s="309"/>
      <c r="D657" s="309"/>
      <c r="E657" s="310"/>
      <c r="F657" s="309"/>
      <c r="G657" s="309"/>
      <c r="H657" s="309"/>
      <c r="I657" s="309"/>
      <c r="J657" s="309"/>
      <c r="K657" s="309"/>
      <c r="L657" s="309"/>
      <c r="M657" s="309"/>
      <c r="N657" s="309"/>
      <c r="O657" s="309"/>
      <c r="P657" s="309"/>
      <c r="Q657" s="309"/>
      <c r="R657" s="309"/>
      <c r="S657" s="309"/>
      <c r="T657" s="309"/>
      <c r="U657" s="311"/>
      <c r="V657" s="340"/>
      <c r="AD657" s="316"/>
      <c r="AE657" s="316"/>
      <c r="AF657" s="316"/>
      <c r="AG657" s="316"/>
    </row>
    <row r="658" spans="1:33" ht="15" customHeight="1" x14ac:dyDescent="0.3">
      <c r="A658" s="420">
        <f>IF('Account Info'!$T$11=TRUE,1,0)</f>
        <v>1</v>
      </c>
      <c r="B658" s="451"/>
      <c r="C658" s="348" t="s">
        <v>570</v>
      </c>
      <c r="D658" s="348"/>
      <c r="E658" s="439"/>
      <c r="F658" s="349"/>
      <c r="G658" s="349"/>
      <c r="H658" s="453"/>
      <c r="I658" s="361" t="str">
        <f>IF('Account Info'!$AA$4="Range State","Low","")</f>
        <v>Low</v>
      </c>
      <c r="J658" s="361" t="str">
        <f>IF('Account Info'!$AA$4="Range State","Benchmark","Selection")</f>
        <v>Benchmark</v>
      </c>
      <c r="K658" s="361" t="str">
        <f>IF('Account Info'!$AA$4="Range State","High","")</f>
        <v>High</v>
      </c>
      <c r="L658" s="361" t="str">
        <f>IF('Account Info'!$AA$4="Range State","Selection","")</f>
        <v>Selection</v>
      </c>
      <c r="M658" s="536"/>
      <c r="N658" s="536"/>
      <c r="O658" s="441" t="s">
        <v>377</v>
      </c>
      <c r="P658" s="348"/>
      <c r="Q658" s="348"/>
      <c r="R658" s="348"/>
      <c r="S658" s="348"/>
      <c r="T658" s="348"/>
      <c r="U658" s="322"/>
      <c r="V658" s="340"/>
      <c r="AD658" s="316"/>
      <c r="AE658" s="316"/>
      <c r="AF658" s="316"/>
      <c r="AG658" s="316"/>
    </row>
    <row r="659" spans="1:33" ht="15" customHeight="1" x14ac:dyDescent="0.3">
      <c r="A659" s="420">
        <f>IF('Account Info'!$T$11=TRUE,1,0)</f>
        <v>1</v>
      </c>
      <c r="B659" s="451"/>
      <c r="C659" s="1060" t="s">
        <v>522</v>
      </c>
      <c r="D659" s="1061"/>
      <c r="E659" s="1061"/>
      <c r="F659" s="1061"/>
      <c r="G659" s="1061"/>
      <c r="H659" s="1062"/>
      <c r="I659" s="443">
        <f>IF(C659="","",VLOOKUP(C659,X672:AA676,2,FALSE))</f>
        <v>1</v>
      </c>
      <c r="J659" s="443">
        <f>IF(C659="","",VLOOKUP(C659,X672:AA676,3,FALSE))</f>
        <v>1</v>
      </c>
      <c r="K659" s="443">
        <f>IF(C659="","",VLOOKUP(C659,X672:AA676,4,FALSE))</f>
        <v>1</v>
      </c>
      <c r="L659" s="454">
        <f>J659</f>
        <v>1</v>
      </c>
      <c r="M659" s="1063"/>
      <c r="N659" s="1064"/>
      <c r="O659" s="1040"/>
      <c r="P659" s="1065"/>
      <c r="Q659" s="1065"/>
      <c r="R659" s="1065"/>
      <c r="S659" s="1065"/>
      <c r="T659" s="1066"/>
      <c r="U659" s="322"/>
      <c r="V659" s="340">
        <f>IF('Account Info'!$AA$4="Flat Rate State",IF(J659="",1,J659),IF(L659="",1,L659))</f>
        <v>1</v>
      </c>
      <c r="X659" s="316"/>
      <c r="Y659" s="316"/>
      <c r="Z659" s="316"/>
      <c r="AA659" s="316"/>
      <c r="AB659" s="316"/>
      <c r="AC659" s="316"/>
      <c r="AD659" s="316"/>
      <c r="AE659" s="316"/>
      <c r="AF659" s="316"/>
      <c r="AG659" s="316"/>
    </row>
    <row r="660" spans="1:33" ht="15" customHeight="1" x14ac:dyDescent="0.3">
      <c r="A660" s="420">
        <f>IF('Account Info'!$T$11=TRUE,1,0)</f>
        <v>1</v>
      </c>
      <c r="B660" s="451"/>
      <c r="C660" s="321"/>
      <c r="D660" s="456"/>
      <c r="E660" s="457"/>
      <c r="F660" s="456"/>
      <c r="G660" s="456"/>
      <c r="H660" s="456"/>
      <c r="I660" s="464"/>
      <c r="J660" s="464"/>
      <c r="K660" s="460"/>
      <c r="L660" s="460" t="str">
        <f>IF(AND('Account Info'!$AA$4="Range State",L659&lt;&gt;"",OR(L659&lt;I659,L659&gt;K659)),"Factor is out of range","")</f>
        <v/>
      </c>
      <c r="M660" s="362"/>
      <c r="N660" s="362"/>
      <c r="O660" s="1046"/>
      <c r="P660" s="1047"/>
      <c r="Q660" s="1047"/>
      <c r="R660" s="1047"/>
      <c r="S660" s="1047"/>
      <c r="T660" s="1048"/>
      <c r="U660" s="322"/>
      <c r="V660" s="340"/>
      <c r="X660" s="316"/>
      <c r="Y660" s="316"/>
      <c r="Z660" s="316"/>
      <c r="AA660" s="316"/>
      <c r="AB660" s="316"/>
      <c r="AC660" s="316"/>
      <c r="AD660" s="316"/>
      <c r="AE660" s="316"/>
      <c r="AF660" s="316"/>
      <c r="AG660" s="316"/>
    </row>
    <row r="661" spans="1:33" ht="15" customHeight="1" x14ac:dyDescent="0.3">
      <c r="A661" s="420">
        <f>IF('Account Info'!$T$11=TRUE,1,0)</f>
        <v>1</v>
      </c>
      <c r="B661" s="451"/>
      <c r="C661" s="321"/>
      <c r="D661" s="321"/>
      <c r="E661" s="320"/>
      <c r="F661" s="321"/>
      <c r="G661" s="321"/>
      <c r="H661" s="321"/>
      <c r="I661" s="321"/>
      <c r="J661" s="321"/>
      <c r="K661" s="321"/>
      <c r="L661" s="321"/>
      <c r="M661" s="321"/>
      <c r="N661" s="321"/>
      <c r="O661" s="321"/>
      <c r="P661" s="321"/>
      <c r="Q661" s="321"/>
      <c r="R661" s="321"/>
      <c r="S661" s="321"/>
      <c r="T661" s="321"/>
      <c r="U661" s="322"/>
      <c r="V661" s="340"/>
      <c r="X661" s="316"/>
      <c r="Y661" s="316"/>
      <c r="Z661" s="316"/>
      <c r="AA661" s="316"/>
      <c r="AB661" s="316"/>
      <c r="AC661" s="316"/>
      <c r="AD661" s="316"/>
      <c r="AE661" s="316"/>
      <c r="AF661" s="316"/>
      <c r="AG661" s="316"/>
    </row>
    <row r="662" spans="1:33" ht="15" customHeight="1" x14ac:dyDescent="0.25">
      <c r="A662" s="420">
        <f>IF('Account Info'!$T$11=TRUE,1,0)</f>
        <v>1</v>
      </c>
      <c r="B662" s="317"/>
      <c r="C662" s="1029" t="s">
        <v>726</v>
      </c>
      <c r="D662" s="1030"/>
      <c r="E662" s="538"/>
      <c r="F662" s="538"/>
      <c r="G662" s="538"/>
      <c r="H662" s="440"/>
      <c r="I662" s="361"/>
      <c r="J662" s="361"/>
      <c r="K662" s="361"/>
      <c r="L662" s="361"/>
      <c r="M662" s="440"/>
      <c r="N662" s="440"/>
      <c r="O662" s="549"/>
      <c r="P662" s="549"/>
      <c r="Q662" s="549"/>
      <c r="R662" s="549"/>
      <c r="S662" s="549"/>
      <c r="T662" s="549"/>
      <c r="U662" s="322"/>
      <c r="V662" s="340">
        <f>IF('Account Info'!$AA$4="Flat Rate State",IF(J662="",1,J662),IF(L662="",1,L662))</f>
        <v>1</v>
      </c>
      <c r="X662" s="316"/>
      <c r="Y662" s="316"/>
      <c r="Z662" s="316"/>
      <c r="AA662" s="316"/>
      <c r="AB662" s="316"/>
      <c r="AC662" s="316"/>
    </row>
    <row r="663" spans="1:33" ht="15" customHeight="1" x14ac:dyDescent="0.25">
      <c r="A663" s="420">
        <f>IF('Account Info'!$T$11=TRUE,1,0)</f>
        <v>1</v>
      </c>
      <c r="B663" s="317"/>
      <c r="C663" s="1031"/>
      <c r="D663" s="1031"/>
      <c r="E663" s="1032"/>
      <c r="F663" s="1032"/>
      <c r="G663" s="1032"/>
      <c r="H663" s="361"/>
      <c r="I663" s="361" t="str">
        <f>IF('Account Info'!$AA$4="Range State","Low","")</f>
        <v>Low</v>
      </c>
      <c r="J663" s="361" t="str">
        <f>IF('Account Info'!$AA$4="Range State","Benchmark","Selection")</f>
        <v>Benchmark</v>
      </c>
      <c r="K663" s="361" t="str">
        <f>IF('Account Info'!$AA$4="Range State","High","")</f>
        <v>High</v>
      </c>
      <c r="L663" s="361" t="str">
        <f>IF('Account Info'!$AA$4="Range State","Selection","")</f>
        <v>Selection</v>
      </c>
      <c r="M663" s="536"/>
      <c r="N663" s="536"/>
      <c r="O663" s="441" t="s">
        <v>377</v>
      </c>
      <c r="P663" s="348"/>
      <c r="Q663" s="348"/>
      <c r="R663" s="348"/>
      <c r="S663" s="348"/>
      <c r="T663" s="348"/>
      <c r="U663" s="322"/>
      <c r="V663" s="340">
        <v>1</v>
      </c>
      <c r="X663" s="316"/>
      <c r="Y663" s="316"/>
      <c r="Z663" s="316"/>
      <c r="AA663" s="316"/>
      <c r="AB663" s="316"/>
      <c r="AC663" s="316"/>
    </row>
    <row r="664" spans="1:33" ht="15" customHeight="1" x14ac:dyDescent="0.25">
      <c r="A664" s="420">
        <f>IF('Account Info'!$T$11=TRUE,1,0)</f>
        <v>1</v>
      </c>
      <c r="B664" s="317"/>
      <c r="C664" s="1033">
        <v>1000000</v>
      </c>
      <c r="D664" s="1034"/>
      <c r="E664" s="1035">
        <v>0</v>
      </c>
      <c r="F664" s="1036"/>
      <c r="G664" s="1037"/>
      <c r="H664" s="544"/>
      <c r="I664" s="572">
        <f>IF(OR(C664="",E664=""),"",0.02)</f>
        <v>0.02</v>
      </c>
      <c r="J664" s="572">
        <f>IF(OR(C664="",E664=""),"",0.035)</f>
        <v>3.5000000000000003E-2</v>
      </c>
      <c r="K664" s="572">
        <f>IF(OR(C664="",E664=""),"",0.05)</f>
        <v>0.05</v>
      </c>
      <c r="L664" s="954">
        <f>J664</f>
        <v>3.5000000000000003E-2</v>
      </c>
      <c r="M664" s="1049">
        <f ca="1">ROUND(IF(OR(C664="",E664=""),0,IF('Account Info'!$AA$4="Flat Rate State",J664,L664)*$T$38*'K&amp;R ILFs'!X30*PRODUCT($V$626:$V$644)*$K$653*V659),0)</f>
        <v>74</v>
      </c>
      <c r="N664" s="1050"/>
      <c r="O664" s="1040"/>
      <c r="P664" s="1041"/>
      <c r="Q664" s="1041"/>
      <c r="R664" s="1041"/>
      <c r="S664" s="1041"/>
      <c r="T664" s="1042"/>
      <c r="U664" s="322"/>
      <c r="V664" s="340">
        <f>IF('Account Info'!$AA$4="Flat Rate State",IF(J664="",1,J664),IF(L664="",1,L664))</f>
        <v>3.5000000000000003E-2</v>
      </c>
    </row>
    <row r="665" spans="1:33" x14ac:dyDescent="0.25">
      <c r="A665" s="420">
        <f>IF('Account Info'!$T$11=TRUE,1,0)</f>
        <v>1</v>
      </c>
      <c r="B665" s="317"/>
      <c r="C665" s="361"/>
      <c r="D665" s="537"/>
      <c r="E665" s="538"/>
      <c r="F665" s="538"/>
      <c r="G665" s="538"/>
      <c r="H665" s="362"/>
      <c r="I665" s="362"/>
      <c r="J665" s="362"/>
      <c r="K665" s="362"/>
      <c r="L665" s="362"/>
      <c r="M665" s="362"/>
      <c r="N665" s="362"/>
      <c r="O665" s="1051"/>
      <c r="P665" s="1052"/>
      <c r="Q665" s="1052"/>
      <c r="R665" s="1052"/>
      <c r="S665" s="1052"/>
      <c r="T665" s="1053"/>
      <c r="U665" s="322"/>
      <c r="V665" s="340">
        <v>1</v>
      </c>
      <c r="X665" s="511" t="s">
        <v>727</v>
      </c>
    </row>
    <row r="666" spans="1:33" x14ac:dyDescent="0.25">
      <c r="A666" s="420">
        <f>IF('Account Info'!$T$11=TRUE,1,0)</f>
        <v>1</v>
      </c>
      <c r="B666" s="317"/>
      <c r="C666" s="1029" t="s">
        <v>730</v>
      </c>
      <c r="D666" s="1030"/>
      <c r="E666" s="538"/>
      <c r="F666" s="538"/>
      <c r="G666" s="538"/>
      <c r="H666" s="440"/>
      <c r="I666" s="361"/>
      <c r="J666" s="361"/>
      <c r="K666" s="361"/>
      <c r="L666" s="361"/>
      <c r="M666" s="440"/>
      <c r="N666" s="440"/>
      <c r="O666" s="549"/>
      <c r="P666" s="549"/>
      <c r="Q666" s="549"/>
      <c r="R666" s="549"/>
      <c r="S666" s="549"/>
      <c r="T666" s="549"/>
      <c r="U666" s="322"/>
      <c r="V666" s="340">
        <f>IF('Account Info'!$AA$4="Flat Rate State",IF(J666="",1,J666),IF(L666="",1,L666))</f>
        <v>1</v>
      </c>
      <c r="X666" s="397" t="s">
        <v>728</v>
      </c>
      <c r="Y666" s="545">
        <v>0.85</v>
      </c>
      <c r="Z666" s="545">
        <f>ROUND(AVERAGE(Y666,AA666),2)</f>
        <v>0.87</v>
      </c>
      <c r="AA666" s="545">
        <v>0.89</v>
      </c>
    </row>
    <row r="667" spans="1:33" ht="15" customHeight="1" x14ac:dyDescent="0.25">
      <c r="A667" s="420">
        <f>IF('Account Info'!$T$11=TRUE,1,0)</f>
        <v>1</v>
      </c>
      <c r="B667" s="317"/>
      <c r="C667" s="1031"/>
      <c r="D667" s="1031"/>
      <c r="E667" s="1032"/>
      <c r="F667" s="1032"/>
      <c r="G667" s="1032"/>
      <c r="H667" s="361"/>
      <c r="I667" s="361" t="str">
        <f>IF('Account Info'!$AA$4="Range State","Low","")</f>
        <v>Low</v>
      </c>
      <c r="J667" s="361" t="str">
        <f>IF('Account Info'!$AA$4="Range State","Benchmark","Selection")</f>
        <v>Benchmark</v>
      </c>
      <c r="K667" s="361" t="str">
        <f>IF('Account Info'!$AA$4="Range State","High","")</f>
        <v>High</v>
      </c>
      <c r="L667" s="361" t="str">
        <f>IF('Account Info'!$AA$4="Range State","Selection","")</f>
        <v>Selection</v>
      </c>
      <c r="M667" s="536"/>
      <c r="N667" s="536"/>
      <c r="O667" s="441" t="s">
        <v>377</v>
      </c>
      <c r="P667" s="348"/>
      <c r="Q667" s="348"/>
      <c r="R667" s="348"/>
      <c r="S667" s="348"/>
      <c r="T667" s="348"/>
      <c r="U667" s="322"/>
      <c r="V667" s="340">
        <v>1</v>
      </c>
      <c r="X667" s="397" t="s">
        <v>729</v>
      </c>
      <c r="Y667" s="545">
        <v>0.9</v>
      </c>
      <c r="Z667" s="545">
        <f>ROUND(AVERAGE(Y667,AA667),2)</f>
        <v>0.92</v>
      </c>
      <c r="AA667" s="545">
        <v>0.94</v>
      </c>
    </row>
    <row r="668" spans="1:33" ht="15" customHeight="1" x14ac:dyDescent="0.25">
      <c r="A668" s="420">
        <f>IF('Account Info'!$T$11=TRUE,1,0)</f>
        <v>1</v>
      </c>
      <c r="B668" s="317"/>
      <c r="C668" s="1033">
        <v>0</v>
      </c>
      <c r="D668" s="1034"/>
      <c r="E668" s="1035">
        <v>0</v>
      </c>
      <c r="F668" s="1036"/>
      <c r="G668" s="1037"/>
      <c r="H668" s="544"/>
      <c r="I668" s="572">
        <f>IF(OR(C668="",E668=""),"",0.02)</f>
        <v>0.02</v>
      </c>
      <c r="J668" s="572">
        <f>IF(OR(C668="",E668=""),"",0.035)</f>
        <v>3.5000000000000003E-2</v>
      </c>
      <c r="K668" s="572">
        <f>IF(OR(C668="",E668=""),"",0.05)</f>
        <v>0.05</v>
      </c>
      <c r="L668" s="954">
        <v>0.04</v>
      </c>
      <c r="M668" s="1049">
        <f ca="1">ROUND(IF(C668="",0,IF('Account Info'!$AA$4="Flat Rate State",J668,L668)*$T$38*'K&amp;R ILFs'!X34*PRODUCT($V$626:$V$644)*$K$653*V659),0)</f>
        <v>0</v>
      </c>
      <c r="N668" s="1050"/>
      <c r="O668" s="1040"/>
      <c r="P668" s="1041"/>
      <c r="Q668" s="1041"/>
      <c r="R668" s="1041"/>
      <c r="S668" s="1041"/>
      <c r="T668" s="1042"/>
      <c r="U668" s="322"/>
      <c r="V668" s="340">
        <f>IF('Account Info'!$AA$4="Flat Rate State",IF(J668="",1,J668),IF(L668="",1,L668))</f>
        <v>0.04</v>
      </c>
      <c r="X668" s="397" t="s">
        <v>731</v>
      </c>
      <c r="Y668" s="545">
        <v>0.95</v>
      </c>
      <c r="Z668" s="545">
        <f>ROUND(AVERAGE(Y668,AA668),2)</f>
        <v>0.97</v>
      </c>
      <c r="AA668" s="545">
        <v>0.99</v>
      </c>
    </row>
    <row r="669" spans="1:33" x14ac:dyDescent="0.25">
      <c r="A669" s="420">
        <f>IF('Account Info'!$T$11=TRUE,1,0)</f>
        <v>1</v>
      </c>
      <c r="B669" s="317"/>
      <c r="C669" s="361"/>
      <c r="D669" s="537"/>
      <c r="E669" s="538"/>
      <c r="F669" s="538"/>
      <c r="G669" s="538"/>
      <c r="H669" s="362"/>
      <c r="I669" s="362"/>
      <c r="J669" s="362"/>
      <c r="K669" s="362"/>
      <c r="L669" s="362"/>
      <c r="M669" s="362"/>
      <c r="N669" s="362"/>
      <c r="O669" s="1051"/>
      <c r="P669" s="1052"/>
      <c r="Q669" s="1052"/>
      <c r="R669" s="1052"/>
      <c r="S669" s="1052"/>
      <c r="T669" s="1053"/>
      <c r="U669" s="322"/>
      <c r="V669" s="340">
        <v>1</v>
      </c>
      <c r="X669" s="397" t="s">
        <v>732</v>
      </c>
      <c r="Y669" s="545">
        <v>1</v>
      </c>
      <c r="Z669" s="545">
        <f>ROUND(AVERAGE(Y669,AA669),2)</f>
        <v>1</v>
      </c>
      <c r="AA669" s="545">
        <v>1</v>
      </c>
    </row>
    <row r="670" spans="1:33" ht="15" customHeight="1" x14ac:dyDescent="0.25">
      <c r="A670" s="420">
        <f>IF('Account Info'!$T$11=TRUE,1,0)</f>
        <v>1</v>
      </c>
      <c r="B670" s="317"/>
      <c r="C670" s="1029" t="s">
        <v>733</v>
      </c>
      <c r="D670" s="1030"/>
      <c r="E670" s="538"/>
      <c r="F670" s="538"/>
      <c r="G670" s="538"/>
      <c r="H670" s="440"/>
      <c r="I670" s="361"/>
      <c r="J670" s="361"/>
      <c r="K670" s="361"/>
      <c r="L670" s="361"/>
      <c r="M670" s="440"/>
      <c r="N670" s="440"/>
      <c r="O670" s="549"/>
      <c r="P670" s="549"/>
      <c r="Q670" s="549"/>
      <c r="R670" s="549"/>
      <c r="S670" s="549"/>
      <c r="T670" s="549"/>
      <c r="U670" s="322"/>
      <c r="V670" s="340">
        <f>IF('Account Info'!$AA$4="Flat Rate State",IF(J670="",1,J670),IF(L670="",1,L670))</f>
        <v>1</v>
      </c>
    </row>
    <row r="671" spans="1:33" ht="15" customHeight="1" x14ac:dyDescent="0.25">
      <c r="A671" s="420">
        <f>IF('Account Info'!$T$11=TRUE,1,0)</f>
        <v>1</v>
      </c>
      <c r="B671" s="317"/>
      <c r="C671" s="1031"/>
      <c r="D671" s="1031"/>
      <c r="E671" s="1032"/>
      <c r="F671" s="1032"/>
      <c r="G671" s="1032"/>
      <c r="H671" s="361"/>
      <c r="I671" s="361" t="str">
        <f>IF('Account Info'!$AA$4="Range State","Low","")</f>
        <v>Low</v>
      </c>
      <c r="J671" s="361" t="str">
        <f>IF('Account Info'!$AA$4="Range State","Benchmark","Selection")</f>
        <v>Benchmark</v>
      </c>
      <c r="K671" s="361" t="str">
        <f>IF('Account Info'!$AA$4="Range State","High","")</f>
        <v>High</v>
      </c>
      <c r="L671" s="361" t="str">
        <f>IF('Account Info'!$AA$4="Range State","Selection","")</f>
        <v>Selection</v>
      </c>
      <c r="M671" s="536"/>
      <c r="N671" s="536"/>
      <c r="O671" s="441" t="s">
        <v>377</v>
      </c>
      <c r="P671" s="348"/>
      <c r="Q671" s="348"/>
      <c r="R671" s="348"/>
      <c r="S671" s="348"/>
      <c r="T671" s="348"/>
      <c r="U671" s="322"/>
      <c r="V671" s="340">
        <v>1</v>
      </c>
      <c r="X671" s="510" t="s">
        <v>570</v>
      </c>
    </row>
    <row r="672" spans="1:33" x14ac:dyDescent="0.25">
      <c r="A672" s="420">
        <f>IF('Account Info'!$T$11=TRUE,1,0)</f>
        <v>1</v>
      </c>
      <c r="B672" s="317"/>
      <c r="C672" s="1033">
        <v>0</v>
      </c>
      <c r="D672" s="1034"/>
      <c r="E672" s="1035">
        <v>0</v>
      </c>
      <c r="F672" s="1036"/>
      <c r="G672" s="1037"/>
      <c r="H672" s="544"/>
      <c r="I672" s="572">
        <f>IF(OR(C672="",E672=""),"",0.02)</f>
        <v>0.02</v>
      </c>
      <c r="J672" s="572">
        <f>IF(OR(C672="",E672=""),"",0.035)</f>
        <v>3.5000000000000003E-2</v>
      </c>
      <c r="K672" s="572">
        <f>IF(OR(C672="",E672=""),"",0.05)</f>
        <v>0.05</v>
      </c>
      <c r="L672" s="954">
        <v>0.04</v>
      </c>
      <c r="M672" s="1049">
        <f ca="1">ROUND(IF(C672="",0,IF('Account Info'!$AA$4="Flat Rate State",J672,L672)*$T$38*'K&amp;R ILFs'!X38*PRODUCT($V$626:$V$644)*$K$653*V659),0)</f>
        <v>0</v>
      </c>
      <c r="N672" s="1050"/>
      <c r="O672" s="1040"/>
      <c r="P672" s="1041"/>
      <c r="Q672" s="1041"/>
      <c r="R672" s="1041"/>
      <c r="S672" s="1041"/>
      <c r="T672" s="1042"/>
      <c r="U672" s="322"/>
      <c r="V672" s="340">
        <f>IF('Account Info'!$AA$4="Flat Rate State",IF(J672="",1,J672),IF(L672="",1,L672))</f>
        <v>0.04</v>
      </c>
      <c r="X672" s="397" t="s">
        <v>522</v>
      </c>
      <c r="Y672" s="545">
        <v>1</v>
      </c>
      <c r="Z672" s="545">
        <f>ROUND(AVERAGE(Y672,AA672),2)</f>
        <v>1</v>
      </c>
      <c r="AA672" s="545">
        <v>1</v>
      </c>
    </row>
    <row r="673" spans="1:27" ht="15" customHeight="1" x14ac:dyDescent="0.25">
      <c r="A673" s="420">
        <f>IF('Account Info'!$T$11=TRUE,1,0)</f>
        <v>1</v>
      </c>
      <c r="B673" s="317"/>
      <c r="C673" s="361"/>
      <c r="D673" s="537"/>
      <c r="E673" s="538"/>
      <c r="F673" s="538"/>
      <c r="G673" s="538"/>
      <c r="H673" s="362"/>
      <c r="I673" s="362"/>
      <c r="J673" s="362"/>
      <c r="K673" s="362"/>
      <c r="L673" s="362"/>
      <c r="M673" s="362"/>
      <c r="N673" s="362"/>
      <c r="O673" s="1043"/>
      <c r="P673" s="1044"/>
      <c r="Q673" s="1044"/>
      <c r="R673" s="1044"/>
      <c r="S673" s="1044"/>
      <c r="T673" s="1045"/>
      <c r="U673" s="322"/>
      <c r="V673" s="340">
        <v>1</v>
      </c>
      <c r="X673" s="397" t="s">
        <v>524</v>
      </c>
      <c r="Y673" s="545">
        <v>0.8</v>
      </c>
      <c r="Z673" s="545">
        <f>ROUND(AVERAGE(Y673,AA673),2)</f>
        <v>0.9</v>
      </c>
      <c r="AA673" s="545">
        <v>0.99</v>
      </c>
    </row>
    <row r="674" spans="1:27" x14ac:dyDescent="0.25">
      <c r="A674" s="420">
        <f>IF('Account Info'!$T$11=TRUE,1,0)</f>
        <v>1</v>
      </c>
      <c r="B674" s="317"/>
      <c r="C674" s="361"/>
      <c r="D674" s="537"/>
      <c r="E674" s="538"/>
      <c r="F674" s="538"/>
      <c r="G674" s="538"/>
      <c r="H674" s="362"/>
      <c r="I674" s="362"/>
      <c r="J674" s="362"/>
      <c r="K674" s="362"/>
      <c r="L674" s="362"/>
      <c r="M674" s="362"/>
      <c r="N674" s="362"/>
      <c r="O674" s="1046"/>
      <c r="P674" s="1047"/>
      <c r="Q674" s="1047"/>
      <c r="R674" s="1047"/>
      <c r="S674" s="1047"/>
      <c r="T674" s="1048"/>
      <c r="U674" s="322"/>
      <c r="V674" s="340">
        <f>IF('Account Info'!$AA$4="Flat Rate State",IF(J674="",1,J674),IF(L674="",1,L674))</f>
        <v>1</v>
      </c>
      <c r="X674" s="397" t="s">
        <v>526</v>
      </c>
      <c r="Y674" s="545">
        <v>1.01</v>
      </c>
      <c r="Z674" s="545">
        <f>ROUND(AVERAGE(Y674,AA674),2)</f>
        <v>1.1100000000000001</v>
      </c>
      <c r="AA674" s="545">
        <v>1.2</v>
      </c>
    </row>
    <row r="675" spans="1:27" x14ac:dyDescent="0.25">
      <c r="A675" s="420">
        <f>IF('Account Info'!$T$11=TRUE,1,0)</f>
        <v>1</v>
      </c>
      <c r="B675" s="317"/>
      <c r="C675" s="1029" t="s">
        <v>734</v>
      </c>
      <c r="D675" s="1030"/>
      <c r="E675" s="538"/>
      <c r="F675" s="538"/>
      <c r="G675" s="538"/>
      <c r="H675" s="440"/>
      <c r="I675" s="361"/>
      <c r="J675" s="361"/>
      <c r="K675" s="361"/>
      <c r="L675" s="361"/>
      <c r="M675" s="440"/>
      <c r="N675" s="440"/>
      <c r="O675" s="549"/>
      <c r="P675" s="549"/>
      <c r="Q675" s="549"/>
      <c r="R675" s="549"/>
      <c r="S675" s="549"/>
      <c r="T675" s="549"/>
      <c r="U675" s="322"/>
      <c r="V675" s="340">
        <f>IF('Account Info'!$AA$4="Flat Rate State",IF(J675="",1,J675),IF(L675="",1,L675))</f>
        <v>1</v>
      </c>
      <c r="X675" s="397" t="s">
        <v>533</v>
      </c>
      <c r="Y675" s="545">
        <v>0.65</v>
      </c>
      <c r="Z675" s="545">
        <f>ROUND(AVERAGE(Y675,AA675),2)</f>
        <v>0.72</v>
      </c>
      <c r="AA675" s="545">
        <v>0.79</v>
      </c>
    </row>
    <row r="676" spans="1:27" ht="15" customHeight="1" x14ac:dyDescent="0.25">
      <c r="A676" s="420">
        <f>IF('Account Info'!$T$11=TRUE,1,0)</f>
        <v>1</v>
      </c>
      <c r="B676" s="317"/>
      <c r="C676" s="1031"/>
      <c r="D676" s="1031"/>
      <c r="E676" s="1032"/>
      <c r="F676" s="1032"/>
      <c r="G676" s="1032"/>
      <c r="H676" s="361"/>
      <c r="I676" s="361" t="str">
        <f>IF('Account Info'!$AA$4="Range State","Low","")</f>
        <v>Low</v>
      </c>
      <c r="J676" s="361" t="str">
        <f>IF('Account Info'!$AA$4="Range State","Benchmark","Selection")</f>
        <v>Benchmark</v>
      </c>
      <c r="K676" s="361" t="str">
        <f>IF('Account Info'!$AA$4="Range State","High","")</f>
        <v>High</v>
      </c>
      <c r="L676" s="361" t="str">
        <f>IF('Account Info'!$AA$4="Range State","Selection","")</f>
        <v>Selection</v>
      </c>
      <c r="M676" s="536"/>
      <c r="N676" s="536"/>
      <c r="O676" s="441" t="s">
        <v>377</v>
      </c>
      <c r="P676" s="348"/>
      <c r="Q676" s="348"/>
      <c r="R676" s="348"/>
      <c r="S676" s="348"/>
      <c r="T676" s="348"/>
      <c r="U676" s="322"/>
      <c r="V676" s="340">
        <v>1</v>
      </c>
      <c r="X676" s="397" t="s">
        <v>535</v>
      </c>
      <c r="Y676" s="545">
        <v>1.21</v>
      </c>
      <c r="Z676" s="545">
        <f>ROUND(AVERAGE(Y676,AA676),2)</f>
        <v>1.28</v>
      </c>
      <c r="AA676" s="545">
        <v>1.35</v>
      </c>
    </row>
    <row r="677" spans="1:27" x14ac:dyDescent="0.25">
      <c r="A677" s="420">
        <f>IF('Account Info'!$T$11=TRUE,1,0)</f>
        <v>1</v>
      </c>
      <c r="B677" s="317"/>
      <c r="C677" s="1033">
        <v>0</v>
      </c>
      <c r="D677" s="1034"/>
      <c r="E677" s="1035">
        <v>0</v>
      </c>
      <c r="F677" s="1036"/>
      <c r="G677" s="1037"/>
      <c r="H677" s="544"/>
      <c r="I677" s="572">
        <f>IF(OR(C677="",E677=""),"",0.07)</f>
        <v>7.0000000000000007E-2</v>
      </c>
      <c r="J677" s="572">
        <f>IF(OR(C677="",E677=""),"",0.09)</f>
        <v>0.09</v>
      </c>
      <c r="K677" s="572">
        <f>IF(OR(C677="",E677=""),"",0.11)</f>
        <v>0.11</v>
      </c>
      <c r="L677" s="954">
        <v>0.09</v>
      </c>
      <c r="M677" s="1038"/>
      <c r="N677" s="1039"/>
      <c r="O677" s="1040"/>
      <c r="P677" s="1041"/>
      <c r="Q677" s="1041"/>
      <c r="R677" s="1041"/>
      <c r="S677" s="1041"/>
      <c r="T677" s="1042"/>
      <c r="U677" s="322"/>
      <c r="V677" s="340">
        <f>IF('Account Info'!$AA$4="Flat Rate State",IF(J677="",1,J677),IF(L677="",1,L677))</f>
        <v>0.09</v>
      </c>
    </row>
    <row r="678" spans="1:27" x14ac:dyDescent="0.25">
      <c r="A678" s="420">
        <f>IF('Account Info'!$T$11=TRUE,1,0)</f>
        <v>1</v>
      </c>
      <c r="B678" s="317"/>
      <c r="C678" s="361"/>
      <c r="D678" s="537"/>
      <c r="E678" s="538"/>
      <c r="F678" s="538"/>
      <c r="G678" s="538"/>
      <c r="H678" s="361" t="s">
        <v>113</v>
      </c>
      <c r="I678" s="361" t="str">
        <f>IF('Account Info'!$AA$4="Range State","Low","")</f>
        <v>Low</v>
      </c>
      <c r="J678" s="361" t="str">
        <f>IF('Account Info'!$AA$4="Range State","Benchmark","Selection")</f>
        <v>Benchmark</v>
      </c>
      <c r="K678" s="361" t="str">
        <f>IF('Account Info'!$AA$4="Range State","High","")</f>
        <v>High</v>
      </c>
      <c r="L678" s="361" t="str">
        <f>IF('Account Info'!$AA$4="Range State","Selection","")</f>
        <v>Selection</v>
      </c>
      <c r="M678" s="536" t="s">
        <v>403</v>
      </c>
      <c r="N678" s="453"/>
      <c r="O678" s="1043"/>
      <c r="P678" s="1044"/>
      <c r="Q678" s="1044"/>
      <c r="R678" s="1044"/>
      <c r="S678" s="1044"/>
      <c r="T678" s="1045"/>
      <c r="U678" s="322"/>
      <c r="V678" s="340">
        <v>1</v>
      </c>
    </row>
    <row r="679" spans="1:27" x14ac:dyDescent="0.25">
      <c r="A679" s="420">
        <f>IF('Account Info'!$T$11=TRUE,1,0)</f>
        <v>1</v>
      </c>
      <c r="B679" s="317"/>
      <c r="C679" s="361"/>
      <c r="D679" s="537"/>
      <c r="E679" s="538"/>
      <c r="F679" s="538"/>
      <c r="G679" s="538"/>
      <c r="H679" s="550" t="s">
        <v>732</v>
      </c>
      <c r="I679" s="443">
        <f>IF(H679="","",VLOOKUP(H679,$X$666:$AA$669,2,FALSE))</f>
        <v>1</v>
      </c>
      <c r="J679" s="443">
        <f>IF(H679="","",VLOOKUP(H679,$X$666:$AA$669,3,FALSE))</f>
        <v>1</v>
      </c>
      <c r="K679" s="443">
        <f>IF(H679="","",VLOOKUP(H679,$X$666:$AA$669,4,FALSE))</f>
        <v>1</v>
      </c>
      <c r="L679" s="444">
        <v>1</v>
      </c>
      <c r="M679" s="1049">
        <f ca="1">ROUND(IF(OR(C677="",E677="",H679=""),0,IF('Account Info'!$AA$4="Flat Rate State",J677,L677)*$T$38*'K&amp;R ILFs'!X42*PRODUCT($V$626:$V$644)*$K$653*IF('Account Info'!$AA$4="Flat Rate State",J679,L679)*V659),0)</f>
        <v>0</v>
      </c>
      <c r="N679" s="1050"/>
      <c r="O679" s="1046"/>
      <c r="P679" s="1047"/>
      <c r="Q679" s="1047"/>
      <c r="R679" s="1047"/>
      <c r="S679" s="1047"/>
      <c r="T679" s="1048"/>
      <c r="U679" s="322"/>
      <c r="V679" s="340">
        <f>IF('Account Info'!$AA$4="Flat Rate State",IF(J679="",1,J679),IF(L679="",1,L679))</f>
        <v>1</v>
      </c>
    </row>
    <row r="680" spans="1:27" x14ac:dyDescent="0.25">
      <c r="A680" s="420">
        <f>IF('Account Info'!$T$11=TRUE,1,0)</f>
        <v>1</v>
      </c>
      <c r="B680" s="317"/>
      <c r="C680" s="1029" t="s">
        <v>735</v>
      </c>
      <c r="D680" s="1030"/>
      <c r="E680" s="538"/>
      <c r="F680" s="538"/>
      <c r="G680" s="538"/>
      <c r="H680" s="440"/>
      <c r="I680" s="361"/>
      <c r="J680" s="361"/>
      <c r="K680" s="361"/>
      <c r="L680" s="361"/>
      <c r="M680" s="440"/>
      <c r="N680" s="440"/>
      <c r="O680" s="549"/>
      <c r="P680" s="549"/>
      <c r="Q680" s="549"/>
      <c r="R680" s="549"/>
      <c r="S680" s="549"/>
      <c r="T680" s="549"/>
      <c r="U680" s="322"/>
      <c r="V680" s="340">
        <f>IF('Account Info'!$AA$4="Flat Rate State",IF(J680="",1,J680),IF(L680="",1,L680))</f>
        <v>1</v>
      </c>
    </row>
    <row r="681" spans="1:27" ht="15" customHeight="1" x14ac:dyDescent="0.25">
      <c r="A681" s="420">
        <f>IF('Account Info'!$T$11=TRUE,1,0)</f>
        <v>1</v>
      </c>
      <c r="B681" s="317"/>
      <c r="C681" s="1031"/>
      <c r="D681" s="1031"/>
      <c r="E681" s="1032"/>
      <c r="F681" s="1032"/>
      <c r="G681" s="1032"/>
      <c r="H681" s="361"/>
      <c r="I681" s="361" t="str">
        <f>IF('Account Info'!$AA$4="Range State","Low","")</f>
        <v>Low</v>
      </c>
      <c r="J681" s="361" t="str">
        <f>IF('Account Info'!$AA$4="Range State","Benchmark","Selection")</f>
        <v>Benchmark</v>
      </c>
      <c r="K681" s="361" t="str">
        <f>IF('Account Info'!$AA$4="Range State","High","")</f>
        <v>High</v>
      </c>
      <c r="L681" s="361" t="str">
        <f>IF('Account Info'!$AA$4="Range State","Selection","")</f>
        <v>Selection</v>
      </c>
      <c r="M681" s="536"/>
      <c r="N681" s="536"/>
      <c r="O681" s="441" t="s">
        <v>377</v>
      </c>
      <c r="P681" s="348"/>
      <c r="Q681" s="348"/>
      <c r="R681" s="348"/>
      <c r="S681" s="348"/>
      <c r="T681" s="348"/>
      <c r="U681" s="322"/>
      <c r="V681" s="340">
        <v>1</v>
      </c>
    </row>
    <row r="682" spans="1:27" x14ac:dyDescent="0.25">
      <c r="A682" s="420">
        <f>IF('Account Info'!$T$11=TRUE,1,0)</f>
        <v>1</v>
      </c>
      <c r="B682" s="317"/>
      <c r="C682" s="1033">
        <v>0</v>
      </c>
      <c r="D682" s="1034"/>
      <c r="E682" s="1035">
        <v>0</v>
      </c>
      <c r="F682" s="1036"/>
      <c r="G682" s="1037"/>
      <c r="H682" s="544"/>
      <c r="I682" s="572">
        <f>IF(OR(C682="",E682=""),"",0.04)</f>
        <v>0.04</v>
      </c>
      <c r="J682" s="572">
        <f>IF(OR(C682="",E682=""),"",0.05)</f>
        <v>0.05</v>
      </c>
      <c r="K682" s="572">
        <f>IF(OR(C682="",E682=""),"",0.06)</f>
        <v>0.06</v>
      </c>
      <c r="L682" s="954">
        <v>0.05</v>
      </c>
      <c r="M682" s="1038"/>
      <c r="N682" s="1039"/>
      <c r="O682" s="1040"/>
      <c r="P682" s="1041"/>
      <c r="Q682" s="1041"/>
      <c r="R682" s="1041"/>
      <c r="S682" s="1041"/>
      <c r="T682" s="1042"/>
      <c r="U682" s="322"/>
      <c r="V682" s="340">
        <f>IF('Account Info'!$AA$4="Flat Rate State",IF(J682="",1,J682),IF(L682="",1,L682))</f>
        <v>0.05</v>
      </c>
    </row>
    <row r="683" spans="1:27" x14ac:dyDescent="0.25">
      <c r="A683" s="420">
        <f>IF('Account Info'!$T$11=TRUE,1,0)</f>
        <v>1</v>
      </c>
      <c r="B683" s="317"/>
      <c r="C683" s="361"/>
      <c r="D683" s="537"/>
      <c r="E683" s="538"/>
      <c r="F683" s="538"/>
      <c r="G683" s="538"/>
      <c r="H683" s="361" t="s">
        <v>113</v>
      </c>
      <c r="I683" s="361" t="str">
        <f>IF('Account Info'!$AA$4="Range State","Low","")</f>
        <v>Low</v>
      </c>
      <c r="J683" s="361" t="str">
        <f>IF('Account Info'!$AA$4="Range State","Benchmark","Selection")</f>
        <v>Benchmark</v>
      </c>
      <c r="K683" s="361" t="str">
        <f>IF('Account Info'!$AA$4="Range State","High","")</f>
        <v>High</v>
      </c>
      <c r="L683" s="361" t="str">
        <f>IF('Account Info'!$AA$4="Range State","Selection","")</f>
        <v>Selection</v>
      </c>
      <c r="M683" s="536" t="s">
        <v>403</v>
      </c>
      <c r="N683" s="453"/>
      <c r="O683" s="1043"/>
      <c r="P683" s="1044"/>
      <c r="Q683" s="1044"/>
      <c r="R683" s="1044"/>
      <c r="S683" s="1044"/>
      <c r="T683" s="1045"/>
      <c r="U683" s="322"/>
      <c r="V683" s="340">
        <v>1</v>
      </c>
    </row>
    <row r="684" spans="1:27" x14ac:dyDescent="0.25">
      <c r="A684" s="420">
        <f>IF('Account Info'!$T$11=TRUE,1,0)</f>
        <v>1</v>
      </c>
      <c r="B684" s="317"/>
      <c r="C684" s="361"/>
      <c r="D684" s="537"/>
      <c r="E684" s="538"/>
      <c r="F684" s="538"/>
      <c r="G684" s="538"/>
      <c r="H684" s="550" t="s">
        <v>732</v>
      </c>
      <c r="I684" s="443">
        <f>IF(H684="","",VLOOKUP(H684,$X$666:$AA$669,2,FALSE))</f>
        <v>1</v>
      </c>
      <c r="J684" s="443">
        <f>IF(H684="","",VLOOKUP(H684,$X$666:$AA$669,3,FALSE))</f>
        <v>1</v>
      </c>
      <c r="K684" s="443">
        <f>IF(H684="","",VLOOKUP(H684,$X$666:$AA$669,4,FALSE))</f>
        <v>1</v>
      </c>
      <c r="L684" s="444">
        <v>1</v>
      </c>
      <c r="M684" s="1049">
        <f ca="1">ROUND(IF(OR(C682="",E682="",H684=""),0,IF('Account Info'!$AA$4="Flat Rate State",J682,L682)*$T$38*'K&amp;R ILFs'!X46*PRODUCT($V$626:$V$644)*$K$653*IF('Account Info'!$AA$4="Flat Rate State",J684,L684)*V659),0)</f>
        <v>0</v>
      </c>
      <c r="N684" s="1050"/>
      <c r="O684" s="1046"/>
      <c r="P684" s="1047"/>
      <c r="Q684" s="1047"/>
      <c r="R684" s="1047"/>
      <c r="S684" s="1047"/>
      <c r="T684" s="1048"/>
      <c r="U684" s="322"/>
      <c r="V684" s="340">
        <f>IF('Account Info'!$AA$4="Flat Rate State",IF(J684="",1,J684),IF(L684="",1,L684))</f>
        <v>1</v>
      </c>
    </row>
    <row r="685" spans="1:27" x14ac:dyDescent="0.25">
      <c r="A685" s="420">
        <f>IF('Account Info'!$T$11=TRUE,1,0)</f>
        <v>1</v>
      </c>
      <c r="B685" s="317"/>
      <c r="C685" s="1029" t="s">
        <v>736</v>
      </c>
      <c r="D685" s="1030"/>
      <c r="E685" s="538"/>
      <c r="F685" s="538"/>
      <c r="G685" s="538"/>
      <c r="H685" s="440"/>
      <c r="I685" s="361"/>
      <c r="J685" s="361"/>
      <c r="K685" s="361"/>
      <c r="L685" s="361"/>
      <c r="M685" s="440"/>
      <c r="N685" s="440"/>
      <c r="O685" s="549"/>
      <c r="P685" s="549"/>
      <c r="Q685" s="549"/>
      <c r="R685" s="549"/>
      <c r="S685" s="549"/>
      <c r="T685" s="549"/>
      <c r="U685" s="322"/>
      <c r="V685" s="340">
        <f>IF('Account Info'!$AA$4="Flat Rate State",IF(J685="",1,J685),IF(L685="",1,L685))</f>
        <v>1</v>
      </c>
    </row>
    <row r="686" spans="1:27" ht="15" customHeight="1" x14ac:dyDescent="0.25">
      <c r="A686" s="420">
        <f>IF('Account Info'!$T$11=TRUE,1,0)</f>
        <v>1</v>
      </c>
      <c r="B686" s="317"/>
      <c r="C686" s="1031"/>
      <c r="D686" s="1031"/>
      <c r="E686" s="1032"/>
      <c r="F686" s="1032"/>
      <c r="G686" s="1032"/>
      <c r="H686" s="361"/>
      <c r="I686" s="361" t="str">
        <f>IF('Account Info'!$AA$4="Range State","Low","")</f>
        <v>Low</v>
      </c>
      <c r="J686" s="361" t="str">
        <f>IF('Account Info'!$AA$4="Range State","Benchmark","Selection")</f>
        <v>Benchmark</v>
      </c>
      <c r="K686" s="361" t="str">
        <f>IF('Account Info'!$AA$4="Range State","High","")</f>
        <v>High</v>
      </c>
      <c r="L686" s="361" t="str">
        <f>IF('Account Info'!$AA$4="Range State","Selection","")</f>
        <v>Selection</v>
      </c>
      <c r="M686" s="536"/>
      <c r="N686" s="536"/>
      <c r="O686" s="441" t="s">
        <v>377</v>
      </c>
      <c r="P686" s="348"/>
      <c r="Q686" s="348"/>
      <c r="R686" s="348"/>
      <c r="S686" s="348"/>
      <c r="T686" s="348"/>
      <c r="U686" s="322"/>
      <c r="V686" s="340">
        <v>1</v>
      </c>
    </row>
    <row r="687" spans="1:27" x14ac:dyDescent="0.25">
      <c r="A687" s="420">
        <f>IF('Account Info'!$T$11=TRUE,1,0)</f>
        <v>1</v>
      </c>
      <c r="B687" s="317"/>
      <c r="C687" s="1033">
        <v>0</v>
      </c>
      <c r="D687" s="1034"/>
      <c r="E687" s="1035">
        <v>0</v>
      </c>
      <c r="F687" s="1036"/>
      <c r="G687" s="1037"/>
      <c r="H687" s="544"/>
      <c r="I687" s="572">
        <f>IF(OR(C687="",E687=""),"",0.04)</f>
        <v>0.04</v>
      </c>
      <c r="J687" s="572">
        <f>IF(OR(C687="",E687=""),"",0.05)</f>
        <v>0.05</v>
      </c>
      <c r="K687" s="572">
        <f>IF(OR(C687="",E687=""),"",0.06)</f>
        <v>0.06</v>
      </c>
      <c r="L687" s="954">
        <v>0.05</v>
      </c>
      <c r="M687" s="1038"/>
      <c r="N687" s="1039"/>
      <c r="O687" s="1040"/>
      <c r="P687" s="1041"/>
      <c r="Q687" s="1041"/>
      <c r="R687" s="1041"/>
      <c r="S687" s="1041"/>
      <c r="T687" s="1042"/>
      <c r="U687" s="322"/>
      <c r="V687" s="340">
        <f>IF('Account Info'!$AA$4="Flat Rate State",IF(J687="",1,J687),IF(L687="",1,L687))</f>
        <v>0.05</v>
      </c>
    </row>
    <row r="688" spans="1:27" x14ac:dyDescent="0.25">
      <c r="A688" s="420">
        <f>IF('Account Info'!$T$11=TRUE,1,0)</f>
        <v>1</v>
      </c>
      <c r="B688" s="317"/>
      <c r="C688" s="361"/>
      <c r="D688" s="537"/>
      <c r="E688" s="538"/>
      <c r="F688" s="538"/>
      <c r="G688" s="538"/>
      <c r="H688" s="361" t="s">
        <v>113</v>
      </c>
      <c r="I688" s="361" t="str">
        <f>IF('Account Info'!$AA$4="Range State","Low","")</f>
        <v>Low</v>
      </c>
      <c r="J688" s="361" t="str">
        <f>IF('Account Info'!$AA$4="Range State","Benchmark","Selection")</f>
        <v>Benchmark</v>
      </c>
      <c r="K688" s="361" t="str">
        <f>IF('Account Info'!$AA$4="Range State","High","")</f>
        <v>High</v>
      </c>
      <c r="L688" s="361" t="str">
        <f>IF('Account Info'!$AA$4="Range State","Selection","")</f>
        <v>Selection</v>
      </c>
      <c r="M688" s="536" t="s">
        <v>403</v>
      </c>
      <c r="N688" s="453"/>
      <c r="O688" s="1043"/>
      <c r="P688" s="1044"/>
      <c r="Q688" s="1044"/>
      <c r="R688" s="1044"/>
      <c r="S688" s="1044"/>
      <c r="T688" s="1045"/>
      <c r="U688" s="322"/>
      <c r="V688" s="340">
        <v>1</v>
      </c>
    </row>
    <row r="689" spans="1:22" x14ac:dyDescent="0.25">
      <c r="A689" s="420">
        <f>IF('Account Info'!$T$11=TRUE,1,0)</f>
        <v>1</v>
      </c>
      <c r="B689" s="317"/>
      <c r="C689" s="361"/>
      <c r="D689" s="537"/>
      <c r="E689" s="538"/>
      <c r="F689" s="538"/>
      <c r="G689" s="538"/>
      <c r="H689" s="550" t="s">
        <v>732</v>
      </c>
      <c r="I689" s="443">
        <f>IF(H689="","",VLOOKUP(H689,$X$666:$AA$669,2,FALSE))</f>
        <v>1</v>
      </c>
      <c r="J689" s="443">
        <f>IF(H689="","",VLOOKUP(H689,$X$666:$AA$669,3,FALSE))</f>
        <v>1</v>
      </c>
      <c r="K689" s="443">
        <f>IF(H689="","",VLOOKUP(H689,$X$666:$AA$669,4,FALSE))</f>
        <v>1</v>
      </c>
      <c r="L689" s="444">
        <v>1</v>
      </c>
      <c r="M689" s="1049">
        <f ca="1">ROUND(IF(OR(C687="",E687="",H689=""),0,IF('Account Info'!$AA$4="Flat Rate State",J687,L687)*$T$38*'K&amp;R ILFs'!X50*PRODUCT($V$626:$V$644)*$K$653*IF('Account Info'!$AA$4="Flat Rate State",J689,L689)*V659),0)</f>
        <v>0</v>
      </c>
      <c r="N689" s="1050"/>
      <c r="O689" s="1046"/>
      <c r="P689" s="1047"/>
      <c r="Q689" s="1047"/>
      <c r="R689" s="1047"/>
      <c r="S689" s="1047"/>
      <c r="T689" s="1048"/>
      <c r="U689" s="322"/>
      <c r="V689" s="340">
        <f>IF('Account Info'!$AA$4="Flat Rate State",IF(J689="",1,J689),IF(L689="",1,L689))</f>
        <v>1</v>
      </c>
    </row>
    <row r="690" spans="1:22" x14ac:dyDescent="0.25">
      <c r="A690" s="420">
        <f>IF('Account Info'!$T$11=TRUE,1,0)</f>
        <v>1</v>
      </c>
      <c r="B690" s="317"/>
      <c r="C690" s="321"/>
      <c r="D690" s="362"/>
      <c r="E690" s="362"/>
      <c r="F690" s="362"/>
      <c r="G690" s="362"/>
      <c r="H690" s="440"/>
      <c r="I690" s="361"/>
      <c r="J690" s="361"/>
      <c r="K690" s="361"/>
      <c r="L690" s="361"/>
      <c r="M690" s="440"/>
      <c r="N690" s="440"/>
      <c r="O690" s="362"/>
      <c r="P690" s="362"/>
      <c r="Q690" s="362"/>
      <c r="R690" s="362"/>
      <c r="S690" s="362"/>
      <c r="T690" s="362"/>
      <c r="U690" s="322"/>
      <c r="V690" s="340"/>
    </row>
    <row r="691" spans="1:22" x14ac:dyDescent="0.25">
      <c r="A691" s="420">
        <f>IF('Account Info'!$T$11=TRUE,1,0)</f>
        <v>1</v>
      </c>
      <c r="B691" s="317"/>
      <c r="C691" s="321"/>
      <c r="D691" s="555"/>
      <c r="E691" s="555"/>
      <c r="F691" s="555"/>
      <c r="G691" s="555"/>
      <c r="H691" s="465" t="str">
        <f>IF('Account Info'!$AA$4="Range State","Final Kidnap &amp; Ransom Premium","Kidnap &amp; Ransom Subtotal with Coverage Enhancements")</f>
        <v>Final Kidnap &amp; Ransom Premium</v>
      </c>
      <c r="I691" s="939">
        <f ca="1">IF(W655="","",ROUND((W655*V659)+KreRePrem+KreThrtPrm+KreDisPrm+M679+M684+M689,0))</f>
        <v>2071</v>
      </c>
      <c r="J691" s="463"/>
      <c r="K691" s="463"/>
      <c r="L691" s="463"/>
      <c r="M691" s="467"/>
      <c r="N691" s="468"/>
      <c r="O691" s="468"/>
      <c r="P691" s="468"/>
      <c r="Q691" s="468"/>
      <c r="R691" s="468"/>
      <c r="S691" s="468"/>
      <c r="T691" s="468"/>
      <c r="U691" s="322"/>
      <c r="V691" s="340"/>
    </row>
    <row r="692" spans="1:22" ht="15.75" thickBot="1" x14ac:dyDescent="0.3">
      <c r="A692" s="420">
        <f>IF('Account Info'!$T$11=TRUE,1,0)</f>
        <v>1</v>
      </c>
      <c r="B692" s="566"/>
      <c r="C692" s="567"/>
      <c r="D692" s="567"/>
      <c r="E692" s="568"/>
      <c r="F692" s="567"/>
      <c r="G692" s="567"/>
      <c r="H692" s="567"/>
      <c r="I692" s="567"/>
      <c r="J692" s="567"/>
      <c r="K692" s="567"/>
      <c r="L692" s="567"/>
      <c r="M692" s="567"/>
      <c r="N692" s="567"/>
      <c r="O692" s="567"/>
      <c r="P692" s="567"/>
      <c r="Q692" s="567"/>
      <c r="R692" s="567"/>
      <c r="S692" s="567"/>
      <c r="T692" s="567"/>
      <c r="U692" s="571"/>
    </row>
  </sheetData>
  <sheetProtection algorithmName="SHA-512" hashValue="M/mXHMvpfCvua1XDYKeRUB/1TF1o04AP6HyC2dKi2Xa9gl1zjmDN0kCS651laa7fWcKLRozU4pOgZzc3aWd6ew==" saltValue="8KLzljBz7Qn5WVR8vDPOBA==" spinCount="100000" sheet="1" objects="1" scenarios="1"/>
  <mergeCells count="426">
    <mergeCell ref="D61:H61"/>
    <mergeCell ref="M61:T62"/>
    <mergeCell ref="D64:H64"/>
    <mergeCell ref="M64:T65"/>
    <mergeCell ref="D67:H67"/>
    <mergeCell ref="M67:T68"/>
    <mergeCell ref="D70:H70"/>
    <mergeCell ref="M70:T71"/>
    <mergeCell ref="R7:U7"/>
    <mergeCell ref="K17:M20"/>
    <mergeCell ref="D51:H51"/>
    <mergeCell ref="M51:T51"/>
    <mergeCell ref="C46:D46"/>
    <mergeCell ref="B54:C91"/>
    <mergeCell ref="D55:H55"/>
    <mergeCell ref="M55:T56"/>
    <mergeCell ref="D58:H58"/>
    <mergeCell ref="M58:T59"/>
    <mergeCell ref="M113:T114"/>
    <mergeCell ref="D116:H116"/>
    <mergeCell ref="D82:H82"/>
    <mergeCell ref="M82:T83"/>
    <mergeCell ref="D85:H85"/>
    <mergeCell ref="M85:T86"/>
    <mergeCell ref="D88:H88"/>
    <mergeCell ref="M88:T89"/>
    <mergeCell ref="D73:H73"/>
    <mergeCell ref="M73:T74"/>
    <mergeCell ref="D76:H76"/>
    <mergeCell ref="M76:T77"/>
    <mergeCell ref="D79:H79"/>
    <mergeCell ref="M79:T80"/>
    <mergeCell ref="D146:H146"/>
    <mergeCell ref="M146:T147"/>
    <mergeCell ref="D149:H149"/>
    <mergeCell ref="M149:T150"/>
    <mergeCell ref="D152:H152"/>
    <mergeCell ref="M152:T153"/>
    <mergeCell ref="M116:T117"/>
    <mergeCell ref="B133:C167"/>
    <mergeCell ref="D134:H134"/>
    <mergeCell ref="M134:T135"/>
    <mergeCell ref="D137:H137"/>
    <mergeCell ref="M137:T138"/>
    <mergeCell ref="D140:H140"/>
    <mergeCell ref="M140:T141"/>
    <mergeCell ref="D143:H143"/>
    <mergeCell ref="M143:T144"/>
    <mergeCell ref="B103:C131"/>
    <mergeCell ref="D104:H104"/>
    <mergeCell ref="M104:T105"/>
    <mergeCell ref="D107:H107"/>
    <mergeCell ref="M107:T108"/>
    <mergeCell ref="D110:H110"/>
    <mergeCell ref="M110:T111"/>
    <mergeCell ref="D113:H113"/>
    <mergeCell ref="B179:C213"/>
    <mergeCell ref="D180:H180"/>
    <mergeCell ref="M180:T181"/>
    <mergeCell ref="D183:H183"/>
    <mergeCell ref="M183:T184"/>
    <mergeCell ref="D186:H186"/>
    <mergeCell ref="M186:T187"/>
    <mergeCell ref="D189:H189"/>
    <mergeCell ref="D155:H155"/>
    <mergeCell ref="M155:T156"/>
    <mergeCell ref="D158:H158"/>
    <mergeCell ref="M158:T159"/>
    <mergeCell ref="D161:H161"/>
    <mergeCell ref="M161:T162"/>
    <mergeCell ref="M189:T190"/>
    <mergeCell ref="D192:H192"/>
    <mergeCell ref="M192:T193"/>
    <mergeCell ref="D195:H195"/>
    <mergeCell ref="M195:T196"/>
    <mergeCell ref="D198:H198"/>
    <mergeCell ref="M198:T199"/>
    <mergeCell ref="D164:H164"/>
    <mergeCell ref="M164:T165"/>
    <mergeCell ref="M228:T229"/>
    <mergeCell ref="D231:H231"/>
    <mergeCell ref="M231:T232"/>
    <mergeCell ref="D234:H234"/>
    <mergeCell ref="M234:T235"/>
    <mergeCell ref="D237:H237"/>
    <mergeCell ref="M237:T238"/>
    <mergeCell ref="B215:C246"/>
    <mergeCell ref="D216:H216"/>
    <mergeCell ref="M216:T217"/>
    <mergeCell ref="D219:H219"/>
    <mergeCell ref="M219:T220"/>
    <mergeCell ref="D222:H222"/>
    <mergeCell ref="M222:T223"/>
    <mergeCell ref="D225:H225"/>
    <mergeCell ref="M225:T226"/>
    <mergeCell ref="D228:H228"/>
    <mergeCell ref="D240:H240"/>
    <mergeCell ref="M240:T241"/>
    <mergeCell ref="D243:H243"/>
    <mergeCell ref="M243:T244"/>
    <mergeCell ref="B258:C295"/>
    <mergeCell ref="D259:H259"/>
    <mergeCell ref="M259:T260"/>
    <mergeCell ref="D262:H262"/>
    <mergeCell ref="M262:T263"/>
    <mergeCell ref="D265:H265"/>
    <mergeCell ref="B297:C334"/>
    <mergeCell ref="D298:H298"/>
    <mergeCell ref="M298:T299"/>
    <mergeCell ref="D301:H301"/>
    <mergeCell ref="M301:T302"/>
    <mergeCell ref="D304:H304"/>
    <mergeCell ref="M265:T266"/>
    <mergeCell ref="D268:H268"/>
    <mergeCell ref="M268:T269"/>
    <mergeCell ref="D271:H271"/>
    <mergeCell ref="M271:T272"/>
    <mergeCell ref="D274:H274"/>
    <mergeCell ref="M274:T275"/>
    <mergeCell ref="M304:T305"/>
    <mergeCell ref="D307:H307"/>
    <mergeCell ref="M307:T308"/>
    <mergeCell ref="D310:H310"/>
    <mergeCell ref="M310:T311"/>
    <mergeCell ref="D313:H313"/>
    <mergeCell ref="M313:T314"/>
    <mergeCell ref="D277:H277"/>
    <mergeCell ref="M277:T278"/>
    <mergeCell ref="D280:H280"/>
    <mergeCell ref="M280:T281"/>
    <mergeCell ref="D325:H325"/>
    <mergeCell ref="M325:T326"/>
    <mergeCell ref="D328:H328"/>
    <mergeCell ref="M328:T329"/>
    <mergeCell ref="D331:H331"/>
    <mergeCell ref="M331:T332"/>
    <mergeCell ref="D316:H316"/>
    <mergeCell ref="M316:T317"/>
    <mergeCell ref="D319:H319"/>
    <mergeCell ref="M319:T320"/>
    <mergeCell ref="D322:H322"/>
    <mergeCell ref="M322:T323"/>
    <mergeCell ref="C347:H347"/>
    <mergeCell ref="M347:N347"/>
    <mergeCell ref="O347:T348"/>
    <mergeCell ref="E350:G350"/>
    <mergeCell ref="C351:D351"/>
    <mergeCell ref="E351:G351"/>
    <mergeCell ref="M351:N351"/>
    <mergeCell ref="O351:T352"/>
    <mergeCell ref="C352:D353"/>
    <mergeCell ref="E353:G353"/>
    <mergeCell ref="C357:D357"/>
    <mergeCell ref="E357:G357"/>
    <mergeCell ref="M357:N357"/>
    <mergeCell ref="O357:T358"/>
    <mergeCell ref="C358:D359"/>
    <mergeCell ref="E359:G359"/>
    <mergeCell ref="C354:D354"/>
    <mergeCell ref="E354:G354"/>
    <mergeCell ref="M354:N354"/>
    <mergeCell ref="O354:T355"/>
    <mergeCell ref="C355:D356"/>
    <mergeCell ref="E356:G356"/>
    <mergeCell ref="C363:D363"/>
    <mergeCell ref="E363:G363"/>
    <mergeCell ref="M363:N363"/>
    <mergeCell ref="O363:T364"/>
    <mergeCell ref="C364:D365"/>
    <mergeCell ref="E365:G365"/>
    <mergeCell ref="C360:D360"/>
    <mergeCell ref="E360:G360"/>
    <mergeCell ref="M360:N360"/>
    <mergeCell ref="O360:T361"/>
    <mergeCell ref="C361:D362"/>
    <mergeCell ref="E362:G362"/>
    <mergeCell ref="C369:D369"/>
    <mergeCell ref="E369:G369"/>
    <mergeCell ref="M369:N369"/>
    <mergeCell ref="O369:T370"/>
    <mergeCell ref="C370:D371"/>
    <mergeCell ref="E371:G371"/>
    <mergeCell ref="C366:D366"/>
    <mergeCell ref="E366:G366"/>
    <mergeCell ref="M366:N366"/>
    <mergeCell ref="O366:T367"/>
    <mergeCell ref="C367:D368"/>
    <mergeCell ref="E368:G368"/>
    <mergeCell ref="C375:D375"/>
    <mergeCell ref="E375:G375"/>
    <mergeCell ref="M375:N375"/>
    <mergeCell ref="O375:T376"/>
    <mergeCell ref="C376:D377"/>
    <mergeCell ref="E377:G377"/>
    <mergeCell ref="C372:D372"/>
    <mergeCell ref="E372:G372"/>
    <mergeCell ref="M372:N372"/>
    <mergeCell ref="O372:T373"/>
    <mergeCell ref="C373:D374"/>
    <mergeCell ref="E374:G374"/>
    <mergeCell ref="E373:K373"/>
    <mergeCell ref="C378:D378"/>
    <mergeCell ref="E378:G378"/>
    <mergeCell ref="M378:N378"/>
    <mergeCell ref="O378:T379"/>
    <mergeCell ref="B383:C429"/>
    <mergeCell ref="D384:H384"/>
    <mergeCell ref="M384:T385"/>
    <mergeCell ref="D387:H387"/>
    <mergeCell ref="M387:T388"/>
    <mergeCell ref="D390:H390"/>
    <mergeCell ref="D402:H402"/>
    <mergeCell ref="M402:T403"/>
    <mergeCell ref="D405:H405"/>
    <mergeCell ref="M405:T406"/>
    <mergeCell ref="D408:H408"/>
    <mergeCell ref="M408:T409"/>
    <mergeCell ref="M390:T391"/>
    <mergeCell ref="D393:H393"/>
    <mergeCell ref="M393:T394"/>
    <mergeCell ref="D396:H396"/>
    <mergeCell ref="M396:T397"/>
    <mergeCell ref="D399:H399"/>
    <mergeCell ref="M399:T400"/>
    <mergeCell ref="D420:H420"/>
    <mergeCell ref="M420:T421"/>
    <mergeCell ref="D423:H423"/>
    <mergeCell ref="M423:T424"/>
    <mergeCell ref="D426:H426"/>
    <mergeCell ref="M426:T427"/>
    <mergeCell ref="D411:H411"/>
    <mergeCell ref="M411:T412"/>
    <mergeCell ref="D414:H414"/>
    <mergeCell ref="M414:T415"/>
    <mergeCell ref="D417:H417"/>
    <mergeCell ref="M417:T418"/>
    <mergeCell ref="C448:D449"/>
    <mergeCell ref="E449:G449"/>
    <mergeCell ref="C450:D450"/>
    <mergeCell ref="E450:G450"/>
    <mergeCell ref="M450:N450"/>
    <mergeCell ref="O450:T451"/>
    <mergeCell ref="C442:H442"/>
    <mergeCell ref="M442:N442"/>
    <mergeCell ref="O442:T443"/>
    <mergeCell ref="C444:D445"/>
    <mergeCell ref="E445:G445"/>
    <mergeCell ref="C446:D446"/>
    <mergeCell ref="E446:G446"/>
    <mergeCell ref="M446:N446"/>
    <mergeCell ref="O446:T447"/>
    <mergeCell ref="C456:D457"/>
    <mergeCell ref="E457:G457"/>
    <mergeCell ref="C458:D458"/>
    <mergeCell ref="E458:G458"/>
    <mergeCell ref="M458:N458"/>
    <mergeCell ref="O458:T459"/>
    <mergeCell ref="C452:D453"/>
    <mergeCell ref="E453:G453"/>
    <mergeCell ref="C454:D454"/>
    <mergeCell ref="E454:G454"/>
    <mergeCell ref="M454:N454"/>
    <mergeCell ref="O454:T455"/>
    <mergeCell ref="C465:D466"/>
    <mergeCell ref="E466:G466"/>
    <mergeCell ref="C467:D467"/>
    <mergeCell ref="E467:G467"/>
    <mergeCell ref="M467:N467"/>
    <mergeCell ref="O467:T469"/>
    <mergeCell ref="C460:D461"/>
    <mergeCell ref="E461:G461"/>
    <mergeCell ref="C462:D462"/>
    <mergeCell ref="E462:G462"/>
    <mergeCell ref="M462:N462"/>
    <mergeCell ref="O462:T464"/>
    <mergeCell ref="C474:D475"/>
    <mergeCell ref="E475:G475"/>
    <mergeCell ref="C476:D476"/>
    <mergeCell ref="E476:G476"/>
    <mergeCell ref="M476:N476"/>
    <mergeCell ref="O476:T477"/>
    <mergeCell ref="C470:D471"/>
    <mergeCell ref="E471:G471"/>
    <mergeCell ref="C472:D472"/>
    <mergeCell ref="E472:G472"/>
    <mergeCell ref="M472:N472"/>
    <mergeCell ref="O472:T473"/>
    <mergeCell ref="C482:D483"/>
    <mergeCell ref="E483:G483"/>
    <mergeCell ref="C484:D484"/>
    <mergeCell ref="E484:G484"/>
    <mergeCell ref="M484:N484"/>
    <mergeCell ref="O484:T485"/>
    <mergeCell ref="C478:D479"/>
    <mergeCell ref="E479:G479"/>
    <mergeCell ref="C480:D480"/>
    <mergeCell ref="E480:G480"/>
    <mergeCell ref="M480:N480"/>
    <mergeCell ref="O480:T481"/>
    <mergeCell ref="C490:D491"/>
    <mergeCell ref="E491:G491"/>
    <mergeCell ref="C492:D492"/>
    <mergeCell ref="E492:G492"/>
    <mergeCell ref="M492:N492"/>
    <mergeCell ref="O492:T493"/>
    <mergeCell ref="C486:D487"/>
    <mergeCell ref="E487:G487"/>
    <mergeCell ref="C488:D488"/>
    <mergeCell ref="E488:G488"/>
    <mergeCell ref="M488:N488"/>
    <mergeCell ref="O488:T489"/>
    <mergeCell ref="C498:D499"/>
    <mergeCell ref="E499:G499"/>
    <mergeCell ref="C500:D500"/>
    <mergeCell ref="E500:G500"/>
    <mergeCell ref="M500:N500"/>
    <mergeCell ref="O500:T501"/>
    <mergeCell ref="C494:D495"/>
    <mergeCell ref="E495:G495"/>
    <mergeCell ref="C496:D496"/>
    <mergeCell ref="E496:G496"/>
    <mergeCell ref="M496:N496"/>
    <mergeCell ref="O496:T497"/>
    <mergeCell ref="M589:T590"/>
    <mergeCell ref="M526:T527"/>
    <mergeCell ref="D529:H529"/>
    <mergeCell ref="M529:T530"/>
    <mergeCell ref="D532:H532"/>
    <mergeCell ref="M532:T533"/>
    <mergeCell ref="B547:C565"/>
    <mergeCell ref="D548:H548"/>
    <mergeCell ref="M548:T549"/>
    <mergeCell ref="D551:H551"/>
    <mergeCell ref="M551:T552"/>
    <mergeCell ref="B513:C535"/>
    <mergeCell ref="D514:H514"/>
    <mergeCell ref="M514:T515"/>
    <mergeCell ref="D517:H517"/>
    <mergeCell ref="M517:T518"/>
    <mergeCell ref="D520:H520"/>
    <mergeCell ref="M520:T521"/>
    <mergeCell ref="D523:H523"/>
    <mergeCell ref="M523:T524"/>
    <mergeCell ref="D526:H526"/>
    <mergeCell ref="D554:H554"/>
    <mergeCell ref="M554:T555"/>
    <mergeCell ref="D592:H592"/>
    <mergeCell ref="M592:T593"/>
    <mergeCell ref="B607:C625"/>
    <mergeCell ref="D608:H608"/>
    <mergeCell ref="M608:T609"/>
    <mergeCell ref="D611:H611"/>
    <mergeCell ref="M611:T612"/>
    <mergeCell ref="D614:H614"/>
    <mergeCell ref="B567:C595"/>
    <mergeCell ref="M577:T578"/>
    <mergeCell ref="D580:H580"/>
    <mergeCell ref="M580:T581"/>
    <mergeCell ref="D583:H583"/>
    <mergeCell ref="M583:T584"/>
    <mergeCell ref="D586:H586"/>
    <mergeCell ref="M586:T587"/>
    <mergeCell ref="D568:H568"/>
    <mergeCell ref="M568:T569"/>
    <mergeCell ref="D571:H571"/>
    <mergeCell ref="M571:T572"/>
    <mergeCell ref="D574:H574"/>
    <mergeCell ref="M574:T575"/>
    <mergeCell ref="D577:H577"/>
    <mergeCell ref="D589:H589"/>
    <mergeCell ref="D640:H640"/>
    <mergeCell ref="M640:T641"/>
    <mergeCell ref="D643:H643"/>
    <mergeCell ref="M643:T644"/>
    <mergeCell ref="C659:H659"/>
    <mergeCell ref="M659:N659"/>
    <mergeCell ref="O659:T660"/>
    <mergeCell ref="M614:T615"/>
    <mergeCell ref="B627:C646"/>
    <mergeCell ref="D628:H628"/>
    <mergeCell ref="M628:T629"/>
    <mergeCell ref="D631:H631"/>
    <mergeCell ref="M631:T632"/>
    <mergeCell ref="D634:H634"/>
    <mergeCell ref="M634:T635"/>
    <mergeCell ref="D637:H637"/>
    <mergeCell ref="M637:T638"/>
    <mergeCell ref="C666:D667"/>
    <mergeCell ref="E667:G667"/>
    <mergeCell ref="C668:D668"/>
    <mergeCell ref="E668:G668"/>
    <mergeCell ref="M668:N668"/>
    <mergeCell ref="O668:T669"/>
    <mergeCell ref="C662:D663"/>
    <mergeCell ref="E663:G663"/>
    <mergeCell ref="C664:D664"/>
    <mergeCell ref="E664:G664"/>
    <mergeCell ref="M664:N664"/>
    <mergeCell ref="O664:T665"/>
    <mergeCell ref="C675:D676"/>
    <mergeCell ref="E676:G676"/>
    <mergeCell ref="C677:D677"/>
    <mergeCell ref="E677:G677"/>
    <mergeCell ref="M677:N677"/>
    <mergeCell ref="O677:T679"/>
    <mergeCell ref="M679:N679"/>
    <mergeCell ref="C670:D671"/>
    <mergeCell ref="E671:G671"/>
    <mergeCell ref="C672:D672"/>
    <mergeCell ref="E672:G672"/>
    <mergeCell ref="M672:N672"/>
    <mergeCell ref="O672:T674"/>
    <mergeCell ref="C685:D686"/>
    <mergeCell ref="E686:G686"/>
    <mergeCell ref="C687:D687"/>
    <mergeCell ref="E687:G687"/>
    <mergeCell ref="M687:N687"/>
    <mergeCell ref="O687:T689"/>
    <mergeCell ref="M689:N689"/>
    <mergeCell ref="C680:D681"/>
    <mergeCell ref="E681:G681"/>
    <mergeCell ref="C682:D682"/>
    <mergeCell ref="E682:G682"/>
    <mergeCell ref="M682:N682"/>
    <mergeCell ref="O682:T684"/>
    <mergeCell ref="M684:N684"/>
  </mergeCells>
  <conditionalFormatting sqref="K124">
    <cfRule type="expression" dxfId="43" priority="14">
      <formula>$I$124&lt;&gt;"Yes"</formula>
    </cfRule>
  </conditionalFormatting>
  <conditionalFormatting sqref="K206">
    <cfRule type="expression" dxfId="42" priority="13">
      <formula>$I$206&lt;&gt;"Yes"</formula>
    </cfRule>
  </conditionalFormatting>
  <conditionalFormatting sqref="K288">
    <cfRule type="expression" dxfId="41" priority="12">
      <formula>$I$288&lt;&gt;"Yes"</formula>
    </cfRule>
  </conditionalFormatting>
  <conditionalFormatting sqref="K622">
    <cfRule type="expression" dxfId="40" priority="11">
      <formula>$I$622&lt;&gt;"Yes"</formula>
    </cfRule>
  </conditionalFormatting>
  <conditionalFormatting sqref="K562">
    <cfRule type="expression" dxfId="39" priority="10">
      <formula>$I$562&lt;&gt;"Yes"</formula>
    </cfRule>
  </conditionalFormatting>
  <conditionalFormatting sqref="K508">
    <cfRule type="expression" dxfId="38" priority="9">
      <formula>$I$562&lt;&gt;"Yes"</formula>
    </cfRule>
  </conditionalFormatting>
  <dataValidations count="144">
    <dataValidation type="custom" allowBlank="1" showInputMessage="1" showErrorMessage="1" sqref="K97 K173 K252 K435 K541 K601 K652" xr:uid="{00000000-0002-0000-0200-000000000000}">
      <formula1>AND(K97&lt;=J97,K97&gt;=I97,K98&lt;=X98,K98&gt;=W98)</formula1>
    </dataValidation>
    <dataValidation type="custom" allowBlank="1" showInputMessage="1" showErrorMessage="1" sqref="K96 K172 K251 K434 K540 K600 K651" xr:uid="{00000000-0002-0000-0200-000001000000}">
      <formula1>AND(K96&lt;=J96,K96&gt;=I96,K98&lt;=X98,K98&gt;=W98)</formula1>
    </dataValidation>
    <dataValidation type="custom" allowBlank="1" showInputMessage="1" showErrorMessage="1" sqref="K95 K171 K250 K433 K539 K599 K650" xr:uid="{00000000-0002-0000-0200-000002000000}">
      <formula1>AND(K95&lt;=J95,K95&gt;=I95,K98&lt;=X98,K98&gt;=W98)</formula1>
    </dataValidation>
    <dataValidation type="custom" allowBlank="1" showInputMessage="1" showErrorMessage="1" sqref="K94 K170 K249 K432 K538 K598" xr:uid="{00000000-0002-0000-0200-000003000000}">
      <formula1>AND(K94&lt;=J94,K94&gt;=I94,K98&lt;=X98,K98&gt;=W98)</formula1>
    </dataValidation>
    <dataValidation type="custom" allowBlank="1" showInputMessage="1" showErrorMessage="1" sqref="K93 K169 K248 K431 K537 K597 K648" xr:uid="{00000000-0002-0000-0200-000004000000}">
      <formula1>AND(K93&lt;=J93,K93&gt;=I93,K98&lt;=X98,K98&gt;=W98)</formula1>
    </dataValidation>
    <dataValidation allowBlank="1" showErrorMessage="1" prompt="All Other States" sqref="L10" xr:uid="{00000000-0002-0000-0200-000005000000}"/>
    <dataValidation allowBlank="1" showErrorMessage="1" prompt="AK, AL, CO, CT, FL, GA, HI, IA, IL, KS, LA, MA, MI, MN, MO, NE, NV, NY, OR, PA, TX, WA, WY, DC" sqref="K10" xr:uid="{00000000-0002-0000-0200-000006000000}"/>
    <dataValidation type="custom" allowBlank="1" showInputMessage="1" showErrorMessage="1" error="Please refer to Company." sqref="C664:D664" xr:uid="{00000000-0002-0000-0200-000007000000}">
      <formula1>C664&lt;=25000000</formula1>
    </dataValidation>
    <dataValidation type="list" allowBlank="1" showInputMessage="1" sqref="I128" xr:uid="{00000000-0002-0000-0200-000008000000}">
      <formula1>DOSideA</formula1>
    </dataValidation>
    <dataValidation type="list" allowBlank="1" showInputMessage="1" sqref="H469 H464" xr:uid="{00000000-0002-0000-0200-000009000000}">
      <formula1>WaitPeriod</formula1>
    </dataValidation>
    <dataValidation type="list" allowBlank="1" showInputMessage="1" showErrorMessage="1" sqref="C442:H442 C659:H659 C347:H347" xr:uid="{00000000-0002-0000-0200-00000A000000}">
      <formula1>CybSec41</formula1>
    </dataValidation>
    <dataValidation type="list" allowBlank="1" showInputMessage="1" sqref="D192:H192" xr:uid="{00000000-0002-0000-0200-00000B000000}">
      <formula1>EPLI35</formula1>
    </dataValidation>
    <dataValidation allowBlank="1" showInputMessage="1" showErrorMessage="1" prompt="All Other States" sqref="M10" xr:uid="{00000000-0002-0000-0200-00000C000000}"/>
    <dataValidation type="list" allowBlank="1" showInputMessage="1" showErrorMessage="1" sqref="H446 H496 H450 H454 H458 H500 H462 H472 H476 H480 H484 H488 H492 H467" xr:uid="{00000000-0002-0000-0200-00000D000000}">
      <formula1>CybSec4</formula1>
    </dataValidation>
    <dataValidation type="list" allowBlank="1" showInputMessage="1" showErrorMessage="1" sqref="D426:H426" xr:uid="{00000000-0002-0000-0200-00000E000000}">
      <formula1>Cyber215</formula1>
    </dataValidation>
    <dataValidation type="list" allowBlank="1" showInputMessage="1" showErrorMessage="1" sqref="D423:H423" xr:uid="{00000000-0002-0000-0200-00000F000000}">
      <formula1>Cyber214</formula1>
    </dataValidation>
    <dataValidation type="list" allowBlank="1" showInputMessage="1" showErrorMessage="1" sqref="D420:H420" xr:uid="{00000000-0002-0000-0200-000010000000}">
      <formula1>Cyber213</formula1>
    </dataValidation>
    <dataValidation type="list" allowBlank="1" showInputMessage="1" showErrorMessage="1" sqref="D417:H417" xr:uid="{00000000-0002-0000-0200-000011000000}">
      <formula1>Cyber212</formula1>
    </dataValidation>
    <dataValidation type="list" allowBlank="1" showInputMessage="1" showErrorMessage="1" sqref="D414:H414" xr:uid="{00000000-0002-0000-0200-000012000000}">
      <formula1>Cyber211</formula1>
    </dataValidation>
    <dataValidation type="list" allowBlank="1" showInputMessage="1" showErrorMessage="1" sqref="D411:H411" xr:uid="{00000000-0002-0000-0200-000013000000}">
      <formula1>Cyber210</formula1>
    </dataValidation>
    <dataValidation type="list" allowBlank="1" showInputMessage="1" showErrorMessage="1" sqref="D408:H408" xr:uid="{00000000-0002-0000-0200-000014000000}">
      <formula1>Cyber29</formula1>
    </dataValidation>
    <dataValidation type="list" allowBlank="1" showInputMessage="1" showErrorMessage="1" sqref="D405:H405" xr:uid="{00000000-0002-0000-0200-000015000000}">
      <formula1>Cyber28</formula1>
    </dataValidation>
    <dataValidation type="list" allowBlank="1" showInputMessage="1" showErrorMessage="1" sqref="D402:H402" xr:uid="{00000000-0002-0000-0200-000016000000}">
      <formula1>Cyber27</formula1>
    </dataValidation>
    <dataValidation type="list" allowBlank="1" showInputMessage="1" showErrorMessage="1" sqref="D399:H399" xr:uid="{00000000-0002-0000-0200-000017000000}">
      <formula1>Cyber26</formula1>
    </dataValidation>
    <dataValidation type="list" allowBlank="1" showInputMessage="1" showErrorMessage="1" sqref="D396:H396" xr:uid="{00000000-0002-0000-0200-000018000000}">
      <formula1>Cyber25</formula1>
    </dataValidation>
    <dataValidation type="list" allowBlank="1" showInputMessage="1" showErrorMessage="1" sqref="D393:H393" xr:uid="{00000000-0002-0000-0200-000019000000}">
      <formula1>Cyber24</formula1>
    </dataValidation>
    <dataValidation type="list" allowBlank="1" showInputMessage="1" showErrorMessage="1" sqref="D390:H390" xr:uid="{00000000-0002-0000-0200-00001A000000}">
      <formula1>Cyber23</formula1>
    </dataValidation>
    <dataValidation type="list" allowBlank="1" showInputMessage="1" showErrorMessage="1" sqref="D387:H387" xr:uid="{00000000-0002-0000-0200-00001B000000}">
      <formula1>Cyber22</formula1>
    </dataValidation>
    <dataValidation type="list" allowBlank="1" showInputMessage="1" showErrorMessage="1" sqref="D384:H384" xr:uid="{00000000-0002-0000-0200-00001C000000}">
      <formula1>Cyber21</formula1>
    </dataValidation>
    <dataValidation type="list" allowBlank="1" showInputMessage="1" showErrorMessage="1" sqref="H689 H684 H679" xr:uid="{00000000-0002-0000-0200-00001D000000}">
      <formula1>KRAgg</formula1>
    </dataValidation>
    <dataValidation type="list" allowBlank="1" showInputMessage="1" showErrorMessage="1" sqref="H372" xr:uid="{00000000-0002-0000-0200-00001E000000}">
      <formula1>Crime38</formula1>
    </dataValidation>
    <dataValidation type="list" allowBlank="1" showInputMessage="1" showErrorMessage="1" sqref="D331:H331" xr:uid="{00000000-0002-0000-0200-00001F000000}">
      <formula1>Crime214</formula1>
    </dataValidation>
    <dataValidation type="list" allowBlank="1" showInputMessage="1" showErrorMessage="1" sqref="D328:H328" xr:uid="{00000000-0002-0000-0200-000020000000}">
      <formula1>Crime213</formula1>
    </dataValidation>
    <dataValidation type="list" allowBlank="1" showInputMessage="1" showErrorMessage="1" sqref="D325:H325" xr:uid="{00000000-0002-0000-0200-000021000000}">
      <formula1>Crime210</formula1>
    </dataValidation>
    <dataValidation type="list" allowBlank="1" showInputMessage="1" showErrorMessage="1" sqref="D322:H322" xr:uid="{00000000-0002-0000-0200-000022000000}">
      <formula1>Crime29</formula1>
    </dataValidation>
    <dataValidation type="list" allowBlank="1" showInputMessage="1" showErrorMessage="1" sqref="D319:H319" xr:uid="{00000000-0002-0000-0200-000023000000}">
      <formula1>Crime28</formula1>
    </dataValidation>
    <dataValidation type="list" allowBlank="1" showInputMessage="1" showErrorMessage="1" sqref="D316:H316" xr:uid="{00000000-0002-0000-0200-000024000000}">
      <formula1>Crime27</formula1>
    </dataValidation>
    <dataValidation type="list" allowBlank="1" showInputMessage="1" showErrorMessage="1" sqref="D313:H313" xr:uid="{00000000-0002-0000-0200-000025000000}">
      <formula1>Crime26</formula1>
    </dataValidation>
    <dataValidation type="list" allowBlank="1" showInputMessage="1" showErrorMessage="1" sqref="D310:H310" xr:uid="{00000000-0002-0000-0200-000026000000}">
      <formula1>Crime25</formula1>
    </dataValidation>
    <dataValidation type="list" allowBlank="1" showInputMessage="1" showErrorMessage="1" sqref="D307:H307" xr:uid="{00000000-0002-0000-0200-000027000000}">
      <formula1>Crime24</formula1>
    </dataValidation>
    <dataValidation type="list" allowBlank="1" showInputMessage="1" showErrorMessage="1" sqref="D304:H304" xr:uid="{00000000-0002-0000-0200-000028000000}">
      <formula1>Crime23</formula1>
    </dataValidation>
    <dataValidation type="list" allowBlank="1" showInputMessage="1" showErrorMessage="1" sqref="D301:H301" xr:uid="{00000000-0002-0000-0200-000029000000}">
      <formula1>Crime22</formula1>
    </dataValidation>
    <dataValidation type="list" allowBlank="1" showInputMessage="1" showErrorMessage="1" sqref="D298:H298" xr:uid="{00000000-0002-0000-0200-00002A000000}">
      <formula1>Crime21</formula1>
    </dataValidation>
    <dataValidation type="list" allowBlank="1" showInputMessage="1" sqref="I122 I204 I286 I620 I560 I506 I210 I292" xr:uid="{00000000-0002-0000-0200-00002B000000}">
      <formula1>DefLimit</formula1>
    </dataValidation>
    <dataValidation type="list" allowBlank="1" showInputMessage="1" showErrorMessage="1" sqref="D554:H554" xr:uid="{00000000-0002-0000-0200-00002C000000}">
      <formula1>laweo33</formula1>
    </dataValidation>
    <dataValidation type="list" allowBlank="1" showInputMessage="1" showErrorMessage="1" sqref="D551:H551" xr:uid="{00000000-0002-0000-0200-00002D000000}">
      <formula1>laweo32</formula1>
    </dataValidation>
    <dataValidation type="list" allowBlank="1" showInputMessage="1" showErrorMessage="1" sqref="D548:H548" xr:uid="{00000000-0002-0000-0200-00002E000000}">
      <formula1>laweo31</formula1>
    </dataValidation>
    <dataValidation type="list" allowBlank="1" showInputMessage="1" showErrorMessage="1" sqref="D532:H532" xr:uid="{00000000-0002-0000-0200-00002F000000}">
      <formula1>laweo210</formula1>
    </dataValidation>
    <dataValidation type="list" allowBlank="1" showInputMessage="1" showErrorMessage="1" sqref="D529:H529" xr:uid="{00000000-0002-0000-0200-000030000000}">
      <formula1>laweo28</formula1>
    </dataValidation>
    <dataValidation type="list" allowBlank="1" showInputMessage="1" showErrorMessage="1" sqref="D526:H526" xr:uid="{00000000-0002-0000-0200-000031000000}">
      <formula1>laweo27</formula1>
    </dataValidation>
    <dataValidation type="list" allowBlank="1" showInputMessage="1" showErrorMessage="1" sqref="D523:H523" xr:uid="{00000000-0002-0000-0200-000032000000}">
      <formula1>laweo26</formula1>
    </dataValidation>
    <dataValidation type="list" allowBlank="1" showInputMessage="1" showErrorMessage="1" sqref="D520:H520" xr:uid="{00000000-0002-0000-0200-000033000000}">
      <formula1>laweo24</formula1>
    </dataValidation>
    <dataValidation type="list" allowBlank="1" showInputMessage="1" showErrorMessage="1" sqref="D517:H517" xr:uid="{00000000-0002-0000-0200-000034000000}">
      <formula1>laweo23</formula1>
    </dataValidation>
    <dataValidation type="list" allowBlank="1" showInputMessage="1" showErrorMessage="1" sqref="D514:H514" xr:uid="{00000000-0002-0000-0200-000035000000}">
      <formula1>laweo22</formula1>
    </dataValidation>
    <dataValidation type="list" allowBlank="1" showInputMessage="1" showErrorMessage="1" sqref="D614:H614" xr:uid="{00000000-0002-0000-0200-000036000000}">
      <formula1>MPLI33</formula1>
    </dataValidation>
    <dataValidation type="list" allowBlank="1" showInputMessage="1" showErrorMessage="1" sqref="D611:H611" xr:uid="{00000000-0002-0000-0200-000037000000}">
      <formula1>MPLI32</formula1>
    </dataValidation>
    <dataValidation type="list" allowBlank="1" showInputMessage="1" showErrorMessage="1" sqref="D608:H608" xr:uid="{00000000-0002-0000-0200-000038000000}">
      <formula1>MPLI31</formula1>
    </dataValidation>
    <dataValidation type="list" allowBlank="1" showInputMessage="1" showErrorMessage="1" sqref="D592:H592" xr:uid="{00000000-0002-0000-0200-000039000000}">
      <formula1>MPLI29</formula1>
    </dataValidation>
    <dataValidation type="list" allowBlank="1" showInputMessage="1" showErrorMessage="1" sqref="D589:H589" xr:uid="{00000000-0002-0000-0200-00003A000000}">
      <formula1>MPLI28</formula1>
    </dataValidation>
    <dataValidation type="list" allowBlank="1" showInputMessage="1" showErrorMessage="1" sqref="D586:H586" xr:uid="{00000000-0002-0000-0200-00003B000000}">
      <formula1>MPLI27</formula1>
    </dataValidation>
    <dataValidation type="list" allowBlank="1" showInputMessage="1" showErrorMessage="1" sqref="D583:H583" xr:uid="{00000000-0002-0000-0200-00003C000000}">
      <formula1>MPLI26</formula1>
    </dataValidation>
    <dataValidation type="list" allowBlank="1" showInputMessage="1" showErrorMessage="1" sqref="D580:H580" xr:uid="{00000000-0002-0000-0200-00003D000000}">
      <formula1>MPLI25</formula1>
    </dataValidation>
    <dataValidation type="list" allowBlank="1" showInputMessage="1" showErrorMessage="1" sqref="D577:H577" xr:uid="{00000000-0002-0000-0200-00003E000000}">
      <formula1>MPLI24</formula1>
    </dataValidation>
    <dataValidation type="list" allowBlank="1" showInputMessage="1" showErrorMessage="1" sqref="D574:H574" xr:uid="{00000000-0002-0000-0200-00003F000000}">
      <formula1>MPLI23</formula1>
    </dataValidation>
    <dataValidation type="list" allowBlank="1" showInputMessage="1" showErrorMessage="1" sqref="D571:H571" xr:uid="{00000000-0002-0000-0200-000040000000}">
      <formula1>MPLI22</formula1>
    </dataValidation>
    <dataValidation type="list" allowBlank="1" showInputMessage="1" showErrorMessage="1" sqref="D568:H568" xr:uid="{00000000-0002-0000-0200-000041000000}">
      <formula1>MPLI21</formula1>
    </dataValidation>
    <dataValidation type="list" allowBlank="1" showInputMessage="1" showErrorMessage="1" sqref="P34" xr:uid="{00000000-0002-0000-0200-000042000000}">
      <formula1>MPLHaz</formula1>
    </dataValidation>
    <dataValidation type="list" allowBlank="1" showInputMessage="1" showErrorMessage="1" sqref="I124 I206 I288 I622 I562 I508" xr:uid="{00000000-0002-0000-0200-000043000000}">
      <formula1>YN</formula1>
    </dataValidation>
    <dataValidation type="list" allowBlank="1" showInputMessage="1" sqref="D280:H280 D265:H265 D268:H268 D271:H271 D274:H274 D277:H277" xr:uid="{00000000-0002-0000-0200-000044000000}">
      <formula1>Fidu33</formula1>
    </dataValidation>
    <dataValidation type="list" allowBlank="1" showInputMessage="1" sqref="D198:H198" xr:uid="{00000000-0002-0000-0200-000045000000}">
      <formula1>EPLI37</formula1>
    </dataValidation>
    <dataValidation type="list" allowBlank="1" showInputMessage="1" sqref="D195:H195" xr:uid="{00000000-0002-0000-0200-000046000000}">
      <formula1>EPLI36</formula1>
    </dataValidation>
    <dataValidation type="list" allowBlank="1" showInputMessage="1" showErrorMessage="1" sqref="I192" xr:uid="{00000000-0002-0000-0200-000047000000}">
      <formula1>Hazard2</formula1>
    </dataValidation>
    <dataValidation type="list" allowBlank="1" showInputMessage="1" showErrorMessage="1" sqref="D189:H189" xr:uid="{00000000-0002-0000-0200-000048000000}">
      <formula1>EPLI34</formula1>
    </dataValidation>
    <dataValidation type="list" allowBlank="1" showInputMessage="1" showErrorMessage="1" sqref="D186:H186" xr:uid="{00000000-0002-0000-0200-000049000000}">
      <formula1>EPLI33</formula1>
    </dataValidation>
    <dataValidation type="list" allowBlank="1" showInputMessage="1" showErrorMessage="1" sqref="D183:H183" xr:uid="{00000000-0002-0000-0200-00004A000000}">
      <formula1>EPLI32</formula1>
    </dataValidation>
    <dataValidation type="list" allowBlank="1" showInputMessage="1" showErrorMessage="1" sqref="D180:H180 D259:H259" xr:uid="{00000000-0002-0000-0200-00004B000000}">
      <formula1>EPLI31</formula1>
    </dataValidation>
    <dataValidation type="list" allowBlank="1" showInputMessage="1" sqref="D116:H116 D113:H113" xr:uid="{00000000-0002-0000-0200-00004C000000}">
      <formula1>DandO35</formula1>
    </dataValidation>
    <dataValidation type="list" allowBlank="1" showInputMessage="1" sqref="D110:H110" xr:uid="{00000000-0002-0000-0200-00004D000000}">
      <formula1>DandO34</formula1>
    </dataValidation>
    <dataValidation type="list" allowBlank="1" showInputMessage="1" showErrorMessage="1" sqref="D107:H107" xr:uid="{00000000-0002-0000-0200-00004E000000}">
      <formula1>DandO33</formula1>
    </dataValidation>
    <dataValidation type="list" allowBlank="1" showInputMessage="1" showErrorMessage="1" sqref="D104:H104" xr:uid="{00000000-0002-0000-0200-00004F000000}">
      <formula1>DandO31</formula1>
    </dataValidation>
    <dataValidation type="decimal" allowBlank="1" showInputMessage="1" showErrorMessage="1" sqref="L55 L380 L58 M288 L70 L73 L76 L79 L82 L85 L88 L67 L134 L137 L152 L155 L140 L164 L107 L143 L146 L149 L189 L216 L161 L234 L237 L243 L219 L222 L225 L228 L231 L240 L198 L628 L614 L631 L634 L637 L280 L104 L110 L113 L180 L183 L186 L195 L259 L265 L268 L271 L274 L277 L643 L354 L357 L360 L363 L366 L369 L372 L640 L51:L52 L116:L122 L125:L130 M124 L203:L204 L207:L208 M206 L285:L286 L289:L290 L61 L64 L523 L158 L568 L554 L571 L611 L583 L589 L592 L580 L574 L577 L691 M622 L608 L623:L624 L619:L620 L514 L375 L551 L526 L529 L517 L520 M562 L548 L563:L564 L559:L560 L532 L325 L298 L262 L328 L301 L304 L331 L307 L310 L313 L316 L319 L322 L351 L664 L659 L668 L672 L347 L677 L679 L682 L684 L687 L689 L384 L387 L390 L393 L396 L399 L402 L405 L408 L411 L414 L417 L420 L423 L426 L510 L446 L450 L454 L458 L462:L463 L442 L472 L476 L480 L484 L488 L492 L496 L500 L467:L468 M508 L505:L506" xr:uid="{00000000-0002-0000-0200-000050000000}">
      <formula1>I51</formula1>
      <formula2>K51</formula2>
    </dataValidation>
    <dataValidation type="list" allowBlank="1" showInputMessage="1" showErrorMessage="1" sqref="D643:H643" xr:uid="{00000000-0002-0000-0200-000051000000}">
      <formula1>KandR26</formula1>
    </dataValidation>
    <dataValidation type="list" allowBlank="1" showInputMessage="1" showErrorMessage="1" sqref="D640:H640" xr:uid="{00000000-0002-0000-0200-000052000000}">
      <formula1>KandR25</formula1>
    </dataValidation>
    <dataValidation type="list" allowBlank="1" showInputMessage="1" showErrorMessage="1" sqref="D637:H637" xr:uid="{00000000-0002-0000-0200-000053000000}">
      <formula1>KandR24</formula1>
    </dataValidation>
    <dataValidation type="list" allowBlank="1" showInputMessage="1" showErrorMessage="1" sqref="D634:H634" xr:uid="{00000000-0002-0000-0200-000054000000}">
      <formula1>KandR23</formula1>
    </dataValidation>
    <dataValidation type="list" allowBlank="1" showInputMessage="1" showErrorMessage="1" sqref="D631:H631" xr:uid="{00000000-0002-0000-0200-000055000000}">
      <formula1>KandR22</formula1>
    </dataValidation>
    <dataValidation type="list" allowBlank="1" showInputMessage="1" showErrorMessage="1" sqref="D628:H628" xr:uid="{00000000-0002-0000-0200-000056000000}">
      <formula1>KandR21</formula1>
    </dataValidation>
    <dataValidation type="list" allowBlank="1" showInputMessage="1" showErrorMessage="1" sqref="D243:H243" xr:uid="{00000000-0002-0000-0200-000057000000}">
      <formula1>Fidu212</formula1>
    </dataValidation>
    <dataValidation type="list" allowBlank="1" showInputMessage="1" showErrorMessage="1" sqref="D234:H234" xr:uid="{00000000-0002-0000-0200-000058000000}">
      <formula1>Fidu29</formula1>
    </dataValidation>
    <dataValidation type="list" allowBlank="1" showInputMessage="1" showErrorMessage="1" sqref="D231:H231" xr:uid="{00000000-0002-0000-0200-000059000000}">
      <formula1>Fidu28</formula1>
    </dataValidation>
    <dataValidation type="list" allowBlank="1" showInputMessage="1" showErrorMessage="1" sqref="D228:H228" xr:uid="{00000000-0002-0000-0200-00005A000000}">
      <formula1>Fidu27</formula1>
    </dataValidation>
    <dataValidation type="list" allowBlank="1" showInputMessage="1" showErrorMessage="1" sqref="D225:H225" xr:uid="{00000000-0002-0000-0200-00005B000000}">
      <formula1>Fidu26</formula1>
    </dataValidation>
    <dataValidation type="list" allowBlank="1" showInputMessage="1" showErrorMessage="1" sqref="D222:H222" xr:uid="{00000000-0002-0000-0200-00005C000000}">
      <formula1>Fidu24</formula1>
    </dataValidation>
    <dataValidation type="list" allowBlank="1" showInputMessage="1" showErrorMessage="1" sqref="D164:H164" xr:uid="{00000000-0002-0000-0200-00005D000000}">
      <formula1>EPLI213</formula1>
    </dataValidation>
    <dataValidation type="list" allowBlank="1" showInputMessage="1" showErrorMessage="1" sqref="D152:H152" xr:uid="{00000000-0002-0000-0200-00005E000000}">
      <formula1>EPLI29</formula1>
    </dataValidation>
    <dataValidation type="list" allowBlank="1" showInputMessage="1" showErrorMessage="1" sqref="D149:H149" xr:uid="{00000000-0002-0000-0200-00005F000000}">
      <formula1>EPLI28</formula1>
    </dataValidation>
    <dataValidation type="list" allowBlank="1" showInputMessage="1" showErrorMessage="1" sqref="D146:H146" xr:uid="{00000000-0002-0000-0200-000060000000}">
      <formula1>EPLI27</formula1>
    </dataValidation>
    <dataValidation type="list" allowBlank="1" showInputMessage="1" showErrorMessage="1" sqref="D134:H134" xr:uid="{00000000-0002-0000-0200-000061000000}">
      <formula1>EPLI22</formula1>
    </dataValidation>
    <dataValidation type="list" allowBlank="1" showInputMessage="1" showErrorMessage="1" sqref="D88:H88" xr:uid="{00000000-0002-0000-0200-000062000000}">
      <formula1>DandO213</formula1>
    </dataValidation>
    <dataValidation type="list" allowBlank="1" showInputMessage="1" showErrorMessage="1" sqref="D85:H85" xr:uid="{00000000-0002-0000-0200-000063000000}">
      <formula1>DandO212</formula1>
    </dataValidation>
    <dataValidation type="list" allowBlank="1" showInputMessage="1" showErrorMessage="1" sqref="D82:H82" xr:uid="{00000000-0002-0000-0200-000064000000}">
      <formula1>DandO211</formula1>
    </dataValidation>
    <dataValidation type="list" allowBlank="1" showInputMessage="1" showErrorMessage="1" sqref="D70:H70" xr:uid="{00000000-0002-0000-0200-000065000000}">
      <formula1>DandO27</formula1>
    </dataValidation>
    <dataValidation type="list" allowBlank="1" showInputMessage="1" showErrorMessage="1" sqref="D67:H67" xr:uid="{00000000-0002-0000-0200-000066000000}">
      <formula1>DandO26</formula1>
    </dataValidation>
    <dataValidation type="list" allowBlank="1" showInputMessage="1" showErrorMessage="1" sqref="D161:H161" xr:uid="{00000000-0002-0000-0200-000067000000}">
      <formula1>EPLI212</formula1>
    </dataValidation>
    <dataValidation type="list" allowBlank="1" showInputMessage="1" showErrorMessage="1" sqref="D240:H240" xr:uid="{00000000-0002-0000-0200-000068000000}">
      <formula1>Fidu211</formula1>
    </dataValidation>
    <dataValidation type="list" allowBlank="1" showInputMessage="1" showErrorMessage="1" sqref="D158:H158" xr:uid="{00000000-0002-0000-0200-000069000000}">
      <formula1>EPLI211</formula1>
    </dataValidation>
    <dataValidation type="list" allowBlank="1" showInputMessage="1" showErrorMessage="1" sqref="D237:H237" xr:uid="{00000000-0002-0000-0200-00006A000000}">
      <formula1>Fidu210</formula1>
    </dataValidation>
    <dataValidation type="list" allowBlank="1" showInputMessage="1" showErrorMessage="1" sqref="D155:H155" xr:uid="{00000000-0002-0000-0200-00006B000000}">
      <formula1>EPLI210</formula1>
    </dataValidation>
    <dataValidation type="list" allowBlank="1" showInputMessage="1" showErrorMessage="1" sqref="D79:H79" xr:uid="{00000000-0002-0000-0200-00006C000000}">
      <formula1>DandO210</formula1>
    </dataValidation>
    <dataValidation type="list" allowBlank="1" showInputMessage="1" showErrorMessage="1" sqref="D76:H76" xr:uid="{00000000-0002-0000-0200-00006D000000}">
      <formula1>DandO29</formula1>
    </dataValidation>
    <dataValidation type="list" allowBlank="1" showInputMessage="1" showErrorMessage="1" sqref="D73:H73" xr:uid="{00000000-0002-0000-0200-00006E000000}">
      <formula1>DandO28</formula1>
    </dataValidation>
    <dataValidation type="list" allowBlank="1" showInputMessage="1" showErrorMessage="1" sqref="D143:H143" xr:uid="{00000000-0002-0000-0200-00006F000000}">
      <formula1>EPLI26</formula1>
    </dataValidation>
    <dataValidation type="list" allowBlank="1" showInputMessage="1" showErrorMessage="1" sqref="D64:H64" xr:uid="{00000000-0002-0000-0200-000070000000}">
      <formula1>DandO25</formula1>
    </dataValidation>
    <dataValidation type="list" allowBlank="1" showInputMessage="1" showErrorMessage="1" sqref="D140:H140" xr:uid="{00000000-0002-0000-0200-000071000000}">
      <formula1>EPLI24</formula1>
    </dataValidation>
    <dataValidation type="list" allowBlank="1" showInputMessage="1" showErrorMessage="1" sqref="D61:H61" xr:uid="{00000000-0002-0000-0200-000072000000}">
      <formula1>DandO24</formula1>
    </dataValidation>
    <dataValidation type="list" allowBlank="1" showInputMessage="1" showErrorMessage="1" sqref="D219:H219" xr:uid="{00000000-0002-0000-0200-000073000000}">
      <formula1>Fidu23</formula1>
    </dataValidation>
    <dataValidation type="list" allowBlank="1" showInputMessage="1" showErrorMessage="1" sqref="D137:H137" xr:uid="{00000000-0002-0000-0200-000074000000}">
      <formula1>EPLI23</formula1>
    </dataValidation>
    <dataValidation type="list" allowBlank="1" showInputMessage="1" showErrorMessage="1" sqref="D58:H58" xr:uid="{00000000-0002-0000-0200-000075000000}">
      <formula1>DandO23</formula1>
    </dataValidation>
    <dataValidation type="list" allowBlank="1" showInputMessage="1" showErrorMessage="1" sqref="D216:H216" xr:uid="{00000000-0002-0000-0200-000076000000}">
      <formula1>Fidu22</formula1>
    </dataValidation>
    <dataValidation type="list" allowBlank="1" showInputMessage="1" showErrorMessage="1" sqref="D55:H55" xr:uid="{00000000-0002-0000-0200-000077000000}">
      <formula1>DandO22</formula1>
    </dataValidation>
    <dataValidation type="list" allowBlank="1" showInputMessage="1" showErrorMessage="1" sqref="D262:H262" xr:uid="{00000000-0002-0000-0200-000078000000}">
      <formula1>Fidu32</formula1>
    </dataValidation>
    <dataValidation type="custom" allowBlank="1" showInputMessage="1" showErrorMessage="1" sqref="K340" xr:uid="{00000000-0002-0000-0200-000079000000}">
      <formula1>AND(K340&lt;=J340,K340&gt;=I340,K341&lt;=W341,K341&gt;=V341)</formula1>
    </dataValidation>
    <dataValidation type="custom" allowBlank="1" showInputMessage="1" showErrorMessage="1" sqref="K339" xr:uid="{00000000-0002-0000-0200-00007A000000}">
      <formula1>AND(K339&lt;=J339,K339&gt;=I339,K341&lt;=W341,K341&gt;=V341)</formula1>
    </dataValidation>
    <dataValidation type="custom" allowBlank="1" showInputMessage="1" showErrorMessage="1" sqref="K338" xr:uid="{00000000-0002-0000-0200-00007B000000}">
      <formula1>AND(K338&lt;=J338,K338&gt;=I338,K341&lt;=W341,K341&gt;=V341)</formula1>
    </dataValidation>
    <dataValidation type="custom" allowBlank="1" showInputMessage="1" showErrorMessage="1" sqref="K337" xr:uid="{00000000-0002-0000-0200-00007C000000}">
      <formula1>AND(K337&lt;=J337,K337&gt;=I337,K341&lt;=W341,K341&gt;=V341)</formula1>
    </dataValidation>
    <dataValidation type="custom" allowBlank="1" showInputMessage="1" showErrorMessage="1" sqref="K336" xr:uid="{00000000-0002-0000-0200-00007D000000}">
      <formula1>AND(K336&lt;=J336,K336&gt;=I336,K341&lt;=W341,K341&gt;=V341)</formula1>
    </dataValidation>
    <dataValidation type="custom" allowBlank="1" showInputMessage="1" showErrorMessage="1" sqref="K649" xr:uid="{00000000-0002-0000-0200-00007E000000}">
      <formula1>AND(K649&lt;=J649,K649&gt;=I649,K654&lt;=X653,K654&gt;=W653)</formula1>
    </dataValidation>
    <dataValidation type="decimal" allowBlank="1" showInputMessage="1" showErrorMessage="1" sqref="L90" xr:uid="{00000000-0002-0000-0200-00007F000000}">
      <formula1>X90</formula1>
      <formula2>K90</formula2>
    </dataValidation>
    <dataValidation type="decimal" allowBlank="1" showInputMessage="1" showErrorMessage="1" sqref="L534 L594" xr:uid="{00000000-0002-0000-0200-000080000000}">
      <formula1>W534</formula1>
      <formula2>K534</formula2>
    </dataValidation>
    <dataValidation type="decimal" allowBlank="1" showInputMessage="1" showErrorMessage="1" sqref="L333" xr:uid="{00000000-0002-0000-0200-000081000000}">
      <formula1>W334</formula1>
      <formula2>K333</formula2>
    </dataValidation>
    <dataValidation type="custom" allowBlank="1" showInputMessage="1" showErrorMessage="1" sqref="C446:D446" xr:uid="{00000000-0002-0000-0200-000082000000}">
      <formula1>C446&lt;=D41</formula1>
    </dataValidation>
    <dataValidation type="custom" allowBlank="1" showInputMessage="1" showErrorMessage="1" sqref="C450:D450" xr:uid="{00000000-0002-0000-0200-000083000000}">
      <formula1>C450&lt;=D41</formula1>
    </dataValidation>
    <dataValidation type="custom" allowBlank="1" showInputMessage="1" showErrorMessage="1" sqref="C454:D454" xr:uid="{00000000-0002-0000-0200-000084000000}">
      <formula1>C454&lt;=D41</formula1>
    </dataValidation>
    <dataValidation type="custom" allowBlank="1" showInputMessage="1" showErrorMessage="1" sqref="C458:D458" xr:uid="{00000000-0002-0000-0200-000085000000}">
      <formula1>C458&lt;=D41</formula1>
    </dataValidation>
    <dataValidation type="custom" allowBlank="1" showInputMessage="1" showErrorMessage="1" sqref="C462:D462" xr:uid="{00000000-0002-0000-0200-000086000000}">
      <formula1>C462&lt;=D41</formula1>
    </dataValidation>
    <dataValidation type="custom" allowBlank="1" showInputMessage="1" showErrorMessage="1" sqref="C467:D467" xr:uid="{00000000-0002-0000-0200-000087000000}">
      <formula1>C467&lt;=D41</formula1>
    </dataValidation>
    <dataValidation type="custom" allowBlank="1" showInputMessage="1" showErrorMessage="1" sqref="C472:D472" xr:uid="{00000000-0002-0000-0200-000088000000}">
      <formula1>C472&lt;=D41</formula1>
    </dataValidation>
    <dataValidation type="custom" allowBlank="1" showInputMessage="1" showErrorMessage="1" sqref="C476:D476" xr:uid="{00000000-0002-0000-0200-000089000000}">
      <formula1>C476&lt;=D41</formula1>
    </dataValidation>
    <dataValidation type="custom" allowBlank="1" showInputMessage="1" showErrorMessage="1" sqref="C480:D480" xr:uid="{00000000-0002-0000-0200-00008A000000}">
      <formula1>C480&lt;=D41</formula1>
    </dataValidation>
    <dataValidation type="custom" allowBlank="1" showInputMessage="1" showErrorMessage="1" sqref="C484:D484" xr:uid="{00000000-0002-0000-0200-00008B000000}">
      <formula1>C484&lt;=D41</formula1>
    </dataValidation>
    <dataValidation type="custom" allowBlank="1" showInputMessage="1" showErrorMessage="1" sqref="C488:D488" xr:uid="{00000000-0002-0000-0200-00008C000000}">
      <formula1>C488&lt;=D41</formula1>
    </dataValidation>
    <dataValidation type="custom" allowBlank="1" showInputMessage="1" showErrorMessage="1" sqref="C492:D492" xr:uid="{00000000-0002-0000-0200-00008D000000}">
      <formula1>C492&lt;=D41</formula1>
    </dataValidation>
    <dataValidation type="custom" allowBlank="1" showInputMessage="1" showErrorMessage="1" sqref="C496:D496" xr:uid="{00000000-0002-0000-0200-00008E000000}">
      <formula1>C496&lt;=D41</formula1>
    </dataValidation>
    <dataValidation type="custom" allowBlank="1" showInputMessage="1" showErrorMessage="1" sqref="C500:D500" xr:uid="{00000000-0002-0000-0200-00008F000000}">
      <formula1>C500&lt;=D41</formula1>
    </dataValidation>
  </dataValidations>
  <printOptions horizontalCentered="1"/>
  <pageMargins left="0.2" right="0.2" top="0.75" bottom="0.75" header="0.3" footer="0.3"/>
  <pageSetup scale="48" fitToHeight="10" orientation="portrait" horizontalDpi="300" r:id="rId1"/>
  <drawing r:id="rId2"/>
  <legacyDrawing r:id="rId3"/>
  <controls>
    <mc:AlternateContent xmlns:mc="http://schemas.openxmlformats.org/markup-compatibility/2006">
      <mc:Choice Requires="x14">
        <control shapeId="5121" r:id="rId4" name="CheckBox1">
          <controlPr autoLine="0" linkedCell="X30" r:id="rId5">
            <anchor moveWithCells="1">
              <from>
                <xdr:col>3</xdr:col>
                <xdr:colOff>57150</xdr:colOff>
                <xdr:row>29</xdr:row>
                <xdr:rowOff>57150</xdr:rowOff>
              </from>
              <to>
                <xdr:col>3</xdr:col>
                <xdr:colOff>1152525</xdr:colOff>
                <xdr:row>30</xdr:row>
                <xdr:rowOff>133350</xdr:rowOff>
              </to>
            </anchor>
          </controlPr>
        </control>
      </mc:Choice>
      <mc:Fallback>
        <control shapeId="5121" r:id="rId4" name="CheckBox1"/>
      </mc:Fallback>
    </mc:AlternateContent>
    <mc:AlternateContent xmlns:mc="http://schemas.openxmlformats.org/markup-compatibility/2006">
      <mc:Choice Requires="x14">
        <control shapeId="5122" r:id="rId6" name="CheckBox2">
          <controlPr autoLine="0" linkedCell="Y30" r:id="rId7">
            <anchor moveWithCells="1">
              <from>
                <xdr:col>8</xdr:col>
                <xdr:colOff>57150</xdr:colOff>
                <xdr:row>29</xdr:row>
                <xdr:rowOff>0</xdr:rowOff>
              </from>
              <to>
                <xdr:col>9</xdr:col>
                <xdr:colOff>0</xdr:colOff>
                <xdr:row>30</xdr:row>
                <xdr:rowOff>76200</xdr:rowOff>
              </to>
            </anchor>
          </controlPr>
        </control>
      </mc:Choice>
      <mc:Fallback>
        <control shapeId="5122" r:id="rId6" name="CheckBox2"/>
      </mc:Fallback>
    </mc:AlternateContent>
    <mc:AlternateContent xmlns:mc="http://schemas.openxmlformats.org/markup-compatibility/2006">
      <mc:Choice Requires="x14">
        <control shapeId="5123" r:id="rId8" name="CheckBox3">
          <controlPr autoLine="0" linkedCell="Z30" r:id="rId9">
            <anchor moveWithCells="1">
              <from>
                <xdr:col>15</xdr:col>
                <xdr:colOff>57150</xdr:colOff>
                <xdr:row>29</xdr:row>
                <xdr:rowOff>0</xdr:rowOff>
              </from>
              <to>
                <xdr:col>15</xdr:col>
                <xdr:colOff>1038225</xdr:colOff>
                <xdr:row>30</xdr:row>
                <xdr:rowOff>76200</xdr:rowOff>
              </to>
            </anchor>
          </controlPr>
        </control>
      </mc:Choice>
      <mc:Fallback>
        <control shapeId="5123" r:id="rId8" name="CheckBox3"/>
      </mc:Fallback>
    </mc:AlternateContent>
    <mc:AlternateContent xmlns:mc="http://schemas.openxmlformats.org/markup-compatibility/2006">
      <mc:Choice Requires="x14">
        <control shapeId="5124" r:id="rId10" name="CheckBox4">
          <controlPr autoLine="0" linkedCell="AC30" r:id="rId11">
            <anchor moveWithCells="1">
              <from>
                <xdr:col>15</xdr:col>
                <xdr:colOff>57150</xdr:colOff>
                <xdr:row>47</xdr:row>
                <xdr:rowOff>38100</xdr:rowOff>
              </from>
              <to>
                <xdr:col>16</xdr:col>
                <xdr:colOff>0</xdr:colOff>
                <xdr:row>47</xdr:row>
                <xdr:rowOff>304800</xdr:rowOff>
              </to>
            </anchor>
          </controlPr>
        </control>
      </mc:Choice>
      <mc:Fallback>
        <control shapeId="5124" r:id="rId10" name="CheckBox4"/>
      </mc:Fallback>
    </mc:AlternateContent>
    <mc:AlternateContent xmlns:mc="http://schemas.openxmlformats.org/markup-compatibility/2006">
      <mc:Choice Requires="x14">
        <control shapeId="5125" r:id="rId12" name="CheckBox5">
          <controlPr autoLine="0" linkedCell="AB30" r:id="rId13">
            <anchor moveWithCells="1">
              <from>
                <xdr:col>8</xdr:col>
                <xdr:colOff>57150</xdr:colOff>
                <xdr:row>47</xdr:row>
                <xdr:rowOff>9525</xdr:rowOff>
              </from>
              <to>
                <xdr:col>9</xdr:col>
                <xdr:colOff>0</xdr:colOff>
                <xdr:row>47</xdr:row>
                <xdr:rowOff>266700</xdr:rowOff>
              </to>
            </anchor>
          </controlPr>
        </control>
      </mc:Choice>
      <mc:Fallback>
        <control shapeId="5125" r:id="rId12" name="CheckBox5"/>
      </mc:Fallback>
    </mc:AlternateContent>
    <mc:AlternateContent xmlns:mc="http://schemas.openxmlformats.org/markup-compatibility/2006">
      <mc:Choice Requires="x14">
        <control shapeId="5126" r:id="rId14" name="CheckBox6">
          <controlPr autoLine="0" linkedCell="AA30" r:id="rId15">
            <anchor moveWithCells="1">
              <from>
                <xdr:col>3</xdr:col>
                <xdr:colOff>57150</xdr:colOff>
                <xdr:row>46</xdr:row>
                <xdr:rowOff>352425</xdr:rowOff>
              </from>
              <to>
                <xdr:col>3</xdr:col>
                <xdr:colOff>1047750</xdr:colOff>
                <xdr:row>47</xdr:row>
                <xdr:rowOff>209550</xdr:rowOff>
              </to>
            </anchor>
          </controlPr>
        </control>
      </mc:Choice>
      <mc:Fallback>
        <control shapeId="5126" r:id="rId14" name="CheckBox6"/>
      </mc:Fallback>
    </mc:AlternateContent>
    <mc:AlternateContent xmlns:mc="http://schemas.openxmlformats.org/markup-compatibility/2006">
      <mc:Choice Requires="x14">
        <control shapeId="5134" r:id="rId16" name="Button 14">
          <controlPr defaultSize="0" print="0" autoFill="0" autoPict="0" macro="[0]!hist">
            <anchor moveWithCells="1" sizeWithCells="1">
              <from>
                <xdr:col>15</xdr:col>
                <xdr:colOff>171450</xdr:colOff>
                <xdr:row>46</xdr:row>
                <xdr:rowOff>38100</xdr:rowOff>
              </from>
              <to>
                <xdr:col>16</xdr:col>
                <xdr:colOff>28575</xdr:colOff>
                <xdr:row>46</xdr:row>
                <xdr:rowOff>333375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5" id="{54409F1C-D29F-4E60-9E93-A7F2942FBAC2}">
            <xm:f>'Account Info'!$T$5=FALSE</xm:f>
            <x14:dxf>
              <fill>
                <patternFill patternType="mediumGray"/>
              </fill>
            </x14:dxf>
          </x14:cfRule>
          <xm:sqref>H2:I2 G30:M31 G29 I29:M29 G7:M28</xm:sqref>
        </x14:conditionalFormatting>
        <x14:conditionalFormatting xmlns:xm="http://schemas.microsoft.com/office/excel/2006/main">
          <x14:cfRule type="expression" priority="16" id="{1FFD0BCD-BC70-4F4B-9600-FCD6551B0F83}">
            <xm:f>'Account Info'!$T$4=FALSE</xm:f>
            <x14:dxf>
              <fill>
                <patternFill patternType="mediumGray"/>
              </fill>
            </x14:dxf>
          </x14:cfRule>
          <xm:sqref>B7:F31 C2:D2</xm:sqref>
        </x14:conditionalFormatting>
        <x14:conditionalFormatting xmlns:xm="http://schemas.microsoft.com/office/excel/2006/main">
          <x14:cfRule type="expression" priority="17" id="{EB037454-DD3D-40BB-B77D-E72CB8C3045D}">
            <xm:f>'Account Info'!$AA$4="Flat Rate State"</xm:f>
            <x14:dxf>
              <fill>
                <patternFill>
                  <bgColor theme="1"/>
                </patternFill>
              </fill>
            </x14:dxf>
          </x14:cfRule>
          <xm:sqref>K116:L116 K55:L55 I55 I58 I64 I73 I76 I79 I82 I85 I88 I143 I137 I140 I158 I155 I161:I162 I134 I216 I219 I237 I240 I222 I225 I228 I231 I234 I243 K628:L628 I628 I631 I634 I637 I640 I643 I61 I104 K110:L110 I107 K113:L113 I180 I183 I186 I189 K192 I259 I262 K51:L51 I51 I67 I70 I146 I149 I152 I164 I568 I571 I577:I578 I586 I589 I592 I574 I580 I583 K586:L586 I608 I611 I614 I514 I520:I521 I529 I532 I517 I523 I548 I551 I554 I526 I298 I304:I305 I331 I301 I307 I310 I328 I316 I319 I322 I325 I313 I351 I354 I372 I357 I360 I363 I366 I369 I375 I442 I659 K568:L568 K514:L514 K298:L298 K351:L351 K58:L58 K61:L61 K64:L64 K67:L67 K70:L70 K73:L73 K76:L76 K79:L79 K82:L82 K85:L85 K88:L88 K104:L104 K107:L107 K134:L134 K137:L137 K140:L140 K143:L143 K146:L146 K149:L149 K152:L152 K155:L155 K158:L158 K161:L161 K164:L164 K180:L180 K183:L183 K186:L186 K189:L189 K216:L216 K219:L219 K222:L222 K225:L225 K228:L228 K231:L231 K234:L234 K237:L237 K240:L240 K243:L243 K259:L259 K262:L262 K301:L301 K304:L304 K307:L307 K310:L310 K313:L313 K316:L316 K319:L319 K322:L322 K325:L325 K328:L328 K331:L331 K354:L354 K357:L357 K360:L360 K363:L363 K366:L366 K369:L369 K372:L372 K375:L375 K517:L517 K520:L520 K523:L523 K526:L526 K529:L529 K532:L532 K548:L548 K551:L551 K554:L554 K571:L571 K574:L574 K577:L577 K580:L580 K583:L583 K589:L589 K592:L592 K608:L608 K611:L611 K614:L614 K631:L631 K634:L634 K637:L637 K640:L640 K643:L643 I679 K679:L679 I684 K684:L684 I689 K689:L689 I672 K672:L672 I664 K664:L664 I668 K668:L668 I677 K677:L677 I682 K682:L682 I687 K687:L687 I384 K384:L384 I387 K387:L387 I390 K390:L390 I393 K393:L393 I396 K396:L396 I399 K399:L399 I402:I403 K402:L403 I405:I406 K405:L406 I408:I409 K408:L409 I411:I412 K411:L412 I414:I415 K414:L415 I417:I418 K417:L418 I420:I421 K420:L421 I423:I424 K423:L424 I426:I427 K426:L427 I446 K446:L446 K500:L500 I500 I450 K450:L450 I454 K454:L454 I458 K458:L458 I462:I463 K462:L463 I472 K472:L472 I476 K476:L476 I480 K480:L480 I484 K484:L484 I488 K488:L488 I492 K492:L492 I496 K496:L496 K442:L442 K467:L468 I467:I468 L347 K659:L659</xm:sqref>
        </x14:conditionalFormatting>
        <x14:conditionalFormatting xmlns:xm="http://schemas.microsoft.com/office/excel/2006/main">
          <x14:cfRule type="expression" priority="18" id="{B5E8FB29-0C3B-4C67-93ED-BEDAAB410E8B}">
            <xm:f>OR('[Private Co  Cyber Rating-v1.4.2.xlsm]Account Info'!#REF!="Flat Rate State",$I$124&lt;&gt;"Yes")</xm:f>
            <x14:dxf>
              <fill>
                <patternFill>
                  <bgColor theme="1"/>
                </patternFill>
              </fill>
            </x14:dxf>
          </x14:cfRule>
          <xm:sqref>J124 L124:M124</xm:sqref>
        </x14:conditionalFormatting>
        <x14:conditionalFormatting xmlns:xm="http://schemas.microsoft.com/office/excel/2006/main">
          <x14:cfRule type="expression" priority="19" id="{E1651630-C983-4B64-8F55-5240926DC284}">
            <xm:f>OR('[Private Co  Cyber Rating-v1.4.2.xlsm]Account Info'!#REF!="Flat Rate State",$I$206&lt;&gt;"Yes")</xm:f>
            <x14:dxf>
              <fill>
                <patternFill>
                  <bgColor theme="1"/>
                </patternFill>
              </fill>
            </x14:dxf>
          </x14:cfRule>
          <xm:sqref>J206 L206:M206</xm:sqref>
        </x14:conditionalFormatting>
        <x14:conditionalFormatting xmlns:xm="http://schemas.microsoft.com/office/excel/2006/main">
          <x14:cfRule type="expression" priority="20" id="{4751CB04-F455-42A3-9FC1-105CE12A6F1D}">
            <xm:f>OR('[Private Co  Cyber Rating-v1.4.2.xlsm]Account Info'!#REF!="Flat Rate State",$I$288&lt;&gt;"Yes")</xm:f>
            <x14:dxf>
              <fill>
                <patternFill>
                  <bgColor theme="1"/>
                </patternFill>
              </fill>
            </x14:dxf>
          </x14:cfRule>
          <xm:sqref>J288 L288:M288</xm:sqref>
        </x14:conditionalFormatting>
        <x14:conditionalFormatting xmlns:xm="http://schemas.microsoft.com/office/excel/2006/main">
          <x14:cfRule type="expression" priority="21" id="{9D200CDC-9297-48B4-9FE3-73F6B518EFFA}">
            <xm:f>OR('[Private Co  Cyber Rating-v1.4.2.xlsm]Account Info'!#REF!="Flat Rate State",$I$622&lt;&gt;"Yes")</xm:f>
            <x14:dxf>
              <fill>
                <patternFill>
                  <bgColor theme="1"/>
                </patternFill>
              </fill>
            </x14:dxf>
          </x14:cfRule>
          <xm:sqref>J622 L622:M622</xm:sqref>
        </x14:conditionalFormatting>
        <x14:conditionalFormatting xmlns:xm="http://schemas.microsoft.com/office/excel/2006/main">
          <x14:cfRule type="expression" priority="22" id="{9A0CF692-128D-4AA7-9100-31430A8166C1}">
            <xm:f>OR('[Private Co  Cyber Rating-v1.4.2.xlsm]Account Info'!#REF!="Flat Rate State",$I$562&lt;&gt;"Yes")</xm:f>
            <x14:dxf>
              <fill>
                <patternFill>
                  <bgColor theme="1"/>
                </patternFill>
              </fill>
            </x14:dxf>
          </x14:cfRule>
          <xm:sqref>J562 L562:M562 L508:M508 J508</xm:sqref>
        </x14:conditionalFormatting>
        <x14:conditionalFormatting xmlns:xm="http://schemas.microsoft.com/office/excel/2006/main">
          <x14:cfRule type="expression" priority="23" id="{1F182D32-B279-40B5-B040-A201CAC13B6B}">
            <xm:f>AND('[Private Co  Cyber Rating-v1.4.2.xlsm]Account Info'!#REF!="Range State",L55&lt;&gt;"",OR(L55&lt;I55,L55&gt;K55))</xm:f>
            <x14:dxf>
              <fill>
                <patternFill>
                  <bgColor theme="1"/>
                </patternFill>
              </fill>
            </x14:dxf>
          </x14:cfRule>
          <xm:sqref>K56 K59 K62 K65 K68 K71 K74 K77 K80 K552 K83 K86 K89 K105 K108 K135 K138 K141 K144 K147 K150 K153 K156 K159 K162 K165 K181 K184 K187 K190 K217 K220 K223 K226 K229 K549 K232 K235 K238 K241 K244 K260 K263 K629 K632 K635 K638 K641 K644 K569 K572 K575 K578 K581 K584 K590 K593 K609 K612 K615 K515 K518 K521 K524 K527 K530 K533 K555 K299 K302 K305 K308 K329 K332 K314 K317 K320 K323 K443 K348 K660</xm:sqref>
        </x14:conditionalFormatting>
        <x14:conditionalFormatting xmlns:xm="http://schemas.microsoft.com/office/excel/2006/main">
          <x14:cfRule type="expression" priority="24" id="{5099F1A9-24F8-49AB-BA5B-22DD11FB7E4D}">
            <xm:f>AND('[Private Co  Cyber Rating-v1.4.2.xlsm]Account Info'!#REF!="Range State",L55&lt;&gt;"",OR(L55&lt;I55,L55&gt;K55))</xm:f>
            <x14:dxf>
              <fill>
                <patternFill>
                  <bgColor theme="1"/>
                </patternFill>
              </fill>
            </x14:dxf>
          </x14:cfRule>
          <xm:sqref>L56 L629 L569 L515 L299 L352 L355 L358 L373 L361 L364 L367 L370 L376 L59 L62 L65 L68 L71 L74 L77 L80 L83 L86 L89 L105 L108 L135 L138 L141 L144 L147 L150 L153 L156 L159 L162 L165 L181 L184 L187 L190 L217 L220 L223 L226 L229 L232 L235 L238 L241 L244 L260 L263 L302 L305 L308 L311 L314 L317 L320 L323 L326 L329 L332 L518 L521 L524 L527 L530 L533 L549 L552 L555 L572 L575 L578 L581 L584 L590 L593 L609 L612 L615 L632 L635 L638 L641 L644 L443 L348 L660</xm:sqref>
        </x14:conditionalFormatting>
        <x14:conditionalFormatting xmlns:xm="http://schemas.microsoft.com/office/excel/2006/main">
          <x14:cfRule type="expression" priority="25" id="{8BD3894C-CCE1-4FD0-B146-524A633E3C5C}">
            <xm:f>AND('[Private Co  Cyber Rating-v1.4.2.xlsm]Account Info'!#REF!="Range State",L310&lt;&gt;"",OR(L310&lt;I310,L310&gt;K310))</xm:f>
            <x14:dxf>
              <fill>
                <patternFill>
                  <bgColor theme="1"/>
                </patternFill>
              </fill>
            </x14:dxf>
          </x14:cfRule>
          <xm:sqref>K326</xm:sqref>
        </x14:conditionalFormatting>
        <x14:conditionalFormatting xmlns:xm="http://schemas.microsoft.com/office/excel/2006/main">
          <x14:cfRule type="expression" priority="26" id="{6D93A015-66EB-4930-8C11-41E1D0CCF956}">
            <xm:f>AND('[Private Co  Cyber Rating-v1.4.2.xlsm]Account Info'!#REF!="Range State",L545&lt;&gt;"",OR(L545&lt;I545,L545&gt;K545))</xm:f>
            <x14:dxf>
              <fill>
                <patternFill>
                  <bgColor theme="1"/>
                </patternFill>
              </fill>
            </x14:dxf>
          </x14:cfRule>
          <xm:sqref>K311</xm:sqref>
        </x14:conditionalFormatting>
        <x14:conditionalFormatting xmlns:xm="http://schemas.microsoft.com/office/excel/2006/main">
          <x14:cfRule type="expression" priority="27" id="{476AD630-ABBF-4E7D-AD6C-8C1CA4885431}">
            <xm:f>'Account Info'!$T$6=FALSE</xm:f>
            <x14:dxf>
              <fill>
                <patternFill patternType="mediumGray"/>
              </fill>
            </x14:dxf>
          </x14:cfRule>
          <xm:sqref>N7:Q28 O2:P2 N30:Q31 N29 P29:Q29</xm:sqref>
        </x14:conditionalFormatting>
        <x14:conditionalFormatting xmlns:xm="http://schemas.microsoft.com/office/excel/2006/main">
          <x14:cfRule type="expression" priority="28" id="{A24CEA93-E883-4548-AB44-B6928EF28EA8}">
            <xm:f>'Account Info'!$T$7=FALSE</xm:f>
            <x14:dxf>
              <fill>
                <patternFill patternType="mediumGray"/>
              </fill>
            </x14:dxf>
          </x14:cfRule>
          <xm:sqref>S2:T2 R7:U30 R31 T31:U31</xm:sqref>
        </x14:conditionalFormatting>
        <x14:conditionalFormatting xmlns:xm="http://schemas.microsoft.com/office/excel/2006/main">
          <x14:cfRule type="expression" priority="29" id="{C872A59F-8517-49DB-BB0A-EA95FCF021EC}">
            <xm:f>'Account Info'!$T$8=FALSE</xm:f>
            <x14:dxf>
              <fill>
                <patternFill patternType="mediumGray"/>
              </fill>
            </x14:dxf>
          </x14:cfRule>
          <xm:sqref>C3:D3 B32:F45 B48:F48 B46:C46 E46:F46 B47 D47:F47</xm:sqref>
        </x14:conditionalFormatting>
        <x14:conditionalFormatting xmlns:xm="http://schemas.microsoft.com/office/excel/2006/main">
          <x14:cfRule type="expression" priority="30" id="{44B4C564-19AE-4444-80D9-B96CA56AFA28}">
            <xm:f>'Account Info'!$T$9=FALSE</xm:f>
            <x14:dxf>
              <fill>
                <patternFill patternType="mediumGray"/>
              </fill>
            </x14:dxf>
          </x14:cfRule>
          <xm:sqref>G32:M45 H3:I3 I5 G47:M48 G46 I46:M46</xm:sqref>
        </x14:conditionalFormatting>
        <x14:conditionalFormatting xmlns:xm="http://schemas.microsoft.com/office/excel/2006/main">
          <x14:cfRule type="expression" priority="31" id="{DD73E4BB-6C5D-4BAF-ABDB-E87EE1E76FB1}">
            <xm:f>'Account Info'!$T$10=FALSE</xm:f>
            <x14:dxf>
              <fill>
                <patternFill patternType="mediumGray"/>
              </fill>
            </x14:dxf>
          </x14:cfRule>
          <xm:sqref>N32:Q45 O3:P3 N47:Q48 N46 P46:Q46</xm:sqref>
        </x14:conditionalFormatting>
        <x14:conditionalFormatting xmlns:xm="http://schemas.microsoft.com/office/excel/2006/main">
          <x14:cfRule type="expression" priority="32" id="{F015C415-51B3-49B9-A44C-97DF33B01857}">
            <xm:f>'Account Info'!$T$11=FALSE</xm:f>
            <x14:dxf>
              <fill>
                <patternFill patternType="mediumGray"/>
              </fill>
            </x14:dxf>
          </x14:cfRule>
          <xm:sqref>S3:T3 R32:U45 R47:U48 R46 T46:U46</xm:sqref>
        </x14:conditionalFormatting>
        <x14:conditionalFormatting xmlns:xm="http://schemas.microsoft.com/office/excel/2006/main">
          <x14:cfRule type="expression" priority="8" id="{6BD7627E-03FE-4687-A9B2-D5650CB92C40}">
            <xm:f>'[Private Co  Cyber Rating-v1.4.2.xlsm]Account Info'!#REF!="Flat Rate State"</xm:f>
            <x14:dxf>
              <fill>
                <patternFill>
                  <bgColor theme="1"/>
                </patternFill>
              </fill>
            </x14:dxf>
          </x14:cfRule>
          <xm:sqref>I347 K347</xm:sqref>
        </x14:conditionalFormatting>
        <x14:conditionalFormatting xmlns:xm="http://schemas.microsoft.com/office/excel/2006/main">
          <x14:cfRule type="expression" priority="7" id="{76C8C765-953F-4DC4-A4FC-A51AF0F2EAE9}">
            <xm:f>'Account Info'!$T$4=FALSE</xm:f>
            <x14:dxf>
              <fill>
                <patternFill patternType="mediumGray"/>
              </fill>
            </x14:dxf>
          </x14:cfRule>
          <xm:sqref>H29</xm:sqref>
        </x14:conditionalFormatting>
        <x14:conditionalFormatting xmlns:xm="http://schemas.microsoft.com/office/excel/2006/main">
          <x14:cfRule type="expression" priority="6" id="{F9DF1B73-7AB9-451E-90EA-00A528E4CC00}">
            <xm:f>'Account Info'!$T$4=FALSE</xm:f>
            <x14:dxf>
              <fill>
                <patternFill patternType="mediumGray"/>
              </fill>
            </x14:dxf>
          </x14:cfRule>
          <xm:sqref>O29</xm:sqref>
        </x14:conditionalFormatting>
        <x14:conditionalFormatting xmlns:xm="http://schemas.microsoft.com/office/excel/2006/main">
          <x14:cfRule type="expression" priority="5" id="{27494800-9764-4998-B205-61E482DF75E2}">
            <xm:f>'Account Info'!$T$4=FALSE</xm:f>
            <x14:dxf>
              <fill>
                <patternFill patternType="mediumGray"/>
              </fill>
            </x14:dxf>
          </x14:cfRule>
          <xm:sqref>S31</xm:sqref>
        </x14:conditionalFormatting>
        <x14:conditionalFormatting xmlns:xm="http://schemas.microsoft.com/office/excel/2006/main">
          <x14:cfRule type="expression" priority="4" id="{67FA815E-8EFE-49DD-ADE5-B2B9646624BF}">
            <xm:f>'Account Info'!$T$4=FALSE</xm:f>
            <x14:dxf>
              <fill>
                <patternFill patternType="mediumGray"/>
              </fill>
            </x14:dxf>
          </x14:cfRule>
          <xm:sqref>C47</xm:sqref>
        </x14:conditionalFormatting>
        <x14:conditionalFormatting xmlns:xm="http://schemas.microsoft.com/office/excel/2006/main">
          <x14:cfRule type="expression" priority="3" id="{11D18222-3D2F-4C12-A76A-3C91E8F7B1D8}">
            <xm:f>'Account Info'!$T$4=FALSE</xm:f>
            <x14:dxf>
              <fill>
                <patternFill patternType="mediumGray"/>
              </fill>
            </x14:dxf>
          </x14:cfRule>
          <xm:sqref>H46</xm:sqref>
        </x14:conditionalFormatting>
        <x14:conditionalFormatting xmlns:xm="http://schemas.microsoft.com/office/excel/2006/main">
          <x14:cfRule type="expression" priority="2" id="{B674FFB0-18F7-4068-99C4-0941FEBC4B8A}">
            <xm:f>'Account Info'!$T$4=FALSE</xm:f>
            <x14:dxf>
              <fill>
                <patternFill patternType="mediumGray"/>
              </fill>
            </x14:dxf>
          </x14:cfRule>
          <xm:sqref>O46</xm:sqref>
        </x14:conditionalFormatting>
        <x14:conditionalFormatting xmlns:xm="http://schemas.microsoft.com/office/excel/2006/main">
          <x14:cfRule type="expression" priority="1" id="{C742C7A8-7169-441E-8EFA-AFC606A4184A}">
            <xm:f>'Account Info'!$T$4=FALSE</xm:f>
            <x14:dxf>
              <fill>
                <patternFill patternType="mediumGray"/>
              </fill>
            </x14:dxf>
          </x14:cfRule>
          <xm:sqref>S46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90000000}">
          <x14:formula1>
            <xm:f>Lookups!$AU$1:$AU$3</xm:f>
          </x14:formula1>
          <xm:sqref>C46:D46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dimension ref="A1:AW132"/>
  <sheetViews>
    <sheetView topLeftCell="A22" workbookViewId="0">
      <selection activeCell="E35" sqref="E35"/>
    </sheetView>
  </sheetViews>
  <sheetFormatPr defaultColWidth="9.140625" defaultRowHeight="12.75" customHeight="1" x14ac:dyDescent="0.2"/>
  <cols>
    <col min="1" max="1" width="14.28515625" style="580" bestFit="1" customWidth="1"/>
    <col min="2" max="3" width="7.42578125" style="578" bestFit="1" customWidth="1"/>
    <col min="4" max="4" width="10.140625" style="578" bestFit="1" customWidth="1"/>
    <col min="5" max="6" width="8.42578125" style="578" bestFit="1" customWidth="1"/>
    <col min="7" max="8" width="10.140625" style="578" bestFit="1" customWidth="1"/>
    <col min="9" max="13" width="9.7109375" style="578" bestFit="1" customWidth="1"/>
    <col min="14" max="15" width="11.7109375" style="578" bestFit="1" customWidth="1"/>
    <col min="16" max="16" width="9.140625" style="578"/>
    <col min="17" max="17" width="14.42578125" style="579" customWidth="1"/>
    <col min="18" max="18" width="16" style="579" customWidth="1"/>
    <col min="19" max="22" width="14.42578125" style="579" customWidth="1"/>
    <col min="23" max="23" width="9.140625" style="578"/>
    <col min="24" max="24" width="10.42578125" style="578" bestFit="1" customWidth="1"/>
    <col min="25" max="32" width="9.140625" style="578"/>
    <col min="33" max="33" width="9.140625" style="579"/>
    <col min="34" max="34" width="9.140625" style="578"/>
    <col min="35" max="37" width="11.5703125" style="578" bestFit="1" customWidth="1"/>
    <col min="38" max="39" width="10.42578125" style="578" bestFit="1" customWidth="1"/>
    <col min="40" max="41" width="9.140625" style="578"/>
    <col min="42" max="42" width="10.42578125" style="578" bestFit="1" customWidth="1"/>
    <col min="43" max="16384" width="9.140625" style="578"/>
  </cols>
  <sheetData>
    <row r="1" spans="1:49" ht="12.75" customHeight="1" thickTop="1" thickBot="1" x14ac:dyDescent="0.25">
      <c r="A1" s="576" t="s">
        <v>737</v>
      </c>
      <c r="B1" s="925"/>
    </row>
    <row r="2" spans="1:49" ht="12.75" customHeight="1" thickTop="1" x14ac:dyDescent="0.25">
      <c r="B2" s="581" t="s">
        <v>366</v>
      </c>
      <c r="Q2" s="582"/>
      <c r="R2" s="582"/>
      <c r="S2" s="582"/>
    </row>
    <row r="3" spans="1:49" ht="12.75" customHeight="1" x14ac:dyDescent="0.25">
      <c r="A3" s="583" t="s">
        <v>285</v>
      </c>
      <c r="B3" s="580">
        <v>0</v>
      </c>
      <c r="C3" s="580">
        <v>5000</v>
      </c>
      <c r="D3" s="580">
        <v>10000</v>
      </c>
      <c r="E3" s="580">
        <v>25000</v>
      </c>
      <c r="F3" s="580">
        <v>50000</v>
      </c>
      <c r="G3" s="580">
        <v>75000</v>
      </c>
      <c r="H3" s="580">
        <v>100000</v>
      </c>
      <c r="I3" s="580">
        <v>150000</v>
      </c>
      <c r="J3" s="580">
        <v>200000</v>
      </c>
      <c r="K3" s="580">
        <v>250000</v>
      </c>
      <c r="L3" s="580">
        <v>500000</v>
      </c>
      <c r="M3" s="580">
        <v>750000</v>
      </c>
      <c r="N3" s="580">
        <v>1000000</v>
      </c>
      <c r="O3" s="580">
        <v>2000000</v>
      </c>
      <c r="Q3" s="582"/>
      <c r="R3" s="582"/>
      <c r="S3" s="582"/>
    </row>
    <row r="4" spans="1:49" ht="12.75" customHeight="1" x14ac:dyDescent="0.25">
      <c r="A4" s="580">
        <v>0</v>
      </c>
      <c r="B4" s="990">
        <f t="shared" ref="B4:O4" si="0">IF(NFP,B96,B55)</f>
        <v>0</v>
      </c>
      <c r="C4" s="990">
        <f t="shared" si="0"/>
        <v>0</v>
      </c>
      <c r="D4" s="990">
        <f t="shared" si="0"/>
        <v>0</v>
      </c>
      <c r="E4" s="990">
        <f t="shared" si="0"/>
        <v>0</v>
      </c>
      <c r="F4" s="990">
        <f t="shared" si="0"/>
        <v>0</v>
      </c>
      <c r="G4" s="990">
        <f t="shared" si="0"/>
        <v>0</v>
      </c>
      <c r="H4" s="990">
        <f t="shared" si="0"/>
        <v>0</v>
      </c>
      <c r="I4" s="990">
        <f t="shared" si="0"/>
        <v>0</v>
      </c>
      <c r="J4" s="990">
        <f t="shared" si="0"/>
        <v>0</v>
      </c>
      <c r="K4" s="990">
        <f t="shared" si="0"/>
        <v>0</v>
      </c>
      <c r="L4" s="990">
        <f t="shared" si="0"/>
        <v>0</v>
      </c>
      <c r="M4" s="990">
        <f t="shared" si="0"/>
        <v>0</v>
      </c>
      <c r="N4" s="990">
        <f t="shared" si="0"/>
        <v>0</v>
      </c>
      <c r="O4" s="990">
        <f t="shared" si="0"/>
        <v>0</v>
      </c>
      <c r="Q4" s="579">
        <v>0</v>
      </c>
      <c r="R4" s="579">
        <v>10000</v>
      </c>
      <c r="S4" s="584">
        <f>Rater!D24</f>
        <v>1000000</v>
      </c>
      <c r="T4" s="579">
        <v>0</v>
      </c>
      <c r="U4" s="579">
        <v>5000</v>
      </c>
      <c r="V4" s="584">
        <f>Rater!D26</f>
        <v>10000</v>
      </c>
      <c r="X4" s="579">
        <v>0</v>
      </c>
      <c r="Y4" s="578">
        <v>2</v>
      </c>
      <c r="AI4" s="579">
        <v>0</v>
      </c>
      <c r="AJ4" s="579">
        <v>10000</v>
      </c>
      <c r="AK4" s="947">
        <f>LmtDO+DOsdcLmt</f>
        <v>1000000</v>
      </c>
      <c r="AL4" s="578">
        <v>0</v>
      </c>
      <c r="AM4" s="579">
        <v>5000</v>
      </c>
      <c r="AN4" s="947">
        <f>RetDO</f>
        <v>10000</v>
      </c>
      <c r="AP4" s="578">
        <v>0</v>
      </c>
      <c r="AQ4" s="578">
        <v>2</v>
      </c>
    </row>
    <row r="5" spans="1:49" ht="12.75" customHeight="1" x14ac:dyDescent="0.25">
      <c r="A5" s="580">
        <v>10000</v>
      </c>
      <c r="B5" s="990">
        <f t="shared" ref="B5:O5" si="1">IF(NFP,B97,B56)</f>
        <v>0.49120000000000003</v>
      </c>
      <c r="C5" s="990">
        <f t="shared" si="1"/>
        <v>0.4728</v>
      </c>
      <c r="D5" s="990">
        <f t="shared" si="1"/>
        <v>0.45440000000000003</v>
      </c>
      <c r="E5" s="990">
        <f t="shared" si="1"/>
        <v>0.41359999999999997</v>
      </c>
      <c r="F5" s="990">
        <f t="shared" si="1"/>
        <v>0.156</v>
      </c>
      <c r="G5" s="990">
        <f t="shared" si="1"/>
        <v>0.14759999999999998</v>
      </c>
      <c r="H5" s="990">
        <f t="shared" si="1"/>
        <v>0.14119999999999996</v>
      </c>
      <c r="I5" s="990">
        <f t="shared" si="1"/>
        <v>0.13139999999999996</v>
      </c>
      <c r="J5" s="990">
        <f t="shared" si="1"/>
        <v>0.12279999999999999</v>
      </c>
      <c r="K5" s="990">
        <f t="shared" si="1"/>
        <v>0.11639999999999999</v>
      </c>
      <c r="L5" s="990">
        <f t="shared" si="1"/>
        <v>6.1199999999999984E-2</v>
      </c>
      <c r="M5" s="990">
        <f t="shared" si="1"/>
        <v>4.7199999999999992E-2</v>
      </c>
      <c r="N5" s="990">
        <f t="shared" si="1"/>
        <v>4.5599999999999988E-2</v>
      </c>
      <c r="O5" s="990">
        <f t="shared" si="1"/>
        <v>3.7799999999999986E-2</v>
      </c>
      <c r="Q5" s="579">
        <v>10000</v>
      </c>
      <c r="R5" s="579">
        <v>25000</v>
      </c>
      <c r="S5" s="926">
        <f>IF(S4&gt;Q18,S4,VLOOKUP(S4,$Q$4:$R$18,1,TRUE))</f>
        <v>1000000</v>
      </c>
      <c r="T5" s="579">
        <v>5000</v>
      </c>
      <c r="U5" s="579">
        <v>10000</v>
      </c>
      <c r="V5" s="926">
        <f>IF(V4&gt;T17,V4,VLOOKUP(V4,$T$4:$U$17,1,TRUE))</f>
        <v>10000</v>
      </c>
      <c r="X5" s="579">
        <v>5000</v>
      </c>
      <c r="Y5" s="578">
        <v>3</v>
      </c>
      <c r="Z5" s="585">
        <f>VLOOKUP(S5,$A$4:$O$18,VLOOKUP(V5,$X$4:$Y$17,2,FALSE),FALSE)</f>
        <v>1.099</v>
      </c>
      <c r="AB5" s="585">
        <f>VLOOKUP(S5,$A$4:$O$18,VLOOKUP(V6,$X$4:$Y$17,2,FALSE),FALSE)</f>
        <v>1</v>
      </c>
      <c r="AI5" s="579">
        <v>10000</v>
      </c>
      <c r="AJ5" s="579">
        <v>25000</v>
      </c>
      <c r="AK5" s="947">
        <f>IF(AK4&gt;AI18,AK4,VLOOKUP(AK4,AI4:AJ18,1,TRUE))</f>
        <v>1000000</v>
      </c>
      <c r="AL5" s="579">
        <v>5000</v>
      </c>
      <c r="AM5" s="579">
        <v>10000</v>
      </c>
      <c r="AN5" s="947">
        <f>IF(AN4&gt;AL17,AN4,VLOOKUP(AN4,AL4:AM17,1,TRUE))</f>
        <v>10000</v>
      </c>
      <c r="AP5" s="579">
        <v>5000</v>
      </c>
      <c r="AQ5" s="578">
        <v>3</v>
      </c>
      <c r="AR5" s="955">
        <f>VLOOKUP(AK5,$A$4:$O$18,VLOOKUP(AN5,AP4:AQ17,2,FALSE),FALSE)</f>
        <v>1.099</v>
      </c>
      <c r="AT5" s="955">
        <f>VLOOKUP(AK5,$A$4:$O$18,VLOOKUP(AN6,AP4:AQ17,2,FALSE),FALSE)</f>
        <v>1</v>
      </c>
    </row>
    <row r="6" spans="1:49" ht="12.75" customHeight="1" x14ac:dyDescent="0.25">
      <c r="A6" s="580">
        <v>25000</v>
      </c>
      <c r="B6" s="990">
        <f t="shared" ref="B6:O6" si="2">IF(NFP,B98,B57)</f>
        <v>0.50600000000000001</v>
      </c>
      <c r="C6" s="990">
        <f t="shared" si="2"/>
        <v>0.48699999999999999</v>
      </c>
      <c r="D6" s="990">
        <f t="shared" si="2"/>
        <v>0.46800000000000003</v>
      </c>
      <c r="E6" s="990">
        <f t="shared" si="2"/>
        <v>0.42599999999999999</v>
      </c>
      <c r="F6" s="990">
        <f t="shared" si="2"/>
        <v>0.17</v>
      </c>
      <c r="G6" s="990">
        <f t="shared" si="2"/>
        <v>0.161</v>
      </c>
      <c r="H6" s="990">
        <f t="shared" si="2"/>
        <v>0.154</v>
      </c>
      <c r="I6" s="990">
        <f t="shared" si="2"/>
        <v>0.14299999999999999</v>
      </c>
      <c r="J6" s="990">
        <f t="shared" si="2"/>
        <v>0.13400000000000001</v>
      </c>
      <c r="K6" s="990">
        <f t="shared" si="2"/>
        <v>0.127</v>
      </c>
      <c r="L6" s="990">
        <f t="shared" si="2"/>
        <v>7.0999999999999994E-2</v>
      </c>
      <c r="M6" s="990">
        <f t="shared" si="2"/>
        <v>5.6000000000000001E-2</v>
      </c>
      <c r="N6" s="990">
        <f t="shared" si="2"/>
        <v>5.3999999999999999E-2</v>
      </c>
      <c r="O6" s="990">
        <f t="shared" si="2"/>
        <v>4.4999999999999998E-2</v>
      </c>
      <c r="Q6" s="579">
        <v>25000</v>
      </c>
      <c r="R6" s="579">
        <v>100000</v>
      </c>
      <c r="S6" s="926">
        <f>IF(S4&gt;Q18,S4,VLOOKUP(S5,$Q$4:$R$18,2,TRUE))</f>
        <v>2000000</v>
      </c>
      <c r="T6" s="579">
        <v>10000</v>
      </c>
      <c r="U6" s="579">
        <v>25000</v>
      </c>
      <c r="V6" s="584">
        <f>IF(V4&gt;T17,V4,VLOOKUP(V5,$T$4:$U$17,2,TRUE))</f>
        <v>25000</v>
      </c>
      <c r="X6" s="579">
        <v>10000</v>
      </c>
      <c r="Y6" s="578">
        <v>4</v>
      </c>
      <c r="Z6" s="585">
        <f>VLOOKUP(S6,$A$4:$O$18,VLOOKUP(V5,$X$4:$Y$17,2,FALSE),FALSE)</f>
        <v>1.7030000000000001</v>
      </c>
      <c r="AA6" s="585">
        <f>IF(Z6=Z5,Z6,(((S4-S5)/(S6-S5))*(Z6-Z5))+Z5)</f>
        <v>1.099</v>
      </c>
      <c r="AB6" s="585">
        <f>VLOOKUP(S6,$A$4:$O$18,VLOOKUP(V6,$X$4:$Y$17,2,FALSE),FALSE)</f>
        <v>1.55</v>
      </c>
      <c r="AC6" s="585">
        <f>IF(AB6=AB5,AB6,(((S4-S5)/(S6-S5))*(AB6-AB5))+AB5)</f>
        <v>1</v>
      </c>
      <c r="AE6" s="585">
        <f>IF(AC6=AA6,AC6,AA6-(((V4-V5)/(V6-V5))*(AA6-AC6)))</f>
        <v>1.099</v>
      </c>
      <c r="AI6" s="579">
        <v>25000</v>
      </c>
      <c r="AJ6" s="579">
        <v>100000</v>
      </c>
      <c r="AK6" s="947">
        <f>IF(AK4&gt;AI18,AK4,VLOOKUP(AK5,AI4:AJ18,2,TRUE))</f>
        <v>2000000</v>
      </c>
      <c r="AL6" s="579">
        <v>10000</v>
      </c>
      <c r="AM6" s="579">
        <v>25000</v>
      </c>
      <c r="AN6" s="947">
        <f>IF(AN4&gt;AL17,AN4,VLOOKUP(AN5,AL4:AM17,2,TRUE))</f>
        <v>25000</v>
      </c>
      <c r="AP6" s="579">
        <v>10000</v>
      </c>
      <c r="AQ6" s="578">
        <v>4</v>
      </c>
      <c r="AR6" s="948">
        <f>VLOOKUP(AK6,$A$4:$O$18,VLOOKUP(AN5,AP4:AQ17,2,FALSE),FALSE)</f>
        <v>1.7030000000000001</v>
      </c>
      <c r="AS6" s="955">
        <f>IF(AR6=AR5,AR6,(((AK4-AK5)/(AK6-AK5))*(AR6-AR5))+AR5)</f>
        <v>1.099</v>
      </c>
      <c r="AT6" s="948">
        <f>VLOOKUP(AK6,$A$4:$O$18,VLOOKUP(AN6,AP4:AQ17,2,FALSE),FALSE)</f>
        <v>1.55</v>
      </c>
      <c r="AU6" s="955">
        <f>IF(AT6=AT5,AT6,(((AK4-AK5)/(AK6-AK5))*(AT6-AT5))+AT5)</f>
        <v>1</v>
      </c>
      <c r="AW6" s="955">
        <f>IF(AU6=AS6,AU6,AS6-(((AN4-AN5)/(AN6-AN5))*(AS6-AU6)))</f>
        <v>1.099</v>
      </c>
    </row>
    <row r="7" spans="1:49" ht="12.75" customHeight="1" x14ac:dyDescent="0.25">
      <c r="A7" s="580">
        <v>100000</v>
      </c>
      <c r="B7" s="990">
        <f t="shared" ref="B7:O7" si="3">IF(NFP,B99,B58)</f>
        <v>0.57999999999999996</v>
      </c>
      <c r="C7" s="990">
        <f t="shared" si="3"/>
        <v>0.55800000000000005</v>
      </c>
      <c r="D7" s="990">
        <f t="shared" si="3"/>
        <v>0.53600000000000003</v>
      </c>
      <c r="E7" s="990">
        <f t="shared" si="3"/>
        <v>0.48799999999999999</v>
      </c>
      <c r="F7" s="990">
        <f t="shared" si="3"/>
        <v>0.24</v>
      </c>
      <c r="G7" s="990">
        <f t="shared" si="3"/>
        <v>0.22800000000000001</v>
      </c>
      <c r="H7" s="990">
        <f t="shared" si="3"/>
        <v>0.218</v>
      </c>
      <c r="I7" s="990">
        <f t="shared" si="3"/>
        <v>0.20100000000000001</v>
      </c>
      <c r="J7" s="990">
        <f t="shared" si="3"/>
        <v>0.19</v>
      </c>
      <c r="K7" s="990">
        <f t="shared" si="3"/>
        <v>0.18</v>
      </c>
      <c r="L7" s="990">
        <f t="shared" si="3"/>
        <v>0.12</v>
      </c>
      <c r="M7" s="990">
        <f t="shared" si="3"/>
        <v>0.1</v>
      </c>
      <c r="N7" s="990">
        <f t="shared" si="3"/>
        <v>9.6000000000000002E-2</v>
      </c>
      <c r="O7" s="990">
        <f t="shared" si="3"/>
        <v>8.1000000000000003E-2</v>
      </c>
      <c r="Q7" s="579">
        <v>100000</v>
      </c>
      <c r="R7" s="579">
        <v>250000</v>
      </c>
      <c r="S7" s="927"/>
      <c r="T7" s="579">
        <v>25000</v>
      </c>
      <c r="U7" s="579">
        <v>50000</v>
      </c>
      <c r="V7" s="927"/>
      <c r="X7" s="579">
        <v>25000</v>
      </c>
      <c r="Y7" s="578">
        <v>5</v>
      </c>
      <c r="AI7" s="579">
        <v>100000</v>
      </c>
      <c r="AJ7" s="579">
        <v>250000</v>
      </c>
      <c r="AL7" s="579">
        <v>25000</v>
      </c>
      <c r="AM7" s="579">
        <v>50000</v>
      </c>
      <c r="AP7" s="579">
        <v>25000</v>
      </c>
      <c r="AQ7" s="578">
        <v>5</v>
      </c>
    </row>
    <row r="8" spans="1:49" ht="12.75" customHeight="1" x14ac:dyDescent="0.25">
      <c r="A8" s="580">
        <v>250000</v>
      </c>
      <c r="B8" s="990">
        <f t="shared" ref="B8:O8" si="4">IF(NFP,B100,B59)</f>
        <v>0.70499999999999996</v>
      </c>
      <c r="C8" s="990">
        <f t="shared" si="4"/>
        <v>0.67800000000000005</v>
      </c>
      <c r="D8" s="990">
        <f t="shared" si="4"/>
        <v>0.65200000000000002</v>
      </c>
      <c r="E8" s="990">
        <f t="shared" si="4"/>
        <v>0.59299999999999997</v>
      </c>
      <c r="F8" s="990">
        <f t="shared" si="4"/>
        <v>0.37</v>
      </c>
      <c r="G8" s="990">
        <f t="shared" si="4"/>
        <v>0.35099999999999998</v>
      </c>
      <c r="H8" s="990">
        <f t="shared" si="4"/>
        <v>0.33500000000000002</v>
      </c>
      <c r="I8" s="990">
        <f t="shared" si="4"/>
        <v>0.31</v>
      </c>
      <c r="J8" s="990">
        <f t="shared" si="4"/>
        <v>0.29199999999999998</v>
      </c>
      <c r="K8" s="990">
        <f t="shared" si="4"/>
        <v>0.27700000000000002</v>
      </c>
      <c r="L8" s="990">
        <f t="shared" si="4"/>
        <v>0.21</v>
      </c>
      <c r="M8" s="990">
        <f t="shared" si="4"/>
        <v>0.18</v>
      </c>
      <c r="N8" s="990">
        <f t="shared" si="4"/>
        <v>0.17199999999999999</v>
      </c>
      <c r="O8" s="990">
        <f t="shared" si="4"/>
        <v>0.14599999999999999</v>
      </c>
      <c r="Q8" s="579">
        <v>250000</v>
      </c>
      <c r="R8" s="579">
        <v>500000</v>
      </c>
      <c r="S8" s="926">
        <f>Rater!I24</f>
        <v>1000000</v>
      </c>
      <c r="T8" s="579">
        <v>50000</v>
      </c>
      <c r="U8" s="579">
        <v>75000</v>
      </c>
      <c r="V8" s="947">
        <f>Rater!I26</f>
        <v>10000</v>
      </c>
      <c r="X8" s="579">
        <v>50000</v>
      </c>
      <c r="Y8" s="578">
        <v>6</v>
      </c>
      <c r="AI8" s="579">
        <v>250000</v>
      </c>
      <c r="AJ8" s="579">
        <v>500000</v>
      </c>
      <c r="AK8" s="578">
        <f>EPLlmt+EPLsdLmt</f>
        <v>1000000</v>
      </c>
      <c r="AL8" s="579">
        <v>50000</v>
      </c>
      <c r="AM8" s="579">
        <v>75000</v>
      </c>
      <c r="AN8" s="948">
        <f>EPLret</f>
        <v>10000</v>
      </c>
      <c r="AP8" s="579">
        <v>50000</v>
      </c>
      <c r="AQ8" s="578">
        <v>6</v>
      </c>
    </row>
    <row r="9" spans="1:49" ht="12.75" customHeight="1" x14ac:dyDescent="0.25">
      <c r="A9" s="580">
        <v>500000</v>
      </c>
      <c r="B9" s="990">
        <f t="shared" ref="B9:O9" si="5">IF(NFP,B101,B60)</f>
        <v>0.89100000000000001</v>
      </c>
      <c r="C9" s="990">
        <f t="shared" si="5"/>
        <v>0.85699999999999998</v>
      </c>
      <c r="D9" s="990">
        <f t="shared" si="5"/>
        <v>0.82399999999999995</v>
      </c>
      <c r="E9" s="990">
        <f t="shared" si="5"/>
        <v>0.75</v>
      </c>
      <c r="F9" s="990">
        <f t="shared" si="5"/>
        <v>0.57599999999999996</v>
      </c>
      <c r="G9" s="990">
        <f t="shared" si="5"/>
        <v>0.54600000000000004</v>
      </c>
      <c r="H9" s="990">
        <f t="shared" si="5"/>
        <v>0.52200000000000002</v>
      </c>
      <c r="I9" s="990">
        <f t="shared" si="5"/>
        <v>0.48299999999999998</v>
      </c>
      <c r="J9" s="990">
        <f t="shared" si="5"/>
        <v>0.45500000000000002</v>
      </c>
      <c r="K9" s="990">
        <f t="shared" si="5"/>
        <v>0.43099999999999999</v>
      </c>
      <c r="L9" s="990">
        <f t="shared" si="5"/>
        <v>0.35299999999999998</v>
      </c>
      <c r="M9" s="990">
        <f t="shared" si="5"/>
        <v>0.308</v>
      </c>
      <c r="N9" s="990">
        <f t="shared" si="5"/>
        <v>0.27800000000000002</v>
      </c>
      <c r="O9" s="990">
        <f t="shared" si="5"/>
        <v>0.21099999999999999</v>
      </c>
      <c r="Q9" s="579">
        <v>500000</v>
      </c>
      <c r="R9" s="579">
        <v>1000000</v>
      </c>
      <c r="S9" s="584">
        <f>IF(S8&gt;Q18,S8,VLOOKUP(S8,$Q$4:$R$18,1,TRUE))</f>
        <v>1000000</v>
      </c>
      <c r="T9" s="579">
        <v>75000</v>
      </c>
      <c r="U9" s="579">
        <v>100000</v>
      </c>
      <c r="V9" s="584">
        <f>IF(V8&gt;T17,V8,VLOOKUP(V8,$T$4:$U$17,1,TRUE))</f>
        <v>10000</v>
      </c>
      <c r="X9" s="579">
        <v>75000</v>
      </c>
      <c r="Y9" s="578">
        <v>7</v>
      </c>
      <c r="Z9" s="585">
        <f>VLOOKUP(S9,$A$4:$O$18,VLOOKUP(V9,$X$4:$Y$17,2,FALSE),FALSE)</f>
        <v>1.099</v>
      </c>
      <c r="AB9" s="585">
        <f>VLOOKUP(S9,$A$4:$O$18,VLOOKUP(V10,$X$4:$Y$17,2,FALSE),FALSE)</f>
        <v>1</v>
      </c>
      <c r="AI9" s="579">
        <v>500000</v>
      </c>
      <c r="AJ9" s="579">
        <v>1000000</v>
      </c>
      <c r="AK9" s="947">
        <f>IF(AK8&gt;AI18,AK8,VLOOKUP(AK8,AI4:AJ18,1,TRUE))</f>
        <v>1000000</v>
      </c>
      <c r="AL9" s="579">
        <v>75000</v>
      </c>
      <c r="AM9" s="579">
        <v>100000</v>
      </c>
      <c r="AN9" s="947">
        <f>IF(AN8&gt;AL17,AN8,VLOOKUP(AN8,AL4:AM17,1,TRUE))</f>
        <v>10000</v>
      </c>
      <c r="AP9" s="579">
        <v>75000</v>
      </c>
      <c r="AQ9" s="578">
        <v>7</v>
      </c>
      <c r="AR9" s="955">
        <f>VLOOKUP(AK9,$A$4:$O$18,VLOOKUP(AN9,AP4:AQ17,2,FALSE),FALSE)</f>
        <v>1.099</v>
      </c>
      <c r="AT9" s="955">
        <f>VLOOKUP(AK9,$A$4:$O$18,VLOOKUP(AN10,AP4:AQ17,2,FALSE),FALSE)</f>
        <v>1</v>
      </c>
    </row>
    <row r="10" spans="1:49" ht="12.75" customHeight="1" x14ac:dyDescent="0.25">
      <c r="A10" s="580">
        <v>1000000</v>
      </c>
      <c r="B10" s="990">
        <f t="shared" ref="B10:O10" si="6">IF(NFP,B102,B61)</f>
        <v>1.1890000000000001</v>
      </c>
      <c r="C10" s="990">
        <f t="shared" si="6"/>
        <v>1.143</v>
      </c>
      <c r="D10" s="990">
        <f t="shared" si="6"/>
        <v>1.099</v>
      </c>
      <c r="E10" s="990">
        <f t="shared" si="6"/>
        <v>1</v>
      </c>
      <c r="F10" s="990">
        <f t="shared" si="6"/>
        <v>0.91100000000000003</v>
      </c>
      <c r="G10" s="990">
        <f t="shared" si="6"/>
        <v>0.877</v>
      </c>
      <c r="H10" s="990">
        <f t="shared" si="6"/>
        <v>0.84799999999999998</v>
      </c>
      <c r="I10" s="990">
        <f t="shared" si="6"/>
        <v>0.80200000000000005</v>
      </c>
      <c r="J10" s="990">
        <f t="shared" si="6"/>
        <v>0.76500000000000001</v>
      </c>
      <c r="K10" s="990">
        <f t="shared" si="6"/>
        <v>0.73399999999999999</v>
      </c>
      <c r="L10" s="990">
        <f t="shared" si="6"/>
        <v>0.628</v>
      </c>
      <c r="M10" s="990">
        <f t="shared" si="6"/>
        <v>0.56100000000000005</v>
      </c>
      <c r="N10" s="990">
        <f t="shared" si="6"/>
        <v>0.51300000000000001</v>
      </c>
      <c r="O10" s="990">
        <f t="shared" si="6"/>
        <v>0.40100000000000002</v>
      </c>
      <c r="Q10" s="579">
        <v>1000000</v>
      </c>
      <c r="R10" s="579">
        <v>2000000</v>
      </c>
      <c r="S10" s="584">
        <f>IF(S8&gt;Q18,S8,VLOOKUP(S9,$Q$4:$R$18,2,TRUE))</f>
        <v>2000000</v>
      </c>
      <c r="T10" s="579">
        <v>100000</v>
      </c>
      <c r="U10" s="579">
        <v>150000</v>
      </c>
      <c r="V10" s="584">
        <f>IF(V8&gt;T17,V8,VLOOKUP(V9,$T$4:$U$17,2,TRUE))</f>
        <v>25000</v>
      </c>
      <c r="X10" s="579">
        <v>100000</v>
      </c>
      <c r="Y10" s="578">
        <v>8</v>
      </c>
      <c r="Z10" s="585">
        <f>VLOOKUP(S10,$A$4:$O$18,VLOOKUP(V9,$X$4:$Y$17,2,FALSE),FALSE)</f>
        <v>1.7030000000000001</v>
      </c>
      <c r="AA10" s="585">
        <f>IF(Z10=Z9,Z10,(((S8-S9)/(S10-S9))*(Z10-Z9))+Z9)</f>
        <v>1.099</v>
      </c>
      <c r="AB10" s="585">
        <f>VLOOKUP(S10,$A$4:$O$18,VLOOKUP(V10,$X$4:$Y$17,2,FALSE),FALSE)</f>
        <v>1.55</v>
      </c>
      <c r="AC10" s="585">
        <f>IF(AB10=AB9,AB10,(((S8-S9)/(S10-S9))*(AB10-AB9))+AB9)</f>
        <v>1</v>
      </c>
      <c r="AE10" s="585">
        <f>IF(AC10=AA10,AC10,AA10-(((V8-V9)/(V10-V9))*(AA10-AC10)))</f>
        <v>1.099</v>
      </c>
      <c r="AI10" s="579">
        <v>1000000</v>
      </c>
      <c r="AJ10" s="579">
        <v>2000000</v>
      </c>
      <c r="AK10" s="947">
        <f>IF(AK8&gt;AI18,AK8,VLOOKUP(AK9,AI4:AJ18,2,TRUE))</f>
        <v>2000000</v>
      </c>
      <c r="AL10" s="579">
        <v>100000</v>
      </c>
      <c r="AM10" s="579">
        <v>150000</v>
      </c>
      <c r="AN10" s="947">
        <f>IF(AN8&gt;AL17,AN8,VLOOKUP(AN9,AL4:AM17,2,TRUE))</f>
        <v>25000</v>
      </c>
      <c r="AP10" s="579">
        <v>100000</v>
      </c>
      <c r="AQ10" s="578">
        <v>8</v>
      </c>
      <c r="AR10" s="948">
        <f>VLOOKUP(AK10,$A$4:$O$18,VLOOKUP(AN9,AP4:AQ17,2,FALSE),FALSE)</f>
        <v>1.7030000000000001</v>
      </c>
      <c r="AS10" s="955">
        <f>IF(AR10=AR9,AR10,(((AK8-AK9)/(AK10-AK9))*(AR10-AR9))+AR9)</f>
        <v>1.099</v>
      </c>
      <c r="AT10" s="955">
        <f>VLOOKUP(AK10,$A$4:$O$18,VLOOKUP(AN10,AP4:AQ17,2,FALSE),FALSE)</f>
        <v>1.55</v>
      </c>
      <c r="AU10" s="955">
        <f>IF(AT10=AT9,AT10,(((AK8-AK9)/(AK10-AK9))*(AT10-AT9))+AT9)</f>
        <v>1</v>
      </c>
      <c r="AW10" s="955">
        <f>IF(AU10=AS10,AU10,AS10-(((AN8-AN9)/(AN10-AN9))*(AS10-AU10)))</f>
        <v>1.099</v>
      </c>
    </row>
    <row r="11" spans="1:49" ht="12.75" customHeight="1" x14ac:dyDescent="0.25">
      <c r="A11" s="580">
        <v>2000000</v>
      </c>
      <c r="B11" s="990">
        <f t="shared" ref="B11:O11" si="7">IF(NFP,B103,B62)</f>
        <v>1.8420000000000001</v>
      </c>
      <c r="C11" s="990">
        <f t="shared" si="7"/>
        <v>1.7709999999999999</v>
      </c>
      <c r="D11" s="990">
        <f t="shared" si="7"/>
        <v>1.7030000000000001</v>
      </c>
      <c r="E11" s="990">
        <f t="shared" si="7"/>
        <v>1.55</v>
      </c>
      <c r="F11" s="990">
        <f t="shared" si="7"/>
        <v>1.4019999999999999</v>
      </c>
      <c r="G11" s="990">
        <f t="shared" si="7"/>
        <v>1.3640000000000001</v>
      </c>
      <c r="H11" s="990">
        <f t="shared" si="7"/>
        <v>1.3320000000000001</v>
      </c>
      <c r="I11" s="990">
        <f t="shared" si="7"/>
        <v>1.28</v>
      </c>
      <c r="J11" s="990">
        <f t="shared" si="7"/>
        <v>1.2370000000000001</v>
      </c>
      <c r="K11" s="990">
        <f t="shared" si="7"/>
        <v>1.1990000000000001</v>
      </c>
      <c r="L11" s="990">
        <f t="shared" si="7"/>
        <v>1.0660000000000001</v>
      </c>
      <c r="M11" s="990">
        <f t="shared" si="7"/>
        <v>0.97599999999999998</v>
      </c>
      <c r="N11" s="990">
        <f t="shared" si="7"/>
        <v>0.90800000000000003</v>
      </c>
      <c r="O11" s="990">
        <f t="shared" si="7"/>
        <v>0.74</v>
      </c>
      <c r="Q11" s="579">
        <v>2000000</v>
      </c>
      <c r="R11" s="579">
        <v>3000000</v>
      </c>
      <c r="S11" s="927"/>
      <c r="T11" s="579">
        <v>150000</v>
      </c>
      <c r="U11" s="579">
        <v>200000</v>
      </c>
      <c r="V11" s="927"/>
      <c r="X11" s="579">
        <v>150000</v>
      </c>
      <c r="Y11" s="578">
        <v>9</v>
      </c>
      <c r="AI11" s="579">
        <v>2000000</v>
      </c>
      <c r="AJ11" s="579">
        <v>3000000</v>
      </c>
      <c r="AL11" s="579">
        <v>150000</v>
      </c>
      <c r="AM11" s="579">
        <v>200000</v>
      </c>
      <c r="AP11" s="579">
        <v>150000</v>
      </c>
      <c r="AQ11" s="578">
        <v>9</v>
      </c>
    </row>
    <row r="12" spans="1:49" ht="12.75" customHeight="1" x14ac:dyDescent="0.2">
      <c r="A12" s="580">
        <v>3000000</v>
      </c>
      <c r="B12" s="990">
        <f t="shared" ref="B12:O12" si="8">IF(NFP,B104,B63)</f>
        <v>2.3780000000000001</v>
      </c>
      <c r="C12" s="990">
        <f t="shared" si="8"/>
        <v>2.286</v>
      </c>
      <c r="D12" s="990">
        <f t="shared" si="8"/>
        <v>2.198</v>
      </c>
      <c r="E12" s="990">
        <f t="shared" si="8"/>
        <v>2</v>
      </c>
      <c r="F12" s="990">
        <f t="shared" si="8"/>
        <v>1.7849999999999999</v>
      </c>
      <c r="G12" s="990">
        <f t="shared" si="8"/>
        <v>1.746</v>
      </c>
      <c r="H12" s="990">
        <f t="shared" si="8"/>
        <v>1.712</v>
      </c>
      <c r="I12" s="990">
        <f t="shared" si="8"/>
        <v>1.657</v>
      </c>
      <c r="J12" s="990">
        <f t="shared" si="8"/>
        <v>1.611</v>
      </c>
      <c r="K12" s="990">
        <f t="shared" si="8"/>
        <v>1.571</v>
      </c>
      <c r="L12" s="990">
        <f t="shared" si="8"/>
        <v>1.423</v>
      </c>
      <c r="M12" s="990">
        <f t="shared" si="8"/>
        <v>1.3220000000000001</v>
      </c>
      <c r="N12" s="990">
        <f t="shared" si="8"/>
        <v>1.242</v>
      </c>
      <c r="O12" s="990">
        <f t="shared" si="8"/>
        <v>1.038</v>
      </c>
      <c r="Q12" s="579">
        <v>3000000</v>
      </c>
      <c r="R12" s="579">
        <v>4000000</v>
      </c>
      <c r="S12" s="947">
        <f>Rater!T41</f>
        <v>1000000</v>
      </c>
      <c r="T12" s="579">
        <v>200000</v>
      </c>
      <c r="U12" s="579">
        <v>250000</v>
      </c>
      <c r="V12" s="947">
        <f>Rater!T43</f>
        <v>10000</v>
      </c>
      <c r="X12" s="579">
        <v>200000</v>
      </c>
      <c r="Y12" s="578">
        <v>10</v>
      </c>
      <c r="AI12" s="579">
        <v>3000000</v>
      </c>
      <c r="AJ12" s="579">
        <v>4000000</v>
      </c>
      <c r="AL12" s="579">
        <v>200000</v>
      </c>
      <c r="AM12" s="579">
        <v>250000</v>
      </c>
      <c r="AP12" s="579">
        <v>200000</v>
      </c>
      <c r="AQ12" s="578">
        <v>10</v>
      </c>
    </row>
    <row r="13" spans="1:49" ht="12.75" customHeight="1" x14ac:dyDescent="0.25">
      <c r="A13" s="580">
        <v>4000000</v>
      </c>
      <c r="B13" s="990">
        <f t="shared" ref="B13:O13" si="9">IF(NFP,B105,B64)</f>
        <v>2.8530000000000002</v>
      </c>
      <c r="C13" s="990">
        <f t="shared" si="9"/>
        <v>2.7429999999999999</v>
      </c>
      <c r="D13" s="990">
        <f t="shared" si="9"/>
        <v>2.637</v>
      </c>
      <c r="E13" s="990">
        <f t="shared" si="9"/>
        <v>2.4</v>
      </c>
      <c r="F13" s="990">
        <f t="shared" si="9"/>
        <v>2.1110000000000002</v>
      </c>
      <c r="G13" s="990">
        <f t="shared" si="9"/>
        <v>2.0699999999999998</v>
      </c>
      <c r="H13" s="990">
        <f t="shared" si="9"/>
        <v>2.036</v>
      </c>
      <c r="I13" s="990">
        <f t="shared" si="9"/>
        <v>1.9790000000000001</v>
      </c>
      <c r="J13" s="990">
        <f t="shared" si="9"/>
        <v>1.931</v>
      </c>
      <c r="K13" s="990">
        <f t="shared" si="9"/>
        <v>1.889</v>
      </c>
      <c r="L13" s="990">
        <f t="shared" si="9"/>
        <v>1.734</v>
      </c>
      <c r="M13" s="990">
        <f t="shared" si="9"/>
        <v>1.623</v>
      </c>
      <c r="N13" s="990">
        <f t="shared" si="9"/>
        <v>1.536</v>
      </c>
      <c r="O13" s="990">
        <f t="shared" si="9"/>
        <v>1.3069999999999999</v>
      </c>
      <c r="Q13" s="579">
        <v>4000000</v>
      </c>
      <c r="R13" s="579">
        <v>5000000</v>
      </c>
      <c r="S13" s="584">
        <f>IF(S12&gt;Q18,S12,VLOOKUP(S12,$Q$4:$R$18,1,TRUE))</f>
        <v>1000000</v>
      </c>
      <c r="T13" s="579">
        <v>250000</v>
      </c>
      <c r="U13" s="579">
        <v>500000</v>
      </c>
      <c r="V13" s="584">
        <f>IF(V12&gt;T17,V12,VLOOKUP(V12,$T$4:$U$17,1,TRUE))</f>
        <v>10000</v>
      </c>
      <c r="X13" s="579">
        <v>250000</v>
      </c>
      <c r="Y13" s="578">
        <v>11</v>
      </c>
      <c r="Z13" s="585">
        <f>VLOOKUP(S13,$A$4:$O$18,VLOOKUP(V13,$X$4:$Y$17,2,FALSE),FALSE)</f>
        <v>1.099</v>
      </c>
      <c r="AB13" s="585">
        <f>VLOOKUP(S13,$A$4:$O$18,VLOOKUP(V14,$X$4:$Y$17,2,FALSE),FALSE)</f>
        <v>1</v>
      </c>
      <c r="AI13" s="579">
        <v>4000000</v>
      </c>
      <c r="AJ13" s="579">
        <v>5000000</v>
      </c>
      <c r="AL13" s="579">
        <v>250000</v>
      </c>
      <c r="AM13" s="579">
        <v>500000</v>
      </c>
      <c r="AP13" s="579">
        <v>250000</v>
      </c>
      <c r="AQ13" s="578">
        <v>11</v>
      </c>
    </row>
    <row r="14" spans="1:49" ht="12.75" customHeight="1" x14ac:dyDescent="0.25">
      <c r="A14" s="580">
        <v>5000000</v>
      </c>
      <c r="B14" s="990">
        <f t="shared" ref="B14:O14" si="10">IF(NFP,B106,B65)</f>
        <v>3.2690000000000001</v>
      </c>
      <c r="C14" s="990">
        <f t="shared" si="10"/>
        <v>3.1429999999999998</v>
      </c>
      <c r="D14" s="990">
        <f t="shared" si="10"/>
        <v>3.0219999999999998</v>
      </c>
      <c r="E14" s="990">
        <f t="shared" si="10"/>
        <v>2.75</v>
      </c>
      <c r="F14" s="990">
        <f t="shared" si="10"/>
        <v>2.3980000000000001</v>
      </c>
      <c r="G14" s="990">
        <f t="shared" si="10"/>
        <v>2.3570000000000002</v>
      </c>
      <c r="H14" s="990">
        <f t="shared" si="10"/>
        <v>2.3220000000000001</v>
      </c>
      <c r="I14" s="990">
        <f t="shared" si="10"/>
        <v>2.2629999999999999</v>
      </c>
      <c r="J14" s="990">
        <f t="shared" si="10"/>
        <v>2.214</v>
      </c>
      <c r="K14" s="990">
        <f t="shared" si="10"/>
        <v>2.1720000000000002</v>
      </c>
      <c r="L14" s="990">
        <f t="shared" si="10"/>
        <v>2.0099999999999998</v>
      </c>
      <c r="M14" s="990">
        <f t="shared" si="10"/>
        <v>1.8939999999999999</v>
      </c>
      <c r="N14" s="990">
        <f t="shared" si="10"/>
        <v>1.802</v>
      </c>
      <c r="O14" s="990">
        <f t="shared" si="10"/>
        <v>1.554</v>
      </c>
      <c r="Q14" s="579">
        <v>5000000</v>
      </c>
      <c r="R14" s="579">
        <v>10000000</v>
      </c>
      <c r="S14" s="584">
        <f>IF(S12&gt;Q18,S12,VLOOKUP(S13,$Q$4:$R$18,2,TRUE))</f>
        <v>2000000</v>
      </c>
      <c r="T14" s="579">
        <v>500000</v>
      </c>
      <c r="U14" s="579">
        <v>750000</v>
      </c>
      <c r="V14" s="584">
        <f>IF(V12&gt;T17,V12,VLOOKUP(V13,$T$4:$U$17,2,TRUE))</f>
        <v>25000</v>
      </c>
      <c r="X14" s="579">
        <v>500000</v>
      </c>
      <c r="Y14" s="578">
        <v>12</v>
      </c>
      <c r="Z14" s="585">
        <f>VLOOKUP(S14,$A$4:$O$18,VLOOKUP(V13,$X$4:$Y$17,2,FALSE),FALSE)</f>
        <v>1.7030000000000001</v>
      </c>
      <c r="AA14" s="585">
        <f>IF(Z14=Z13,Z14,(((S12-S13)/(S14-S13))*(Z14-Z13))+Z13)</f>
        <v>1.099</v>
      </c>
      <c r="AB14" s="585">
        <f>VLOOKUP(S14,$A$4:$O$18,VLOOKUP(V14,$X$4:$Y$17,2,FALSE),FALSE)</f>
        <v>1.55</v>
      </c>
      <c r="AC14" s="585">
        <f>IF(AB14=AB13,AB14,(((S12-S13)/(S14-S13))*(AB14-AB13))+AB13)</f>
        <v>1</v>
      </c>
      <c r="AE14" s="585">
        <f>IF(AC14=AA14,AC14,AA14-(((V12-V13)/(V14-V13))*(AA14-AC14)))</f>
        <v>1.099</v>
      </c>
      <c r="AI14" s="579">
        <v>5000000</v>
      </c>
      <c r="AJ14" s="579">
        <v>10000000</v>
      </c>
      <c r="AL14" s="579">
        <v>500000</v>
      </c>
      <c r="AM14" s="579">
        <v>750000</v>
      </c>
      <c r="AP14" s="579">
        <v>500000</v>
      </c>
      <c r="AQ14" s="578">
        <v>12</v>
      </c>
    </row>
    <row r="15" spans="1:49" ht="12.75" customHeight="1" x14ac:dyDescent="0.25">
      <c r="A15" s="580">
        <v>10000000</v>
      </c>
      <c r="B15" s="990">
        <f t="shared" ref="B15:O15" si="11">IF(NFP,B107,B66)</f>
        <v>4.5949999999999998</v>
      </c>
      <c r="C15" s="990">
        <f t="shared" si="11"/>
        <v>4.2859999999999996</v>
      </c>
      <c r="D15" s="990">
        <f t="shared" si="11"/>
        <v>3.9980000000000002</v>
      </c>
      <c r="E15" s="990">
        <f t="shared" si="11"/>
        <v>3.5840000000000001</v>
      </c>
      <c r="F15" s="990">
        <f t="shared" si="11"/>
        <v>3.53</v>
      </c>
      <c r="G15" s="990">
        <f t="shared" si="11"/>
        <v>3.4870000000000001</v>
      </c>
      <c r="H15" s="990">
        <f t="shared" si="11"/>
        <v>3.4510000000000001</v>
      </c>
      <c r="I15" s="990">
        <f t="shared" si="11"/>
        <v>3.39</v>
      </c>
      <c r="J15" s="990">
        <f t="shared" si="11"/>
        <v>3.3380000000000001</v>
      </c>
      <c r="K15" s="990">
        <f t="shared" si="11"/>
        <v>3.2919999999999998</v>
      </c>
      <c r="L15" s="990">
        <f t="shared" si="11"/>
        <v>3.1160000000000001</v>
      </c>
      <c r="M15" s="990">
        <f t="shared" si="11"/>
        <v>2.9860000000000002</v>
      </c>
      <c r="N15" s="990">
        <f t="shared" si="11"/>
        <v>2.88</v>
      </c>
      <c r="O15" s="990">
        <f t="shared" si="11"/>
        <v>2.5790000000000002</v>
      </c>
      <c r="Q15" s="579">
        <v>10000000</v>
      </c>
      <c r="R15" s="579">
        <v>15000000</v>
      </c>
      <c r="S15" s="927"/>
      <c r="T15" s="579">
        <v>750000</v>
      </c>
      <c r="U15" s="579">
        <v>1000000</v>
      </c>
      <c r="V15" s="927"/>
      <c r="X15" s="579">
        <v>750000</v>
      </c>
      <c r="Y15" s="578">
        <v>13</v>
      </c>
      <c r="AI15" s="579">
        <v>10000000</v>
      </c>
      <c r="AJ15" s="579">
        <v>15000000</v>
      </c>
      <c r="AL15" s="579">
        <v>750000</v>
      </c>
      <c r="AM15" s="579">
        <v>1000000</v>
      </c>
      <c r="AP15" s="579">
        <v>750000</v>
      </c>
      <c r="AQ15" s="578">
        <v>13</v>
      </c>
    </row>
    <row r="16" spans="1:49" ht="12.75" customHeight="1" x14ac:dyDescent="0.25">
      <c r="A16" s="580">
        <v>15000000</v>
      </c>
      <c r="B16" s="990">
        <f t="shared" ref="B16:O16" si="12">IF(NFP,B108,B67)</f>
        <v>5.6840000000000002</v>
      </c>
      <c r="C16" s="990">
        <f t="shared" si="12"/>
        <v>5.3079999999999998</v>
      </c>
      <c r="D16" s="990">
        <f t="shared" si="12"/>
        <v>4.9569999999999999</v>
      </c>
      <c r="E16" s="990">
        <f t="shared" si="12"/>
        <v>4.4539999999999997</v>
      </c>
      <c r="F16" s="990">
        <f t="shared" si="12"/>
        <v>4.399</v>
      </c>
      <c r="G16" s="990">
        <f t="shared" si="12"/>
        <v>4.3559999999999999</v>
      </c>
      <c r="H16" s="990">
        <f t="shared" si="12"/>
        <v>4.32</v>
      </c>
      <c r="I16" s="990">
        <f t="shared" si="12"/>
        <v>4.2569999999999997</v>
      </c>
      <c r="J16" s="990">
        <f t="shared" si="12"/>
        <v>4.2039999999999997</v>
      </c>
      <c r="K16" s="990">
        <f t="shared" si="12"/>
        <v>4.157</v>
      </c>
      <c r="L16" s="990">
        <f t="shared" si="12"/>
        <v>3.9740000000000002</v>
      </c>
      <c r="M16" s="990">
        <f t="shared" si="12"/>
        <v>3.8380000000000001</v>
      </c>
      <c r="N16" s="990">
        <f t="shared" si="12"/>
        <v>3.726</v>
      </c>
      <c r="O16" s="990">
        <f t="shared" si="12"/>
        <v>3.4009999999999998</v>
      </c>
      <c r="Q16" s="579">
        <v>15000000</v>
      </c>
      <c r="R16" s="579">
        <v>20000000</v>
      </c>
      <c r="S16" s="926">
        <f>Rater!T24</f>
        <v>1000000</v>
      </c>
      <c r="T16" s="579">
        <v>1000000</v>
      </c>
      <c r="U16" s="579">
        <v>2000000</v>
      </c>
      <c r="V16" s="947">
        <f>Rater!T26</f>
        <v>10000</v>
      </c>
      <c r="X16" s="579">
        <v>1000000</v>
      </c>
      <c r="Y16" s="578">
        <v>14</v>
      </c>
      <c r="AI16" s="579">
        <v>15000000</v>
      </c>
      <c r="AJ16" s="579">
        <v>20000000</v>
      </c>
      <c r="AL16" s="579">
        <v>1000000</v>
      </c>
      <c r="AM16" s="579">
        <v>2000000</v>
      </c>
      <c r="AP16" s="579">
        <v>1000000</v>
      </c>
      <c r="AQ16" s="578">
        <v>14</v>
      </c>
    </row>
    <row r="17" spans="1:43" ht="12.75" customHeight="1" x14ac:dyDescent="0.25">
      <c r="A17" s="580">
        <v>20000000</v>
      </c>
      <c r="B17" s="990">
        <f t="shared" ref="B17:O17" si="13">IF(NFP,B109,B68)</f>
        <v>6.5990000000000002</v>
      </c>
      <c r="C17" s="990">
        <f t="shared" si="13"/>
        <v>6.1680000000000001</v>
      </c>
      <c r="D17" s="990">
        <f t="shared" si="13"/>
        <v>5.7649999999999997</v>
      </c>
      <c r="E17" s="990">
        <f t="shared" si="13"/>
        <v>5.1859999999999999</v>
      </c>
      <c r="F17" s="990">
        <f t="shared" si="13"/>
        <v>5.1319999999999997</v>
      </c>
      <c r="G17" s="990">
        <f t="shared" si="13"/>
        <v>5.0890000000000004</v>
      </c>
      <c r="H17" s="990">
        <f t="shared" si="13"/>
        <v>5.0510000000000002</v>
      </c>
      <c r="I17" s="990">
        <f t="shared" si="13"/>
        <v>4.9880000000000004</v>
      </c>
      <c r="J17" s="990">
        <f t="shared" si="13"/>
        <v>4.9349999999999996</v>
      </c>
      <c r="K17" s="990">
        <f t="shared" si="13"/>
        <v>4.8869999999999996</v>
      </c>
      <c r="L17" s="990">
        <f t="shared" si="13"/>
        <v>4.7009999999999996</v>
      </c>
      <c r="M17" s="990">
        <f t="shared" si="13"/>
        <v>4.5609999999999999</v>
      </c>
      <c r="N17" s="990">
        <f t="shared" si="13"/>
        <v>4.4450000000000003</v>
      </c>
      <c r="O17" s="990">
        <f t="shared" si="13"/>
        <v>4.1059999999999999</v>
      </c>
      <c r="Q17" s="579">
        <v>20000000</v>
      </c>
      <c r="R17" s="579">
        <v>25000000</v>
      </c>
      <c r="S17" s="584">
        <f>IF(S16&gt;Q18,S16,VLOOKUP(S16,$Q$4:$R$18,1,TRUE))</f>
        <v>1000000</v>
      </c>
      <c r="T17" s="579">
        <v>2000000</v>
      </c>
      <c r="U17" s="579">
        <v>2000000</v>
      </c>
      <c r="V17" s="584">
        <f>IF(V16&gt;T17,V16,VLOOKUP(V16,$T$4:$U$17,1,TRUE))</f>
        <v>10000</v>
      </c>
      <c r="X17" s="579">
        <v>2000000</v>
      </c>
      <c r="Y17" s="578">
        <v>15</v>
      </c>
      <c r="Z17" s="585">
        <f>VLOOKUP(S17,$A$4:$O$18,VLOOKUP(V17,$X$4:$Y$17,2,FALSE),FALSE)</f>
        <v>1.099</v>
      </c>
      <c r="AB17" s="585">
        <f>VLOOKUP(S17,$A$4:$O$18,VLOOKUP(V18,$X$4:$Y$17,2,FALSE),FALSE)</f>
        <v>1</v>
      </c>
      <c r="AI17" s="579">
        <v>20000000</v>
      </c>
      <c r="AJ17" s="579">
        <v>25000000</v>
      </c>
      <c r="AL17" s="579">
        <v>2000000</v>
      </c>
      <c r="AM17" s="579">
        <v>2000000</v>
      </c>
      <c r="AP17" s="579">
        <v>2000000</v>
      </c>
      <c r="AQ17" s="578">
        <v>15</v>
      </c>
    </row>
    <row r="18" spans="1:43" ht="12.75" customHeight="1" x14ac:dyDescent="0.25">
      <c r="A18" s="580">
        <v>25000000</v>
      </c>
      <c r="B18" s="990">
        <f t="shared" ref="B18:O18" si="14">IF(NFP,B110,B69)</f>
        <v>7.4089999999999998</v>
      </c>
      <c r="C18" s="990">
        <f t="shared" si="14"/>
        <v>6.9269999999999996</v>
      </c>
      <c r="D18" s="990">
        <f t="shared" si="14"/>
        <v>6.476</v>
      </c>
      <c r="E18" s="990">
        <f t="shared" si="14"/>
        <v>5.8310000000000004</v>
      </c>
      <c r="F18" s="990">
        <f t="shared" si="14"/>
        <v>5.7770000000000001</v>
      </c>
      <c r="G18" s="990">
        <f t="shared" si="14"/>
        <v>5.7329999999999997</v>
      </c>
      <c r="H18" s="990">
        <f t="shared" si="14"/>
        <v>5.6959999999999997</v>
      </c>
      <c r="I18" s="990">
        <f t="shared" si="14"/>
        <v>5.6310000000000002</v>
      </c>
      <c r="J18" s="990">
        <f t="shared" si="14"/>
        <v>5.5780000000000003</v>
      </c>
      <c r="K18" s="990">
        <f t="shared" si="14"/>
        <v>5.53</v>
      </c>
      <c r="L18" s="990">
        <f t="shared" si="14"/>
        <v>5.3410000000000002</v>
      </c>
      <c r="M18" s="990">
        <f t="shared" si="14"/>
        <v>5.1989999999999998</v>
      </c>
      <c r="N18" s="990">
        <f t="shared" si="14"/>
        <v>5.0810000000000004</v>
      </c>
      <c r="O18" s="990">
        <f t="shared" si="14"/>
        <v>4.7320000000000002</v>
      </c>
      <c r="Q18" s="579">
        <v>25000000</v>
      </c>
      <c r="R18" s="315">
        <v>25000000</v>
      </c>
      <c r="S18" s="584">
        <f>IF(S16&gt;Q18,S16,VLOOKUP(S17,$Q$4:$R$18,2,TRUE))</f>
        <v>2000000</v>
      </c>
      <c r="V18" s="584">
        <f>IF(V16&gt;T17,V16,VLOOKUP(V17,$T$4:$U$17,2,TRUE))</f>
        <v>25000</v>
      </c>
      <c r="X18" s="579"/>
      <c r="Z18" s="585">
        <f>VLOOKUP(S18,$A$4:$O$18,VLOOKUP(V17,$X$4:$Y$17,2,FALSE),FALSE)</f>
        <v>1.7030000000000001</v>
      </c>
      <c r="AA18" s="585">
        <f>IF(Z18=Z17,Z18,(((S16-S17)/(S18-S17))*(Z18-Z17))+Z17)</f>
        <v>1.099</v>
      </c>
      <c r="AB18" s="585">
        <f>VLOOKUP(S18,$A$4:$O$18,VLOOKUP(V18,$X$4:$Y$17,2,FALSE),FALSE)</f>
        <v>1.55</v>
      </c>
      <c r="AC18" s="585">
        <f>IF(AB18=AB17,AB18,(((S16-S17)/(S18-S17))*(AB18-AB17))+AB17)</f>
        <v>1</v>
      </c>
      <c r="AE18" s="585">
        <f>IF(AC18=AA18,AC18,AA18-(((V16-V17)/(V18-V17))*(AA18-AC18)))</f>
        <v>1.099</v>
      </c>
      <c r="AG18" s="574">
        <f ca="1">IF(ISNA(AE18),0,Rater!W334*CrmSchdRt1*Rater!V347*('Crime ILFs'!$AE$42/AE18))</f>
        <v>1458.8933773768758</v>
      </c>
      <c r="AI18" s="579">
        <v>25000000</v>
      </c>
      <c r="AJ18" s="579">
        <v>25000000</v>
      </c>
      <c r="AL18" s="579"/>
      <c r="AP18" s="579"/>
    </row>
    <row r="19" spans="1:43" ht="12.75" customHeight="1" x14ac:dyDescent="0.25">
      <c r="A19" s="558"/>
      <c r="B19" s="558"/>
      <c r="C19" s="558"/>
      <c r="D19" s="558"/>
      <c r="E19" s="558"/>
      <c r="F19" s="558"/>
      <c r="G19" s="558"/>
      <c r="H19" s="558"/>
      <c r="I19" s="558"/>
      <c r="J19" s="558"/>
      <c r="K19" s="558"/>
      <c r="L19" s="558"/>
      <c r="M19" s="558"/>
      <c r="N19" s="558"/>
      <c r="O19" s="558"/>
      <c r="Q19" s="558"/>
      <c r="R19" s="558"/>
      <c r="S19" s="927"/>
      <c r="V19" s="927"/>
    </row>
    <row r="20" spans="1:43" ht="12.75" customHeight="1" x14ac:dyDescent="0.25">
      <c r="A20" s="558"/>
      <c r="B20" s="558"/>
      <c r="C20" s="558"/>
      <c r="D20" s="558"/>
      <c r="E20" s="558"/>
      <c r="F20" s="558"/>
      <c r="G20" s="558"/>
      <c r="H20" s="558"/>
      <c r="I20" s="558"/>
      <c r="J20" s="558"/>
      <c r="K20" s="558"/>
      <c r="L20" s="558"/>
      <c r="M20" s="558"/>
      <c r="N20" s="558"/>
      <c r="O20" s="558"/>
      <c r="Q20" s="558"/>
      <c r="R20" s="558"/>
    </row>
    <row r="21" spans="1:43" ht="12.75" customHeight="1" x14ac:dyDescent="0.25">
      <c r="A21" s="558"/>
      <c r="B21" s="928"/>
      <c r="C21" s="929" t="s">
        <v>738</v>
      </c>
      <c r="D21" s="558"/>
      <c r="E21" s="930" t="s">
        <v>739</v>
      </c>
      <c r="F21" s="558"/>
      <c r="G21" s="558"/>
      <c r="H21" s="558"/>
      <c r="I21" s="930" t="s">
        <v>739</v>
      </c>
      <c r="J21" s="558"/>
      <c r="K21" s="558" t="s">
        <v>740</v>
      </c>
      <c r="L21" s="558"/>
      <c r="M21" s="558"/>
      <c r="N21" s="558"/>
      <c r="O21" s="558"/>
      <c r="Q21" s="558"/>
      <c r="R21" s="558"/>
    </row>
    <row r="22" spans="1:43" ht="12.75" customHeight="1" x14ac:dyDescent="0.25">
      <c r="A22" s="558"/>
      <c r="B22" s="558"/>
      <c r="C22" s="928" t="s">
        <v>741</v>
      </c>
      <c r="D22" s="931">
        <f>Rater!D24+Rater!D26</f>
        <v>1010000</v>
      </c>
      <c r="E22" s="587">
        <f>(((D22-D23)/(D24-D23))*(E24-E23))+E23</f>
        <v>1.19553</v>
      </c>
      <c r="G22" s="928" t="s">
        <v>366</v>
      </c>
      <c r="H22" s="932">
        <f>Rater!D26</f>
        <v>10000</v>
      </c>
      <c r="I22" s="587">
        <f>(((H22-H23)/(H24-H23))*(I24-I23))+I23</f>
        <v>0.49120000000000003</v>
      </c>
      <c r="J22" s="558"/>
      <c r="K22" s="587">
        <f>E22-I22</f>
        <v>0.7043299999999999</v>
      </c>
      <c r="L22" s="558"/>
      <c r="M22" s="558"/>
      <c r="N22" s="558"/>
      <c r="O22" s="558"/>
      <c r="Q22" s="558"/>
      <c r="R22" s="558"/>
    </row>
    <row r="23" spans="1:43" ht="12.75" customHeight="1" x14ac:dyDescent="0.25">
      <c r="A23" s="558"/>
      <c r="B23" s="558"/>
      <c r="C23" s="928" t="s">
        <v>547</v>
      </c>
      <c r="D23" s="931">
        <f>VLOOKUP(D22,A4:A18,1,TRUE)</f>
        <v>1000000</v>
      </c>
      <c r="E23" s="558">
        <f>VLOOKUP(D23,A4:B18,2,FALSE)</f>
        <v>1.1890000000000001</v>
      </c>
      <c r="G23" s="928" t="s">
        <v>547</v>
      </c>
      <c r="H23" s="931">
        <f>VLOOKUP(H22,A4:A18,1,TRUE)</f>
        <v>10000</v>
      </c>
      <c r="I23" s="558">
        <f>VLOOKUP(H23,A4:B18,2,FALSE)</f>
        <v>0.49120000000000003</v>
      </c>
      <c r="J23" s="558"/>
      <c r="K23" s="558"/>
      <c r="L23" s="558"/>
      <c r="M23" s="558"/>
      <c r="N23" s="558"/>
      <c r="O23" s="558"/>
      <c r="Q23" s="558"/>
      <c r="R23" s="558"/>
    </row>
    <row r="24" spans="1:43" ht="12.75" customHeight="1" x14ac:dyDescent="0.25">
      <c r="A24" s="558"/>
      <c r="B24" s="558"/>
      <c r="C24" s="928" t="s">
        <v>549</v>
      </c>
      <c r="D24" s="931">
        <f>VLOOKUP(D22,Q4:R18,2,TRUE)</f>
        <v>2000000</v>
      </c>
      <c r="E24" s="558">
        <f>VLOOKUP(D24,A4:B18,2,FALSE)</f>
        <v>1.8420000000000001</v>
      </c>
      <c r="G24" s="928" t="s">
        <v>549</v>
      </c>
      <c r="H24" s="931">
        <f>VLOOKUP(H22,Q4:R18,2,TRUE)</f>
        <v>25000</v>
      </c>
      <c r="I24" s="558">
        <f>VLOOKUP(H24,A4:B18,2,FALSE)</f>
        <v>0.50600000000000001</v>
      </c>
      <c r="J24" s="558"/>
      <c r="K24" s="558"/>
      <c r="L24" s="558"/>
      <c r="M24" s="558"/>
      <c r="N24" s="558"/>
      <c r="O24" s="558"/>
      <c r="Q24" s="558"/>
      <c r="R24" s="558"/>
      <c r="S24" s="582"/>
    </row>
    <row r="25" spans="1:43" ht="12.75" customHeight="1" x14ac:dyDescent="0.25">
      <c r="A25" s="558"/>
      <c r="B25" s="558"/>
      <c r="C25" s="558"/>
      <c r="D25" s="558"/>
      <c r="E25" s="558"/>
      <c r="G25" s="558"/>
      <c r="H25" s="558"/>
      <c r="I25" s="558"/>
      <c r="J25" s="558"/>
      <c r="K25" s="558"/>
      <c r="L25" s="558"/>
      <c r="M25" s="558"/>
      <c r="N25" s="558"/>
      <c r="O25" s="558"/>
      <c r="Q25" s="558"/>
      <c r="R25" s="558"/>
      <c r="S25" s="582"/>
    </row>
    <row r="26" spans="1:43" ht="12.75" customHeight="1" x14ac:dyDescent="0.25">
      <c r="A26" s="558"/>
      <c r="B26" s="558"/>
      <c r="C26" s="928"/>
      <c r="D26" s="558"/>
      <c r="E26" s="558"/>
      <c r="G26" s="928"/>
      <c r="H26" s="558"/>
      <c r="I26" s="558"/>
      <c r="J26" s="558"/>
      <c r="K26" s="558"/>
      <c r="L26" s="558"/>
      <c r="M26" s="558"/>
      <c r="N26" s="558"/>
      <c r="O26" s="558"/>
      <c r="Q26" s="558"/>
      <c r="R26" s="558"/>
      <c r="S26" s="582"/>
    </row>
    <row r="27" spans="1:43" ht="12.75" customHeight="1" x14ac:dyDescent="0.25">
      <c r="A27" s="558"/>
      <c r="B27" s="558"/>
      <c r="C27" s="558"/>
      <c r="D27" s="558"/>
      <c r="E27" s="558"/>
      <c r="F27" s="558"/>
      <c r="G27" s="558"/>
      <c r="H27" s="558"/>
      <c r="I27" s="558"/>
      <c r="J27" s="558"/>
      <c r="K27" s="558"/>
      <c r="L27" s="558"/>
      <c r="M27" s="558"/>
      <c r="N27" s="558"/>
      <c r="O27" s="558"/>
      <c r="Q27" s="558"/>
    </row>
    <row r="28" spans="1:43" ht="12.75" customHeight="1" thickBot="1" x14ac:dyDescent="0.25"/>
    <row r="29" spans="1:43" ht="12.75" customHeight="1" thickTop="1" thickBot="1" x14ac:dyDescent="0.25">
      <c r="A29" s="576" t="s">
        <v>742</v>
      </c>
    </row>
    <row r="30" spans="1:43" ht="12.75" customHeight="1" thickTop="1" x14ac:dyDescent="0.2">
      <c r="B30" s="581" t="s">
        <v>366</v>
      </c>
    </row>
    <row r="31" spans="1:43" ht="12.75" customHeight="1" x14ac:dyDescent="0.2">
      <c r="A31" s="583" t="s">
        <v>285</v>
      </c>
      <c r="B31" s="580">
        <v>0</v>
      </c>
      <c r="C31" s="580">
        <v>5000</v>
      </c>
      <c r="D31" s="580">
        <v>10000</v>
      </c>
      <c r="E31" s="580">
        <v>25000</v>
      </c>
      <c r="F31" s="580">
        <v>50000</v>
      </c>
      <c r="G31" s="580">
        <v>75000</v>
      </c>
      <c r="H31" s="580">
        <v>100000</v>
      </c>
      <c r="I31" s="580">
        <v>150000</v>
      </c>
      <c r="J31" s="580">
        <v>200000</v>
      </c>
      <c r="K31" s="580">
        <v>250000</v>
      </c>
      <c r="L31" s="580">
        <v>500000</v>
      </c>
      <c r="M31" s="580">
        <v>750000</v>
      </c>
      <c r="N31" s="580">
        <v>1000000</v>
      </c>
      <c r="O31" s="580">
        <v>2000000</v>
      </c>
    </row>
    <row r="32" spans="1:43" ht="12.75" customHeight="1" x14ac:dyDescent="0.25">
      <c r="A32" s="580">
        <v>0</v>
      </c>
      <c r="B32" s="990">
        <f t="shared" ref="B32:O32" si="15">IF(NFP,B116,B74)</f>
        <v>0</v>
      </c>
      <c r="C32" s="990">
        <f t="shared" si="15"/>
        <v>0</v>
      </c>
      <c r="D32" s="990">
        <f t="shared" si="15"/>
        <v>0</v>
      </c>
      <c r="E32" s="990">
        <f t="shared" si="15"/>
        <v>0</v>
      </c>
      <c r="F32" s="990">
        <f t="shared" si="15"/>
        <v>0</v>
      </c>
      <c r="G32" s="990">
        <f t="shared" si="15"/>
        <v>0</v>
      </c>
      <c r="H32" s="990">
        <f t="shared" si="15"/>
        <v>0</v>
      </c>
      <c r="I32" s="990">
        <f t="shared" si="15"/>
        <v>0</v>
      </c>
      <c r="J32" s="990">
        <f t="shared" si="15"/>
        <v>0</v>
      </c>
      <c r="K32" s="990">
        <f t="shared" si="15"/>
        <v>0</v>
      </c>
      <c r="L32" s="990">
        <f t="shared" si="15"/>
        <v>0</v>
      </c>
      <c r="M32" s="990">
        <f t="shared" si="15"/>
        <v>0</v>
      </c>
      <c r="N32" s="990">
        <f t="shared" si="15"/>
        <v>0</v>
      </c>
      <c r="O32" s="990">
        <f t="shared" si="15"/>
        <v>0</v>
      </c>
      <c r="Q32" s="885">
        <v>0</v>
      </c>
      <c r="R32" s="885">
        <v>10000</v>
      </c>
      <c r="S32" s="584">
        <f>Rater!P24</f>
        <v>1000000</v>
      </c>
      <c r="T32" s="579">
        <v>0</v>
      </c>
      <c r="U32" s="579">
        <v>5000</v>
      </c>
      <c r="V32" s="584">
        <f>Rater!P26</f>
        <v>10000</v>
      </c>
      <c r="X32" s="579">
        <v>0</v>
      </c>
      <c r="Y32" s="578">
        <v>2</v>
      </c>
      <c r="AI32" s="579">
        <v>0</v>
      </c>
      <c r="AJ32" s="579">
        <v>10000</v>
      </c>
      <c r="AK32" s="947">
        <f>FidLmt+FidSdLmt</f>
        <v>1000000</v>
      </c>
      <c r="AL32" s="578">
        <v>0</v>
      </c>
      <c r="AM32" s="579">
        <v>5000</v>
      </c>
      <c r="AN32" s="947">
        <f>FidRet</f>
        <v>10000</v>
      </c>
      <c r="AP32" s="578">
        <v>0</v>
      </c>
      <c r="AQ32" s="578">
        <v>2</v>
      </c>
    </row>
    <row r="33" spans="1:49" ht="12.75" customHeight="1" x14ac:dyDescent="0.25">
      <c r="A33" s="580">
        <v>10000</v>
      </c>
      <c r="B33" s="990">
        <f t="shared" ref="B33:O33" si="16">IF(NFP,B117,B75)</f>
        <v>0.46540000000000004</v>
      </c>
      <c r="C33" s="990">
        <f t="shared" si="16"/>
        <v>0.43234000000000006</v>
      </c>
      <c r="D33" s="990">
        <f t="shared" si="16"/>
        <v>0.39732000000000017</v>
      </c>
      <c r="E33" s="990">
        <f t="shared" si="16"/>
        <v>0.43428000000000022</v>
      </c>
      <c r="F33" s="990">
        <f t="shared" si="16"/>
        <v>0.28214000000000033</v>
      </c>
      <c r="G33" s="990">
        <f t="shared" si="16"/>
        <v>0.24406000000000033</v>
      </c>
      <c r="H33" s="990">
        <f t="shared" si="16"/>
        <v>0.21696000000000037</v>
      </c>
      <c r="I33" s="990">
        <f t="shared" si="16"/>
        <v>0.17878000000000024</v>
      </c>
      <c r="J33" s="990">
        <f t="shared" si="16"/>
        <v>0.15360000000000024</v>
      </c>
      <c r="K33" s="990">
        <f t="shared" si="16"/>
        <v>0.13148000000000024</v>
      </c>
      <c r="L33" s="990">
        <f t="shared" si="16"/>
        <v>7.7900000000000177E-2</v>
      </c>
      <c r="M33" s="990">
        <f t="shared" si="16"/>
        <v>5.3480000000000132E-2</v>
      </c>
      <c r="N33" s="990">
        <f t="shared" si="16"/>
        <v>3.9180000000000187E-2</v>
      </c>
      <c r="O33" s="990">
        <f t="shared" si="16"/>
        <v>1.8400000000000145E-2</v>
      </c>
      <c r="Q33" s="885">
        <v>10000</v>
      </c>
      <c r="R33" s="885">
        <v>25000</v>
      </c>
      <c r="S33" s="584">
        <f>IF(S32&gt;Q48,S32,VLOOKUP(S32,Q32:R48,1,TRUE))</f>
        <v>1000000</v>
      </c>
      <c r="T33" s="579">
        <v>5000</v>
      </c>
      <c r="U33" s="579">
        <v>10000</v>
      </c>
      <c r="V33" s="584">
        <f>IF(V32&gt;T45,V32,VLOOKUP(V32,T32:U45,1,TRUE))</f>
        <v>10000</v>
      </c>
      <c r="X33" s="579">
        <v>5000</v>
      </c>
      <c r="Y33" s="578">
        <f>Y32+1</f>
        <v>3</v>
      </c>
      <c r="Z33" s="585">
        <f>VLOOKUP(S33,A32:O48,VLOOKUP(V33,X32:Y45,2,FALSE),FALSE)</f>
        <v>0.92400000000000004</v>
      </c>
      <c r="AB33" s="585">
        <f>VLOOKUP(S33,A32:O48,VLOOKUP(V34,X32:Y45,2,FALSE),FALSE)</f>
        <v>0.85799999999999998</v>
      </c>
      <c r="AI33" s="579">
        <v>10000</v>
      </c>
      <c r="AJ33" s="579">
        <v>25000</v>
      </c>
      <c r="AK33" s="947">
        <f>IF(AK32&gt;AI48,AK32,VLOOKUP(AK32,AI32:AJ48,1,TRUE))</f>
        <v>1000000</v>
      </c>
      <c r="AL33" s="579">
        <v>5000</v>
      </c>
      <c r="AM33" s="579">
        <v>10000</v>
      </c>
      <c r="AN33" s="947">
        <f>IF(AN32&gt;AL45,AN32,VLOOKUP(AN32,AL32:AM45,1,TRUE))</f>
        <v>10000</v>
      </c>
      <c r="AP33" s="579">
        <v>5000</v>
      </c>
      <c r="AQ33" s="578">
        <f>AQ32+1</f>
        <v>3</v>
      </c>
      <c r="AR33" s="955">
        <f>VLOOKUP(AK33,A32:O48,VLOOKUP(AN33,AP32:AQ45,2,FALSE),FALSE)</f>
        <v>0.92400000000000004</v>
      </c>
      <c r="AT33" s="955">
        <f>VLOOKUP(AK33,A32:O48,VLOOKUP(AN34,AP32:AQ45,2,FALSE),FALSE)</f>
        <v>0.85799999999999998</v>
      </c>
    </row>
    <row r="34" spans="1:49" ht="12.75" customHeight="1" x14ac:dyDescent="0.25">
      <c r="A34" s="580">
        <v>25000</v>
      </c>
      <c r="B34" s="990">
        <f t="shared" ref="B34:O34" si="17">IF(NFP,B118,B76)</f>
        <v>0.47350000000000003</v>
      </c>
      <c r="C34" s="990">
        <f t="shared" si="17"/>
        <v>0.44035000000000007</v>
      </c>
      <c r="D34" s="990">
        <f t="shared" si="17"/>
        <v>0.40530000000000022</v>
      </c>
      <c r="E34" s="990">
        <f t="shared" si="17"/>
        <v>0.44070000000000026</v>
      </c>
      <c r="F34" s="990">
        <f t="shared" si="17"/>
        <v>0.28985000000000039</v>
      </c>
      <c r="G34" s="990">
        <f t="shared" si="17"/>
        <v>0.25165000000000037</v>
      </c>
      <c r="H34" s="990">
        <f t="shared" si="17"/>
        <v>0.2244000000000004</v>
      </c>
      <c r="I34" s="990">
        <f t="shared" si="17"/>
        <v>0.18595000000000028</v>
      </c>
      <c r="J34" s="990">
        <f t="shared" si="17"/>
        <v>0.16050000000000028</v>
      </c>
      <c r="K34" s="990">
        <f t="shared" si="17"/>
        <v>0.13820000000000027</v>
      </c>
      <c r="L34" s="990">
        <f t="shared" si="17"/>
        <v>8.3750000000000213E-2</v>
      </c>
      <c r="M34" s="990">
        <f t="shared" si="17"/>
        <v>5.8700000000000162E-2</v>
      </c>
      <c r="N34" s="990">
        <f t="shared" si="17"/>
        <v>4.3950000000000211E-2</v>
      </c>
      <c r="O34" s="990">
        <f t="shared" si="17"/>
        <v>2.2000000000000162E-2</v>
      </c>
      <c r="Q34" s="885">
        <v>25000</v>
      </c>
      <c r="R34" s="885">
        <v>100000</v>
      </c>
      <c r="S34" s="584">
        <f>IF(S32&gt;Q48,S32,VLOOKUP(S33,Q32:R48,2,TRUE))</f>
        <v>2000000</v>
      </c>
      <c r="T34" s="579">
        <v>10000</v>
      </c>
      <c r="U34" s="579">
        <v>25000</v>
      </c>
      <c r="V34" s="584">
        <f>IF(V32&gt;T45,V32,VLOOKUP(V33,T32:U45,2,TRUE))</f>
        <v>25000</v>
      </c>
      <c r="X34" s="579">
        <v>10000</v>
      </c>
      <c r="Y34" s="578">
        <f t="shared" ref="Y34:Y44" si="18">Y33+1</f>
        <v>4</v>
      </c>
      <c r="Z34" s="585">
        <f>VLOOKUP(S34,A32:O48,VLOOKUP(V33,X32:Y45,2,FALSE),FALSE)</f>
        <v>1.276</v>
      </c>
      <c r="AA34" s="585">
        <f>IF(Z34=Z33,Z34,(((S32-S33)/(S34-S33))*(Z34-Z33))+Z33)</f>
        <v>0.92400000000000004</v>
      </c>
      <c r="AB34" s="585">
        <f>VLOOKUP(S34,A32:O48,VLOOKUP(V34,X32:Y45,2,FALSE),FALSE)</f>
        <v>1.202</v>
      </c>
      <c r="AC34" s="585">
        <f>IF(AB34=AB33,AB34,(((S32-S33)/(S34-S33))*(AB34-AB33))+AB33)</f>
        <v>0.85799999999999998</v>
      </c>
      <c r="AE34" s="585">
        <f>IF(AC34=AA34,AC34,AA34-(((V32-V33)/(V34-V33))*(AA34-AC34)))</f>
        <v>0.92400000000000004</v>
      </c>
      <c r="AI34" s="579">
        <v>25000</v>
      </c>
      <c r="AJ34" s="579">
        <v>100000</v>
      </c>
      <c r="AK34" s="947">
        <f>IF(AK32&gt;AI48,AK32,VLOOKUP(AK33,AI32:AJ48,2,TRUE))</f>
        <v>2000000</v>
      </c>
      <c r="AL34" s="579">
        <v>10000</v>
      </c>
      <c r="AM34" s="579">
        <v>25000</v>
      </c>
      <c r="AN34" s="947">
        <f>IF(AN32&gt;AL45,AN32,VLOOKUP(AN33,AL32:AM45,2,TRUE))</f>
        <v>25000</v>
      </c>
      <c r="AP34" s="579">
        <v>10000</v>
      </c>
      <c r="AQ34" s="578">
        <f t="shared" ref="AQ34:AQ44" si="19">AQ33+1</f>
        <v>4</v>
      </c>
      <c r="AR34" s="955">
        <f>VLOOKUP(AK34,A32:O48,VLOOKUP(AN33,AP32:AQ45,2,FALSE),FALSE)</f>
        <v>1.276</v>
      </c>
      <c r="AS34" s="955">
        <f>IF(AR34=AR33,AR34,(((AK32-AK33)/(AK34-AK33))*(AR34-AR33))+AR33)</f>
        <v>0.92400000000000004</v>
      </c>
      <c r="AT34" s="955">
        <f>VLOOKUP(AK34,A32:O48,VLOOKUP(AN34,AP32:AQ45,2,FALSE),FALSE)</f>
        <v>1.202</v>
      </c>
      <c r="AU34" s="955">
        <f>IF(AT34=AT33,AT34,(((AK32-AK33)/(AK34-AK33))*(AT34-AT33))+AT33)</f>
        <v>0.85799999999999998</v>
      </c>
      <c r="AW34" s="955">
        <f>IF(AU34=AS34,AU34,AS34-(((AN32-AN33)/(AN34-AN33))*(AS34-AU34)))</f>
        <v>0.92400000000000004</v>
      </c>
    </row>
    <row r="35" spans="1:49" ht="12.75" customHeight="1" x14ac:dyDescent="0.2">
      <c r="A35" s="580">
        <v>100000</v>
      </c>
      <c r="B35" s="990">
        <f t="shared" ref="B35:O35" si="20">IF(NFP,B119,B77)</f>
        <v>0.51400000000000001</v>
      </c>
      <c r="C35" s="990">
        <f t="shared" si="20"/>
        <v>0.48040000000000005</v>
      </c>
      <c r="D35" s="990">
        <f t="shared" si="20"/>
        <v>0.44520000000000021</v>
      </c>
      <c r="E35" s="990">
        <f t="shared" si="20"/>
        <v>0.47280000000000022</v>
      </c>
      <c r="F35" s="990">
        <f t="shared" si="20"/>
        <v>0.3284000000000003</v>
      </c>
      <c r="G35" s="990">
        <f t="shared" si="20"/>
        <v>0.2896000000000003</v>
      </c>
      <c r="H35" s="990">
        <f t="shared" si="20"/>
        <v>0.26160000000000033</v>
      </c>
      <c r="I35" s="990">
        <f t="shared" si="20"/>
        <v>0.22180000000000022</v>
      </c>
      <c r="J35" s="990">
        <f t="shared" si="20"/>
        <v>0.19500000000000023</v>
      </c>
      <c r="K35" s="990">
        <f t="shared" si="20"/>
        <v>0.1718000000000002</v>
      </c>
      <c r="L35" s="990">
        <f t="shared" si="20"/>
        <v>0.11300000000000017</v>
      </c>
      <c r="M35" s="990">
        <f t="shared" si="20"/>
        <v>8.4800000000000125E-2</v>
      </c>
      <c r="N35" s="990">
        <f t="shared" si="20"/>
        <v>6.7800000000000166E-2</v>
      </c>
      <c r="O35" s="990">
        <f t="shared" si="20"/>
        <v>4.0000000000000126E-2</v>
      </c>
      <c r="Q35" s="885">
        <v>100000</v>
      </c>
      <c r="R35" s="885">
        <v>250000</v>
      </c>
      <c r="T35" s="579">
        <v>25000</v>
      </c>
      <c r="U35" s="579">
        <v>50000</v>
      </c>
      <c r="X35" s="579">
        <v>25000</v>
      </c>
      <c r="Y35" s="578">
        <f t="shared" si="18"/>
        <v>5</v>
      </c>
      <c r="AI35" s="579">
        <v>100000</v>
      </c>
      <c r="AJ35" s="579">
        <v>250000</v>
      </c>
      <c r="AL35" s="579">
        <v>25000</v>
      </c>
      <c r="AM35" s="579">
        <v>50000</v>
      </c>
      <c r="AP35" s="579">
        <v>25000</v>
      </c>
      <c r="AQ35" s="578">
        <f t="shared" si="19"/>
        <v>5</v>
      </c>
    </row>
    <row r="36" spans="1:49" ht="12.75" customHeight="1" x14ac:dyDescent="0.2">
      <c r="A36" s="580">
        <v>250000</v>
      </c>
      <c r="B36" s="990">
        <f t="shared" ref="B36:O36" si="21">IF(NFP,B120,B78)</f>
        <v>0.59499999999999997</v>
      </c>
      <c r="C36" s="990">
        <f t="shared" si="21"/>
        <v>0.5605</v>
      </c>
      <c r="D36" s="990">
        <f t="shared" si="21"/>
        <v>0.52500000000000013</v>
      </c>
      <c r="E36" s="990">
        <f t="shared" si="21"/>
        <v>0.53700000000000014</v>
      </c>
      <c r="F36" s="990">
        <f t="shared" si="21"/>
        <v>0.40550000000000019</v>
      </c>
      <c r="G36" s="990">
        <f t="shared" si="21"/>
        <v>0.36550000000000016</v>
      </c>
      <c r="H36" s="990">
        <f t="shared" si="21"/>
        <v>0.33600000000000019</v>
      </c>
      <c r="I36" s="990">
        <f t="shared" si="21"/>
        <v>0.29350000000000009</v>
      </c>
      <c r="J36" s="990">
        <f t="shared" si="21"/>
        <v>0.26400000000000012</v>
      </c>
      <c r="K36" s="990">
        <f t="shared" si="21"/>
        <v>0.2390000000000001</v>
      </c>
      <c r="L36" s="990">
        <f t="shared" si="21"/>
        <v>0.1715000000000001</v>
      </c>
      <c r="M36" s="990">
        <f t="shared" si="21"/>
        <v>0.13700000000000007</v>
      </c>
      <c r="N36" s="990">
        <f t="shared" si="21"/>
        <v>0.11550000000000009</v>
      </c>
      <c r="O36" s="990">
        <f t="shared" si="21"/>
        <v>7.6000000000000068E-2</v>
      </c>
      <c r="Q36" s="885">
        <v>250000</v>
      </c>
      <c r="R36" s="885">
        <v>500000</v>
      </c>
      <c r="T36" s="579">
        <v>50000</v>
      </c>
      <c r="U36" s="579">
        <v>75000</v>
      </c>
      <c r="X36" s="579">
        <v>50000</v>
      </c>
      <c r="Y36" s="578">
        <f t="shared" si="18"/>
        <v>6</v>
      </c>
      <c r="AI36" s="579">
        <v>250000</v>
      </c>
      <c r="AJ36" s="579">
        <v>500000</v>
      </c>
      <c r="AL36" s="579">
        <v>50000</v>
      </c>
      <c r="AM36" s="579">
        <v>75000</v>
      </c>
      <c r="AP36" s="579">
        <v>50000</v>
      </c>
      <c r="AQ36" s="578">
        <f t="shared" si="19"/>
        <v>6</v>
      </c>
    </row>
    <row r="37" spans="1:49" ht="12.75" customHeight="1" x14ac:dyDescent="0.2">
      <c r="A37" s="580">
        <v>500000</v>
      </c>
      <c r="B37" s="990">
        <f t="shared" ref="B37:O37" si="22">IF(NFP,B121,B79)</f>
        <v>0.73</v>
      </c>
      <c r="C37" s="990">
        <f t="shared" si="22"/>
        <v>0.69399999999999995</v>
      </c>
      <c r="D37" s="990">
        <f t="shared" si="22"/>
        <v>0.65800000000000003</v>
      </c>
      <c r="E37" s="990">
        <f t="shared" si="22"/>
        <v>0.64400000000000002</v>
      </c>
      <c r="F37" s="990">
        <f t="shared" si="22"/>
        <v>0.53400000000000003</v>
      </c>
      <c r="G37" s="990">
        <f t="shared" si="22"/>
        <v>0.49199999999999999</v>
      </c>
      <c r="H37" s="990">
        <f t="shared" si="22"/>
        <v>0.46</v>
      </c>
      <c r="I37" s="990">
        <f t="shared" si="22"/>
        <v>0.41299999999999998</v>
      </c>
      <c r="J37" s="990">
        <f t="shared" si="22"/>
        <v>0.379</v>
      </c>
      <c r="K37" s="990">
        <f t="shared" si="22"/>
        <v>0.35099999999999998</v>
      </c>
      <c r="L37" s="990">
        <f t="shared" si="22"/>
        <v>0.26900000000000002</v>
      </c>
      <c r="M37" s="990">
        <f t="shared" si="22"/>
        <v>0.224</v>
      </c>
      <c r="N37" s="990">
        <f t="shared" si="22"/>
        <v>0.19500000000000001</v>
      </c>
      <c r="O37" s="990">
        <f t="shared" si="22"/>
        <v>0.13600000000000001</v>
      </c>
      <c r="Q37" s="885">
        <v>500000</v>
      </c>
      <c r="R37" s="885">
        <v>1000000</v>
      </c>
      <c r="T37" s="579">
        <v>75000</v>
      </c>
      <c r="U37" s="579">
        <v>100000</v>
      </c>
      <c r="X37" s="579">
        <v>75000</v>
      </c>
      <c r="Y37" s="578">
        <f t="shared" si="18"/>
        <v>7</v>
      </c>
      <c r="AI37" s="579">
        <v>500000</v>
      </c>
      <c r="AJ37" s="579">
        <v>1000000</v>
      </c>
      <c r="AL37" s="579">
        <v>75000</v>
      </c>
      <c r="AM37" s="579">
        <v>100000</v>
      </c>
      <c r="AP37" s="579">
        <v>75000</v>
      </c>
      <c r="AQ37" s="578">
        <f t="shared" si="19"/>
        <v>7</v>
      </c>
    </row>
    <row r="38" spans="1:49" ht="12.75" customHeight="1" x14ac:dyDescent="0.2">
      <c r="A38" s="580">
        <v>1000000</v>
      </c>
      <c r="B38" s="990">
        <f t="shared" ref="B38:O38" si="23">IF(NFP,B122,B80)</f>
        <v>1</v>
      </c>
      <c r="C38" s="990">
        <f t="shared" si="23"/>
        <v>0.96099999999999997</v>
      </c>
      <c r="D38" s="990">
        <f t="shared" si="23"/>
        <v>0.92400000000000004</v>
      </c>
      <c r="E38" s="990">
        <f t="shared" si="23"/>
        <v>0.85799999999999998</v>
      </c>
      <c r="F38" s="990">
        <f t="shared" si="23"/>
        <v>0.79100000000000004</v>
      </c>
      <c r="G38" s="990">
        <f t="shared" si="23"/>
        <v>0.745</v>
      </c>
      <c r="H38" s="990">
        <f t="shared" si="23"/>
        <v>0.70799999999999996</v>
      </c>
      <c r="I38" s="990">
        <f t="shared" si="23"/>
        <v>0.65200000000000002</v>
      </c>
      <c r="J38" s="990">
        <f t="shared" si="23"/>
        <v>0.60899999999999999</v>
      </c>
      <c r="K38" s="990">
        <f t="shared" si="23"/>
        <v>0.57499999999999996</v>
      </c>
      <c r="L38" s="990">
        <f t="shared" si="23"/>
        <v>0.46400000000000002</v>
      </c>
      <c r="M38" s="990">
        <f t="shared" si="23"/>
        <v>0.39800000000000002</v>
      </c>
      <c r="N38" s="990">
        <f t="shared" si="23"/>
        <v>0.35399999999999998</v>
      </c>
      <c r="O38" s="990">
        <f t="shared" si="23"/>
        <v>0.25600000000000001</v>
      </c>
      <c r="Q38" s="885">
        <v>1000000</v>
      </c>
      <c r="R38" s="885">
        <v>2000000</v>
      </c>
      <c r="T38" s="579">
        <v>100000</v>
      </c>
      <c r="U38" s="579">
        <v>150000</v>
      </c>
      <c r="X38" s="579">
        <v>100000</v>
      </c>
      <c r="Y38" s="578">
        <f t="shared" si="18"/>
        <v>8</v>
      </c>
      <c r="AI38" s="579">
        <v>1000000</v>
      </c>
      <c r="AJ38" s="579">
        <v>2000000</v>
      </c>
      <c r="AL38" s="579">
        <v>100000</v>
      </c>
      <c r="AM38" s="579">
        <v>150000</v>
      </c>
      <c r="AP38" s="579">
        <v>100000</v>
      </c>
      <c r="AQ38" s="578">
        <f t="shared" si="19"/>
        <v>8</v>
      </c>
    </row>
    <row r="39" spans="1:49" ht="12.75" customHeight="1" x14ac:dyDescent="0.2">
      <c r="A39" s="580">
        <v>2000000</v>
      </c>
      <c r="B39" s="990">
        <f t="shared" ref="B39:O39" si="24">IF(NFP,B123,B81)</f>
        <v>1.353</v>
      </c>
      <c r="C39" s="990">
        <f t="shared" si="24"/>
        <v>1.3140000000000001</v>
      </c>
      <c r="D39" s="990">
        <f t="shared" si="24"/>
        <v>1.276</v>
      </c>
      <c r="E39" s="990">
        <f t="shared" si="24"/>
        <v>1.202</v>
      </c>
      <c r="F39" s="990">
        <f t="shared" si="24"/>
        <v>1.137</v>
      </c>
      <c r="G39" s="990">
        <f t="shared" si="24"/>
        <v>1.0880000000000001</v>
      </c>
      <c r="H39" s="990">
        <f t="shared" si="24"/>
        <v>1.0469999999999999</v>
      </c>
      <c r="I39" s="990">
        <f t="shared" si="24"/>
        <v>0.98499999999999999</v>
      </c>
      <c r="J39" s="990">
        <f t="shared" si="24"/>
        <v>0.93600000000000005</v>
      </c>
      <c r="K39" s="990">
        <f t="shared" si="24"/>
        <v>0.89500000000000002</v>
      </c>
      <c r="L39" s="990">
        <f t="shared" si="24"/>
        <v>0.75800000000000001</v>
      </c>
      <c r="M39" s="990">
        <f t="shared" si="24"/>
        <v>0.67100000000000004</v>
      </c>
      <c r="N39" s="990">
        <f t="shared" si="24"/>
        <v>0.60899999999999999</v>
      </c>
      <c r="O39" s="990">
        <f t="shared" si="24"/>
        <v>0.46400000000000002</v>
      </c>
      <c r="Q39" s="885">
        <v>2000000</v>
      </c>
      <c r="R39" s="885">
        <v>3000000</v>
      </c>
      <c r="T39" s="579">
        <v>150000</v>
      </c>
      <c r="U39" s="579">
        <v>200000</v>
      </c>
      <c r="X39" s="579">
        <v>150000</v>
      </c>
      <c r="Y39" s="578">
        <f t="shared" si="18"/>
        <v>9</v>
      </c>
      <c r="AI39" s="579">
        <v>2000000</v>
      </c>
      <c r="AJ39" s="579">
        <v>3000000</v>
      </c>
      <c r="AL39" s="579">
        <v>150000</v>
      </c>
      <c r="AM39" s="579">
        <v>200000</v>
      </c>
      <c r="AP39" s="579">
        <v>150000</v>
      </c>
      <c r="AQ39" s="578">
        <f t="shared" si="19"/>
        <v>9</v>
      </c>
    </row>
    <row r="40" spans="1:49" ht="12.75" customHeight="1" x14ac:dyDescent="0.2">
      <c r="A40" s="580">
        <v>3000000</v>
      </c>
      <c r="B40" s="990">
        <f t="shared" ref="B40:O40" si="25">IF(NFP,B124,B82)</f>
        <v>1.6080000000000001</v>
      </c>
      <c r="C40" s="990">
        <f t="shared" si="25"/>
        <v>1.569</v>
      </c>
      <c r="D40" s="990">
        <f t="shared" si="25"/>
        <v>1.5309999999999999</v>
      </c>
      <c r="E40" s="990">
        <f t="shared" si="25"/>
        <v>1.4590000000000001</v>
      </c>
      <c r="F40" s="990">
        <f t="shared" si="25"/>
        <v>1.39</v>
      </c>
      <c r="G40" s="990">
        <f t="shared" si="25"/>
        <v>1.3380000000000001</v>
      </c>
      <c r="H40" s="990">
        <f t="shared" si="25"/>
        <v>1.2969999999999999</v>
      </c>
      <c r="I40" s="990">
        <f t="shared" si="25"/>
        <v>1.2310000000000001</v>
      </c>
      <c r="J40" s="990">
        <f t="shared" si="25"/>
        <v>1.179</v>
      </c>
      <c r="K40" s="990">
        <f t="shared" si="25"/>
        <v>1.1359999999999999</v>
      </c>
      <c r="L40" s="990">
        <f t="shared" si="25"/>
        <v>0.98599999999999999</v>
      </c>
      <c r="M40" s="990">
        <f t="shared" si="25"/>
        <v>0.88800000000000001</v>
      </c>
      <c r="N40" s="990">
        <f t="shared" si="25"/>
        <v>0.81599999999999995</v>
      </c>
      <c r="O40" s="990">
        <f t="shared" si="25"/>
        <v>0.64</v>
      </c>
      <c r="Q40" s="885">
        <v>3000000</v>
      </c>
      <c r="R40" s="885">
        <v>4000000</v>
      </c>
      <c r="T40" s="579">
        <v>200000</v>
      </c>
      <c r="U40" s="579">
        <v>250000</v>
      </c>
      <c r="X40" s="579">
        <v>200000</v>
      </c>
      <c r="Y40" s="578">
        <f t="shared" si="18"/>
        <v>10</v>
      </c>
      <c r="AI40" s="579">
        <v>3000000</v>
      </c>
      <c r="AJ40" s="579">
        <v>4000000</v>
      </c>
      <c r="AL40" s="579">
        <v>200000</v>
      </c>
      <c r="AM40" s="579">
        <v>250000</v>
      </c>
      <c r="AP40" s="579">
        <v>200000</v>
      </c>
      <c r="AQ40" s="578">
        <f t="shared" si="19"/>
        <v>10</v>
      </c>
    </row>
    <row r="41" spans="1:49" ht="12.75" customHeight="1" x14ac:dyDescent="0.2">
      <c r="A41" s="580">
        <v>4000000</v>
      </c>
      <c r="B41" s="990">
        <f t="shared" ref="B41:O41" si="26">IF(NFP,B125,B83)</f>
        <v>1.8149999999999999</v>
      </c>
      <c r="C41" s="990">
        <f t="shared" si="26"/>
        <v>1.7769999999999999</v>
      </c>
      <c r="D41" s="990">
        <f t="shared" si="26"/>
        <v>1.7390000000000001</v>
      </c>
      <c r="E41" s="990">
        <f t="shared" si="26"/>
        <v>1.631</v>
      </c>
      <c r="F41" s="990">
        <f t="shared" si="26"/>
        <v>1.5960000000000001</v>
      </c>
      <c r="G41" s="990">
        <f t="shared" si="26"/>
        <v>1.5429999999999999</v>
      </c>
      <c r="H41" s="990">
        <f t="shared" si="26"/>
        <v>1.5</v>
      </c>
      <c r="I41" s="990">
        <f t="shared" si="26"/>
        <v>1.4330000000000001</v>
      </c>
      <c r="J41" s="990">
        <f t="shared" si="26"/>
        <v>1.379</v>
      </c>
      <c r="K41" s="990">
        <f t="shared" si="26"/>
        <v>1.335</v>
      </c>
      <c r="L41" s="990">
        <f t="shared" si="26"/>
        <v>1.177</v>
      </c>
      <c r="M41" s="990">
        <f t="shared" si="26"/>
        <v>1.0720000000000001</v>
      </c>
      <c r="N41" s="990">
        <f t="shared" si="26"/>
        <v>0.99399999999999999</v>
      </c>
      <c r="O41" s="990">
        <f t="shared" si="26"/>
        <v>0.79700000000000004</v>
      </c>
      <c r="Q41" s="885">
        <v>4000000</v>
      </c>
      <c r="R41" s="885">
        <v>5000000</v>
      </c>
      <c r="T41" s="579">
        <v>250000</v>
      </c>
      <c r="U41" s="579">
        <v>500000</v>
      </c>
      <c r="X41" s="579">
        <v>250000</v>
      </c>
      <c r="Y41" s="578">
        <f t="shared" si="18"/>
        <v>11</v>
      </c>
      <c r="AI41" s="579">
        <v>4000000</v>
      </c>
      <c r="AJ41" s="579">
        <v>5000000</v>
      </c>
      <c r="AL41" s="579">
        <v>250000</v>
      </c>
      <c r="AM41" s="579">
        <v>500000</v>
      </c>
      <c r="AP41" s="579">
        <v>250000</v>
      </c>
      <c r="AQ41" s="578">
        <f t="shared" si="19"/>
        <v>11</v>
      </c>
    </row>
    <row r="42" spans="1:49" ht="12.75" customHeight="1" x14ac:dyDescent="0.2">
      <c r="A42" s="580">
        <v>5000000</v>
      </c>
      <c r="B42" s="990">
        <f t="shared" ref="B42:O42" si="27">IF(NFP,B126,B84)</f>
        <v>1.992</v>
      </c>
      <c r="C42" s="990">
        <f t="shared" si="27"/>
        <v>1.954</v>
      </c>
      <c r="D42" s="990">
        <f t="shared" si="27"/>
        <v>1.9159999999999999</v>
      </c>
      <c r="E42" s="990">
        <f t="shared" si="27"/>
        <v>1.845</v>
      </c>
      <c r="F42" s="990">
        <f t="shared" si="27"/>
        <v>1.772</v>
      </c>
      <c r="G42" s="990">
        <f t="shared" si="27"/>
        <v>1.718</v>
      </c>
      <c r="H42" s="990">
        <f t="shared" si="27"/>
        <v>1.6759999999999999</v>
      </c>
      <c r="I42" s="990">
        <f t="shared" si="27"/>
        <v>1.607</v>
      </c>
      <c r="J42" s="990">
        <f t="shared" si="27"/>
        <v>1.5529999999999999</v>
      </c>
      <c r="K42" s="990">
        <f t="shared" si="27"/>
        <v>1.506</v>
      </c>
      <c r="L42" s="990">
        <f t="shared" si="27"/>
        <v>1.343</v>
      </c>
      <c r="M42" s="990">
        <f t="shared" si="27"/>
        <v>1.2330000000000001</v>
      </c>
      <c r="N42" s="990">
        <f t="shared" si="27"/>
        <v>1.1499999999999999</v>
      </c>
      <c r="O42" s="990">
        <f t="shared" si="27"/>
        <v>0.93799999999999994</v>
      </c>
      <c r="Q42" s="885">
        <v>5000000</v>
      </c>
      <c r="R42" s="885">
        <v>6000000</v>
      </c>
      <c r="T42" s="579">
        <v>500000</v>
      </c>
      <c r="U42" s="579">
        <v>750000</v>
      </c>
      <c r="X42" s="579">
        <v>500000</v>
      </c>
      <c r="Y42" s="578">
        <f t="shared" si="18"/>
        <v>12</v>
      </c>
      <c r="AI42" s="579">
        <v>5000000</v>
      </c>
      <c r="AJ42" s="579">
        <v>6000000</v>
      </c>
      <c r="AL42" s="579">
        <v>500000</v>
      </c>
      <c r="AM42" s="579">
        <v>750000</v>
      </c>
      <c r="AP42" s="579">
        <v>500000</v>
      </c>
      <c r="AQ42" s="578">
        <f t="shared" si="19"/>
        <v>12</v>
      </c>
    </row>
    <row r="43" spans="1:49" ht="12.75" customHeight="1" x14ac:dyDescent="0.2">
      <c r="A43" s="580">
        <v>6000000</v>
      </c>
      <c r="B43" s="990">
        <f t="shared" ref="B43:O43" si="28">IF(NFP,B127,B85)</f>
        <v>2.1480000000000001</v>
      </c>
      <c r="C43" s="990">
        <f t="shared" si="28"/>
        <v>2.11</v>
      </c>
      <c r="D43" s="990">
        <f t="shared" si="28"/>
        <v>2.0720000000000001</v>
      </c>
      <c r="E43" s="990">
        <f t="shared" si="28"/>
        <v>2.0019999999999998</v>
      </c>
      <c r="F43" s="990">
        <f t="shared" si="28"/>
        <v>1.9279999999999999</v>
      </c>
      <c r="G43" s="990">
        <f t="shared" si="28"/>
        <v>1.8740000000000001</v>
      </c>
      <c r="H43" s="990">
        <f t="shared" si="28"/>
        <v>1.831</v>
      </c>
      <c r="I43" s="990">
        <f t="shared" si="28"/>
        <v>1.7609999999999999</v>
      </c>
      <c r="J43" s="990">
        <f t="shared" si="28"/>
        <v>1.706</v>
      </c>
      <c r="K43" s="990">
        <f t="shared" si="28"/>
        <v>1.6579999999999999</v>
      </c>
      <c r="L43" s="990">
        <f t="shared" si="28"/>
        <v>1.4910000000000001</v>
      </c>
      <c r="M43" s="990">
        <f t="shared" si="28"/>
        <v>1.379</v>
      </c>
      <c r="N43" s="990">
        <f t="shared" si="28"/>
        <v>1.292</v>
      </c>
      <c r="O43" s="990">
        <f t="shared" si="28"/>
        <v>1.0680000000000001</v>
      </c>
      <c r="Q43" s="885">
        <v>6000000</v>
      </c>
      <c r="R43" s="885">
        <v>7000000</v>
      </c>
      <c r="T43" s="579">
        <v>750000</v>
      </c>
      <c r="U43" s="579">
        <v>1000000</v>
      </c>
      <c r="X43" s="579">
        <v>750000</v>
      </c>
      <c r="Y43" s="578">
        <f t="shared" si="18"/>
        <v>13</v>
      </c>
      <c r="AI43" s="579">
        <v>6000000</v>
      </c>
      <c r="AJ43" s="579">
        <v>7000000</v>
      </c>
      <c r="AL43" s="579">
        <v>750000</v>
      </c>
      <c r="AM43" s="579">
        <v>1000000</v>
      </c>
      <c r="AP43" s="579">
        <v>750000</v>
      </c>
      <c r="AQ43" s="578">
        <f t="shared" si="19"/>
        <v>13</v>
      </c>
    </row>
    <row r="44" spans="1:49" ht="12.75" customHeight="1" x14ac:dyDescent="0.2">
      <c r="A44" s="580">
        <v>7000000</v>
      </c>
      <c r="B44" s="990">
        <f t="shared" ref="B44:O44" si="29">IF(NFP,B128,B86)</f>
        <v>2.29</v>
      </c>
      <c r="C44" s="990">
        <f t="shared" si="29"/>
        <v>2.2519999999999998</v>
      </c>
      <c r="D44" s="990">
        <f t="shared" si="29"/>
        <v>2.214</v>
      </c>
      <c r="E44" s="990">
        <f t="shared" si="29"/>
        <v>2.1419999999999999</v>
      </c>
      <c r="F44" s="990">
        <f t="shared" si="29"/>
        <v>2.0680000000000001</v>
      </c>
      <c r="G44" s="990">
        <f t="shared" si="29"/>
        <v>2.0139999999999998</v>
      </c>
      <c r="H44" s="990">
        <f t="shared" si="29"/>
        <v>1.97</v>
      </c>
      <c r="I44" s="990">
        <f t="shared" si="29"/>
        <v>1.9</v>
      </c>
      <c r="J44" s="990">
        <f t="shared" si="29"/>
        <v>1.8440000000000001</v>
      </c>
      <c r="K44" s="990">
        <f t="shared" si="29"/>
        <v>1.7969999999999999</v>
      </c>
      <c r="L44" s="990">
        <f t="shared" si="29"/>
        <v>1.6259999999999999</v>
      </c>
      <c r="M44" s="990">
        <f t="shared" si="29"/>
        <v>1.51</v>
      </c>
      <c r="N44" s="990">
        <f t="shared" si="29"/>
        <v>1.421</v>
      </c>
      <c r="O44" s="990">
        <f t="shared" si="29"/>
        <v>1.1870000000000001</v>
      </c>
      <c r="Q44" s="885">
        <v>7000000</v>
      </c>
      <c r="R44" s="885">
        <v>8000000</v>
      </c>
      <c r="T44" s="579">
        <v>1000000</v>
      </c>
      <c r="U44" s="579">
        <v>2000000</v>
      </c>
      <c r="X44" s="579">
        <v>1000000</v>
      </c>
      <c r="Y44" s="578">
        <f t="shared" si="18"/>
        <v>14</v>
      </c>
      <c r="AI44" s="579">
        <v>7000000</v>
      </c>
      <c r="AJ44" s="579">
        <v>8000000</v>
      </c>
      <c r="AL44" s="579">
        <v>1000000</v>
      </c>
      <c r="AM44" s="579">
        <v>2000000</v>
      </c>
      <c r="AP44" s="579">
        <v>1000000</v>
      </c>
      <c r="AQ44" s="578">
        <f t="shared" si="19"/>
        <v>14</v>
      </c>
    </row>
    <row r="45" spans="1:49" ht="12.75" customHeight="1" x14ac:dyDescent="0.2">
      <c r="A45" s="580">
        <v>8000000</v>
      </c>
      <c r="B45" s="990">
        <f t="shared" ref="B45:O45" si="30">IF(NFP,B129,B87)</f>
        <v>2.419</v>
      </c>
      <c r="C45" s="990">
        <f t="shared" si="30"/>
        <v>2.38</v>
      </c>
      <c r="D45" s="990">
        <f t="shared" si="30"/>
        <v>2.3420000000000001</v>
      </c>
      <c r="E45" s="990">
        <f t="shared" si="30"/>
        <v>2.2709999999999999</v>
      </c>
      <c r="F45" s="990">
        <f t="shared" si="30"/>
        <v>2.1970000000000001</v>
      </c>
      <c r="G45" s="990">
        <f t="shared" si="30"/>
        <v>2.1419999999999999</v>
      </c>
      <c r="H45" s="990">
        <f t="shared" si="30"/>
        <v>2.0990000000000002</v>
      </c>
      <c r="I45" s="990">
        <f t="shared" si="30"/>
        <v>2.0270000000000001</v>
      </c>
      <c r="J45" s="990">
        <f t="shared" si="30"/>
        <v>1.9710000000000001</v>
      </c>
      <c r="K45" s="990">
        <f t="shared" si="30"/>
        <v>1.923</v>
      </c>
      <c r="L45" s="990">
        <f t="shared" si="30"/>
        <v>1.75</v>
      </c>
      <c r="M45" s="990">
        <f t="shared" si="30"/>
        <v>1.6319999999999999</v>
      </c>
      <c r="N45" s="990">
        <f t="shared" si="30"/>
        <v>1.54</v>
      </c>
      <c r="O45" s="990">
        <f t="shared" si="30"/>
        <v>1.298</v>
      </c>
      <c r="Q45" s="885">
        <v>8000000</v>
      </c>
      <c r="R45" s="885">
        <v>10000000</v>
      </c>
      <c r="T45" s="579">
        <v>2000000</v>
      </c>
      <c r="U45" s="579">
        <v>2000000</v>
      </c>
      <c r="X45" s="579">
        <v>2000000</v>
      </c>
      <c r="Y45" s="578">
        <v>15</v>
      </c>
      <c r="AI45" s="579">
        <v>8000000</v>
      </c>
      <c r="AJ45" s="579">
        <v>10000000</v>
      </c>
      <c r="AL45" s="579">
        <v>2000000</v>
      </c>
      <c r="AM45" s="579">
        <v>2000000</v>
      </c>
      <c r="AP45" s="578">
        <v>2000000</v>
      </c>
      <c r="AQ45" s="578">
        <v>15</v>
      </c>
    </row>
    <row r="46" spans="1:49" ht="12.75" customHeight="1" x14ac:dyDescent="0.2">
      <c r="A46" s="580">
        <v>10000000</v>
      </c>
      <c r="B46" s="990">
        <f t="shared" ref="B46:O46" si="31">IF(NFP,B130,B88)</f>
        <v>2.65</v>
      </c>
      <c r="C46" s="990">
        <f t="shared" si="31"/>
        <v>2.6110000000000002</v>
      </c>
      <c r="D46" s="990">
        <f t="shared" si="31"/>
        <v>2.573</v>
      </c>
      <c r="E46" s="990">
        <f t="shared" si="31"/>
        <v>2.5009999999999999</v>
      </c>
      <c r="F46" s="990">
        <f t="shared" si="31"/>
        <v>2.427</v>
      </c>
      <c r="G46" s="990">
        <f t="shared" si="31"/>
        <v>2.3719999999999999</v>
      </c>
      <c r="H46" s="990">
        <f t="shared" si="31"/>
        <v>2.3279999999999998</v>
      </c>
      <c r="I46" s="990">
        <f t="shared" si="31"/>
        <v>2.2559999999999998</v>
      </c>
      <c r="J46" s="990">
        <f t="shared" si="31"/>
        <v>2.1989999999999998</v>
      </c>
      <c r="K46" s="990">
        <f t="shared" si="31"/>
        <v>2.15</v>
      </c>
      <c r="L46" s="990">
        <f t="shared" si="31"/>
        <v>1.9730000000000001</v>
      </c>
      <c r="M46" s="990">
        <f t="shared" si="31"/>
        <v>1.8520000000000001</v>
      </c>
      <c r="N46" s="990">
        <f t="shared" si="31"/>
        <v>1.756</v>
      </c>
      <c r="O46" s="990">
        <f t="shared" si="31"/>
        <v>1.5009999999999999</v>
      </c>
      <c r="Q46" s="885">
        <v>10000000</v>
      </c>
      <c r="R46" s="885">
        <v>15000000</v>
      </c>
      <c r="AI46" s="579">
        <v>10000000</v>
      </c>
      <c r="AJ46" s="579">
        <v>15000000</v>
      </c>
    </row>
    <row r="47" spans="1:49" ht="12.75" customHeight="1" x14ac:dyDescent="0.2">
      <c r="A47" s="580">
        <v>15000000</v>
      </c>
      <c r="B47" s="990">
        <f t="shared" ref="B47:O47" si="32">IF(NFP,B131,B89)</f>
        <v>3.1230000000000002</v>
      </c>
      <c r="C47" s="990">
        <f t="shared" si="32"/>
        <v>3.0830000000000002</v>
      </c>
      <c r="D47" s="990">
        <f t="shared" si="32"/>
        <v>3.0449999999999999</v>
      </c>
      <c r="E47" s="990">
        <f t="shared" si="32"/>
        <v>2.9729999999999999</v>
      </c>
      <c r="F47" s="990">
        <f t="shared" si="32"/>
        <v>2.8980000000000001</v>
      </c>
      <c r="G47" s="990">
        <f t="shared" si="32"/>
        <v>2.8420000000000001</v>
      </c>
      <c r="H47" s="990">
        <f t="shared" si="32"/>
        <v>2.7970000000000002</v>
      </c>
      <c r="I47" s="990">
        <f t="shared" si="32"/>
        <v>2.7240000000000002</v>
      </c>
      <c r="J47" s="990">
        <f t="shared" si="32"/>
        <v>2.6659999999999999</v>
      </c>
      <c r="K47" s="990">
        <f t="shared" si="32"/>
        <v>2.6160000000000001</v>
      </c>
      <c r="L47" s="990">
        <f t="shared" si="32"/>
        <v>2.4329999999999998</v>
      </c>
      <c r="M47" s="990">
        <f t="shared" si="32"/>
        <v>2.306</v>
      </c>
      <c r="N47" s="990">
        <f t="shared" si="32"/>
        <v>2.206</v>
      </c>
      <c r="O47" s="990">
        <f t="shared" si="32"/>
        <v>1.931</v>
      </c>
      <c r="Q47" s="885">
        <v>15000000</v>
      </c>
      <c r="R47" s="885">
        <v>50000000</v>
      </c>
      <c r="AI47" s="579">
        <v>15000000</v>
      </c>
      <c r="AJ47" s="579">
        <v>50000000</v>
      </c>
    </row>
    <row r="48" spans="1:49" ht="12.75" customHeight="1" x14ac:dyDescent="0.2">
      <c r="A48" s="580">
        <v>50000000</v>
      </c>
      <c r="B48" s="990">
        <f t="shared" ref="B48:O48" si="33">IF(NFP,B132,B90)</f>
        <v>5.0209999999999999</v>
      </c>
      <c r="C48" s="990">
        <f t="shared" si="33"/>
        <v>4.9829999999999997</v>
      </c>
      <c r="D48" s="990">
        <f t="shared" si="33"/>
        <v>4.944</v>
      </c>
      <c r="E48" s="990">
        <f t="shared" si="33"/>
        <v>4.8719999999999999</v>
      </c>
      <c r="F48" s="990">
        <f t="shared" si="33"/>
        <v>4.7960000000000003</v>
      </c>
      <c r="G48" s="990">
        <f t="shared" si="33"/>
        <v>4.7389999999999999</v>
      </c>
      <c r="H48" s="990">
        <f t="shared" si="33"/>
        <v>4.6929999999999996</v>
      </c>
      <c r="I48" s="990">
        <f t="shared" si="33"/>
        <v>4.6180000000000003</v>
      </c>
      <c r="J48" s="990">
        <f t="shared" si="33"/>
        <v>4.5570000000000004</v>
      </c>
      <c r="K48" s="990">
        <f t="shared" si="33"/>
        <v>4.5060000000000002</v>
      </c>
      <c r="L48" s="990">
        <f t="shared" si="33"/>
        <v>4.3120000000000003</v>
      </c>
      <c r="M48" s="990">
        <f t="shared" si="33"/>
        <v>4.173</v>
      </c>
      <c r="N48" s="990">
        <f t="shared" si="33"/>
        <v>4.0629999999999997</v>
      </c>
      <c r="O48" s="990">
        <f t="shared" si="33"/>
        <v>3.7480000000000002</v>
      </c>
      <c r="Q48" s="885">
        <v>50000000</v>
      </c>
      <c r="R48" s="885">
        <v>50000000</v>
      </c>
      <c r="AI48" s="579">
        <v>50000000</v>
      </c>
      <c r="AJ48" s="579">
        <v>50000000</v>
      </c>
    </row>
    <row r="49" spans="1:17" ht="12.75" customHeight="1" x14ac:dyDescent="0.25">
      <c r="A49" s="558"/>
      <c r="B49" s="558"/>
      <c r="C49" s="558"/>
      <c r="D49" s="558"/>
      <c r="E49" s="558"/>
      <c r="F49" s="558"/>
      <c r="G49" s="558"/>
      <c r="H49" s="558"/>
      <c r="I49" s="558"/>
      <c r="J49" s="558"/>
      <c r="K49" s="558"/>
      <c r="L49" s="558"/>
      <c r="M49" s="558"/>
      <c r="N49" s="558"/>
      <c r="O49" s="558"/>
    </row>
    <row r="51" spans="1:17" ht="12.75" customHeight="1" thickBot="1" x14ac:dyDescent="0.25">
      <c r="Q51" s="933"/>
    </row>
    <row r="52" spans="1:17" ht="12.75" customHeight="1" thickTop="1" thickBot="1" x14ac:dyDescent="0.25">
      <c r="A52" s="983" t="s">
        <v>737</v>
      </c>
      <c r="B52" s="984"/>
      <c r="C52" s="985"/>
      <c r="D52" s="986" t="s">
        <v>7089</v>
      </c>
      <c r="E52" s="985"/>
      <c r="F52" s="985"/>
      <c r="G52" s="985"/>
      <c r="H52" s="985"/>
      <c r="I52" s="985"/>
      <c r="J52" s="985"/>
      <c r="K52" s="985"/>
      <c r="L52" s="985"/>
      <c r="M52" s="985"/>
      <c r="N52" s="985"/>
      <c r="O52" s="985"/>
    </row>
    <row r="53" spans="1:17" ht="12.75" customHeight="1" thickTop="1" x14ac:dyDescent="0.2">
      <c r="A53" s="987"/>
      <c r="B53" s="988" t="s">
        <v>366</v>
      </c>
      <c r="C53" s="985"/>
      <c r="D53" s="985"/>
      <c r="E53" s="985"/>
      <c r="F53" s="985"/>
      <c r="G53" s="985"/>
      <c r="H53" s="985"/>
      <c r="I53" s="985"/>
      <c r="J53" s="985"/>
      <c r="K53" s="985"/>
      <c r="L53" s="985"/>
      <c r="M53" s="985"/>
      <c r="N53" s="985"/>
      <c r="O53" s="985"/>
    </row>
    <row r="54" spans="1:17" ht="12.75" customHeight="1" x14ac:dyDescent="0.2">
      <c r="A54" s="989" t="s">
        <v>285</v>
      </c>
      <c r="B54" s="987">
        <v>0</v>
      </c>
      <c r="C54" s="987">
        <v>5000</v>
      </c>
      <c r="D54" s="987">
        <v>10000</v>
      </c>
      <c r="E54" s="987">
        <v>25000</v>
      </c>
      <c r="F54" s="987">
        <v>50000</v>
      </c>
      <c r="G54" s="987">
        <v>75000</v>
      </c>
      <c r="H54" s="987">
        <v>100000</v>
      </c>
      <c r="I54" s="987">
        <v>150000</v>
      </c>
      <c r="J54" s="987">
        <v>200000</v>
      </c>
      <c r="K54" s="987">
        <v>250000</v>
      </c>
      <c r="L54" s="987">
        <v>500000</v>
      </c>
      <c r="M54" s="987">
        <v>750000</v>
      </c>
      <c r="N54" s="987">
        <v>1000000</v>
      </c>
      <c r="O54" s="987">
        <v>2000000</v>
      </c>
    </row>
    <row r="55" spans="1:17" ht="12.75" customHeight="1" x14ac:dyDescent="0.2">
      <c r="A55" s="987">
        <v>0</v>
      </c>
      <c r="B55" s="990">
        <v>0</v>
      </c>
      <c r="C55" s="990">
        <v>0</v>
      </c>
      <c r="D55" s="990">
        <v>0</v>
      </c>
      <c r="E55" s="990">
        <v>0</v>
      </c>
      <c r="F55" s="990">
        <v>0</v>
      </c>
      <c r="G55" s="990">
        <v>0</v>
      </c>
      <c r="H55" s="990">
        <v>0</v>
      </c>
      <c r="I55" s="990">
        <v>0</v>
      </c>
      <c r="J55" s="990">
        <v>0</v>
      </c>
      <c r="K55" s="990">
        <v>0</v>
      </c>
      <c r="L55" s="990">
        <v>0</v>
      </c>
      <c r="M55" s="990">
        <v>0</v>
      </c>
      <c r="N55" s="990">
        <v>0</v>
      </c>
      <c r="O55" s="990">
        <v>0</v>
      </c>
    </row>
    <row r="56" spans="1:17" ht="12.75" customHeight="1" x14ac:dyDescent="0.2">
      <c r="A56" s="987">
        <v>10000</v>
      </c>
      <c r="B56" s="990">
        <v>0.49120000000000003</v>
      </c>
      <c r="C56" s="990">
        <v>0.4728</v>
      </c>
      <c r="D56" s="990">
        <v>0.45440000000000003</v>
      </c>
      <c r="E56" s="990">
        <v>0.41359999999999997</v>
      </c>
      <c r="F56" s="990">
        <v>0.156</v>
      </c>
      <c r="G56" s="990">
        <v>0.14759999999999998</v>
      </c>
      <c r="H56" s="990">
        <v>0.14119999999999996</v>
      </c>
      <c r="I56" s="990">
        <v>0.13139999999999996</v>
      </c>
      <c r="J56" s="990">
        <v>0.12279999999999999</v>
      </c>
      <c r="K56" s="990">
        <v>0.11639999999999999</v>
      </c>
      <c r="L56" s="990">
        <v>6.1199999999999984E-2</v>
      </c>
      <c r="M56" s="990">
        <v>4.7199999999999992E-2</v>
      </c>
      <c r="N56" s="990">
        <v>4.5599999999999988E-2</v>
      </c>
      <c r="O56" s="990">
        <v>3.7799999999999986E-2</v>
      </c>
    </row>
    <row r="57" spans="1:17" ht="12.75" customHeight="1" x14ac:dyDescent="0.2">
      <c r="A57" s="987">
        <v>25000</v>
      </c>
      <c r="B57" s="990">
        <v>0.50600000000000001</v>
      </c>
      <c r="C57" s="990">
        <v>0.48699999999999999</v>
      </c>
      <c r="D57" s="990">
        <v>0.46800000000000003</v>
      </c>
      <c r="E57" s="990">
        <v>0.42599999999999999</v>
      </c>
      <c r="F57" s="990">
        <v>0.17</v>
      </c>
      <c r="G57" s="990">
        <v>0.161</v>
      </c>
      <c r="H57" s="990">
        <v>0.154</v>
      </c>
      <c r="I57" s="990">
        <v>0.14299999999999999</v>
      </c>
      <c r="J57" s="990">
        <v>0.13400000000000001</v>
      </c>
      <c r="K57" s="990">
        <v>0.127</v>
      </c>
      <c r="L57" s="990">
        <v>7.0999999999999994E-2</v>
      </c>
      <c r="M57" s="990">
        <v>5.6000000000000001E-2</v>
      </c>
      <c r="N57" s="990">
        <v>5.3999999999999999E-2</v>
      </c>
      <c r="O57" s="990">
        <v>4.4999999999999998E-2</v>
      </c>
    </row>
    <row r="58" spans="1:17" ht="12.75" customHeight="1" x14ac:dyDescent="0.2">
      <c r="A58" s="987">
        <v>100000</v>
      </c>
      <c r="B58" s="990">
        <v>0.57999999999999996</v>
      </c>
      <c r="C58" s="990">
        <v>0.55800000000000005</v>
      </c>
      <c r="D58" s="990">
        <v>0.53600000000000003</v>
      </c>
      <c r="E58" s="990">
        <v>0.48799999999999999</v>
      </c>
      <c r="F58" s="990">
        <v>0.24</v>
      </c>
      <c r="G58" s="990">
        <v>0.22800000000000001</v>
      </c>
      <c r="H58" s="990">
        <v>0.218</v>
      </c>
      <c r="I58" s="990">
        <v>0.20100000000000001</v>
      </c>
      <c r="J58" s="990">
        <v>0.19</v>
      </c>
      <c r="K58" s="990">
        <v>0.18</v>
      </c>
      <c r="L58" s="990">
        <v>0.12</v>
      </c>
      <c r="M58" s="990">
        <v>0.1</v>
      </c>
      <c r="N58" s="990">
        <v>9.6000000000000002E-2</v>
      </c>
      <c r="O58" s="990">
        <v>8.1000000000000003E-2</v>
      </c>
    </row>
    <row r="59" spans="1:17" ht="12.75" customHeight="1" x14ac:dyDescent="0.2">
      <c r="A59" s="987">
        <v>250000</v>
      </c>
      <c r="B59" s="990">
        <v>0.70499999999999996</v>
      </c>
      <c r="C59" s="990">
        <v>0.67800000000000005</v>
      </c>
      <c r="D59" s="990">
        <v>0.65200000000000002</v>
      </c>
      <c r="E59" s="990">
        <v>0.59299999999999997</v>
      </c>
      <c r="F59" s="990">
        <v>0.37</v>
      </c>
      <c r="G59" s="990">
        <v>0.35099999999999998</v>
      </c>
      <c r="H59" s="990">
        <v>0.33500000000000002</v>
      </c>
      <c r="I59" s="990">
        <v>0.31</v>
      </c>
      <c r="J59" s="990">
        <v>0.29199999999999998</v>
      </c>
      <c r="K59" s="990">
        <v>0.27700000000000002</v>
      </c>
      <c r="L59" s="990">
        <v>0.21</v>
      </c>
      <c r="M59" s="990">
        <v>0.18</v>
      </c>
      <c r="N59" s="990">
        <v>0.17199999999999999</v>
      </c>
      <c r="O59" s="990">
        <v>0.14599999999999999</v>
      </c>
    </row>
    <row r="60" spans="1:17" ht="12.75" customHeight="1" x14ac:dyDescent="0.2">
      <c r="A60" s="987">
        <v>500000</v>
      </c>
      <c r="B60" s="990">
        <v>0.89100000000000001</v>
      </c>
      <c r="C60" s="990">
        <v>0.85699999999999998</v>
      </c>
      <c r="D60" s="990">
        <v>0.82399999999999995</v>
      </c>
      <c r="E60" s="990">
        <v>0.75</v>
      </c>
      <c r="F60" s="990">
        <v>0.57599999999999996</v>
      </c>
      <c r="G60" s="990">
        <v>0.54600000000000004</v>
      </c>
      <c r="H60" s="990">
        <v>0.52200000000000002</v>
      </c>
      <c r="I60" s="990">
        <v>0.48299999999999998</v>
      </c>
      <c r="J60" s="990">
        <v>0.45500000000000002</v>
      </c>
      <c r="K60" s="990">
        <v>0.43099999999999999</v>
      </c>
      <c r="L60" s="990">
        <v>0.35299999999999998</v>
      </c>
      <c r="M60" s="990">
        <v>0.308</v>
      </c>
      <c r="N60" s="990">
        <v>0.27800000000000002</v>
      </c>
      <c r="O60" s="990">
        <v>0.21099999999999999</v>
      </c>
    </row>
    <row r="61" spans="1:17" ht="12.75" customHeight="1" x14ac:dyDescent="0.2">
      <c r="A61" s="987">
        <v>1000000</v>
      </c>
      <c r="B61" s="990">
        <v>1.1890000000000001</v>
      </c>
      <c r="C61" s="990">
        <v>1.143</v>
      </c>
      <c r="D61" s="990">
        <v>1.099</v>
      </c>
      <c r="E61" s="990">
        <v>1</v>
      </c>
      <c r="F61" s="990">
        <v>0.91100000000000003</v>
      </c>
      <c r="G61" s="990">
        <v>0.877</v>
      </c>
      <c r="H61" s="990">
        <v>0.84799999999999998</v>
      </c>
      <c r="I61" s="990">
        <v>0.80200000000000005</v>
      </c>
      <c r="J61" s="990">
        <v>0.76500000000000001</v>
      </c>
      <c r="K61" s="990">
        <v>0.73399999999999999</v>
      </c>
      <c r="L61" s="990">
        <v>0.628</v>
      </c>
      <c r="M61" s="990">
        <v>0.56100000000000005</v>
      </c>
      <c r="N61" s="990">
        <v>0.51300000000000001</v>
      </c>
      <c r="O61" s="990">
        <v>0.40100000000000002</v>
      </c>
    </row>
    <row r="62" spans="1:17" ht="12.75" customHeight="1" x14ac:dyDescent="0.2">
      <c r="A62" s="987">
        <v>2000000</v>
      </c>
      <c r="B62" s="990">
        <v>1.8420000000000001</v>
      </c>
      <c r="C62" s="990">
        <v>1.7709999999999999</v>
      </c>
      <c r="D62" s="990">
        <v>1.7030000000000001</v>
      </c>
      <c r="E62" s="990">
        <v>1.55</v>
      </c>
      <c r="F62" s="990">
        <v>1.4019999999999999</v>
      </c>
      <c r="G62" s="990">
        <v>1.3640000000000001</v>
      </c>
      <c r="H62" s="990">
        <v>1.3320000000000001</v>
      </c>
      <c r="I62" s="990">
        <v>1.28</v>
      </c>
      <c r="J62" s="990">
        <v>1.2370000000000001</v>
      </c>
      <c r="K62" s="990">
        <v>1.1990000000000001</v>
      </c>
      <c r="L62" s="990">
        <v>1.0660000000000001</v>
      </c>
      <c r="M62" s="990">
        <v>0.97599999999999998</v>
      </c>
      <c r="N62" s="990">
        <v>0.90800000000000003</v>
      </c>
      <c r="O62" s="990">
        <v>0.74</v>
      </c>
    </row>
    <row r="63" spans="1:17" ht="12.75" customHeight="1" x14ac:dyDescent="0.2">
      <c r="A63" s="987">
        <v>3000000</v>
      </c>
      <c r="B63" s="990">
        <v>2.3780000000000001</v>
      </c>
      <c r="C63" s="990">
        <v>2.286</v>
      </c>
      <c r="D63" s="990">
        <v>2.198</v>
      </c>
      <c r="E63" s="990">
        <v>2</v>
      </c>
      <c r="F63" s="990">
        <v>1.7849999999999999</v>
      </c>
      <c r="G63" s="990">
        <v>1.746</v>
      </c>
      <c r="H63" s="990">
        <v>1.712</v>
      </c>
      <c r="I63" s="990">
        <v>1.657</v>
      </c>
      <c r="J63" s="990">
        <v>1.611</v>
      </c>
      <c r="K63" s="990">
        <v>1.571</v>
      </c>
      <c r="L63" s="990">
        <v>1.423</v>
      </c>
      <c r="M63" s="990">
        <v>1.3220000000000001</v>
      </c>
      <c r="N63" s="990">
        <v>1.242</v>
      </c>
      <c r="O63" s="990">
        <v>1.038</v>
      </c>
    </row>
    <row r="64" spans="1:17" ht="12.75" customHeight="1" x14ac:dyDescent="0.2">
      <c r="A64" s="987">
        <v>4000000</v>
      </c>
      <c r="B64" s="990">
        <v>2.8530000000000002</v>
      </c>
      <c r="C64" s="990">
        <v>2.7429999999999999</v>
      </c>
      <c r="D64" s="990">
        <v>2.637</v>
      </c>
      <c r="E64" s="990">
        <v>2.4</v>
      </c>
      <c r="F64" s="990">
        <v>2.1110000000000002</v>
      </c>
      <c r="G64" s="990">
        <v>2.0699999999999998</v>
      </c>
      <c r="H64" s="990">
        <v>2.036</v>
      </c>
      <c r="I64" s="990">
        <v>1.9790000000000001</v>
      </c>
      <c r="J64" s="990">
        <v>1.931</v>
      </c>
      <c r="K64" s="990">
        <v>1.889</v>
      </c>
      <c r="L64" s="990">
        <v>1.734</v>
      </c>
      <c r="M64" s="990">
        <v>1.623</v>
      </c>
      <c r="N64" s="990">
        <v>1.536</v>
      </c>
      <c r="O64" s="990">
        <v>1.3069999999999999</v>
      </c>
    </row>
    <row r="65" spans="1:15" ht="12.75" customHeight="1" x14ac:dyDescent="0.2">
      <c r="A65" s="987">
        <v>5000000</v>
      </c>
      <c r="B65" s="990">
        <v>3.2690000000000001</v>
      </c>
      <c r="C65" s="990">
        <v>3.1429999999999998</v>
      </c>
      <c r="D65" s="990">
        <v>3.0219999999999998</v>
      </c>
      <c r="E65" s="990">
        <v>2.75</v>
      </c>
      <c r="F65" s="990">
        <v>2.3980000000000001</v>
      </c>
      <c r="G65" s="990">
        <v>2.3570000000000002</v>
      </c>
      <c r="H65" s="990">
        <v>2.3220000000000001</v>
      </c>
      <c r="I65" s="990">
        <v>2.2629999999999999</v>
      </c>
      <c r="J65" s="990">
        <v>2.214</v>
      </c>
      <c r="K65" s="990">
        <v>2.1720000000000002</v>
      </c>
      <c r="L65" s="990">
        <v>2.0099999999999998</v>
      </c>
      <c r="M65" s="990">
        <v>1.8939999999999999</v>
      </c>
      <c r="N65" s="990">
        <v>1.802</v>
      </c>
      <c r="O65" s="990">
        <v>1.554</v>
      </c>
    </row>
    <row r="66" spans="1:15" ht="12.75" customHeight="1" x14ac:dyDescent="0.2">
      <c r="A66" s="987">
        <v>10000000</v>
      </c>
      <c r="B66" s="990">
        <v>4.5949999999999998</v>
      </c>
      <c r="C66" s="990">
        <v>4.2859999999999996</v>
      </c>
      <c r="D66" s="990">
        <v>3.9980000000000002</v>
      </c>
      <c r="E66" s="990">
        <v>3.5840000000000001</v>
      </c>
      <c r="F66" s="990">
        <v>3.53</v>
      </c>
      <c r="G66" s="990">
        <v>3.4870000000000001</v>
      </c>
      <c r="H66" s="990">
        <v>3.4510000000000001</v>
      </c>
      <c r="I66" s="990">
        <v>3.39</v>
      </c>
      <c r="J66" s="990">
        <v>3.3380000000000001</v>
      </c>
      <c r="K66" s="990">
        <v>3.2919999999999998</v>
      </c>
      <c r="L66" s="990">
        <v>3.1160000000000001</v>
      </c>
      <c r="M66" s="990">
        <v>2.9860000000000002</v>
      </c>
      <c r="N66" s="990">
        <v>2.88</v>
      </c>
      <c r="O66" s="990">
        <v>2.5790000000000002</v>
      </c>
    </row>
    <row r="67" spans="1:15" ht="12.75" customHeight="1" x14ac:dyDescent="0.2">
      <c r="A67" s="987">
        <v>15000000</v>
      </c>
      <c r="B67" s="990">
        <v>5.6840000000000002</v>
      </c>
      <c r="C67" s="990">
        <v>5.3079999999999998</v>
      </c>
      <c r="D67" s="990">
        <v>4.9569999999999999</v>
      </c>
      <c r="E67" s="990">
        <v>4.4539999999999997</v>
      </c>
      <c r="F67" s="990">
        <v>4.399</v>
      </c>
      <c r="G67" s="990">
        <v>4.3559999999999999</v>
      </c>
      <c r="H67" s="990">
        <v>4.32</v>
      </c>
      <c r="I67" s="990">
        <v>4.2569999999999997</v>
      </c>
      <c r="J67" s="990">
        <v>4.2039999999999997</v>
      </c>
      <c r="K67" s="990">
        <v>4.157</v>
      </c>
      <c r="L67" s="990">
        <v>3.9740000000000002</v>
      </c>
      <c r="M67" s="990">
        <v>3.8380000000000001</v>
      </c>
      <c r="N67" s="990">
        <v>3.726</v>
      </c>
      <c r="O67" s="990">
        <v>3.4009999999999998</v>
      </c>
    </row>
    <row r="68" spans="1:15" ht="12.75" customHeight="1" x14ac:dyDescent="0.2">
      <c r="A68" s="987">
        <v>20000000</v>
      </c>
      <c r="B68" s="990">
        <v>6.5990000000000002</v>
      </c>
      <c r="C68" s="990">
        <v>6.1680000000000001</v>
      </c>
      <c r="D68" s="990">
        <v>5.7649999999999997</v>
      </c>
      <c r="E68" s="990">
        <v>5.1859999999999999</v>
      </c>
      <c r="F68" s="990">
        <v>5.1319999999999997</v>
      </c>
      <c r="G68" s="990">
        <v>5.0890000000000004</v>
      </c>
      <c r="H68" s="990">
        <v>5.0510000000000002</v>
      </c>
      <c r="I68" s="990">
        <v>4.9880000000000004</v>
      </c>
      <c r="J68" s="990">
        <v>4.9349999999999996</v>
      </c>
      <c r="K68" s="990">
        <v>4.8869999999999996</v>
      </c>
      <c r="L68" s="990">
        <v>4.7009999999999996</v>
      </c>
      <c r="M68" s="990">
        <v>4.5609999999999999</v>
      </c>
      <c r="N68" s="990">
        <v>4.4450000000000003</v>
      </c>
      <c r="O68" s="990">
        <v>4.1059999999999999</v>
      </c>
    </row>
    <row r="69" spans="1:15" ht="12.75" customHeight="1" x14ac:dyDescent="0.2">
      <c r="A69" s="987">
        <v>25000000</v>
      </c>
      <c r="B69" s="990">
        <v>7.4089999999999998</v>
      </c>
      <c r="C69" s="990">
        <v>6.9269999999999996</v>
      </c>
      <c r="D69" s="990">
        <v>6.476</v>
      </c>
      <c r="E69" s="990">
        <v>5.8310000000000004</v>
      </c>
      <c r="F69" s="990">
        <v>5.7770000000000001</v>
      </c>
      <c r="G69" s="990">
        <v>5.7329999999999997</v>
      </c>
      <c r="H69" s="990">
        <v>5.6959999999999997</v>
      </c>
      <c r="I69" s="990">
        <v>5.6310000000000002</v>
      </c>
      <c r="J69" s="990">
        <v>5.5780000000000003</v>
      </c>
      <c r="K69" s="990">
        <v>5.53</v>
      </c>
      <c r="L69" s="990">
        <v>5.3410000000000002</v>
      </c>
      <c r="M69" s="990">
        <v>5.1989999999999998</v>
      </c>
      <c r="N69" s="990">
        <v>5.0810000000000004</v>
      </c>
      <c r="O69" s="990">
        <v>4.7320000000000002</v>
      </c>
    </row>
    <row r="70" spans="1:15" ht="12.75" customHeight="1" thickBot="1" x14ac:dyDescent="0.25"/>
    <row r="71" spans="1:15" ht="12.75" customHeight="1" thickTop="1" thickBot="1" x14ac:dyDescent="0.25">
      <c r="A71" s="983" t="s">
        <v>742</v>
      </c>
      <c r="B71" s="985"/>
      <c r="C71" s="985"/>
      <c r="D71" s="986" t="s">
        <v>7089</v>
      </c>
      <c r="E71" s="985"/>
      <c r="F71" s="985"/>
      <c r="G71" s="985"/>
      <c r="H71" s="985"/>
      <c r="I71" s="985"/>
      <c r="J71" s="985"/>
      <c r="K71" s="985"/>
      <c r="L71" s="985"/>
      <c r="M71" s="985"/>
      <c r="N71" s="985"/>
      <c r="O71" s="985"/>
    </row>
    <row r="72" spans="1:15" ht="12.75" customHeight="1" thickTop="1" x14ac:dyDescent="0.2">
      <c r="A72" s="987"/>
      <c r="B72" s="988" t="s">
        <v>366</v>
      </c>
      <c r="C72" s="985"/>
      <c r="D72" s="985"/>
      <c r="E72" s="985"/>
      <c r="F72" s="985"/>
      <c r="G72" s="985"/>
      <c r="H72" s="985"/>
      <c r="I72" s="985"/>
      <c r="J72" s="985"/>
      <c r="K72" s="985"/>
      <c r="L72" s="985"/>
      <c r="M72" s="985"/>
      <c r="N72" s="985"/>
      <c r="O72" s="985"/>
    </row>
    <row r="73" spans="1:15" ht="12.75" customHeight="1" x14ac:dyDescent="0.2">
      <c r="A73" s="989" t="s">
        <v>285</v>
      </c>
      <c r="B73" s="987">
        <v>0</v>
      </c>
      <c r="C73" s="987">
        <v>5000</v>
      </c>
      <c r="D73" s="987">
        <v>10000</v>
      </c>
      <c r="E73" s="987">
        <v>25000</v>
      </c>
      <c r="F73" s="987">
        <v>50000</v>
      </c>
      <c r="G73" s="987">
        <v>75000</v>
      </c>
      <c r="H73" s="987">
        <v>100000</v>
      </c>
      <c r="I73" s="987">
        <v>150000</v>
      </c>
      <c r="J73" s="987">
        <v>200000</v>
      </c>
      <c r="K73" s="987">
        <v>250000</v>
      </c>
      <c r="L73" s="987">
        <v>500000</v>
      </c>
      <c r="M73" s="987">
        <v>750000</v>
      </c>
      <c r="N73" s="987">
        <v>1000000</v>
      </c>
      <c r="O73" s="987">
        <v>2000000</v>
      </c>
    </row>
    <row r="74" spans="1:15" ht="12.75" customHeight="1" x14ac:dyDescent="0.2">
      <c r="A74" s="987">
        <v>0</v>
      </c>
      <c r="B74" s="991">
        <v>0</v>
      </c>
      <c r="C74" s="991">
        <v>0</v>
      </c>
      <c r="D74" s="991">
        <v>0</v>
      </c>
      <c r="E74" s="991">
        <v>0</v>
      </c>
      <c r="F74" s="991">
        <v>0</v>
      </c>
      <c r="G74" s="991">
        <v>0</v>
      </c>
      <c r="H74" s="991">
        <v>0</v>
      </c>
      <c r="I74" s="991">
        <v>0</v>
      </c>
      <c r="J74" s="991">
        <v>0</v>
      </c>
      <c r="K74" s="991">
        <v>0</v>
      </c>
      <c r="L74" s="991">
        <v>0</v>
      </c>
      <c r="M74" s="991">
        <v>0</v>
      </c>
      <c r="N74" s="991">
        <v>0</v>
      </c>
      <c r="O74" s="991">
        <v>0</v>
      </c>
    </row>
    <row r="75" spans="1:15" ht="12.75" customHeight="1" x14ac:dyDescent="0.2">
      <c r="A75" s="987">
        <v>10000</v>
      </c>
      <c r="B75" s="991">
        <v>0.46540000000000004</v>
      </c>
      <c r="C75" s="991">
        <v>0.43234000000000006</v>
      </c>
      <c r="D75" s="991">
        <v>0.39732000000000017</v>
      </c>
      <c r="E75" s="991">
        <v>0.43428000000000022</v>
      </c>
      <c r="F75" s="990">
        <v>0.28214000000000033</v>
      </c>
      <c r="G75" s="990">
        <v>0.24406000000000033</v>
      </c>
      <c r="H75" s="990">
        <v>0.21696000000000037</v>
      </c>
      <c r="I75" s="990">
        <v>0.17878000000000024</v>
      </c>
      <c r="J75" s="990">
        <v>0.15360000000000024</v>
      </c>
      <c r="K75" s="990">
        <v>0.13148000000000024</v>
      </c>
      <c r="L75" s="990">
        <v>7.7900000000000177E-2</v>
      </c>
      <c r="M75" s="990">
        <v>5.3480000000000132E-2</v>
      </c>
      <c r="N75" s="990">
        <v>3.9180000000000187E-2</v>
      </c>
      <c r="O75" s="990">
        <v>1.8400000000000145E-2</v>
      </c>
    </row>
    <row r="76" spans="1:15" ht="12.75" customHeight="1" x14ac:dyDescent="0.2">
      <c r="A76" s="987">
        <v>25000</v>
      </c>
      <c r="B76" s="991">
        <v>0.47350000000000003</v>
      </c>
      <c r="C76" s="991">
        <v>0.44035000000000007</v>
      </c>
      <c r="D76" s="991">
        <v>0.40530000000000022</v>
      </c>
      <c r="E76" s="991">
        <v>0.44070000000000026</v>
      </c>
      <c r="F76" s="990">
        <v>0.28985000000000039</v>
      </c>
      <c r="G76" s="990">
        <v>0.25165000000000037</v>
      </c>
      <c r="H76" s="990">
        <v>0.2244000000000004</v>
      </c>
      <c r="I76" s="990">
        <v>0.18595000000000028</v>
      </c>
      <c r="J76" s="990">
        <v>0.16050000000000028</v>
      </c>
      <c r="K76" s="990">
        <v>0.13820000000000027</v>
      </c>
      <c r="L76" s="990">
        <v>8.3750000000000213E-2</v>
      </c>
      <c r="M76" s="990">
        <v>5.8700000000000162E-2</v>
      </c>
      <c r="N76" s="990">
        <v>4.3950000000000211E-2</v>
      </c>
      <c r="O76" s="990">
        <v>2.2000000000000162E-2</v>
      </c>
    </row>
    <row r="77" spans="1:15" ht="12.75" customHeight="1" x14ac:dyDescent="0.2">
      <c r="A77" s="987">
        <v>100000</v>
      </c>
      <c r="B77" s="991">
        <v>0.51400000000000001</v>
      </c>
      <c r="C77" s="991">
        <v>0.48040000000000005</v>
      </c>
      <c r="D77" s="991">
        <v>0.44520000000000021</v>
      </c>
      <c r="E77" s="991">
        <v>0.47280000000000022</v>
      </c>
      <c r="F77" s="990">
        <v>0.3284000000000003</v>
      </c>
      <c r="G77" s="990">
        <v>0.2896000000000003</v>
      </c>
      <c r="H77" s="990">
        <v>0.26160000000000033</v>
      </c>
      <c r="I77" s="990">
        <v>0.22180000000000022</v>
      </c>
      <c r="J77" s="990">
        <v>0.19500000000000023</v>
      </c>
      <c r="K77" s="990">
        <v>0.1718000000000002</v>
      </c>
      <c r="L77" s="990">
        <v>0.11300000000000017</v>
      </c>
      <c r="M77" s="990">
        <v>8.4800000000000125E-2</v>
      </c>
      <c r="N77" s="990">
        <v>6.7800000000000166E-2</v>
      </c>
      <c r="O77" s="990">
        <v>4.0000000000000126E-2</v>
      </c>
    </row>
    <row r="78" spans="1:15" ht="12.75" customHeight="1" x14ac:dyDescent="0.2">
      <c r="A78" s="987">
        <v>250000</v>
      </c>
      <c r="B78" s="990">
        <v>0.59499999999999997</v>
      </c>
      <c r="C78" s="990">
        <v>0.5605</v>
      </c>
      <c r="D78" s="990">
        <v>0.52500000000000013</v>
      </c>
      <c r="E78" s="990">
        <v>0.53700000000000014</v>
      </c>
      <c r="F78" s="990">
        <v>0.40550000000000019</v>
      </c>
      <c r="G78" s="990">
        <v>0.36550000000000016</v>
      </c>
      <c r="H78" s="990">
        <v>0.33600000000000019</v>
      </c>
      <c r="I78" s="990">
        <v>0.29350000000000009</v>
      </c>
      <c r="J78" s="990">
        <v>0.26400000000000012</v>
      </c>
      <c r="K78" s="990">
        <v>0.2390000000000001</v>
      </c>
      <c r="L78" s="990">
        <v>0.1715000000000001</v>
      </c>
      <c r="M78" s="990">
        <v>0.13700000000000007</v>
      </c>
      <c r="N78" s="990">
        <v>0.11550000000000009</v>
      </c>
      <c r="O78" s="990">
        <v>7.6000000000000068E-2</v>
      </c>
    </row>
    <row r="79" spans="1:15" ht="12.75" customHeight="1" x14ac:dyDescent="0.2">
      <c r="A79" s="987">
        <v>500000</v>
      </c>
      <c r="B79" s="991">
        <v>0.73</v>
      </c>
      <c r="C79" s="991">
        <v>0.69399999999999995</v>
      </c>
      <c r="D79" s="991">
        <v>0.65800000000000003</v>
      </c>
      <c r="E79" s="991">
        <v>0.64400000000000002</v>
      </c>
      <c r="F79" s="990">
        <v>0.53400000000000003</v>
      </c>
      <c r="G79" s="990">
        <v>0.49199999999999999</v>
      </c>
      <c r="H79" s="990">
        <v>0.46</v>
      </c>
      <c r="I79" s="990">
        <v>0.41299999999999998</v>
      </c>
      <c r="J79" s="990">
        <v>0.379</v>
      </c>
      <c r="K79" s="990">
        <v>0.35099999999999998</v>
      </c>
      <c r="L79" s="990">
        <v>0.26900000000000002</v>
      </c>
      <c r="M79" s="990">
        <v>0.224</v>
      </c>
      <c r="N79" s="990">
        <v>0.19500000000000001</v>
      </c>
      <c r="O79" s="990">
        <v>0.13600000000000001</v>
      </c>
    </row>
    <row r="80" spans="1:15" ht="12.75" customHeight="1" x14ac:dyDescent="0.2">
      <c r="A80" s="987">
        <v>1000000</v>
      </c>
      <c r="B80" s="991">
        <v>1</v>
      </c>
      <c r="C80" s="991">
        <v>0.96099999999999997</v>
      </c>
      <c r="D80" s="991">
        <v>0.92400000000000004</v>
      </c>
      <c r="E80" s="991">
        <v>0.85799999999999998</v>
      </c>
      <c r="F80" s="990">
        <v>0.79100000000000004</v>
      </c>
      <c r="G80" s="990">
        <v>0.745</v>
      </c>
      <c r="H80" s="990">
        <v>0.70799999999999996</v>
      </c>
      <c r="I80" s="990">
        <v>0.65200000000000002</v>
      </c>
      <c r="J80" s="990">
        <v>0.60899999999999999</v>
      </c>
      <c r="K80" s="990">
        <v>0.57499999999999996</v>
      </c>
      <c r="L80" s="990">
        <v>0.46400000000000002</v>
      </c>
      <c r="M80" s="990">
        <v>0.39800000000000002</v>
      </c>
      <c r="N80" s="990">
        <v>0.35399999999999998</v>
      </c>
      <c r="O80" s="990">
        <v>0.25600000000000001</v>
      </c>
    </row>
    <row r="81" spans="1:15" ht="12.75" customHeight="1" x14ac:dyDescent="0.2">
      <c r="A81" s="987">
        <v>2000000</v>
      </c>
      <c r="B81" s="990">
        <v>1.353</v>
      </c>
      <c r="C81" s="990">
        <v>1.3140000000000001</v>
      </c>
      <c r="D81" s="990">
        <v>1.276</v>
      </c>
      <c r="E81" s="990">
        <v>1.202</v>
      </c>
      <c r="F81" s="990">
        <v>1.137</v>
      </c>
      <c r="G81" s="990">
        <v>1.0880000000000001</v>
      </c>
      <c r="H81" s="990">
        <v>1.0469999999999999</v>
      </c>
      <c r="I81" s="990">
        <v>0.98499999999999999</v>
      </c>
      <c r="J81" s="990">
        <v>0.93600000000000005</v>
      </c>
      <c r="K81" s="990">
        <v>0.89500000000000002</v>
      </c>
      <c r="L81" s="990">
        <v>0.75800000000000001</v>
      </c>
      <c r="M81" s="990">
        <v>0.67100000000000004</v>
      </c>
      <c r="N81" s="990">
        <v>0.60899999999999999</v>
      </c>
      <c r="O81" s="990">
        <v>0.46400000000000002</v>
      </c>
    </row>
    <row r="82" spans="1:15" ht="12.75" customHeight="1" x14ac:dyDescent="0.2">
      <c r="A82" s="987">
        <v>3000000</v>
      </c>
      <c r="B82" s="990">
        <v>1.6080000000000001</v>
      </c>
      <c r="C82" s="990">
        <v>1.569</v>
      </c>
      <c r="D82" s="990">
        <v>1.5309999999999999</v>
      </c>
      <c r="E82" s="990">
        <v>1.4590000000000001</v>
      </c>
      <c r="F82" s="990">
        <v>1.39</v>
      </c>
      <c r="G82" s="990">
        <v>1.3380000000000001</v>
      </c>
      <c r="H82" s="990">
        <v>1.2969999999999999</v>
      </c>
      <c r="I82" s="990">
        <v>1.2310000000000001</v>
      </c>
      <c r="J82" s="990">
        <v>1.179</v>
      </c>
      <c r="K82" s="990">
        <v>1.1359999999999999</v>
      </c>
      <c r="L82" s="990">
        <v>0.98599999999999999</v>
      </c>
      <c r="M82" s="990">
        <v>0.88800000000000001</v>
      </c>
      <c r="N82" s="990">
        <v>0.81599999999999995</v>
      </c>
      <c r="O82" s="990">
        <v>0.64</v>
      </c>
    </row>
    <row r="83" spans="1:15" ht="12.75" customHeight="1" x14ac:dyDescent="0.2">
      <c r="A83" s="987">
        <v>4000000</v>
      </c>
      <c r="B83" s="990">
        <v>1.8149999999999999</v>
      </c>
      <c r="C83" s="990">
        <v>1.7769999999999999</v>
      </c>
      <c r="D83" s="990">
        <v>1.7390000000000001</v>
      </c>
      <c r="E83" s="990">
        <v>1.631</v>
      </c>
      <c r="F83" s="990">
        <v>1.5960000000000001</v>
      </c>
      <c r="G83" s="990">
        <v>1.5429999999999999</v>
      </c>
      <c r="H83" s="990">
        <v>1.5</v>
      </c>
      <c r="I83" s="990">
        <v>1.4330000000000001</v>
      </c>
      <c r="J83" s="990">
        <v>1.379</v>
      </c>
      <c r="K83" s="990">
        <v>1.335</v>
      </c>
      <c r="L83" s="990">
        <v>1.177</v>
      </c>
      <c r="M83" s="990">
        <v>1.0720000000000001</v>
      </c>
      <c r="N83" s="990">
        <v>0.99399999999999999</v>
      </c>
      <c r="O83" s="990">
        <v>0.79700000000000004</v>
      </c>
    </row>
    <row r="84" spans="1:15" ht="12.75" customHeight="1" x14ac:dyDescent="0.2">
      <c r="A84" s="987">
        <v>5000000</v>
      </c>
      <c r="B84" s="990">
        <v>1.992</v>
      </c>
      <c r="C84" s="990">
        <v>1.954</v>
      </c>
      <c r="D84" s="990">
        <v>1.9159999999999999</v>
      </c>
      <c r="E84" s="990">
        <v>1.845</v>
      </c>
      <c r="F84" s="990">
        <v>1.772</v>
      </c>
      <c r="G84" s="990">
        <v>1.718</v>
      </c>
      <c r="H84" s="990">
        <v>1.6759999999999999</v>
      </c>
      <c r="I84" s="990">
        <v>1.607</v>
      </c>
      <c r="J84" s="990">
        <v>1.5529999999999999</v>
      </c>
      <c r="K84" s="990">
        <v>1.506</v>
      </c>
      <c r="L84" s="990">
        <v>1.343</v>
      </c>
      <c r="M84" s="990">
        <v>1.2330000000000001</v>
      </c>
      <c r="N84" s="990">
        <v>1.1499999999999999</v>
      </c>
      <c r="O84" s="990">
        <v>0.93799999999999994</v>
      </c>
    </row>
    <row r="85" spans="1:15" ht="12.75" customHeight="1" x14ac:dyDescent="0.2">
      <c r="A85" s="987">
        <v>6000000</v>
      </c>
      <c r="B85" s="990">
        <v>2.1480000000000001</v>
      </c>
      <c r="C85" s="990">
        <v>2.11</v>
      </c>
      <c r="D85" s="990">
        <v>2.0720000000000001</v>
      </c>
      <c r="E85" s="990">
        <v>2.0019999999999998</v>
      </c>
      <c r="F85" s="990">
        <v>1.9279999999999999</v>
      </c>
      <c r="G85" s="990">
        <v>1.8740000000000001</v>
      </c>
      <c r="H85" s="990">
        <v>1.831</v>
      </c>
      <c r="I85" s="990">
        <v>1.7609999999999999</v>
      </c>
      <c r="J85" s="990">
        <v>1.706</v>
      </c>
      <c r="K85" s="990">
        <v>1.6579999999999999</v>
      </c>
      <c r="L85" s="990">
        <v>1.4910000000000001</v>
      </c>
      <c r="M85" s="990">
        <v>1.379</v>
      </c>
      <c r="N85" s="990">
        <v>1.292</v>
      </c>
      <c r="O85" s="990">
        <v>1.0680000000000001</v>
      </c>
    </row>
    <row r="86" spans="1:15" ht="12.75" customHeight="1" x14ac:dyDescent="0.2">
      <c r="A86" s="987">
        <v>7000000</v>
      </c>
      <c r="B86" s="990">
        <v>2.29</v>
      </c>
      <c r="C86" s="990">
        <v>2.2519999999999998</v>
      </c>
      <c r="D86" s="990">
        <v>2.214</v>
      </c>
      <c r="E86" s="990">
        <v>2.1419999999999999</v>
      </c>
      <c r="F86" s="990">
        <v>2.0680000000000001</v>
      </c>
      <c r="G86" s="990">
        <v>2.0139999999999998</v>
      </c>
      <c r="H86" s="990">
        <v>1.97</v>
      </c>
      <c r="I86" s="990">
        <v>1.9</v>
      </c>
      <c r="J86" s="990">
        <v>1.8440000000000001</v>
      </c>
      <c r="K86" s="990">
        <v>1.7969999999999999</v>
      </c>
      <c r="L86" s="990">
        <v>1.6259999999999999</v>
      </c>
      <c r="M86" s="990">
        <v>1.51</v>
      </c>
      <c r="N86" s="990">
        <v>1.421</v>
      </c>
      <c r="O86" s="990">
        <v>1.1870000000000001</v>
      </c>
    </row>
    <row r="87" spans="1:15" ht="12.75" customHeight="1" x14ac:dyDescent="0.2">
      <c r="A87" s="987">
        <v>8000000</v>
      </c>
      <c r="B87" s="990">
        <v>2.419</v>
      </c>
      <c r="C87" s="990">
        <v>2.38</v>
      </c>
      <c r="D87" s="990">
        <v>2.3420000000000001</v>
      </c>
      <c r="E87" s="990">
        <v>2.2709999999999999</v>
      </c>
      <c r="F87" s="990">
        <v>2.1970000000000001</v>
      </c>
      <c r="G87" s="990">
        <v>2.1419999999999999</v>
      </c>
      <c r="H87" s="990">
        <v>2.0990000000000002</v>
      </c>
      <c r="I87" s="990">
        <v>2.0270000000000001</v>
      </c>
      <c r="J87" s="990">
        <v>1.9710000000000001</v>
      </c>
      <c r="K87" s="990">
        <v>1.923</v>
      </c>
      <c r="L87" s="990">
        <v>1.75</v>
      </c>
      <c r="M87" s="990">
        <v>1.6319999999999999</v>
      </c>
      <c r="N87" s="990">
        <v>1.54</v>
      </c>
      <c r="O87" s="990">
        <v>1.298</v>
      </c>
    </row>
    <row r="88" spans="1:15" ht="12.75" customHeight="1" x14ac:dyDescent="0.2">
      <c r="A88" s="987">
        <v>10000000</v>
      </c>
      <c r="B88" s="990">
        <v>2.65</v>
      </c>
      <c r="C88" s="990">
        <v>2.6110000000000002</v>
      </c>
      <c r="D88" s="990">
        <v>2.573</v>
      </c>
      <c r="E88" s="990">
        <v>2.5009999999999999</v>
      </c>
      <c r="F88" s="990">
        <v>2.427</v>
      </c>
      <c r="G88" s="990">
        <v>2.3719999999999999</v>
      </c>
      <c r="H88" s="990">
        <v>2.3279999999999998</v>
      </c>
      <c r="I88" s="990">
        <v>2.2559999999999998</v>
      </c>
      <c r="J88" s="990">
        <v>2.1989999999999998</v>
      </c>
      <c r="K88" s="990">
        <v>2.15</v>
      </c>
      <c r="L88" s="990">
        <v>1.9730000000000001</v>
      </c>
      <c r="M88" s="990">
        <v>1.8520000000000001</v>
      </c>
      <c r="N88" s="990">
        <v>1.756</v>
      </c>
      <c r="O88" s="990">
        <v>1.5009999999999999</v>
      </c>
    </row>
    <row r="89" spans="1:15" ht="12.75" customHeight="1" x14ac:dyDescent="0.2">
      <c r="A89" s="987">
        <v>15000000</v>
      </c>
      <c r="B89" s="990">
        <v>3.1230000000000002</v>
      </c>
      <c r="C89" s="990">
        <v>3.0830000000000002</v>
      </c>
      <c r="D89" s="990">
        <v>3.0449999999999999</v>
      </c>
      <c r="E89" s="990">
        <v>2.9729999999999999</v>
      </c>
      <c r="F89" s="990">
        <v>2.8980000000000001</v>
      </c>
      <c r="G89" s="990">
        <v>2.8420000000000001</v>
      </c>
      <c r="H89" s="990">
        <v>2.7970000000000002</v>
      </c>
      <c r="I89" s="990">
        <v>2.7240000000000002</v>
      </c>
      <c r="J89" s="990">
        <v>2.6659999999999999</v>
      </c>
      <c r="K89" s="990">
        <v>2.6160000000000001</v>
      </c>
      <c r="L89" s="990">
        <v>2.4329999999999998</v>
      </c>
      <c r="M89" s="990">
        <v>2.306</v>
      </c>
      <c r="N89" s="990">
        <v>2.206</v>
      </c>
      <c r="O89" s="990">
        <v>1.931</v>
      </c>
    </row>
    <row r="90" spans="1:15" ht="12.75" customHeight="1" x14ac:dyDescent="0.2">
      <c r="A90" s="987">
        <v>50000000</v>
      </c>
      <c r="B90" s="990">
        <v>5.0209999999999999</v>
      </c>
      <c r="C90" s="990">
        <v>4.9829999999999997</v>
      </c>
      <c r="D90" s="990">
        <v>4.944</v>
      </c>
      <c r="E90" s="990">
        <v>4.8719999999999999</v>
      </c>
      <c r="F90" s="990">
        <v>4.7960000000000003</v>
      </c>
      <c r="G90" s="990">
        <v>4.7389999999999999</v>
      </c>
      <c r="H90" s="990">
        <v>4.6929999999999996</v>
      </c>
      <c r="I90" s="990">
        <v>4.6180000000000003</v>
      </c>
      <c r="J90" s="990">
        <v>4.5570000000000004</v>
      </c>
      <c r="K90" s="990">
        <v>4.5060000000000002</v>
      </c>
      <c r="L90" s="990">
        <v>4.3120000000000003</v>
      </c>
      <c r="M90" s="990">
        <v>4.173</v>
      </c>
      <c r="N90" s="990">
        <v>4.0629999999999997</v>
      </c>
      <c r="O90" s="990">
        <v>3.7480000000000002</v>
      </c>
    </row>
    <row r="92" spans="1:15" ht="12.75" customHeight="1" thickBot="1" x14ac:dyDescent="0.25"/>
    <row r="93" spans="1:15" ht="12.75" customHeight="1" thickTop="1" thickBot="1" x14ac:dyDescent="0.25">
      <c r="A93" s="983" t="s">
        <v>737</v>
      </c>
      <c r="B93" s="984"/>
      <c r="C93" s="985"/>
      <c r="D93" s="988" t="s">
        <v>7090</v>
      </c>
      <c r="E93" s="985"/>
      <c r="F93" s="985"/>
      <c r="G93" s="985"/>
      <c r="H93" s="985"/>
      <c r="I93" s="985"/>
      <c r="J93" s="985"/>
      <c r="K93" s="985"/>
      <c r="L93" s="985"/>
      <c r="M93" s="985"/>
      <c r="N93" s="985"/>
      <c r="O93" s="985"/>
    </row>
    <row r="94" spans="1:15" ht="12.75" customHeight="1" thickTop="1" x14ac:dyDescent="0.2">
      <c r="A94" s="987"/>
      <c r="B94" s="988" t="s">
        <v>366</v>
      </c>
      <c r="C94" s="985"/>
      <c r="D94" s="985"/>
      <c r="E94" s="985"/>
      <c r="F94" s="985"/>
      <c r="G94" s="985"/>
      <c r="H94" s="985"/>
      <c r="I94" s="985"/>
      <c r="J94" s="985"/>
      <c r="K94" s="985"/>
      <c r="L94" s="985"/>
      <c r="M94" s="985"/>
      <c r="N94" s="985"/>
      <c r="O94" s="985"/>
    </row>
    <row r="95" spans="1:15" ht="12.75" customHeight="1" x14ac:dyDescent="0.2">
      <c r="A95" s="989" t="s">
        <v>285</v>
      </c>
      <c r="B95" s="987">
        <v>0</v>
      </c>
      <c r="C95" s="987">
        <v>5000</v>
      </c>
      <c r="D95" s="987">
        <v>10000</v>
      </c>
      <c r="E95" s="987">
        <v>25000</v>
      </c>
      <c r="F95" s="987">
        <v>50000</v>
      </c>
      <c r="G95" s="987">
        <v>75000</v>
      </c>
      <c r="H95" s="987">
        <v>100000</v>
      </c>
      <c r="I95" s="987">
        <v>150000</v>
      </c>
      <c r="J95" s="987">
        <v>200000</v>
      </c>
      <c r="K95" s="987">
        <v>250000</v>
      </c>
      <c r="L95" s="987">
        <v>500000</v>
      </c>
      <c r="M95" s="987">
        <v>750000</v>
      </c>
      <c r="N95" s="987">
        <v>1000000</v>
      </c>
      <c r="O95" s="987">
        <v>2000000</v>
      </c>
    </row>
    <row r="96" spans="1:15" ht="12.75" customHeight="1" x14ac:dyDescent="0.2">
      <c r="A96" s="987">
        <v>0</v>
      </c>
      <c r="B96" s="990">
        <v>0</v>
      </c>
      <c r="C96" s="990">
        <v>0</v>
      </c>
      <c r="D96" s="990">
        <v>0</v>
      </c>
      <c r="E96" s="990">
        <v>0</v>
      </c>
      <c r="F96" s="990">
        <v>0</v>
      </c>
      <c r="G96" s="990">
        <v>0</v>
      </c>
      <c r="H96" s="990">
        <v>0</v>
      </c>
      <c r="I96" s="990">
        <v>0</v>
      </c>
      <c r="J96" s="990">
        <v>0</v>
      </c>
      <c r="K96" s="990">
        <v>0</v>
      </c>
      <c r="L96" s="990">
        <v>0</v>
      </c>
      <c r="M96" s="990">
        <v>0</v>
      </c>
      <c r="N96" s="990">
        <v>0</v>
      </c>
      <c r="O96" s="990">
        <v>0</v>
      </c>
    </row>
    <row r="97" spans="1:15" ht="12.75" customHeight="1" x14ac:dyDescent="0.2">
      <c r="A97" s="987">
        <v>10000</v>
      </c>
      <c r="B97" s="990">
        <v>0.57599999999999996</v>
      </c>
      <c r="C97" s="990">
        <v>0.56200000000000006</v>
      </c>
      <c r="D97" s="990">
        <v>0.54500000000000004</v>
      </c>
      <c r="E97" s="990">
        <v>0.505</v>
      </c>
      <c r="F97" s="990">
        <v>0.255</v>
      </c>
      <c r="G97" s="990">
        <v>0.23599999999999999</v>
      </c>
      <c r="H97" s="990">
        <v>0.224</v>
      </c>
      <c r="I97" s="990">
        <v>0.183</v>
      </c>
      <c r="J97" s="990">
        <v>0.161</v>
      </c>
      <c r="K97" s="990">
        <v>0.14199999999999999</v>
      </c>
      <c r="L97" s="990">
        <v>8.6999999999999994E-2</v>
      </c>
      <c r="M97" s="990">
        <v>0.06</v>
      </c>
      <c r="N97" s="990">
        <v>4.8000000000000001E-2</v>
      </c>
      <c r="O97" s="990">
        <v>2.5000000000000001E-2</v>
      </c>
    </row>
    <row r="98" spans="1:15" ht="12.75" customHeight="1" x14ac:dyDescent="0.2">
      <c r="A98" s="987">
        <v>25000</v>
      </c>
      <c r="B98" s="990">
        <v>0.58699999999999997</v>
      </c>
      <c r="C98" s="990">
        <v>0.57099999999999995</v>
      </c>
      <c r="D98" s="990">
        <v>0.55400000000000005</v>
      </c>
      <c r="E98" s="990">
        <v>0.51300000000000001</v>
      </c>
      <c r="F98" s="990">
        <v>0.26500000000000001</v>
      </c>
      <c r="G98" s="990">
        <v>0.245</v>
      </c>
      <c r="H98" s="990">
        <v>0.23200000000000001</v>
      </c>
      <c r="I98" s="990">
        <v>0.192</v>
      </c>
      <c r="J98" s="990">
        <v>0.17</v>
      </c>
      <c r="K98" s="990">
        <v>0.151</v>
      </c>
      <c r="L98" s="990">
        <v>9.5000000000000001E-2</v>
      </c>
      <c r="M98" s="990">
        <v>6.8000000000000005E-2</v>
      </c>
      <c r="N98" s="990">
        <v>5.5E-2</v>
      </c>
      <c r="O98" s="990">
        <v>3.1E-2</v>
      </c>
    </row>
    <row r="99" spans="1:15" ht="12.75" customHeight="1" x14ac:dyDescent="0.2">
      <c r="A99" s="987">
        <v>100000</v>
      </c>
      <c r="B99" s="990">
        <v>0.64</v>
      </c>
      <c r="C99" s="990">
        <v>0.62</v>
      </c>
      <c r="D99" s="990">
        <v>0.59899999999999998</v>
      </c>
      <c r="E99" s="990">
        <v>0.55000000000000004</v>
      </c>
      <c r="F99" s="990">
        <v>0.313</v>
      </c>
      <c r="G99" s="990">
        <v>0.29099999999999998</v>
      </c>
      <c r="H99" s="990">
        <v>0.27600000000000002</v>
      </c>
      <c r="I99" s="990">
        <v>0.23599999999999999</v>
      </c>
      <c r="J99" s="990">
        <v>0.21299999999999999</v>
      </c>
      <c r="K99" s="990">
        <v>0.19400000000000001</v>
      </c>
      <c r="L99" s="990">
        <v>0.13600000000000001</v>
      </c>
      <c r="M99" s="990">
        <v>0.106</v>
      </c>
      <c r="N99" s="990">
        <v>0.09</v>
      </c>
      <c r="O99" s="990">
        <v>5.8999999999999997E-2</v>
      </c>
    </row>
    <row r="100" spans="1:15" ht="12.75" customHeight="1" x14ac:dyDescent="0.2">
      <c r="A100" s="987">
        <v>250000</v>
      </c>
      <c r="B100" s="990">
        <v>0.748</v>
      </c>
      <c r="C100" s="990">
        <v>0.71899999999999997</v>
      </c>
      <c r="D100" s="990">
        <v>0.69</v>
      </c>
      <c r="E100" s="990">
        <v>0.625</v>
      </c>
      <c r="F100" s="990">
        <v>0.40899999999999997</v>
      </c>
      <c r="G100" s="990">
        <v>0.38200000000000001</v>
      </c>
      <c r="H100" s="990">
        <v>0.36199999999999999</v>
      </c>
      <c r="I100" s="990">
        <v>0.32500000000000001</v>
      </c>
      <c r="J100" s="990">
        <v>0.30099999999999999</v>
      </c>
      <c r="K100" s="990">
        <v>0.28100000000000003</v>
      </c>
      <c r="L100" s="990">
        <v>0.216</v>
      </c>
      <c r="M100" s="990">
        <v>0.182</v>
      </c>
      <c r="N100" s="990">
        <v>0.161</v>
      </c>
      <c r="O100" s="990">
        <v>0.11600000000000001</v>
      </c>
    </row>
    <row r="101" spans="1:15" ht="12.75" customHeight="1" x14ac:dyDescent="0.2">
      <c r="A101" s="987">
        <v>500000</v>
      </c>
      <c r="B101" s="990">
        <v>0.92600000000000005</v>
      </c>
      <c r="C101" s="990">
        <v>0.88200000000000001</v>
      </c>
      <c r="D101" s="990">
        <v>0.84099999999999997</v>
      </c>
      <c r="E101" s="990">
        <v>0.75</v>
      </c>
      <c r="F101" s="990">
        <v>0.56799999999999995</v>
      </c>
      <c r="G101" s="990">
        <v>0.53400000000000003</v>
      </c>
      <c r="H101" s="990">
        <v>0.50600000000000001</v>
      </c>
      <c r="I101" s="990">
        <v>0.47199999999999998</v>
      </c>
      <c r="J101" s="990">
        <v>0.44700000000000001</v>
      </c>
      <c r="K101" s="990">
        <v>0.42599999999999999</v>
      </c>
      <c r="L101" s="990">
        <v>0.35</v>
      </c>
      <c r="M101" s="990">
        <v>0.308</v>
      </c>
      <c r="N101" s="990">
        <v>0.27800000000000002</v>
      </c>
      <c r="O101" s="990">
        <v>0.21099999999999999</v>
      </c>
    </row>
    <row r="102" spans="1:15" ht="12.75" customHeight="1" x14ac:dyDescent="0.2">
      <c r="A102" s="987">
        <v>1000000</v>
      </c>
      <c r="B102" s="990">
        <v>1.2829999999999999</v>
      </c>
      <c r="C102" s="990">
        <v>1.2090000000000001</v>
      </c>
      <c r="D102" s="990">
        <v>1.143</v>
      </c>
      <c r="E102" s="990">
        <v>1</v>
      </c>
      <c r="F102" s="990">
        <v>0.88700000000000001</v>
      </c>
      <c r="G102" s="990">
        <v>0.83799999999999997</v>
      </c>
      <c r="H102" s="990">
        <v>0.79400000000000004</v>
      </c>
      <c r="I102" s="990">
        <v>0.76700000000000002</v>
      </c>
      <c r="J102" s="990">
        <v>0.73899999999999999</v>
      </c>
      <c r="K102" s="990">
        <v>0.71599999999999997</v>
      </c>
      <c r="L102" s="990">
        <v>0.61799999999999999</v>
      </c>
      <c r="M102" s="990">
        <v>0.56100000000000005</v>
      </c>
      <c r="N102" s="990">
        <v>0.51300000000000001</v>
      </c>
      <c r="O102" s="990">
        <v>0.40100000000000002</v>
      </c>
    </row>
    <row r="103" spans="1:15" ht="12.75" customHeight="1" x14ac:dyDescent="0.2">
      <c r="A103" s="987">
        <v>2000000</v>
      </c>
      <c r="B103" s="990">
        <v>2.1040000000000001</v>
      </c>
      <c r="C103" s="990">
        <v>1.976</v>
      </c>
      <c r="D103" s="990">
        <v>1.8620000000000001</v>
      </c>
      <c r="E103" s="990">
        <v>1.611</v>
      </c>
      <c r="F103" s="990">
        <v>1.403</v>
      </c>
      <c r="G103" s="990">
        <v>1.3280000000000001</v>
      </c>
      <c r="H103" s="990">
        <v>1.2609999999999999</v>
      </c>
      <c r="I103" s="990">
        <v>1.2050000000000001</v>
      </c>
      <c r="J103" s="990">
        <v>1.161</v>
      </c>
      <c r="K103" s="990">
        <v>1.1220000000000001</v>
      </c>
      <c r="L103" s="990">
        <v>0.95599999999999996</v>
      </c>
      <c r="M103" s="990">
        <v>0.874</v>
      </c>
      <c r="N103" s="990">
        <v>0.81299999999999994</v>
      </c>
      <c r="O103" s="990">
        <v>0.66300000000000003</v>
      </c>
    </row>
    <row r="104" spans="1:15" ht="12.75" customHeight="1" x14ac:dyDescent="0.2">
      <c r="A104" s="987">
        <v>3000000</v>
      </c>
      <c r="B104" s="990">
        <v>2.7970000000000002</v>
      </c>
      <c r="C104" s="990">
        <v>2.6219999999999999</v>
      </c>
      <c r="D104" s="990">
        <v>2.4670000000000001</v>
      </c>
      <c r="E104" s="990">
        <v>2.1240000000000001</v>
      </c>
      <c r="F104" s="990">
        <v>1.8169999999999999</v>
      </c>
      <c r="G104" s="990">
        <v>1.724</v>
      </c>
      <c r="H104" s="990">
        <v>1.6379999999999999</v>
      </c>
      <c r="I104" s="990">
        <v>1.5629999999999999</v>
      </c>
      <c r="J104" s="990">
        <v>1.508</v>
      </c>
      <c r="K104" s="990">
        <v>1.46</v>
      </c>
      <c r="L104" s="990">
        <v>1.25</v>
      </c>
      <c r="M104" s="990">
        <v>1.1559999999999999</v>
      </c>
      <c r="N104" s="990">
        <v>1.087</v>
      </c>
      <c r="O104" s="990">
        <v>0.90800000000000003</v>
      </c>
    </row>
    <row r="105" spans="1:15" ht="12.75" customHeight="1" x14ac:dyDescent="0.2">
      <c r="A105" s="987">
        <v>4000000</v>
      </c>
      <c r="B105" s="990">
        <v>3.4209999999999998</v>
      </c>
      <c r="C105" s="990">
        <v>3.2050000000000001</v>
      </c>
      <c r="D105" s="990">
        <v>3.012</v>
      </c>
      <c r="E105" s="990">
        <v>2.5880000000000001</v>
      </c>
      <c r="F105" s="990">
        <v>2.177</v>
      </c>
      <c r="G105" s="990">
        <v>2.0659999999999998</v>
      </c>
      <c r="H105" s="990">
        <v>1.9650000000000001</v>
      </c>
      <c r="I105" s="990">
        <v>1.8740000000000001</v>
      </c>
      <c r="J105" s="990">
        <v>1.8120000000000001</v>
      </c>
      <c r="K105" s="990">
        <v>1.7549999999999999</v>
      </c>
      <c r="L105" s="990">
        <v>1.512</v>
      </c>
      <c r="M105" s="990">
        <v>1.411</v>
      </c>
      <c r="N105" s="990">
        <v>1.335</v>
      </c>
      <c r="O105" s="990">
        <v>1.1359999999999999</v>
      </c>
    </row>
    <row r="106" spans="1:15" ht="12.75" customHeight="1" x14ac:dyDescent="0.2">
      <c r="A106" s="987">
        <v>5000000</v>
      </c>
      <c r="B106" s="990">
        <v>3.976</v>
      </c>
      <c r="C106" s="990">
        <v>3.7229999999999999</v>
      </c>
      <c r="D106" s="990">
        <v>3.4969999999999999</v>
      </c>
      <c r="E106" s="990">
        <v>2.9990000000000001</v>
      </c>
      <c r="F106" s="990">
        <v>2.4969999999999999</v>
      </c>
      <c r="G106" s="990">
        <v>2.3730000000000002</v>
      </c>
      <c r="H106" s="990">
        <v>2.258</v>
      </c>
      <c r="I106" s="990">
        <v>2.153</v>
      </c>
      <c r="J106" s="990">
        <v>2.0840000000000001</v>
      </c>
      <c r="K106" s="990">
        <v>2.0219999999999998</v>
      </c>
      <c r="L106" s="990">
        <v>1.7490000000000001</v>
      </c>
      <c r="M106" s="990">
        <v>1.6439999999999999</v>
      </c>
      <c r="N106" s="990">
        <v>1.5649999999999999</v>
      </c>
      <c r="O106" s="990">
        <v>1.349</v>
      </c>
    </row>
    <row r="107" spans="1:15" ht="12.75" customHeight="1" x14ac:dyDescent="0.2">
      <c r="A107" s="987">
        <v>10000000</v>
      </c>
      <c r="B107" s="990">
        <v>5.8339999999999996</v>
      </c>
      <c r="C107" s="990">
        <v>5.2919999999999998</v>
      </c>
      <c r="D107" s="990">
        <v>4.8170000000000002</v>
      </c>
      <c r="E107" s="990">
        <v>4.0529999999999999</v>
      </c>
      <c r="F107" s="990">
        <v>3.798</v>
      </c>
      <c r="G107" s="990">
        <v>3.6179999999999999</v>
      </c>
      <c r="H107" s="990">
        <v>3.448</v>
      </c>
      <c r="I107" s="990">
        <v>3.294</v>
      </c>
      <c r="J107" s="990">
        <v>3.198</v>
      </c>
      <c r="K107" s="990">
        <v>3.109</v>
      </c>
      <c r="L107" s="990">
        <v>2.7280000000000002</v>
      </c>
      <c r="M107" s="990">
        <v>2.605</v>
      </c>
      <c r="N107" s="990">
        <v>2.512</v>
      </c>
      <c r="O107" s="990">
        <v>2.25</v>
      </c>
    </row>
    <row r="108" spans="1:15" ht="12.75" customHeight="1" x14ac:dyDescent="0.2">
      <c r="A108" s="987">
        <v>15000000</v>
      </c>
      <c r="B108" s="990">
        <v>7.3890000000000002</v>
      </c>
      <c r="C108" s="990">
        <v>6.7069999999999999</v>
      </c>
      <c r="D108" s="990">
        <v>6.1079999999999997</v>
      </c>
      <c r="E108" s="990">
        <v>5.1429999999999998</v>
      </c>
      <c r="F108" s="990">
        <v>4.8259999999999996</v>
      </c>
      <c r="G108" s="990">
        <v>4.6029999999999998</v>
      </c>
      <c r="H108" s="990">
        <v>4.391</v>
      </c>
      <c r="I108" s="990">
        <v>4.1989999999999998</v>
      </c>
      <c r="J108" s="990">
        <v>4.0839999999999996</v>
      </c>
      <c r="K108" s="990">
        <v>3.9750000000000001</v>
      </c>
      <c r="L108" s="990">
        <v>3.512</v>
      </c>
      <c r="M108" s="990">
        <v>3.3849999999999998</v>
      </c>
      <c r="N108" s="990">
        <v>3.286</v>
      </c>
      <c r="O108" s="990">
        <v>2.9990000000000001</v>
      </c>
    </row>
    <row r="109" spans="1:15" ht="12.75" customHeight="1" x14ac:dyDescent="0.2">
      <c r="A109" s="987">
        <v>20000000</v>
      </c>
      <c r="B109" s="990">
        <v>8.6449999999999996</v>
      </c>
      <c r="C109" s="990">
        <v>7.8550000000000004</v>
      </c>
      <c r="D109" s="990">
        <v>7.1609999999999996</v>
      </c>
      <c r="E109" s="990">
        <v>6.04</v>
      </c>
      <c r="F109" s="990">
        <v>5.681</v>
      </c>
      <c r="G109" s="990">
        <v>5.4279999999999999</v>
      </c>
      <c r="H109" s="990">
        <v>5.1849999999999996</v>
      </c>
      <c r="I109" s="990">
        <v>4.91</v>
      </c>
      <c r="J109" s="990">
        <v>4.7839999999999998</v>
      </c>
      <c r="K109" s="990">
        <v>4.6639999999999997</v>
      </c>
      <c r="L109" s="990">
        <v>4.1449999999999996</v>
      </c>
      <c r="M109" s="990">
        <v>4.0129999999999999</v>
      </c>
      <c r="N109" s="990">
        <v>3.911</v>
      </c>
      <c r="O109" s="990">
        <v>3.613</v>
      </c>
    </row>
    <row r="110" spans="1:15" ht="12.75" customHeight="1" x14ac:dyDescent="0.2">
      <c r="A110" s="987">
        <v>25000000</v>
      </c>
      <c r="B110" s="990">
        <v>9.7059999999999995</v>
      </c>
      <c r="C110" s="990">
        <v>8.8219999999999992</v>
      </c>
      <c r="D110" s="990">
        <v>8.0440000000000005</v>
      </c>
      <c r="E110" s="990">
        <v>6.7910000000000004</v>
      </c>
      <c r="F110" s="990">
        <v>6.3949999999999996</v>
      </c>
      <c r="G110" s="990">
        <v>6.1150000000000002</v>
      </c>
      <c r="H110" s="990">
        <v>5.8470000000000004</v>
      </c>
      <c r="I110" s="990">
        <v>5.5430000000000001</v>
      </c>
      <c r="J110" s="990">
        <v>5.407</v>
      </c>
      <c r="K110" s="990">
        <v>5.2770000000000001</v>
      </c>
      <c r="L110" s="990">
        <v>4.7089999999999996</v>
      </c>
      <c r="M110" s="990">
        <v>4.5739999999999998</v>
      </c>
      <c r="N110" s="990">
        <v>4.4710000000000001</v>
      </c>
      <c r="O110" s="990">
        <v>4.1639999999999997</v>
      </c>
    </row>
    <row r="112" spans="1:15" ht="12.75" customHeight="1" thickBot="1" x14ac:dyDescent="0.25"/>
    <row r="113" spans="1:15" ht="12.75" customHeight="1" thickTop="1" thickBot="1" x14ac:dyDescent="0.25">
      <c r="A113" s="983" t="s">
        <v>742</v>
      </c>
      <c r="B113" s="985"/>
      <c r="C113" s="985"/>
      <c r="D113" s="988" t="s">
        <v>7090</v>
      </c>
      <c r="E113" s="985"/>
      <c r="F113" s="985"/>
      <c r="G113" s="985"/>
      <c r="H113" s="985"/>
      <c r="I113" s="985"/>
      <c r="J113" s="985"/>
      <c r="K113" s="985"/>
      <c r="L113" s="985"/>
      <c r="M113" s="985"/>
      <c r="N113" s="985"/>
      <c r="O113" s="985"/>
    </row>
    <row r="114" spans="1:15" ht="12.75" customHeight="1" thickTop="1" x14ac:dyDescent="0.2">
      <c r="A114" s="987"/>
      <c r="B114" s="988" t="s">
        <v>366</v>
      </c>
      <c r="C114" s="985"/>
      <c r="D114" s="985"/>
      <c r="E114" s="985"/>
      <c r="F114" s="985"/>
      <c r="G114" s="985"/>
      <c r="H114" s="985"/>
      <c r="I114" s="985"/>
      <c r="J114" s="985"/>
      <c r="K114" s="985"/>
      <c r="L114" s="985"/>
      <c r="M114" s="985"/>
      <c r="N114" s="985"/>
      <c r="O114" s="985"/>
    </row>
    <row r="115" spans="1:15" ht="12.75" customHeight="1" x14ac:dyDescent="0.2">
      <c r="A115" s="989" t="s">
        <v>285</v>
      </c>
      <c r="B115" s="987">
        <v>0</v>
      </c>
      <c r="C115" s="987">
        <v>5000</v>
      </c>
      <c r="D115" s="987">
        <v>10000</v>
      </c>
      <c r="E115" s="987">
        <v>25000</v>
      </c>
      <c r="F115" s="987">
        <v>50000</v>
      </c>
      <c r="G115" s="987">
        <v>75000</v>
      </c>
      <c r="H115" s="987">
        <v>100000</v>
      </c>
      <c r="I115" s="987">
        <v>150000</v>
      </c>
      <c r="J115" s="987">
        <v>200000</v>
      </c>
      <c r="K115" s="987">
        <v>250000</v>
      </c>
      <c r="L115" s="987">
        <v>500000</v>
      </c>
      <c r="M115" s="987">
        <v>750000</v>
      </c>
      <c r="N115" s="987">
        <v>1000000</v>
      </c>
      <c r="O115" s="987">
        <v>2000000</v>
      </c>
    </row>
    <row r="116" spans="1:15" ht="12.75" customHeight="1" x14ac:dyDescent="0.2">
      <c r="A116" s="987">
        <v>0</v>
      </c>
      <c r="B116" s="991">
        <v>0</v>
      </c>
      <c r="C116" s="991">
        <v>0</v>
      </c>
      <c r="D116" s="991">
        <v>0</v>
      </c>
      <c r="E116" s="991">
        <v>0</v>
      </c>
      <c r="F116" s="991">
        <v>0</v>
      </c>
      <c r="G116" s="991">
        <v>0</v>
      </c>
      <c r="H116" s="991">
        <v>0</v>
      </c>
      <c r="I116" s="991">
        <v>0</v>
      </c>
      <c r="J116" s="991">
        <v>0</v>
      </c>
      <c r="K116" s="991">
        <v>0</v>
      </c>
      <c r="L116" s="991">
        <v>0</v>
      </c>
      <c r="M116" s="991">
        <v>0</v>
      </c>
      <c r="N116" s="991">
        <v>0</v>
      </c>
      <c r="O116" s="991">
        <v>0</v>
      </c>
    </row>
    <row r="117" spans="1:15" ht="12.75" customHeight="1" x14ac:dyDescent="0.2">
      <c r="A117" s="987">
        <v>10000</v>
      </c>
      <c r="B117" s="991">
        <v>0.45</v>
      </c>
      <c r="C117" s="991">
        <v>0.437</v>
      </c>
      <c r="D117" s="991">
        <v>0.42399999999999999</v>
      </c>
      <c r="E117" s="991">
        <v>0.39500000000000002</v>
      </c>
      <c r="F117" s="990">
        <v>0.2</v>
      </c>
      <c r="G117" s="990">
        <v>0.184</v>
      </c>
      <c r="H117" s="990">
        <v>0.17399999999999999</v>
      </c>
      <c r="I117" s="990">
        <v>0.14299999999999999</v>
      </c>
      <c r="J117" s="990">
        <v>0.127</v>
      </c>
      <c r="K117" s="990">
        <v>0.111</v>
      </c>
      <c r="L117" s="990">
        <v>6.8000000000000005E-2</v>
      </c>
      <c r="M117" s="990">
        <v>4.7E-2</v>
      </c>
      <c r="N117" s="990">
        <v>3.7999999999999999E-2</v>
      </c>
      <c r="O117" s="990">
        <v>1.7999999999999999E-2</v>
      </c>
    </row>
    <row r="118" spans="1:15" ht="12.75" customHeight="1" x14ac:dyDescent="0.2">
      <c r="A118" s="987">
        <v>25000</v>
      </c>
      <c r="B118" s="991">
        <v>0.45800000000000002</v>
      </c>
      <c r="C118" s="991">
        <v>0.44500000000000001</v>
      </c>
      <c r="D118" s="991">
        <v>0.43099999999999999</v>
      </c>
      <c r="E118" s="991">
        <v>0.40100000000000002</v>
      </c>
      <c r="F118" s="990">
        <v>0.20699999999999999</v>
      </c>
      <c r="G118" s="990">
        <v>0.191</v>
      </c>
      <c r="H118" s="990">
        <v>0.18</v>
      </c>
      <c r="I118" s="990">
        <v>0.15</v>
      </c>
      <c r="J118" s="990">
        <v>0.13300000000000001</v>
      </c>
      <c r="K118" s="990">
        <v>0.11700000000000001</v>
      </c>
      <c r="L118" s="990">
        <v>7.3999999999999996E-2</v>
      </c>
      <c r="M118" s="990">
        <v>5.2999999999999999E-2</v>
      </c>
      <c r="N118" s="990">
        <v>4.2999999999999997E-2</v>
      </c>
      <c r="O118" s="990">
        <v>2.1999999999999999E-2</v>
      </c>
    </row>
    <row r="119" spans="1:15" ht="12.75" customHeight="1" x14ac:dyDescent="0.2">
      <c r="A119" s="987">
        <v>100000</v>
      </c>
      <c r="B119" s="991">
        <v>0.5</v>
      </c>
      <c r="C119" s="991">
        <v>0.48299999999999998</v>
      </c>
      <c r="D119" s="991">
        <v>0.46600000000000003</v>
      </c>
      <c r="E119" s="991">
        <v>0.43</v>
      </c>
      <c r="F119" s="990">
        <v>0.245</v>
      </c>
      <c r="G119" s="990">
        <v>0.22600000000000001</v>
      </c>
      <c r="H119" s="990">
        <v>0.214</v>
      </c>
      <c r="I119" s="990">
        <v>0.184</v>
      </c>
      <c r="J119" s="990">
        <v>0.16700000000000001</v>
      </c>
      <c r="K119" s="990">
        <v>0.151</v>
      </c>
      <c r="L119" s="990">
        <v>0.106</v>
      </c>
      <c r="M119" s="990">
        <v>8.2000000000000003E-2</v>
      </c>
      <c r="N119" s="990">
        <v>7.0999999999999994E-2</v>
      </c>
      <c r="O119" s="990">
        <v>4.4999999999999998E-2</v>
      </c>
    </row>
    <row r="120" spans="1:15" ht="12.75" customHeight="1" x14ac:dyDescent="0.2">
      <c r="A120" s="987">
        <v>250000</v>
      </c>
      <c r="B120" s="990">
        <v>0.58299999999999996</v>
      </c>
      <c r="C120" s="990">
        <v>0.56000000000000005</v>
      </c>
      <c r="D120" s="990">
        <v>0.53700000000000003</v>
      </c>
      <c r="E120" s="990">
        <v>0.48799999999999999</v>
      </c>
      <c r="F120" s="990">
        <v>0.31900000000000001</v>
      </c>
      <c r="G120" s="990">
        <v>0.29799999999999999</v>
      </c>
      <c r="H120" s="990">
        <v>0.28199999999999997</v>
      </c>
      <c r="I120" s="990">
        <v>0.253</v>
      </c>
      <c r="J120" s="990">
        <v>0.23599999999999999</v>
      </c>
      <c r="K120" s="990">
        <v>0.219</v>
      </c>
      <c r="L120" s="990">
        <v>0.16900000000000001</v>
      </c>
      <c r="M120" s="990">
        <v>0.14199999999999999</v>
      </c>
      <c r="N120" s="990">
        <v>0.126</v>
      </c>
      <c r="O120" s="990">
        <v>0.09</v>
      </c>
    </row>
    <row r="121" spans="1:15" ht="12.75" customHeight="1" x14ac:dyDescent="0.2">
      <c r="A121" s="987">
        <v>500000</v>
      </c>
      <c r="B121" s="991">
        <v>0.72199999999999998</v>
      </c>
      <c r="C121" s="991">
        <v>0.68700000000000006</v>
      </c>
      <c r="D121" s="991">
        <v>0.65500000000000003</v>
      </c>
      <c r="E121" s="991">
        <v>0.58499999999999996</v>
      </c>
      <c r="F121" s="990">
        <v>0.443</v>
      </c>
      <c r="G121" s="990">
        <v>0.41599999999999998</v>
      </c>
      <c r="H121" s="990">
        <v>0.39400000000000002</v>
      </c>
      <c r="I121" s="990">
        <v>0.36799999999999999</v>
      </c>
      <c r="J121" s="990">
        <v>0.34899999999999998</v>
      </c>
      <c r="K121" s="990">
        <v>0.33200000000000002</v>
      </c>
      <c r="L121" s="990">
        <v>0.27300000000000002</v>
      </c>
      <c r="M121" s="990">
        <v>0.24</v>
      </c>
      <c r="N121" s="990">
        <v>0.217</v>
      </c>
      <c r="O121" s="990">
        <v>0.16400000000000001</v>
      </c>
    </row>
    <row r="122" spans="1:15" ht="12.75" customHeight="1" x14ac:dyDescent="0.2">
      <c r="A122" s="987">
        <v>1000000</v>
      </c>
      <c r="B122" s="991">
        <v>1</v>
      </c>
      <c r="C122" s="991">
        <v>0.94199999999999995</v>
      </c>
      <c r="D122" s="991">
        <v>0.89100000000000001</v>
      </c>
      <c r="E122" s="991">
        <v>0.77900000000000003</v>
      </c>
      <c r="F122" s="990">
        <v>0.69099999999999995</v>
      </c>
      <c r="G122" s="990">
        <v>0.65300000000000002</v>
      </c>
      <c r="H122" s="990">
        <v>0.61899999999999999</v>
      </c>
      <c r="I122" s="990">
        <v>0.59799999999999998</v>
      </c>
      <c r="J122" s="990">
        <v>0.57599999999999996</v>
      </c>
      <c r="K122" s="990">
        <v>0.55800000000000005</v>
      </c>
      <c r="L122" s="990">
        <v>0.48199999999999998</v>
      </c>
      <c r="M122" s="990">
        <v>0.437</v>
      </c>
      <c r="N122" s="990">
        <v>0.4</v>
      </c>
      <c r="O122" s="990">
        <v>0.313</v>
      </c>
    </row>
    <row r="123" spans="1:15" ht="12.75" customHeight="1" x14ac:dyDescent="0.2">
      <c r="A123" s="987">
        <v>2000000</v>
      </c>
      <c r="B123" s="990">
        <v>1.64</v>
      </c>
      <c r="C123" s="990">
        <v>1.54</v>
      </c>
      <c r="D123" s="990">
        <v>1.4510000000000001</v>
      </c>
      <c r="E123" s="990">
        <v>1.2549999999999999</v>
      </c>
      <c r="F123" s="990">
        <v>1.093</v>
      </c>
      <c r="G123" s="990">
        <v>1.0349999999999999</v>
      </c>
      <c r="H123" s="990">
        <v>0.98199999999999998</v>
      </c>
      <c r="I123" s="990">
        <v>0.93899999999999995</v>
      </c>
      <c r="J123" s="990">
        <v>0.90500000000000003</v>
      </c>
      <c r="K123" s="990">
        <v>0.875</v>
      </c>
      <c r="L123" s="990">
        <v>0.745</v>
      </c>
      <c r="M123" s="990">
        <v>0.68100000000000005</v>
      </c>
      <c r="N123" s="990">
        <v>0.63400000000000001</v>
      </c>
      <c r="O123" s="990">
        <v>0.51700000000000002</v>
      </c>
    </row>
    <row r="124" spans="1:15" ht="12.75" customHeight="1" x14ac:dyDescent="0.2">
      <c r="A124" s="987">
        <v>3000000</v>
      </c>
      <c r="B124" s="990">
        <v>2.1800000000000002</v>
      </c>
      <c r="C124" s="990">
        <v>2.0430000000000001</v>
      </c>
      <c r="D124" s="990">
        <v>1.9219999999999999</v>
      </c>
      <c r="E124" s="990">
        <v>1.655</v>
      </c>
      <c r="F124" s="990">
        <v>1.4159999999999999</v>
      </c>
      <c r="G124" s="990">
        <v>1.3440000000000001</v>
      </c>
      <c r="H124" s="990">
        <v>1.276</v>
      </c>
      <c r="I124" s="990">
        <v>1.218</v>
      </c>
      <c r="J124" s="990">
        <v>1.175</v>
      </c>
      <c r="K124" s="990">
        <v>1.1379999999999999</v>
      </c>
      <c r="L124" s="990">
        <v>0.97399999999999998</v>
      </c>
      <c r="M124" s="990">
        <v>0.90100000000000002</v>
      </c>
      <c r="N124" s="990">
        <v>0.84699999999999998</v>
      </c>
      <c r="O124" s="990">
        <v>0.70799999999999996</v>
      </c>
    </row>
    <row r="125" spans="1:15" ht="12.75" customHeight="1" x14ac:dyDescent="0.2">
      <c r="A125" s="987">
        <v>4000000</v>
      </c>
      <c r="B125" s="990">
        <v>2.6659999999999999</v>
      </c>
      <c r="C125" s="990">
        <v>2.4980000000000002</v>
      </c>
      <c r="D125" s="990">
        <v>2.347</v>
      </c>
      <c r="E125" s="990">
        <v>2.0169999999999999</v>
      </c>
      <c r="F125" s="990">
        <v>1.696</v>
      </c>
      <c r="G125" s="990">
        <v>1.61</v>
      </c>
      <c r="H125" s="990">
        <v>1.5309999999999999</v>
      </c>
      <c r="I125" s="990">
        <v>1.4610000000000001</v>
      </c>
      <c r="J125" s="990">
        <v>1.4119999999999999</v>
      </c>
      <c r="K125" s="990">
        <v>1.3680000000000001</v>
      </c>
      <c r="L125" s="990">
        <v>1.179</v>
      </c>
      <c r="M125" s="990">
        <v>1.1000000000000001</v>
      </c>
      <c r="N125" s="990">
        <v>1.0409999999999999</v>
      </c>
      <c r="O125" s="990">
        <v>0.88500000000000001</v>
      </c>
    </row>
    <row r="126" spans="1:15" ht="12.75" customHeight="1" x14ac:dyDescent="0.2">
      <c r="A126" s="987">
        <v>5000000</v>
      </c>
      <c r="B126" s="990">
        <v>3.0990000000000002</v>
      </c>
      <c r="C126" s="990">
        <v>2.9009999999999998</v>
      </c>
      <c r="D126" s="990">
        <v>2.726</v>
      </c>
      <c r="E126" s="990">
        <v>2.3370000000000002</v>
      </c>
      <c r="F126" s="990">
        <v>1.946</v>
      </c>
      <c r="G126" s="990">
        <v>1.85</v>
      </c>
      <c r="H126" s="990">
        <v>1.76</v>
      </c>
      <c r="I126" s="990">
        <v>1.6779999999999999</v>
      </c>
      <c r="J126" s="990">
        <v>1.6240000000000001</v>
      </c>
      <c r="K126" s="990">
        <v>1.5760000000000001</v>
      </c>
      <c r="L126" s="990">
        <v>1.363</v>
      </c>
      <c r="M126" s="990">
        <v>1.282</v>
      </c>
      <c r="N126" s="990">
        <v>1.2190000000000001</v>
      </c>
      <c r="O126" s="990">
        <v>1.052</v>
      </c>
    </row>
    <row r="127" spans="1:15" ht="12.75" customHeight="1" x14ac:dyDescent="0.2">
      <c r="A127" s="987">
        <v>6000000</v>
      </c>
      <c r="B127" s="990">
        <v>3.4609999999999999</v>
      </c>
      <c r="C127" s="990">
        <v>3.2069999999999999</v>
      </c>
      <c r="D127" s="990">
        <v>2.9830000000000001</v>
      </c>
      <c r="E127" s="990">
        <v>2.5430000000000001</v>
      </c>
      <c r="F127" s="990">
        <v>2.2000000000000002</v>
      </c>
      <c r="G127" s="990">
        <v>2.0920000000000001</v>
      </c>
      <c r="H127" s="990">
        <v>1.9910000000000001</v>
      </c>
      <c r="I127" s="990">
        <v>1.901</v>
      </c>
      <c r="J127" s="990">
        <v>1.841</v>
      </c>
      <c r="K127" s="990">
        <v>1.788</v>
      </c>
      <c r="L127" s="990">
        <v>1.554</v>
      </c>
      <c r="M127" s="990">
        <v>1.4690000000000001</v>
      </c>
      <c r="N127" s="990">
        <v>1.4039999999999999</v>
      </c>
      <c r="O127" s="990">
        <v>1.2270000000000001</v>
      </c>
    </row>
    <row r="128" spans="1:15" ht="12.75" customHeight="1" x14ac:dyDescent="0.2">
      <c r="A128" s="987">
        <v>7000000</v>
      </c>
      <c r="B128" s="990">
        <v>3.823</v>
      </c>
      <c r="C128" s="990">
        <v>3.5129999999999999</v>
      </c>
      <c r="D128" s="990">
        <v>3.24</v>
      </c>
      <c r="E128" s="990">
        <v>2.7480000000000002</v>
      </c>
      <c r="F128" s="990">
        <v>2.4529999999999998</v>
      </c>
      <c r="G128" s="990">
        <v>2.335</v>
      </c>
      <c r="H128" s="990">
        <v>2.2229999999999999</v>
      </c>
      <c r="I128" s="990">
        <v>2.1230000000000002</v>
      </c>
      <c r="J128" s="990">
        <v>2.0579999999999998</v>
      </c>
      <c r="K128" s="990">
        <v>2</v>
      </c>
      <c r="L128" s="990">
        <v>1.7450000000000001</v>
      </c>
      <c r="M128" s="990">
        <v>1.6559999999999999</v>
      </c>
      <c r="N128" s="990">
        <v>1.589</v>
      </c>
      <c r="O128" s="990">
        <v>1.4019999999999999</v>
      </c>
    </row>
    <row r="129" spans="1:15" ht="12.75" customHeight="1" x14ac:dyDescent="0.2">
      <c r="A129" s="987">
        <v>8000000</v>
      </c>
      <c r="B129" s="990">
        <v>4.1849999999999996</v>
      </c>
      <c r="C129" s="990">
        <v>3.819</v>
      </c>
      <c r="D129" s="990">
        <v>3.4969999999999999</v>
      </c>
      <c r="E129" s="990">
        <v>2.9529999999999998</v>
      </c>
      <c r="F129" s="990">
        <v>2.7069999999999999</v>
      </c>
      <c r="G129" s="990">
        <v>2.577</v>
      </c>
      <c r="H129" s="990">
        <v>2.4550000000000001</v>
      </c>
      <c r="I129" s="990">
        <v>2.3450000000000002</v>
      </c>
      <c r="J129" s="990">
        <v>2.2759999999999998</v>
      </c>
      <c r="K129" s="990">
        <v>2.2109999999999999</v>
      </c>
      <c r="L129" s="990">
        <v>1.9350000000000001</v>
      </c>
      <c r="M129" s="990">
        <v>1.843</v>
      </c>
      <c r="N129" s="990">
        <v>1.7729999999999999</v>
      </c>
      <c r="O129" s="990">
        <v>1.5780000000000001</v>
      </c>
    </row>
    <row r="130" spans="1:15" ht="12.75" customHeight="1" x14ac:dyDescent="0.2">
      <c r="A130" s="987">
        <v>10000000</v>
      </c>
      <c r="B130" s="990">
        <v>4.5469999999999997</v>
      </c>
      <c r="C130" s="990">
        <v>4.1239999999999997</v>
      </c>
      <c r="D130" s="990">
        <v>3.754</v>
      </c>
      <c r="E130" s="990">
        <v>3.1589999999999998</v>
      </c>
      <c r="F130" s="990">
        <v>2.96</v>
      </c>
      <c r="G130" s="990">
        <v>2.82</v>
      </c>
      <c r="H130" s="990">
        <v>2.6869999999999998</v>
      </c>
      <c r="I130" s="990">
        <v>2.5680000000000001</v>
      </c>
      <c r="J130" s="990">
        <v>2.4929999999999999</v>
      </c>
      <c r="K130" s="990">
        <v>2.423</v>
      </c>
      <c r="L130" s="990">
        <v>2.1259999999999999</v>
      </c>
      <c r="M130" s="990">
        <v>2.0299999999999998</v>
      </c>
      <c r="N130" s="990">
        <v>1.958</v>
      </c>
      <c r="O130" s="990">
        <v>1.7529999999999999</v>
      </c>
    </row>
    <row r="131" spans="1:15" ht="12.75" customHeight="1" x14ac:dyDescent="0.2">
      <c r="A131" s="987">
        <v>15000000</v>
      </c>
      <c r="B131" s="990">
        <v>5.7590000000000003</v>
      </c>
      <c r="C131" s="990">
        <v>5.2270000000000003</v>
      </c>
      <c r="D131" s="990">
        <v>4.76</v>
      </c>
      <c r="E131" s="990">
        <v>4.008</v>
      </c>
      <c r="F131" s="990">
        <v>3.7610000000000001</v>
      </c>
      <c r="G131" s="990">
        <v>3.5870000000000002</v>
      </c>
      <c r="H131" s="990">
        <v>3.4220000000000002</v>
      </c>
      <c r="I131" s="990">
        <v>3.2730000000000001</v>
      </c>
      <c r="J131" s="990">
        <v>3.1829999999999998</v>
      </c>
      <c r="K131" s="990">
        <v>3.0979999999999999</v>
      </c>
      <c r="L131" s="990">
        <v>2.7370000000000001</v>
      </c>
      <c r="M131" s="990">
        <v>2.6379999999999999</v>
      </c>
      <c r="N131" s="990">
        <v>2.5609999999999999</v>
      </c>
      <c r="O131" s="990">
        <v>2.3370000000000002</v>
      </c>
    </row>
    <row r="132" spans="1:15" ht="12.75" customHeight="1" x14ac:dyDescent="0.2">
      <c r="A132" s="987">
        <v>50000000</v>
      </c>
      <c r="B132" s="990">
        <v>9.2590000000000003</v>
      </c>
      <c r="C132" s="990">
        <v>8.4480000000000004</v>
      </c>
      <c r="D132" s="990">
        <v>7.7290000000000001</v>
      </c>
      <c r="E132" s="990">
        <v>6.5679999999999996</v>
      </c>
      <c r="F132" s="990">
        <v>6.2240000000000002</v>
      </c>
      <c r="G132" s="990">
        <v>5.9820000000000002</v>
      </c>
      <c r="H132" s="990">
        <v>5.742</v>
      </c>
      <c r="I132" s="990">
        <v>5.548</v>
      </c>
      <c r="J132" s="990">
        <v>5.44</v>
      </c>
      <c r="K132" s="990">
        <v>5.3369999999999997</v>
      </c>
      <c r="L132" s="990">
        <v>4.851</v>
      </c>
      <c r="M132" s="990">
        <v>4.7729999999999997</v>
      </c>
      <c r="N132" s="990">
        <v>4.7169999999999996</v>
      </c>
      <c r="O132" s="990">
        <v>4.5369999999999999</v>
      </c>
    </row>
  </sheetData>
  <sheetProtection password="DA63" sheet="1" objects="1" scenarios="1"/>
  <pageMargins left="0.7" right="0.7" top="0.75" bottom="0.75" header="0.3" footer="0.3"/>
  <pageSetup orientation="portrait" horizont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AG46"/>
  <sheetViews>
    <sheetView workbookViewId="0">
      <selection activeCell="B4" sqref="B4"/>
    </sheetView>
  </sheetViews>
  <sheetFormatPr defaultColWidth="9.140625" defaultRowHeight="12.75" customHeight="1" x14ac:dyDescent="0.2"/>
  <cols>
    <col min="1" max="1" width="14.28515625" style="580" bestFit="1" customWidth="1"/>
    <col min="2" max="2" width="12" style="578" bestFit="1" customWidth="1"/>
    <col min="3" max="3" width="7.42578125" style="578" bestFit="1" customWidth="1"/>
    <col min="4" max="7" width="8.42578125" style="578" bestFit="1" customWidth="1"/>
    <col min="8" max="13" width="9.7109375" style="578" bestFit="1" customWidth="1"/>
    <col min="14" max="15" width="11.7109375" style="578" bestFit="1" customWidth="1"/>
    <col min="16" max="16" width="9.140625" style="578"/>
    <col min="17" max="22" width="14.42578125" style="579" customWidth="1"/>
    <col min="23" max="23" width="9.140625" style="578"/>
    <col min="24" max="24" width="10.42578125" style="578" bestFit="1" customWidth="1"/>
    <col min="25" max="32" width="9.140625" style="578"/>
    <col min="33" max="33" width="9.140625" style="579"/>
    <col min="34" max="16384" width="9.140625" style="578"/>
  </cols>
  <sheetData>
    <row r="1" spans="1:33" ht="12.75" customHeight="1" thickTop="1" thickBot="1" x14ac:dyDescent="0.25">
      <c r="A1" s="576" t="s">
        <v>298</v>
      </c>
      <c r="B1" s="577"/>
    </row>
    <row r="2" spans="1:33" ht="12.75" customHeight="1" thickTop="1" x14ac:dyDescent="0.25">
      <c r="B2" s="581" t="s">
        <v>366</v>
      </c>
      <c r="Q2" s="582"/>
      <c r="R2" s="582"/>
      <c r="S2" s="582"/>
    </row>
    <row r="3" spans="1:33" ht="12.75" customHeight="1" x14ac:dyDescent="0.25">
      <c r="A3" s="583" t="s">
        <v>285</v>
      </c>
      <c r="B3" s="580">
        <v>0</v>
      </c>
      <c r="C3" s="580">
        <v>5000</v>
      </c>
      <c r="D3" s="580">
        <v>10000</v>
      </c>
      <c r="E3" s="580">
        <v>25000</v>
      </c>
      <c r="F3" s="580">
        <v>50000</v>
      </c>
      <c r="G3" s="580">
        <v>75000</v>
      </c>
      <c r="H3" s="580">
        <v>100000</v>
      </c>
      <c r="I3" s="580">
        <v>150000</v>
      </c>
      <c r="J3" s="580">
        <v>200000</v>
      </c>
      <c r="K3" s="580">
        <v>250000</v>
      </c>
      <c r="L3" s="580">
        <v>500000</v>
      </c>
      <c r="M3" s="580">
        <v>750000</v>
      </c>
      <c r="N3" s="580">
        <v>1000000</v>
      </c>
      <c r="O3" s="580">
        <v>2000000</v>
      </c>
      <c r="Q3" s="582"/>
      <c r="R3" s="582"/>
      <c r="S3" s="582"/>
    </row>
    <row r="4" spans="1:33" ht="12.75" customHeight="1" x14ac:dyDescent="0.25">
      <c r="A4" s="580">
        <v>0</v>
      </c>
      <c r="B4" s="1000">
        <f>'D&amp;O-EPL-Crime-Fidu ILFs'!B4</f>
        <v>0</v>
      </c>
      <c r="C4" s="1000">
        <f>'D&amp;O-EPL-Crime-Fidu ILFs'!C4</f>
        <v>0</v>
      </c>
      <c r="D4" s="1000">
        <f>'D&amp;O-EPL-Crime-Fidu ILFs'!D4</f>
        <v>0</v>
      </c>
      <c r="E4" s="1000">
        <f>'D&amp;O-EPL-Crime-Fidu ILFs'!E4</f>
        <v>0</v>
      </c>
      <c r="F4" s="1000">
        <f>'D&amp;O-EPL-Crime-Fidu ILFs'!F4</f>
        <v>0</v>
      </c>
      <c r="G4" s="1000">
        <f>'D&amp;O-EPL-Crime-Fidu ILFs'!G4</f>
        <v>0</v>
      </c>
      <c r="H4" s="1000">
        <f>'D&amp;O-EPL-Crime-Fidu ILFs'!H4</f>
        <v>0</v>
      </c>
      <c r="I4" s="1000">
        <f>'D&amp;O-EPL-Crime-Fidu ILFs'!I4</f>
        <v>0</v>
      </c>
      <c r="J4" s="1000">
        <f>'D&amp;O-EPL-Crime-Fidu ILFs'!J4</f>
        <v>0</v>
      </c>
      <c r="K4" s="1000">
        <f>'D&amp;O-EPL-Crime-Fidu ILFs'!K4</f>
        <v>0</v>
      </c>
      <c r="L4" s="1000">
        <f>'D&amp;O-EPL-Crime-Fidu ILFs'!L4</f>
        <v>0</v>
      </c>
      <c r="M4" s="1000">
        <f>'D&amp;O-EPL-Crime-Fidu ILFs'!M4</f>
        <v>0</v>
      </c>
      <c r="N4" s="1000">
        <f>'D&amp;O-EPL-Crime-Fidu ILFs'!N4</f>
        <v>0</v>
      </c>
      <c r="O4" s="1000">
        <f>'D&amp;O-EPL-Crime-Fidu ILFs'!O4</f>
        <v>0</v>
      </c>
      <c r="Q4" s="579">
        <v>0</v>
      </c>
      <c r="R4" s="579">
        <v>10000</v>
      </c>
      <c r="S4" s="584">
        <f>Rater!C351</f>
        <v>1000000</v>
      </c>
      <c r="T4" s="579">
        <v>0</v>
      </c>
      <c r="U4" s="579">
        <v>5000</v>
      </c>
      <c r="V4" s="584">
        <f>Rater!E351</f>
        <v>10000</v>
      </c>
      <c r="X4" s="579">
        <v>0</v>
      </c>
      <c r="Y4" s="578">
        <v>2</v>
      </c>
    </row>
    <row r="5" spans="1:33" ht="12.75" customHeight="1" x14ac:dyDescent="0.25">
      <c r="A5" s="580">
        <v>10000</v>
      </c>
      <c r="B5" s="573">
        <f>'D&amp;O-EPL-Crime-Fidu ILFs'!B5</f>
        <v>0.49120000000000003</v>
      </c>
      <c r="C5" s="573">
        <f>'D&amp;O-EPL-Crime-Fidu ILFs'!C5</f>
        <v>0.4728</v>
      </c>
      <c r="D5" s="573">
        <f>'D&amp;O-EPL-Crime-Fidu ILFs'!D5</f>
        <v>0.45440000000000003</v>
      </c>
      <c r="E5" s="573">
        <f>'D&amp;O-EPL-Crime-Fidu ILFs'!E5</f>
        <v>0.41359999999999997</v>
      </c>
      <c r="F5" s="573">
        <f>'D&amp;O-EPL-Crime-Fidu ILFs'!F5</f>
        <v>0.156</v>
      </c>
      <c r="G5" s="573">
        <f>'D&amp;O-EPL-Crime-Fidu ILFs'!G5</f>
        <v>0.14759999999999998</v>
      </c>
      <c r="H5" s="573">
        <f>'D&amp;O-EPL-Crime-Fidu ILFs'!H5</f>
        <v>0.14119999999999996</v>
      </c>
      <c r="I5" s="573">
        <f>'D&amp;O-EPL-Crime-Fidu ILFs'!I5</f>
        <v>0.13139999999999996</v>
      </c>
      <c r="J5" s="573">
        <f>'D&amp;O-EPL-Crime-Fidu ILFs'!J5</f>
        <v>0.12279999999999999</v>
      </c>
      <c r="K5" s="573">
        <f>'D&amp;O-EPL-Crime-Fidu ILFs'!K5</f>
        <v>0.11639999999999999</v>
      </c>
      <c r="L5" s="573">
        <f>'D&amp;O-EPL-Crime-Fidu ILFs'!L5</f>
        <v>6.1199999999999984E-2</v>
      </c>
      <c r="M5" s="573">
        <f>'D&amp;O-EPL-Crime-Fidu ILFs'!M5</f>
        <v>4.7199999999999992E-2</v>
      </c>
      <c r="N5" s="573">
        <f>'D&amp;O-EPL-Crime-Fidu ILFs'!N5</f>
        <v>4.5599999999999988E-2</v>
      </c>
      <c r="O5" s="573">
        <f>'D&amp;O-EPL-Crime-Fidu ILFs'!O5</f>
        <v>3.7799999999999986E-2</v>
      </c>
      <c r="Q5" s="579">
        <v>10000</v>
      </c>
      <c r="R5" s="579">
        <v>25000</v>
      </c>
      <c r="S5" s="584">
        <f>IF(S4&gt;Q18,S4,VLOOKUP(S4,$Q$4:$R$18,1,TRUE))</f>
        <v>1000000</v>
      </c>
      <c r="T5" s="579">
        <v>5000</v>
      </c>
      <c r="U5" s="579">
        <v>10000</v>
      </c>
      <c r="V5" s="584">
        <f>IF(V4&gt;T17,V4,VLOOKUP(V4,$T$4:$U$17,1,TRUE))</f>
        <v>10000</v>
      </c>
      <c r="X5" s="579">
        <v>5000</v>
      </c>
      <c r="Y5" s="578">
        <f>Y4+1</f>
        <v>3</v>
      </c>
      <c r="Z5" s="585">
        <f>VLOOKUP(S5,$A$4:$O$18,VLOOKUP(V5,$X$4:$Y$17,2,FALSE),FALSE)</f>
        <v>1.099</v>
      </c>
      <c r="AB5" s="585">
        <f>VLOOKUP(S5,$A$4:$O$18,VLOOKUP(V6,$X$4:$Y$17,2,FALSE),FALSE)</f>
        <v>1</v>
      </c>
    </row>
    <row r="6" spans="1:33" ht="12.75" customHeight="1" x14ac:dyDescent="0.25">
      <c r="A6" s="580">
        <v>25000</v>
      </c>
      <c r="B6" s="573">
        <f>'D&amp;O-EPL-Crime-Fidu ILFs'!B6</f>
        <v>0.50600000000000001</v>
      </c>
      <c r="C6" s="573">
        <f>'D&amp;O-EPL-Crime-Fidu ILFs'!C6</f>
        <v>0.48699999999999999</v>
      </c>
      <c r="D6" s="573">
        <f>'D&amp;O-EPL-Crime-Fidu ILFs'!D6</f>
        <v>0.46800000000000003</v>
      </c>
      <c r="E6" s="573">
        <f>'D&amp;O-EPL-Crime-Fidu ILFs'!E6</f>
        <v>0.42599999999999999</v>
      </c>
      <c r="F6" s="573">
        <f>'D&amp;O-EPL-Crime-Fidu ILFs'!F6</f>
        <v>0.17</v>
      </c>
      <c r="G6" s="573">
        <f>'D&amp;O-EPL-Crime-Fidu ILFs'!G6</f>
        <v>0.161</v>
      </c>
      <c r="H6" s="573">
        <f>'D&amp;O-EPL-Crime-Fidu ILFs'!H6</f>
        <v>0.154</v>
      </c>
      <c r="I6" s="573">
        <f>'D&amp;O-EPL-Crime-Fidu ILFs'!I6</f>
        <v>0.14299999999999999</v>
      </c>
      <c r="J6" s="573">
        <f>'D&amp;O-EPL-Crime-Fidu ILFs'!J6</f>
        <v>0.13400000000000001</v>
      </c>
      <c r="K6" s="573">
        <f>'D&amp;O-EPL-Crime-Fidu ILFs'!K6</f>
        <v>0.127</v>
      </c>
      <c r="L6" s="573">
        <f>'D&amp;O-EPL-Crime-Fidu ILFs'!L6</f>
        <v>7.0999999999999994E-2</v>
      </c>
      <c r="M6" s="573">
        <f>'D&amp;O-EPL-Crime-Fidu ILFs'!M6</f>
        <v>5.6000000000000001E-2</v>
      </c>
      <c r="N6" s="573">
        <f>'D&amp;O-EPL-Crime-Fidu ILFs'!N6</f>
        <v>5.3999999999999999E-2</v>
      </c>
      <c r="O6" s="573">
        <f>'D&amp;O-EPL-Crime-Fidu ILFs'!O6</f>
        <v>4.4999999999999998E-2</v>
      </c>
      <c r="Q6" s="579">
        <v>25000</v>
      </c>
      <c r="R6" s="579">
        <v>100000</v>
      </c>
      <c r="S6" s="584">
        <f>IF(S4&gt;Q18,S4,VLOOKUP(S5,$Q$4:$R$18,2,TRUE))</f>
        <v>2000000</v>
      </c>
      <c r="T6" s="579">
        <v>10000</v>
      </c>
      <c r="U6" s="579">
        <v>25000</v>
      </c>
      <c r="V6" s="584">
        <f>IF(V4&gt;T17,V4,VLOOKUP(V5,$T$4:$U$17,2,TRUE))</f>
        <v>25000</v>
      </c>
      <c r="X6" s="579">
        <v>10000</v>
      </c>
      <c r="Y6" s="578">
        <f t="shared" ref="Y6:Y17" si="0">Y5+1</f>
        <v>4</v>
      </c>
      <c r="Z6" s="585">
        <f>VLOOKUP(S6,$A$4:$O$18,VLOOKUP(V5,$X$4:$Y$17,2,FALSE),FALSE)</f>
        <v>1.7030000000000001</v>
      </c>
      <c r="AA6" s="585">
        <f>IF(Z6=Z5,Z6,(((S4-S5)/(S6-S5))*(Z6-Z5))+Z5)</f>
        <v>1.099</v>
      </c>
      <c r="AB6" s="585">
        <f>VLOOKUP(S6,$A$4:$O$18,VLOOKUP(V6,$X$4:$Y$17,2,FALSE),FALSE)</f>
        <v>1.55</v>
      </c>
      <c r="AC6" s="585">
        <f>IF(AB6=AB5,AB6,(((S4-S5)/(S6-S5))*(AB6-AB5))+AB5)</f>
        <v>1</v>
      </c>
      <c r="AE6" s="585">
        <f>IF(AC6=AA6,AC6,AA6-(((V4-V5)/(V6-V5))*(AA6-AC6)))</f>
        <v>1.099</v>
      </c>
      <c r="AG6" s="574">
        <f ca="1">IF(ISNA(AE6),0,Rater!M351*($AE$42/AE6))</f>
        <v>116.48589626933577</v>
      </c>
    </row>
    <row r="7" spans="1:33" ht="12.75" customHeight="1" x14ac:dyDescent="0.2">
      <c r="A7" s="580">
        <v>100000</v>
      </c>
      <c r="B7" s="573">
        <f>'D&amp;O-EPL-Crime-Fidu ILFs'!B7</f>
        <v>0.57999999999999996</v>
      </c>
      <c r="C7" s="573">
        <f>'D&amp;O-EPL-Crime-Fidu ILFs'!C7</f>
        <v>0.55800000000000005</v>
      </c>
      <c r="D7" s="573">
        <f>'D&amp;O-EPL-Crime-Fidu ILFs'!D7</f>
        <v>0.53600000000000003</v>
      </c>
      <c r="E7" s="573">
        <f>'D&amp;O-EPL-Crime-Fidu ILFs'!E7</f>
        <v>0.48799999999999999</v>
      </c>
      <c r="F7" s="573">
        <f>'D&amp;O-EPL-Crime-Fidu ILFs'!F7</f>
        <v>0.24</v>
      </c>
      <c r="G7" s="573">
        <f>'D&amp;O-EPL-Crime-Fidu ILFs'!G7</f>
        <v>0.22800000000000001</v>
      </c>
      <c r="H7" s="573">
        <f>'D&amp;O-EPL-Crime-Fidu ILFs'!H7</f>
        <v>0.218</v>
      </c>
      <c r="I7" s="573">
        <f>'D&amp;O-EPL-Crime-Fidu ILFs'!I7</f>
        <v>0.20100000000000001</v>
      </c>
      <c r="J7" s="573">
        <f>'D&amp;O-EPL-Crime-Fidu ILFs'!J7</f>
        <v>0.19</v>
      </c>
      <c r="K7" s="573">
        <f>'D&amp;O-EPL-Crime-Fidu ILFs'!K7</f>
        <v>0.18</v>
      </c>
      <c r="L7" s="573">
        <f>'D&amp;O-EPL-Crime-Fidu ILFs'!L7</f>
        <v>0.12</v>
      </c>
      <c r="M7" s="573">
        <f>'D&amp;O-EPL-Crime-Fidu ILFs'!M7</f>
        <v>0.1</v>
      </c>
      <c r="N7" s="573">
        <f>'D&amp;O-EPL-Crime-Fidu ILFs'!N7</f>
        <v>9.6000000000000002E-2</v>
      </c>
      <c r="O7" s="573">
        <f>'D&amp;O-EPL-Crime-Fidu ILFs'!O7</f>
        <v>8.1000000000000003E-2</v>
      </c>
      <c r="Q7" s="579">
        <v>100000</v>
      </c>
      <c r="R7" s="579">
        <v>250000</v>
      </c>
      <c r="T7" s="579">
        <v>25000</v>
      </c>
      <c r="U7" s="579">
        <v>50000</v>
      </c>
      <c r="X7" s="579">
        <v>25000</v>
      </c>
      <c r="Y7" s="578">
        <f t="shared" si="0"/>
        <v>5</v>
      </c>
    </row>
    <row r="8" spans="1:33" ht="12.75" customHeight="1" x14ac:dyDescent="0.25">
      <c r="A8" s="580">
        <v>250000</v>
      </c>
      <c r="B8" s="573">
        <f>'D&amp;O-EPL-Crime-Fidu ILFs'!B8</f>
        <v>0.70499999999999996</v>
      </c>
      <c r="C8" s="573">
        <f>'D&amp;O-EPL-Crime-Fidu ILFs'!C8</f>
        <v>0.67800000000000005</v>
      </c>
      <c r="D8" s="573">
        <f>'D&amp;O-EPL-Crime-Fidu ILFs'!D8</f>
        <v>0.65200000000000002</v>
      </c>
      <c r="E8" s="573">
        <f>'D&amp;O-EPL-Crime-Fidu ILFs'!E8</f>
        <v>0.59299999999999997</v>
      </c>
      <c r="F8" s="573">
        <f>'D&amp;O-EPL-Crime-Fidu ILFs'!F8</f>
        <v>0.37</v>
      </c>
      <c r="G8" s="573">
        <f>'D&amp;O-EPL-Crime-Fidu ILFs'!G8</f>
        <v>0.35099999999999998</v>
      </c>
      <c r="H8" s="573">
        <f>'D&amp;O-EPL-Crime-Fidu ILFs'!H8</f>
        <v>0.33500000000000002</v>
      </c>
      <c r="I8" s="573">
        <f>'D&amp;O-EPL-Crime-Fidu ILFs'!I8</f>
        <v>0.31</v>
      </c>
      <c r="J8" s="573">
        <f>'D&amp;O-EPL-Crime-Fidu ILFs'!J8</f>
        <v>0.29199999999999998</v>
      </c>
      <c r="K8" s="573">
        <f>'D&amp;O-EPL-Crime-Fidu ILFs'!K8</f>
        <v>0.27700000000000002</v>
      </c>
      <c r="L8" s="573">
        <f>'D&amp;O-EPL-Crime-Fidu ILFs'!L8</f>
        <v>0.21</v>
      </c>
      <c r="M8" s="573">
        <f>'D&amp;O-EPL-Crime-Fidu ILFs'!M8</f>
        <v>0.18</v>
      </c>
      <c r="N8" s="573">
        <f>'D&amp;O-EPL-Crime-Fidu ILFs'!N8</f>
        <v>0.17199999999999999</v>
      </c>
      <c r="O8" s="573">
        <f>'D&amp;O-EPL-Crime-Fidu ILFs'!O8</f>
        <v>0.14599999999999999</v>
      </c>
      <c r="Q8" s="579">
        <v>250000</v>
      </c>
      <c r="R8" s="579">
        <v>500000</v>
      </c>
      <c r="S8" s="584">
        <f>Rater!C354</f>
        <v>1000000</v>
      </c>
      <c r="T8" s="579">
        <v>50000</v>
      </c>
      <c r="U8" s="579">
        <v>75000</v>
      </c>
      <c r="V8" s="584">
        <f>Rater!E354</f>
        <v>10000</v>
      </c>
      <c r="X8" s="579">
        <v>50000</v>
      </c>
      <c r="Y8" s="578">
        <f t="shared" si="0"/>
        <v>6</v>
      </c>
    </row>
    <row r="9" spans="1:33" ht="12.75" customHeight="1" x14ac:dyDescent="0.25">
      <c r="A9" s="586">
        <v>500000</v>
      </c>
      <c r="B9" s="573">
        <f>'D&amp;O-EPL-Crime-Fidu ILFs'!B9</f>
        <v>0.89100000000000001</v>
      </c>
      <c r="C9" s="573">
        <f>'D&amp;O-EPL-Crime-Fidu ILFs'!C9</f>
        <v>0.85699999999999998</v>
      </c>
      <c r="D9" s="573">
        <f>'D&amp;O-EPL-Crime-Fidu ILFs'!D9</f>
        <v>0.82399999999999995</v>
      </c>
      <c r="E9" s="573">
        <f>'D&amp;O-EPL-Crime-Fidu ILFs'!E9</f>
        <v>0.75</v>
      </c>
      <c r="F9" s="573">
        <f>'D&amp;O-EPL-Crime-Fidu ILFs'!F9</f>
        <v>0.57599999999999996</v>
      </c>
      <c r="G9" s="573">
        <f>'D&amp;O-EPL-Crime-Fidu ILFs'!G9</f>
        <v>0.54600000000000004</v>
      </c>
      <c r="H9" s="573">
        <f>'D&amp;O-EPL-Crime-Fidu ILFs'!H9</f>
        <v>0.52200000000000002</v>
      </c>
      <c r="I9" s="573">
        <f>'D&amp;O-EPL-Crime-Fidu ILFs'!I9</f>
        <v>0.48299999999999998</v>
      </c>
      <c r="J9" s="573">
        <f>'D&amp;O-EPL-Crime-Fidu ILFs'!J9</f>
        <v>0.45500000000000002</v>
      </c>
      <c r="K9" s="573">
        <f>'D&amp;O-EPL-Crime-Fidu ILFs'!K9</f>
        <v>0.43099999999999999</v>
      </c>
      <c r="L9" s="573">
        <f>'D&amp;O-EPL-Crime-Fidu ILFs'!L9</f>
        <v>0.35299999999999998</v>
      </c>
      <c r="M9" s="573">
        <f>'D&amp;O-EPL-Crime-Fidu ILFs'!M9</f>
        <v>0.308</v>
      </c>
      <c r="N9" s="573">
        <f>'D&amp;O-EPL-Crime-Fidu ILFs'!N9</f>
        <v>0.27800000000000002</v>
      </c>
      <c r="O9" s="573">
        <f>'D&amp;O-EPL-Crime-Fidu ILFs'!O9</f>
        <v>0.21099999999999999</v>
      </c>
      <c r="Q9" s="579">
        <v>500000</v>
      </c>
      <c r="R9" s="579">
        <v>1000000</v>
      </c>
      <c r="S9" s="584">
        <f>IF(S8&gt;Q18,S8,VLOOKUP(S8,$Q$4:$R$18,1,TRUE))</f>
        <v>1000000</v>
      </c>
      <c r="T9" s="579">
        <v>75000</v>
      </c>
      <c r="U9" s="579">
        <v>100000</v>
      </c>
      <c r="V9" s="584">
        <f>IF(V8&gt;T17,V8,VLOOKUP(V8,$T$4:$U$17,1,TRUE))</f>
        <v>10000</v>
      </c>
      <c r="X9" s="579">
        <v>75000</v>
      </c>
      <c r="Y9" s="578">
        <f t="shared" si="0"/>
        <v>7</v>
      </c>
      <c r="Z9" s="585">
        <f>VLOOKUP(S9,$A$4:$O$18,VLOOKUP(V9,$X$4:$Y$17,2,FALSE),FALSE)</f>
        <v>1.099</v>
      </c>
      <c r="AB9" s="585">
        <f>VLOOKUP(S9,$A$4:$O$18,VLOOKUP(V10,$X$4:$Y$17,2,FALSE),FALSE)</f>
        <v>1</v>
      </c>
    </row>
    <row r="10" spans="1:33" ht="12.75" customHeight="1" x14ac:dyDescent="0.25">
      <c r="A10" s="580">
        <v>1000000</v>
      </c>
      <c r="B10" s="573">
        <f>'D&amp;O-EPL-Crime-Fidu ILFs'!B10</f>
        <v>1.1890000000000001</v>
      </c>
      <c r="C10" s="573">
        <f>'D&amp;O-EPL-Crime-Fidu ILFs'!C10</f>
        <v>1.143</v>
      </c>
      <c r="D10" s="573">
        <f>'D&amp;O-EPL-Crime-Fidu ILFs'!D10</f>
        <v>1.099</v>
      </c>
      <c r="E10" s="573">
        <f>'D&amp;O-EPL-Crime-Fidu ILFs'!E10</f>
        <v>1</v>
      </c>
      <c r="F10" s="573">
        <f>'D&amp;O-EPL-Crime-Fidu ILFs'!F10</f>
        <v>0.91100000000000003</v>
      </c>
      <c r="G10" s="573">
        <f>'D&amp;O-EPL-Crime-Fidu ILFs'!G10</f>
        <v>0.877</v>
      </c>
      <c r="H10" s="573">
        <f>'D&amp;O-EPL-Crime-Fidu ILFs'!H10</f>
        <v>0.84799999999999998</v>
      </c>
      <c r="I10" s="573">
        <f>'D&amp;O-EPL-Crime-Fidu ILFs'!I10</f>
        <v>0.80200000000000005</v>
      </c>
      <c r="J10" s="573">
        <f>'D&amp;O-EPL-Crime-Fidu ILFs'!J10</f>
        <v>0.76500000000000001</v>
      </c>
      <c r="K10" s="573">
        <f>'D&amp;O-EPL-Crime-Fidu ILFs'!K10</f>
        <v>0.73399999999999999</v>
      </c>
      <c r="L10" s="573">
        <f>'D&amp;O-EPL-Crime-Fidu ILFs'!L10</f>
        <v>0.628</v>
      </c>
      <c r="M10" s="573">
        <f>'D&amp;O-EPL-Crime-Fidu ILFs'!M10</f>
        <v>0.56100000000000005</v>
      </c>
      <c r="N10" s="573">
        <f>'D&amp;O-EPL-Crime-Fidu ILFs'!N10</f>
        <v>0.51300000000000001</v>
      </c>
      <c r="O10" s="573">
        <f>'D&amp;O-EPL-Crime-Fidu ILFs'!O10</f>
        <v>0.40100000000000002</v>
      </c>
      <c r="Q10" s="579">
        <v>1000000</v>
      </c>
      <c r="R10" s="579">
        <v>2000000</v>
      </c>
      <c r="S10" s="584">
        <f>IF(S8&gt;Q18,S8,VLOOKUP(S9,$Q$4:$R$18,2,TRUE))</f>
        <v>2000000</v>
      </c>
      <c r="T10" s="579">
        <v>100000</v>
      </c>
      <c r="U10" s="579">
        <v>150000</v>
      </c>
      <c r="V10" s="584">
        <f>IF(V8&gt;T17,V8,VLOOKUP(V9,$T$4:$U$17,2,TRUE))</f>
        <v>25000</v>
      </c>
      <c r="X10" s="579">
        <v>100000</v>
      </c>
      <c r="Y10" s="578">
        <f t="shared" si="0"/>
        <v>8</v>
      </c>
      <c r="Z10" s="585">
        <f>VLOOKUP(S10,$A$4:$O$18,VLOOKUP(V9,$X$4:$Y$17,2,FALSE),FALSE)</f>
        <v>1.7030000000000001</v>
      </c>
      <c r="AA10" s="585">
        <f>IF(Z10=Z9,Z10,(((S8-S9)/(S10-S9))*(Z10-Z9))+Z9)</f>
        <v>1.099</v>
      </c>
      <c r="AB10" s="585">
        <f>VLOOKUP(S10,$A$4:$O$18,VLOOKUP(V10,$X$4:$Y$17,2,FALSE),FALSE)</f>
        <v>1.55</v>
      </c>
      <c r="AC10" s="585">
        <f>IF(AB10=AB9,AB10,(((S8-S9)/(S10-S9))*(AB10-AB9))+AB9)</f>
        <v>1</v>
      </c>
      <c r="AE10" s="585">
        <f>IF(AC10=AA10,AC10,AA10-(((V8-V9)/(V10-V9))*(AA10-AC10)))</f>
        <v>1.099</v>
      </c>
      <c r="AG10" s="574">
        <f ca="1">IF(ISNA(AE10),0,Rater!M354*($AE$42/AE10))</f>
        <v>29.006369426751593</v>
      </c>
    </row>
    <row r="11" spans="1:33" ht="12.75" customHeight="1" x14ac:dyDescent="0.2">
      <c r="A11" s="580">
        <v>2000000</v>
      </c>
      <c r="B11" s="573">
        <f>'D&amp;O-EPL-Crime-Fidu ILFs'!B11</f>
        <v>1.8420000000000001</v>
      </c>
      <c r="C11" s="573">
        <f>'D&amp;O-EPL-Crime-Fidu ILFs'!C11</f>
        <v>1.7709999999999999</v>
      </c>
      <c r="D11" s="573">
        <f>'D&amp;O-EPL-Crime-Fidu ILFs'!D11</f>
        <v>1.7030000000000001</v>
      </c>
      <c r="E11" s="573">
        <f>'D&amp;O-EPL-Crime-Fidu ILFs'!E11</f>
        <v>1.55</v>
      </c>
      <c r="F11" s="573">
        <f>'D&amp;O-EPL-Crime-Fidu ILFs'!F11</f>
        <v>1.4019999999999999</v>
      </c>
      <c r="G11" s="573">
        <f>'D&amp;O-EPL-Crime-Fidu ILFs'!G11</f>
        <v>1.3640000000000001</v>
      </c>
      <c r="H11" s="573">
        <f>'D&amp;O-EPL-Crime-Fidu ILFs'!H11</f>
        <v>1.3320000000000001</v>
      </c>
      <c r="I11" s="573">
        <f>'D&amp;O-EPL-Crime-Fidu ILFs'!I11</f>
        <v>1.28</v>
      </c>
      <c r="J11" s="573">
        <f>'D&amp;O-EPL-Crime-Fidu ILFs'!J11</f>
        <v>1.2370000000000001</v>
      </c>
      <c r="K11" s="573">
        <f>'D&amp;O-EPL-Crime-Fidu ILFs'!K11</f>
        <v>1.1990000000000001</v>
      </c>
      <c r="L11" s="573">
        <f>'D&amp;O-EPL-Crime-Fidu ILFs'!L11</f>
        <v>1.0660000000000001</v>
      </c>
      <c r="M11" s="573">
        <f>'D&amp;O-EPL-Crime-Fidu ILFs'!M11</f>
        <v>0.97599999999999998</v>
      </c>
      <c r="N11" s="573">
        <f>'D&amp;O-EPL-Crime-Fidu ILFs'!N11</f>
        <v>0.90800000000000003</v>
      </c>
      <c r="O11" s="573">
        <f>'D&amp;O-EPL-Crime-Fidu ILFs'!O11</f>
        <v>0.74</v>
      </c>
      <c r="Q11" s="579">
        <v>2000000</v>
      </c>
      <c r="R11" s="579">
        <v>3000000</v>
      </c>
      <c r="T11" s="579">
        <v>150000</v>
      </c>
      <c r="U11" s="579">
        <v>200000</v>
      </c>
      <c r="X11" s="579">
        <v>150000</v>
      </c>
      <c r="Y11" s="578">
        <f t="shared" si="0"/>
        <v>9</v>
      </c>
    </row>
    <row r="12" spans="1:33" ht="12.75" customHeight="1" x14ac:dyDescent="0.25">
      <c r="A12" s="580">
        <v>3000000</v>
      </c>
      <c r="B12" s="573">
        <f>'D&amp;O-EPL-Crime-Fidu ILFs'!B12</f>
        <v>2.3780000000000001</v>
      </c>
      <c r="C12" s="573">
        <f>'D&amp;O-EPL-Crime-Fidu ILFs'!C12</f>
        <v>2.286</v>
      </c>
      <c r="D12" s="573">
        <f>'D&amp;O-EPL-Crime-Fidu ILFs'!D12</f>
        <v>2.198</v>
      </c>
      <c r="E12" s="573">
        <f>'D&amp;O-EPL-Crime-Fidu ILFs'!E12</f>
        <v>2</v>
      </c>
      <c r="F12" s="573">
        <f>'D&amp;O-EPL-Crime-Fidu ILFs'!F12</f>
        <v>1.7849999999999999</v>
      </c>
      <c r="G12" s="573">
        <f>'D&amp;O-EPL-Crime-Fidu ILFs'!G12</f>
        <v>1.746</v>
      </c>
      <c r="H12" s="573">
        <f>'D&amp;O-EPL-Crime-Fidu ILFs'!H12</f>
        <v>1.712</v>
      </c>
      <c r="I12" s="573">
        <f>'D&amp;O-EPL-Crime-Fidu ILFs'!I12</f>
        <v>1.657</v>
      </c>
      <c r="J12" s="573">
        <f>'D&amp;O-EPL-Crime-Fidu ILFs'!J12</f>
        <v>1.611</v>
      </c>
      <c r="K12" s="573">
        <f>'D&amp;O-EPL-Crime-Fidu ILFs'!K12</f>
        <v>1.571</v>
      </c>
      <c r="L12" s="573">
        <f>'D&amp;O-EPL-Crime-Fidu ILFs'!L12</f>
        <v>1.423</v>
      </c>
      <c r="M12" s="573">
        <f>'D&amp;O-EPL-Crime-Fidu ILFs'!M12</f>
        <v>1.3220000000000001</v>
      </c>
      <c r="N12" s="573">
        <f>'D&amp;O-EPL-Crime-Fidu ILFs'!N12</f>
        <v>1.242</v>
      </c>
      <c r="O12" s="573">
        <f>'D&amp;O-EPL-Crime-Fidu ILFs'!O12</f>
        <v>1.038</v>
      </c>
      <c r="Q12" s="579">
        <v>3000000</v>
      </c>
      <c r="R12" s="579">
        <v>4000000</v>
      </c>
      <c r="S12" s="584">
        <f>Rater!C357</f>
        <v>1000000</v>
      </c>
      <c r="T12" s="579">
        <v>200000</v>
      </c>
      <c r="U12" s="579">
        <v>250000</v>
      </c>
      <c r="V12" s="584">
        <f>Rater!E357</f>
        <v>10000</v>
      </c>
      <c r="X12" s="579">
        <v>200000</v>
      </c>
      <c r="Y12" s="578">
        <f t="shared" si="0"/>
        <v>10</v>
      </c>
    </row>
    <row r="13" spans="1:33" ht="12.75" customHeight="1" x14ac:dyDescent="0.25">
      <c r="A13" s="580">
        <v>4000000</v>
      </c>
      <c r="B13" s="573">
        <f>'D&amp;O-EPL-Crime-Fidu ILFs'!B13</f>
        <v>2.8530000000000002</v>
      </c>
      <c r="C13" s="573">
        <f>'D&amp;O-EPL-Crime-Fidu ILFs'!C13</f>
        <v>2.7429999999999999</v>
      </c>
      <c r="D13" s="573">
        <f>'D&amp;O-EPL-Crime-Fidu ILFs'!D13</f>
        <v>2.637</v>
      </c>
      <c r="E13" s="573">
        <f>'D&amp;O-EPL-Crime-Fidu ILFs'!E13</f>
        <v>2.4</v>
      </c>
      <c r="F13" s="573">
        <f>'D&amp;O-EPL-Crime-Fidu ILFs'!F13</f>
        <v>2.1110000000000002</v>
      </c>
      <c r="G13" s="573">
        <f>'D&amp;O-EPL-Crime-Fidu ILFs'!G13</f>
        <v>2.0699999999999998</v>
      </c>
      <c r="H13" s="573">
        <f>'D&amp;O-EPL-Crime-Fidu ILFs'!H13</f>
        <v>2.036</v>
      </c>
      <c r="I13" s="573">
        <f>'D&amp;O-EPL-Crime-Fidu ILFs'!I13</f>
        <v>1.9790000000000001</v>
      </c>
      <c r="J13" s="573">
        <f>'D&amp;O-EPL-Crime-Fidu ILFs'!J13</f>
        <v>1.931</v>
      </c>
      <c r="K13" s="573">
        <f>'D&amp;O-EPL-Crime-Fidu ILFs'!K13</f>
        <v>1.889</v>
      </c>
      <c r="L13" s="573">
        <f>'D&amp;O-EPL-Crime-Fidu ILFs'!L13</f>
        <v>1.734</v>
      </c>
      <c r="M13" s="573">
        <f>'D&amp;O-EPL-Crime-Fidu ILFs'!M13</f>
        <v>1.623</v>
      </c>
      <c r="N13" s="573">
        <f>'D&amp;O-EPL-Crime-Fidu ILFs'!N13</f>
        <v>1.536</v>
      </c>
      <c r="O13" s="573">
        <f>'D&amp;O-EPL-Crime-Fidu ILFs'!O13</f>
        <v>1.3069999999999999</v>
      </c>
      <c r="Q13" s="579">
        <v>4000000</v>
      </c>
      <c r="R13" s="579">
        <v>5000000</v>
      </c>
      <c r="S13" s="584">
        <f>IF(S12&gt;Q18,S12,VLOOKUP(S12,$Q$4:$R$18,1,TRUE))</f>
        <v>1000000</v>
      </c>
      <c r="T13" s="579">
        <v>250000</v>
      </c>
      <c r="U13" s="579">
        <v>500000</v>
      </c>
      <c r="V13" s="584">
        <f>IF(V12&gt;T17,V12,VLOOKUP(V12,$T$4:$U$17,1,TRUE))</f>
        <v>10000</v>
      </c>
      <c r="X13" s="579">
        <v>250000</v>
      </c>
      <c r="Y13" s="578">
        <f t="shared" si="0"/>
        <v>11</v>
      </c>
      <c r="Z13" s="585">
        <f>VLOOKUP(S13,$A$4:$O$18,VLOOKUP(V13,$X$4:$Y$17,2,FALSE),FALSE)</f>
        <v>1.099</v>
      </c>
      <c r="AB13" s="585">
        <f>VLOOKUP(S13,$A$4:$O$18,VLOOKUP(V14,$X$4:$Y$17,2,FALSE),FALSE)</f>
        <v>1</v>
      </c>
    </row>
    <row r="14" spans="1:33" ht="12.75" customHeight="1" x14ac:dyDescent="0.25">
      <c r="A14" s="580">
        <v>5000000</v>
      </c>
      <c r="B14" s="573">
        <f>'D&amp;O-EPL-Crime-Fidu ILFs'!B14</f>
        <v>3.2690000000000001</v>
      </c>
      <c r="C14" s="573">
        <f>'D&amp;O-EPL-Crime-Fidu ILFs'!C14</f>
        <v>3.1429999999999998</v>
      </c>
      <c r="D14" s="573">
        <f>'D&amp;O-EPL-Crime-Fidu ILFs'!D14</f>
        <v>3.0219999999999998</v>
      </c>
      <c r="E14" s="573">
        <f>'D&amp;O-EPL-Crime-Fidu ILFs'!E14</f>
        <v>2.75</v>
      </c>
      <c r="F14" s="573">
        <f>'D&amp;O-EPL-Crime-Fidu ILFs'!F14</f>
        <v>2.3980000000000001</v>
      </c>
      <c r="G14" s="573">
        <f>'D&amp;O-EPL-Crime-Fidu ILFs'!G14</f>
        <v>2.3570000000000002</v>
      </c>
      <c r="H14" s="573">
        <f>'D&amp;O-EPL-Crime-Fidu ILFs'!H14</f>
        <v>2.3220000000000001</v>
      </c>
      <c r="I14" s="573">
        <f>'D&amp;O-EPL-Crime-Fidu ILFs'!I14</f>
        <v>2.2629999999999999</v>
      </c>
      <c r="J14" s="573">
        <f>'D&amp;O-EPL-Crime-Fidu ILFs'!J14</f>
        <v>2.214</v>
      </c>
      <c r="K14" s="573">
        <f>'D&amp;O-EPL-Crime-Fidu ILFs'!K14</f>
        <v>2.1720000000000002</v>
      </c>
      <c r="L14" s="573">
        <f>'D&amp;O-EPL-Crime-Fidu ILFs'!L14</f>
        <v>2.0099999999999998</v>
      </c>
      <c r="M14" s="573">
        <f>'D&amp;O-EPL-Crime-Fidu ILFs'!M14</f>
        <v>1.8939999999999999</v>
      </c>
      <c r="N14" s="573">
        <f>'D&amp;O-EPL-Crime-Fidu ILFs'!N14</f>
        <v>1.802</v>
      </c>
      <c r="O14" s="573">
        <f>'D&amp;O-EPL-Crime-Fidu ILFs'!O14</f>
        <v>1.554</v>
      </c>
      <c r="Q14" s="579">
        <v>5000000</v>
      </c>
      <c r="R14" s="579">
        <v>10000000</v>
      </c>
      <c r="S14" s="584">
        <f>IF(S12&gt;Q18,S12,VLOOKUP(S13,$Q$4:$R$18,2,TRUE))</f>
        <v>2000000</v>
      </c>
      <c r="T14" s="579">
        <v>500000</v>
      </c>
      <c r="U14" s="579">
        <v>750000</v>
      </c>
      <c r="V14" s="584">
        <f>IF(V12&gt;T17,V12,VLOOKUP(V13,$T$4:$U$17,2,TRUE))</f>
        <v>25000</v>
      </c>
      <c r="X14" s="579">
        <v>500000</v>
      </c>
      <c r="Y14" s="578">
        <f t="shared" si="0"/>
        <v>12</v>
      </c>
      <c r="Z14" s="585">
        <f>VLOOKUP(S14,$A$4:$O$18,VLOOKUP(V13,$X$4:$Y$17,2,FALSE),FALSE)</f>
        <v>1.7030000000000001</v>
      </c>
      <c r="AA14" s="585">
        <f>IF(Z14=Z13,Z14,(((S12-S13)/(S14-S13))*(Z14-Z13))+Z13)</f>
        <v>1.099</v>
      </c>
      <c r="AB14" s="585">
        <f>VLOOKUP(S14,$A$4:$O$18,VLOOKUP(V14,$X$4:$Y$17,2,FALSE),FALSE)</f>
        <v>1.55</v>
      </c>
      <c r="AC14" s="585">
        <f>IF(AB14=AB13,AB14,(((S12-S13)/(S14-S13))*(AB14-AB13))+AB13)</f>
        <v>1</v>
      </c>
      <c r="AE14" s="585">
        <f>IF(AC14=AA14,AC14,AA14-(((V12-V13)/(V14-V13))*(AA14-AC14)))</f>
        <v>1.099</v>
      </c>
      <c r="AG14" s="574">
        <f ca="1">IF(ISNA(AE14),0,Rater!M357*($AE$42/AE14))</f>
        <v>58.473157415832581</v>
      </c>
    </row>
    <row r="15" spans="1:33" ht="12.75" customHeight="1" x14ac:dyDescent="0.25">
      <c r="A15" s="580">
        <v>10000000</v>
      </c>
      <c r="B15" s="573">
        <f>'D&amp;O-EPL-Crime-Fidu ILFs'!B15</f>
        <v>4.5949999999999998</v>
      </c>
      <c r="C15" s="573">
        <f>'D&amp;O-EPL-Crime-Fidu ILFs'!C15</f>
        <v>4.2859999999999996</v>
      </c>
      <c r="D15" s="573">
        <f>'D&amp;O-EPL-Crime-Fidu ILFs'!D15</f>
        <v>3.9980000000000002</v>
      </c>
      <c r="E15" s="573">
        <f>'D&amp;O-EPL-Crime-Fidu ILFs'!E15</f>
        <v>3.5840000000000001</v>
      </c>
      <c r="F15" s="573">
        <f>'D&amp;O-EPL-Crime-Fidu ILFs'!F15</f>
        <v>3.53</v>
      </c>
      <c r="G15" s="573">
        <f>'D&amp;O-EPL-Crime-Fidu ILFs'!G15</f>
        <v>3.4870000000000001</v>
      </c>
      <c r="H15" s="573">
        <f>'D&amp;O-EPL-Crime-Fidu ILFs'!H15</f>
        <v>3.4510000000000001</v>
      </c>
      <c r="I15" s="573">
        <f>'D&amp;O-EPL-Crime-Fidu ILFs'!I15</f>
        <v>3.39</v>
      </c>
      <c r="J15" s="573">
        <f>'D&amp;O-EPL-Crime-Fidu ILFs'!J15</f>
        <v>3.3380000000000001</v>
      </c>
      <c r="K15" s="573">
        <f>'D&amp;O-EPL-Crime-Fidu ILFs'!K15</f>
        <v>3.2919999999999998</v>
      </c>
      <c r="L15" s="573">
        <f>'D&amp;O-EPL-Crime-Fidu ILFs'!L15</f>
        <v>3.1160000000000001</v>
      </c>
      <c r="M15" s="573">
        <f>'D&amp;O-EPL-Crime-Fidu ILFs'!M15</f>
        <v>2.9860000000000002</v>
      </c>
      <c r="N15" s="573">
        <f>'D&amp;O-EPL-Crime-Fidu ILFs'!N15</f>
        <v>2.88</v>
      </c>
      <c r="O15" s="573">
        <f>'D&amp;O-EPL-Crime-Fidu ILFs'!O15</f>
        <v>2.5790000000000002</v>
      </c>
      <c r="Q15" s="579">
        <v>10000000</v>
      </c>
      <c r="R15" s="579">
        <v>15000000</v>
      </c>
      <c r="S15" s="582"/>
      <c r="T15" s="579">
        <v>750000</v>
      </c>
      <c r="U15" s="579">
        <v>1000000</v>
      </c>
      <c r="X15" s="579">
        <v>750000</v>
      </c>
      <c r="Y15" s="578">
        <f t="shared" si="0"/>
        <v>13</v>
      </c>
    </row>
    <row r="16" spans="1:33" ht="12.75" customHeight="1" x14ac:dyDescent="0.25">
      <c r="A16" s="580">
        <v>15000000</v>
      </c>
      <c r="B16" s="573">
        <f>'D&amp;O-EPL-Crime-Fidu ILFs'!B16</f>
        <v>5.6840000000000002</v>
      </c>
      <c r="C16" s="573">
        <f>'D&amp;O-EPL-Crime-Fidu ILFs'!C16</f>
        <v>5.3079999999999998</v>
      </c>
      <c r="D16" s="573">
        <f>'D&amp;O-EPL-Crime-Fidu ILFs'!D16</f>
        <v>4.9569999999999999</v>
      </c>
      <c r="E16" s="573">
        <f>'D&amp;O-EPL-Crime-Fidu ILFs'!E16</f>
        <v>4.4539999999999997</v>
      </c>
      <c r="F16" s="573">
        <f>'D&amp;O-EPL-Crime-Fidu ILFs'!F16</f>
        <v>4.399</v>
      </c>
      <c r="G16" s="573">
        <f>'D&amp;O-EPL-Crime-Fidu ILFs'!G16</f>
        <v>4.3559999999999999</v>
      </c>
      <c r="H16" s="573">
        <f>'D&amp;O-EPL-Crime-Fidu ILFs'!H16</f>
        <v>4.32</v>
      </c>
      <c r="I16" s="573">
        <f>'D&amp;O-EPL-Crime-Fidu ILFs'!I16</f>
        <v>4.2569999999999997</v>
      </c>
      <c r="J16" s="573">
        <f>'D&amp;O-EPL-Crime-Fidu ILFs'!J16</f>
        <v>4.2039999999999997</v>
      </c>
      <c r="K16" s="573">
        <f>'D&amp;O-EPL-Crime-Fidu ILFs'!K16</f>
        <v>4.157</v>
      </c>
      <c r="L16" s="573">
        <f>'D&amp;O-EPL-Crime-Fidu ILFs'!L16</f>
        <v>3.9740000000000002</v>
      </c>
      <c r="M16" s="573">
        <f>'D&amp;O-EPL-Crime-Fidu ILFs'!M16</f>
        <v>3.8380000000000001</v>
      </c>
      <c r="N16" s="573">
        <f>'D&amp;O-EPL-Crime-Fidu ILFs'!N16</f>
        <v>3.726</v>
      </c>
      <c r="O16" s="573">
        <f>'D&amp;O-EPL-Crime-Fidu ILFs'!O16</f>
        <v>3.4009999999999998</v>
      </c>
      <c r="Q16" s="579">
        <v>15000000</v>
      </c>
      <c r="R16" s="579">
        <v>20000000</v>
      </c>
      <c r="S16" s="584">
        <f>Rater!C360</f>
        <v>1000000</v>
      </c>
      <c r="T16" s="579">
        <v>1000000</v>
      </c>
      <c r="U16" s="579">
        <v>2000000</v>
      </c>
      <c r="V16" s="584">
        <f>Rater!E360</f>
        <v>10000</v>
      </c>
      <c r="X16" s="579">
        <v>1000000</v>
      </c>
      <c r="Y16" s="578">
        <f t="shared" si="0"/>
        <v>14</v>
      </c>
    </row>
    <row r="17" spans="1:33" ht="12.75" customHeight="1" x14ac:dyDescent="0.25">
      <c r="A17" s="580">
        <v>20000000</v>
      </c>
      <c r="B17" s="573">
        <f>'D&amp;O-EPL-Crime-Fidu ILFs'!B17</f>
        <v>6.5990000000000002</v>
      </c>
      <c r="C17" s="573">
        <f>'D&amp;O-EPL-Crime-Fidu ILFs'!C17</f>
        <v>6.1680000000000001</v>
      </c>
      <c r="D17" s="573">
        <f>'D&amp;O-EPL-Crime-Fidu ILFs'!D17</f>
        <v>5.7649999999999997</v>
      </c>
      <c r="E17" s="573">
        <f>'D&amp;O-EPL-Crime-Fidu ILFs'!E17</f>
        <v>5.1859999999999999</v>
      </c>
      <c r="F17" s="573">
        <f>'D&amp;O-EPL-Crime-Fidu ILFs'!F17</f>
        <v>5.1319999999999997</v>
      </c>
      <c r="G17" s="573">
        <f>'D&amp;O-EPL-Crime-Fidu ILFs'!G17</f>
        <v>5.0890000000000004</v>
      </c>
      <c r="H17" s="573">
        <f>'D&amp;O-EPL-Crime-Fidu ILFs'!H17</f>
        <v>5.0510000000000002</v>
      </c>
      <c r="I17" s="573">
        <f>'D&amp;O-EPL-Crime-Fidu ILFs'!I17</f>
        <v>4.9880000000000004</v>
      </c>
      <c r="J17" s="573">
        <f>'D&amp;O-EPL-Crime-Fidu ILFs'!J17</f>
        <v>4.9349999999999996</v>
      </c>
      <c r="K17" s="573">
        <f>'D&amp;O-EPL-Crime-Fidu ILFs'!K17</f>
        <v>4.8869999999999996</v>
      </c>
      <c r="L17" s="573">
        <f>'D&amp;O-EPL-Crime-Fidu ILFs'!L17</f>
        <v>4.7009999999999996</v>
      </c>
      <c r="M17" s="573">
        <f>'D&amp;O-EPL-Crime-Fidu ILFs'!M17</f>
        <v>4.5609999999999999</v>
      </c>
      <c r="N17" s="573">
        <f>'D&amp;O-EPL-Crime-Fidu ILFs'!N17</f>
        <v>4.4450000000000003</v>
      </c>
      <c r="O17" s="573">
        <f>'D&amp;O-EPL-Crime-Fidu ILFs'!O17</f>
        <v>4.1059999999999999</v>
      </c>
      <c r="Q17" s="579">
        <v>20000000</v>
      </c>
      <c r="R17" s="582">
        <v>25000000</v>
      </c>
      <c r="S17" s="584">
        <f>IF(S16&gt;Q18,S16,VLOOKUP(S16,$Q$4:$R$18,1,TRUE))</f>
        <v>1000000</v>
      </c>
      <c r="T17" s="579">
        <v>2000000</v>
      </c>
      <c r="U17" s="579">
        <v>2000000</v>
      </c>
      <c r="V17" s="584">
        <f>IF(V16&gt;T17,V16,VLOOKUP(V16,$T$4:$U$17,1,TRUE))</f>
        <v>10000</v>
      </c>
      <c r="X17" s="579">
        <v>2000000</v>
      </c>
      <c r="Y17" s="578">
        <f t="shared" si="0"/>
        <v>15</v>
      </c>
      <c r="Z17" s="585">
        <f>VLOOKUP(S17,$A$4:$O$18,VLOOKUP(V17,$X$4:$Y$17,2,FALSE),FALSE)</f>
        <v>1.099</v>
      </c>
      <c r="AB17" s="585">
        <f>VLOOKUP(S17,$A$4:$O$18,VLOOKUP(V18,$X$4:$Y$17,2,FALSE),FALSE)</f>
        <v>1</v>
      </c>
    </row>
    <row r="18" spans="1:33" ht="12.75" customHeight="1" x14ac:dyDescent="0.25">
      <c r="A18" s="580">
        <v>25000000</v>
      </c>
      <c r="B18" s="573">
        <f>'D&amp;O-EPL-Crime-Fidu ILFs'!B18</f>
        <v>7.4089999999999998</v>
      </c>
      <c r="C18" s="573">
        <f>'D&amp;O-EPL-Crime-Fidu ILFs'!C18</f>
        <v>6.9269999999999996</v>
      </c>
      <c r="D18" s="573">
        <f>'D&amp;O-EPL-Crime-Fidu ILFs'!D18</f>
        <v>6.476</v>
      </c>
      <c r="E18" s="573">
        <f>'D&amp;O-EPL-Crime-Fidu ILFs'!E18</f>
        <v>5.8310000000000004</v>
      </c>
      <c r="F18" s="573">
        <f>'D&amp;O-EPL-Crime-Fidu ILFs'!F18</f>
        <v>5.7770000000000001</v>
      </c>
      <c r="G18" s="573">
        <f>'D&amp;O-EPL-Crime-Fidu ILFs'!G18</f>
        <v>5.7329999999999997</v>
      </c>
      <c r="H18" s="573">
        <f>'D&amp;O-EPL-Crime-Fidu ILFs'!H18</f>
        <v>5.6959999999999997</v>
      </c>
      <c r="I18" s="573">
        <f>'D&amp;O-EPL-Crime-Fidu ILFs'!I18</f>
        <v>5.6310000000000002</v>
      </c>
      <c r="J18" s="573">
        <f>'D&amp;O-EPL-Crime-Fidu ILFs'!J18</f>
        <v>5.5780000000000003</v>
      </c>
      <c r="K18" s="573">
        <f>'D&amp;O-EPL-Crime-Fidu ILFs'!K18</f>
        <v>5.53</v>
      </c>
      <c r="L18" s="573">
        <f>'D&amp;O-EPL-Crime-Fidu ILFs'!L18</f>
        <v>5.3410000000000002</v>
      </c>
      <c r="M18" s="573">
        <f>'D&amp;O-EPL-Crime-Fidu ILFs'!M18</f>
        <v>5.1989999999999998</v>
      </c>
      <c r="N18" s="573">
        <f>'D&amp;O-EPL-Crime-Fidu ILFs'!N18</f>
        <v>5.0810000000000004</v>
      </c>
      <c r="O18" s="573">
        <f>'D&amp;O-EPL-Crime-Fidu ILFs'!O18</f>
        <v>4.7320000000000002</v>
      </c>
      <c r="Q18" s="931">
        <v>25000000</v>
      </c>
      <c r="R18" s="931">
        <v>25000000</v>
      </c>
      <c r="S18" s="584">
        <f>IF(S16&gt;Q18,S16,VLOOKUP(S17,$Q$4:$R$18,2,TRUE))</f>
        <v>2000000</v>
      </c>
      <c r="V18" s="584">
        <f>IF(V16&gt;T17,V16,VLOOKUP(V17,$T$4:$U$17,2,TRUE))</f>
        <v>25000</v>
      </c>
      <c r="Z18" s="585">
        <f>VLOOKUP(S18,$A$4:$O$18,VLOOKUP(V17,$X$4:$Y$17,2,FALSE),FALSE)</f>
        <v>1.7030000000000001</v>
      </c>
      <c r="AA18" s="585">
        <f>IF(Z18=Z17,Z18,(((S16-S17)/(S18-S17))*(Z18-Z17))+Z17)</f>
        <v>1.099</v>
      </c>
      <c r="AB18" s="585">
        <f>VLOOKUP(S18,$A$4:$O$18,VLOOKUP(V18,$X$4:$Y$17,2,FALSE),FALSE)</f>
        <v>1.55</v>
      </c>
      <c r="AC18" s="585">
        <f>IF(AB18=AB17,AB18,(((S16-S17)/(S18-S17))*(AB18-AB17))+AB17)</f>
        <v>1</v>
      </c>
      <c r="AE18" s="585">
        <f>IF(AC18=AA18,AC18,AA18-(((V16-V17)/(V18-V17))*(AA18-AC18)))</f>
        <v>1.099</v>
      </c>
      <c r="AG18" s="574">
        <f ca="1">IF(ISNA(AE18),0,Rater!M360*($AE$42/AE18))</f>
        <v>43.739763421292089</v>
      </c>
    </row>
    <row r="19" spans="1:33" ht="12.75" customHeight="1" x14ac:dyDescent="0.25">
      <c r="A19" s="558"/>
      <c r="B19" s="558"/>
      <c r="C19" s="558"/>
      <c r="D19" s="558"/>
      <c r="E19" s="558"/>
      <c r="F19" s="558"/>
      <c r="G19" s="558"/>
      <c r="H19" s="558"/>
      <c r="I19" s="558"/>
      <c r="J19" s="558"/>
      <c r="K19" s="558"/>
      <c r="L19" s="558"/>
      <c r="M19" s="558"/>
      <c r="N19" s="558"/>
      <c r="O19" s="558"/>
      <c r="Q19" s="558"/>
      <c r="R19" s="558"/>
      <c r="S19" s="582"/>
    </row>
    <row r="20" spans="1:33" ht="12.75" customHeight="1" x14ac:dyDescent="0.25">
      <c r="A20" s="558"/>
      <c r="B20" s="587"/>
      <c r="C20" s="587"/>
      <c r="D20" s="587"/>
      <c r="E20" s="587"/>
      <c r="F20" s="588"/>
      <c r="G20" s="588"/>
      <c r="H20" s="588"/>
      <c r="I20" s="588"/>
      <c r="J20" s="588"/>
      <c r="K20" s="588"/>
      <c r="L20" s="588"/>
      <c r="M20" s="588"/>
      <c r="N20" s="588"/>
      <c r="O20" s="588"/>
      <c r="Q20" s="558"/>
      <c r="R20" s="558"/>
      <c r="S20" s="584">
        <f>Rater!C363</f>
        <v>1000000</v>
      </c>
      <c r="V20" s="584">
        <f>Rater!E363</f>
        <v>10000</v>
      </c>
    </row>
    <row r="21" spans="1:33" ht="12.75" customHeight="1" x14ac:dyDescent="0.25">
      <c r="A21" s="558"/>
      <c r="B21" s="587"/>
      <c r="C21" s="587"/>
      <c r="D21" s="587"/>
      <c r="E21" s="587"/>
      <c r="F21" s="587"/>
      <c r="G21" s="587"/>
      <c r="H21" s="588"/>
      <c r="I21" s="588"/>
      <c r="J21" s="588"/>
      <c r="K21" s="588"/>
      <c r="L21" s="588"/>
      <c r="M21" s="588"/>
      <c r="N21" s="588"/>
      <c r="O21" s="588"/>
      <c r="Q21" s="558"/>
      <c r="R21" s="558"/>
      <c r="S21" s="584">
        <f>IF(S20&gt;Q18,S20,VLOOKUP(S20,$Q$4:$R$18,1,TRUE))</f>
        <v>1000000</v>
      </c>
      <c r="V21" s="584">
        <f>IF(V20&gt;T17,V20,VLOOKUP(V20,$T$4:$U$17,1,TRUE))</f>
        <v>10000</v>
      </c>
      <c r="Z21" s="585">
        <f>VLOOKUP(S21,$A$4:$O$18,VLOOKUP(V21,$X$4:$Y$17,2,FALSE),FALSE)</f>
        <v>1.099</v>
      </c>
      <c r="AB21" s="585">
        <f>VLOOKUP(S21,$A$4:$O$18,VLOOKUP(V22,$X$4:$Y$17,2,FALSE),FALSE)</f>
        <v>1</v>
      </c>
    </row>
    <row r="22" spans="1:33" ht="12.75" customHeight="1" x14ac:dyDescent="0.25">
      <c r="A22" s="558"/>
      <c r="B22" s="587"/>
      <c r="C22" s="587"/>
      <c r="D22" s="587"/>
      <c r="E22" s="587"/>
      <c r="F22" s="587"/>
      <c r="G22" s="587"/>
      <c r="H22" s="588"/>
      <c r="I22" s="588"/>
      <c r="J22" s="588"/>
      <c r="K22" s="588"/>
      <c r="L22" s="588"/>
      <c r="M22" s="588"/>
      <c r="N22" s="588"/>
      <c r="O22" s="588"/>
      <c r="Q22" s="558"/>
      <c r="R22" s="558"/>
      <c r="S22" s="584">
        <f>IF(S20&gt;Q18,S20,VLOOKUP(S21,$Q$4:$R$18,2,TRUE))</f>
        <v>2000000</v>
      </c>
      <c r="V22" s="584">
        <f>IF(V20&gt;T17,V20,VLOOKUP(V21,$T$4:$U$17,2,TRUE))</f>
        <v>25000</v>
      </c>
      <c r="Z22" s="585">
        <f>VLOOKUP(S22,$A$4:$O$18,VLOOKUP(V21,$X$4:$Y$17,2,FALSE),FALSE)</f>
        <v>1.7030000000000001</v>
      </c>
      <c r="AA22" s="585">
        <f>IF(Z22=Z21,Z22,(((S20-S21)/(S22-S21))*(Z22-Z21))+Z21)</f>
        <v>1.099</v>
      </c>
      <c r="AB22" s="585">
        <f>VLOOKUP(S22,$A$4:$O$18,VLOOKUP(V22,$X$4:$Y$17,2,FALSE),FALSE)</f>
        <v>1.55</v>
      </c>
      <c r="AC22" s="585">
        <f>IF(AB22=AB21,AB22,(((S20-S21)/(S22-S21))*(AB22-AB21))+AB21)</f>
        <v>1</v>
      </c>
      <c r="AE22" s="585">
        <f>IF(AC22=AA22,AC22,AA22-(((V20-V21)/(V22-V21))*(AA22-AC22)))</f>
        <v>1.099</v>
      </c>
      <c r="AG22" s="574">
        <f ca="1">IF(ISNA(AE22),0,Rater!M363*($AE$42/AE22))</f>
        <v>43.739763421292089</v>
      </c>
    </row>
    <row r="23" spans="1:33" ht="12.75" customHeight="1" x14ac:dyDescent="0.25">
      <c r="A23" s="558"/>
      <c r="B23" s="587"/>
      <c r="C23" s="587"/>
      <c r="D23" s="587"/>
      <c r="E23" s="587"/>
      <c r="F23" s="587"/>
      <c r="G23" s="587"/>
      <c r="H23" s="587"/>
      <c r="I23" s="587"/>
      <c r="J23" s="587"/>
      <c r="K23" s="587"/>
      <c r="L23" s="587"/>
      <c r="M23" s="587"/>
      <c r="N23" s="587"/>
      <c r="O23" s="587"/>
      <c r="Q23" s="558"/>
      <c r="R23" s="558"/>
    </row>
    <row r="24" spans="1:33" ht="12.75" customHeight="1" x14ac:dyDescent="0.25">
      <c r="A24" s="558"/>
      <c r="B24" s="587"/>
      <c r="C24" s="587"/>
      <c r="D24" s="587"/>
      <c r="E24" s="587"/>
      <c r="F24" s="587"/>
      <c r="G24" s="587"/>
      <c r="H24" s="587"/>
      <c r="I24" s="587"/>
      <c r="J24" s="587"/>
      <c r="K24" s="587"/>
      <c r="L24" s="587"/>
      <c r="M24" s="587"/>
      <c r="N24" s="587"/>
      <c r="O24" s="587"/>
      <c r="Q24" s="558"/>
      <c r="R24" s="558"/>
      <c r="S24" s="584">
        <f>Rater!C366</f>
        <v>1000000</v>
      </c>
      <c r="V24" s="584">
        <f>Rater!E366</f>
        <v>10000</v>
      </c>
    </row>
    <row r="25" spans="1:33" ht="12.75" customHeight="1" x14ac:dyDescent="0.25">
      <c r="A25" s="558"/>
      <c r="B25" s="587"/>
      <c r="C25" s="587"/>
      <c r="D25" s="587"/>
      <c r="E25" s="587"/>
      <c r="F25" s="587"/>
      <c r="G25" s="587"/>
      <c r="H25" s="587"/>
      <c r="I25" s="587"/>
      <c r="J25" s="587"/>
      <c r="K25" s="587"/>
      <c r="L25" s="587"/>
      <c r="M25" s="587"/>
      <c r="N25" s="587"/>
      <c r="O25" s="587"/>
      <c r="Q25" s="558"/>
      <c r="R25" s="558"/>
      <c r="S25" s="584">
        <f>IF(S24&gt;Q18,S24,VLOOKUP(S24,$Q$4:$R$18,1,TRUE))</f>
        <v>1000000</v>
      </c>
      <c r="V25" s="584">
        <f>IF(V24&gt;T17,V24,VLOOKUP(V24,$T$4:$U$17,1,TRUE))</f>
        <v>10000</v>
      </c>
      <c r="Z25" s="585">
        <f>VLOOKUP(S25,$A$4:$O$18,VLOOKUP(V25,$X$4:$Y$17,2,FALSE),FALSE)</f>
        <v>1.099</v>
      </c>
      <c r="AB25" s="585">
        <f>VLOOKUP(S25,$A$4:$O$18,VLOOKUP(V26,$X$4:$Y$17,2,FALSE),FALSE)</f>
        <v>1</v>
      </c>
    </row>
    <row r="26" spans="1:33" ht="12.75" customHeight="1" x14ac:dyDescent="0.25">
      <c r="A26" s="558"/>
      <c r="B26" s="587"/>
      <c r="C26" s="587"/>
      <c r="D26" s="587"/>
      <c r="E26" s="587"/>
      <c r="F26" s="587"/>
      <c r="G26" s="587"/>
      <c r="H26" s="587"/>
      <c r="I26" s="587"/>
      <c r="J26" s="587"/>
      <c r="K26" s="587"/>
      <c r="L26" s="587"/>
      <c r="M26" s="587"/>
      <c r="N26" s="587"/>
      <c r="O26" s="587"/>
      <c r="Q26" s="558"/>
      <c r="S26" s="584">
        <f>IF(S24&gt;Q18,S24,VLOOKUP(S25,$Q$4:$R$18,2,TRUE))</f>
        <v>2000000</v>
      </c>
      <c r="V26" s="584">
        <f>IF(V24&gt;T17,V24,VLOOKUP(V25,$T$4:$U$17,2,TRUE))</f>
        <v>25000</v>
      </c>
      <c r="Z26" s="585">
        <f>VLOOKUP(S26,$A$4:$O$18,VLOOKUP(V25,$X$4:$Y$17,2,FALSE),FALSE)</f>
        <v>1.7030000000000001</v>
      </c>
      <c r="AA26" s="585">
        <f>IF(Z26=Z25,Z26,(((S24-S25)/(S26-S25))*(Z26-Z25))+Z25)</f>
        <v>1.099</v>
      </c>
      <c r="AB26" s="585">
        <f>VLOOKUP(S26,$A$4:$O$18,VLOOKUP(V26,$X$4:$Y$17,2,FALSE),FALSE)</f>
        <v>1.55</v>
      </c>
      <c r="AC26" s="585">
        <f>IF(AB26=AB25,AB26,(((S24-S25)/(S26-S25))*(AB26-AB25))+AB25)</f>
        <v>1</v>
      </c>
      <c r="AE26" s="585">
        <f>IF(AC26=AA26,AC26,AA26-(((V24-V25)/(V26-V25))*(AA26-AC26)))</f>
        <v>1.099</v>
      </c>
      <c r="AG26" s="574">
        <f ca="1">IF(ISNA(AE26),0,Rater!M366*($AE$42/AE26))</f>
        <v>43.739763421292089</v>
      </c>
    </row>
    <row r="27" spans="1:33" ht="12.75" customHeight="1" x14ac:dyDescent="0.25">
      <c r="A27" s="558"/>
      <c r="B27" s="587"/>
      <c r="C27" s="587"/>
      <c r="D27" s="587"/>
      <c r="E27" s="587"/>
      <c r="F27" s="587"/>
      <c r="G27" s="587"/>
      <c r="H27" s="587"/>
      <c r="I27" s="587"/>
      <c r="J27" s="587"/>
      <c r="K27" s="587"/>
      <c r="L27" s="587"/>
      <c r="M27" s="587"/>
      <c r="N27" s="587"/>
      <c r="O27" s="587"/>
    </row>
    <row r="28" spans="1:33" ht="12.75" customHeight="1" x14ac:dyDescent="0.25">
      <c r="B28" s="587"/>
      <c r="C28" s="587"/>
      <c r="D28" s="587"/>
      <c r="E28" s="587"/>
      <c r="F28" s="587"/>
      <c r="G28" s="587"/>
      <c r="H28" s="587"/>
      <c r="I28" s="587"/>
      <c r="J28" s="587"/>
      <c r="K28" s="587"/>
      <c r="L28" s="587"/>
      <c r="M28" s="587"/>
      <c r="N28" s="587"/>
      <c r="O28" s="587"/>
      <c r="S28" s="584">
        <f>Rater!C369</f>
        <v>1000000</v>
      </c>
      <c r="V28" s="584">
        <f>Rater!E369</f>
        <v>10000</v>
      </c>
    </row>
    <row r="29" spans="1:33" ht="12.75" customHeight="1" x14ac:dyDescent="0.25">
      <c r="B29" s="587"/>
      <c r="C29" s="587"/>
      <c r="D29" s="587"/>
      <c r="E29" s="587"/>
      <c r="F29" s="587"/>
      <c r="G29" s="587"/>
      <c r="H29" s="587"/>
      <c r="I29" s="587"/>
      <c r="J29" s="587"/>
      <c r="K29" s="587"/>
      <c r="L29" s="587"/>
      <c r="M29" s="587"/>
      <c r="N29" s="587"/>
      <c r="O29" s="587"/>
      <c r="S29" s="584">
        <f>IF(S28&gt;Q18,S28,VLOOKUP(S28,$Q$4:$R$18,1,TRUE))</f>
        <v>1000000</v>
      </c>
      <c r="V29" s="584">
        <f>IF(V28&gt;T17,V28,VLOOKUP(V28,$T$4:$U$17,1,TRUE))</f>
        <v>10000</v>
      </c>
      <c r="Z29" s="585">
        <f>VLOOKUP(S29,$A$4:$O$18,VLOOKUP(V29,$X$4:$Y$17,2,FALSE),FALSE)</f>
        <v>1.099</v>
      </c>
      <c r="AB29" s="585">
        <f>VLOOKUP(S29,$A$4:$O$18,VLOOKUP(V30,$X$4:$Y$17,2,FALSE),FALSE)</f>
        <v>1</v>
      </c>
    </row>
    <row r="30" spans="1:33" ht="12.75" customHeight="1" x14ac:dyDescent="0.25">
      <c r="B30" s="587"/>
      <c r="C30" s="587"/>
      <c r="D30" s="587"/>
      <c r="E30" s="587"/>
      <c r="F30" s="587"/>
      <c r="G30" s="587"/>
      <c r="H30" s="587"/>
      <c r="I30" s="587"/>
      <c r="J30" s="587"/>
      <c r="K30" s="587"/>
      <c r="L30" s="587"/>
      <c r="M30" s="587"/>
      <c r="N30" s="587"/>
      <c r="O30" s="587"/>
      <c r="S30" s="584">
        <f>IF(S28&gt;Q18,S28,VLOOKUP(S29,$Q$4:$R$18,2,TRUE))</f>
        <v>2000000</v>
      </c>
      <c r="V30" s="584">
        <f>IF(V28&gt;T17,V28,VLOOKUP(V29,$T$4:$U$17,2,TRUE))</f>
        <v>25000</v>
      </c>
      <c r="Z30" s="585">
        <f>VLOOKUP(S30,$A$4:$O$18,VLOOKUP(V29,$X$4:$Y$17,2,FALSE),FALSE)</f>
        <v>1.7030000000000001</v>
      </c>
      <c r="AA30" s="585">
        <f>IF(Z30=Z29,Z30,(((S28-S29)/(S30-S29))*(Z30-Z29))+Z29)</f>
        <v>1.099</v>
      </c>
      <c r="AB30" s="585">
        <f>VLOOKUP(S30,$A$4:$O$18,VLOOKUP(V30,$X$4:$Y$17,2,FALSE),FALSE)</f>
        <v>1.55</v>
      </c>
      <c r="AC30" s="585">
        <f>IF(AB30=AB29,AB30,(((S28-S29)/(S30-S29))*(AB30-AB29))+AB29)</f>
        <v>1</v>
      </c>
      <c r="AE30" s="585">
        <f>IF(AC30=AA30,AC30,AA30-(((V28-V29)/(V30-V29))*(AA30-AC30)))</f>
        <v>1.099</v>
      </c>
      <c r="AG30" s="574">
        <f ca="1">IF(ISNA(AE30),0,Rater!M369*($AE$42/AE30))</f>
        <v>58.473157415832581</v>
      </c>
    </row>
    <row r="31" spans="1:33" ht="12.75" customHeight="1" x14ac:dyDescent="0.25">
      <c r="B31" s="587"/>
      <c r="C31" s="587"/>
      <c r="D31" s="587"/>
      <c r="E31" s="587"/>
      <c r="F31" s="587"/>
      <c r="G31" s="587"/>
      <c r="H31" s="587"/>
      <c r="I31" s="587"/>
      <c r="J31" s="587"/>
      <c r="K31" s="587"/>
      <c r="L31" s="587"/>
      <c r="M31" s="587"/>
      <c r="N31" s="587"/>
      <c r="O31" s="587"/>
    </row>
    <row r="32" spans="1:33" ht="12.75" customHeight="1" x14ac:dyDescent="0.25">
      <c r="S32" s="584">
        <f>Rater!C372</f>
        <v>1000000</v>
      </c>
      <c r="V32" s="584">
        <f>Rater!E372</f>
        <v>10000</v>
      </c>
    </row>
    <row r="33" spans="2:33" ht="12.75" customHeight="1" x14ac:dyDescent="0.25">
      <c r="B33" s="573"/>
      <c r="C33" s="573"/>
      <c r="D33" s="573"/>
      <c r="E33" s="573"/>
      <c r="F33" s="573"/>
      <c r="G33" s="573"/>
      <c r="H33" s="573"/>
      <c r="I33" s="575"/>
      <c r="J33" s="575"/>
      <c r="K33" s="575"/>
      <c r="L33" s="575"/>
      <c r="M33" s="575"/>
      <c r="N33" s="575"/>
      <c r="O33" s="575"/>
      <c r="S33" s="584">
        <f>IF(S32&gt;Q18,S32,VLOOKUP(S32,$Q$4:$R$18,1,TRUE))</f>
        <v>1000000</v>
      </c>
      <c r="V33" s="584">
        <f>IF(V32&gt;T17,V32,VLOOKUP(V32,$T$4:$U$17,1,TRUE))</f>
        <v>10000</v>
      </c>
      <c r="Z33" s="585">
        <f>VLOOKUP(S33,$A$4:$O$18,VLOOKUP(V33,$X$4:$Y$17,2,FALSE),FALSE)</f>
        <v>1.099</v>
      </c>
      <c r="AB33" s="585">
        <f>VLOOKUP(S33,$A$4:$O$18,VLOOKUP(V34,$X$4:$Y$17,2,FALSE),FALSE)</f>
        <v>1</v>
      </c>
    </row>
    <row r="34" spans="2:33" ht="12.75" customHeight="1" x14ac:dyDescent="0.25">
      <c r="B34" s="573"/>
      <c r="C34" s="573"/>
      <c r="D34" s="573"/>
      <c r="E34" s="573"/>
      <c r="F34" s="573"/>
      <c r="G34" s="573"/>
      <c r="H34" s="573"/>
      <c r="I34" s="575"/>
      <c r="J34" s="575"/>
      <c r="K34" s="575"/>
      <c r="L34" s="575"/>
      <c r="M34" s="575"/>
      <c r="N34" s="575"/>
      <c r="O34" s="575"/>
      <c r="S34" s="584">
        <f>IF(S32&gt;Q18,S32,VLOOKUP(S33,$Q$4:$R$18,2,TRUE))</f>
        <v>2000000</v>
      </c>
      <c r="V34" s="584">
        <f>IF(V32&gt;T17,V32,VLOOKUP(V33,$T$4:$U$17,2,TRUE))</f>
        <v>25000</v>
      </c>
      <c r="Z34" s="585">
        <f>VLOOKUP(S34,$A$4:$O$18,VLOOKUP(V33,$X$4:$Y$17,2,FALSE),FALSE)</f>
        <v>1.7030000000000001</v>
      </c>
      <c r="AA34" s="585">
        <f>IF(Z34=Z33,Z34,(((S32-S33)/(S34-S33))*(Z34-Z33))+Z33)</f>
        <v>1.099</v>
      </c>
      <c r="AB34" s="585">
        <f>VLOOKUP(S34,$A$4:$O$18,VLOOKUP(V34,$X$4:$Y$17,2,FALSE),FALSE)</f>
        <v>1.55</v>
      </c>
      <c r="AC34" s="585">
        <f>IF(AB34=AB33,AB34,(((S32-S33)/(S34-S33))*(AB34-AB33))+AB33)</f>
        <v>1</v>
      </c>
      <c r="AE34" s="585">
        <f>IF(AC34=AA34,AC34,AA34-(((V32-V33)/(V34-V33))*(AA34-AC34)))</f>
        <v>1.099</v>
      </c>
      <c r="AG34" s="574">
        <f ca="1">IF(ISNA(AE34),0,Rater!M372*($AE$42/AE34))</f>
        <v>72.746132848043686</v>
      </c>
    </row>
    <row r="35" spans="2:33" ht="12.75" customHeight="1" x14ac:dyDescent="0.2">
      <c r="B35" s="573"/>
      <c r="C35" s="573"/>
      <c r="D35" s="573"/>
      <c r="E35" s="573"/>
      <c r="F35" s="573"/>
      <c r="G35" s="573"/>
      <c r="H35" s="573"/>
      <c r="I35" s="575"/>
      <c r="J35" s="575"/>
      <c r="K35" s="575"/>
      <c r="L35" s="575"/>
      <c r="M35" s="575"/>
      <c r="N35" s="575"/>
      <c r="O35" s="575"/>
    </row>
    <row r="36" spans="2:33" ht="12.75" customHeight="1" x14ac:dyDescent="0.25">
      <c r="B36" s="573"/>
      <c r="C36" s="573"/>
      <c r="D36" s="573"/>
      <c r="E36" s="573"/>
      <c r="F36" s="573"/>
      <c r="G36" s="573"/>
      <c r="H36" s="573"/>
      <c r="I36" s="573"/>
      <c r="J36" s="573"/>
      <c r="K36" s="573"/>
      <c r="L36" s="573"/>
      <c r="M36" s="573"/>
      <c r="N36" s="573"/>
      <c r="O36" s="573"/>
      <c r="S36" s="584">
        <f>Rater!C375</f>
        <v>50000</v>
      </c>
      <c r="V36" s="584">
        <f>Rater!E375</f>
        <v>50000</v>
      </c>
    </row>
    <row r="37" spans="2:33" ht="12.75" customHeight="1" x14ac:dyDescent="0.25">
      <c r="B37" s="573"/>
      <c r="C37" s="573"/>
      <c r="D37" s="573"/>
      <c r="E37" s="573"/>
      <c r="F37" s="573"/>
      <c r="G37" s="573"/>
      <c r="H37" s="573"/>
      <c r="I37" s="573"/>
      <c r="J37" s="573"/>
      <c r="K37" s="573"/>
      <c r="L37" s="573"/>
      <c r="M37" s="573"/>
      <c r="N37" s="573"/>
      <c r="O37" s="573"/>
      <c r="S37" s="584">
        <f>IF(S36&gt;Q18,S36,VLOOKUP(S36,$Q$4:$R$18,1,TRUE))</f>
        <v>25000</v>
      </c>
      <c r="V37" s="584">
        <f>IF(V36&gt;T17,V36,VLOOKUP(V36,$T$4:$U$17,1,TRUE))</f>
        <v>50000</v>
      </c>
      <c r="Z37" s="585">
        <f>VLOOKUP(S37,$A$4:$O$18,VLOOKUP(V37,$X$4:$Y$17,2,FALSE),FALSE)</f>
        <v>0.17</v>
      </c>
      <c r="AB37" s="585">
        <f>VLOOKUP(S37,$A$4:$O$18,VLOOKUP(V38,$X$4:$Y$17,2,FALSE),FALSE)</f>
        <v>0.161</v>
      </c>
    </row>
    <row r="38" spans="2:33" ht="12.75" customHeight="1" x14ac:dyDescent="0.25">
      <c r="B38" s="573"/>
      <c r="C38" s="573"/>
      <c r="D38" s="573"/>
      <c r="E38" s="573"/>
      <c r="F38" s="573"/>
      <c r="G38" s="573"/>
      <c r="H38" s="573"/>
      <c r="I38" s="573"/>
      <c r="J38" s="573"/>
      <c r="K38" s="573"/>
      <c r="L38" s="573"/>
      <c r="M38" s="573"/>
      <c r="N38" s="573"/>
      <c r="O38" s="573"/>
      <c r="S38" s="584">
        <f>IF(S36&gt;Q18,S36,VLOOKUP(S37,$Q$4:$R$18,2,TRUE))</f>
        <v>100000</v>
      </c>
      <c r="V38" s="584">
        <f>IF(V36&gt;T17,V36,VLOOKUP(V37,$T$4:$U$17,2,TRUE))</f>
        <v>75000</v>
      </c>
      <c r="Z38" s="585">
        <f>VLOOKUP(S38,$A$4:$O$18,VLOOKUP(V37,$X$4:$Y$17,2,FALSE),FALSE)</f>
        <v>0.24</v>
      </c>
      <c r="AA38" s="585">
        <f>IF(Z38=Z37,Z38,(((S36-S37)/(S38-S37))*(Z38-Z37))+Z37)</f>
        <v>0.19333333333333333</v>
      </c>
      <c r="AB38" s="585">
        <f>VLOOKUP(S38,$A$4:$O$18,VLOOKUP(V38,$X$4:$Y$17,2,FALSE),FALSE)</f>
        <v>0.22800000000000001</v>
      </c>
      <c r="AC38" s="585">
        <f>IF(AB38=AB37,AB38,(((S36-S37)/(S38-S37))*(AB38-AB37))+AB37)</f>
        <v>0.18333333333333335</v>
      </c>
      <c r="AE38" s="585">
        <f>IF(AC38=AA38,AC38,AA38-(((V36-V37)/(V38-V37))*(AA38-AC38)))</f>
        <v>0.19333333333333333</v>
      </c>
      <c r="AG38" s="574">
        <f ca="1">IF(ISNA(AE38),0,Rater!M375*($AE$42/AE38))</f>
        <v>28.789655172413795</v>
      </c>
    </row>
    <row r="39" spans="2:33" ht="12.75" customHeight="1" x14ac:dyDescent="0.2">
      <c r="B39" s="573"/>
      <c r="C39" s="573"/>
      <c r="D39" s="573"/>
      <c r="E39" s="573"/>
      <c r="F39" s="573"/>
      <c r="G39" s="573"/>
      <c r="H39" s="573"/>
      <c r="I39" s="573"/>
      <c r="J39" s="573"/>
      <c r="K39" s="573"/>
      <c r="L39" s="573"/>
      <c r="M39" s="573"/>
      <c r="N39" s="573"/>
      <c r="O39" s="573"/>
    </row>
    <row r="40" spans="2:33" ht="12.75" customHeight="1" x14ac:dyDescent="0.25">
      <c r="B40" s="573"/>
      <c r="C40" s="573"/>
      <c r="D40" s="573"/>
      <c r="E40" s="573"/>
      <c r="F40" s="573"/>
      <c r="G40" s="573"/>
      <c r="H40" s="573"/>
      <c r="I40" s="573"/>
      <c r="J40" s="573"/>
      <c r="K40" s="573"/>
      <c r="L40" s="573"/>
      <c r="M40" s="573"/>
      <c r="N40" s="573"/>
      <c r="O40" s="573"/>
      <c r="S40" s="584">
        <f>Rater!C378</f>
        <v>25000</v>
      </c>
      <c r="V40" s="584">
        <f>Rater!E378</f>
        <v>0</v>
      </c>
    </row>
    <row r="41" spans="2:33" ht="12.75" customHeight="1" x14ac:dyDescent="0.25">
      <c r="B41" s="573"/>
      <c r="C41" s="573"/>
      <c r="D41" s="573"/>
      <c r="E41" s="573"/>
      <c r="F41" s="573"/>
      <c r="G41" s="573"/>
      <c r="H41" s="573"/>
      <c r="I41" s="573"/>
      <c r="J41" s="573"/>
      <c r="K41" s="573"/>
      <c r="L41" s="573"/>
      <c r="M41" s="573"/>
      <c r="N41" s="573"/>
      <c r="O41" s="573"/>
      <c r="S41" s="584">
        <f>IF(S40&gt;Q18,S40,VLOOKUP(S40,$Q$4:$R$18,1,TRUE))</f>
        <v>25000</v>
      </c>
      <c r="V41" s="584">
        <f>IF(V40&gt;T17,V40,VLOOKUP(V40,$T$4:$U$17,1,TRUE))</f>
        <v>0</v>
      </c>
      <c r="Z41" s="585">
        <f>VLOOKUP(S41,$A$4:$O$18,VLOOKUP(V41,$X$4:$Y$17,2,FALSE),FALSE)</f>
        <v>0.50600000000000001</v>
      </c>
      <c r="AB41" s="585">
        <f>VLOOKUP(S41,$A$4:$O$18,VLOOKUP(V42,$X$4:$Y$17,2,FALSE),FALSE)</f>
        <v>0.48699999999999999</v>
      </c>
    </row>
    <row r="42" spans="2:33" ht="12.75" customHeight="1" x14ac:dyDescent="0.25">
      <c r="B42" s="573"/>
      <c r="C42" s="573"/>
      <c r="D42" s="573"/>
      <c r="E42" s="573"/>
      <c r="F42" s="573"/>
      <c r="G42" s="573"/>
      <c r="H42" s="573"/>
      <c r="I42" s="573"/>
      <c r="J42" s="573"/>
      <c r="K42" s="573"/>
      <c r="L42" s="573"/>
      <c r="M42" s="573"/>
      <c r="N42" s="573"/>
      <c r="O42" s="573"/>
      <c r="S42" s="584">
        <f>IF(S40&gt;Q18,S40,VLOOKUP(S41,$Q$4:$R$18,2,TRUE))</f>
        <v>100000</v>
      </c>
      <c r="V42" s="584">
        <f>IF(V40&gt;T17,V40,VLOOKUP(V41,$T$4:$U$17,2,TRUE))</f>
        <v>5000</v>
      </c>
      <c r="Z42" s="585">
        <f>VLOOKUP(S42,$A$4:$O$18,VLOOKUP(V41,$X$4:$Y$17,2,FALSE),FALSE)</f>
        <v>0.57999999999999996</v>
      </c>
      <c r="AA42" s="585">
        <f>IF(Z42=Z41,Z42,(((S40-S41)/(S42-S41))*(Z42-Z41))+Z41)</f>
        <v>0.50600000000000001</v>
      </c>
      <c r="AB42" s="585">
        <f>VLOOKUP(S42,$A$4:$O$18,VLOOKUP(V42,$X$4:$Y$17,2,FALSE),FALSE)</f>
        <v>0.55800000000000005</v>
      </c>
      <c r="AC42" s="585">
        <f>IF(AB42=AB41,AB42,(((S40-S41)/(S42-S41))*(AB42-AB41))+AB41)</f>
        <v>0.48699999999999999</v>
      </c>
      <c r="AE42" s="585">
        <f>IF(AC42=AA42,AC42,AA42-(((V40-V41)/(V42-V41))*(AA42-AC42)))</f>
        <v>0.50600000000000001</v>
      </c>
    </row>
    <row r="43" spans="2:33" ht="12.75" customHeight="1" x14ac:dyDescent="0.2">
      <c r="B43" s="573"/>
      <c r="C43" s="573"/>
      <c r="D43" s="573"/>
      <c r="E43" s="573"/>
      <c r="F43" s="573"/>
      <c r="G43" s="573"/>
      <c r="H43" s="573"/>
      <c r="I43" s="573"/>
      <c r="J43" s="573"/>
      <c r="K43" s="573"/>
      <c r="L43" s="573"/>
      <c r="M43" s="573"/>
      <c r="N43" s="573"/>
      <c r="O43" s="573"/>
    </row>
    <row r="44" spans="2:33" ht="12.75" customHeight="1" x14ac:dyDescent="0.2">
      <c r="B44" s="573"/>
    </row>
    <row r="45" spans="2:33" ht="12.75" customHeight="1" x14ac:dyDescent="0.2">
      <c r="B45" s="573"/>
    </row>
    <row r="46" spans="2:33" ht="12.75" customHeight="1" x14ac:dyDescent="0.2">
      <c r="B46" s="573"/>
    </row>
  </sheetData>
  <sheetProtection password="DA63" sheet="1" objects="1" scenarios="1"/>
  <pageMargins left="0.7" right="0.7" top="0.75" bottom="0.75" header="0.3" footer="0.3"/>
  <pageSetup orientation="portrait" horizont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pageSetUpPr fitToPage="1"/>
  </sheetPr>
  <dimension ref="A1:Y57"/>
  <sheetViews>
    <sheetView topLeftCell="D1" workbookViewId="0">
      <selection activeCell="V51" sqref="V51"/>
    </sheetView>
  </sheetViews>
  <sheetFormatPr defaultColWidth="9.140625" defaultRowHeight="12.75" customHeight="1" x14ac:dyDescent="0.2"/>
  <cols>
    <col min="1" max="1" width="14.28515625" style="580" bestFit="1" customWidth="1"/>
    <col min="2" max="2" width="12" style="578" bestFit="1" customWidth="1"/>
    <col min="3" max="4" width="8.42578125" style="578" bestFit="1" customWidth="1"/>
    <col min="5" max="6" width="9.7109375" style="578" bestFit="1" customWidth="1"/>
    <col min="7" max="7" width="9.7109375" style="578" customWidth="1"/>
    <col min="8" max="8" width="11.7109375" style="578" bestFit="1" customWidth="1"/>
    <col min="9" max="9" width="9.140625" style="578"/>
    <col min="10" max="15" width="14.42578125" style="579" customWidth="1"/>
    <col min="16" max="16" width="9.140625" style="578"/>
    <col min="17" max="17" width="11.7109375" style="578" bestFit="1" customWidth="1"/>
    <col min="18" max="16384" width="9.140625" style="578"/>
  </cols>
  <sheetData>
    <row r="1" spans="1:25" ht="12.75" customHeight="1" thickTop="1" thickBot="1" x14ac:dyDescent="0.25">
      <c r="A1" s="576" t="s">
        <v>305</v>
      </c>
      <c r="B1" s="577"/>
    </row>
    <row r="2" spans="1:25" ht="12.75" customHeight="1" thickTop="1" x14ac:dyDescent="0.25">
      <c r="B2" s="581" t="s">
        <v>366</v>
      </c>
      <c r="J2" s="582"/>
      <c r="K2" s="582"/>
      <c r="L2" s="582"/>
    </row>
    <row r="3" spans="1:25" ht="12.75" customHeight="1" x14ac:dyDescent="0.25">
      <c r="A3" s="583" t="s">
        <v>285</v>
      </c>
      <c r="B3" s="580">
        <v>0</v>
      </c>
      <c r="C3" s="580">
        <v>10000</v>
      </c>
      <c r="D3" s="580">
        <v>25000</v>
      </c>
      <c r="E3" s="580">
        <v>100000</v>
      </c>
      <c r="F3" s="580">
        <v>250000</v>
      </c>
      <c r="G3" s="580">
        <v>500000</v>
      </c>
      <c r="H3" s="580">
        <v>1000000</v>
      </c>
      <c r="J3" s="582"/>
      <c r="K3" s="582"/>
      <c r="L3" s="582"/>
    </row>
    <row r="4" spans="1:25" ht="12.75" customHeight="1" x14ac:dyDescent="0.25">
      <c r="A4" s="580">
        <v>0</v>
      </c>
      <c r="B4" s="573">
        <v>0</v>
      </c>
      <c r="C4" s="573">
        <v>0</v>
      </c>
      <c r="D4" s="573">
        <v>0</v>
      </c>
      <c r="E4" s="573">
        <v>0</v>
      </c>
      <c r="F4" s="573">
        <v>0</v>
      </c>
      <c r="G4" s="573">
        <v>0</v>
      </c>
      <c r="H4" s="573">
        <v>0</v>
      </c>
      <c r="J4" s="579">
        <v>0</v>
      </c>
      <c r="K4" s="579">
        <v>10000</v>
      </c>
      <c r="L4" s="584">
        <f>Rater!T41</f>
        <v>1000000</v>
      </c>
      <c r="M4" s="579">
        <v>0</v>
      </c>
      <c r="N4" s="579">
        <v>10000</v>
      </c>
      <c r="O4" s="584">
        <f>Rater!T43</f>
        <v>10000</v>
      </c>
      <c r="Q4" s="579">
        <v>0</v>
      </c>
      <c r="R4" s="578">
        <v>2</v>
      </c>
    </row>
    <row r="5" spans="1:25" ht="12.75" customHeight="1" x14ac:dyDescent="0.25">
      <c r="A5" s="580">
        <v>10000</v>
      </c>
      <c r="B5" s="573">
        <v>0.41099999999999998</v>
      </c>
      <c r="C5" s="573">
        <v>0.39</v>
      </c>
      <c r="D5" s="573">
        <v>0.36899999999999999</v>
      </c>
      <c r="E5" s="573">
        <v>0.17699999999999999</v>
      </c>
      <c r="F5" s="573">
        <v>0.151</v>
      </c>
      <c r="G5" s="573">
        <v>8.3000000000000004E-2</v>
      </c>
      <c r="H5" s="573">
        <v>6.7000000000000004E-2</v>
      </c>
      <c r="J5" s="579">
        <v>10000</v>
      </c>
      <c r="K5" s="579">
        <v>25000</v>
      </c>
      <c r="L5" s="926">
        <f>IF(L4&gt;J22,L4,VLOOKUP(L4,$J$4:$K$22,1,TRUE))</f>
        <v>1000000</v>
      </c>
      <c r="M5" s="579">
        <v>10000</v>
      </c>
      <c r="N5" s="579">
        <v>25000</v>
      </c>
      <c r="O5" s="584">
        <f>IF(O4&gt;M10,O4,VLOOKUP(O4,$M$4:$N$21,1,TRUE))</f>
        <v>10000</v>
      </c>
      <c r="Q5" s="579">
        <v>10000</v>
      </c>
      <c r="R5" s="578">
        <f>R4+1</f>
        <v>3</v>
      </c>
      <c r="S5" s="585">
        <f>VLOOKUP(L5,$A$4:$H$22,VLOOKUP(O5,$Q$4:$R$17,2,FALSE),FALSE)</f>
        <v>0.95</v>
      </c>
      <c r="U5" s="585">
        <f>VLOOKUP(L5,$A$4:$H$22,VLOOKUP(O6,$Q$4:$R$17,2,FALSE),FALSE)</f>
        <v>0.9</v>
      </c>
    </row>
    <row r="6" spans="1:25" ht="12.75" customHeight="1" x14ac:dyDescent="0.25">
      <c r="A6" s="580">
        <v>25000</v>
      </c>
      <c r="B6" s="573">
        <v>0.42599999999999999</v>
      </c>
      <c r="C6" s="573">
        <v>0.40500000000000003</v>
      </c>
      <c r="D6" s="573">
        <v>0.38400000000000001</v>
      </c>
      <c r="E6" s="573">
        <v>0.192</v>
      </c>
      <c r="F6" s="573">
        <v>0.16600000000000001</v>
      </c>
      <c r="G6" s="573">
        <v>9.8000000000000004E-2</v>
      </c>
      <c r="H6" s="573">
        <v>8.2000000000000003E-2</v>
      </c>
      <c r="J6" s="579">
        <v>25000</v>
      </c>
      <c r="K6" s="579">
        <v>100000</v>
      </c>
      <c r="L6" s="584">
        <f>IF(L4&gt;J22,L4,VLOOKUP(L5,$J$4:$K$22,2,TRUE))</f>
        <v>2000000</v>
      </c>
      <c r="M6" s="579">
        <v>25000</v>
      </c>
      <c r="N6" s="579">
        <v>100000</v>
      </c>
      <c r="O6" s="584">
        <f>IF(O4&gt;M10,O4,VLOOKUP(O5,$M$4:$N$21,2,TRUE))</f>
        <v>25000</v>
      </c>
      <c r="Q6" s="579">
        <v>25000</v>
      </c>
      <c r="R6" s="578">
        <f t="shared" ref="R6:R10" si="0">R5+1</f>
        <v>4</v>
      </c>
      <c r="S6" s="585">
        <f>VLOOKUP(L6,$A$4:$H$22,VLOOKUP(O5,$Q$4:$R$17,2,FALSE),FALSE)</f>
        <v>1.2829999999999999</v>
      </c>
      <c r="T6" s="585">
        <f>IF(S6=S5,S6,(((L4-L5)/(L6-L5))*(S6-S5))+S5)</f>
        <v>0.95</v>
      </c>
      <c r="U6" s="585">
        <f>VLOOKUP(L6,$A$4:$H$22,VLOOKUP(O6,$Q$4:$R$17,2,FALSE),FALSE)</f>
        <v>1.2150000000000001</v>
      </c>
      <c r="V6" s="585">
        <f>IF(U6=U5,U6,(((L4-L5)/(L6-L5))*(U6-U5))+U5)</f>
        <v>0.9</v>
      </c>
      <c r="X6" s="585">
        <f>IF(V6=T6,V6,T6-(((O4-O5)/(O6-O5))*(T6-V6)))</f>
        <v>0.95</v>
      </c>
    </row>
    <row r="7" spans="1:25" ht="12.75" customHeight="1" x14ac:dyDescent="0.2">
      <c r="A7" s="580">
        <v>100000</v>
      </c>
      <c r="B7" s="573">
        <v>0.48799999999999999</v>
      </c>
      <c r="C7" s="573">
        <v>0.46400000000000002</v>
      </c>
      <c r="D7" s="573">
        <v>0.439</v>
      </c>
      <c r="E7" s="573">
        <v>0.26600000000000001</v>
      </c>
      <c r="F7" s="573">
        <v>0.23400000000000001</v>
      </c>
      <c r="G7" s="573">
        <v>0.16600000000000001</v>
      </c>
      <c r="H7" s="573">
        <v>0.14599999999999999</v>
      </c>
      <c r="J7" s="579">
        <v>100000</v>
      </c>
      <c r="K7" s="579">
        <v>250000</v>
      </c>
      <c r="M7" s="579">
        <v>100000</v>
      </c>
      <c r="N7" s="579">
        <v>250000</v>
      </c>
      <c r="Q7" s="579">
        <v>100000</v>
      </c>
      <c r="R7" s="578">
        <f t="shared" si="0"/>
        <v>5</v>
      </c>
    </row>
    <row r="8" spans="1:25" ht="12.75" customHeight="1" x14ac:dyDescent="0.25">
      <c r="A8" s="580">
        <v>250000</v>
      </c>
      <c r="B8" s="573">
        <v>0.59299999999999997</v>
      </c>
      <c r="C8" s="573">
        <v>0.56399999999999995</v>
      </c>
      <c r="D8" s="573">
        <v>0.53400000000000003</v>
      </c>
      <c r="E8" s="573">
        <v>0.41</v>
      </c>
      <c r="F8" s="573">
        <v>0.36099999999999999</v>
      </c>
      <c r="G8" s="573">
        <v>0.28999999999999998</v>
      </c>
      <c r="H8" s="573">
        <v>0.26300000000000001</v>
      </c>
      <c r="J8" s="579">
        <v>250000</v>
      </c>
      <c r="K8" s="589">
        <v>500000</v>
      </c>
      <c r="L8" s="584" t="e">
        <f>Rater!#REF!</f>
        <v>#REF!</v>
      </c>
      <c r="M8" s="579">
        <v>250000</v>
      </c>
      <c r="N8" s="579">
        <v>500000</v>
      </c>
      <c r="O8" s="584" t="e">
        <f>Rater!#REF!</f>
        <v>#REF!</v>
      </c>
      <c r="Q8" s="579">
        <v>250000</v>
      </c>
      <c r="R8" s="578">
        <f t="shared" si="0"/>
        <v>6</v>
      </c>
    </row>
    <row r="9" spans="1:25" ht="12.75" customHeight="1" x14ac:dyDescent="0.25">
      <c r="A9" s="586">
        <v>500000</v>
      </c>
      <c r="B9" s="573">
        <v>0.75</v>
      </c>
      <c r="C9" s="573">
        <v>0.71299999999999997</v>
      </c>
      <c r="D9" s="573">
        <v>0.67500000000000004</v>
      </c>
      <c r="E9" s="573">
        <v>0.63800000000000001</v>
      </c>
      <c r="F9" s="573">
        <v>0.56299999999999994</v>
      </c>
      <c r="G9" s="573">
        <v>0.48799999999999999</v>
      </c>
      <c r="H9" s="573">
        <v>0.45</v>
      </c>
      <c r="J9" s="589">
        <v>500000</v>
      </c>
      <c r="K9" s="579">
        <v>1000000</v>
      </c>
      <c r="L9" s="584" t="e">
        <f>VLOOKUP(L8,$J$4:$K$22,1,TRUE)</f>
        <v>#REF!</v>
      </c>
      <c r="M9" s="579">
        <v>500000</v>
      </c>
      <c r="N9" s="579">
        <v>1000000</v>
      </c>
      <c r="O9" s="584" t="e">
        <f>VLOOKUP(O8,$M$4:$N$21,1,TRUE)</f>
        <v>#REF!</v>
      </c>
      <c r="Q9" s="579">
        <v>500000</v>
      </c>
      <c r="R9" s="578">
        <f t="shared" si="0"/>
        <v>7</v>
      </c>
      <c r="S9" s="585" t="e">
        <f>VLOOKUP(L9,$A$4:$H$22,VLOOKUP(O9,$Q$4:$R$17,2,FALSE),FALSE)</f>
        <v>#REF!</v>
      </c>
      <c r="U9" s="585" t="e">
        <f>VLOOKUP(L9,$A$4:$H$22,VLOOKUP(O10,$Q$4:$R$17,2,FALSE),FALSE)</f>
        <v>#REF!</v>
      </c>
    </row>
    <row r="10" spans="1:25" ht="12.75" customHeight="1" x14ac:dyDescent="0.25">
      <c r="A10" s="580">
        <v>1000000</v>
      </c>
      <c r="B10" s="573">
        <v>1</v>
      </c>
      <c r="C10" s="573">
        <v>0.95</v>
      </c>
      <c r="D10" s="573">
        <v>0.9</v>
      </c>
      <c r="E10" s="573">
        <v>0.85</v>
      </c>
      <c r="F10" s="573">
        <v>0.75</v>
      </c>
      <c r="G10" s="573">
        <v>0.65</v>
      </c>
      <c r="H10" s="573">
        <v>0.6</v>
      </c>
      <c r="J10" s="579">
        <v>1000000</v>
      </c>
      <c r="K10" s="579">
        <v>2000000</v>
      </c>
      <c r="L10" s="584" t="e">
        <f>VLOOKUP(L9,$J$4:$K$22,2,TRUE)</f>
        <v>#REF!</v>
      </c>
      <c r="M10" s="579">
        <v>1000000</v>
      </c>
      <c r="N10" s="579">
        <v>1000000</v>
      </c>
      <c r="O10" s="584" t="e">
        <f>VLOOKUP(O9,$M$4:$N$21,2,TRUE)</f>
        <v>#REF!</v>
      </c>
      <c r="Q10" s="579">
        <v>1000000</v>
      </c>
      <c r="R10" s="578">
        <f t="shared" si="0"/>
        <v>8</v>
      </c>
      <c r="S10" s="585" t="e">
        <f>VLOOKUP(L10,$A$4:$H$22,VLOOKUP(O9,$Q$4:$R$17,2,FALSE),FALSE)</f>
        <v>#REF!</v>
      </c>
      <c r="T10" s="585" t="e">
        <f>(((L8-L9)/(L10-L9))*(S10-S9))+S9</f>
        <v>#REF!</v>
      </c>
      <c r="U10" s="585" t="e">
        <f>VLOOKUP(L10,$A$4:$H$22,VLOOKUP(O10,$Q$4:$R$17,2,FALSE),FALSE)</f>
        <v>#REF!</v>
      </c>
      <c r="V10" s="585" t="e">
        <f>(((L8-L9)/(L10-L9))*(U10-U9))+U9</f>
        <v>#REF!</v>
      </c>
      <c r="X10" s="585" t="e">
        <f>T10-(((O8-O9)/(O10-O9))*(T10-V10))</f>
        <v>#REF!</v>
      </c>
      <c r="Y10" s="578">
        <v>2</v>
      </c>
    </row>
    <row r="11" spans="1:25" ht="12.75" customHeight="1" x14ac:dyDescent="0.2">
      <c r="A11" s="580">
        <v>2000000</v>
      </c>
      <c r="B11" s="573">
        <v>1.35</v>
      </c>
      <c r="C11" s="573">
        <v>1.2829999999999999</v>
      </c>
      <c r="D11" s="573">
        <v>1.2150000000000001</v>
      </c>
      <c r="E11" s="573">
        <v>1.1479999999999999</v>
      </c>
      <c r="F11" s="573">
        <v>1.0129999999999999</v>
      </c>
      <c r="G11" s="573">
        <v>0.878</v>
      </c>
      <c r="H11" s="573">
        <v>0.81</v>
      </c>
      <c r="J11" s="579">
        <v>2000000</v>
      </c>
      <c r="K11" s="579">
        <v>3000000</v>
      </c>
      <c r="Q11" s="579"/>
    </row>
    <row r="12" spans="1:25" ht="12.75" customHeight="1" x14ac:dyDescent="0.25">
      <c r="A12" s="580">
        <v>3000000</v>
      </c>
      <c r="B12" s="573">
        <v>1.6</v>
      </c>
      <c r="C12" s="573">
        <v>1.52</v>
      </c>
      <c r="D12" s="573">
        <v>1.44</v>
      </c>
      <c r="E12" s="573">
        <v>1.36</v>
      </c>
      <c r="F12" s="573">
        <v>1.2</v>
      </c>
      <c r="G12" s="573">
        <v>1.04</v>
      </c>
      <c r="H12" s="573">
        <v>0.96</v>
      </c>
      <c r="J12" s="579">
        <v>3000000</v>
      </c>
      <c r="K12" s="579">
        <v>4000000</v>
      </c>
      <c r="L12" s="584" t="e">
        <f>Rater!#REF!</f>
        <v>#REF!</v>
      </c>
      <c r="O12" s="584" t="e">
        <f>Rater!#REF!</f>
        <v>#REF!</v>
      </c>
      <c r="Q12" s="579"/>
    </row>
    <row r="13" spans="1:25" ht="12.75" customHeight="1" x14ac:dyDescent="0.25">
      <c r="A13" s="580">
        <v>4000000</v>
      </c>
      <c r="B13" s="573">
        <v>1.8</v>
      </c>
      <c r="C13" s="573">
        <v>1.71</v>
      </c>
      <c r="D13" s="573">
        <v>1.62</v>
      </c>
      <c r="E13" s="573">
        <v>1.53</v>
      </c>
      <c r="F13" s="573">
        <v>1.35</v>
      </c>
      <c r="G13" s="573">
        <v>1.17</v>
      </c>
      <c r="H13" s="573">
        <v>1.08</v>
      </c>
      <c r="J13" s="579">
        <v>4000000</v>
      </c>
      <c r="K13" s="579">
        <v>5000000</v>
      </c>
      <c r="L13" s="584" t="e">
        <f>VLOOKUP(L12,$J$4:$K$22,1,TRUE)</f>
        <v>#REF!</v>
      </c>
      <c r="O13" s="584" t="e">
        <f>VLOOKUP(O12,$M$4:$N$21,1,TRUE)</f>
        <v>#REF!</v>
      </c>
      <c r="Q13" s="579"/>
      <c r="S13" s="585" t="e">
        <f>VLOOKUP(L13,$A$4:$H$22,VLOOKUP(O13,$Q$4:$R$17,2,FALSE),FALSE)</f>
        <v>#REF!</v>
      </c>
      <c r="U13" s="585" t="e">
        <f>VLOOKUP(L13,$A$4:$H$22,VLOOKUP(O14,$Q$4:$R$17,2,FALSE),FALSE)</f>
        <v>#REF!</v>
      </c>
    </row>
    <row r="14" spans="1:25" ht="12.75" customHeight="1" x14ac:dyDescent="0.25">
      <c r="A14" s="580">
        <v>5000000</v>
      </c>
      <c r="B14" s="573">
        <v>2</v>
      </c>
      <c r="C14" s="573">
        <v>1.9</v>
      </c>
      <c r="D14" s="573">
        <v>1.8</v>
      </c>
      <c r="E14" s="573">
        <v>1.7</v>
      </c>
      <c r="F14" s="573">
        <v>1.5</v>
      </c>
      <c r="G14" s="573">
        <v>1.3</v>
      </c>
      <c r="H14" s="573">
        <v>1.2</v>
      </c>
      <c r="J14" s="579">
        <v>5000000</v>
      </c>
      <c r="K14" s="579">
        <v>6000000</v>
      </c>
      <c r="L14" s="584" t="e">
        <f>VLOOKUP(L13,$J$4:$K$22,2,TRUE)</f>
        <v>#REF!</v>
      </c>
      <c r="O14" s="584" t="e">
        <f>VLOOKUP(O13,$M$4:$N$21,2,TRUE)</f>
        <v>#REF!</v>
      </c>
      <c r="Q14" s="579"/>
      <c r="S14" s="585" t="e">
        <f>VLOOKUP(L14,$A$4:$H$22,VLOOKUP(O13,$Q$4:$R$17,2,FALSE),FALSE)</f>
        <v>#REF!</v>
      </c>
      <c r="T14" s="585" t="e">
        <f>(((L12-L13)/(L14-L13))*(S14-S13))+S13</f>
        <v>#REF!</v>
      </c>
      <c r="U14" s="585" t="e">
        <f>VLOOKUP(L14,$A$4:$H$22,VLOOKUP(O14,$Q$4:$R$17,2,FALSE),FALSE)</f>
        <v>#REF!</v>
      </c>
      <c r="V14" s="585" t="e">
        <f>(((L12-L13)/(L14-L13))*(U14-U13))+U13</f>
        <v>#REF!</v>
      </c>
      <c r="X14" s="585" t="e">
        <f>T14-(((O12-O13)/(O14-O13))*(T14-V14))</f>
        <v>#REF!</v>
      </c>
      <c r="Y14" s="578">
        <v>3</v>
      </c>
    </row>
    <row r="15" spans="1:25" ht="12.75" customHeight="1" x14ac:dyDescent="0.25">
      <c r="A15" s="580">
        <v>6000000</v>
      </c>
      <c r="B15" s="573">
        <v>2.2000000000000002</v>
      </c>
      <c r="C15" s="573">
        <v>2.09</v>
      </c>
      <c r="D15" s="573">
        <v>1.98</v>
      </c>
      <c r="E15" s="573">
        <v>1.87</v>
      </c>
      <c r="F15" s="573">
        <v>1.65</v>
      </c>
      <c r="G15" s="573">
        <v>1.43</v>
      </c>
      <c r="H15" s="573">
        <v>1.32</v>
      </c>
      <c r="J15" s="579">
        <v>6000000</v>
      </c>
      <c r="K15" s="579">
        <v>7000000</v>
      </c>
      <c r="L15" s="582"/>
      <c r="Q15" s="579"/>
    </row>
    <row r="16" spans="1:25" ht="12.75" customHeight="1" x14ac:dyDescent="0.25">
      <c r="A16" s="580">
        <v>7000000</v>
      </c>
      <c r="B16" s="573">
        <v>2.4</v>
      </c>
      <c r="C16" s="573">
        <v>2.2799999999999998</v>
      </c>
      <c r="D16" s="573">
        <v>2.16</v>
      </c>
      <c r="E16" s="573">
        <v>2.04</v>
      </c>
      <c r="F16" s="573">
        <v>1.8</v>
      </c>
      <c r="G16" s="573">
        <v>1.56</v>
      </c>
      <c r="H16" s="573">
        <v>1.44</v>
      </c>
      <c r="J16" s="579">
        <v>7000000</v>
      </c>
      <c r="K16" s="579">
        <v>8000000</v>
      </c>
      <c r="L16" s="584" t="e">
        <f>Rater!#REF!</f>
        <v>#REF!</v>
      </c>
      <c r="O16" s="584" t="e">
        <f>Rater!#REF!</f>
        <v>#REF!</v>
      </c>
      <c r="Q16" s="579"/>
    </row>
    <row r="17" spans="1:25" ht="12.75" customHeight="1" x14ac:dyDescent="0.25">
      <c r="A17" s="580">
        <v>8000000</v>
      </c>
      <c r="B17" s="573">
        <v>2.6</v>
      </c>
      <c r="C17" s="573">
        <v>2.4700000000000002</v>
      </c>
      <c r="D17" s="573">
        <v>2.34</v>
      </c>
      <c r="E17" s="573">
        <v>2.21</v>
      </c>
      <c r="F17" s="573">
        <v>1.95</v>
      </c>
      <c r="G17" s="573">
        <v>1.69</v>
      </c>
      <c r="H17" s="573">
        <v>1.56</v>
      </c>
      <c r="J17" s="579">
        <v>8000000</v>
      </c>
      <c r="K17" s="579">
        <v>9000000</v>
      </c>
      <c r="L17" s="584" t="e">
        <f>VLOOKUP(L16,$J$4:$K$22,1,TRUE)</f>
        <v>#REF!</v>
      </c>
      <c r="O17" s="584" t="e">
        <f>VLOOKUP(O16,$M$4:$N$21,1,TRUE)</f>
        <v>#REF!</v>
      </c>
      <c r="Q17" s="579"/>
      <c r="S17" s="585" t="e">
        <f>VLOOKUP(L17,$A$4:$H$22,VLOOKUP(O17,$Q$4:$R$17,2,FALSE),FALSE)</f>
        <v>#REF!</v>
      </c>
      <c r="U17" s="585" t="e">
        <f>VLOOKUP(L17,$A$4:$H$22,VLOOKUP(O18,$Q$4:$R$17,2,FALSE),FALSE)</f>
        <v>#REF!</v>
      </c>
    </row>
    <row r="18" spans="1:25" ht="12.75" customHeight="1" x14ac:dyDescent="0.25">
      <c r="A18" s="580">
        <v>9000000</v>
      </c>
      <c r="B18" s="573">
        <v>2.8</v>
      </c>
      <c r="C18" s="573">
        <v>2.66</v>
      </c>
      <c r="D18" s="573">
        <v>2.52</v>
      </c>
      <c r="E18" s="573">
        <v>2.38</v>
      </c>
      <c r="F18" s="573">
        <v>2.1</v>
      </c>
      <c r="G18" s="573">
        <v>1.82</v>
      </c>
      <c r="H18" s="573">
        <v>1.68</v>
      </c>
      <c r="J18" s="579">
        <v>9000000</v>
      </c>
      <c r="K18" s="579">
        <v>10000000</v>
      </c>
      <c r="L18" s="584" t="e">
        <f>VLOOKUP(L17,$J$4:$K$22,2,TRUE)</f>
        <v>#REF!</v>
      </c>
      <c r="O18" s="584" t="e">
        <f>VLOOKUP(O17,$M$4:$N$21,2,TRUE)</f>
        <v>#REF!</v>
      </c>
      <c r="S18" s="585" t="e">
        <f>VLOOKUP(L18,$A$4:$H$22,VLOOKUP(O17,$Q$4:$R$17,2,FALSE),FALSE)</f>
        <v>#REF!</v>
      </c>
      <c r="T18" s="585" t="e">
        <f>(((L16-L17)/(L18-L17))*(S18-S17))+S17</f>
        <v>#REF!</v>
      </c>
      <c r="U18" s="585" t="e">
        <f>VLOOKUP(L18,$A$4:$H$22,VLOOKUP(O18,$Q$4:$R$17,2,FALSE),FALSE)</f>
        <v>#REF!</v>
      </c>
      <c r="V18" s="585" t="e">
        <f>(((L16-L17)/(L18-L17))*(U18-U17))+U17</f>
        <v>#REF!</v>
      </c>
      <c r="X18" s="585" t="e">
        <f>T18-(((O16-O17)/(O18-O17))*(T18-V18))</f>
        <v>#REF!</v>
      </c>
      <c r="Y18" s="578">
        <v>4</v>
      </c>
    </row>
    <row r="19" spans="1:25" ht="12.75" customHeight="1" x14ac:dyDescent="0.25">
      <c r="A19" s="580">
        <v>10000000</v>
      </c>
      <c r="B19" s="573">
        <v>3</v>
      </c>
      <c r="C19" s="573">
        <v>2.85</v>
      </c>
      <c r="D19" s="573">
        <v>2.7</v>
      </c>
      <c r="E19" s="573">
        <v>2.5499999999999998</v>
      </c>
      <c r="F19" s="573">
        <v>2.25</v>
      </c>
      <c r="G19" s="573">
        <v>1.95</v>
      </c>
      <c r="H19" s="573">
        <v>1.8</v>
      </c>
      <c r="J19" s="579">
        <v>10000000</v>
      </c>
      <c r="K19" s="579">
        <v>15000000</v>
      </c>
      <c r="L19" s="582"/>
    </row>
    <row r="20" spans="1:25" ht="12.75" customHeight="1" x14ac:dyDescent="0.25">
      <c r="A20" s="580">
        <v>15000000</v>
      </c>
      <c r="B20" s="573">
        <v>3.5</v>
      </c>
      <c r="C20" s="573">
        <v>3.3250000000000002</v>
      </c>
      <c r="D20" s="573">
        <v>3.15</v>
      </c>
      <c r="E20" s="573">
        <v>2.9750000000000001</v>
      </c>
      <c r="F20" s="573">
        <v>2.625</v>
      </c>
      <c r="G20" s="573">
        <v>2.2749999999999999</v>
      </c>
      <c r="H20" s="573">
        <v>2.1</v>
      </c>
      <c r="J20" s="579">
        <v>15000000</v>
      </c>
      <c r="K20" s="579">
        <v>20000000</v>
      </c>
      <c r="L20" s="584" t="e">
        <f>Rater!#REF!</f>
        <v>#REF!</v>
      </c>
      <c r="O20" s="584" t="e">
        <f>Rater!#REF!</f>
        <v>#REF!</v>
      </c>
    </row>
    <row r="21" spans="1:25" ht="12.75" customHeight="1" x14ac:dyDescent="0.25">
      <c r="A21" s="580">
        <v>20000000</v>
      </c>
      <c r="B21" s="573">
        <v>4</v>
      </c>
      <c r="C21" s="573">
        <v>3.8</v>
      </c>
      <c r="D21" s="573">
        <v>3.6</v>
      </c>
      <c r="E21" s="573">
        <v>3.4</v>
      </c>
      <c r="F21" s="573">
        <v>3</v>
      </c>
      <c r="G21" s="573">
        <v>2.6</v>
      </c>
      <c r="H21" s="573">
        <v>2.4</v>
      </c>
      <c r="J21" s="579">
        <v>20000000</v>
      </c>
      <c r="K21" s="579">
        <v>25000000</v>
      </c>
      <c r="L21" s="584" t="e">
        <f>VLOOKUP(L20,$J$4:$K$22,1,TRUE)</f>
        <v>#REF!</v>
      </c>
      <c r="N21" s="315"/>
      <c r="O21" s="584" t="e">
        <f>VLOOKUP(O20,$M$4:$N$21,1,TRUE)</f>
        <v>#REF!</v>
      </c>
      <c r="S21" s="585" t="e">
        <f>VLOOKUP(L21,$A$4:$H$22,VLOOKUP(O21,$Q$4:$R$17,2,FALSE),FALSE)</f>
        <v>#REF!</v>
      </c>
      <c r="U21" s="585" t="e">
        <f>VLOOKUP(L21,$A$4:$H$22,VLOOKUP(O22,$Q$4:$R$17,2,FALSE),FALSE)</f>
        <v>#REF!</v>
      </c>
    </row>
    <row r="22" spans="1:25" ht="12.75" customHeight="1" x14ac:dyDescent="0.25">
      <c r="A22" s="580">
        <v>25000000</v>
      </c>
      <c r="B22" s="573">
        <v>4.0999999999999996</v>
      </c>
      <c r="C22" s="573">
        <v>3.9</v>
      </c>
      <c r="D22" s="573">
        <v>3.7</v>
      </c>
      <c r="E22" s="573">
        <v>3.5</v>
      </c>
      <c r="F22" s="573">
        <v>3.1</v>
      </c>
      <c r="G22" s="573">
        <v>2.7</v>
      </c>
      <c r="H22" s="573">
        <v>2.5</v>
      </c>
      <c r="J22" s="579">
        <v>25000000</v>
      </c>
      <c r="K22" s="582">
        <v>25000000</v>
      </c>
      <c r="L22" s="584" t="e">
        <f>VLOOKUP(L21,$J$4:$K$22,2,TRUE)</f>
        <v>#REF!</v>
      </c>
      <c r="O22" s="584" t="e">
        <f>VLOOKUP(O21,$M$4:$N$21,2,TRUE)</f>
        <v>#REF!</v>
      </c>
      <c r="S22" s="585" t="e">
        <f>VLOOKUP(L22,$A$4:$H$22,VLOOKUP(O21,$Q$4:$R$17,2,FALSE),FALSE)</f>
        <v>#REF!</v>
      </c>
      <c r="T22" s="585" t="e">
        <f>(((L20-L21)/(L22-L21))*(S22-S21))+S21</f>
        <v>#REF!</v>
      </c>
      <c r="U22" s="585" t="e">
        <f>VLOOKUP(L22,$A$4:$H$22,VLOOKUP(O22,$Q$4:$R$17,2,FALSE),FALSE)</f>
        <v>#REF!</v>
      </c>
      <c r="V22" s="585" t="e">
        <f>(((L20-L21)/(L22-L21))*(U22-U21))+U21</f>
        <v>#REF!</v>
      </c>
      <c r="X22" s="585" t="e">
        <f>T22-(((O20-O21)/(O22-O21))*(T22-V22))</f>
        <v>#REF!</v>
      </c>
      <c r="Y22" s="578">
        <v>5</v>
      </c>
    </row>
    <row r="23" spans="1:25" ht="12.75" customHeight="1" x14ac:dyDescent="0.25">
      <c r="A23" s="558"/>
      <c r="B23" s="558"/>
      <c r="C23" s="558"/>
      <c r="D23" s="558"/>
      <c r="E23" s="558"/>
      <c r="F23" s="558"/>
      <c r="G23" s="558"/>
      <c r="H23" s="558"/>
      <c r="J23" s="558"/>
      <c r="K23" s="558"/>
    </row>
    <row r="24" spans="1:25" ht="12.75" customHeight="1" x14ac:dyDescent="0.25">
      <c r="A24" s="558"/>
      <c r="B24" s="587">
        <f t="shared" ref="B24:H24" si="1">(B6-B4)/(($A$6/1000000)-($A$4/1000000))</f>
        <v>17.04</v>
      </c>
      <c r="C24" s="587">
        <f t="shared" si="1"/>
        <v>16.2</v>
      </c>
      <c r="D24" s="587">
        <f t="shared" si="1"/>
        <v>15.36</v>
      </c>
      <c r="E24" s="587">
        <f t="shared" si="1"/>
        <v>7.68</v>
      </c>
      <c r="F24" s="587">
        <f t="shared" si="1"/>
        <v>6.64</v>
      </c>
      <c r="G24" s="587">
        <f t="shared" si="1"/>
        <v>3.92</v>
      </c>
      <c r="H24" s="587">
        <f t="shared" si="1"/>
        <v>3.28</v>
      </c>
      <c r="J24" s="558"/>
      <c r="K24" s="558"/>
      <c r="L24" s="584" t="e">
        <f>Rater!#REF!</f>
        <v>#REF!</v>
      </c>
      <c r="O24" s="584" t="e">
        <f>Rater!#REF!</f>
        <v>#REF!</v>
      </c>
    </row>
    <row r="25" spans="1:25" ht="12.75" customHeight="1" x14ac:dyDescent="0.25">
      <c r="A25" s="558"/>
      <c r="B25" s="587">
        <f>(B7-B6)/(($A$7/1000000)-($A$6/1000000))</f>
        <v>0.82666666666666655</v>
      </c>
      <c r="C25" s="587">
        <f t="shared" ref="C25:H25" si="2">(C7-C6)/(($A$7/1000000)-($A$6/1000000))</f>
        <v>0.78666666666666651</v>
      </c>
      <c r="D25" s="587">
        <f t="shared" si="2"/>
        <v>0.73333333333333317</v>
      </c>
      <c r="E25" s="587">
        <f t="shared" si="2"/>
        <v>0.98666666666666669</v>
      </c>
      <c r="F25" s="587">
        <f t="shared" si="2"/>
        <v>0.90666666666666662</v>
      </c>
      <c r="G25" s="587">
        <f t="shared" si="2"/>
        <v>0.90666666666666662</v>
      </c>
      <c r="H25" s="587">
        <f t="shared" si="2"/>
        <v>0.85333333333333306</v>
      </c>
      <c r="J25" s="558"/>
      <c r="K25" s="558"/>
      <c r="L25" s="584" t="e">
        <f>VLOOKUP(L24,$J$4:$K$22,1,TRUE)</f>
        <v>#REF!</v>
      </c>
      <c r="O25" s="584" t="e">
        <f>VLOOKUP(O24,$M$4:$N$21,1,TRUE)</f>
        <v>#REF!</v>
      </c>
      <c r="S25" s="585" t="e">
        <f>VLOOKUP(L25,$A$4:$H$22,VLOOKUP(O25,$Q$4:$R$17,2,FALSE),FALSE)</f>
        <v>#REF!</v>
      </c>
      <c r="U25" s="585" t="e">
        <f>VLOOKUP(L25,$A$4:$H$22,VLOOKUP(O26,$Q$4:$R$17,2,FALSE),FALSE)</f>
        <v>#REF!</v>
      </c>
    </row>
    <row r="26" spans="1:25" ht="12.75" customHeight="1" x14ac:dyDescent="0.25">
      <c r="A26" s="558"/>
      <c r="B26" s="587">
        <f>(B8-B7)/(($A$8/1000000)-($A$7/1000000))</f>
        <v>0.7</v>
      </c>
      <c r="C26" s="587">
        <f t="shared" ref="C26:H26" si="3">(C8-C7)/(($A$8/1000000)-($A$7/1000000))</f>
        <v>0.66666666666666619</v>
      </c>
      <c r="D26" s="587">
        <f t="shared" si="3"/>
        <v>0.63333333333333353</v>
      </c>
      <c r="E26" s="587">
        <f t="shared" si="3"/>
        <v>0.95999999999999974</v>
      </c>
      <c r="F26" s="587">
        <f t="shared" si="3"/>
        <v>0.84666666666666657</v>
      </c>
      <c r="G26" s="587">
        <f t="shared" si="3"/>
        <v>0.82666666666666655</v>
      </c>
      <c r="H26" s="587">
        <f t="shared" si="3"/>
        <v>0.78000000000000014</v>
      </c>
      <c r="J26" s="558"/>
      <c r="L26" s="584" t="e">
        <f>VLOOKUP(L25,$J$4:$K$22,2,TRUE)</f>
        <v>#REF!</v>
      </c>
      <c r="O26" s="584" t="e">
        <f>VLOOKUP(O25,$M$4:$N$21,2,TRUE)</f>
        <v>#REF!</v>
      </c>
      <c r="S26" s="585" t="e">
        <f>VLOOKUP(L26,$A$4:$H$22,VLOOKUP(O25,$Q$4:$R$17,2,FALSE),FALSE)</f>
        <v>#REF!</v>
      </c>
      <c r="T26" s="585" t="e">
        <f>(((L24-L25)/(L26-L25))*(S26-S25))+S25</f>
        <v>#REF!</v>
      </c>
      <c r="U26" s="585" t="e">
        <f>VLOOKUP(L26,$A$4:$H$22,VLOOKUP(O26,$Q$4:$R$17,2,FALSE),FALSE)</f>
        <v>#REF!</v>
      </c>
      <c r="V26" s="585" t="e">
        <f>(((L24-L25)/(L26-L25))*(U26-U25))+U25</f>
        <v>#REF!</v>
      </c>
      <c r="X26" s="585" t="e">
        <f>T26-(((O24-O25)/(O26-O25))*(T26-V26))</f>
        <v>#REF!</v>
      </c>
      <c r="Y26" s="578">
        <v>6</v>
      </c>
    </row>
    <row r="27" spans="1:25" ht="12.75" customHeight="1" x14ac:dyDescent="0.25">
      <c r="A27" s="558"/>
      <c r="B27" s="587">
        <f>(B9-B8)/(($A$9/1000000)-($A$8/1000000))</f>
        <v>0.62800000000000011</v>
      </c>
      <c r="C27" s="587">
        <f t="shared" ref="C27:H27" si="4">(C9-C8)/(($A$9/1000000)-($A$8/1000000))</f>
        <v>0.59600000000000009</v>
      </c>
      <c r="D27" s="587">
        <f t="shared" si="4"/>
        <v>0.56400000000000006</v>
      </c>
      <c r="E27" s="587">
        <f t="shared" si="4"/>
        <v>0.91200000000000014</v>
      </c>
      <c r="F27" s="587">
        <f t="shared" si="4"/>
        <v>0.80799999999999983</v>
      </c>
      <c r="G27" s="587">
        <f t="shared" si="4"/>
        <v>0.79200000000000004</v>
      </c>
      <c r="H27" s="587">
        <f t="shared" si="4"/>
        <v>0.748</v>
      </c>
    </row>
    <row r="28" spans="1:25" ht="12.75" customHeight="1" x14ac:dyDescent="0.25">
      <c r="A28" s="558"/>
      <c r="B28" s="587">
        <f>(B10-B9)/(($A$10/1000000)-($A$9/1000000))</f>
        <v>0.5</v>
      </c>
      <c r="C28" s="587">
        <f t="shared" ref="C28:H28" si="5">(C10-C9)/(($A$10/1000000)-($A$9/1000000))</f>
        <v>0.47399999999999998</v>
      </c>
      <c r="D28" s="587">
        <f t="shared" si="5"/>
        <v>0.44999999999999996</v>
      </c>
      <c r="E28" s="587">
        <f t="shared" si="5"/>
        <v>0.42399999999999993</v>
      </c>
      <c r="F28" s="587">
        <f t="shared" si="5"/>
        <v>0.37400000000000011</v>
      </c>
      <c r="G28" s="587">
        <f t="shared" si="5"/>
        <v>0.32400000000000007</v>
      </c>
      <c r="H28" s="587">
        <f t="shared" si="5"/>
        <v>0.29999999999999993</v>
      </c>
      <c r="L28" s="584">
        <f>Rater!C664</f>
        <v>1000000</v>
      </c>
      <c r="O28" s="584">
        <f>Rater!E664</f>
        <v>0</v>
      </c>
    </row>
    <row r="29" spans="1:25" ht="12.75" customHeight="1" x14ac:dyDescent="0.25">
      <c r="A29" s="558"/>
      <c r="B29" s="587">
        <f>(B11-B10)/(($A$11/1000000)-($A$10/1000000))</f>
        <v>0.35000000000000009</v>
      </c>
      <c r="C29" s="587">
        <f t="shared" ref="C29:H29" si="6">(C11-C10)/(($A$11/1000000)-($A$10/1000000))</f>
        <v>0.33299999999999996</v>
      </c>
      <c r="D29" s="587">
        <f t="shared" si="6"/>
        <v>0.31500000000000006</v>
      </c>
      <c r="E29" s="587">
        <f t="shared" si="6"/>
        <v>0.29799999999999993</v>
      </c>
      <c r="F29" s="587">
        <f t="shared" si="6"/>
        <v>0.2629999999999999</v>
      </c>
      <c r="G29" s="587">
        <f t="shared" si="6"/>
        <v>0.22799999999999998</v>
      </c>
      <c r="H29" s="587">
        <f t="shared" si="6"/>
        <v>0.21000000000000008</v>
      </c>
      <c r="L29" s="584">
        <f>IF(L28&gt;J22,L28,VLOOKUP(L28,$J$4:$K$22,1,TRUE))</f>
        <v>1000000</v>
      </c>
      <c r="O29" s="584">
        <f>IF(O28&gt;M10,O28,VLOOKUP(O28,$M$4:$N$21,1,TRUE))</f>
        <v>0</v>
      </c>
      <c r="S29" s="585">
        <f>VLOOKUP(L29,$A$4:$H$22,VLOOKUP(O29,$Q$4:$R$17,2,FALSE),FALSE)</f>
        <v>1</v>
      </c>
      <c r="U29" s="585">
        <f>VLOOKUP(L29,$A$4:$H$22,VLOOKUP(O30,$Q$4:$R$17,2,FALSE),FALSE)</f>
        <v>0.95</v>
      </c>
    </row>
    <row r="30" spans="1:25" ht="12.75" customHeight="1" x14ac:dyDescent="0.25">
      <c r="A30" s="558"/>
      <c r="B30" s="587">
        <f>(B12-B11)/(($A$12/1000000)-($A$11/1000000))</f>
        <v>0.25</v>
      </c>
      <c r="C30" s="587">
        <f t="shared" ref="C30:H30" si="7">(C12-C11)/(($A$12/1000000)-($A$11/1000000))</f>
        <v>0.2370000000000001</v>
      </c>
      <c r="D30" s="587">
        <f t="shared" si="7"/>
        <v>0.22499999999999987</v>
      </c>
      <c r="E30" s="587">
        <f t="shared" si="7"/>
        <v>0.21200000000000019</v>
      </c>
      <c r="F30" s="587">
        <f t="shared" si="7"/>
        <v>0.18700000000000006</v>
      </c>
      <c r="G30" s="587">
        <f t="shared" si="7"/>
        <v>0.16200000000000003</v>
      </c>
      <c r="H30" s="587">
        <f t="shared" si="7"/>
        <v>0.14999999999999991</v>
      </c>
      <c r="L30" s="584">
        <f>IF(L28&gt;J22,L28,VLOOKUP(L29,$J$4:$K$22,2,TRUE))</f>
        <v>2000000</v>
      </c>
      <c r="O30" s="584">
        <f>IF(O28&gt;M10,O28,VLOOKUP(O29,$M$4:$N$21,2,TRUE))</f>
        <v>10000</v>
      </c>
      <c r="S30" s="585">
        <f>VLOOKUP(L30,$A$4:$H$22,VLOOKUP(O29,$Q$4:$R$17,2,FALSE),FALSE)</f>
        <v>1.35</v>
      </c>
      <c r="T30" s="585">
        <f>IF(S30=S29,S30,(((L28-L29)/(L30-L29))*(S30-S29))+S29)</f>
        <v>1</v>
      </c>
      <c r="U30" s="585">
        <f>VLOOKUP(L30,$A$4:$H$22,VLOOKUP(O30,$Q$4:$R$17,2,FALSE),FALSE)</f>
        <v>1.2829999999999999</v>
      </c>
      <c r="V30" s="585">
        <f>IF(U30=U29,U30,(((L28-L29)/(L30-L29))*(U30-U29))+U29)</f>
        <v>0.95</v>
      </c>
      <c r="X30" s="585">
        <f>IF(V30=T30,V30,T30-(((O28-O29)/(O30-O29))*(T30-V30)))</f>
        <v>1</v>
      </c>
      <c r="Y30" s="578">
        <v>7</v>
      </c>
    </row>
    <row r="31" spans="1:25" ht="12.75" customHeight="1" x14ac:dyDescent="0.25">
      <c r="A31" s="558"/>
      <c r="B31" s="587">
        <f>(B13-B12)/(($A$13/1000000)-($A$12/1000000))</f>
        <v>0.19999999999999996</v>
      </c>
      <c r="C31" s="587">
        <f t="shared" ref="C31:H31" si="8">(C13-C12)/(($A$13/1000000)-($A$12/1000000))</f>
        <v>0.18999999999999995</v>
      </c>
      <c r="D31" s="587">
        <f t="shared" si="8"/>
        <v>0.18000000000000016</v>
      </c>
      <c r="E31" s="587">
        <f t="shared" si="8"/>
        <v>0.16999999999999993</v>
      </c>
      <c r="F31" s="587">
        <f t="shared" si="8"/>
        <v>0.15000000000000013</v>
      </c>
      <c r="G31" s="587">
        <f t="shared" si="8"/>
        <v>0.12999999999999989</v>
      </c>
      <c r="H31" s="587">
        <f t="shared" si="8"/>
        <v>0.12000000000000011</v>
      </c>
    </row>
    <row r="32" spans="1:25" ht="12.75" customHeight="1" x14ac:dyDescent="0.25">
      <c r="B32" s="587">
        <f>(B14-B13)/(($A$14/1000000)-($A$13/1000000))</f>
        <v>0.19999999999999996</v>
      </c>
      <c r="C32" s="587">
        <f t="shared" ref="C32:H32" si="9">(C14-C13)/(($A$14/1000000)-($A$13/1000000))</f>
        <v>0.18999999999999995</v>
      </c>
      <c r="D32" s="587">
        <f t="shared" si="9"/>
        <v>0.17999999999999994</v>
      </c>
      <c r="E32" s="587">
        <f t="shared" si="9"/>
        <v>0.16999999999999993</v>
      </c>
      <c r="F32" s="587">
        <f t="shared" si="9"/>
        <v>0.14999999999999991</v>
      </c>
      <c r="G32" s="587">
        <f t="shared" si="9"/>
        <v>0.13000000000000012</v>
      </c>
      <c r="H32" s="587">
        <f t="shared" si="9"/>
        <v>0.11999999999999988</v>
      </c>
      <c r="L32" s="584">
        <f>Rater!C668</f>
        <v>0</v>
      </c>
      <c r="O32" s="584">
        <f>Rater!E668</f>
        <v>0</v>
      </c>
    </row>
    <row r="33" spans="2:25" ht="12.75" customHeight="1" x14ac:dyDescent="0.25">
      <c r="B33" s="587">
        <f>(B15-B14)/(($A$15/1000000)-($A$14/1000000))</f>
        <v>0.20000000000000018</v>
      </c>
      <c r="C33" s="587">
        <f t="shared" ref="C33:H33" si="10">(C15-C14)/(($A$15/1000000)-($A$14/1000000))</f>
        <v>0.18999999999999995</v>
      </c>
      <c r="D33" s="587">
        <f t="shared" si="10"/>
        <v>0.17999999999999994</v>
      </c>
      <c r="E33" s="587">
        <f t="shared" si="10"/>
        <v>0.17000000000000015</v>
      </c>
      <c r="F33" s="587">
        <f t="shared" si="10"/>
        <v>0.14999999999999991</v>
      </c>
      <c r="G33" s="587">
        <f t="shared" si="10"/>
        <v>0.12999999999999989</v>
      </c>
      <c r="H33" s="587">
        <f t="shared" si="10"/>
        <v>0.12000000000000011</v>
      </c>
      <c r="L33" s="584">
        <f>IF(L32&gt;J22,L32,VLOOKUP(L32,$J$4:$K$22,1,TRUE))</f>
        <v>0</v>
      </c>
      <c r="O33" s="584">
        <f>IF(O32&gt;M10,O32,VLOOKUP(O32,$M$4:$N$21,1,TRUE))</f>
        <v>0</v>
      </c>
      <c r="S33" s="585">
        <f>VLOOKUP(L33,$A$4:$H$22,VLOOKUP(O33,$Q$4:$R$17,2,FALSE),FALSE)</f>
        <v>0</v>
      </c>
      <c r="U33" s="585">
        <f>VLOOKUP(L33,$A$4:$H$22,VLOOKUP(O34,$Q$4:$R$17,2,FALSE),FALSE)</f>
        <v>0</v>
      </c>
    </row>
    <row r="34" spans="2:25" ht="12.75" customHeight="1" x14ac:dyDescent="0.25">
      <c r="B34" s="587">
        <f>(B16-B15)/(($A$16/1000000)-($A$15/1000000))</f>
        <v>0.19999999999999973</v>
      </c>
      <c r="C34" s="587">
        <f t="shared" ref="C34:H34" si="11">(C16-C15)/(($A$16/1000000)-($A$15/1000000))</f>
        <v>0.18999999999999995</v>
      </c>
      <c r="D34" s="587">
        <f t="shared" si="11"/>
        <v>0.18000000000000016</v>
      </c>
      <c r="E34" s="587">
        <f t="shared" si="11"/>
        <v>0.16999999999999993</v>
      </c>
      <c r="F34" s="587">
        <f t="shared" si="11"/>
        <v>0.15000000000000013</v>
      </c>
      <c r="G34" s="587">
        <f t="shared" si="11"/>
        <v>0.13000000000000012</v>
      </c>
      <c r="H34" s="587">
        <f t="shared" si="11"/>
        <v>0.11999999999999988</v>
      </c>
      <c r="L34" s="584">
        <f>IF(L32&gt;J22,L32,VLOOKUP(L33,$J$4:$K$22,2,TRUE))</f>
        <v>10000</v>
      </c>
      <c r="O34" s="584">
        <f>IF(O32&gt;M10,O32,VLOOKUP(O33,$M$4:$N$21,2,TRUE))</f>
        <v>10000</v>
      </c>
      <c r="S34" s="585">
        <f>VLOOKUP(L34,$A$4:$H$22,VLOOKUP(O33,$Q$4:$R$17,2,FALSE),FALSE)</f>
        <v>0.41099999999999998</v>
      </c>
      <c r="T34" s="585">
        <f>IF(S34=S33,S34,(((L32-L33)/(L34-L33))*(S34-S33))+S33)</f>
        <v>0</v>
      </c>
      <c r="U34" s="585">
        <f>VLOOKUP(L34,$A$4:$H$22,VLOOKUP(O34,$Q$4:$R$17,2,FALSE),FALSE)</f>
        <v>0.39</v>
      </c>
      <c r="V34" s="585">
        <f>IF(U34=U33,U34,(((L32-L33)/(L34-L33))*(U34-U33))+U33)</f>
        <v>0</v>
      </c>
      <c r="X34" s="585">
        <f>IF(V34=T34,V34,T34-(((O32-O33)/(O34-O33))*(T34-V34)))</f>
        <v>0</v>
      </c>
      <c r="Y34" s="578">
        <v>9</v>
      </c>
    </row>
    <row r="35" spans="2:25" ht="12.75" customHeight="1" x14ac:dyDescent="0.25">
      <c r="B35" s="587">
        <f>(B17-B16)/(($A$17/1000000)-($A$16/1000000))</f>
        <v>0.20000000000000018</v>
      </c>
      <c r="C35" s="587">
        <f t="shared" ref="C35:H35" si="12">(C17-C16)/(($A$17/1000000)-($A$16/1000000))</f>
        <v>0.19000000000000039</v>
      </c>
      <c r="D35" s="587">
        <f t="shared" si="12"/>
        <v>0.17999999999999972</v>
      </c>
      <c r="E35" s="587">
        <f t="shared" si="12"/>
        <v>0.16999999999999993</v>
      </c>
      <c r="F35" s="587">
        <f t="shared" si="12"/>
        <v>0.14999999999999991</v>
      </c>
      <c r="G35" s="587">
        <f t="shared" si="12"/>
        <v>0.12999999999999989</v>
      </c>
      <c r="H35" s="587">
        <f t="shared" si="12"/>
        <v>0.12000000000000011</v>
      </c>
    </row>
    <row r="36" spans="2:25" ht="12.75" customHeight="1" x14ac:dyDescent="0.25">
      <c r="B36" s="587">
        <f>(B18-B17)/(($A$18/1000000)-($A$17/1000000))</f>
        <v>0.19999999999999973</v>
      </c>
      <c r="C36" s="587">
        <f t="shared" ref="C36:H36" si="13">(C18-C17)/(($A$18/1000000)-($A$17/1000000))</f>
        <v>0.18999999999999995</v>
      </c>
      <c r="D36" s="587">
        <f t="shared" si="13"/>
        <v>0.18000000000000016</v>
      </c>
      <c r="E36" s="587">
        <f t="shared" si="13"/>
        <v>0.16999999999999993</v>
      </c>
      <c r="F36" s="587">
        <f t="shared" si="13"/>
        <v>0.15000000000000013</v>
      </c>
      <c r="G36" s="587">
        <f t="shared" si="13"/>
        <v>0.13000000000000012</v>
      </c>
      <c r="H36" s="587">
        <f t="shared" si="13"/>
        <v>0.11999999999999988</v>
      </c>
      <c r="L36" s="584">
        <f>Rater!C672</f>
        <v>0</v>
      </c>
      <c r="O36" s="584">
        <f>Rater!E672</f>
        <v>0</v>
      </c>
    </row>
    <row r="37" spans="2:25" ht="12.75" customHeight="1" x14ac:dyDescent="0.25">
      <c r="B37" s="587">
        <f>(B19-B18)/(($A$19/1000000)-($A$18/1000000))</f>
        <v>0.20000000000000018</v>
      </c>
      <c r="C37" s="587">
        <f t="shared" ref="C37:H37" si="14">(C19-C18)/(($A$19/1000000)-($A$18/1000000))</f>
        <v>0.18999999999999995</v>
      </c>
      <c r="D37" s="587">
        <f t="shared" si="14"/>
        <v>0.18000000000000016</v>
      </c>
      <c r="E37" s="587">
        <f t="shared" si="14"/>
        <v>0.16999999999999993</v>
      </c>
      <c r="F37" s="587">
        <f t="shared" si="14"/>
        <v>0.14999999999999991</v>
      </c>
      <c r="G37" s="587">
        <f t="shared" si="14"/>
        <v>0.12999999999999989</v>
      </c>
      <c r="H37" s="587">
        <f t="shared" si="14"/>
        <v>0.12000000000000011</v>
      </c>
      <c r="L37" s="584">
        <f>IF(L36&gt;J22,L36,VLOOKUP(L36,$J$4:$K$22,1,TRUE))</f>
        <v>0</v>
      </c>
      <c r="O37" s="584">
        <f>IF(O36&gt;M10,O36,VLOOKUP(O36,$M$4:$N$21,1,TRUE))</f>
        <v>0</v>
      </c>
      <c r="S37" s="585">
        <f>VLOOKUP(L37,$A$4:$H$22,VLOOKUP(O37,$Q$4:$R$17,2,FALSE),FALSE)</f>
        <v>0</v>
      </c>
      <c r="U37" s="585">
        <f>VLOOKUP(L37,$A$4:$H$22,VLOOKUP(O38,$Q$4:$R$17,2,FALSE),FALSE)</f>
        <v>0</v>
      </c>
    </row>
    <row r="38" spans="2:25" ht="12.75" customHeight="1" x14ac:dyDescent="0.25">
      <c r="B38" s="587">
        <f>(B20-B19)/(($A$20/1000000)-($A$19/1000000))</f>
        <v>0.1</v>
      </c>
      <c r="C38" s="587">
        <f t="shared" ref="C38:H38" si="15">(C20-C19)/(($A$20/1000000)-($A$19/1000000))</f>
        <v>9.5000000000000015E-2</v>
      </c>
      <c r="D38" s="587">
        <f t="shared" si="15"/>
        <v>8.9999999999999941E-2</v>
      </c>
      <c r="E38" s="587">
        <f t="shared" si="15"/>
        <v>8.5000000000000048E-2</v>
      </c>
      <c r="F38" s="587">
        <f t="shared" si="15"/>
        <v>7.4999999999999997E-2</v>
      </c>
      <c r="G38" s="587">
        <f t="shared" si="15"/>
        <v>6.4999999999999988E-2</v>
      </c>
      <c r="H38" s="587">
        <f t="shared" si="15"/>
        <v>6.0000000000000012E-2</v>
      </c>
      <c r="L38" s="584">
        <f>IF(L36&gt;J22,L36,VLOOKUP(L37,$J$4:$K$22,2,TRUE))</f>
        <v>10000</v>
      </c>
      <c r="O38" s="584">
        <f>IF(O36&gt;M10,O36,VLOOKUP(O37,$M$4:$N$21,2,TRUE))</f>
        <v>10000</v>
      </c>
      <c r="S38" s="585">
        <f>VLOOKUP(L38,$A$4:$H$22,VLOOKUP(O37,$Q$4:$R$17,2,FALSE),FALSE)</f>
        <v>0.41099999999999998</v>
      </c>
      <c r="T38" s="585">
        <f>IF(S38=S37,S38,(((L36-L37)/(L38-L37))*(S38-S37))+S37)</f>
        <v>0</v>
      </c>
      <c r="U38" s="585">
        <f>VLOOKUP(L38,$A$4:$H$22,VLOOKUP(O38,$Q$4:$R$17,2,FALSE),FALSE)</f>
        <v>0.39</v>
      </c>
      <c r="V38" s="585">
        <f>IF(U38=U37,U38,(((L36-L37)/(L38-L37))*(U38-U37))+U37)</f>
        <v>0</v>
      </c>
      <c r="X38" s="585">
        <f>IF(V38=T38,V38,T38-(((O36-O37)/(O38-O37))*(T38-V38)))</f>
        <v>0</v>
      </c>
      <c r="Y38" s="578">
        <v>10</v>
      </c>
    </row>
    <row r="39" spans="2:25" ht="12.75" customHeight="1" x14ac:dyDescent="0.25">
      <c r="B39" s="587">
        <f>(B21-B20)/(($A$21/1000000)-($A$20/1000000))</f>
        <v>0.1</v>
      </c>
      <c r="C39" s="587">
        <f t="shared" ref="C39:H39" si="16">(C21-C20)/(($A$21/1000000)-($A$20/1000000))</f>
        <v>9.4999999999999932E-2</v>
      </c>
      <c r="D39" s="587">
        <f t="shared" si="16"/>
        <v>9.0000000000000038E-2</v>
      </c>
      <c r="E39" s="587">
        <f t="shared" si="16"/>
        <v>8.4999999999999964E-2</v>
      </c>
      <c r="F39" s="587">
        <f t="shared" si="16"/>
        <v>7.4999999999999997E-2</v>
      </c>
      <c r="G39" s="587">
        <f t="shared" si="16"/>
        <v>6.500000000000003E-2</v>
      </c>
      <c r="H39" s="587">
        <f t="shared" si="16"/>
        <v>5.9999999999999963E-2</v>
      </c>
    </row>
    <row r="40" spans="2:25" ht="12.75" customHeight="1" x14ac:dyDescent="0.25">
      <c r="B40" s="587">
        <f>(B22-B21)/(($A$22/1000000)-($A$21/1000000))</f>
        <v>1.9999999999999928E-2</v>
      </c>
      <c r="C40" s="587">
        <f t="shared" ref="C40:H40" si="17">(C22-C21)/(($A$22/1000000)-($A$21/1000000))</f>
        <v>2.0000000000000018E-2</v>
      </c>
      <c r="D40" s="587">
        <f t="shared" si="17"/>
        <v>2.0000000000000018E-2</v>
      </c>
      <c r="E40" s="587">
        <f t="shared" si="17"/>
        <v>2.0000000000000018E-2</v>
      </c>
      <c r="F40" s="587">
        <f t="shared" si="17"/>
        <v>2.0000000000000018E-2</v>
      </c>
      <c r="G40" s="587">
        <f t="shared" si="17"/>
        <v>2.0000000000000018E-2</v>
      </c>
      <c r="H40" s="587">
        <f t="shared" si="17"/>
        <v>2.0000000000000018E-2</v>
      </c>
      <c r="L40" s="584">
        <f>Rater!C677</f>
        <v>0</v>
      </c>
      <c r="O40" s="584">
        <f>Rater!E677</f>
        <v>0</v>
      </c>
    </row>
    <row r="41" spans="2:25" ht="12.75" customHeight="1" x14ac:dyDescent="0.25">
      <c r="L41" s="584">
        <f>IF(L40&gt;J22,L40,VLOOKUP(L40,$J$4:$K$22,1,TRUE))</f>
        <v>0</v>
      </c>
      <c r="O41" s="584">
        <f>IF(O40&gt;M10,O40,VLOOKUP(O40,$M$4:$N$21,1,TRUE))</f>
        <v>0</v>
      </c>
      <c r="S41" s="585">
        <f>VLOOKUP(L41,$A$4:$H$22,VLOOKUP(O41,$Q$4:$R$17,2,FALSE),FALSE)</f>
        <v>0</v>
      </c>
      <c r="U41" s="585">
        <f>VLOOKUP(L41,$A$4:$H$22,VLOOKUP(O42,$Q$4:$R$17,2,FALSE),FALSE)</f>
        <v>0</v>
      </c>
    </row>
    <row r="42" spans="2:25" ht="12.75" customHeight="1" x14ac:dyDescent="0.25">
      <c r="B42" s="573">
        <f>B25/B24</f>
        <v>4.8513302034428787E-2</v>
      </c>
      <c r="C42" s="573">
        <f t="shared" ref="C42:H42" si="18">C25/C24</f>
        <v>4.8559670781892994E-2</v>
      </c>
      <c r="D42" s="573">
        <f t="shared" si="18"/>
        <v>4.7743055555555546E-2</v>
      </c>
      <c r="E42" s="573">
        <f t="shared" si="18"/>
        <v>0.12847222222222224</v>
      </c>
      <c r="F42" s="573">
        <f t="shared" si="18"/>
        <v>0.13654618473895583</v>
      </c>
      <c r="G42" s="573">
        <f t="shared" si="18"/>
        <v>0.2312925170068027</v>
      </c>
      <c r="H42" s="573">
        <f t="shared" si="18"/>
        <v>0.26016260162601618</v>
      </c>
      <c r="L42" s="584">
        <f>IF(L40&gt;J22,L40,VLOOKUP(L41,$J$4:$K$22,2,TRUE))</f>
        <v>10000</v>
      </c>
      <c r="O42" s="584">
        <f>IF(O40&gt;M10,O40,VLOOKUP(O41,$M$4:$N$21,2,TRUE))</f>
        <v>10000</v>
      </c>
      <c r="S42" s="585">
        <f>VLOOKUP(L42,$A$4:$H$22,VLOOKUP(O41,$Q$4:$R$17,2,FALSE),FALSE)</f>
        <v>0.41099999999999998</v>
      </c>
      <c r="T42" s="585">
        <f>IF(S42=S41,S42,(((L40-L41)/(L42-L41))*(S42-S41))+S41)</f>
        <v>0</v>
      </c>
      <c r="U42" s="585">
        <f>VLOOKUP(L42,$A$4:$H$22,VLOOKUP(O42,$Q$4:$R$17,2,FALSE),FALSE)</f>
        <v>0.39</v>
      </c>
      <c r="V42" s="585">
        <f>IF(U42=U41,U42,(((L40-L41)/(L42-L41))*(U42-U41))+U41)</f>
        <v>0</v>
      </c>
      <c r="X42" s="585">
        <f>IF(V42=T42,V42,T42-(((O40-O41)/(O42-O41))*(T42-V42)))</f>
        <v>0</v>
      </c>
      <c r="Y42" s="578">
        <v>11</v>
      </c>
    </row>
    <row r="43" spans="2:25" ht="12.75" customHeight="1" x14ac:dyDescent="0.2">
      <c r="B43" s="573">
        <f t="shared" ref="B43:H57" si="19">B26/B25</f>
        <v>0.84677419354838712</v>
      </c>
      <c r="C43" s="573">
        <f t="shared" si="19"/>
        <v>0.84745762711864359</v>
      </c>
      <c r="D43" s="573">
        <f t="shared" si="19"/>
        <v>0.86363636363636409</v>
      </c>
      <c r="E43" s="573">
        <f t="shared" si="19"/>
        <v>0.97297297297297269</v>
      </c>
      <c r="F43" s="573">
        <f t="shared" si="19"/>
        <v>0.93382352941176461</v>
      </c>
      <c r="G43" s="573">
        <f t="shared" si="19"/>
        <v>0.91176470588235281</v>
      </c>
      <c r="H43" s="573">
        <f t="shared" si="19"/>
        <v>0.91406250000000044</v>
      </c>
    </row>
    <row r="44" spans="2:25" ht="12.75" customHeight="1" x14ac:dyDescent="0.25">
      <c r="B44" s="573">
        <f t="shared" si="19"/>
        <v>0.89714285714285735</v>
      </c>
      <c r="C44" s="573">
        <f t="shared" si="19"/>
        <v>0.89400000000000079</v>
      </c>
      <c r="D44" s="573">
        <f t="shared" si="19"/>
        <v>0.8905263157894735</v>
      </c>
      <c r="E44" s="573">
        <f t="shared" si="19"/>
        <v>0.9500000000000004</v>
      </c>
      <c r="F44" s="573">
        <f t="shared" si="19"/>
        <v>0.95433070866141723</v>
      </c>
      <c r="G44" s="573">
        <f t="shared" si="19"/>
        <v>0.95806451612903243</v>
      </c>
      <c r="H44" s="573">
        <f t="shared" si="19"/>
        <v>0.95897435897435879</v>
      </c>
      <c r="L44" s="584">
        <f>Rater!C682</f>
        <v>0</v>
      </c>
      <c r="O44" s="584">
        <f>Rater!E682</f>
        <v>0</v>
      </c>
    </row>
    <row r="45" spans="2:25" ht="12.75" customHeight="1" x14ac:dyDescent="0.25">
      <c r="B45" s="573">
        <f t="shared" si="19"/>
        <v>0.79617834394904441</v>
      </c>
      <c r="C45" s="573">
        <f t="shared" si="19"/>
        <v>0.79530201342281859</v>
      </c>
      <c r="D45" s="573">
        <f t="shared" si="19"/>
        <v>0.79787234042553179</v>
      </c>
      <c r="E45" s="573">
        <f t="shared" si="19"/>
        <v>0.46491228070175422</v>
      </c>
      <c r="F45" s="573">
        <f t="shared" si="19"/>
        <v>0.46287128712871312</v>
      </c>
      <c r="G45" s="573">
        <f t="shared" si="19"/>
        <v>0.40909090909090917</v>
      </c>
      <c r="H45" s="573">
        <f t="shared" si="19"/>
        <v>0.40106951871657748</v>
      </c>
      <c r="L45" s="584">
        <f>IF(L44&gt;J22,L44,VLOOKUP(L44,$J$4:$K$22,1,TRUE))</f>
        <v>0</v>
      </c>
      <c r="O45" s="584">
        <f>IF(O44&gt;M10,O44,VLOOKUP(O44,$M$4:$N$21,1,TRUE))</f>
        <v>0</v>
      </c>
      <c r="S45" s="585">
        <f>VLOOKUP(L45,$A$4:$H$22,VLOOKUP(O45,$Q$4:$R$17,2,FALSE),FALSE)</f>
        <v>0</v>
      </c>
      <c r="U45" s="585">
        <f>VLOOKUP(L45,$A$4:$H$22,VLOOKUP(O46,$Q$4:$R$17,2,FALSE),FALSE)</f>
        <v>0</v>
      </c>
    </row>
    <row r="46" spans="2:25" ht="12.75" customHeight="1" x14ac:dyDescent="0.25">
      <c r="B46" s="573">
        <f t="shared" si="19"/>
        <v>0.70000000000000018</v>
      </c>
      <c r="C46" s="573">
        <f t="shared" si="19"/>
        <v>0.70253164556962022</v>
      </c>
      <c r="D46" s="573">
        <f t="shared" si="19"/>
        <v>0.70000000000000018</v>
      </c>
      <c r="E46" s="573">
        <f t="shared" si="19"/>
        <v>0.70283018867924518</v>
      </c>
      <c r="F46" s="573">
        <f t="shared" si="19"/>
        <v>0.7032085561497321</v>
      </c>
      <c r="G46" s="573">
        <f t="shared" si="19"/>
        <v>0.7037037037037035</v>
      </c>
      <c r="H46" s="573">
        <f t="shared" si="19"/>
        <v>0.7000000000000004</v>
      </c>
      <c r="L46" s="584">
        <f>IF(L44&gt;J22,L44,VLOOKUP(L45,$J$4:$K$22,2,TRUE))</f>
        <v>10000</v>
      </c>
      <c r="O46" s="584">
        <f>IF(O44&gt;M10,O44,VLOOKUP(O45,$M$4:$N$21,2,TRUE))</f>
        <v>10000</v>
      </c>
      <c r="S46" s="585">
        <f>VLOOKUP(L46,$A$4:$H$22,VLOOKUP(O45,$Q$4:$R$17,2,FALSE),FALSE)</f>
        <v>0.41099999999999998</v>
      </c>
      <c r="T46" s="585">
        <f>IF(S46=S45,S46,(((L44-L45)/(L46-L45))*(S46-S45))+S45)</f>
        <v>0</v>
      </c>
      <c r="U46" s="585">
        <f>VLOOKUP(L46,$A$4:$H$22,VLOOKUP(O46,$Q$4:$R$17,2,FALSE),FALSE)</f>
        <v>0.39</v>
      </c>
      <c r="V46" s="585">
        <f>IF(U46=U45,U46,(((L44-L45)/(L46-L45))*(U46-U45))+U45)</f>
        <v>0</v>
      </c>
      <c r="X46" s="585">
        <f>IF(V46=T46,V46,T46-(((O44-O45)/(O46-O45))*(T46-V46)))</f>
        <v>0</v>
      </c>
      <c r="Y46" s="578">
        <v>12</v>
      </c>
    </row>
    <row r="47" spans="2:25" ht="12.75" customHeight="1" x14ac:dyDescent="0.2">
      <c r="B47" s="573">
        <f t="shared" si="19"/>
        <v>0.71428571428571408</v>
      </c>
      <c r="C47" s="573">
        <f t="shared" si="19"/>
        <v>0.7117117117117121</v>
      </c>
      <c r="D47" s="573">
        <f t="shared" si="19"/>
        <v>0.71428571428571375</v>
      </c>
      <c r="E47" s="573">
        <f t="shared" si="19"/>
        <v>0.71140939597315511</v>
      </c>
      <c r="F47" s="573">
        <f t="shared" si="19"/>
        <v>0.71102661596958228</v>
      </c>
      <c r="G47" s="573">
        <f t="shared" si="19"/>
        <v>0.71052631578947389</v>
      </c>
      <c r="H47" s="573">
        <f t="shared" si="19"/>
        <v>0.71428571428571364</v>
      </c>
    </row>
    <row r="48" spans="2:25" ht="12.75" customHeight="1" x14ac:dyDescent="0.25">
      <c r="B48" s="573">
        <f t="shared" si="19"/>
        <v>0.79999999999999982</v>
      </c>
      <c r="C48" s="573">
        <f t="shared" si="19"/>
        <v>0.80168776371307959</v>
      </c>
      <c r="D48" s="573">
        <f t="shared" si="19"/>
        <v>0.80000000000000115</v>
      </c>
      <c r="E48" s="573">
        <f t="shared" si="19"/>
        <v>0.80188679245282912</v>
      </c>
      <c r="F48" s="573">
        <f t="shared" si="19"/>
        <v>0.80213903743315551</v>
      </c>
      <c r="G48" s="573">
        <f t="shared" si="19"/>
        <v>0.80246913580246837</v>
      </c>
      <c r="H48" s="573">
        <f t="shared" si="19"/>
        <v>0.80000000000000115</v>
      </c>
      <c r="L48" s="584">
        <f>Rater!C687</f>
        <v>0</v>
      </c>
      <c r="O48" s="584">
        <f>Rater!E687</f>
        <v>0</v>
      </c>
    </row>
    <row r="49" spans="2:25" ht="12.75" customHeight="1" x14ac:dyDescent="0.25">
      <c r="B49" s="573">
        <f t="shared" si="19"/>
        <v>1</v>
      </c>
      <c r="C49" s="573">
        <f t="shared" si="19"/>
        <v>1</v>
      </c>
      <c r="D49" s="573">
        <f t="shared" si="19"/>
        <v>0.99999999999999878</v>
      </c>
      <c r="E49" s="573">
        <f t="shared" si="19"/>
        <v>1</v>
      </c>
      <c r="F49" s="573">
        <f t="shared" si="19"/>
        <v>0.99999999999999856</v>
      </c>
      <c r="G49" s="573">
        <f t="shared" si="19"/>
        <v>1.0000000000000018</v>
      </c>
      <c r="H49" s="573">
        <f t="shared" si="19"/>
        <v>0.99999999999999811</v>
      </c>
      <c r="L49" s="584">
        <f>IF(L48&gt;J22,L48,VLOOKUP(L48,$J$4:$K$22,1,TRUE))</f>
        <v>0</v>
      </c>
      <c r="O49" s="584">
        <f>IF(O48&gt;M10,O48,VLOOKUP(O48,$M$4:$N$21,1,TRUE))</f>
        <v>0</v>
      </c>
      <c r="S49" s="585">
        <f>VLOOKUP(L49,$A$4:$H$22,VLOOKUP(O49,$Q$4:$R$17,2,FALSE),FALSE)</f>
        <v>0</v>
      </c>
      <c r="U49" s="585">
        <f>VLOOKUP(L49,$A$4:$H$22,VLOOKUP(O50,$Q$4:$R$17,2,FALSE),FALSE)</f>
        <v>0</v>
      </c>
    </row>
    <row r="50" spans="2:25" ht="12.75" customHeight="1" x14ac:dyDescent="0.25">
      <c r="B50" s="573">
        <f t="shared" si="19"/>
        <v>1.0000000000000011</v>
      </c>
      <c r="C50" s="573">
        <f t="shared" si="19"/>
        <v>1</v>
      </c>
      <c r="D50" s="573">
        <f t="shared" si="19"/>
        <v>1</v>
      </c>
      <c r="E50" s="573">
        <f t="shared" si="19"/>
        <v>1.0000000000000013</v>
      </c>
      <c r="F50" s="573">
        <f t="shared" si="19"/>
        <v>1</v>
      </c>
      <c r="G50" s="573">
        <f t="shared" si="19"/>
        <v>0.99999999999999833</v>
      </c>
      <c r="H50" s="573">
        <f t="shared" si="19"/>
        <v>1.0000000000000018</v>
      </c>
      <c r="L50" s="584">
        <f>IF(L48&gt;J22,L48,VLOOKUP(L49,$J$4:$K$22,2,TRUE))</f>
        <v>10000</v>
      </c>
      <c r="O50" s="584">
        <f>IF(O48&gt;M10,O48,VLOOKUP(O49,$M$4:$N$21,2,TRUE))</f>
        <v>10000</v>
      </c>
      <c r="S50" s="585">
        <f>VLOOKUP(L50,$A$4:$H$22,VLOOKUP(O49,$Q$4:$R$17,2,FALSE),FALSE)</f>
        <v>0.41099999999999998</v>
      </c>
      <c r="T50" s="585">
        <f>IF(S50=S49,S50,(((L48-L49)/(L50-L49))*(S50-S49))+S49)</f>
        <v>0</v>
      </c>
      <c r="U50" s="585">
        <f>VLOOKUP(L50,$A$4:$H$22,VLOOKUP(O50,$Q$4:$R$17,2,FALSE),FALSE)</f>
        <v>0.39</v>
      </c>
      <c r="V50" s="585">
        <f>IF(U50=U49,U50,(((L48-L49)/(L50-L49))*(U50-U49))+U49)</f>
        <v>0</v>
      </c>
      <c r="X50" s="585">
        <f>IF(V50=T50,V50,T50-(((O48-O49)/(O50-O49))*(T50-V50)))</f>
        <v>0</v>
      </c>
      <c r="Y50" s="578">
        <v>13</v>
      </c>
    </row>
    <row r="51" spans="2:25" ht="12.75" customHeight="1" x14ac:dyDescent="0.2">
      <c r="B51" s="573">
        <f t="shared" si="19"/>
        <v>0.99999999999999778</v>
      </c>
      <c r="C51" s="573">
        <f t="shared" si="19"/>
        <v>1</v>
      </c>
      <c r="D51" s="573">
        <f t="shared" si="19"/>
        <v>1.0000000000000013</v>
      </c>
      <c r="E51" s="573">
        <f t="shared" si="19"/>
        <v>0.99999999999999867</v>
      </c>
      <c r="F51" s="573">
        <f t="shared" si="19"/>
        <v>1.0000000000000016</v>
      </c>
      <c r="G51" s="573">
        <f t="shared" si="19"/>
        <v>1.0000000000000018</v>
      </c>
      <c r="H51" s="573">
        <f t="shared" si="19"/>
        <v>0.99999999999999811</v>
      </c>
    </row>
    <row r="52" spans="2:25" ht="12.75" customHeight="1" x14ac:dyDescent="0.2">
      <c r="B52" s="573">
        <f t="shared" si="19"/>
        <v>1.0000000000000022</v>
      </c>
      <c r="C52" s="573">
        <f t="shared" si="19"/>
        <v>1.0000000000000024</v>
      </c>
      <c r="D52" s="573">
        <f t="shared" si="19"/>
        <v>0.99999999999999756</v>
      </c>
      <c r="E52" s="573">
        <f t="shared" si="19"/>
        <v>1</v>
      </c>
      <c r="F52" s="573">
        <f t="shared" si="19"/>
        <v>0.99999999999999856</v>
      </c>
      <c r="G52" s="573">
        <f t="shared" si="19"/>
        <v>0.99999999999999833</v>
      </c>
      <c r="H52" s="573">
        <f t="shared" si="19"/>
        <v>1.0000000000000018</v>
      </c>
    </row>
    <row r="53" spans="2:25" ht="12.75" customHeight="1" x14ac:dyDescent="0.2">
      <c r="B53" s="573">
        <f t="shared" si="19"/>
        <v>0.99999999999999778</v>
      </c>
      <c r="C53" s="573">
        <f t="shared" si="19"/>
        <v>0.99999999999999767</v>
      </c>
      <c r="D53" s="573">
        <f t="shared" si="19"/>
        <v>1.0000000000000024</v>
      </c>
      <c r="E53" s="573">
        <f t="shared" si="19"/>
        <v>1</v>
      </c>
      <c r="F53" s="573">
        <f t="shared" si="19"/>
        <v>1.0000000000000016</v>
      </c>
      <c r="G53" s="573">
        <f t="shared" si="19"/>
        <v>1.0000000000000018</v>
      </c>
      <c r="H53" s="573">
        <f t="shared" si="19"/>
        <v>0.99999999999999811</v>
      </c>
    </row>
    <row r="54" spans="2:25" ht="12.75" customHeight="1" x14ac:dyDescent="0.2">
      <c r="B54" s="573">
        <f t="shared" si="19"/>
        <v>1.0000000000000022</v>
      </c>
      <c r="C54" s="573">
        <f t="shared" si="19"/>
        <v>1</v>
      </c>
      <c r="D54" s="573">
        <f t="shared" si="19"/>
        <v>1</v>
      </c>
      <c r="E54" s="573">
        <f t="shared" si="19"/>
        <v>1</v>
      </c>
      <c r="F54" s="573">
        <f t="shared" si="19"/>
        <v>0.99999999999999856</v>
      </c>
      <c r="G54" s="573">
        <f t="shared" si="19"/>
        <v>0.99999999999999833</v>
      </c>
      <c r="H54" s="573">
        <f t="shared" si="19"/>
        <v>1.0000000000000018</v>
      </c>
    </row>
    <row r="55" spans="2:25" ht="12.75" customHeight="1" x14ac:dyDescent="0.2">
      <c r="B55" s="573">
        <f t="shared" si="19"/>
        <v>0.49999999999999961</v>
      </c>
      <c r="C55" s="573">
        <f t="shared" si="19"/>
        <v>0.50000000000000022</v>
      </c>
      <c r="D55" s="573">
        <f t="shared" si="19"/>
        <v>0.49999999999999922</v>
      </c>
      <c r="E55" s="573">
        <f t="shared" si="19"/>
        <v>0.50000000000000044</v>
      </c>
      <c r="F55" s="573">
        <f t="shared" si="19"/>
        <v>0.50000000000000033</v>
      </c>
      <c r="G55" s="573">
        <f t="shared" si="19"/>
        <v>0.50000000000000033</v>
      </c>
      <c r="H55" s="573">
        <f t="shared" si="19"/>
        <v>0.49999999999999967</v>
      </c>
    </row>
    <row r="56" spans="2:25" ht="12.75" customHeight="1" x14ac:dyDescent="0.2">
      <c r="B56" s="573">
        <f t="shared" si="19"/>
        <v>1</v>
      </c>
      <c r="C56" s="573">
        <f t="shared" si="19"/>
        <v>0.99999999999999911</v>
      </c>
      <c r="D56" s="573">
        <f t="shared" si="19"/>
        <v>1.0000000000000011</v>
      </c>
      <c r="E56" s="573">
        <f t="shared" si="19"/>
        <v>0.999999999999999</v>
      </c>
      <c r="F56" s="573">
        <f t="shared" si="19"/>
        <v>1</v>
      </c>
      <c r="G56" s="573">
        <f t="shared" si="19"/>
        <v>1.0000000000000007</v>
      </c>
      <c r="H56" s="573">
        <f t="shared" si="19"/>
        <v>0.99999999999999922</v>
      </c>
    </row>
    <row r="57" spans="2:25" ht="12.75" customHeight="1" x14ac:dyDescent="0.2">
      <c r="B57" s="573">
        <f t="shared" si="19"/>
        <v>0.19999999999999926</v>
      </c>
      <c r="C57" s="573">
        <f t="shared" si="19"/>
        <v>0.21052631578947403</v>
      </c>
      <c r="D57" s="573">
        <f t="shared" si="19"/>
        <v>0.22222222222222232</v>
      </c>
      <c r="E57" s="573">
        <f t="shared" si="19"/>
        <v>0.23529411764705913</v>
      </c>
      <c r="F57" s="573">
        <f t="shared" si="19"/>
        <v>0.26666666666666694</v>
      </c>
      <c r="G57" s="573">
        <f t="shared" si="19"/>
        <v>0.30769230769230782</v>
      </c>
      <c r="H57" s="573">
        <f t="shared" si="19"/>
        <v>0.33333333333333381</v>
      </c>
    </row>
  </sheetData>
  <sheetProtection password="DA63" sheet="1" objects="1" scenarios="1"/>
  <printOptions horizontalCentered="1" gridLines="1"/>
  <pageMargins left="0.7" right="0.7" top="0.75" bottom="0.75" header="0.3" footer="0.3"/>
  <pageSetup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8"/>
  <dimension ref="A1:AD71"/>
  <sheetViews>
    <sheetView topLeftCell="A31" workbookViewId="0"/>
  </sheetViews>
  <sheetFormatPr defaultColWidth="9.140625" defaultRowHeight="12.75" customHeight="1" x14ac:dyDescent="0.2"/>
  <cols>
    <col min="1" max="1" width="14.28515625" style="580" bestFit="1" customWidth="1"/>
    <col min="2" max="2" width="12" style="578" bestFit="1" customWidth="1"/>
    <col min="3" max="4" width="8.42578125" style="578" bestFit="1" customWidth="1"/>
    <col min="5" max="5" width="13.7109375" style="578" customWidth="1"/>
    <col min="6" max="6" width="2.7109375" style="578" customWidth="1"/>
    <col min="7" max="7" width="19" style="578" bestFit="1" customWidth="1"/>
    <col min="8" max="8" width="2.140625" style="578" bestFit="1" customWidth="1"/>
    <col min="9" max="9" width="2.140625" style="578" customWidth="1"/>
    <col min="10" max="10" width="14.42578125" style="578" customWidth="1"/>
    <col min="11" max="11" width="14.42578125" style="579" customWidth="1"/>
    <col min="12" max="12" width="2.7109375" style="578" customWidth="1"/>
    <col min="13" max="13" width="14.28515625" style="580" bestFit="1" customWidth="1"/>
    <col min="14" max="14" width="12" style="578" bestFit="1" customWidth="1"/>
    <col min="15" max="15" width="10.7109375" style="578" bestFit="1" customWidth="1"/>
    <col min="16" max="16" width="8.42578125" style="578" bestFit="1" customWidth="1"/>
    <col min="17" max="17" width="11.7109375" style="578" bestFit="1" customWidth="1"/>
    <col min="18" max="18" width="2.7109375" style="578" customWidth="1"/>
    <col min="19" max="19" width="19" style="578" bestFit="1" customWidth="1"/>
    <col min="20" max="20" width="2.140625" style="578" bestFit="1" customWidth="1"/>
    <col min="21" max="21" width="2.140625" style="578" customWidth="1"/>
    <col min="22" max="22" width="14.42578125" style="579" customWidth="1"/>
    <col min="23" max="23" width="9.140625" style="578"/>
    <col min="24" max="24" width="2.7109375" style="578" customWidth="1"/>
    <col min="25" max="25" width="14.42578125" style="579" customWidth="1"/>
    <col min="26" max="26" width="9.140625" style="579" customWidth="1"/>
    <col min="27" max="27" width="9.140625" style="578"/>
    <col min="28" max="29" width="14.7109375" style="578" bestFit="1" customWidth="1"/>
    <col min="30" max="16384" width="9.140625" style="578"/>
  </cols>
  <sheetData>
    <row r="1" spans="1:30" ht="12.75" customHeight="1" thickTop="1" thickBot="1" x14ac:dyDescent="0.25">
      <c r="A1" s="576" t="s">
        <v>300</v>
      </c>
      <c r="B1" s="577"/>
      <c r="M1" s="576" t="s">
        <v>300</v>
      </c>
      <c r="N1" s="577"/>
    </row>
    <row r="2" spans="1:30" ht="12.75" customHeight="1" thickTop="1" x14ac:dyDescent="0.25">
      <c r="B2" s="581" t="s">
        <v>345</v>
      </c>
      <c r="K2" s="582"/>
      <c r="N2" s="581" t="s">
        <v>345</v>
      </c>
      <c r="V2" s="582"/>
      <c r="Y2" s="582"/>
      <c r="Z2" s="582"/>
    </row>
    <row r="3" spans="1:30" ht="12.75" customHeight="1" x14ac:dyDescent="0.25">
      <c r="A3" s="583" t="s">
        <v>285</v>
      </c>
      <c r="B3" s="580" t="s">
        <v>743</v>
      </c>
      <c r="C3" s="580" t="s">
        <v>744</v>
      </c>
      <c r="D3" s="580" t="s">
        <v>745</v>
      </c>
      <c r="E3" s="580"/>
      <c r="K3" s="582"/>
      <c r="M3" s="583" t="s">
        <v>366</v>
      </c>
      <c r="N3" s="580" t="s">
        <v>746</v>
      </c>
      <c r="O3" s="580" t="s">
        <v>747</v>
      </c>
      <c r="P3" s="580" t="s">
        <v>745</v>
      </c>
      <c r="Q3" s="580"/>
      <c r="V3" s="582"/>
      <c r="Y3" s="582"/>
      <c r="Z3" s="582"/>
      <c r="AB3" s="584">
        <f>Rater!D36</f>
        <v>1000000</v>
      </c>
      <c r="AC3" s="579">
        <v>0</v>
      </c>
      <c r="AD3" s="579">
        <v>2500</v>
      </c>
    </row>
    <row r="4" spans="1:30" ht="12.75" customHeight="1" x14ac:dyDescent="0.25">
      <c r="A4" s="580">
        <v>0</v>
      </c>
      <c r="B4" s="573">
        <v>0</v>
      </c>
      <c r="C4" s="573">
        <v>0</v>
      </c>
      <c r="D4" s="573">
        <v>0</v>
      </c>
      <c r="E4" s="580">
        <v>10000</v>
      </c>
      <c r="F4" s="573"/>
      <c r="G4" s="579">
        <v>0</v>
      </c>
      <c r="H4" s="590">
        <v>2</v>
      </c>
      <c r="J4" s="591">
        <f>IF(J5&gt;$A$27,J5,VLOOKUP(J5,$A$4:$A$27,1,TRUE))</f>
        <v>1000000</v>
      </c>
      <c r="K4" s="592">
        <f>VLOOKUP(J4,$A$4:$D$27,VLOOKUP($AB$3,$G$4:$H$6,2,TRUE),FALSE)</f>
        <v>1</v>
      </c>
      <c r="M4" s="580">
        <v>0</v>
      </c>
      <c r="N4" s="573">
        <v>1.2809999999999999</v>
      </c>
      <c r="O4" s="573">
        <v>1.3580000000000001</v>
      </c>
      <c r="P4" s="573">
        <v>1.5620000000000001</v>
      </c>
      <c r="Q4" s="580">
        <v>500</v>
      </c>
      <c r="R4" s="573"/>
      <c r="S4" s="579">
        <v>0</v>
      </c>
      <c r="T4" s="590">
        <v>2</v>
      </c>
      <c r="V4" s="591">
        <f>IF(V5&gt;$M$25,V5,VLOOKUP(V5,$M$4:$M$26,1,TRUE))</f>
        <v>10000</v>
      </c>
      <c r="W4" s="592">
        <f>VLOOKUP(V4,$M$4:$P$26,VLOOKUP($AB$3,$S$4:$T$6,2,TRUE),FALSE)</f>
        <v>0.91400000000000003</v>
      </c>
      <c r="Y4" s="591">
        <f>VLOOKUP(Y5,$M$4:$M$26,1,TRUE)</f>
        <v>2500</v>
      </c>
      <c r="Z4" s="592">
        <f>VLOOKUP(Y4,$M$4:$P$26,VLOOKUP($AB$3,$S$4:$T$6,2,TRUE),FALSE)</f>
        <v>1</v>
      </c>
      <c r="AC4" s="579">
        <v>500000</v>
      </c>
      <c r="AD4" s="579">
        <v>2500</v>
      </c>
    </row>
    <row r="5" spans="1:30" ht="12.75" customHeight="1" x14ac:dyDescent="0.25">
      <c r="A5" s="580">
        <v>10000</v>
      </c>
      <c r="B5" s="573">
        <v>0.42</v>
      </c>
      <c r="C5" s="573">
        <v>0.40100000000000002</v>
      </c>
      <c r="D5" s="573">
        <v>0.38200000000000001</v>
      </c>
      <c r="E5" s="580">
        <v>25000</v>
      </c>
      <c r="F5" s="573"/>
      <c r="G5" s="579">
        <v>50000001</v>
      </c>
      <c r="H5" s="590">
        <v>3</v>
      </c>
      <c r="J5" s="584">
        <f>Rater!D41</f>
        <v>1000000</v>
      </c>
      <c r="K5" s="592">
        <f>IF(K6=K4,K6,K4+(((J5-J4)/(J6-J4))*(K6-K4)))</f>
        <v>1</v>
      </c>
      <c r="M5" s="580">
        <v>500</v>
      </c>
      <c r="N5" s="573">
        <v>1.1419999999999999</v>
      </c>
      <c r="O5" s="573">
        <v>1.202</v>
      </c>
      <c r="P5" s="573">
        <v>1.379</v>
      </c>
      <c r="Q5" s="580">
        <v>750</v>
      </c>
      <c r="R5" s="573"/>
      <c r="S5" s="579">
        <v>16500001</v>
      </c>
      <c r="T5" s="590">
        <v>3</v>
      </c>
      <c r="V5" s="584">
        <f>Rater!D43</f>
        <v>10000</v>
      </c>
      <c r="W5" s="592">
        <f>IF(W6=W4,W6,W4+(((V5-V4)/(V6-V4))*(W6-W4)))</f>
        <v>0.91400000000000003</v>
      </c>
      <c r="Y5" s="584">
        <f>VLOOKUP(AB3,AC3:AD8,2,TRUE)</f>
        <v>2500</v>
      </c>
      <c r="Z5" s="592">
        <f>Z4+(((Y5-Y4)/(Y6-Y4))*(Z6-Z4))</f>
        <v>1</v>
      </c>
      <c r="AC5" s="579">
        <v>6500001</v>
      </c>
      <c r="AD5" s="579">
        <v>2500</v>
      </c>
    </row>
    <row r="6" spans="1:30" ht="12.75" customHeight="1" x14ac:dyDescent="0.25">
      <c r="A6" s="580">
        <v>25000</v>
      </c>
      <c r="B6" s="573">
        <v>0.44</v>
      </c>
      <c r="C6" s="573">
        <v>0.42</v>
      </c>
      <c r="D6" s="573">
        <v>0.4</v>
      </c>
      <c r="E6" s="580">
        <v>100000</v>
      </c>
      <c r="F6" s="573"/>
      <c r="G6" s="579">
        <v>100000001</v>
      </c>
      <c r="H6" s="590">
        <v>4</v>
      </c>
      <c r="J6" s="591">
        <f>IF(J5&gt;$A$27,J5,VLOOKUP(J5,$A$4:$E$27,5,TRUE))</f>
        <v>2000000</v>
      </c>
      <c r="K6" s="592">
        <f>VLOOKUP(J6,$A$4:$D$27,VLOOKUP($AB$3,$G$4:$H$6,2,TRUE),FALSE)</f>
        <v>1.75</v>
      </c>
      <c r="M6" s="580">
        <v>750</v>
      </c>
      <c r="N6" s="573">
        <v>1.087</v>
      </c>
      <c r="O6" s="573">
        <v>1.141</v>
      </c>
      <c r="P6" s="573">
        <v>1.3160000000000001</v>
      </c>
      <c r="Q6" s="580">
        <v>1000</v>
      </c>
      <c r="R6" s="573"/>
      <c r="S6" s="579">
        <v>100000001</v>
      </c>
      <c r="T6" s="590">
        <v>4</v>
      </c>
      <c r="V6" s="591">
        <f>IF(V5&gt;$M$25,V5,VLOOKUP(V5,$M$4:$Q$26,5,TRUE))</f>
        <v>15000</v>
      </c>
      <c r="W6" s="592">
        <f>VLOOKUP(V6,$M$4:$P$26,VLOOKUP($AB$3,$S$4:$T$6,2,TRUE),FALSE)</f>
        <v>0.874</v>
      </c>
      <c r="Y6" s="591">
        <f>VLOOKUP(Y5,$M$4:$Q$26,5,TRUE)</f>
        <v>5000</v>
      </c>
      <c r="Z6" s="592">
        <f>VLOOKUP(Y6,$M$4:$P$26,VLOOKUP($AB$3,$S$4:$T$6,2,TRUE),FALSE)</f>
        <v>0.96799999999999997</v>
      </c>
      <c r="AC6" s="579">
        <v>16500001</v>
      </c>
      <c r="AD6" s="579">
        <v>5000</v>
      </c>
    </row>
    <row r="7" spans="1:30" ht="12.75" customHeight="1" x14ac:dyDescent="0.2">
      <c r="A7" s="580">
        <v>100000</v>
      </c>
      <c r="B7" s="573">
        <v>0.53500000000000003</v>
      </c>
      <c r="C7" s="573">
        <v>0.51100000000000001</v>
      </c>
      <c r="D7" s="573">
        <v>0.48599999999999999</v>
      </c>
      <c r="E7" s="580">
        <v>250000</v>
      </c>
      <c r="F7" s="573"/>
      <c r="G7" s="573"/>
      <c r="H7" s="573"/>
      <c r="M7" s="580">
        <v>1000</v>
      </c>
      <c r="N7" s="573">
        <v>1.0549999999999999</v>
      </c>
      <c r="O7" s="573">
        <v>1.103</v>
      </c>
      <c r="P7" s="573">
        <v>1.2629999999999999</v>
      </c>
      <c r="Q7" s="580">
        <v>1500</v>
      </c>
      <c r="R7" s="573"/>
      <c r="S7" s="573"/>
      <c r="T7" s="573"/>
      <c r="AC7" s="579">
        <v>66500001</v>
      </c>
      <c r="AD7" s="579">
        <v>10000</v>
      </c>
    </row>
    <row r="8" spans="1:30" ht="12.75" customHeight="1" x14ac:dyDescent="0.25">
      <c r="A8" s="580">
        <v>250000</v>
      </c>
      <c r="B8" s="573">
        <v>0.71499999999999997</v>
      </c>
      <c r="C8" s="573">
        <v>0.68300000000000005</v>
      </c>
      <c r="D8" s="573">
        <v>0.65</v>
      </c>
      <c r="E8" s="580">
        <v>300000</v>
      </c>
      <c r="F8" s="573"/>
      <c r="G8" s="573"/>
      <c r="H8" s="573"/>
      <c r="J8" s="591">
        <f>IF(J9&gt;$A$27,J9,VLOOKUP(J9,$A$4:$A$27,1,TRUE))</f>
        <v>1000000</v>
      </c>
      <c r="K8" s="592">
        <f>VLOOKUP(J8,$A$4:$D$27,VLOOKUP($AB$3,$G$4:$H$6,2,TRUE),FALSE)</f>
        <v>1</v>
      </c>
      <c r="M8" s="580">
        <v>1500</v>
      </c>
      <c r="N8" s="573">
        <v>1.026</v>
      </c>
      <c r="O8" s="573">
        <v>1.07</v>
      </c>
      <c r="P8" s="573">
        <v>1.224</v>
      </c>
      <c r="Q8" s="586">
        <v>2500</v>
      </c>
      <c r="R8" s="573"/>
      <c r="S8" s="573"/>
      <c r="T8" s="573"/>
      <c r="V8" s="591">
        <f>IF(V9&gt;$M$25,V9,VLOOKUP(V9,$M$4:$M$26,1,TRUE))</f>
        <v>10000</v>
      </c>
      <c r="W8" s="592">
        <f>VLOOKUP(V8,$M$4:$P$26,VLOOKUP($AB$3,$S$4:$T$6,2,TRUE),FALSE)</f>
        <v>0.91400000000000003</v>
      </c>
      <c r="Y8" s="558"/>
      <c r="Z8" s="558"/>
      <c r="AC8" s="579">
        <v>300000001</v>
      </c>
      <c r="AD8" s="579">
        <v>25000</v>
      </c>
    </row>
    <row r="9" spans="1:30" ht="12.75" customHeight="1" x14ac:dyDescent="0.25">
      <c r="A9" s="580">
        <v>300000</v>
      </c>
      <c r="B9" s="573">
        <v>0.75700000000000001</v>
      </c>
      <c r="C9" s="573">
        <v>0.72099999999999997</v>
      </c>
      <c r="D9" s="573">
        <v>0.68799999999999994</v>
      </c>
      <c r="E9" s="586">
        <v>500000</v>
      </c>
      <c r="F9" s="573"/>
      <c r="G9" s="573"/>
      <c r="H9" s="573"/>
      <c r="J9" s="584">
        <f>Rater!C446</f>
        <v>1000000</v>
      </c>
      <c r="K9" s="592">
        <f>IF(K10=K8,K10,K8+(((J9-J8)/(J10-J8))*(K10-K8)))</f>
        <v>1</v>
      </c>
      <c r="M9" s="586">
        <v>2500</v>
      </c>
      <c r="N9" s="573">
        <v>1</v>
      </c>
      <c r="O9" s="573">
        <v>1.04</v>
      </c>
      <c r="P9" s="573">
        <v>1.1850000000000001</v>
      </c>
      <c r="Q9" s="580">
        <v>5000</v>
      </c>
      <c r="R9" s="573"/>
      <c r="S9" s="573"/>
      <c r="T9" s="573"/>
      <c r="V9" s="584">
        <f>Rater!E446</f>
        <v>10000</v>
      </c>
      <c r="W9" s="592">
        <f>IF(W10=W8,W10,W8+(((V9-V8)/(V10-V8))*(W10-W8)))</f>
        <v>0.91400000000000003</v>
      </c>
      <c r="Y9" s="558"/>
      <c r="Z9" s="558"/>
    </row>
    <row r="10" spans="1:30" ht="12.75" customHeight="1" x14ac:dyDescent="0.25">
      <c r="A10" s="586">
        <v>500000</v>
      </c>
      <c r="B10" s="573">
        <v>0.89</v>
      </c>
      <c r="C10" s="573">
        <v>0.85</v>
      </c>
      <c r="D10" s="573">
        <v>0.80900000000000005</v>
      </c>
      <c r="E10" s="580">
        <v>1000000</v>
      </c>
      <c r="F10" s="573"/>
      <c r="G10" s="573"/>
      <c r="H10" s="573"/>
      <c r="J10" s="591">
        <f>IF(J9&gt;$A$27,J9,VLOOKUP(J9,$A$4:$E$27,5,TRUE))</f>
        <v>2000000</v>
      </c>
      <c r="K10" s="592">
        <f>VLOOKUP(J10,$A$4:$D$27,VLOOKUP($AB$3,$G$4:$H$6,2,TRUE),FALSE)</f>
        <v>1.75</v>
      </c>
      <c r="M10" s="580">
        <v>5000</v>
      </c>
      <c r="N10" s="573">
        <v>0.96799999999999997</v>
      </c>
      <c r="O10" s="573">
        <v>1</v>
      </c>
      <c r="P10" s="573">
        <v>1.113</v>
      </c>
      <c r="Q10" s="580">
        <v>7500</v>
      </c>
      <c r="R10" s="573"/>
      <c r="S10" s="573"/>
      <c r="T10" s="573"/>
      <c r="V10" s="591">
        <f>IF(V9&gt;$M$25,V9,VLOOKUP(V9,$M$4:$Q$26,5,TRUE))</f>
        <v>15000</v>
      </c>
      <c r="W10" s="592">
        <f>VLOOKUP(V10,$M$4:$P$26,VLOOKUP($AB$3,$S$4:$T$6,2,TRUE),FALSE)</f>
        <v>0.874</v>
      </c>
      <c r="Y10" s="558"/>
      <c r="Z10" s="558"/>
    </row>
    <row r="11" spans="1:30" ht="12.75" customHeight="1" x14ac:dyDescent="0.25">
      <c r="A11" s="580">
        <v>1000000</v>
      </c>
      <c r="B11" s="573">
        <v>1</v>
      </c>
      <c r="C11" s="573">
        <v>1</v>
      </c>
      <c r="D11" s="573">
        <v>1</v>
      </c>
      <c r="E11" s="580">
        <v>2000000</v>
      </c>
      <c r="F11" s="573"/>
      <c r="G11" s="573"/>
      <c r="H11" s="573"/>
      <c r="M11" s="580">
        <v>7500</v>
      </c>
      <c r="N11" s="573">
        <v>0.93899999999999995</v>
      </c>
      <c r="O11" s="573">
        <v>0.96599999999999997</v>
      </c>
      <c r="P11" s="573">
        <v>1.054</v>
      </c>
      <c r="Q11" s="580">
        <v>10000</v>
      </c>
      <c r="R11" s="573"/>
      <c r="S11" s="573"/>
      <c r="T11" s="573"/>
      <c r="Y11" s="558"/>
      <c r="Z11" s="558"/>
    </row>
    <row r="12" spans="1:30" ht="12.75" customHeight="1" x14ac:dyDescent="0.25">
      <c r="A12" s="580">
        <v>2000000</v>
      </c>
      <c r="B12" s="573">
        <v>1.75</v>
      </c>
      <c r="C12" s="573">
        <v>1.6659999999999999</v>
      </c>
      <c r="D12" s="573">
        <v>1.581</v>
      </c>
      <c r="E12" s="580">
        <v>3000000</v>
      </c>
      <c r="F12" s="573"/>
      <c r="G12" s="573"/>
      <c r="H12" s="573"/>
      <c r="J12" s="591">
        <f>IF(J13&gt;$A$27,J13,VLOOKUP(J13,$A$4:$A$27,1,TRUE))</f>
        <v>1000000</v>
      </c>
      <c r="K12" s="592">
        <f>VLOOKUP(J12,$A$4:$D$27,VLOOKUP($AB$3,$G$4:$H$6,2,TRUE),FALSE)</f>
        <v>1</v>
      </c>
      <c r="M12" s="580">
        <v>10000</v>
      </c>
      <c r="N12" s="573">
        <v>0.91400000000000003</v>
      </c>
      <c r="O12" s="573">
        <v>0.93700000000000006</v>
      </c>
      <c r="P12" s="573">
        <v>1</v>
      </c>
      <c r="Q12" s="580">
        <v>15000</v>
      </c>
      <c r="R12" s="573"/>
      <c r="S12" s="573"/>
      <c r="T12" s="573"/>
      <c r="V12" s="591">
        <f>IF(V13&gt;$M$25,V13,VLOOKUP(V13,$M$4:$M$26,1,TRUE))</f>
        <v>10000</v>
      </c>
      <c r="W12" s="592">
        <f>VLOOKUP(V12,$M$4:$P$26,VLOOKUP($AB$3,$S$4:$T$6,2,TRUE),FALSE)</f>
        <v>0.91400000000000003</v>
      </c>
      <c r="Y12" s="558"/>
      <c r="Z12" s="558"/>
    </row>
    <row r="13" spans="1:30" ht="12.75" customHeight="1" x14ac:dyDescent="0.25">
      <c r="A13" s="580">
        <v>3000000</v>
      </c>
      <c r="B13" s="573">
        <v>2.3580000000000001</v>
      </c>
      <c r="C13" s="573">
        <v>2.2050000000000001</v>
      </c>
      <c r="D13" s="573">
        <v>2.052</v>
      </c>
      <c r="E13" s="580">
        <v>4000000</v>
      </c>
      <c r="F13" s="573"/>
      <c r="G13" s="573"/>
      <c r="H13" s="573"/>
      <c r="J13" s="584">
        <f>Rater!C450</f>
        <v>1000000</v>
      </c>
      <c r="K13" s="592">
        <f>IF(K14=K12,K14,K12+(((J13-J12)/(J14-J12))*(K14-K12)))</f>
        <v>1</v>
      </c>
      <c r="M13" s="580">
        <v>15000</v>
      </c>
      <c r="N13" s="573">
        <v>0.874</v>
      </c>
      <c r="O13" s="573">
        <v>0.89100000000000001</v>
      </c>
      <c r="P13" s="573">
        <v>0.95799999999999996</v>
      </c>
      <c r="Q13" s="580">
        <v>25000</v>
      </c>
      <c r="R13" s="573"/>
      <c r="S13" s="573"/>
      <c r="T13" s="573"/>
      <c r="V13" s="584">
        <f>Rater!E450</f>
        <v>10000</v>
      </c>
      <c r="W13" s="592">
        <f>IF(W14=W12,W14,W12+(((V13-V12)/(V14-V12))*(W14-W12)))</f>
        <v>0.91400000000000003</v>
      </c>
      <c r="Y13" s="558"/>
      <c r="Z13" s="558"/>
    </row>
    <row r="14" spans="1:30" ht="12.75" customHeight="1" x14ac:dyDescent="0.25">
      <c r="A14" s="580">
        <v>4000000</v>
      </c>
      <c r="B14" s="573">
        <v>2.85</v>
      </c>
      <c r="C14" s="573">
        <v>2.6419999999999999</v>
      </c>
      <c r="D14" s="573">
        <v>2.4340000000000002</v>
      </c>
      <c r="E14" s="580">
        <v>5000000</v>
      </c>
      <c r="F14" s="573"/>
      <c r="G14" s="573"/>
      <c r="H14" s="573"/>
      <c r="J14" s="591">
        <f>IF(J13&gt;$A$27,J13,VLOOKUP(J13,$A$4:$E$27,5,TRUE))</f>
        <v>2000000</v>
      </c>
      <c r="K14" s="592">
        <f>VLOOKUP(J14,$A$4:$D$27,VLOOKUP($AB$3,$G$4:$H$6,2,TRUE),FALSE)</f>
        <v>1.75</v>
      </c>
      <c r="M14" s="580">
        <v>25000</v>
      </c>
      <c r="N14" s="573">
        <v>0.80100000000000005</v>
      </c>
      <c r="O14" s="573">
        <v>0.80500000000000005</v>
      </c>
      <c r="P14" s="573">
        <v>0.90100000000000002</v>
      </c>
      <c r="Q14" s="580">
        <v>50000</v>
      </c>
      <c r="R14" s="573"/>
      <c r="S14" s="573"/>
      <c r="T14" s="573"/>
      <c r="V14" s="591">
        <f>IF(V13&gt;$M$25,V13,VLOOKUP(V13,$M$4:$Q$26,5,TRUE))</f>
        <v>15000</v>
      </c>
      <c r="W14" s="592">
        <f>VLOOKUP(V14,$M$4:$P$26,VLOOKUP($AB$3,$S$4:$T$6,2,TRUE),FALSE)</f>
        <v>0.874</v>
      </c>
      <c r="Y14" s="558"/>
      <c r="Z14" s="558"/>
    </row>
    <row r="15" spans="1:30" ht="12.75" customHeight="1" x14ac:dyDescent="0.25">
      <c r="A15" s="580">
        <v>5000000</v>
      </c>
      <c r="B15" s="573">
        <v>3.2490000000000001</v>
      </c>
      <c r="C15" s="573">
        <v>2.996</v>
      </c>
      <c r="D15" s="573">
        <v>2.7429999999999999</v>
      </c>
      <c r="E15" s="580">
        <v>6000000</v>
      </c>
      <c r="F15" s="573"/>
      <c r="G15" s="573"/>
      <c r="H15" s="573"/>
      <c r="K15" s="582"/>
      <c r="M15" s="580">
        <v>50000</v>
      </c>
      <c r="N15" s="573">
        <v>0.74</v>
      </c>
      <c r="O15" s="573">
        <v>0.72199999999999998</v>
      </c>
      <c r="P15" s="573">
        <v>0.81100000000000005</v>
      </c>
      <c r="Q15" s="580">
        <v>75000</v>
      </c>
      <c r="R15" s="573"/>
      <c r="S15" s="573"/>
      <c r="T15" s="573"/>
      <c r="V15" s="582"/>
      <c r="Y15" s="558"/>
      <c r="Z15" s="558"/>
    </row>
    <row r="16" spans="1:30" ht="12.75" customHeight="1" x14ac:dyDescent="0.25">
      <c r="A16" s="580">
        <v>6000000</v>
      </c>
      <c r="B16" s="573">
        <v>3.5720000000000001</v>
      </c>
      <c r="C16" s="573">
        <v>3.2829999999999999</v>
      </c>
      <c r="D16" s="573">
        <v>2.9929999999999999</v>
      </c>
      <c r="E16" s="580">
        <v>7000000</v>
      </c>
      <c r="F16" s="573"/>
      <c r="G16" s="573"/>
      <c r="H16" s="573"/>
      <c r="J16" s="591">
        <f>IF(J17&gt;$A$27,J17,VLOOKUP(J17,$A$4:$A$27,1,TRUE))</f>
        <v>0</v>
      </c>
      <c r="K16" s="592">
        <f>VLOOKUP(J16,$A$4:$D$27,VLOOKUP($AB$3,$G$4:$H$6,2,TRUE),FALSE)</f>
        <v>0</v>
      </c>
      <c r="M16" s="580">
        <v>75000</v>
      </c>
      <c r="N16" s="573">
        <v>0.68700000000000006</v>
      </c>
      <c r="O16" s="573">
        <v>0.66100000000000003</v>
      </c>
      <c r="P16" s="573">
        <v>0.75700000000000001</v>
      </c>
      <c r="Q16" s="580">
        <v>100000</v>
      </c>
      <c r="R16" s="573"/>
      <c r="S16" s="573"/>
      <c r="T16" s="573"/>
      <c r="V16" s="591">
        <f>IF(V17&gt;$M$25,V17,VLOOKUP(V17,$M$4:$M$26,1,TRUE))</f>
        <v>0</v>
      </c>
      <c r="W16" s="592">
        <f>VLOOKUP(V16,$M$4:$P$26,VLOOKUP($AB$3,$S$4:$T$6,2,TRUE),FALSE)</f>
        <v>1.2809999999999999</v>
      </c>
      <c r="Y16" s="558"/>
      <c r="Z16" s="558"/>
    </row>
    <row r="17" spans="1:26" ht="12.75" customHeight="1" x14ac:dyDescent="0.25">
      <c r="A17" s="580">
        <v>7000000</v>
      </c>
      <c r="B17" s="573">
        <v>3.8340000000000001</v>
      </c>
      <c r="C17" s="573">
        <v>3.5150000000000001</v>
      </c>
      <c r="D17" s="573">
        <v>3.1960000000000002</v>
      </c>
      <c r="E17" s="580">
        <v>8000000</v>
      </c>
      <c r="F17" s="573"/>
      <c r="G17" s="573"/>
      <c r="H17" s="573"/>
      <c r="J17" s="584">
        <f>Rater!C454</f>
        <v>0</v>
      </c>
      <c r="K17" s="592">
        <f>IF(K18=K16,K18,K16+(((J17-J16)/(J18-J16))*(K18-K16)))</f>
        <v>0</v>
      </c>
      <c r="M17" s="580">
        <v>100000</v>
      </c>
      <c r="N17" s="573">
        <v>0.66600000000000004</v>
      </c>
      <c r="O17" s="573">
        <v>0.628</v>
      </c>
      <c r="P17" s="573">
        <v>0.72</v>
      </c>
      <c r="Q17" s="580">
        <v>150000</v>
      </c>
      <c r="R17" s="573"/>
      <c r="S17" s="573"/>
      <c r="T17" s="573"/>
      <c r="V17" s="584">
        <f>Rater!E454</f>
        <v>0</v>
      </c>
      <c r="W17" s="592">
        <f>IF(W18=W16,W18,W16+(((V17-V16)/(V18-V16))*(W18-W16)))</f>
        <v>1.2809999999999999</v>
      </c>
      <c r="Y17" s="558"/>
      <c r="Z17" s="558"/>
    </row>
    <row r="18" spans="1:26" ht="12.75" customHeight="1" x14ac:dyDescent="0.25">
      <c r="A18" s="580">
        <v>8000000</v>
      </c>
      <c r="B18" s="573">
        <v>4.0460000000000003</v>
      </c>
      <c r="C18" s="573">
        <v>3.7029999999999998</v>
      </c>
      <c r="D18" s="573">
        <v>3.36</v>
      </c>
      <c r="E18" s="580">
        <v>9000000</v>
      </c>
      <c r="F18" s="573"/>
      <c r="G18" s="573"/>
      <c r="H18" s="573"/>
      <c r="J18" s="591">
        <f>IF(J17&gt;$A$27,J17,VLOOKUP(J17,$A$4:$E$27,5,TRUE))</f>
        <v>10000</v>
      </c>
      <c r="K18" s="592">
        <f>VLOOKUP(J18,$A$4:$D$27,VLOOKUP($AB$3,$G$4:$H$6,2,TRUE),FALSE)</f>
        <v>0.42</v>
      </c>
      <c r="M18" s="580">
        <v>150000</v>
      </c>
      <c r="N18" s="573">
        <v>0.63100000000000001</v>
      </c>
      <c r="O18" s="573">
        <v>0.58599999999999997</v>
      </c>
      <c r="P18" s="573">
        <v>0.67100000000000004</v>
      </c>
      <c r="Q18" s="580">
        <v>175000</v>
      </c>
      <c r="R18" s="573"/>
      <c r="S18" s="573"/>
      <c r="T18" s="573"/>
      <c r="V18" s="591">
        <f>IF(V17&gt;$M$25,V17,VLOOKUP(V17,$M$4:$Q$26,5,TRUE))</f>
        <v>500</v>
      </c>
      <c r="W18" s="592">
        <f>VLOOKUP(V18,$M$4:$P$26,VLOOKUP($AB$3,$S$4:$T$6,2,TRUE),FALSE)</f>
        <v>1.1419999999999999</v>
      </c>
      <c r="Y18" s="558"/>
      <c r="Z18" s="558"/>
    </row>
    <row r="19" spans="1:26" ht="12.75" customHeight="1" x14ac:dyDescent="0.25">
      <c r="A19" s="580">
        <v>9000000</v>
      </c>
      <c r="B19" s="573">
        <v>4.218</v>
      </c>
      <c r="C19" s="573">
        <v>3.8559999999999999</v>
      </c>
      <c r="D19" s="573">
        <v>3.4929999999999999</v>
      </c>
      <c r="E19" s="580">
        <v>10000000</v>
      </c>
      <c r="F19" s="573"/>
      <c r="G19" s="573"/>
      <c r="H19" s="573"/>
      <c r="K19" s="582"/>
      <c r="M19" s="580">
        <v>175000</v>
      </c>
      <c r="N19" s="573">
        <v>0.61899999999999999</v>
      </c>
      <c r="O19" s="573">
        <v>0.57199999999999995</v>
      </c>
      <c r="P19" s="573">
        <v>0.65</v>
      </c>
      <c r="Q19" s="580">
        <v>200000</v>
      </c>
      <c r="R19" s="573"/>
      <c r="S19" s="573"/>
      <c r="T19" s="573"/>
      <c r="V19" s="582"/>
      <c r="Y19" s="558"/>
      <c r="Z19" s="558"/>
    </row>
    <row r="20" spans="1:26" ht="12.75" customHeight="1" x14ac:dyDescent="0.25">
      <c r="A20" s="580">
        <v>10000000</v>
      </c>
      <c r="B20" s="573">
        <v>4.3570000000000002</v>
      </c>
      <c r="C20" s="573">
        <v>3.9790000000000001</v>
      </c>
      <c r="D20" s="573">
        <v>3.601</v>
      </c>
      <c r="E20" s="580">
        <v>11000000</v>
      </c>
      <c r="F20" s="573"/>
      <c r="G20" s="573"/>
      <c r="H20" s="573"/>
      <c r="J20" s="591">
        <f>IF(J21&gt;$A$27,J21,VLOOKUP(J21,$A$4:$A$27,1,TRUE))</f>
        <v>1000000</v>
      </c>
      <c r="K20" s="592">
        <f>VLOOKUP(J20,$A$4:$D$27,VLOOKUP($AB$3,$G$4:$H$6,2,TRUE),FALSE)</f>
        <v>1</v>
      </c>
      <c r="M20" s="580">
        <v>200000</v>
      </c>
      <c r="N20" s="573">
        <v>0.60699999999999998</v>
      </c>
      <c r="O20" s="573">
        <v>0.55800000000000005</v>
      </c>
      <c r="P20" s="573">
        <v>0.63700000000000001</v>
      </c>
      <c r="Q20" s="580">
        <v>250000</v>
      </c>
      <c r="R20" s="573"/>
      <c r="S20" s="573"/>
      <c r="T20" s="573"/>
      <c r="V20" s="591">
        <f>IF(V21&gt;$M$25,V21,VLOOKUP(V21,$M$4:$M$26,1,TRUE))</f>
        <v>10000</v>
      </c>
      <c r="W20" s="592">
        <f>VLOOKUP(V20,$M$4:$P$26,VLOOKUP($AB$3,$S$4:$T$6,2,TRUE),FALSE)</f>
        <v>0.91400000000000003</v>
      </c>
      <c r="Y20" s="558"/>
      <c r="Z20" s="558"/>
    </row>
    <row r="21" spans="1:26" ht="12.75" customHeight="1" x14ac:dyDescent="0.25">
      <c r="A21" s="580">
        <v>11000000</v>
      </c>
      <c r="B21" s="573">
        <v>4.47</v>
      </c>
      <c r="C21" s="573">
        <v>4.0789999999999997</v>
      </c>
      <c r="D21" s="573">
        <v>3.6880000000000002</v>
      </c>
      <c r="E21" s="580">
        <v>12000000</v>
      </c>
      <c r="F21" s="573"/>
      <c r="G21" s="573"/>
      <c r="H21" s="573"/>
      <c r="J21" s="584">
        <f>Rater!C458</f>
        <v>1000000</v>
      </c>
      <c r="K21" s="592">
        <f>IF(K22=K20,K22,K20+(((J21-J20)/(J22-J20))*(K22-K20)))</f>
        <v>1</v>
      </c>
      <c r="M21" s="580">
        <v>250000</v>
      </c>
      <c r="N21" s="573">
        <v>0.58199999999999996</v>
      </c>
      <c r="O21" s="573">
        <v>0.52900000000000003</v>
      </c>
      <c r="P21" s="573">
        <v>0.61599999999999999</v>
      </c>
      <c r="Q21" s="580">
        <v>300000</v>
      </c>
      <c r="R21" s="573"/>
      <c r="S21" s="573"/>
      <c r="T21" s="573"/>
      <c r="V21" s="584">
        <f>Rater!E458</f>
        <v>10000</v>
      </c>
      <c r="W21" s="592">
        <f>IF(W22=W20,W22,W20+(((V21-V20)/(V22-V20))*(W22-W20)))</f>
        <v>0.91400000000000003</v>
      </c>
      <c r="Y21" s="558"/>
      <c r="Z21" s="558"/>
    </row>
    <row r="22" spans="1:26" ht="12.75" customHeight="1" x14ac:dyDescent="0.25">
      <c r="A22" s="580">
        <v>12000000</v>
      </c>
      <c r="B22" s="573">
        <v>4.5620000000000003</v>
      </c>
      <c r="C22" s="573">
        <v>4.16</v>
      </c>
      <c r="D22" s="573">
        <v>3.758</v>
      </c>
      <c r="E22" s="580">
        <v>13000000</v>
      </c>
      <c r="F22" s="573"/>
      <c r="G22" s="573"/>
      <c r="H22" s="573"/>
      <c r="J22" s="591">
        <f>IF(J21&gt;$A$27,J21,VLOOKUP(J21,$A$4:$E$27,5,TRUE))</f>
        <v>2000000</v>
      </c>
      <c r="K22" s="592">
        <f>VLOOKUP(J22,$A$4:$D$27,VLOOKUP($AB$3,$G$4:$H$6,2,TRUE),FALSE)</f>
        <v>1.75</v>
      </c>
      <c r="M22" s="580">
        <v>300000</v>
      </c>
      <c r="N22" s="573">
        <v>0.55700000000000005</v>
      </c>
      <c r="O22" s="573">
        <v>0.51</v>
      </c>
      <c r="P22" s="573">
        <v>0.59499999999999997</v>
      </c>
      <c r="Q22" s="580">
        <v>500000</v>
      </c>
      <c r="R22" s="573"/>
      <c r="S22" s="573"/>
      <c r="T22" s="573"/>
      <c r="V22" s="591">
        <f>IF(V21&gt;$M$25,V21,VLOOKUP(V21,$M$4:$Q$26,5,TRUE))</f>
        <v>15000</v>
      </c>
      <c r="W22" s="592">
        <f>VLOOKUP(V22,$M$4:$P$26,VLOOKUP($AB$3,$S$4:$T$6,2,TRUE),FALSE)</f>
        <v>0.874</v>
      </c>
      <c r="Y22" s="558"/>
      <c r="Z22" s="558"/>
    </row>
    <row r="23" spans="1:26" ht="12.75" customHeight="1" x14ac:dyDescent="0.25">
      <c r="A23" s="580">
        <v>13000000</v>
      </c>
      <c r="B23" s="573">
        <v>4.6369999999999996</v>
      </c>
      <c r="C23" s="573">
        <v>4.226</v>
      </c>
      <c r="D23" s="573">
        <v>3.8149999999999999</v>
      </c>
      <c r="E23" s="580">
        <v>14000000</v>
      </c>
      <c r="F23" s="573"/>
      <c r="G23" s="573"/>
      <c r="H23" s="573"/>
      <c r="M23" s="580">
        <v>500000</v>
      </c>
      <c r="N23" s="573">
        <v>0.51900000000000002</v>
      </c>
      <c r="O23" s="573">
        <v>0.48099999999999998</v>
      </c>
      <c r="P23" s="573">
        <v>0.55700000000000005</v>
      </c>
      <c r="Q23" s="580">
        <v>750000</v>
      </c>
      <c r="R23" s="573"/>
      <c r="S23" s="573"/>
      <c r="T23" s="573"/>
      <c r="Y23" s="558"/>
      <c r="Z23" s="558"/>
    </row>
    <row r="24" spans="1:26" ht="12.75" customHeight="1" x14ac:dyDescent="0.25">
      <c r="A24" s="580">
        <v>14000000</v>
      </c>
      <c r="B24" s="573">
        <v>4.6980000000000004</v>
      </c>
      <c r="C24" s="573">
        <v>4.28</v>
      </c>
      <c r="D24" s="573">
        <v>3.8610000000000002</v>
      </c>
      <c r="E24" s="580">
        <v>15000000</v>
      </c>
      <c r="F24" s="573"/>
      <c r="G24" s="573"/>
      <c r="H24" s="573"/>
      <c r="J24" s="591">
        <f>IF(J25&gt;$A$27,J25,VLOOKUP(J25,$A$4:$A$27,1,TRUE))</f>
        <v>1000000</v>
      </c>
      <c r="K24" s="592">
        <f>VLOOKUP(J24,$A$4:$D$27,VLOOKUP($AB$3,$G$4:$H$6,2,TRUE),FALSE)</f>
        <v>1</v>
      </c>
      <c r="M24" s="580">
        <v>750000</v>
      </c>
      <c r="N24" s="573">
        <v>0.505</v>
      </c>
      <c r="O24" s="573">
        <v>0.47199999999999998</v>
      </c>
      <c r="P24" s="573">
        <v>0.52200000000000002</v>
      </c>
      <c r="Q24" s="580">
        <v>1000000</v>
      </c>
      <c r="R24" s="573"/>
      <c r="S24" s="573"/>
      <c r="T24" s="573"/>
      <c r="V24" s="591">
        <f>IF(V25&gt;$M$25,V25,VLOOKUP(V25,$M$4:$M$26,1,TRUE))</f>
        <v>10000</v>
      </c>
      <c r="W24" s="592">
        <f>VLOOKUP(V24,$M$4:$P$26,VLOOKUP($AB$3,$S$4:$T$6,2,TRUE),FALSE)</f>
        <v>0.91400000000000003</v>
      </c>
      <c r="Y24" s="558"/>
      <c r="Z24" s="558"/>
    </row>
    <row r="25" spans="1:26" ht="12.75" customHeight="1" x14ac:dyDescent="0.25">
      <c r="A25" s="580">
        <v>15000000</v>
      </c>
      <c r="B25" s="573">
        <v>4.7469999999999999</v>
      </c>
      <c r="C25" s="573">
        <v>4.3230000000000004</v>
      </c>
      <c r="D25" s="573">
        <v>3.8980000000000001</v>
      </c>
      <c r="E25" s="580">
        <v>20000000</v>
      </c>
      <c r="F25" s="573"/>
      <c r="G25" s="573"/>
      <c r="H25" s="573"/>
      <c r="J25" s="584">
        <f>Rater!C462</f>
        <v>1000000</v>
      </c>
      <c r="K25" s="592">
        <f>IF(K26=K24,K26,K24+(((J25-J24)/(J26-J24))*(K26-K24)))</f>
        <v>1</v>
      </c>
      <c r="M25" s="580">
        <v>1000000</v>
      </c>
      <c r="N25" s="573">
        <v>0.5</v>
      </c>
      <c r="O25" s="573">
        <v>0.47199999999999998</v>
      </c>
      <c r="P25" s="573">
        <v>0.49399999999999999</v>
      </c>
      <c r="Q25" s="580">
        <v>1000000</v>
      </c>
      <c r="R25" s="573"/>
      <c r="S25" s="573"/>
      <c r="T25" s="573"/>
      <c r="V25" s="584">
        <f>Rater!E462</f>
        <v>10000</v>
      </c>
      <c r="W25" s="592">
        <f>IF(W26=W24,W26,W24+(((V25-V24)/(V26-V24))*(W26-W24)))</f>
        <v>0.91400000000000003</v>
      </c>
      <c r="Y25" s="558"/>
      <c r="Z25" s="558"/>
    </row>
    <row r="26" spans="1:26" ht="12.75" customHeight="1" x14ac:dyDescent="0.25">
      <c r="A26" s="580">
        <v>20000000</v>
      </c>
      <c r="B26" s="573">
        <v>4.9000000000000004</v>
      </c>
      <c r="C26" s="573">
        <v>4.4619999999999997</v>
      </c>
      <c r="D26" s="573">
        <v>4.024</v>
      </c>
      <c r="E26" s="580">
        <v>25000000</v>
      </c>
      <c r="F26" s="573"/>
      <c r="G26" s="573"/>
      <c r="H26" s="573"/>
      <c r="J26" s="591">
        <f>IF(J25&gt;$A$27,J25,VLOOKUP(J25,$A$4:$E$27,5,TRUE))</f>
        <v>2000000</v>
      </c>
      <c r="K26" s="592">
        <f>VLOOKUP(J26,$A$4:$D$27,VLOOKUP($AB$3,$G$4:$H$6,2,TRUE),FALSE)</f>
        <v>1.75</v>
      </c>
      <c r="M26" s="558"/>
      <c r="N26" s="558"/>
      <c r="O26" s="558"/>
      <c r="P26" s="558"/>
      <c r="Q26" s="558"/>
      <c r="R26" s="573"/>
      <c r="S26" s="573"/>
      <c r="T26" s="573"/>
      <c r="V26" s="591">
        <f>IF(V25&gt;$M$25,V25,VLOOKUP(V25,$M$4:$Q$26,5,TRUE))</f>
        <v>15000</v>
      </c>
      <c r="W26" s="592">
        <f>VLOOKUP(V26,$M$4:$P$26,VLOOKUP($AB$3,$S$4:$T$6,2,TRUE),FALSE)</f>
        <v>0.874</v>
      </c>
      <c r="Y26" s="558"/>
      <c r="Z26" s="558"/>
    </row>
    <row r="27" spans="1:26" ht="12.75" customHeight="1" x14ac:dyDescent="0.25">
      <c r="A27" s="580">
        <v>25000000</v>
      </c>
      <c r="B27" s="573">
        <v>5</v>
      </c>
      <c r="C27" s="573">
        <v>4.5529999999999999</v>
      </c>
      <c r="D27" s="573">
        <v>4.1059999999999999</v>
      </c>
      <c r="E27" s="580">
        <v>25000000</v>
      </c>
      <c r="F27" s="558"/>
      <c r="G27" s="558"/>
      <c r="H27" s="558"/>
      <c r="M27" s="558"/>
      <c r="N27" s="558"/>
      <c r="O27" s="558"/>
      <c r="P27" s="558"/>
      <c r="Q27" s="558"/>
      <c r="R27" s="558"/>
      <c r="S27" s="558"/>
      <c r="T27" s="558"/>
      <c r="Y27" s="558"/>
      <c r="Z27" s="558"/>
    </row>
    <row r="28" spans="1:26" ht="12.75" customHeight="1" x14ac:dyDescent="0.25">
      <c r="A28" s="558"/>
      <c r="B28" s="558"/>
      <c r="C28" s="558"/>
      <c r="D28" s="558"/>
      <c r="E28" s="558"/>
      <c r="F28" s="558"/>
      <c r="G28" s="558"/>
      <c r="H28" s="558"/>
      <c r="J28" s="591">
        <f>IF(J29&gt;$A$27,J29,VLOOKUP(J29,$A$4:$A$27,1,TRUE))</f>
        <v>1000000</v>
      </c>
      <c r="K28" s="592">
        <f>VLOOKUP(J28,$A$4:$D$27,VLOOKUP($AB$3,$G$4:$H$6,2,TRUE),FALSE)</f>
        <v>1</v>
      </c>
      <c r="M28" s="558"/>
      <c r="N28" s="558"/>
      <c r="O28" s="558"/>
      <c r="P28" s="558"/>
      <c r="Q28" s="558"/>
      <c r="R28" s="558"/>
      <c r="S28" s="558"/>
      <c r="T28" s="558"/>
      <c r="V28" s="591">
        <f>IF(V29&gt;$M$25,V29,VLOOKUP(V29,$M$4:$M$26,1,TRUE))</f>
        <v>10000</v>
      </c>
      <c r="W28" s="592">
        <f>VLOOKUP(V28,$M$4:$P$26,VLOOKUP($AB$3,$S$4:$T$6,2,TRUE),FALSE)</f>
        <v>0.91400000000000003</v>
      </c>
      <c r="Y28" s="558"/>
      <c r="Z28" s="558"/>
    </row>
    <row r="29" spans="1:26" ht="12.75" customHeight="1" x14ac:dyDescent="0.25">
      <c r="A29" s="558"/>
      <c r="B29" s="587"/>
      <c r="C29" s="587"/>
      <c r="D29" s="587"/>
      <c r="E29" s="587"/>
      <c r="F29" s="558"/>
      <c r="G29" s="558"/>
      <c r="H29" s="558"/>
      <c r="J29" s="584">
        <f>Rater!C467</f>
        <v>1000000</v>
      </c>
      <c r="K29" s="592">
        <f>IF(K30=K28,K30,K28+(((J29-J28)/(J30-J28))*(K30-K28)))</f>
        <v>1</v>
      </c>
      <c r="M29" s="558"/>
      <c r="N29" s="558"/>
      <c r="O29" s="558"/>
      <c r="P29" s="558"/>
      <c r="Q29" s="558"/>
      <c r="R29" s="558"/>
      <c r="S29" s="558"/>
      <c r="T29" s="558"/>
      <c r="V29" s="584">
        <f>Rater!E467</f>
        <v>10000</v>
      </c>
      <c r="W29" s="592">
        <f>IF(W30=W28,W30,W28+(((V29-V28)/(V30-V28))*(W30-W28)))</f>
        <v>0.91400000000000003</v>
      </c>
      <c r="Y29" s="558"/>
      <c r="Z29" s="558"/>
    </row>
    <row r="30" spans="1:26" ht="12.75" customHeight="1" x14ac:dyDescent="0.25">
      <c r="A30" s="558"/>
      <c r="B30" s="587"/>
      <c r="C30" s="587"/>
      <c r="D30" s="587"/>
      <c r="E30" s="587"/>
      <c r="F30" s="558"/>
      <c r="G30" s="558"/>
      <c r="H30" s="558"/>
      <c r="J30" s="591">
        <f>IF(J29&gt;$A$27,J29,VLOOKUP(J29,$A$4:$E$27,5,TRUE))</f>
        <v>2000000</v>
      </c>
      <c r="K30" s="592">
        <f>VLOOKUP(J30,$A$4:$D$27,VLOOKUP($AB$3,$G$4:$H$6,2,TRUE),FALSE)</f>
        <v>1.75</v>
      </c>
      <c r="M30" s="558"/>
      <c r="N30" s="558"/>
      <c r="O30" s="558"/>
      <c r="P30" s="558"/>
      <c r="Q30" s="558"/>
      <c r="R30" s="558"/>
      <c r="S30" s="558"/>
      <c r="T30" s="558"/>
      <c r="V30" s="591">
        <f>IF(V29&gt;$M$25,V29,VLOOKUP(V29,$M$4:$Q$26,5,TRUE))</f>
        <v>15000</v>
      </c>
      <c r="W30" s="592">
        <f>VLOOKUP(V30,$M$4:$P$26,VLOOKUP($AB$3,$S$4:$T$6,2,TRUE),FALSE)</f>
        <v>0.874</v>
      </c>
      <c r="Y30" s="558"/>
      <c r="Z30" s="558"/>
    </row>
    <row r="31" spans="1:26" ht="12.75" customHeight="1" x14ac:dyDescent="0.25">
      <c r="A31" s="558"/>
      <c r="B31" s="587"/>
      <c r="C31" s="587"/>
      <c r="D31" s="587"/>
      <c r="E31" s="587"/>
      <c r="F31" s="558"/>
      <c r="G31" s="558"/>
      <c r="H31" s="558"/>
      <c r="M31" s="558"/>
      <c r="N31" s="558"/>
      <c r="O31" s="558"/>
      <c r="P31" s="558"/>
      <c r="Q31" s="558"/>
      <c r="R31" s="558"/>
      <c r="S31" s="558"/>
      <c r="T31" s="558"/>
      <c r="Y31" s="558"/>
      <c r="Z31" s="558"/>
    </row>
    <row r="32" spans="1:26" ht="12.75" customHeight="1" x14ac:dyDescent="0.25">
      <c r="A32" s="558"/>
      <c r="B32" s="587"/>
      <c r="C32" s="587"/>
      <c r="D32" s="587"/>
      <c r="E32" s="587"/>
      <c r="F32" s="558"/>
      <c r="G32" s="558"/>
      <c r="H32" s="558"/>
      <c r="J32" s="591">
        <f>IF(J33&gt;$A$27,J33,VLOOKUP(J33,$A$4:$A$27,1,TRUE))</f>
        <v>1000000</v>
      </c>
      <c r="K32" s="592">
        <f>VLOOKUP(J32,$A$4:$D$27,VLOOKUP($AB$3,$G$4:$H$6,2,TRUE),FALSE)</f>
        <v>1</v>
      </c>
      <c r="M32" s="558"/>
      <c r="N32" s="558"/>
      <c r="O32" s="558"/>
      <c r="P32" s="558"/>
      <c r="Q32" s="558"/>
      <c r="R32" s="558"/>
      <c r="S32" s="558"/>
      <c r="T32" s="558"/>
      <c r="V32" s="591">
        <f>IF(V33&gt;$M$25,V33,VLOOKUP(V33,$M$4:$M$26,1,TRUE))</f>
        <v>10000</v>
      </c>
      <c r="W32" s="592">
        <f>VLOOKUP(V32,$M$4:$P$26,VLOOKUP($AB$3,$S$4:$T$6,2,TRUE),FALSE)</f>
        <v>0.91400000000000003</v>
      </c>
      <c r="Y32" s="558"/>
      <c r="Z32" s="558"/>
    </row>
    <row r="33" spans="1:26" ht="12.75" customHeight="1" x14ac:dyDescent="0.25">
      <c r="A33" s="558"/>
      <c r="B33" s="587"/>
      <c r="C33" s="587"/>
      <c r="D33" s="587"/>
      <c r="E33" s="587"/>
      <c r="F33" s="558"/>
      <c r="G33" s="558"/>
      <c r="H33" s="558"/>
      <c r="J33" s="584">
        <f>Rater!C472</f>
        <v>1000000</v>
      </c>
      <c r="K33" s="592">
        <f>IF(K34=K32,K34,K32+(((J33-J32)/(J34-J32))*(K34-K32)))</f>
        <v>1</v>
      </c>
      <c r="M33" s="558"/>
      <c r="N33" s="558"/>
      <c r="O33" s="558"/>
      <c r="P33" s="558"/>
      <c r="Q33" s="558"/>
      <c r="R33" s="558"/>
      <c r="S33" s="558"/>
      <c r="T33" s="558"/>
      <c r="V33" s="584">
        <f>Rater!E472</f>
        <v>10000</v>
      </c>
      <c r="W33" s="592">
        <f>IF(W34=W32,W34,W32+(((V33-V32)/(V34-V32))*(W34-W32)))</f>
        <v>0.91400000000000003</v>
      </c>
      <c r="Y33" s="558"/>
      <c r="Z33" s="558"/>
    </row>
    <row r="34" spans="1:26" ht="12.75" customHeight="1" x14ac:dyDescent="0.25">
      <c r="A34" s="558"/>
      <c r="B34" s="587"/>
      <c r="C34" s="587"/>
      <c r="D34" s="587"/>
      <c r="E34" s="587"/>
      <c r="F34" s="558"/>
      <c r="G34" s="558"/>
      <c r="H34" s="558"/>
      <c r="J34" s="591">
        <f>IF(J33&gt;$A$27,J33,VLOOKUP(J33,$A$4:$E$27,5,TRUE))</f>
        <v>2000000</v>
      </c>
      <c r="K34" s="592">
        <f>VLOOKUP(J34,$A$4:$D$27,VLOOKUP($AB$3,$G$4:$H$6,2,TRUE),FALSE)</f>
        <v>1.75</v>
      </c>
      <c r="M34" s="558"/>
      <c r="N34" s="558"/>
      <c r="O34" s="558"/>
      <c r="P34" s="558"/>
      <c r="Q34" s="558"/>
      <c r="R34" s="558"/>
      <c r="S34" s="558"/>
      <c r="T34" s="558"/>
      <c r="V34" s="591">
        <f>IF(V33&gt;$M$25,V33,VLOOKUP(V33,$M$4:$Q$26,5,TRUE))</f>
        <v>15000</v>
      </c>
      <c r="W34" s="592">
        <f>VLOOKUP(V34,$M$4:$P$26,VLOOKUP($AB$3,$S$4:$T$6,2,TRUE),FALSE)</f>
        <v>0.874</v>
      </c>
      <c r="Y34" s="558"/>
      <c r="Z34" s="558"/>
    </row>
    <row r="35" spans="1:26" ht="12.75" customHeight="1" x14ac:dyDescent="0.25">
      <c r="A35" s="558"/>
      <c r="B35" s="587"/>
      <c r="C35" s="587"/>
      <c r="D35" s="587"/>
      <c r="E35" s="587"/>
      <c r="F35" s="558"/>
      <c r="G35" s="558"/>
      <c r="H35" s="558"/>
      <c r="M35" s="558"/>
      <c r="N35" s="558"/>
      <c r="O35" s="558"/>
      <c r="P35" s="558"/>
      <c r="Q35" s="558"/>
      <c r="R35" s="558"/>
      <c r="S35" s="558"/>
      <c r="T35" s="558"/>
      <c r="Y35" s="558"/>
      <c r="Z35" s="558"/>
    </row>
    <row r="36" spans="1:26" ht="12.75" customHeight="1" x14ac:dyDescent="0.25">
      <c r="A36" s="558"/>
      <c r="B36" s="587"/>
      <c r="C36" s="587"/>
      <c r="D36" s="587"/>
      <c r="E36" s="587"/>
      <c r="F36" s="558"/>
      <c r="G36" s="558"/>
      <c r="H36" s="558"/>
      <c r="J36" s="591">
        <f>IF(J37&gt;$A$27,J37,VLOOKUP(J37,$A$4:$A$27,1,TRUE))</f>
        <v>1000000</v>
      </c>
      <c r="K36" s="592">
        <f>VLOOKUP(J36,$A$4:$D$27,VLOOKUP($AB$3,$G$4:$H$6,2,TRUE),FALSE)</f>
        <v>1</v>
      </c>
      <c r="N36" s="558"/>
      <c r="O36" s="558"/>
      <c r="P36" s="558"/>
      <c r="Q36" s="558"/>
      <c r="R36" s="558"/>
      <c r="S36" s="558"/>
      <c r="T36" s="558"/>
      <c r="V36" s="591">
        <f>IF(V37&gt;$M$25,V37,VLOOKUP(V37,$M$4:$M$26,1,TRUE))</f>
        <v>10000</v>
      </c>
      <c r="W36" s="592">
        <f>VLOOKUP(V36,$M$4:$P$26,VLOOKUP($AB$3,$S$4:$T$6,2,TRUE),FALSE)</f>
        <v>0.91400000000000003</v>
      </c>
      <c r="Y36" s="558"/>
      <c r="Z36" s="558"/>
    </row>
    <row r="37" spans="1:26" ht="12.75" customHeight="1" x14ac:dyDescent="0.25">
      <c r="B37" s="587"/>
      <c r="C37" s="587"/>
      <c r="D37" s="587"/>
      <c r="E37" s="587"/>
      <c r="F37" s="558"/>
      <c r="G37" s="558"/>
      <c r="H37" s="558"/>
      <c r="J37" s="584">
        <f>Rater!C476</f>
        <v>1000000</v>
      </c>
      <c r="K37" s="592">
        <f>IF(K38=K36,K38,K36+(((J37-J36)/(J38-J36))*(K38-K36)))</f>
        <v>1</v>
      </c>
      <c r="N37" s="558"/>
      <c r="O37" s="558"/>
      <c r="P37" s="558"/>
      <c r="Q37" s="558"/>
      <c r="R37" s="558"/>
      <c r="S37" s="558"/>
      <c r="T37" s="558"/>
      <c r="V37" s="584">
        <f>Rater!E476</f>
        <v>10000</v>
      </c>
      <c r="W37" s="592">
        <f>IF(W38=W36,W38,W36+(((V37-V36)/(V38-V36))*(W38-W36)))</f>
        <v>0.91400000000000003</v>
      </c>
      <c r="Y37" s="558"/>
      <c r="Z37" s="558"/>
    </row>
    <row r="38" spans="1:26" ht="12.75" customHeight="1" x14ac:dyDescent="0.25">
      <c r="B38" s="587"/>
      <c r="C38" s="587"/>
      <c r="D38" s="587"/>
      <c r="E38" s="587"/>
      <c r="F38" s="558"/>
      <c r="G38" s="558"/>
      <c r="H38" s="558"/>
      <c r="J38" s="591">
        <f>IF(J37&gt;$A$27,J37,VLOOKUP(J37,$A$4:$E$27,5,TRUE))</f>
        <v>2000000</v>
      </c>
      <c r="K38" s="592">
        <f>VLOOKUP(J38,$A$4:$D$27,VLOOKUP($AB$3,$G$4:$H$6,2,TRUE),FALSE)</f>
        <v>1.75</v>
      </c>
      <c r="N38" s="558"/>
      <c r="O38" s="558"/>
      <c r="P38" s="558"/>
      <c r="Q38" s="558"/>
      <c r="R38" s="558"/>
      <c r="S38" s="558"/>
      <c r="T38" s="558"/>
      <c r="V38" s="591">
        <f>IF(V37&gt;$M$25,V37,VLOOKUP(V37,$M$4:$Q$26,5,TRUE))</f>
        <v>15000</v>
      </c>
      <c r="W38" s="592">
        <f>VLOOKUP(V38,$M$4:$P$26,VLOOKUP($AB$3,$S$4:$T$6,2,TRUE),FALSE)</f>
        <v>0.874</v>
      </c>
      <c r="Y38" s="558"/>
      <c r="Z38" s="558"/>
    </row>
    <row r="39" spans="1:26" ht="12.75" customHeight="1" x14ac:dyDescent="0.25">
      <c r="B39" s="587"/>
      <c r="C39" s="587"/>
      <c r="D39" s="587"/>
      <c r="E39" s="587"/>
      <c r="F39" s="558"/>
      <c r="G39" s="558"/>
      <c r="H39" s="558"/>
      <c r="N39" s="558"/>
      <c r="O39" s="558"/>
      <c r="P39" s="558"/>
      <c r="Q39" s="558"/>
      <c r="R39" s="558"/>
      <c r="S39" s="558"/>
      <c r="T39" s="558"/>
      <c r="Y39" s="558"/>
      <c r="Z39" s="558"/>
    </row>
    <row r="40" spans="1:26" ht="12.75" customHeight="1" x14ac:dyDescent="0.25">
      <c r="B40" s="587"/>
      <c r="C40" s="587"/>
      <c r="D40" s="587"/>
      <c r="E40" s="587"/>
      <c r="F40" s="558"/>
      <c r="G40" s="558"/>
      <c r="H40" s="558"/>
      <c r="J40" s="591">
        <f>IF(J41&gt;$A$27,J41,VLOOKUP(J41,$A$4:$A$27,1,TRUE))</f>
        <v>1000000</v>
      </c>
      <c r="K40" s="592">
        <f>VLOOKUP(J40,$A$4:$D$27,VLOOKUP($AB$3,$G$4:$H$6,2,TRUE),FALSE)</f>
        <v>1</v>
      </c>
      <c r="N40" s="558"/>
      <c r="O40" s="558"/>
      <c r="P40" s="558"/>
      <c r="Q40" s="558"/>
      <c r="R40" s="558"/>
      <c r="S40" s="558"/>
      <c r="T40" s="558"/>
      <c r="V40" s="591">
        <f>IF(V41&gt;$M$25,V41,VLOOKUP(V41,$M$4:$M$26,1,TRUE))</f>
        <v>10000</v>
      </c>
      <c r="W40" s="592">
        <f>VLOOKUP(V40,$M$4:$P$26,VLOOKUP($AB$3,$S$4:$T$6,2,TRUE),FALSE)</f>
        <v>0.91400000000000003</v>
      </c>
      <c r="Y40" s="558"/>
      <c r="Z40" s="558"/>
    </row>
    <row r="41" spans="1:26" ht="12.75" customHeight="1" x14ac:dyDescent="0.25">
      <c r="B41" s="587"/>
      <c r="C41" s="587"/>
      <c r="D41" s="587"/>
      <c r="E41" s="587"/>
      <c r="F41" s="558"/>
      <c r="G41" s="558"/>
      <c r="H41" s="558"/>
      <c r="J41" s="584">
        <f>Rater!C480</f>
        <v>1000000</v>
      </c>
      <c r="K41" s="592">
        <f>IF(K42=K40,K42,K40+(((J41-J40)/(J42-J40))*(K42-K40)))</f>
        <v>1</v>
      </c>
      <c r="N41" s="558"/>
      <c r="O41" s="558"/>
      <c r="P41" s="558"/>
      <c r="Q41" s="558"/>
      <c r="R41" s="558"/>
      <c r="S41" s="558"/>
      <c r="T41" s="558"/>
      <c r="V41" s="584">
        <f>Rater!E480</f>
        <v>10000</v>
      </c>
      <c r="W41" s="592">
        <f>IF(W42=W40,W42,W40+(((V41-V40)/(V42-V40))*(W42-W40)))</f>
        <v>0.91400000000000003</v>
      </c>
      <c r="Y41" s="558"/>
      <c r="Z41" s="558"/>
    </row>
    <row r="42" spans="1:26" ht="12.75" customHeight="1" x14ac:dyDescent="0.25">
      <c r="B42" s="587"/>
      <c r="C42" s="587"/>
      <c r="D42" s="587"/>
      <c r="E42" s="587"/>
      <c r="F42" s="558"/>
      <c r="G42" s="558"/>
      <c r="H42" s="558"/>
      <c r="J42" s="591">
        <f>IF(J41&gt;$A$27,J41,VLOOKUP(J41,$A$4:$E$27,5,TRUE))</f>
        <v>2000000</v>
      </c>
      <c r="K42" s="592">
        <f>VLOOKUP(J42,$A$4:$D$27,VLOOKUP($AB$3,$G$4:$H$6,2,TRUE),FALSE)</f>
        <v>1.75</v>
      </c>
      <c r="N42" s="558"/>
      <c r="O42" s="558"/>
      <c r="P42" s="558"/>
      <c r="Q42" s="558"/>
      <c r="R42" s="558"/>
      <c r="S42" s="558"/>
      <c r="T42" s="558"/>
      <c r="V42" s="591">
        <f>IF(V41&gt;$M$25,V41,VLOOKUP(V41,$M$4:$Q$26,5,TRUE))</f>
        <v>15000</v>
      </c>
      <c r="W42" s="592">
        <f>VLOOKUP(V42,$M$4:$P$26,VLOOKUP($AB$3,$S$4:$T$6,2,TRUE),FALSE)</f>
        <v>0.874</v>
      </c>
      <c r="Y42" s="558"/>
      <c r="Z42" s="558"/>
    </row>
    <row r="43" spans="1:26" ht="12.75" customHeight="1" x14ac:dyDescent="0.25">
      <c r="B43" s="587"/>
      <c r="C43" s="587"/>
      <c r="D43" s="587"/>
      <c r="E43" s="587"/>
      <c r="F43" s="558"/>
      <c r="G43" s="558"/>
      <c r="H43" s="558"/>
      <c r="N43" s="558"/>
      <c r="O43" s="558"/>
      <c r="P43" s="558"/>
      <c r="Q43" s="558"/>
      <c r="R43" s="558"/>
      <c r="S43" s="558"/>
      <c r="T43" s="558"/>
      <c r="Y43" s="558"/>
      <c r="Z43" s="558"/>
    </row>
    <row r="44" spans="1:26" ht="12.75" customHeight="1" x14ac:dyDescent="0.25">
      <c r="B44" s="587"/>
      <c r="C44" s="587"/>
      <c r="D44" s="587"/>
      <c r="E44" s="587"/>
      <c r="F44" s="558"/>
      <c r="G44" s="558"/>
      <c r="H44" s="558"/>
      <c r="J44" s="591">
        <f>IF(J45&gt;$A$27,J45,VLOOKUP(J45,$A$4:$A$27,1,TRUE))</f>
        <v>0</v>
      </c>
      <c r="K44" s="592">
        <f>VLOOKUP(J44,$A$4:$D$27,VLOOKUP($AB$3,$G$4:$H$6,2,TRUE),FALSE)</f>
        <v>0</v>
      </c>
      <c r="N44" s="558"/>
      <c r="O44" s="558"/>
      <c r="P44" s="558"/>
      <c r="Q44" s="558"/>
      <c r="R44" s="558"/>
      <c r="S44" s="558"/>
      <c r="T44" s="558"/>
      <c r="V44" s="591">
        <f>IF(V45&gt;$M$25,V45,VLOOKUP(V45,$M$4:$M$26,1,TRUE))</f>
        <v>0</v>
      </c>
      <c r="W44" s="592">
        <f>VLOOKUP(V44,$M$4:$P$26,VLOOKUP($AB$3,$S$4:$T$6,2,TRUE),FALSE)</f>
        <v>1.2809999999999999</v>
      </c>
      <c r="Y44" s="558"/>
      <c r="Z44" s="558"/>
    </row>
    <row r="45" spans="1:26" ht="12.75" customHeight="1" x14ac:dyDescent="0.25">
      <c r="B45" s="587"/>
      <c r="C45" s="587"/>
      <c r="D45" s="587"/>
      <c r="E45" s="587"/>
      <c r="J45" s="584">
        <f>Rater!C484</f>
        <v>0</v>
      </c>
      <c r="K45" s="592">
        <f>IF(K46=K44,K46,K44+(((J45-J44)/(J46-J44))*(K46-K44)))</f>
        <v>0</v>
      </c>
      <c r="N45" s="558"/>
      <c r="O45" s="558"/>
      <c r="P45" s="558"/>
      <c r="Q45" s="558"/>
      <c r="V45" s="584">
        <f>Rater!E484</f>
        <v>0</v>
      </c>
      <c r="W45" s="592">
        <f>IF(W46=W44,W46,W44+(((V45-V44)/(V46-V44))*(W46-W44)))</f>
        <v>1.2809999999999999</v>
      </c>
      <c r="Y45" s="558"/>
      <c r="Z45" s="558"/>
    </row>
    <row r="46" spans="1:26" ht="12.75" customHeight="1" x14ac:dyDescent="0.25">
      <c r="B46" s="587"/>
      <c r="C46" s="587"/>
      <c r="D46" s="587"/>
      <c r="E46" s="587"/>
      <c r="J46" s="591">
        <f>IF(J45&gt;$A$27,J45,VLOOKUP(J45,$A$4:$E$27,5,TRUE))</f>
        <v>10000</v>
      </c>
      <c r="K46" s="592">
        <f>VLOOKUP(J46,$A$4:$D$27,VLOOKUP($AB$3,$G$4:$H$6,2,TRUE),FALSE)</f>
        <v>0.42</v>
      </c>
      <c r="N46" s="558"/>
      <c r="O46" s="558"/>
      <c r="P46" s="558"/>
      <c r="Q46" s="558"/>
      <c r="V46" s="591">
        <f>IF(V45&gt;$M$25,V45,VLOOKUP(V45,$M$4:$Q$26,5,TRUE))</f>
        <v>500</v>
      </c>
      <c r="W46" s="592">
        <f>VLOOKUP(V46,$M$4:$P$26,VLOOKUP($AB$3,$S$4:$T$6,2,TRUE),FALSE)</f>
        <v>1.1419999999999999</v>
      </c>
      <c r="Y46" s="558"/>
      <c r="Z46" s="558"/>
    </row>
    <row r="47" spans="1:26" ht="12.75" customHeight="1" x14ac:dyDescent="0.25">
      <c r="B47" s="587"/>
      <c r="C47" s="587"/>
      <c r="D47" s="587"/>
      <c r="E47" s="587"/>
      <c r="N47" s="558"/>
      <c r="O47" s="558"/>
      <c r="P47" s="558"/>
      <c r="Q47" s="558"/>
      <c r="Y47" s="558"/>
      <c r="Z47" s="558"/>
    </row>
    <row r="48" spans="1:26" ht="12.75" customHeight="1" x14ac:dyDescent="0.25">
      <c r="B48" s="587"/>
      <c r="C48" s="587"/>
      <c r="D48" s="587"/>
      <c r="E48" s="587"/>
      <c r="J48" s="591">
        <f>IF(J49&gt;$A$27,J49,VLOOKUP(J49,$A$4:$A$27,1,TRUE))</f>
        <v>0</v>
      </c>
      <c r="K48" s="592">
        <f>VLOOKUP(J48,$A$4:$D$27,VLOOKUP($AB$3,$G$4:$H$6,2,TRUE),FALSE)</f>
        <v>0</v>
      </c>
      <c r="N48" s="558"/>
      <c r="O48" s="558"/>
      <c r="P48" s="558"/>
      <c r="Q48" s="558"/>
      <c r="V48" s="591">
        <f>IF(V49&gt;$M$25,V49,VLOOKUP(V49,$M$4:$M$26,1,TRUE))</f>
        <v>0</v>
      </c>
      <c r="W48" s="592">
        <f>VLOOKUP(V48,$M$4:$P$26,VLOOKUP($AB$3,$S$4:$T$6,2,TRUE),FALSE)</f>
        <v>1.2809999999999999</v>
      </c>
      <c r="Y48" s="558"/>
      <c r="Z48" s="558"/>
    </row>
    <row r="49" spans="2:26" ht="12.75" customHeight="1" x14ac:dyDescent="0.25">
      <c r="B49" s="587"/>
      <c r="C49" s="587"/>
      <c r="D49" s="587"/>
      <c r="E49" s="587"/>
      <c r="J49" s="584">
        <f>Rater!C488</f>
        <v>0</v>
      </c>
      <c r="K49" s="592">
        <f>IF(K50=K48,K50,K48+(((J49-J48)/(J50-J48))*(K50-K48)))</f>
        <v>0</v>
      </c>
      <c r="N49" s="558"/>
      <c r="O49" s="558"/>
      <c r="P49" s="558"/>
      <c r="Q49" s="558"/>
      <c r="V49" s="584">
        <f>Rater!E488</f>
        <v>0</v>
      </c>
      <c r="W49" s="592">
        <f>IF(W50=W48,W50,W48+(((V49-V48)/(V50-V48))*(W50-W48)))</f>
        <v>1.2809999999999999</v>
      </c>
      <c r="Y49" s="558"/>
      <c r="Z49" s="558"/>
    </row>
    <row r="50" spans="2:26" ht="12.75" customHeight="1" x14ac:dyDescent="0.25">
      <c r="B50" s="587"/>
      <c r="C50" s="587"/>
      <c r="D50" s="587"/>
      <c r="E50" s="587"/>
      <c r="J50" s="591">
        <f>IF(J49&gt;$A$27,J49,VLOOKUP(J49,$A$4:$E$27,5,TRUE))</f>
        <v>10000</v>
      </c>
      <c r="K50" s="592">
        <f>VLOOKUP(J50,$A$4:$D$27,VLOOKUP($AB$3,$G$4:$H$6,2,TRUE),FALSE)</f>
        <v>0.42</v>
      </c>
      <c r="V50" s="591">
        <f>IF(V49&gt;$M$25,V49,VLOOKUP(V49,$M$4:$Q$26,5,TRUE))</f>
        <v>500</v>
      </c>
      <c r="W50" s="592">
        <f>VLOOKUP(V50,$M$4:$P$26,VLOOKUP($AB$3,$S$4:$T$6,2,TRUE),FALSE)</f>
        <v>1.1419999999999999</v>
      </c>
      <c r="Y50" s="558"/>
      <c r="Z50" s="558"/>
    </row>
    <row r="51" spans="2:26" ht="12.75" customHeight="1" x14ac:dyDescent="0.25">
      <c r="Y51" s="558"/>
    </row>
    <row r="52" spans="2:26" ht="12.75" customHeight="1" x14ac:dyDescent="0.25">
      <c r="J52" s="591">
        <f>IF(J53&gt;$A$27,J53,VLOOKUP(J53,$A$4:$A$27,1,TRUE))</f>
        <v>0</v>
      </c>
      <c r="K52" s="592">
        <f>VLOOKUP(J52,$A$4:$D$27,VLOOKUP($AB$3,$G$4:$H$6,2,TRUE),FALSE)</f>
        <v>0</v>
      </c>
      <c r="N52" s="558"/>
      <c r="O52" s="558"/>
      <c r="P52" s="558"/>
      <c r="Q52" s="558"/>
      <c r="V52" s="591">
        <f>IF(V53&gt;$M$25,V53,VLOOKUP(V53,$M$4:$M$26,1,TRUE))</f>
        <v>10000</v>
      </c>
      <c r="W52" s="592">
        <f>VLOOKUP(V52,$M$4:$P$26,VLOOKUP($AB$3,$S$4:$T$6,2,TRUE),FALSE)</f>
        <v>0.91400000000000003</v>
      </c>
      <c r="Y52" s="558"/>
    </row>
    <row r="53" spans="2:26" ht="12.75" customHeight="1" x14ac:dyDescent="0.25">
      <c r="J53" s="584">
        <f>Rater!C492</f>
        <v>0</v>
      </c>
      <c r="K53" s="592">
        <f>IF(K54=K52,K54,K52+(((J53-J52)/(J54-J52))*(K54-K52)))</f>
        <v>0</v>
      </c>
      <c r="N53" s="558"/>
      <c r="O53" s="558"/>
      <c r="P53" s="558"/>
      <c r="Q53" s="558"/>
      <c r="V53" s="584">
        <f>Rater!E492</f>
        <v>10000</v>
      </c>
      <c r="W53" s="592">
        <f>IF(W54=W52,W54,W52+(((V53-V52)/(V54-V52))*(W54-W52)))</f>
        <v>0.91400000000000003</v>
      </c>
      <c r="Y53" s="558"/>
    </row>
    <row r="54" spans="2:26" ht="12.75" customHeight="1" x14ac:dyDescent="0.25">
      <c r="J54" s="591">
        <f>IF(J53&gt;$A$27,J53,VLOOKUP(J53,$A$4:$E$27,5,TRUE))</f>
        <v>10000</v>
      </c>
      <c r="K54" s="592">
        <f>VLOOKUP(J54,$A$4:$D$27,VLOOKUP($AB$3,$G$4:$H$6,2,TRUE),FALSE)</f>
        <v>0.42</v>
      </c>
      <c r="V54" s="591">
        <f>IF(V53&gt;$M$25,V53,VLOOKUP(V53,$M$4:$Q$26,5,TRUE))</f>
        <v>15000</v>
      </c>
      <c r="W54" s="592">
        <f>VLOOKUP(V54,$M$4:$P$26,VLOOKUP($AB$3,$S$4:$T$6,2,TRUE),FALSE)</f>
        <v>0.874</v>
      </c>
      <c r="Y54" s="558"/>
    </row>
    <row r="55" spans="2:26" ht="12.75" customHeight="1" x14ac:dyDescent="0.25">
      <c r="Y55" s="558"/>
    </row>
    <row r="56" spans="2:26" ht="12.75" customHeight="1" x14ac:dyDescent="0.25">
      <c r="J56" s="591">
        <f>IF(J57&gt;$A$27,J57,VLOOKUP(J57,$A$4:$A$27,1,TRUE))</f>
        <v>0</v>
      </c>
      <c r="K56" s="592">
        <f>VLOOKUP(J56,$A$4:$D$27,VLOOKUP($AB$3,$G$4:$H$6,2,TRUE),FALSE)</f>
        <v>0</v>
      </c>
      <c r="N56" s="558"/>
      <c r="O56" s="558"/>
      <c r="P56" s="558"/>
      <c r="Q56" s="558"/>
      <c r="V56" s="591">
        <f>IF(V57&gt;$M$25,V57,VLOOKUP(V57,$M$4:$M$26,1,TRUE))</f>
        <v>0</v>
      </c>
      <c r="W56" s="592">
        <f>VLOOKUP(V56,$M$4:$P$26,VLOOKUP($AB$3,$S$4:$T$6,2,TRUE),FALSE)</f>
        <v>1.2809999999999999</v>
      </c>
      <c r="Y56" s="558"/>
    </row>
    <row r="57" spans="2:26" ht="12.75" customHeight="1" x14ac:dyDescent="0.25">
      <c r="J57" s="584">
        <f>Rater!C496</f>
        <v>0</v>
      </c>
      <c r="K57" s="592">
        <f>IF(K58=K56,K58,K56+(((J57-J56)/(J58-J56))*(K58-K56)))</f>
        <v>0</v>
      </c>
      <c r="N57" s="558"/>
      <c r="O57" s="558"/>
      <c r="P57" s="558"/>
      <c r="Q57" s="558"/>
      <c r="V57" s="584">
        <f>Rater!E496</f>
        <v>0</v>
      </c>
      <c r="W57" s="592">
        <f>IF(W58=W56,W58,W56+(((V57-V56)/(V58-V56))*(W58-W56)))</f>
        <v>1.2809999999999999</v>
      </c>
      <c r="Y57" s="558"/>
    </row>
    <row r="58" spans="2:26" ht="12.75" customHeight="1" x14ac:dyDescent="0.25">
      <c r="J58" s="591">
        <f>IF(J57&gt;$A$27,J57,VLOOKUP(J57,$A$4:$E$27,5,TRUE))</f>
        <v>10000</v>
      </c>
      <c r="K58" s="592">
        <f>VLOOKUP(J58,$A$4:$D$27,VLOOKUP($AB$3,$G$4:$H$6,2,TRUE),FALSE)</f>
        <v>0.42</v>
      </c>
      <c r="V58" s="591">
        <f>IF(V57&gt;$M$25,V57,VLOOKUP(V57,$M$4:$Q$26,5,TRUE))</f>
        <v>500</v>
      </c>
      <c r="W58" s="592">
        <f>VLOOKUP(V58,$M$4:$P$26,VLOOKUP($AB$3,$S$4:$T$6,2,TRUE),FALSE)</f>
        <v>1.1419999999999999</v>
      </c>
      <c r="Y58" s="558"/>
    </row>
    <row r="59" spans="2:26" ht="12.75" customHeight="1" x14ac:dyDescent="0.25">
      <c r="Y59" s="558"/>
    </row>
    <row r="60" spans="2:26" ht="12.75" customHeight="1" x14ac:dyDescent="0.25">
      <c r="J60" s="591">
        <f>IF(J61&gt;$A$27,J61,VLOOKUP(J61,$A$4:$A$27,1,TRUE))</f>
        <v>0</v>
      </c>
      <c r="K60" s="592">
        <f>VLOOKUP(J60,$A$4:$D$27,VLOOKUP($AB$3,$G$4:$H$6,2,TRUE),FALSE)</f>
        <v>0</v>
      </c>
      <c r="N60" s="558"/>
      <c r="O60" s="558"/>
      <c r="P60" s="558"/>
      <c r="Q60" s="558"/>
      <c r="V60" s="591">
        <f>IF(V61&gt;$M$25,V61,VLOOKUP(V61,$M$4:$M$26,1,TRUE))</f>
        <v>0</v>
      </c>
      <c r="W60" s="592">
        <f>VLOOKUP(V60,$M$4:$P$26,VLOOKUP($AB$3,$S$4:$T$6,2,TRUE),FALSE)</f>
        <v>1.2809999999999999</v>
      </c>
      <c r="Y60" s="558"/>
    </row>
    <row r="61" spans="2:26" ht="12.75" customHeight="1" x14ac:dyDescent="0.25">
      <c r="J61" s="584">
        <f>Rater!C500</f>
        <v>0</v>
      </c>
      <c r="K61" s="592">
        <f>IF(K62=K60,K62,K60+(((J61-J60)/(J62-J60))*(K62-K60)))</f>
        <v>0</v>
      </c>
      <c r="N61" s="558"/>
      <c r="O61" s="558"/>
      <c r="P61" s="558"/>
      <c r="Q61" s="558"/>
      <c r="V61" s="584">
        <f>Rater!E500</f>
        <v>0</v>
      </c>
      <c r="W61" s="592">
        <f>IF(W62=W60,W62,W60+(((V61-V60)/(V62-V60))*(W62-W60)))</f>
        <v>1.2809999999999999</v>
      </c>
      <c r="Y61" s="558"/>
    </row>
    <row r="62" spans="2:26" ht="12.75" customHeight="1" x14ac:dyDescent="0.25">
      <c r="J62" s="591">
        <f>IF(J61&gt;$A$27,J61,VLOOKUP(J61,$A$4:$E$27,5,TRUE))</f>
        <v>10000</v>
      </c>
      <c r="K62" s="592">
        <f>VLOOKUP(J62,$A$4:$D$27,VLOOKUP($AB$3,$G$4:$H$6,2,TRUE),FALSE)</f>
        <v>0.42</v>
      </c>
      <c r="V62" s="591">
        <f>IF(V61&gt;$M$25,V61,VLOOKUP(V61,$M$4:$Q$26,5,TRUE))</f>
        <v>500</v>
      </c>
      <c r="W62" s="592">
        <f>VLOOKUP(V62,$M$4:$P$26,VLOOKUP($AB$3,$S$4:$T$6,2,TRUE),FALSE)</f>
        <v>1.1419999999999999</v>
      </c>
      <c r="Y62" s="558"/>
    </row>
    <row r="63" spans="2:26" ht="12.75" customHeight="1" x14ac:dyDescent="0.25">
      <c r="Y63" s="558"/>
    </row>
    <row r="64" spans="2:26" ht="12.75" customHeight="1" x14ac:dyDescent="0.2">
      <c r="J64" s="593" t="s">
        <v>408</v>
      </c>
    </row>
    <row r="65" spans="10:11" ht="12.75" customHeight="1" x14ac:dyDescent="0.25">
      <c r="J65" s="591">
        <f>IF(J66&gt;$A$27,J66,VLOOKUP(J66,$A$4:$A$27,1,TRUE))</f>
        <v>1000000</v>
      </c>
      <c r="K65" s="592">
        <f>VLOOKUP(J65,$A$4:$D$27,VLOOKUP($AB$3,$G$4:$H$6,2,TRUE),FALSE)</f>
        <v>1</v>
      </c>
    </row>
    <row r="66" spans="10:11" ht="12.75" customHeight="1" x14ac:dyDescent="0.25">
      <c r="J66" s="584">
        <f>Rater!D41+Rater!I506</f>
        <v>1000000</v>
      </c>
      <c r="K66" s="592">
        <f>IF(K67=K65,K67,K65+(((J66-J65)/(J67-J65))*(K67-K65)))</f>
        <v>1</v>
      </c>
    </row>
    <row r="67" spans="10:11" ht="12.75" customHeight="1" x14ac:dyDescent="0.25">
      <c r="J67" s="591">
        <f>IF(J66&gt;$A$27,J66,VLOOKUP(J66,$A$4:$E$27,5,TRUE))</f>
        <v>2000000</v>
      </c>
      <c r="K67" s="592">
        <f>VLOOKUP(J67,$A$4:$D$27,VLOOKUP($AB$3,$G$4:$H$6,2,TRUE),FALSE)</f>
        <v>1.75</v>
      </c>
    </row>
    <row r="69" spans="10:11" ht="12.75" customHeight="1" x14ac:dyDescent="0.25">
      <c r="J69" s="591">
        <f>IF(J70&gt;$A$27,J70,VLOOKUP(J70,$A$4:$A$27,1,TRUE))</f>
        <v>1000000</v>
      </c>
      <c r="K69" s="592">
        <f>VLOOKUP(J69,$A$4:$D$27,VLOOKUP($AB$3,$G$4:$H$6,2,TRUE),FALSE)</f>
        <v>1</v>
      </c>
    </row>
    <row r="70" spans="10:11" ht="12.75" customHeight="1" x14ac:dyDescent="0.25">
      <c r="J70" s="584">
        <f>Rater!D41</f>
        <v>1000000</v>
      </c>
      <c r="K70" s="592">
        <f>IF(K71=K69,K71,K69+(((J70-J69)/(J71-J69))*(K71-K69)))</f>
        <v>1</v>
      </c>
    </row>
    <row r="71" spans="10:11" ht="12.75" customHeight="1" x14ac:dyDescent="0.25">
      <c r="J71" s="591">
        <f>IF(J70&gt;$A$27,J70,VLOOKUP(J70,$A$4:$E$27,5,TRUE))</f>
        <v>2000000</v>
      </c>
      <c r="K71" s="592">
        <f>VLOOKUP(J71,$A$4:$D$27,VLOOKUP($AB$3,$G$4:$H$6,2,TRUE),FALSE)</f>
        <v>1.75</v>
      </c>
    </row>
  </sheetData>
  <sheetProtection password="DA63" sheet="1" objects="1" scenarios="1"/>
  <pageMargins left="0.7" right="0.7" top="0.75" bottom="0.75" header="0.3" footer="0.3"/>
  <pageSetup orientation="portrait" horizont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pageSetUpPr fitToPage="1"/>
  </sheetPr>
  <dimension ref="A1:AX54"/>
  <sheetViews>
    <sheetView workbookViewId="0"/>
  </sheetViews>
  <sheetFormatPr defaultColWidth="9.140625" defaultRowHeight="12.75" customHeight="1" x14ac:dyDescent="0.2"/>
  <cols>
    <col min="1" max="1" width="14.28515625" style="580" bestFit="1" customWidth="1"/>
    <col min="2" max="3" width="7.42578125" style="578" bestFit="1" customWidth="1"/>
    <col min="4" max="7" width="8.42578125" style="578" bestFit="1" customWidth="1"/>
    <col min="8" max="13" width="9.7109375" style="578" bestFit="1" customWidth="1"/>
    <col min="14" max="14" width="11.7109375" style="578" bestFit="1" customWidth="1"/>
    <col min="15" max="16" width="11.7109375" style="578" customWidth="1"/>
    <col min="17" max="17" width="11.7109375" style="578" bestFit="1" customWidth="1"/>
    <col min="18" max="18" width="9.140625" style="578"/>
    <col min="19" max="24" width="14.42578125" style="579" customWidth="1"/>
    <col min="25" max="25" width="9.140625" style="578"/>
    <col min="26" max="26" width="10.42578125" style="578" bestFit="1" customWidth="1"/>
    <col min="27" max="34" width="9.140625" style="578"/>
    <col min="35" max="35" width="2.7109375" style="578" customWidth="1"/>
    <col min="36" max="37" width="11.5703125" style="578" bestFit="1" customWidth="1"/>
    <col min="38" max="40" width="10.42578125" style="578" bestFit="1" customWidth="1"/>
    <col min="41" max="42" width="9.140625" style="578"/>
    <col min="43" max="43" width="10.42578125" style="578" bestFit="1" customWidth="1"/>
    <col min="44" max="16384" width="9.140625" style="578"/>
  </cols>
  <sheetData>
    <row r="1" spans="1:50" ht="12.75" customHeight="1" thickTop="1" thickBot="1" x14ac:dyDescent="0.3">
      <c r="A1" s="576" t="s">
        <v>303</v>
      </c>
      <c r="B1" s="558"/>
    </row>
    <row r="2" spans="1:50" ht="12.75" customHeight="1" thickTop="1" x14ac:dyDescent="0.25">
      <c r="B2" s="581" t="s">
        <v>366</v>
      </c>
      <c r="S2" s="582"/>
      <c r="T2" s="582"/>
      <c r="U2" s="582"/>
    </row>
    <row r="3" spans="1:50" ht="12.75" customHeight="1" x14ac:dyDescent="0.25">
      <c r="A3" s="583" t="s">
        <v>285</v>
      </c>
      <c r="B3" s="580">
        <v>1000</v>
      </c>
      <c r="C3" s="580">
        <v>1500</v>
      </c>
      <c r="D3" s="580">
        <v>2500</v>
      </c>
      <c r="E3" s="580">
        <v>5000</v>
      </c>
      <c r="F3" s="580">
        <v>10000</v>
      </c>
      <c r="G3" s="580">
        <v>15000</v>
      </c>
      <c r="H3" s="580">
        <v>25000</v>
      </c>
      <c r="I3" s="580">
        <v>50000</v>
      </c>
      <c r="J3" s="580">
        <v>75000</v>
      </c>
      <c r="K3" s="580">
        <v>100000</v>
      </c>
      <c r="L3" s="580">
        <v>150000</v>
      </c>
      <c r="M3" s="580">
        <v>250000</v>
      </c>
      <c r="N3" s="580">
        <v>500000</v>
      </c>
      <c r="O3" s="580"/>
      <c r="P3" s="580"/>
      <c r="S3" s="582"/>
      <c r="T3" s="582"/>
      <c r="U3" s="582"/>
    </row>
    <row r="4" spans="1:50" ht="12.75" customHeight="1" x14ac:dyDescent="0.25">
      <c r="A4" s="580">
        <v>0</v>
      </c>
      <c r="B4" s="573">
        <v>0</v>
      </c>
      <c r="C4" s="573">
        <v>0</v>
      </c>
      <c r="D4" s="573">
        <v>0</v>
      </c>
      <c r="E4" s="573">
        <v>0</v>
      </c>
      <c r="F4" s="573">
        <v>0</v>
      </c>
      <c r="G4" s="573">
        <v>0</v>
      </c>
      <c r="H4" s="573">
        <v>0</v>
      </c>
      <c r="I4" s="573">
        <v>0</v>
      </c>
      <c r="J4" s="573">
        <v>0</v>
      </c>
      <c r="K4" s="573">
        <v>0</v>
      </c>
      <c r="L4" s="573">
        <v>0</v>
      </c>
      <c r="M4" s="573">
        <v>0</v>
      </c>
      <c r="N4" s="573">
        <v>0</v>
      </c>
      <c r="O4" s="573"/>
      <c r="P4" s="573"/>
      <c r="S4" s="579">
        <v>0</v>
      </c>
      <c r="T4" s="579">
        <v>10000</v>
      </c>
      <c r="U4" s="584">
        <f>Rater!P41</f>
        <v>1000000</v>
      </c>
      <c r="V4" s="579">
        <v>1000</v>
      </c>
      <c r="W4" s="579">
        <v>1500</v>
      </c>
      <c r="X4" s="584">
        <f>Rater!P43</f>
        <v>10000</v>
      </c>
      <c r="Z4" s="579">
        <v>1000</v>
      </c>
      <c r="AA4" s="578">
        <v>2</v>
      </c>
      <c r="AJ4" s="579">
        <v>0</v>
      </c>
      <c r="AK4" s="579">
        <v>10000</v>
      </c>
      <c r="AL4" s="579">
        <f>MiscLmt+MiscSdLmt</f>
        <v>1000000</v>
      </c>
      <c r="AM4" s="579">
        <v>1000</v>
      </c>
      <c r="AN4" s="579">
        <v>1500</v>
      </c>
      <c r="AO4" s="579">
        <f>MiscRet</f>
        <v>10000</v>
      </c>
      <c r="AQ4" s="579">
        <v>1000</v>
      </c>
      <c r="AR4" s="578">
        <v>2</v>
      </c>
    </row>
    <row r="5" spans="1:50" ht="12.75" customHeight="1" x14ac:dyDescent="0.25">
      <c r="A5" s="580">
        <v>10000</v>
      </c>
      <c r="B5" s="573">
        <v>0.30499999999999999</v>
      </c>
      <c r="C5" s="573">
        <v>0.29099999999999998</v>
      </c>
      <c r="D5" s="573">
        <v>0.27300000000000002</v>
      </c>
      <c r="E5" s="573">
        <v>0.24</v>
      </c>
      <c r="F5" s="573">
        <v>0.2</v>
      </c>
      <c r="G5" s="573">
        <v>0.18</v>
      </c>
      <c r="H5" s="573">
        <v>0.161</v>
      </c>
      <c r="I5" s="573">
        <v>0.126</v>
      </c>
      <c r="J5" s="573">
        <v>9.6000000000000002E-2</v>
      </c>
      <c r="K5" s="573">
        <v>0.08</v>
      </c>
      <c r="L5" s="573">
        <v>5.5E-2</v>
      </c>
      <c r="M5" s="573">
        <v>3.2000000000000001E-2</v>
      </c>
      <c r="N5" s="573">
        <v>0.01</v>
      </c>
      <c r="O5" s="573"/>
      <c r="P5" s="573"/>
      <c r="S5" s="579">
        <v>10000</v>
      </c>
      <c r="T5" s="579">
        <v>25000</v>
      </c>
      <c r="U5" s="584">
        <f>IF(U4&gt;S18,U4,VLOOKUP(U4,$S$4:$T$24,1,TRUE))</f>
        <v>1000000</v>
      </c>
      <c r="V5" s="579">
        <v>1500</v>
      </c>
      <c r="W5" s="579">
        <v>2500</v>
      </c>
      <c r="X5" s="584">
        <f>IF(X4&gt;V16,X4,VLOOKUP(X4,$V$4:$W$16,1,TRUE))</f>
        <v>10000</v>
      </c>
      <c r="Z5" s="579">
        <v>1500</v>
      </c>
      <c r="AA5" s="578">
        <f>AA4+1</f>
        <v>3</v>
      </c>
      <c r="AB5" s="585">
        <f>VLOOKUP(U5,$A$4:$N$25,VLOOKUP(X5,$Z$4:$AA$16,2,FALSE),FALSE)</f>
        <v>1.0960000000000001</v>
      </c>
      <c r="AD5" s="585">
        <f>VLOOKUP(U5,$A$4:$N$25,VLOOKUP(X6,$Z$4:$AA$16,2,FALSE),FALSE)</f>
        <v>1.048</v>
      </c>
      <c r="AJ5" s="579">
        <v>10000</v>
      </c>
      <c r="AK5" s="579">
        <v>25000</v>
      </c>
      <c r="AL5" s="579">
        <f>IF(AL4&gt;AJ18,AL4,VLOOKUP(AL4,AJ4:AK18,1,TRUE))</f>
        <v>1000000</v>
      </c>
      <c r="AM5" s="579">
        <v>1500</v>
      </c>
      <c r="AN5" s="579">
        <v>2500</v>
      </c>
      <c r="AO5" s="579">
        <f>IF(AO4&gt;AM16,AO4,VLOOKUP(AO4,AM4:AN16,1,TRUE))</f>
        <v>10000</v>
      </c>
      <c r="AQ5" s="579">
        <v>1500</v>
      </c>
      <c r="AR5" s="578">
        <v>3</v>
      </c>
      <c r="AS5" s="578">
        <f>VLOOKUP(AL5,$A$4:$N$18,VLOOKUP(AO5,AQ4:AR16,2,FALSE),FALSE)</f>
        <v>1.0960000000000001</v>
      </c>
      <c r="AU5" s="578">
        <f>VLOOKUP(AL5,$A$4:$N$18,VLOOKUP(AO6,AQ4:AR16,2,FALSE),FALSE)</f>
        <v>1.048</v>
      </c>
    </row>
    <row r="6" spans="1:50" ht="12.75" customHeight="1" x14ac:dyDescent="0.25">
      <c r="A6" s="580">
        <v>25000</v>
      </c>
      <c r="B6" s="573">
        <v>0.32400000000000001</v>
      </c>
      <c r="C6" s="573">
        <v>0.309</v>
      </c>
      <c r="D6" s="573">
        <v>0.28999999999999998</v>
      </c>
      <c r="E6" s="573">
        <v>0.25700000000000001</v>
      </c>
      <c r="F6" s="573">
        <v>0.216</v>
      </c>
      <c r="G6" s="573">
        <v>0.19500000000000001</v>
      </c>
      <c r="H6" s="573">
        <v>0.17499999999999999</v>
      </c>
      <c r="I6" s="573">
        <v>0.13900000000000001</v>
      </c>
      <c r="J6" s="573">
        <v>0.109</v>
      </c>
      <c r="K6" s="573">
        <v>9.0999999999999998E-2</v>
      </c>
      <c r="L6" s="573">
        <v>6.6000000000000003E-2</v>
      </c>
      <c r="M6" s="573">
        <v>4.2000000000000003E-2</v>
      </c>
      <c r="N6" s="573">
        <v>0.02</v>
      </c>
      <c r="O6" s="573"/>
      <c r="P6" s="573"/>
      <c r="S6" s="579">
        <v>25000</v>
      </c>
      <c r="T6" s="579">
        <v>100000</v>
      </c>
      <c r="U6" s="584">
        <f>IF(U4&gt;S18,U4,VLOOKUP(U5,$S$4:$T$24,2,TRUE))</f>
        <v>2000000</v>
      </c>
      <c r="V6" s="579">
        <v>2500</v>
      </c>
      <c r="W6" s="579">
        <v>5000</v>
      </c>
      <c r="X6" s="584">
        <f>IF(X4&gt;V16,X4,VLOOKUP(X5,$V$4:$W$16,2,TRUE))</f>
        <v>15000</v>
      </c>
      <c r="Z6" s="579">
        <v>2500</v>
      </c>
      <c r="AA6" s="578">
        <f t="shared" ref="AA6:AA16" si="0">AA5+1</f>
        <v>4</v>
      </c>
      <c r="AB6" s="585">
        <f>VLOOKUP(U6,$A$4:$N$25,VLOOKUP(X5,$Z$4:$AA$16,2,FALSE),FALSE)</f>
        <v>1.6950000000000001</v>
      </c>
      <c r="AC6" s="585">
        <f>IF(AB6=AB5,AB6,(((U4-U5)/(U6-U5))*(AB6-AB5))+AB5)</f>
        <v>1.0960000000000001</v>
      </c>
      <c r="AD6" s="585">
        <f>VLOOKUP(U6,$A$4:$N$25,VLOOKUP(X6,$Z$4:$AA$16,2,FALSE),FALSE)</f>
        <v>1.6359999999999999</v>
      </c>
      <c r="AE6" s="585">
        <f>IF(AD6=AD5,AD6,(((U4-U5)/(U6-U5))*(AD6-AD5))+AD5)</f>
        <v>1.048</v>
      </c>
      <c r="AG6" s="585">
        <f>IF(AE6=AC6,AE6,AC6-(((X4-X5)/(X6-X5))*(AC6-AE6)))</f>
        <v>1.0960000000000001</v>
      </c>
      <c r="AJ6" s="579">
        <v>25000</v>
      </c>
      <c r="AK6" s="579">
        <v>100000</v>
      </c>
      <c r="AL6" s="579">
        <f>IF(AL4&gt;AJ18,AL4,VLOOKUP(AL5,AJ4:AK18,2,TRUE))</f>
        <v>2000000</v>
      </c>
      <c r="AM6" s="579">
        <v>2500</v>
      </c>
      <c r="AN6" s="579">
        <v>5000</v>
      </c>
      <c r="AO6" s="579">
        <f>IF(AO4&gt;AM16,AO4,VLOOKUP(AO5,AM4:AN16,2,TRUE))</f>
        <v>15000</v>
      </c>
      <c r="AQ6" s="579">
        <v>2500</v>
      </c>
      <c r="AR6" s="578">
        <v>4</v>
      </c>
      <c r="AS6" s="578">
        <f>VLOOKUP(AL6,$A$4:$N$18,VLOOKUP(AO5,AQ4:AR16,2,FALSE),FALSE)</f>
        <v>1.6950000000000001</v>
      </c>
      <c r="AT6" s="578">
        <f>IF(AS6=AS5,AS6,(((AL4-AL5)/(AL6-AL5))*(AS6-AS5))+AS5)</f>
        <v>1.0960000000000001</v>
      </c>
      <c r="AU6" s="578">
        <f>VLOOKUP(AL6,$A$4:$N$18,VLOOKUP(AO6,AQ4:AR16,2,FALSE),FALSE)</f>
        <v>1.6359999999999999</v>
      </c>
      <c r="AV6" s="578">
        <f>IF(AU6=AU5,AU6,(((AL4-AL5)/(AL6-AL5))*(AU6-AU5))+AU5)</f>
        <v>1.048</v>
      </c>
      <c r="AX6" s="578">
        <f>IF(AV6=AT6,AV6,AT6-(((AO4-AO5)/(AO6-AO5))*(AT6-AV6)))</f>
        <v>1.0960000000000001</v>
      </c>
    </row>
    <row r="7" spans="1:50" ht="12.75" customHeight="1" x14ac:dyDescent="0.2">
      <c r="A7" s="580">
        <v>100000</v>
      </c>
      <c r="B7" s="573">
        <v>0.41699999999999998</v>
      </c>
      <c r="C7" s="573">
        <v>0.40100000000000002</v>
      </c>
      <c r="D7" s="573">
        <v>0.379</v>
      </c>
      <c r="E7" s="573">
        <v>0.34</v>
      </c>
      <c r="F7" s="573">
        <v>0.29199999999999998</v>
      </c>
      <c r="G7" s="573">
        <v>0.26900000000000002</v>
      </c>
      <c r="H7" s="573">
        <v>0.246</v>
      </c>
      <c r="I7" s="573">
        <v>0.20399999999999999</v>
      </c>
      <c r="J7" s="573">
        <v>0.17</v>
      </c>
      <c r="K7" s="573">
        <v>0.15</v>
      </c>
      <c r="L7" s="573">
        <v>0.121</v>
      </c>
      <c r="M7" s="573">
        <v>9.2999999999999999E-2</v>
      </c>
      <c r="N7" s="573">
        <v>6.8000000000000005E-2</v>
      </c>
      <c r="O7" s="573"/>
      <c r="P7" s="573"/>
      <c r="S7" s="579">
        <v>100000</v>
      </c>
      <c r="T7" s="579">
        <v>250000</v>
      </c>
      <c r="V7" s="579">
        <v>5000</v>
      </c>
      <c r="W7" s="579">
        <v>10000</v>
      </c>
      <c r="Z7" s="579">
        <v>5000</v>
      </c>
      <c r="AA7" s="578">
        <f t="shared" si="0"/>
        <v>5</v>
      </c>
      <c r="AJ7" s="579">
        <v>100000</v>
      </c>
      <c r="AK7" s="579">
        <v>250000</v>
      </c>
      <c r="AM7" s="579">
        <v>5000</v>
      </c>
      <c r="AN7" s="579">
        <v>10000</v>
      </c>
      <c r="AQ7" s="579">
        <v>5000</v>
      </c>
      <c r="AR7" s="578">
        <v>5</v>
      </c>
    </row>
    <row r="8" spans="1:50" ht="12.75" customHeight="1" x14ac:dyDescent="0.25">
      <c r="A8" s="580">
        <v>250000</v>
      </c>
      <c r="B8" s="573">
        <v>0.60199999999999998</v>
      </c>
      <c r="C8" s="573">
        <v>0.58299999999999996</v>
      </c>
      <c r="D8" s="573">
        <v>0.55500000000000005</v>
      </c>
      <c r="E8" s="573">
        <v>0.50600000000000001</v>
      </c>
      <c r="F8" s="573">
        <v>0.44500000000000001</v>
      </c>
      <c r="G8" s="573">
        <v>0.41699999999999998</v>
      </c>
      <c r="H8" s="573">
        <v>0.38900000000000001</v>
      </c>
      <c r="I8" s="573">
        <v>0.33500000000000002</v>
      </c>
      <c r="J8" s="573">
        <v>0.29299999999999998</v>
      </c>
      <c r="K8" s="573">
        <v>0.26600000000000001</v>
      </c>
      <c r="L8" s="573">
        <v>0.23100000000000001</v>
      </c>
      <c r="M8" s="573">
        <v>0.19600000000000001</v>
      </c>
      <c r="N8" s="573">
        <v>0.16300000000000001</v>
      </c>
      <c r="O8" s="573"/>
      <c r="P8" s="573"/>
      <c r="S8" s="579">
        <v>250000</v>
      </c>
      <c r="T8" s="579">
        <v>500000</v>
      </c>
      <c r="U8" s="558"/>
      <c r="V8" s="579">
        <v>10000</v>
      </c>
      <c r="W8" s="579">
        <v>15000</v>
      </c>
      <c r="X8" s="558"/>
      <c r="Z8" s="579">
        <v>10000</v>
      </c>
      <c r="AA8" s="578">
        <f t="shared" si="0"/>
        <v>6</v>
      </c>
      <c r="AG8" s="573"/>
      <c r="AJ8" s="579">
        <v>250000</v>
      </c>
      <c r="AK8" s="579">
        <v>500000</v>
      </c>
      <c r="AM8" s="579">
        <v>10000</v>
      </c>
      <c r="AN8" s="579">
        <v>15000</v>
      </c>
      <c r="AQ8" s="579">
        <v>10000</v>
      </c>
      <c r="AR8" s="578">
        <v>6</v>
      </c>
    </row>
    <row r="9" spans="1:50" ht="12.75" customHeight="1" x14ac:dyDescent="0.25">
      <c r="A9" s="580">
        <v>500000</v>
      </c>
      <c r="B9" s="573">
        <v>0.91100000000000003</v>
      </c>
      <c r="C9" s="573">
        <v>0.88700000000000001</v>
      </c>
      <c r="D9" s="573">
        <v>0.84899999999999998</v>
      </c>
      <c r="E9" s="573">
        <v>0.78300000000000003</v>
      </c>
      <c r="F9" s="573">
        <v>0.7</v>
      </c>
      <c r="G9" s="573">
        <v>0.66400000000000003</v>
      </c>
      <c r="H9" s="573">
        <v>0.627</v>
      </c>
      <c r="I9" s="573">
        <v>0.55300000000000005</v>
      </c>
      <c r="J9" s="573">
        <v>0.498</v>
      </c>
      <c r="K9" s="573">
        <v>0.46</v>
      </c>
      <c r="L9" s="573">
        <v>0.41399999999999998</v>
      </c>
      <c r="M9" s="573">
        <v>0.36699999999999999</v>
      </c>
      <c r="N9" s="573">
        <v>0.32200000000000001</v>
      </c>
      <c r="O9" s="573"/>
      <c r="P9" s="573"/>
      <c r="S9" s="579">
        <v>500000</v>
      </c>
      <c r="T9" s="579">
        <v>1000000</v>
      </c>
      <c r="U9" s="558"/>
      <c r="V9" s="579">
        <v>15000</v>
      </c>
      <c r="W9" s="579">
        <v>25000</v>
      </c>
      <c r="X9" s="558"/>
      <c r="Z9" s="579">
        <v>15000</v>
      </c>
      <c r="AA9" s="578">
        <f t="shared" si="0"/>
        <v>7</v>
      </c>
      <c r="AB9" s="558"/>
      <c r="AC9" s="558"/>
      <c r="AD9" s="558"/>
      <c r="AE9" s="558"/>
      <c r="AF9" s="558"/>
      <c r="AG9" s="558"/>
      <c r="AJ9" s="579">
        <v>500000</v>
      </c>
      <c r="AK9" s="579">
        <v>1000000</v>
      </c>
      <c r="AM9" s="579">
        <v>15000</v>
      </c>
      <c r="AN9" s="579">
        <v>25000</v>
      </c>
      <c r="AQ9" s="579">
        <v>15000</v>
      </c>
      <c r="AR9" s="578">
        <v>7</v>
      </c>
    </row>
    <row r="10" spans="1:50" ht="12.75" customHeight="1" x14ac:dyDescent="0.25">
      <c r="A10" s="580">
        <v>1000000</v>
      </c>
      <c r="B10" s="573">
        <v>1.371</v>
      </c>
      <c r="C10" s="573">
        <v>1.34</v>
      </c>
      <c r="D10" s="573">
        <v>1.292</v>
      </c>
      <c r="E10" s="573">
        <v>1.2050000000000001</v>
      </c>
      <c r="F10" s="573">
        <v>1.0960000000000001</v>
      </c>
      <c r="G10" s="573">
        <v>1.048</v>
      </c>
      <c r="H10" s="573">
        <v>1</v>
      </c>
      <c r="I10" s="573">
        <v>0.90400000000000003</v>
      </c>
      <c r="J10" s="573">
        <v>0.83099999999999996</v>
      </c>
      <c r="K10" s="573">
        <v>0.78300000000000003</v>
      </c>
      <c r="L10" s="573">
        <v>0.72299999999999998</v>
      </c>
      <c r="M10" s="573">
        <v>0.66300000000000003</v>
      </c>
      <c r="N10" s="573">
        <v>0.60199999999999998</v>
      </c>
      <c r="O10" s="573"/>
      <c r="P10" s="573"/>
      <c r="S10" s="579">
        <v>1000000</v>
      </c>
      <c r="T10" s="579">
        <v>2000000</v>
      </c>
      <c r="U10" s="558"/>
      <c r="V10" s="579">
        <v>25000</v>
      </c>
      <c r="W10" s="579">
        <v>50000</v>
      </c>
      <c r="X10" s="558"/>
      <c r="Z10" s="579">
        <v>25000</v>
      </c>
      <c r="AA10" s="578">
        <f t="shared" si="0"/>
        <v>8</v>
      </c>
      <c r="AB10" s="558"/>
      <c r="AC10" s="558"/>
      <c r="AD10" s="558"/>
      <c r="AE10" s="558"/>
      <c r="AF10" s="558"/>
      <c r="AG10" s="558"/>
      <c r="AJ10" s="579">
        <v>1000000</v>
      </c>
      <c r="AK10" s="579">
        <v>2000000</v>
      </c>
      <c r="AM10" s="579">
        <v>25000</v>
      </c>
      <c r="AN10" s="579">
        <v>50000</v>
      </c>
      <c r="AQ10" s="579">
        <v>25000</v>
      </c>
      <c r="AR10" s="578">
        <v>8</v>
      </c>
    </row>
    <row r="11" spans="1:50" ht="12.75" customHeight="1" x14ac:dyDescent="0.25">
      <c r="A11" s="580">
        <v>2000000</v>
      </c>
      <c r="B11" s="573">
        <v>2.0390000000000001</v>
      </c>
      <c r="C11" s="573">
        <v>2</v>
      </c>
      <c r="D11" s="573">
        <v>1.94</v>
      </c>
      <c r="E11" s="573">
        <v>1.831</v>
      </c>
      <c r="F11" s="573">
        <v>1.6950000000000001</v>
      </c>
      <c r="G11" s="573">
        <v>1.6359999999999999</v>
      </c>
      <c r="H11" s="573">
        <v>1.5760000000000001</v>
      </c>
      <c r="I11" s="573">
        <v>1.4550000000000001</v>
      </c>
      <c r="J11" s="573">
        <v>1.365</v>
      </c>
      <c r="K11" s="573">
        <v>1.3049999999999999</v>
      </c>
      <c r="L11" s="573">
        <v>1.23</v>
      </c>
      <c r="M11" s="573">
        <v>1.1539999999999999</v>
      </c>
      <c r="N11" s="573">
        <v>1.08</v>
      </c>
      <c r="O11" s="573"/>
      <c r="P11" s="573"/>
      <c r="S11" s="579">
        <v>2000000</v>
      </c>
      <c r="T11" s="579">
        <v>3000000</v>
      </c>
      <c r="U11" s="558"/>
      <c r="V11" s="579">
        <v>50000</v>
      </c>
      <c r="W11" s="579">
        <v>75000</v>
      </c>
      <c r="X11" s="558"/>
      <c r="Z11" s="579">
        <v>50000</v>
      </c>
      <c r="AA11" s="578">
        <f t="shared" si="0"/>
        <v>9</v>
      </c>
      <c r="AB11" s="558"/>
      <c r="AC11" s="558"/>
      <c r="AD11" s="558"/>
      <c r="AE11" s="558"/>
      <c r="AF11" s="558"/>
      <c r="AG11" s="558"/>
      <c r="AJ11" s="579">
        <v>2000000</v>
      </c>
      <c r="AK11" s="579">
        <v>3000000</v>
      </c>
      <c r="AM11" s="579">
        <v>50000</v>
      </c>
      <c r="AN11" s="579">
        <v>75000</v>
      </c>
      <c r="AQ11" s="579">
        <v>50000</v>
      </c>
      <c r="AR11" s="578">
        <v>9</v>
      </c>
    </row>
    <row r="12" spans="1:50" ht="12.75" customHeight="1" x14ac:dyDescent="0.25">
      <c r="A12" s="580">
        <v>3000000</v>
      </c>
      <c r="B12" s="573">
        <v>2.528</v>
      </c>
      <c r="C12" s="573">
        <v>2.4860000000000002</v>
      </c>
      <c r="D12" s="573">
        <v>2.419</v>
      </c>
      <c r="E12" s="573">
        <v>2.3010000000000002</v>
      </c>
      <c r="F12" s="573">
        <v>2.1520000000000001</v>
      </c>
      <c r="G12" s="573">
        <v>2.0870000000000002</v>
      </c>
      <c r="H12" s="573">
        <v>2.02</v>
      </c>
      <c r="I12" s="573">
        <v>1.889</v>
      </c>
      <c r="J12" s="573">
        <v>1.79</v>
      </c>
      <c r="K12" s="573">
        <v>1.724</v>
      </c>
      <c r="L12" s="573">
        <v>1.6419999999999999</v>
      </c>
      <c r="M12" s="573">
        <v>1.5589999999999999</v>
      </c>
      <c r="N12" s="573">
        <v>1.4770000000000001</v>
      </c>
      <c r="O12" s="573"/>
      <c r="P12" s="573"/>
      <c r="S12" s="579">
        <v>3000000</v>
      </c>
      <c r="T12" s="579">
        <v>4000000</v>
      </c>
      <c r="U12" s="558"/>
      <c r="V12" s="579">
        <v>75000</v>
      </c>
      <c r="W12" s="579">
        <v>100000</v>
      </c>
      <c r="X12" s="558"/>
      <c r="Z12" s="579">
        <v>75000</v>
      </c>
      <c r="AA12" s="578">
        <f t="shared" si="0"/>
        <v>10</v>
      </c>
      <c r="AB12" s="558"/>
      <c r="AC12" s="558"/>
      <c r="AD12" s="558"/>
      <c r="AE12" s="558"/>
      <c r="AF12" s="558"/>
      <c r="AG12" s="558"/>
      <c r="AJ12" s="579">
        <v>3000000</v>
      </c>
      <c r="AK12" s="579">
        <v>4000000</v>
      </c>
      <c r="AM12" s="579">
        <v>75000</v>
      </c>
      <c r="AN12" s="579">
        <v>100000</v>
      </c>
      <c r="AQ12" s="579">
        <v>75000</v>
      </c>
      <c r="AR12" s="578">
        <v>10</v>
      </c>
    </row>
    <row r="13" spans="1:50" ht="12.75" customHeight="1" x14ac:dyDescent="0.25">
      <c r="A13" s="580">
        <v>4000000</v>
      </c>
      <c r="B13" s="573">
        <v>2.8580000000000001</v>
      </c>
      <c r="C13" s="573">
        <v>2.8140000000000001</v>
      </c>
      <c r="D13" s="573">
        <v>2.7469999999999999</v>
      </c>
      <c r="E13" s="573">
        <v>2.6269999999999998</v>
      </c>
      <c r="F13" s="573">
        <v>2.4750000000000001</v>
      </c>
      <c r="G13" s="573">
        <v>2.407</v>
      </c>
      <c r="H13" s="573">
        <v>2.34</v>
      </c>
      <c r="I13" s="573">
        <v>2.2050000000000001</v>
      </c>
      <c r="J13" s="573">
        <v>2.1040000000000001</v>
      </c>
      <c r="K13" s="573">
        <v>2.036</v>
      </c>
      <c r="L13" s="573">
        <v>1.952</v>
      </c>
      <c r="M13" s="573">
        <v>1.867</v>
      </c>
      <c r="N13" s="573">
        <v>1.784</v>
      </c>
      <c r="O13" s="573"/>
      <c r="P13" s="573"/>
      <c r="S13" s="579">
        <v>4000000</v>
      </c>
      <c r="T13" s="579">
        <v>5000000</v>
      </c>
      <c r="U13" s="558"/>
      <c r="V13" s="579">
        <v>100000</v>
      </c>
      <c r="W13" s="579">
        <v>150000</v>
      </c>
      <c r="X13" s="558"/>
      <c r="Z13" s="579">
        <v>100000</v>
      </c>
      <c r="AA13" s="578">
        <f t="shared" si="0"/>
        <v>11</v>
      </c>
      <c r="AB13" s="558"/>
      <c r="AC13" s="558"/>
      <c r="AD13" s="558"/>
      <c r="AE13" s="558"/>
      <c r="AF13" s="558"/>
      <c r="AG13" s="558"/>
      <c r="AJ13" s="579">
        <v>4000000</v>
      </c>
      <c r="AK13" s="579">
        <v>5000000</v>
      </c>
      <c r="AM13" s="579">
        <v>100000</v>
      </c>
      <c r="AN13" s="579">
        <v>150000</v>
      </c>
      <c r="AQ13" s="579">
        <v>100000</v>
      </c>
      <c r="AR13" s="578">
        <v>11</v>
      </c>
    </row>
    <row r="14" spans="1:50" ht="12.75" customHeight="1" x14ac:dyDescent="0.25">
      <c r="A14" s="580">
        <v>5000000</v>
      </c>
      <c r="B14" s="573">
        <v>3.11</v>
      </c>
      <c r="C14" s="573">
        <v>3.0659999999999998</v>
      </c>
      <c r="D14" s="573">
        <v>3</v>
      </c>
      <c r="E14" s="573">
        <v>2.88</v>
      </c>
      <c r="F14" s="573">
        <v>2.7280000000000002</v>
      </c>
      <c r="G14" s="573">
        <v>2.66</v>
      </c>
      <c r="H14" s="573">
        <v>2.593</v>
      </c>
      <c r="I14" s="573">
        <v>2.4590000000000001</v>
      </c>
      <c r="J14" s="573">
        <v>2.3580000000000001</v>
      </c>
      <c r="K14" s="573">
        <v>2.29</v>
      </c>
      <c r="L14" s="573">
        <v>2.2069999999999999</v>
      </c>
      <c r="M14" s="573">
        <v>2.1230000000000002</v>
      </c>
      <c r="N14" s="573">
        <v>2.0390000000000001</v>
      </c>
      <c r="O14" s="573"/>
      <c r="P14" s="573"/>
      <c r="S14" s="579">
        <v>5000000</v>
      </c>
      <c r="T14" s="579">
        <v>10000000</v>
      </c>
      <c r="U14" s="558"/>
      <c r="V14" s="579">
        <v>150000</v>
      </c>
      <c r="W14" s="579">
        <v>250000</v>
      </c>
      <c r="X14" s="558"/>
      <c r="Z14" s="579">
        <v>150000</v>
      </c>
      <c r="AA14" s="578">
        <f t="shared" si="0"/>
        <v>12</v>
      </c>
      <c r="AB14" s="558"/>
      <c r="AC14" s="558"/>
      <c r="AD14" s="558"/>
      <c r="AE14" s="558"/>
      <c r="AF14" s="558"/>
      <c r="AG14" s="558"/>
      <c r="AJ14" s="579">
        <v>5000000</v>
      </c>
      <c r="AK14" s="579">
        <v>10000000</v>
      </c>
      <c r="AM14" s="579">
        <v>150000</v>
      </c>
      <c r="AN14" s="579">
        <v>250000</v>
      </c>
      <c r="AQ14" s="579">
        <v>150000</v>
      </c>
      <c r="AR14" s="578">
        <v>12</v>
      </c>
    </row>
    <row r="15" spans="1:50" ht="12.75" customHeight="1" x14ac:dyDescent="0.25">
      <c r="A15" s="580">
        <v>10000000</v>
      </c>
      <c r="B15" s="573">
        <v>3.8889999999999998</v>
      </c>
      <c r="C15" s="573">
        <v>3.8519999999999999</v>
      </c>
      <c r="D15" s="573">
        <v>3.7930000000000001</v>
      </c>
      <c r="E15" s="573">
        <v>3.6869999999999998</v>
      </c>
      <c r="F15" s="573">
        <v>3.552</v>
      </c>
      <c r="G15" s="573">
        <v>3.4929999999999999</v>
      </c>
      <c r="H15" s="573">
        <v>3.4329999999999998</v>
      </c>
      <c r="I15" s="573">
        <v>3.3130000000000002</v>
      </c>
      <c r="J15" s="573">
        <v>3.2240000000000002</v>
      </c>
      <c r="K15" s="573">
        <v>3.165</v>
      </c>
      <c r="L15" s="573">
        <v>3.09</v>
      </c>
      <c r="M15" s="573">
        <v>3.016</v>
      </c>
      <c r="N15" s="573">
        <v>2.9409999999999998</v>
      </c>
      <c r="O15" s="573"/>
      <c r="P15" s="573"/>
      <c r="S15" s="579">
        <v>10000000</v>
      </c>
      <c r="T15" s="579">
        <v>15000000</v>
      </c>
      <c r="U15" s="582"/>
      <c r="V15" s="579">
        <v>250000</v>
      </c>
      <c r="W15" s="579">
        <v>500000</v>
      </c>
      <c r="Z15" s="579">
        <v>250000</v>
      </c>
      <c r="AA15" s="578">
        <f t="shared" si="0"/>
        <v>13</v>
      </c>
      <c r="AJ15" s="579">
        <v>10000000</v>
      </c>
      <c r="AK15" s="579">
        <v>15000000</v>
      </c>
      <c r="AM15" s="579">
        <v>250000</v>
      </c>
      <c r="AN15" s="579">
        <v>500000</v>
      </c>
      <c r="AQ15" s="579">
        <v>250000</v>
      </c>
      <c r="AR15" s="578">
        <v>13</v>
      </c>
    </row>
    <row r="16" spans="1:50" ht="12.75" customHeight="1" x14ac:dyDescent="0.25">
      <c r="A16" s="580">
        <v>15000000</v>
      </c>
      <c r="B16" s="573">
        <v>4.3869999999999996</v>
      </c>
      <c r="C16" s="573">
        <v>4.3550000000000004</v>
      </c>
      <c r="D16" s="573">
        <v>4.3070000000000004</v>
      </c>
      <c r="E16" s="573">
        <v>4.2169999999999996</v>
      </c>
      <c r="F16" s="573">
        <v>4.1020000000000003</v>
      </c>
      <c r="G16" s="573">
        <v>4.0519999999999996</v>
      </c>
      <c r="H16" s="573">
        <v>4.0019999999999998</v>
      </c>
      <c r="I16" s="573">
        <v>3.9009999999999998</v>
      </c>
      <c r="J16" s="573">
        <v>3.8250000000000002</v>
      </c>
      <c r="K16" s="573">
        <v>3.7749999999999999</v>
      </c>
      <c r="L16" s="573">
        <v>3.7120000000000002</v>
      </c>
      <c r="M16" s="573">
        <v>3.649</v>
      </c>
      <c r="N16" s="573">
        <v>3.5859999999999999</v>
      </c>
      <c r="O16" s="573"/>
      <c r="P16" s="573"/>
      <c r="S16" s="579">
        <v>15000000</v>
      </c>
      <c r="T16" s="579">
        <v>20000000</v>
      </c>
      <c r="U16" s="582"/>
      <c r="V16" s="579">
        <v>500000</v>
      </c>
      <c r="W16" s="579">
        <v>500000</v>
      </c>
      <c r="Z16" s="579">
        <v>500000</v>
      </c>
      <c r="AA16" s="578">
        <f t="shared" si="0"/>
        <v>14</v>
      </c>
      <c r="AJ16" s="579">
        <v>15000000</v>
      </c>
      <c r="AK16" s="579">
        <v>20000000</v>
      </c>
      <c r="AM16" s="579">
        <v>500000</v>
      </c>
      <c r="AN16" s="579">
        <v>500000</v>
      </c>
      <c r="AQ16" s="579">
        <v>500000</v>
      </c>
      <c r="AR16" s="578">
        <v>14</v>
      </c>
    </row>
    <row r="17" spans="1:50" ht="12.75" customHeight="1" x14ac:dyDescent="0.25">
      <c r="A17" s="580">
        <v>20000000</v>
      </c>
      <c r="B17" s="573">
        <v>4.6660000000000004</v>
      </c>
      <c r="C17" s="573">
        <v>4.641</v>
      </c>
      <c r="D17" s="573">
        <v>4.6020000000000003</v>
      </c>
      <c r="E17" s="573">
        <v>4.53</v>
      </c>
      <c r="F17" s="573">
        <v>4.4390000000000001</v>
      </c>
      <c r="G17" s="573">
        <v>4.3979999999999997</v>
      </c>
      <c r="H17" s="573">
        <v>4.3570000000000002</v>
      </c>
      <c r="I17" s="573">
        <v>4.2759999999999998</v>
      </c>
      <c r="J17" s="573">
        <v>4.2140000000000004</v>
      </c>
      <c r="K17" s="573">
        <v>4.173</v>
      </c>
      <c r="L17" s="573">
        <v>4.1230000000000002</v>
      </c>
      <c r="M17" s="573">
        <v>4.0720000000000001</v>
      </c>
      <c r="N17" s="573">
        <v>4.0220000000000002</v>
      </c>
      <c r="O17" s="573"/>
      <c r="P17" s="573"/>
      <c r="S17" s="579">
        <v>20000000</v>
      </c>
      <c r="T17" s="579">
        <v>25000000</v>
      </c>
      <c r="U17" s="582"/>
      <c r="AJ17" s="579">
        <v>20000000</v>
      </c>
      <c r="AK17" s="579">
        <v>25000000</v>
      </c>
    </row>
    <row r="18" spans="1:50" ht="12.75" customHeight="1" x14ac:dyDescent="0.25">
      <c r="A18" s="580">
        <v>25000000</v>
      </c>
      <c r="B18" s="573">
        <v>4.9009999999999998</v>
      </c>
      <c r="C18" s="573">
        <v>4.8819999999999997</v>
      </c>
      <c r="D18" s="573">
        <v>4.8520000000000003</v>
      </c>
      <c r="E18" s="573">
        <v>4.7949999999999999</v>
      </c>
      <c r="F18" s="573">
        <v>4.7229999999999999</v>
      </c>
      <c r="G18" s="573">
        <v>4.6920000000000002</v>
      </c>
      <c r="H18" s="573">
        <v>4.6589999999999998</v>
      </c>
      <c r="I18" s="573">
        <v>4.5949999999999998</v>
      </c>
      <c r="J18" s="573">
        <v>4.5469999999999997</v>
      </c>
      <c r="K18" s="573">
        <v>4.516</v>
      </c>
      <c r="L18" s="573">
        <v>4.476</v>
      </c>
      <c r="M18" s="573">
        <v>4.4359999999999999</v>
      </c>
      <c r="N18" s="573">
        <v>4.3949999999999996</v>
      </c>
      <c r="O18" s="558"/>
      <c r="P18" s="558"/>
      <c r="S18" s="579">
        <v>25000000</v>
      </c>
      <c r="T18" s="579">
        <v>25000000</v>
      </c>
      <c r="U18" s="582"/>
      <c r="AJ18" s="579">
        <v>25000000</v>
      </c>
      <c r="AK18" s="579">
        <v>25000000</v>
      </c>
    </row>
    <row r="19" spans="1:50" ht="12.75" customHeight="1" x14ac:dyDescent="0.25">
      <c r="A19" s="558"/>
      <c r="B19" s="558"/>
      <c r="C19" s="558"/>
      <c r="D19" s="558"/>
      <c r="E19" s="558"/>
      <c r="F19" s="558"/>
      <c r="G19" s="558"/>
      <c r="H19" s="558"/>
      <c r="I19" s="558"/>
      <c r="J19" s="558"/>
      <c r="K19" s="558"/>
      <c r="L19" s="558"/>
      <c r="M19" s="558"/>
      <c r="N19" s="558"/>
      <c r="O19" s="558"/>
      <c r="P19" s="558"/>
      <c r="U19" s="582"/>
    </row>
    <row r="20" spans="1:50" ht="12.75" customHeight="1" x14ac:dyDescent="0.25">
      <c r="A20" s="558"/>
      <c r="B20" s="558"/>
      <c r="C20" s="558"/>
      <c r="D20" s="558"/>
      <c r="E20" s="558"/>
      <c r="F20" s="558"/>
      <c r="G20" s="558"/>
      <c r="H20" s="558"/>
      <c r="I20" s="558"/>
      <c r="J20" s="558"/>
      <c r="K20" s="558"/>
      <c r="L20" s="558"/>
      <c r="M20" s="558"/>
      <c r="N20" s="558"/>
      <c r="O20" s="558"/>
      <c r="P20" s="558"/>
      <c r="U20" s="582"/>
    </row>
    <row r="21" spans="1:50" ht="12.75" customHeight="1" x14ac:dyDescent="0.25">
      <c r="A21" s="558"/>
      <c r="B21" s="558"/>
      <c r="C21" s="558"/>
      <c r="D21" s="558"/>
      <c r="E21" s="558"/>
      <c r="F21" s="558"/>
      <c r="G21" s="558"/>
      <c r="H21" s="558"/>
      <c r="I21" s="558"/>
      <c r="J21" s="558"/>
      <c r="K21" s="558"/>
      <c r="L21" s="558"/>
      <c r="M21" s="558"/>
      <c r="N21" s="558"/>
      <c r="O21" s="558"/>
      <c r="P21" s="558"/>
      <c r="U21" s="582"/>
    </row>
    <row r="22" spans="1:50" ht="12.75" customHeight="1" x14ac:dyDescent="0.25">
      <c r="A22" s="558"/>
      <c r="B22" s="558"/>
      <c r="C22" s="558"/>
      <c r="D22" s="558"/>
      <c r="E22" s="558"/>
      <c r="F22" s="558"/>
      <c r="G22" s="558"/>
      <c r="H22" s="558"/>
      <c r="I22" s="558"/>
      <c r="J22" s="558"/>
      <c r="K22" s="558"/>
      <c r="L22" s="558"/>
      <c r="M22" s="558"/>
      <c r="N22" s="558"/>
      <c r="O22" s="558"/>
      <c r="P22" s="558"/>
      <c r="U22" s="582"/>
    </row>
    <row r="23" spans="1:50" ht="12.75" customHeight="1" x14ac:dyDescent="0.25">
      <c r="A23" s="558"/>
      <c r="B23" s="558"/>
      <c r="C23" s="558"/>
      <c r="D23" s="558"/>
      <c r="E23" s="558"/>
      <c r="F23" s="558"/>
      <c r="G23" s="558"/>
      <c r="H23" s="558"/>
      <c r="I23" s="558"/>
      <c r="J23" s="558"/>
      <c r="K23" s="558"/>
      <c r="L23" s="558"/>
      <c r="M23" s="558"/>
      <c r="N23" s="558"/>
      <c r="O23" s="558"/>
      <c r="P23" s="558"/>
    </row>
    <row r="24" spans="1:50" ht="12.75" customHeight="1" x14ac:dyDescent="0.25">
      <c r="A24" s="558"/>
      <c r="B24" s="558"/>
      <c r="C24" s="558"/>
      <c r="D24" s="558"/>
      <c r="E24" s="558"/>
      <c r="F24" s="558"/>
      <c r="G24" s="558"/>
      <c r="H24" s="558"/>
      <c r="I24" s="558"/>
      <c r="J24" s="558"/>
      <c r="K24" s="558"/>
      <c r="L24" s="558"/>
      <c r="M24" s="558"/>
      <c r="N24" s="558"/>
      <c r="O24" s="558"/>
      <c r="P24" s="558"/>
    </row>
    <row r="25" spans="1:50" ht="12.75" customHeight="1" x14ac:dyDescent="0.25">
      <c r="A25" s="558"/>
      <c r="B25" s="558"/>
      <c r="C25" s="558"/>
      <c r="D25" s="558"/>
      <c r="E25" s="558"/>
      <c r="F25" s="558"/>
      <c r="G25" s="558"/>
      <c r="H25" s="558"/>
      <c r="I25" s="558"/>
      <c r="J25" s="558"/>
      <c r="K25" s="558"/>
      <c r="L25" s="558"/>
      <c r="M25" s="558"/>
      <c r="N25" s="558"/>
      <c r="O25" s="558"/>
      <c r="P25" s="558"/>
    </row>
    <row r="26" spans="1:50" ht="12.75" customHeight="1" x14ac:dyDescent="0.25">
      <c r="B26" s="558"/>
      <c r="C26" s="558"/>
      <c r="D26" s="558"/>
      <c r="E26" s="558"/>
      <c r="F26" s="558"/>
      <c r="G26" s="558"/>
      <c r="H26" s="558"/>
      <c r="I26" s="558"/>
      <c r="J26" s="558"/>
      <c r="K26" s="558"/>
      <c r="L26" s="558"/>
      <c r="M26" s="558"/>
      <c r="N26" s="558"/>
    </row>
    <row r="27" spans="1:50" ht="12.75" customHeight="1" x14ac:dyDescent="0.25">
      <c r="B27" s="558"/>
      <c r="C27" s="558"/>
      <c r="D27" s="558"/>
      <c r="E27" s="558"/>
      <c r="F27" s="558"/>
      <c r="G27" s="558"/>
      <c r="H27" s="558"/>
      <c r="I27" s="558"/>
      <c r="J27" s="558"/>
      <c r="K27" s="558"/>
      <c r="L27" s="558"/>
      <c r="M27" s="558"/>
      <c r="N27" s="558"/>
    </row>
    <row r="28" spans="1:50" ht="12.75" customHeight="1" thickBot="1" x14ac:dyDescent="0.3">
      <c r="B28" s="558"/>
      <c r="C28" s="558"/>
      <c r="D28" s="558"/>
      <c r="E28" s="558"/>
      <c r="F28" s="558"/>
      <c r="G28" s="558"/>
      <c r="H28" s="558"/>
      <c r="I28" s="558"/>
      <c r="J28" s="558"/>
      <c r="K28" s="558"/>
      <c r="L28" s="558"/>
      <c r="M28" s="558"/>
      <c r="N28" s="558"/>
    </row>
    <row r="29" spans="1:50" ht="12.75" customHeight="1" thickTop="1" thickBot="1" x14ac:dyDescent="0.3">
      <c r="A29" s="576" t="s">
        <v>748</v>
      </c>
      <c r="U29" s="584">
        <f>Rater!I41</f>
        <v>1000000</v>
      </c>
      <c r="V29" s="579">
        <v>0</v>
      </c>
      <c r="W29" s="579">
        <v>1000</v>
      </c>
      <c r="X29" s="584">
        <f>Rater!I43</f>
        <v>10000</v>
      </c>
      <c r="Z29" s="579">
        <v>0</v>
      </c>
      <c r="AA29" s="578">
        <v>2</v>
      </c>
      <c r="AJ29" s="579">
        <v>0</v>
      </c>
      <c r="AK29" s="579">
        <v>10000</v>
      </c>
      <c r="AL29" s="579">
        <f>EllLmt+EllSdLmt</f>
        <v>1000000</v>
      </c>
      <c r="AM29" s="578">
        <v>0</v>
      </c>
      <c r="AN29" s="579">
        <v>1000</v>
      </c>
      <c r="AO29" s="579">
        <f>EllRet</f>
        <v>10000</v>
      </c>
      <c r="AQ29" s="578">
        <v>0</v>
      </c>
      <c r="AR29" s="578">
        <v>2</v>
      </c>
    </row>
    <row r="30" spans="1:50" ht="12.75" customHeight="1" thickTop="1" x14ac:dyDescent="0.25">
      <c r="B30" s="581" t="s">
        <v>366</v>
      </c>
      <c r="U30" s="584">
        <f>IF(U29&gt;S46,U29,VLOOKUP(U29,S32:T53,1,TRUE))</f>
        <v>1000000</v>
      </c>
      <c r="V30" s="579">
        <v>1000</v>
      </c>
      <c r="W30" s="579">
        <v>1500</v>
      </c>
      <c r="X30" s="584">
        <f>IF(X29&gt;V44,X29,VLOOKUP(X29,V29:W47,1,TRUE))</f>
        <v>10000</v>
      </c>
      <c r="Z30" s="579">
        <v>1000</v>
      </c>
      <c r="AA30" s="578">
        <f>AA29+1</f>
        <v>3</v>
      </c>
      <c r="AB30" s="585">
        <f>VLOOKUP(U30,A32:Q54,VLOOKUP(X30,Z29:AA44,2,FALSE),FALSE)</f>
        <v>0.91</v>
      </c>
      <c r="AD30" s="585">
        <f>VLOOKUP(U30,A32:Q54,VLOOKUP(X31,Z29:AA44,2,FALSE),FALSE)</f>
        <v>0.87</v>
      </c>
      <c r="AJ30" s="579">
        <v>10000</v>
      </c>
      <c r="AK30" s="579">
        <v>25000</v>
      </c>
      <c r="AL30" s="579">
        <f>IF(AL29&gt;AJ43,AL29,VLOOKUP(AL29,AJ29:AK43,1,TRUE))</f>
        <v>1000000</v>
      </c>
      <c r="AM30" s="579">
        <v>1000</v>
      </c>
      <c r="AN30" s="579">
        <v>1500</v>
      </c>
      <c r="AO30" s="579">
        <f>IF(AO29&gt;AM44,AO29,VLOOKUP(AO29,AM29:AN44,1,TRUE))</f>
        <v>10000</v>
      </c>
      <c r="AQ30" s="579">
        <v>1000</v>
      </c>
      <c r="AR30" s="578">
        <v>3</v>
      </c>
      <c r="AS30" s="578">
        <f>VLOOKUP(AL30,A32:Q46,VLOOKUP(AO30,AQ29:AR44,2,FALSE),FALSE)</f>
        <v>0.91</v>
      </c>
      <c r="AU30" s="578">
        <f>VLOOKUP(AL30,A32:Q46,VLOOKUP(AO31,AQ29:AR44,2,FALSE),FALSE)</f>
        <v>0.87</v>
      </c>
    </row>
    <row r="31" spans="1:50" ht="12.75" customHeight="1" x14ac:dyDescent="0.25">
      <c r="A31" s="583" t="s">
        <v>285</v>
      </c>
      <c r="B31" s="580">
        <v>0</v>
      </c>
      <c r="C31" s="580">
        <v>1000</v>
      </c>
      <c r="D31" s="580">
        <v>1500</v>
      </c>
      <c r="E31" s="580">
        <v>2500</v>
      </c>
      <c r="F31" s="580">
        <v>5000</v>
      </c>
      <c r="G31" s="580">
        <v>10000</v>
      </c>
      <c r="H31" s="580">
        <v>15000</v>
      </c>
      <c r="I31" s="580">
        <v>25000</v>
      </c>
      <c r="J31" s="580">
        <v>50000</v>
      </c>
      <c r="K31" s="580">
        <v>75000</v>
      </c>
      <c r="L31" s="580">
        <v>100000</v>
      </c>
      <c r="M31" s="580">
        <v>150000</v>
      </c>
      <c r="N31" s="580">
        <v>250000</v>
      </c>
      <c r="O31" s="580">
        <v>500000</v>
      </c>
      <c r="P31" s="580">
        <v>1000000</v>
      </c>
      <c r="Q31" s="580">
        <v>2000000</v>
      </c>
      <c r="U31" s="584">
        <f>IF(U29&gt;S46,U29,VLOOKUP(U30,S32:T53,2,TRUE))</f>
        <v>2000000</v>
      </c>
      <c r="V31" s="579">
        <v>1500</v>
      </c>
      <c r="W31" s="579">
        <v>2500</v>
      </c>
      <c r="X31" s="584">
        <f>IF(X29&gt;V44,X29,VLOOKUP(X30,V29:W47,2,TRUE))</f>
        <v>15000</v>
      </c>
      <c r="Z31" s="579">
        <v>1500</v>
      </c>
      <c r="AA31" s="578">
        <f t="shared" ref="AA31:AA44" si="1">AA30+1</f>
        <v>4</v>
      </c>
      <c r="AB31" s="585">
        <f>VLOOKUP(U31,A32:Q54,VLOOKUP(X30,Z29:AA44,2,FALSE),FALSE)</f>
        <v>1.407</v>
      </c>
      <c r="AC31" s="585">
        <f>IF(AB31=AB30,AB31,(((U29-U30)/(U31-U30))*(AB31-AB30))+AB30)</f>
        <v>0.91</v>
      </c>
      <c r="AD31" s="585">
        <f>VLOOKUP(U31,A32:Q54,VLOOKUP(X31,Z29:AA44,2,FALSE),FALSE)</f>
        <v>1.3580000000000001</v>
      </c>
      <c r="AE31" s="585">
        <f>IF(AD31=AD30,AD31,(((U29-U30)/(U31-U30))*(AD31-AD30))+AD30)</f>
        <v>0.87</v>
      </c>
      <c r="AG31" s="585">
        <f>IF(AE31=AC31,AE31,AC31-(((X29-X30)/(X31-X30))*(AC31-AE31)))</f>
        <v>0.91</v>
      </c>
      <c r="AJ31" s="579">
        <v>25000</v>
      </c>
      <c r="AK31" s="579">
        <v>100000</v>
      </c>
      <c r="AL31" s="579">
        <f>IF(AL29&gt;AJ43,AL29,VLOOKUP(AL30,AJ29:AK43,2,TRUE))</f>
        <v>2000000</v>
      </c>
      <c r="AM31" s="579">
        <v>1500</v>
      </c>
      <c r="AN31" s="579">
        <v>2500</v>
      </c>
      <c r="AO31" s="579">
        <f>IF(AO29&gt;AM44,AO29,VLOOKUP(AO30,AM29:AN44,2,TRUE))</f>
        <v>15000</v>
      </c>
      <c r="AQ31" s="579">
        <v>1500</v>
      </c>
      <c r="AR31" s="578">
        <v>4</v>
      </c>
      <c r="AS31" s="578">
        <f>VLOOKUP(AL31,A32:Q46,VLOOKUP(AO30,AQ29:AR44,2,FALSE),FALSE)</f>
        <v>1.407</v>
      </c>
      <c r="AT31" s="573">
        <f>IF(AS31=AS30,AS31,(((AL29-AL30)/(AL31-AL30))*(AS31-AS30))+AS30)</f>
        <v>0.91</v>
      </c>
      <c r="AU31" s="578">
        <f>VLOOKUP(AL31,A32:Q46,VLOOKUP(AO31,AQ29:AR44,2,FALSE),FALSE)</f>
        <v>1.3580000000000001</v>
      </c>
      <c r="AV31" s="573">
        <f>IF(AU31=AU30,AU31,(((AL29-AL30)/(AL31-AL30))*(AU31-AU30))+AU30)</f>
        <v>0.87</v>
      </c>
      <c r="AX31" s="573">
        <f>IF(AV31=AT31,AV31,AT31-(((AO29-AO30)/(AO31-AO30))*(AT31-AV31)))</f>
        <v>0.91</v>
      </c>
    </row>
    <row r="32" spans="1:50" ht="12.75" customHeight="1" x14ac:dyDescent="0.2">
      <c r="A32" s="580">
        <v>0</v>
      </c>
      <c r="B32" s="573">
        <v>0</v>
      </c>
      <c r="C32" s="573">
        <v>0</v>
      </c>
      <c r="D32" s="573">
        <v>0</v>
      </c>
      <c r="E32" s="573">
        <v>0</v>
      </c>
      <c r="F32" s="573">
        <v>0</v>
      </c>
      <c r="G32" s="573">
        <v>0</v>
      </c>
      <c r="H32" s="573">
        <v>0</v>
      </c>
      <c r="I32" s="573">
        <v>0</v>
      </c>
      <c r="J32" s="573">
        <v>0</v>
      </c>
      <c r="K32" s="573">
        <v>0</v>
      </c>
      <c r="L32" s="573">
        <v>0</v>
      </c>
      <c r="M32" s="573">
        <v>0</v>
      </c>
      <c r="N32" s="573">
        <v>0</v>
      </c>
      <c r="O32" s="573">
        <v>0</v>
      </c>
      <c r="P32" s="573">
        <v>0</v>
      </c>
      <c r="Q32" s="573">
        <v>0</v>
      </c>
      <c r="S32" s="579">
        <v>0</v>
      </c>
      <c r="T32" s="579">
        <v>10000</v>
      </c>
      <c r="V32" s="579">
        <v>2500</v>
      </c>
      <c r="W32" s="579">
        <v>5000</v>
      </c>
      <c r="Z32" s="579">
        <v>2500</v>
      </c>
      <c r="AA32" s="578">
        <f t="shared" si="1"/>
        <v>5</v>
      </c>
      <c r="AJ32" s="579">
        <v>100000</v>
      </c>
      <c r="AK32" s="579">
        <v>250000</v>
      </c>
      <c r="AM32" s="579">
        <v>2500</v>
      </c>
      <c r="AN32" s="579">
        <v>5000</v>
      </c>
      <c r="AQ32" s="579">
        <v>2500</v>
      </c>
      <c r="AR32" s="578">
        <v>5</v>
      </c>
    </row>
    <row r="33" spans="1:44" ht="12.75" customHeight="1" x14ac:dyDescent="0.2">
      <c r="A33" s="580">
        <v>10000</v>
      </c>
      <c r="B33" s="573">
        <v>0.28899999999999998</v>
      </c>
      <c r="C33" s="573">
        <v>0.254</v>
      </c>
      <c r="D33" s="573">
        <v>0.24199999999999999</v>
      </c>
      <c r="E33" s="573">
        <v>0.22700000000000001</v>
      </c>
      <c r="F33" s="573">
        <v>0.19900000000000001</v>
      </c>
      <c r="G33" s="573">
        <v>0.16500000000000001</v>
      </c>
      <c r="H33" s="573">
        <v>0.14899999999999999</v>
      </c>
      <c r="I33" s="573">
        <v>0.13400000000000001</v>
      </c>
      <c r="J33" s="573">
        <v>0.104</v>
      </c>
      <c r="K33" s="573">
        <v>0.08</v>
      </c>
      <c r="L33" s="573">
        <v>6.6000000000000003E-2</v>
      </c>
      <c r="M33" s="573">
        <v>4.5999999999999999E-2</v>
      </c>
      <c r="N33" s="573">
        <v>2.7E-2</v>
      </c>
      <c r="O33" s="573">
        <v>8.0000000000000002E-3</v>
      </c>
      <c r="P33" s="573">
        <v>7.0000000000000001E-3</v>
      </c>
      <c r="Q33" s="573">
        <v>6.0000000000000001E-3</v>
      </c>
      <c r="S33" s="579">
        <v>10000</v>
      </c>
      <c r="T33" s="579">
        <v>25000</v>
      </c>
      <c r="V33" s="579">
        <v>5000</v>
      </c>
      <c r="W33" s="579">
        <v>10000</v>
      </c>
      <c r="Z33" s="579">
        <v>5000</v>
      </c>
      <c r="AA33" s="578">
        <f t="shared" si="1"/>
        <v>6</v>
      </c>
      <c r="AJ33" s="579">
        <v>250000</v>
      </c>
      <c r="AK33" s="579">
        <v>500000</v>
      </c>
      <c r="AM33" s="579">
        <v>5000</v>
      </c>
      <c r="AN33" s="579">
        <v>10000</v>
      </c>
      <c r="AQ33" s="579">
        <v>5000</v>
      </c>
      <c r="AR33" s="578">
        <v>6</v>
      </c>
    </row>
    <row r="34" spans="1:44" ht="12.75" customHeight="1" x14ac:dyDescent="0.2">
      <c r="A34" s="580">
        <v>25000</v>
      </c>
      <c r="B34" s="573">
        <v>0.30499999999999999</v>
      </c>
      <c r="C34" s="573">
        <v>0.27</v>
      </c>
      <c r="D34" s="573">
        <v>0.25700000000000001</v>
      </c>
      <c r="E34" s="573">
        <v>0.24099999999999999</v>
      </c>
      <c r="F34" s="573">
        <v>0.21299999999999999</v>
      </c>
      <c r="G34" s="573">
        <v>0.17799999999999999</v>
      </c>
      <c r="H34" s="573">
        <v>0.16200000000000001</v>
      </c>
      <c r="I34" s="573">
        <v>0.14599999999999999</v>
      </c>
      <c r="J34" s="573">
        <v>0.115</v>
      </c>
      <c r="K34" s="573">
        <v>0.09</v>
      </c>
      <c r="L34" s="573">
        <v>7.5999999999999998E-2</v>
      </c>
      <c r="M34" s="573">
        <v>5.5E-2</v>
      </c>
      <c r="N34" s="573">
        <v>3.5000000000000003E-2</v>
      </c>
      <c r="O34" s="573">
        <v>1.6E-2</v>
      </c>
      <c r="P34" s="573">
        <v>1.4999999999999999E-2</v>
      </c>
      <c r="Q34" s="573">
        <v>1.4E-2</v>
      </c>
      <c r="S34" s="579">
        <v>25000</v>
      </c>
      <c r="T34" s="579">
        <v>100000</v>
      </c>
      <c r="V34" s="579">
        <v>10000</v>
      </c>
      <c r="W34" s="579">
        <v>15000</v>
      </c>
      <c r="Z34" s="579">
        <v>10000</v>
      </c>
      <c r="AA34" s="578">
        <f t="shared" si="1"/>
        <v>7</v>
      </c>
      <c r="AJ34" s="579">
        <v>500000</v>
      </c>
      <c r="AK34" s="579">
        <v>1000000</v>
      </c>
      <c r="AM34" s="579">
        <v>10000</v>
      </c>
      <c r="AN34" s="579">
        <v>15000</v>
      </c>
      <c r="AQ34" s="579">
        <v>10000</v>
      </c>
      <c r="AR34" s="578">
        <v>7</v>
      </c>
    </row>
    <row r="35" spans="1:44" ht="12.75" customHeight="1" x14ac:dyDescent="0.2">
      <c r="A35" s="580">
        <v>100000</v>
      </c>
      <c r="B35" s="573">
        <v>0.38700000000000001</v>
      </c>
      <c r="C35" s="573">
        <v>0.34599999999999997</v>
      </c>
      <c r="D35" s="573">
        <v>0.33300000000000002</v>
      </c>
      <c r="E35" s="573">
        <v>0.315</v>
      </c>
      <c r="F35" s="573">
        <v>0.28199999999999997</v>
      </c>
      <c r="G35" s="573">
        <v>0.24199999999999999</v>
      </c>
      <c r="H35" s="573">
        <v>0.223</v>
      </c>
      <c r="I35" s="573">
        <v>0.20499999999999999</v>
      </c>
      <c r="J35" s="573">
        <v>0.16900000000000001</v>
      </c>
      <c r="K35" s="573">
        <v>0.14099999999999999</v>
      </c>
      <c r="L35" s="573">
        <v>0.124</v>
      </c>
      <c r="M35" s="573">
        <v>0.10100000000000001</v>
      </c>
      <c r="N35" s="573">
        <v>7.8E-2</v>
      </c>
      <c r="O35" s="573">
        <v>5.6000000000000001E-2</v>
      </c>
      <c r="P35" s="573">
        <v>3.6999999999999998E-2</v>
      </c>
      <c r="Q35" s="573">
        <v>2.3E-2</v>
      </c>
      <c r="S35" s="579">
        <v>100000</v>
      </c>
      <c r="T35" s="579">
        <v>250000</v>
      </c>
      <c r="V35" s="579">
        <v>15000</v>
      </c>
      <c r="W35" s="579">
        <v>25000</v>
      </c>
      <c r="Z35" s="579">
        <v>15000</v>
      </c>
      <c r="AA35" s="578">
        <f t="shared" si="1"/>
        <v>8</v>
      </c>
      <c r="AJ35" s="579">
        <v>1000000</v>
      </c>
      <c r="AK35" s="579">
        <v>2000000</v>
      </c>
      <c r="AM35" s="579">
        <v>15000</v>
      </c>
      <c r="AN35" s="579">
        <v>25000</v>
      </c>
      <c r="AQ35" s="579">
        <v>15000</v>
      </c>
      <c r="AR35" s="578">
        <v>8</v>
      </c>
    </row>
    <row r="36" spans="1:44" ht="12.75" customHeight="1" x14ac:dyDescent="0.2">
      <c r="A36" s="580">
        <v>250000</v>
      </c>
      <c r="B36" s="573">
        <v>0.55000000000000004</v>
      </c>
      <c r="C36" s="573">
        <v>0.5</v>
      </c>
      <c r="D36" s="573">
        <v>0.48399999999999999</v>
      </c>
      <c r="E36" s="573">
        <v>0.46100000000000002</v>
      </c>
      <c r="F36" s="573">
        <v>0.42</v>
      </c>
      <c r="G36" s="573">
        <v>0.36899999999999999</v>
      </c>
      <c r="H36" s="573">
        <v>0.34599999999999997</v>
      </c>
      <c r="I36" s="573">
        <v>0.32300000000000001</v>
      </c>
      <c r="J36" s="573">
        <v>0.27800000000000002</v>
      </c>
      <c r="K36" s="573">
        <v>0.24299999999999999</v>
      </c>
      <c r="L36" s="573">
        <v>0.221</v>
      </c>
      <c r="M36" s="573">
        <v>0.192</v>
      </c>
      <c r="N36" s="573">
        <v>0.16300000000000001</v>
      </c>
      <c r="O36" s="573">
        <v>0.13500000000000001</v>
      </c>
      <c r="P36" s="573">
        <v>0.11</v>
      </c>
      <c r="Q36" s="573">
        <v>0.09</v>
      </c>
      <c r="S36" s="579">
        <v>250000</v>
      </c>
      <c r="T36" s="579">
        <v>500000</v>
      </c>
      <c r="V36" s="579">
        <v>25000</v>
      </c>
      <c r="W36" s="579">
        <v>50000</v>
      </c>
      <c r="Z36" s="579">
        <v>25000</v>
      </c>
      <c r="AA36" s="578">
        <f t="shared" si="1"/>
        <v>9</v>
      </c>
      <c r="AJ36" s="579">
        <v>2000000</v>
      </c>
      <c r="AK36" s="579">
        <v>3000000</v>
      </c>
      <c r="AM36" s="579">
        <v>25000</v>
      </c>
      <c r="AN36" s="579">
        <v>50000</v>
      </c>
      <c r="AQ36" s="579">
        <v>25000</v>
      </c>
      <c r="AR36" s="578">
        <v>9</v>
      </c>
    </row>
    <row r="37" spans="1:44" ht="12.75" customHeight="1" x14ac:dyDescent="0.2">
      <c r="A37" s="580">
        <v>500000</v>
      </c>
      <c r="B37" s="573">
        <v>0.82199999999999995</v>
      </c>
      <c r="C37" s="573">
        <v>0.75600000000000001</v>
      </c>
      <c r="D37" s="573">
        <v>0.73599999999999999</v>
      </c>
      <c r="E37" s="573">
        <v>0.70499999999999996</v>
      </c>
      <c r="F37" s="573">
        <v>0.65</v>
      </c>
      <c r="G37" s="573">
        <v>0.58099999999999996</v>
      </c>
      <c r="H37" s="573">
        <v>0.55100000000000005</v>
      </c>
      <c r="I37" s="573">
        <v>0.52</v>
      </c>
      <c r="J37" s="573">
        <v>0.45900000000000002</v>
      </c>
      <c r="K37" s="573">
        <v>0.41299999999999998</v>
      </c>
      <c r="L37" s="573">
        <v>0.38200000000000001</v>
      </c>
      <c r="M37" s="573">
        <v>0.34399999999999997</v>
      </c>
      <c r="N37" s="573">
        <v>0.30499999999999999</v>
      </c>
      <c r="O37" s="573">
        <v>0.26700000000000002</v>
      </c>
      <c r="P37" s="573">
        <v>0.23200000000000001</v>
      </c>
      <c r="Q37" s="573">
        <v>0.20100000000000001</v>
      </c>
      <c r="S37" s="579">
        <v>500000</v>
      </c>
      <c r="T37" s="579">
        <v>1000000</v>
      </c>
      <c r="V37" s="579">
        <v>50000</v>
      </c>
      <c r="W37" s="579">
        <v>75000</v>
      </c>
      <c r="Z37" s="579">
        <v>50000</v>
      </c>
      <c r="AA37" s="578">
        <f t="shared" si="1"/>
        <v>10</v>
      </c>
      <c r="AJ37" s="579">
        <v>3000000</v>
      </c>
      <c r="AK37" s="579">
        <v>4000000</v>
      </c>
      <c r="AM37" s="579">
        <v>50000</v>
      </c>
      <c r="AN37" s="579">
        <v>75000</v>
      </c>
      <c r="AQ37" s="579">
        <v>50000</v>
      </c>
      <c r="AR37" s="578">
        <v>10</v>
      </c>
    </row>
    <row r="38" spans="1:44" ht="12.75" customHeight="1" x14ac:dyDescent="0.2">
      <c r="A38" s="580">
        <v>1000000</v>
      </c>
      <c r="B38" s="573">
        <v>1.2230000000000001</v>
      </c>
      <c r="C38" s="573">
        <v>1.1379999999999999</v>
      </c>
      <c r="D38" s="573">
        <v>1.1120000000000001</v>
      </c>
      <c r="E38" s="573">
        <v>1.0720000000000001</v>
      </c>
      <c r="F38" s="573">
        <v>1</v>
      </c>
      <c r="G38" s="573">
        <v>0.91</v>
      </c>
      <c r="H38" s="573">
        <v>0.87</v>
      </c>
      <c r="I38" s="573">
        <v>0.83</v>
      </c>
      <c r="J38" s="573">
        <v>0.75</v>
      </c>
      <c r="K38" s="573">
        <v>0.69</v>
      </c>
      <c r="L38" s="573">
        <v>0.65</v>
      </c>
      <c r="M38" s="573">
        <v>0.6</v>
      </c>
      <c r="N38" s="573">
        <v>0.55000000000000004</v>
      </c>
      <c r="O38" s="573">
        <v>0.5</v>
      </c>
      <c r="P38" s="573">
        <v>0.45200000000000001</v>
      </c>
      <c r="Q38" s="573">
        <v>0.40899999999999997</v>
      </c>
      <c r="S38" s="579">
        <v>1000000</v>
      </c>
      <c r="T38" s="579">
        <v>2000000</v>
      </c>
      <c r="V38" s="579">
        <v>75000</v>
      </c>
      <c r="W38" s="579">
        <v>100000</v>
      </c>
      <c r="Z38" s="579">
        <v>75000</v>
      </c>
      <c r="AA38" s="578">
        <f t="shared" si="1"/>
        <v>11</v>
      </c>
      <c r="AJ38" s="579">
        <v>4000000</v>
      </c>
      <c r="AK38" s="579">
        <v>5000000</v>
      </c>
      <c r="AM38" s="579">
        <v>75000</v>
      </c>
      <c r="AN38" s="579">
        <v>100000</v>
      </c>
      <c r="AQ38" s="579">
        <v>75000</v>
      </c>
      <c r="AR38" s="578">
        <v>11</v>
      </c>
    </row>
    <row r="39" spans="1:44" ht="12.75" customHeight="1" x14ac:dyDescent="0.2">
      <c r="A39" s="580">
        <v>2000000</v>
      </c>
      <c r="B39" s="573">
        <v>1.7969999999999999</v>
      </c>
      <c r="C39" s="573">
        <v>1.6919999999999999</v>
      </c>
      <c r="D39" s="573">
        <v>1.66</v>
      </c>
      <c r="E39" s="573">
        <v>1.61</v>
      </c>
      <c r="F39" s="573">
        <v>1.52</v>
      </c>
      <c r="G39" s="573">
        <v>1.407</v>
      </c>
      <c r="H39" s="573">
        <v>1.3580000000000001</v>
      </c>
      <c r="I39" s="573">
        <v>1.3080000000000001</v>
      </c>
      <c r="J39" s="573">
        <v>1.208</v>
      </c>
      <c r="K39" s="573">
        <v>1.133</v>
      </c>
      <c r="L39" s="573">
        <v>1.083</v>
      </c>
      <c r="M39" s="573">
        <v>1.0209999999999999</v>
      </c>
      <c r="N39" s="573">
        <v>0.95799999999999996</v>
      </c>
      <c r="O39" s="573">
        <v>0.89600000000000002</v>
      </c>
      <c r="P39" s="573">
        <v>0.83699999999999997</v>
      </c>
      <c r="Q39" s="573">
        <v>0.78200000000000003</v>
      </c>
      <c r="S39" s="579">
        <v>2000000</v>
      </c>
      <c r="T39" s="579">
        <v>3000000</v>
      </c>
      <c r="V39" s="579">
        <v>100000</v>
      </c>
      <c r="W39" s="579">
        <v>150000</v>
      </c>
      <c r="Z39" s="579">
        <v>100000</v>
      </c>
      <c r="AA39" s="578">
        <f t="shared" si="1"/>
        <v>12</v>
      </c>
      <c r="AJ39" s="579">
        <v>5000000</v>
      </c>
      <c r="AK39" s="579">
        <v>10000000</v>
      </c>
      <c r="AM39" s="579">
        <v>100000</v>
      </c>
      <c r="AN39" s="579">
        <v>150000</v>
      </c>
      <c r="AQ39" s="579">
        <v>100000</v>
      </c>
      <c r="AR39" s="578">
        <v>12</v>
      </c>
    </row>
    <row r="40" spans="1:44" ht="12.75" customHeight="1" x14ac:dyDescent="0.2">
      <c r="A40" s="580">
        <v>3000000</v>
      </c>
      <c r="B40" s="573">
        <v>2.2130000000000001</v>
      </c>
      <c r="C40" s="573">
        <v>2.0979999999999999</v>
      </c>
      <c r="D40" s="573">
        <v>2.0630000000000002</v>
      </c>
      <c r="E40" s="573">
        <v>2.008</v>
      </c>
      <c r="F40" s="573">
        <v>1.91</v>
      </c>
      <c r="G40" s="573">
        <v>1.786</v>
      </c>
      <c r="H40" s="573">
        <v>1.732</v>
      </c>
      <c r="I40" s="573">
        <v>1.677</v>
      </c>
      <c r="J40" s="573">
        <v>1.5680000000000001</v>
      </c>
      <c r="K40" s="573">
        <v>1.486</v>
      </c>
      <c r="L40" s="573">
        <v>1.413</v>
      </c>
      <c r="M40" s="573">
        <v>1.363</v>
      </c>
      <c r="N40" s="573">
        <v>1.294</v>
      </c>
      <c r="O40" s="573">
        <v>1.226</v>
      </c>
      <c r="P40" s="573">
        <v>1.163</v>
      </c>
      <c r="Q40" s="573">
        <v>1.103</v>
      </c>
      <c r="S40" s="579">
        <v>3000000</v>
      </c>
      <c r="T40" s="579">
        <v>4000000</v>
      </c>
      <c r="V40" s="579">
        <v>150000</v>
      </c>
      <c r="W40" s="579">
        <v>250000</v>
      </c>
      <c r="Z40" s="579">
        <v>150000</v>
      </c>
      <c r="AA40" s="578">
        <f t="shared" si="1"/>
        <v>13</v>
      </c>
      <c r="AJ40" s="579">
        <v>10000000</v>
      </c>
      <c r="AK40" s="579">
        <v>15000000</v>
      </c>
      <c r="AM40" s="579">
        <v>150000</v>
      </c>
      <c r="AN40" s="579">
        <v>250000</v>
      </c>
      <c r="AQ40" s="579">
        <v>150000</v>
      </c>
      <c r="AR40" s="578">
        <v>13</v>
      </c>
    </row>
    <row r="41" spans="1:44" ht="12.75" customHeight="1" x14ac:dyDescent="0.2">
      <c r="A41" s="580">
        <v>4000000</v>
      </c>
      <c r="B41" s="573">
        <v>2.4889999999999999</v>
      </c>
      <c r="C41" s="573">
        <v>2.3719999999999999</v>
      </c>
      <c r="D41" s="573">
        <v>2.3359999999999999</v>
      </c>
      <c r="E41" s="573">
        <v>2.2799999999999998</v>
      </c>
      <c r="F41" s="573">
        <v>2.1800000000000002</v>
      </c>
      <c r="G41" s="573">
        <v>2.0539999999999998</v>
      </c>
      <c r="H41" s="573">
        <v>1.998</v>
      </c>
      <c r="I41" s="573">
        <v>1.9419999999999999</v>
      </c>
      <c r="J41" s="573">
        <v>1.83</v>
      </c>
      <c r="K41" s="573">
        <v>1.746</v>
      </c>
      <c r="L41" s="573">
        <v>1.69</v>
      </c>
      <c r="M41" s="573">
        <v>1.62</v>
      </c>
      <c r="N41" s="573">
        <v>1.55</v>
      </c>
      <c r="O41" s="573">
        <v>1.4810000000000001</v>
      </c>
      <c r="P41" s="573">
        <v>1.4179999999999999</v>
      </c>
      <c r="Q41" s="573">
        <v>1.3580000000000001</v>
      </c>
      <c r="S41" s="579">
        <v>4000000</v>
      </c>
      <c r="T41" s="579">
        <v>5000000</v>
      </c>
      <c r="V41" s="579">
        <v>250000</v>
      </c>
      <c r="W41" s="579">
        <v>500000</v>
      </c>
      <c r="Z41" s="579">
        <v>250000</v>
      </c>
      <c r="AA41" s="578">
        <f t="shared" si="1"/>
        <v>14</v>
      </c>
      <c r="AJ41" s="579">
        <v>15000000</v>
      </c>
      <c r="AK41" s="579">
        <v>20000000</v>
      </c>
      <c r="AM41" s="579">
        <v>250000</v>
      </c>
      <c r="AN41" s="579">
        <v>500000</v>
      </c>
      <c r="AQ41" s="579">
        <v>250000</v>
      </c>
      <c r="AR41" s="578">
        <v>14</v>
      </c>
    </row>
    <row r="42" spans="1:44" ht="12.75" customHeight="1" x14ac:dyDescent="0.2">
      <c r="A42" s="580">
        <v>5000000</v>
      </c>
      <c r="B42" s="573">
        <v>2.6949999999999998</v>
      </c>
      <c r="C42" s="573">
        <v>2.581</v>
      </c>
      <c r="D42" s="573">
        <v>2.5449999999999999</v>
      </c>
      <c r="E42" s="573">
        <v>2.4900000000000002</v>
      </c>
      <c r="F42" s="573">
        <v>2.39</v>
      </c>
      <c r="G42" s="573">
        <v>2.2639999999999998</v>
      </c>
      <c r="H42" s="573">
        <v>2.2080000000000002</v>
      </c>
      <c r="I42" s="573">
        <v>2.1520000000000001</v>
      </c>
      <c r="J42" s="573">
        <v>2.0409999999999999</v>
      </c>
      <c r="K42" s="573">
        <v>1.9570000000000001</v>
      </c>
      <c r="L42" s="573">
        <v>1.901</v>
      </c>
      <c r="M42" s="573">
        <v>1.8320000000000001</v>
      </c>
      <c r="N42" s="573">
        <v>1.762</v>
      </c>
      <c r="O42" s="573">
        <v>1.6919999999999999</v>
      </c>
      <c r="P42" s="573">
        <v>1.63</v>
      </c>
      <c r="Q42" s="573">
        <v>1.569</v>
      </c>
      <c r="S42" s="579">
        <v>5000000</v>
      </c>
      <c r="T42" s="579">
        <v>10000000</v>
      </c>
      <c r="V42" s="579">
        <v>500000</v>
      </c>
      <c r="W42" s="579">
        <v>1000000</v>
      </c>
      <c r="Z42" s="579">
        <v>500000</v>
      </c>
      <c r="AA42" s="578">
        <f t="shared" si="1"/>
        <v>15</v>
      </c>
      <c r="AJ42" s="579">
        <v>20000000</v>
      </c>
      <c r="AK42" s="579">
        <v>25000000</v>
      </c>
      <c r="AM42" s="579">
        <v>500000</v>
      </c>
      <c r="AN42" s="579">
        <v>1000000</v>
      </c>
      <c r="AQ42" s="579">
        <v>500000</v>
      </c>
      <c r="AR42" s="578">
        <v>15</v>
      </c>
    </row>
    <row r="43" spans="1:44" ht="12.75" customHeight="1" x14ac:dyDescent="0.2">
      <c r="A43" s="580">
        <v>10000000</v>
      </c>
      <c r="B43" s="573">
        <v>3.3279999999999998</v>
      </c>
      <c r="C43" s="573">
        <v>3.2280000000000002</v>
      </c>
      <c r="D43" s="573">
        <v>3.1970000000000001</v>
      </c>
      <c r="E43" s="573">
        <v>3.1480000000000001</v>
      </c>
      <c r="F43" s="573">
        <v>3.06</v>
      </c>
      <c r="G43" s="573">
        <v>2.948</v>
      </c>
      <c r="H43" s="573">
        <v>2.899</v>
      </c>
      <c r="I43" s="573">
        <v>2.8490000000000002</v>
      </c>
      <c r="J43" s="573">
        <v>2.75</v>
      </c>
      <c r="K43" s="573">
        <v>2.6760000000000002</v>
      </c>
      <c r="L43" s="573">
        <v>2.6269999999999998</v>
      </c>
      <c r="M43" s="573">
        <v>2.5649999999999999</v>
      </c>
      <c r="N43" s="573">
        <v>2.5030000000000001</v>
      </c>
      <c r="O43" s="573">
        <v>2.4409999999999998</v>
      </c>
      <c r="P43" s="573">
        <v>2.3929999999999998</v>
      </c>
      <c r="Q43" s="573">
        <v>2.3460000000000001</v>
      </c>
      <c r="S43" s="579">
        <v>10000000</v>
      </c>
      <c r="T43" s="579">
        <v>15000000</v>
      </c>
      <c r="V43" s="579">
        <v>1000000</v>
      </c>
      <c r="W43" s="579">
        <v>2000000</v>
      </c>
      <c r="Z43" s="579">
        <v>1000000</v>
      </c>
      <c r="AA43" s="578">
        <f t="shared" si="1"/>
        <v>16</v>
      </c>
      <c r="AJ43" s="579">
        <v>25000000</v>
      </c>
      <c r="AK43" s="579">
        <v>25000000</v>
      </c>
      <c r="AM43" s="579">
        <v>1000000</v>
      </c>
      <c r="AN43" s="579">
        <v>2000000</v>
      </c>
      <c r="AQ43" s="579">
        <v>1000000</v>
      </c>
      <c r="AR43" s="578">
        <v>16</v>
      </c>
    </row>
    <row r="44" spans="1:44" ht="12.75" customHeight="1" x14ac:dyDescent="0.2">
      <c r="A44" s="580">
        <v>15000000</v>
      </c>
      <c r="B44" s="573">
        <v>3.722</v>
      </c>
      <c r="C44" s="573">
        <v>3.641</v>
      </c>
      <c r="D44" s="573">
        <v>3.6150000000000002</v>
      </c>
      <c r="E44" s="573">
        <v>3.5750000000000002</v>
      </c>
      <c r="F44" s="573">
        <v>3.5</v>
      </c>
      <c r="G44" s="573">
        <v>3.4049999999999998</v>
      </c>
      <c r="H44" s="573">
        <v>3.363</v>
      </c>
      <c r="I44" s="573">
        <v>3.3220000000000001</v>
      </c>
      <c r="J44" s="573">
        <v>3.238</v>
      </c>
      <c r="K44" s="573">
        <v>3.1749999999999998</v>
      </c>
      <c r="L44" s="573">
        <v>3.133</v>
      </c>
      <c r="M44" s="573">
        <v>3.081</v>
      </c>
      <c r="N44" s="573">
        <v>3.0289999999999999</v>
      </c>
      <c r="O44" s="573">
        <v>2.976</v>
      </c>
      <c r="P44" s="573">
        <v>2.9430000000000001</v>
      </c>
      <c r="Q44" s="573">
        <v>2.91</v>
      </c>
      <c r="S44" s="579">
        <v>15000000</v>
      </c>
      <c r="T44" s="579">
        <v>20000000</v>
      </c>
      <c r="V44" s="579">
        <v>2000000</v>
      </c>
      <c r="W44" s="579">
        <v>2000000</v>
      </c>
      <c r="Z44" s="579">
        <v>2000000</v>
      </c>
      <c r="AA44" s="578">
        <f t="shared" si="1"/>
        <v>17</v>
      </c>
      <c r="AJ44" s="579"/>
      <c r="AM44" s="579">
        <v>2000000</v>
      </c>
      <c r="AN44" s="579">
        <v>2000000</v>
      </c>
      <c r="AQ44" s="579">
        <v>2000000</v>
      </c>
      <c r="AR44" s="578">
        <v>17</v>
      </c>
    </row>
    <row r="45" spans="1:44" ht="12.75" customHeight="1" x14ac:dyDescent="0.2">
      <c r="A45" s="580">
        <v>20000000</v>
      </c>
      <c r="B45" s="573">
        <v>3.9380000000000002</v>
      </c>
      <c r="C45" s="573">
        <v>3.8730000000000002</v>
      </c>
      <c r="D45" s="573">
        <v>3.8519999999999999</v>
      </c>
      <c r="E45" s="573">
        <v>3.82</v>
      </c>
      <c r="F45" s="573">
        <v>3.76</v>
      </c>
      <c r="G45" s="573">
        <v>3.6840000000000002</v>
      </c>
      <c r="H45" s="573">
        <v>3.65</v>
      </c>
      <c r="I45" s="573">
        <v>3.6160000000000001</v>
      </c>
      <c r="J45" s="573">
        <v>3.5489999999999999</v>
      </c>
      <c r="K45" s="573">
        <v>3.4980000000000002</v>
      </c>
      <c r="L45" s="573">
        <v>3.464</v>
      </c>
      <c r="M45" s="573">
        <v>3.4220000000000002</v>
      </c>
      <c r="N45" s="573">
        <v>3.38</v>
      </c>
      <c r="O45" s="573">
        <v>3.3380000000000001</v>
      </c>
      <c r="P45" s="573">
        <v>3.32</v>
      </c>
      <c r="Q45" s="573">
        <v>3.302</v>
      </c>
      <c r="S45" s="579">
        <v>20000000</v>
      </c>
      <c r="T45" s="579">
        <v>25000000</v>
      </c>
    </row>
    <row r="46" spans="1:44" ht="12.75" customHeight="1" x14ac:dyDescent="0.2">
      <c r="A46" s="580">
        <v>25000000</v>
      </c>
      <c r="B46" s="573">
        <v>4.1189999999999998</v>
      </c>
      <c r="C46" s="573">
        <v>4.0679999999999996</v>
      </c>
      <c r="D46" s="573">
        <v>4.0519999999999996</v>
      </c>
      <c r="E46" s="573">
        <v>4.0270000000000001</v>
      </c>
      <c r="F46" s="573">
        <v>3.98</v>
      </c>
      <c r="G46" s="573">
        <v>3.92</v>
      </c>
      <c r="H46" s="573">
        <v>3.8940000000000001</v>
      </c>
      <c r="I46" s="573">
        <v>3.867</v>
      </c>
      <c r="J46" s="573">
        <v>3.8140000000000001</v>
      </c>
      <c r="K46" s="573">
        <v>3.774</v>
      </c>
      <c r="L46" s="573">
        <v>3.7480000000000002</v>
      </c>
      <c r="M46" s="573">
        <v>3.7149999999999999</v>
      </c>
      <c r="N46" s="573">
        <v>3.6819999999999999</v>
      </c>
      <c r="O46" s="573">
        <v>3.6480000000000001</v>
      </c>
      <c r="P46" s="573">
        <v>3.6419999999999999</v>
      </c>
      <c r="Q46" s="573">
        <v>3.637</v>
      </c>
      <c r="S46" s="579">
        <v>25000000</v>
      </c>
      <c r="T46" s="579">
        <v>25000000</v>
      </c>
    </row>
    <row r="47" spans="1:44" ht="12.75" customHeight="1" x14ac:dyDescent="0.25">
      <c r="A47" s="558"/>
      <c r="B47" s="558"/>
      <c r="C47" s="558"/>
      <c r="D47" s="558"/>
      <c r="E47" s="558"/>
      <c r="F47" s="558"/>
      <c r="G47" s="558"/>
      <c r="H47" s="558"/>
      <c r="I47" s="558"/>
      <c r="J47" s="558"/>
      <c r="K47" s="558"/>
      <c r="L47" s="558"/>
      <c r="M47" s="558"/>
      <c r="N47" s="558"/>
      <c r="O47" s="558"/>
      <c r="P47" s="558"/>
      <c r="Q47" s="558"/>
    </row>
    <row r="48" spans="1:44" ht="12.75" customHeight="1" x14ac:dyDescent="0.25">
      <c r="A48" s="558"/>
      <c r="B48" s="558"/>
      <c r="C48" s="558"/>
      <c r="D48" s="558"/>
      <c r="E48" s="558"/>
      <c r="F48" s="558"/>
      <c r="G48" s="558"/>
      <c r="H48" s="558"/>
      <c r="I48" s="558"/>
      <c r="J48" s="558"/>
      <c r="K48" s="558"/>
      <c r="L48" s="558"/>
      <c r="M48" s="558"/>
      <c r="N48" s="558"/>
      <c r="O48" s="558"/>
      <c r="P48" s="558"/>
      <c r="Q48" s="558"/>
    </row>
    <row r="49" spans="1:17" ht="12.75" customHeight="1" x14ac:dyDescent="0.25">
      <c r="A49" s="558"/>
      <c r="B49" s="558"/>
      <c r="C49" s="558"/>
      <c r="D49" s="558"/>
      <c r="E49" s="558"/>
      <c r="F49" s="558"/>
      <c r="G49" s="558"/>
      <c r="H49" s="558"/>
      <c r="I49" s="558"/>
      <c r="J49" s="558"/>
      <c r="K49" s="558"/>
      <c r="L49" s="558"/>
      <c r="M49" s="558"/>
      <c r="N49" s="558"/>
      <c r="O49" s="558"/>
      <c r="P49" s="558"/>
      <c r="Q49" s="558"/>
    </row>
    <row r="50" spans="1:17" ht="12.75" customHeight="1" x14ac:dyDescent="0.25">
      <c r="A50" s="558"/>
      <c r="B50" s="558"/>
      <c r="C50" s="558"/>
      <c r="D50" s="558"/>
      <c r="E50" s="558"/>
      <c r="F50" s="558"/>
      <c r="G50" s="558"/>
      <c r="H50" s="558"/>
      <c r="I50" s="558"/>
      <c r="J50" s="558"/>
      <c r="K50" s="558"/>
      <c r="L50" s="558"/>
      <c r="M50" s="558"/>
      <c r="N50" s="558"/>
      <c r="O50" s="558"/>
      <c r="P50" s="558"/>
      <c r="Q50" s="558"/>
    </row>
    <row r="51" spans="1:17" ht="12.75" customHeight="1" x14ac:dyDescent="0.25">
      <c r="A51" s="558"/>
      <c r="B51" s="558"/>
      <c r="C51" s="558"/>
      <c r="D51" s="558"/>
      <c r="E51" s="558"/>
      <c r="F51" s="558"/>
      <c r="G51" s="558"/>
      <c r="H51" s="558"/>
      <c r="I51" s="558"/>
      <c r="J51" s="558"/>
      <c r="K51" s="558"/>
      <c r="L51" s="558"/>
      <c r="M51" s="558"/>
      <c r="N51" s="558"/>
      <c r="O51" s="558"/>
      <c r="P51" s="558"/>
      <c r="Q51" s="558"/>
    </row>
    <row r="52" spans="1:17" ht="12.75" customHeight="1" x14ac:dyDescent="0.25">
      <c r="A52" s="558"/>
      <c r="B52" s="558"/>
      <c r="C52" s="558"/>
      <c r="D52" s="558"/>
      <c r="E52" s="558"/>
      <c r="F52" s="558"/>
      <c r="G52" s="558"/>
      <c r="H52" s="558"/>
      <c r="I52" s="558"/>
      <c r="J52" s="558"/>
      <c r="K52" s="558"/>
      <c r="L52" s="558"/>
      <c r="M52" s="558"/>
      <c r="N52" s="558"/>
      <c r="O52" s="558"/>
      <c r="P52" s="558"/>
      <c r="Q52" s="558"/>
    </row>
    <row r="53" spans="1:17" ht="12.75" customHeight="1" x14ac:dyDescent="0.25">
      <c r="A53" s="558"/>
      <c r="B53" s="558"/>
      <c r="C53" s="558"/>
      <c r="D53" s="558"/>
      <c r="E53" s="558"/>
      <c r="F53" s="558"/>
      <c r="G53" s="558"/>
      <c r="H53" s="558"/>
      <c r="I53" s="558"/>
      <c r="J53" s="558"/>
      <c r="K53" s="558"/>
      <c r="L53" s="558"/>
      <c r="M53" s="558"/>
      <c r="N53" s="558"/>
      <c r="O53" s="558"/>
      <c r="P53" s="558"/>
      <c r="Q53" s="558"/>
    </row>
    <row r="54" spans="1:17" ht="12.75" customHeight="1" x14ac:dyDescent="0.25">
      <c r="A54" s="558"/>
      <c r="B54" s="558"/>
      <c r="C54" s="558"/>
      <c r="D54" s="558"/>
      <c r="E54" s="558"/>
      <c r="F54" s="558"/>
      <c r="G54" s="558"/>
      <c r="H54" s="558"/>
      <c r="I54" s="558"/>
      <c r="J54" s="558"/>
      <c r="K54" s="558"/>
      <c r="L54" s="558"/>
      <c r="M54" s="558"/>
      <c r="N54" s="558"/>
      <c r="O54" s="558"/>
      <c r="P54" s="558"/>
      <c r="Q54" s="558"/>
    </row>
  </sheetData>
  <sheetProtection password="DA63" sheet="1" objects="1" scenarios="1"/>
  <printOptions horizontalCentered="1" gridLines="1"/>
  <pageMargins left="0.2" right="0.2" top="0.75" bottom="0.75" header="0.3" footer="0.3"/>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A1:U319"/>
  <sheetViews>
    <sheetView workbookViewId="0">
      <selection activeCell="M6" sqref="M6"/>
    </sheetView>
  </sheetViews>
  <sheetFormatPr defaultColWidth="9.140625" defaultRowHeight="15" x14ac:dyDescent="0.25"/>
  <cols>
    <col min="1" max="1" width="23.7109375" style="362" bestFit="1" customWidth="1"/>
    <col min="2" max="2" width="20.5703125" style="362" customWidth="1"/>
    <col min="3" max="3" width="21.140625" style="362" customWidth="1"/>
    <col min="4" max="4" width="19.85546875" style="362" customWidth="1"/>
    <col min="5" max="6" width="9.140625" style="362"/>
    <col min="7" max="7" width="23.7109375" style="362" bestFit="1" customWidth="1"/>
    <col min="8" max="8" width="8" style="362" bestFit="1" customWidth="1"/>
    <col min="9" max="9" width="8.28515625" style="362" bestFit="1" customWidth="1"/>
    <col min="10" max="16384" width="9.140625" style="362"/>
  </cols>
  <sheetData>
    <row r="1" spans="1:21" x14ac:dyDescent="0.25">
      <c r="A1" s="959" t="s">
        <v>311</v>
      </c>
      <c r="B1" s="959" t="s">
        <v>6561</v>
      </c>
      <c r="C1" s="960" t="s">
        <v>6562</v>
      </c>
      <c r="D1" s="961" t="s">
        <v>300</v>
      </c>
      <c r="E1" s="959" t="s">
        <v>6562</v>
      </c>
      <c r="F1" s="595"/>
      <c r="G1" s="594" t="s">
        <v>311</v>
      </c>
      <c r="H1" s="956" t="s">
        <v>7062</v>
      </c>
      <c r="I1" s="956" t="s">
        <v>7063</v>
      </c>
      <c r="J1" s="362" t="s">
        <v>7064</v>
      </c>
      <c r="K1" s="362" t="s">
        <v>7065</v>
      </c>
      <c r="L1" s="362" t="str">
        <f>VLOOKUP('Account Info'!L18:M18,Tables!C19:D21,2,FALSE)</f>
        <v>0005</v>
      </c>
      <c r="M1" s="362" t="s">
        <v>7066</v>
      </c>
      <c r="N1" s="362" t="s">
        <v>7067</v>
      </c>
      <c r="O1" s="362" t="s">
        <v>7068</v>
      </c>
      <c r="P1" s="362" t="s">
        <v>7069</v>
      </c>
      <c r="R1" s="362" t="s">
        <v>7070</v>
      </c>
      <c r="S1" s="362" t="s">
        <v>7071</v>
      </c>
      <c r="T1" s="362" t="s">
        <v>7072</v>
      </c>
      <c r="U1" s="362" t="s">
        <v>7073</v>
      </c>
    </row>
    <row r="2" spans="1:21" x14ac:dyDescent="0.25">
      <c r="A2" s="962" t="s">
        <v>749</v>
      </c>
      <c r="B2" s="946" t="s">
        <v>290</v>
      </c>
      <c r="C2" s="963"/>
      <c r="D2" s="961" t="s">
        <v>290</v>
      </c>
      <c r="E2" s="946"/>
      <c r="F2" s="597"/>
      <c r="G2" s="596" t="s">
        <v>749</v>
      </c>
      <c r="H2" s="957">
        <f>IF($L$1&lt;&gt;"0001",R2,M2)</f>
        <v>0.5</v>
      </c>
      <c r="I2" s="957">
        <f>IF($L$1&lt;&gt;"0001",S2,N2)</f>
        <v>1.5</v>
      </c>
      <c r="J2" s="958">
        <f>IF($L$1&lt;&gt;"0001",T2,O2)</f>
        <v>0.5</v>
      </c>
      <c r="K2" s="958">
        <f>IF($L$1&lt;&gt;"0001",U2,P2)</f>
        <v>1.5</v>
      </c>
      <c r="L2" s="362" t="s">
        <v>7087</v>
      </c>
      <c r="M2" s="362">
        <v>0.75</v>
      </c>
      <c r="N2" s="362">
        <v>1.25</v>
      </c>
      <c r="O2" s="362">
        <v>0.75</v>
      </c>
      <c r="P2" s="362">
        <v>1.25</v>
      </c>
      <c r="R2" s="362">
        <v>0.5</v>
      </c>
      <c r="S2" s="362">
        <v>1.5</v>
      </c>
      <c r="T2" s="362">
        <v>0.5</v>
      </c>
      <c r="U2" s="362">
        <v>1.5</v>
      </c>
    </row>
    <row r="3" spans="1:21" x14ac:dyDescent="0.25">
      <c r="A3" s="946" t="s">
        <v>750</v>
      </c>
      <c r="B3" s="946"/>
      <c r="C3" s="963" t="s">
        <v>6563</v>
      </c>
      <c r="D3" s="961"/>
      <c r="E3" s="946" t="s">
        <v>6563</v>
      </c>
      <c r="F3" s="597"/>
      <c r="G3" s="596" t="s">
        <v>750</v>
      </c>
      <c r="H3" s="957">
        <f t="shared" ref="H3:H60" si="0">IF($L$1&lt;&gt;"0001",R3,M3)</f>
        <v>0.5</v>
      </c>
      <c r="I3" s="957">
        <f t="shared" ref="I3:I60" si="1">IF($L$1&lt;&gt;"0001",S3,N3)</f>
        <v>1.5</v>
      </c>
      <c r="J3" s="958">
        <f t="shared" ref="J3:J60" si="2">IF($L$1&lt;&gt;"0001",T3,O3)</f>
        <v>0.5</v>
      </c>
      <c r="K3" s="958">
        <f t="shared" ref="K3:K60" si="3">IF($L$1&lt;&gt;"0001",U3,P3)</f>
        <v>1.5</v>
      </c>
      <c r="L3" s="362" t="s">
        <v>7087</v>
      </c>
      <c r="M3" s="362">
        <v>0.5</v>
      </c>
      <c r="N3" s="362">
        <v>1.5</v>
      </c>
      <c r="O3" s="362">
        <v>0.5</v>
      </c>
      <c r="P3" s="362">
        <v>1.5</v>
      </c>
      <c r="R3" s="362">
        <v>0.5</v>
      </c>
      <c r="S3" s="362">
        <v>1.5</v>
      </c>
      <c r="T3" s="362">
        <v>0.5</v>
      </c>
      <c r="U3" s="362">
        <v>1.5</v>
      </c>
    </row>
    <row r="4" spans="1:21" x14ac:dyDescent="0.25">
      <c r="A4" s="946" t="s">
        <v>751</v>
      </c>
      <c r="B4" s="946" t="s">
        <v>290</v>
      </c>
      <c r="C4" s="963"/>
      <c r="D4" s="961" t="s">
        <v>290</v>
      </c>
      <c r="E4" s="946"/>
      <c r="F4" s="597"/>
      <c r="G4" s="596" t="s">
        <v>751</v>
      </c>
      <c r="H4" s="957">
        <f t="shared" si="0"/>
        <v>0.5</v>
      </c>
      <c r="I4" s="957">
        <f t="shared" si="1"/>
        <v>1.5</v>
      </c>
      <c r="J4" s="958">
        <f t="shared" si="2"/>
        <v>0.5</v>
      </c>
      <c r="K4" s="958">
        <f t="shared" si="3"/>
        <v>1.5</v>
      </c>
      <c r="L4" s="362" t="s">
        <v>7087</v>
      </c>
      <c r="M4" s="362">
        <v>0.5</v>
      </c>
      <c r="N4" s="362">
        <v>1.5</v>
      </c>
      <c r="O4" s="362">
        <v>0.5</v>
      </c>
      <c r="P4" s="362">
        <v>1.5</v>
      </c>
      <c r="R4" s="362">
        <v>0.5</v>
      </c>
      <c r="S4" s="362">
        <v>1.5</v>
      </c>
      <c r="T4" s="362">
        <v>0.5</v>
      </c>
      <c r="U4" s="362">
        <v>1.5</v>
      </c>
    </row>
    <row r="5" spans="1:21" x14ac:dyDescent="0.25">
      <c r="A5" s="946" t="s">
        <v>752</v>
      </c>
      <c r="B5" s="946" t="s">
        <v>290</v>
      </c>
      <c r="C5" s="963"/>
      <c r="D5" s="961" t="s">
        <v>290</v>
      </c>
      <c r="E5" s="946"/>
      <c r="F5" s="597"/>
      <c r="G5" s="596" t="s">
        <v>752</v>
      </c>
      <c r="H5" s="957">
        <f t="shared" si="0"/>
        <v>0.5</v>
      </c>
      <c r="I5" s="957">
        <f t="shared" si="1"/>
        <v>1.5</v>
      </c>
      <c r="J5" s="958">
        <f t="shared" si="2"/>
        <v>0.5</v>
      </c>
      <c r="K5" s="958">
        <f t="shared" si="3"/>
        <v>1.5</v>
      </c>
      <c r="L5" s="362" t="s">
        <v>7087</v>
      </c>
      <c r="M5" s="362">
        <v>0.5</v>
      </c>
      <c r="N5" s="362">
        <v>1.5</v>
      </c>
      <c r="O5" s="362">
        <v>0.75</v>
      </c>
      <c r="P5" s="362">
        <v>1.25</v>
      </c>
      <c r="R5" s="362">
        <v>0.5</v>
      </c>
      <c r="S5" s="362">
        <v>1.5</v>
      </c>
      <c r="T5" s="362">
        <v>0.5</v>
      </c>
      <c r="U5" s="362">
        <v>1.5</v>
      </c>
    </row>
    <row r="6" spans="1:21" x14ac:dyDescent="0.25">
      <c r="A6" s="946" t="s">
        <v>753</v>
      </c>
      <c r="B6" s="946" t="s">
        <v>290</v>
      </c>
      <c r="C6" s="963"/>
      <c r="D6" s="961" t="s">
        <v>290</v>
      </c>
      <c r="E6" s="946"/>
      <c r="F6" s="597"/>
      <c r="G6" s="596" t="s">
        <v>753</v>
      </c>
      <c r="H6" s="957">
        <f t="shared" si="0"/>
        <v>0.5</v>
      </c>
      <c r="I6" s="957">
        <f t="shared" si="1"/>
        <v>1.5</v>
      </c>
      <c r="J6" s="958">
        <f t="shared" si="2"/>
        <v>0.5</v>
      </c>
      <c r="K6" s="958">
        <f t="shared" si="3"/>
        <v>1.5</v>
      </c>
      <c r="L6" s="362" t="s">
        <v>7087</v>
      </c>
      <c r="M6" s="362">
        <v>0.5</v>
      </c>
      <c r="N6" s="362">
        <v>1.5</v>
      </c>
      <c r="O6" s="362">
        <v>0.5</v>
      </c>
      <c r="P6" s="362">
        <v>1.5</v>
      </c>
      <c r="R6" s="362">
        <v>0.5</v>
      </c>
      <c r="S6" s="362">
        <v>1.5</v>
      </c>
      <c r="T6" s="362">
        <v>0.5</v>
      </c>
      <c r="U6" s="362">
        <v>1.5</v>
      </c>
    </row>
    <row r="7" spans="1:21" x14ac:dyDescent="0.25">
      <c r="A7" s="946" t="s">
        <v>754</v>
      </c>
      <c r="B7" s="946" t="s">
        <v>290</v>
      </c>
      <c r="C7" s="963"/>
      <c r="D7" s="961" t="s">
        <v>290</v>
      </c>
      <c r="E7" s="946"/>
      <c r="F7" s="597"/>
      <c r="G7" s="596" t="s">
        <v>754</v>
      </c>
      <c r="H7" s="957">
        <f t="shared" si="0"/>
        <v>0.5</v>
      </c>
      <c r="I7" s="957">
        <f t="shared" si="1"/>
        <v>1.5</v>
      </c>
      <c r="J7" s="958">
        <f t="shared" si="2"/>
        <v>0.5</v>
      </c>
      <c r="K7" s="958">
        <f t="shared" si="3"/>
        <v>1.5</v>
      </c>
      <c r="L7" s="362" t="s">
        <v>7087</v>
      </c>
      <c r="M7" s="362">
        <v>0.5</v>
      </c>
      <c r="N7" s="362">
        <v>1.5</v>
      </c>
      <c r="O7" s="362">
        <v>0.5</v>
      </c>
      <c r="P7" s="362">
        <v>1.5</v>
      </c>
      <c r="R7" s="362">
        <v>0.5</v>
      </c>
      <c r="S7" s="362">
        <v>1.5</v>
      </c>
      <c r="T7" s="362">
        <v>0.5</v>
      </c>
      <c r="U7" s="362">
        <v>1.5</v>
      </c>
    </row>
    <row r="8" spans="1:21" x14ac:dyDescent="0.25">
      <c r="A8" s="946" t="s">
        <v>755</v>
      </c>
      <c r="B8" s="946" t="s">
        <v>294</v>
      </c>
      <c r="C8" s="963"/>
      <c r="D8" s="961" t="s">
        <v>290</v>
      </c>
      <c r="E8" s="946"/>
      <c r="F8" s="597"/>
      <c r="G8" s="596" t="s">
        <v>755</v>
      </c>
      <c r="H8" s="957">
        <f t="shared" si="0"/>
        <v>0.5</v>
      </c>
      <c r="I8" s="957">
        <f t="shared" si="1"/>
        <v>1.5</v>
      </c>
      <c r="J8" s="958">
        <f t="shared" si="2"/>
        <v>0.5</v>
      </c>
      <c r="K8" s="958">
        <f t="shared" si="3"/>
        <v>1.5</v>
      </c>
      <c r="L8" s="362" t="s">
        <v>7087</v>
      </c>
      <c r="M8" s="362">
        <v>0.75</v>
      </c>
      <c r="N8" s="362">
        <v>1.25</v>
      </c>
      <c r="O8" s="362">
        <v>0.75</v>
      </c>
      <c r="P8" s="362">
        <v>1.25</v>
      </c>
      <c r="R8" s="362">
        <v>0.5</v>
      </c>
      <c r="S8" s="362">
        <v>1.5</v>
      </c>
      <c r="T8" s="362">
        <v>0.5</v>
      </c>
      <c r="U8" s="362">
        <v>1.5</v>
      </c>
    </row>
    <row r="9" spans="1:21" x14ac:dyDescent="0.25">
      <c r="A9" s="946" t="s">
        <v>756</v>
      </c>
      <c r="B9" s="946" t="s">
        <v>290</v>
      </c>
      <c r="C9" s="963"/>
      <c r="D9" s="961" t="s">
        <v>290</v>
      </c>
      <c r="E9" s="946"/>
      <c r="F9" s="597"/>
      <c r="G9" s="596" t="s">
        <v>756</v>
      </c>
      <c r="H9" s="957">
        <f t="shared" si="0"/>
        <v>0.5</v>
      </c>
      <c r="I9" s="957">
        <f t="shared" si="1"/>
        <v>1.5</v>
      </c>
      <c r="J9" s="958">
        <f t="shared" si="2"/>
        <v>0.5</v>
      </c>
      <c r="K9" s="958">
        <f t="shared" si="3"/>
        <v>1.5</v>
      </c>
      <c r="L9" s="362" t="s">
        <v>7087</v>
      </c>
      <c r="M9" s="362">
        <v>0.75</v>
      </c>
      <c r="N9" s="362">
        <v>1.25</v>
      </c>
      <c r="O9" s="362">
        <v>0.75</v>
      </c>
      <c r="P9" s="362">
        <v>1.25</v>
      </c>
      <c r="R9" s="362">
        <v>0.5</v>
      </c>
      <c r="S9" s="362">
        <v>1.5</v>
      </c>
      <c r="T9" s="362">
        <v>0.5</v>
      </c>
      <c r="U9" s="362">
        <v>1.5</v>
      </c>
    </row>
    <row r="10" spans="1:21" x14ac:dyDescent="0.25">
      <c r="A10" s="946" t="s">
        <v>757</v>
      </c>
      <c r="B10" s="946" t="s">
        <v>290</v>
      </c>
      <c r="C10" s="963"/>
      <c r="D10" s="961" t="s">
        <v>290</v>
      </c>
      <c r="E10" s="946"/>
      <c r="F10" s="597"/>
      <c r="G10" s="596" t="s">
        <v>757</v>
      </c>
      <c r="H10" s="957">
        <f t="shared" si="0"/>
        <v>0.5</v>
      </c>
      <c r="I10" s="957">
        <f t="shared" si="1"/>
        <v>1.5</v>
      </c>
      <c r="J10" s="958">
        <f t="shared" si="2"/>
        <v>0.5</v>
      </c>
      <c r="K10" s="958">
        <f t="shared" si="3"/>
        <v>1.5</v>
      </c>
      <c r="L10" s="362" t="s">
        <v>7087</v>
      </c>
      <c r="M10" s="362">
        <v>0.75</v>
      </c>
      <c r="N10" s="362">
        <v>1.25</v>
      </c>
      <c r="O10" s="362">
        <v>0.75</v>
      </c>
      <c r="P10" s="362">
        <v>1.25</v>
      </c>
      <c r="R10" s="362">
        <v>0.5</v>
      </c>
      <c r="S10" s="362">
        <v>1.5</v>
      </c>
      <c r="T10" s="362">
        <v>0.5</v>
      </c>
      <c r="U10" s="362">
        <v>1.5</v>
      </c>
    </row>
    <row r="11" spans="1:21" x14ac:dyDescent="0.25">
      <c r="A11" s="946" t="s">
        <v>758</v>
      </c>
      <c r="B11" s="946" t="s">
        <v>290</v>
      </c>
      <c r="C11" s="963"/>
      <c r="D11" s="961" t="s">
        <v>290</v>
      </c>
      <c r="E11" s="946"/>
      <c r="F11" s="597"/>
      <c r="G11" s="596" t="s">
        <v>758</v>
      </c>
      <c r="H11" s="957">
        <f t="shared" si="0"/>
        <v>0.5</v>
      </c>
      <c r="I11" s="957">
        <f t="shared" si="1"/>
        <v>1.5</v>
      </c>
      <c r="J11" s="958">
        <f t="shared" si="2"/>
        <v>0.5</v>
      </c>
      <c r="K11" s="958">
        <f t="shared" si="3"/>
        <v>1.5</v>
      </c>
      <c r="L11" s="362" t="s">
        <v>7087</v>
      </c>
      <c r="M11" s="362">
        <v>0.5</v>
      </c>
      <c r="N11" s="362">
        <v>1.5</v>
      </c>
      <c r="O11" s="362">
        <v>0.4</v>
      </c>
      <c r="P11" s="362">
        <v>1.4</v>
      </c>
      <c r="R11" s="362">
        <v>0.5</v>
      </c>
      <c r="S11" s="362">
        <v>1.5</v>
      </c>
      <c r="T11" s="362">
        <v>0.5</v>
      </c>
      <c r="U11" s="362">
        <v>1.5</v>
      </c>
    </row>
    <row r="12" spans="1:21" x14ac:dyDescent="0.25">
      <c r="A12" s="946" t="s">
        <v>759</v>
      </c>
      <c r="B12" s="946" t="s">
        <v>290</v>
      </c>
      <c r="C12" s="963"/>
      <c r="D12" s="961" t="s">
        <v>290</v>
      </c>
      <c r="E12" s="946"/>
      <c r="F12" s="597"/>
      <c r="G12" s="596" t="s">
        <v>759</v>
      </c>
      <c r="H12" s="957">
        <f t="shared" si="0"/>
        <v>0.5</v>
      </c>
      <c r="I12" s="957">
        <f t="shared" si="1"/>
        <v>1.5</v>
      </c>
      <c r="J12" s="958">
        <f t="shared" si="2"/>
        <v>0.5</v>
      </c>
      <c r="K12" s="958">
        <f t="shared" si="3"/>
        <v>1.5</v>
      </c>
      <c r="L12" s="362" t="s">
        <v>7087</v>
      </c>
      <c r="M12" s="362">
        <v>0.75</v>
      </c>
      <c r="N12" s="362">
        <v>1.25</v>
      </c>
      <c r="O12" s="362">
        <v>0.75</v>
      </c>
      <c r="P12" s="362">
        <v>1.25</v>
      </c>
      <c r="R12" s="362">
        <v>0.5</v>
      </c>
      <c r="S12" s="362">
        <v>1.5</v>
      </c>
      <c r="T12" s="362">
        <v>0.5</v>
      </c>
      <c r="U12" s="362">
        <v>1.5</v>
      </c>
    </row>
    <row r="13" spans="1:21" x14ac:dyDescent="0.25">
      <c r="A13" s="946" t="s">
        <v>760</v>
      </c>
      <c r="B13" s="946"/>
      <c r="C13" s="963" t="s">
        <v>6563</v>
      </c>
      <c r="D13" s="961"/>
      <c r="E13" s="946" t="s">
        <v>6563</v>
      </c>
      <c r="F13" s="597"/>
      <c r="G13" s="596" t="s">
        <v>760</v>
      </c>
      <c r="H13" s="957">
        <f t="shared" si="0"/>
        <v>0.5</v>
      </c>
      <c r="I13" s="957">
        <f t="shared" si="1"/>
        <v>1.5</v>
      </c>
      <c r="J13" s="958">
        <f t="shared" si="2"/>
        <v>0.5</v>
      </c>
      <c r="K13" s="958">
        <f t="shared" si="3"/>
        <v>1.5</v>
      </c>
      <c r="L13" s="362" t="s">
        <v>7087</v>
      </c>
      <c r="M13" s="362">
        <v>0.5</v>
      </c>
      <c r="N13" s="362">
        <v>1.5</v>
      </c>
      <c r="O13" s="362">
        <v>0.5</v>
      </c>
      <c r="P13" s="362">
        <v>1.5</v>
      </c>
      <c r="R13" s="362">
        <v>0.5</v>
      </c>
      <c r="S13" s="362">
        <v>1.5</v>
      </c>
      <c r="T13" s="362">
        <v>0.5</v>
      </c>
      <c r="U13" s="362">
        <v>1.5</v>
      </c>
    </row>
    <row r="14" spans="1:21" x14ac:dyDescent="0.25">
      <c r="A14" s="946" t="s">
        <v>761</v>
      </c>
      <c r="B14" s="946" t="s">
        <v>294</v>
      </c>
      <c r="C14" s="963"/>
      <c r="D14" s="961" t="s">
        <v>294</v>
      </c>
      <c r="E14" s="946"/>
      <c r="F14" s="597"/>
      <c r="G14" s="596" t="s">
        <v>761</v>
      </c>
      <c r="H14" s="957">
        <f t="shared" si="0"/>
        <v>0.5</v>
      </c>
      <c r="I14" s="957">
        <f t="shared" si="1"/>
        <v>1.5</v>
      </c>
      <c r="J14" s="958">
        <f t="shared" si="2"/>
        <v>0.5</v>
      </c>
      <c r="K14" s="958">
        <f t="shared" si="3"/>
        <v>1.5</v>
      </c>
      <c r="L14" s="362" t="s">
        <v>7087</v>
      </c>
      <c r="M14" s="362">
        <v>0.6</v>
      </c>
      <c r="N14" s="362">
        <v>1.4</v>
      </c>
      <c r="O14" s="362">
        <v>0.6</v>
      </c>
      <c r="P14" s="362">
        <v>1.5</v>
      </c>
      <c r="R14" s="362">
        <v>0.5</v>
      </c>
      <c r="S14" s="362">
        <v>1.5</v>
      </c>
      <c r="T14" s="362">
        <v>0.5</v>
      </c>
      <c r="U14" s="362">
        <v>1.5</v>
      </c>
    </row>
    <row r="15" spans="1:21" x14ac:dyDescent="0.25">
      <c r="A15" s="946" t="s">
        <v>762</v>
      </c>
      <c r="B15" s="946" t="s">
        <v>290</v>
      </c>
      <c r="C15" s="963"/>
      <c r="D15" s="961" t="s">
        <v>290</v>
      </c>
      <c r="E15" s="946"/>
      <c r="F15" s="597"/>
      <c r="G15" s="596" t="s">
        <v>762</v>
      </c>
      <c r="H15" s="957">
        <f t="shared" si="0"/>
        <v>0.5</v>
      </c>
      <c r="I15" s="957">
        <f t="shared" si="1"/>
        <v>1.5</v>
      </c>
      <c r="J15" s="958">
        <f t="shared" si="2"/>
        <v>0.5</v>
      </c>
      <c r="K15" s="958">
        <f t="shared" si="3"/>
        <v>1.5</v>
      </c>
      <c r="L15" s="362" t="s">
        <v>7087</v>
      </c>
      <c r="M15" s="362">
        <v>0.5</v>
      </c>
      <c r="N15" s="362">
        <v>1.5</v>
      </c>
      <c r="O15" s="362">
        <v>0.5</v>
      </c>
      <c r="P15" s="362">
        <v>1.5</v>
      </c>
      <c r="R15" s="362">
        <v>0.5</v>
      </c>
      <c r="S15" s="362">
        <v>1.5</v>
      </c>
      <c r="T15" s="362">
        <v>0.5</v>
      </c>
      <c r="U15" s="362">
        <v>1.5</v>
      </c>
    </row>
    <row r="16" spans="1:21" x14ac:dyDescent="0.25">
      <c r="A16" s="946" t="s">
        <v>763</v>
      </c>
      <c r="B16" s="946"/>
      <c r="C16" s="963" t="s">
        <v>6563</v>
      </c>
      <c r="D16" s="961"/>
      <c r="E16" s="946" t="s">
        <v>6563</v>
      </c>
      <c r="F16" s="597"/>
      <c r="G16" s="596" t="s">
        <v>763</v>
      </c>
      <c r="H16" s="957">
        <f t="shared" si="0"/>
        <v>0.5</v>
      </c>
      <c r="I16" s="957">
        <f t="shared" si="1"/>
        <v>1.5</v>
      </c>
      <c r="J16" s="958">
        <f t="shared" si="2"/>
        <v>0.5</v>
      </c>
      <c r="K16" s="958">
        <f t="shared" si="3"/>
        <v>1.5</v>
      </c>
      <c r="L16" s="362" t="s">
        <v>7087</v>
      </c>
      <c r="M16" s="362">
        <v>0.5</v>
      </c>
      <c r="N16" s="362">
        <v>1.5</v>
      </c>
      <c r="O16" s="362">
        <v>0.5</v>
      </c>
      <c r="P16" s="362">
        <v>1.5</v>
      </c>
      <c r="R16" s="362">
        <v>0.5</v>
      </c>
      <c r="S16" s="362">
        <v>1.5</v>
      </c>
      <c r="T16" s="362">
        <v>0.5</v>
      </c>
      <c r="U16" s="362">
        <v>1.5</v>
      </c>
    </row>
    <row r="17" spans="1:21" x14ac:dyDescent="0.25">
      <c r="A17" s="946" t="s">
        <v>764</v>
      </c>
      <c r="B17" s="946" t="s">
        <v>290</v>
      </c>
      <c r="C17" s="963"/>
      <c r="D17" s="961" t="s">
        <v>290</v>
      </c>
      <c r="E17" s="946"/>
      <c r="F17" s="597"/>
      <c r="G17" s="596" t="s">
        <v>764</v>
      </c>
      <c r="H17" s="957">
        <f t="shared" si="0"/>
        <v>0.5</v>
      </c>
      <c r="I17" s="957">
        <f t="shared" si="1"/>
        <v>1.5</v>
      </c>
      <c r="J17" s="958">
        <f t="shared" si="2"/>
        <v>0.5</v>
      </c>
      <c r="K17" s="958">
        <f t="shared" si="3"/>
        <v>1.5</v>
      </c>
      <c r="L17" s="362" t="s">
        <v>7087</v>
      </c>
      <c r="M17" s="362">
        <v>0.75</v>
      </c>
      <c r="N17" s="362">
        <v>1.25</v>
      </c>
      <c r="O17" s="362">
        <v>0.75</v>
      </c>
      <c r="P17" s="362">
        <v>1.25</v>
      </c>
      <c r="R17" s="362">
        <v>0.5</v>
      </c>
      <c r="S17" s="362">
        <v>1.5</v>
      </c>
      <c r="T17" s="362">
        <v>0.5</v>
      </c>
      <c r="U17" s="362">
        <v>1.5</v>
      </c>
    </row>
    <row r="18" spans="1:21" x14ac:dyDescent="0.25">
      <c r="A18" s="962" t="s">
        <v>765</v>
      </c>
      <c r="B18" s="946" t="s">
        <v>290</v>
      </c>
      <c r="C18" s="963"/>
      <c r="D18" s="961" t="s">
        <v>290</v>
      </c>
      <c r="E18" s="946"/>
      <c r="F18" s="597"/>
      <c r="G18" s="596" t="s">
        <v>765</v>
      </c>
      <c r="H18" s="957">
        <f t="shared" si="0"/>
        <v>0.5</v>
      </c>
      <c r="I18" s="957">
        <f t="shared" si="1"/>
        <v>1.5</v>
      </c>
      <c r="J18" s="958">
        <f t="shared" si="2"/>
        <v>0.5</v>
      </c>
      <c r="K18" s="958">
        <f t="shared" si="3"/>
        <v>1.5</v>
      </c>
      <c r="L18" s="362" t="s">
        <v>7087</v>
      </c>
      <c r="M18" s="362">
        <v>0.5</v>
      </c>
      <c r="N18" s="362">
        <v>1.5</v>
      </c>
      <c r="O18" s="362">
        <v>0.5</v>
      </c>
      <c r="P18" s="362">
        <v>1.5</v>
      </c>
      <c r="R18" s="362">
        <v>0.5</v>
      </c>
      <c r="S18" s="362">
        <v>1.5</v>
      </c>
      <c r="T18" s="362">
        <v>0.5</v>
      </c>
      <c r="U18" s="362">
        <v>1.5</v>
      </c>
    </row>
    <row r="19" spans="1:21" x14ac:dyDescent="0.25">
      <c r="A19" s="962" t="s">
        <v>766</v>
      </c>
      <c r="B19" s="946" t="s">
        <v>290</v>
      </c>
      <c r="C19" s="963"/>
      <c r="D19" s="961" t="s">
        <v>290</v>
      </c>
      <c r="E19" s="946"/>
      <c r="F19" s="597"/>
      <c r="G19" s="596" t="s">
        <v>766</v>
      </c>
      <c r="H19" s="957">
        <f t="shared" si="0"/>
        <v>0.5</v>
      </c>
      <c r="I19" s="957">
        <f t="shared" si="1"/>
        <v>1.5</v>
      </c>
      <c r="J19" s="958">
        <f t="shared" si="2"/>
        <v>0.5</v>
      </c>
      <c r="K19" s="958">
        <f t="shared" si="3"/>
        <v>1.5</v>
      </c>
      <c r="L19" s="362" t="s">
        <v>7087</v>
      </c>
      <c r="M19" s="362">
        <v>0.5</v>
      </c>
      <c r="N19" s="362">
        <v>1.5</v>
      </c>
      <c r="O19" s="362">
        <v>0.5</v>
      </c>
      <c r="P19" s="362">
        <v>1.5</v>
      </c>
      <c r="R19" s="362">
        <v>0.5</v>
      </c>
      <c r="S19" s="362">
        <v>1.5</v>
      </c>
      <c r="T19" s="362">
        <v>0.5</v>
      </c>
      <c r="U19" s="362">
        <v>1.5</v>
      </c>
    </row>
    <row r="20" spans="1:21" x14ac:dyDescent="0.25">
      <c r="A20" s="962" t="s">
        <v>767</v>
      </c>
      <c r="B20" s="946" t="s">
        <v>290</v>
      </c>
      <c r="C20" s="963"/>
      <c r="D20" s="961" t="s">
        <v>290</v>
      </c>
      <c r="E20" s="946"/>
      <c r="F20" s="597"/>
      <c r="G20" s="596" t="s">
        <v>767</v>
      </c>
      <c r="H20" s="957">
        <f t="shared" si="0"/>
        <v>0.5</v>
      </c>
      <c r="I20" s="957">
        <f t="shared" si="1"/>
        <v>1.5</v>
      </c>
      <c r="J20" s="958">
        <f t="shared" si="2"/>
        <v>0.5</v>
      </c>
      <c r="K20" s="958">
        <f t="shared" si="3"/>
        <v>1.5</v>
      </c>
      <c r="L20" s="362" t="s">
        <v>7087</v>
      </c>
      <c r="M20" s="362">
        <v>0.75</v>
      </c>
      <c r="N20" s="362">
        <v>1.25</v>
      </c>
      <c r="O20" s="362">
        <v>0.75</v>
      </c>
      <c r="P20" s="362">
        <v>1.25</v>
      </c>
      <c r="R20" s="362">
        <v>0.5</v>
      </c>
      <c r="S20" s="362">
        <v>1.5</v>
      </c>
      <c r="T20" s="362">
        <v>0.5</v>
      </c>
      <c r="U20" s="362">
        <v>1.5</v>
      </c>
    </row>
    <row r="21" spans="1:21" x14ac:dyDescent="0.25">
      <c r="A21" s="962" t="s">
        <v>768</v>
      </c>
      <c r="B21" s="946" t="s">
        <v>294</v>
      </c>
      <c r="C21" s="963"/>
      <c r="D21" s="961" t="s">
        <v>294</v>
      </c>
      <c r="E21" s="946"/>
      <c r="F21" s="597"/>
      <c r="G21" s="596" t="s">
        <v>768</v>
      </c>
      <c r="H21" s="957">
        <f t="shared" si="0"/>
        <v>0.5</v>
      </c>
      <c r="I21" s="957">
        <f t="shared" si="1"/>
        <v>1.5</v>
      </c>
      <c r="J21" s="958">
        <f t="shared" si="2"/>
        <v>0.5</v>
      </c>
      <c r="K21" s="958">
        <f t="shared" si="3"/>
        <v>1.5</v>
      </c>
      <c r="L21" s="362" t="s">
        <v>7087</v>
      </c>
      <c r="M21" s="362">
        <v>0.6</v>
      </c>
      <c r="N21" s="362">
        <v>1.4</v>
      </c>
      <c r="O21" s="362">
        <v>0.6</v>
      </c>
      <c r="P21" s="362">
        <v>1.4</v>
      </c>
      <c r="R21" s="362">
        <v>0.5</v>
      </c>
      <c r="S21" s="362">
        <v>1.5</v>
      </c>
      <c r="T21" s="362">
        <v>0.5</v>
      </c>
      <c r="U21" s="362">
        <v>1.5</v>
      </c>
    </row>
    <row r="22" spans="1:21" x14ac:dyDescent="0.25">
      <c r="A22" s="962" t="s">
        <v>769</v>
      </c>
      <c r="B22" s="946" t="s">
        <v>290</v>
      </c>
      <c r="C22" s="963"/>
      <c r="D22" s="961" t="s">
        <v>290</v>
      </c>
      <c r="E22" s="946"/>
      <c r="F22" s="597"/>
      <c r="G22" s="596" t="s">
        <v>769</v>
      </c>
      <c r="H22" s="957">
        <f t="shared" si="0"/>
        <v>0.5</v>
      </c>
      <c r="I22" s="957">
        <f t="shared" si="1"/>
        <v>1.5</v>
      </c>
      <c r="J22" s="958">
        <f t="shared" si="2"/>
        <v>0.5</v>
      </c>
      <c r="K22" s="958">
        <f t="shared" si="3"/>
        <v>1.5</v>
      </c>
      <c r="L22" s="362" t="s">
        <v>7087</v>
      </c>
      <c r="M22" s="362">
        <v>0.5</v>
      </c>
      <c r="N22" s="362">
        <v>1.5</v>
      </c>
      <c r="O22" s="362">
        <v>0.5</v>
      </c>
      <c r="P22" s="362">
        <v>1.5</v>
      </c>
      <c r="R22" s="362">
        <v>0.5</v>
      </c>
      <c r="S22" s="362">
        <v>1.5</v>
      </c>
      <c r="T22" s="362">
        <v>0.5</v>
      </c>
      <c r="U22" s="362">
        <v>1.5</v>
      </c>
    </row>
    <row r="23" spans="1:21" x14ac:dyDescent="0.25">
      <c r="A23" s="962" t="s">
        <v>770</v>
      </c>
      <c r="B23" s="946"/>
      <c r="C23" s="963" t="s">
        <v>6563</v>
      </c>
      <c r="D23" s="961"/>
      <c r="E23" s="946" t="s">
        <v>6563</v>
      </c>
      <c r="F23" s="597"/>
      <c r="G23" s="596" t="s">
        <v>770</v>
      </c>
      <c r="H23" s="957">
        <f t="shared" si="0"/>
        <v>0.5</v>
      </c>
      <c r="I23" s="957">
        <f t="shared" si="1"/>
        <v>1.5</v>
      </c>
      <c r="J23" s="958">
        <f t="shared" si="2"/>
        <v>0.5</v>
      </c>
      <c r="K23" s="958">
        <f t="shared" si="3"/>
        <v>1.5</v>
      </c>
      <c r="L23" s="362" t="s">
        <v>7087</v>
      </c>
      <c r="M23" s="362">
        <v>0.5</v>
      </c>
      <c r="N23" s="362">
        <v>1.5</v>
      </c>
      <c r="O23" s="362">
        <v>0.5</v>
      </c>
      <c r="P23" s="362">
        <v>1.5</v>
      </c>
      <c r="R23" s="362">
        <v>0.5</v>
      </c>
      <c r="S23" s="362">
        <v>1.5</v>
      </c>
      <c r="T23" s="362">
        <v>0.5</v>
      </c>
      <c r="U23" s="362">
        <v>1.5</v>
      </c>
    </row>
    <row r="24" spans="1:21" x14ac:dyDescent="0.25">
      <c r="A24" s="962" t="s">
        <v>771</v>
      </c>
      <c r="B24" s="946"/>
      <c r="C24" s="963" t="s">
        <v>6563</v>
      </c>
      <c r="D24" s="961" t="s">
        <v>290</v>
      </c>
      <c r="E24" s="946"/>
      <c r="F24" s="597"/>
      <c r="G24" s="596" t="s">
        <v>771</v>
      </c>
      <c r="H24" s="957">
        <f t="shared" si="0"/>
        <v>0.5</v>
      </c>
      <c r="I24" s="957">
        <f t="shared" si="1"/>
        <v>1.5</v>
      </c>
      <c r="J24" s="958">
        <f t="shared" si="2"/>
        <v>0.5</v>
      </c>
      <c r="K24" s="958">
        <f t="shared" si="3"/>
        <v>1.5</v>
      </c>
      <c r="L24" s="362" t="s">
        <v>7087</v>
      </c>
      <c r="M24" s="362">
        <v>0.5</v>
      </c>
      <c r="N24" s="362">
        <v>1.5</v>
      </c>
      <c r="O24" s="362">
        <v>0.5</v>
      </c>
      <c r="P24" s="362">
        <v>1.5</v>
      </c>
      <c r="R24" s="362">
        <v>0.5</v>
      </c>
      <c r="S24" s="362">
        <v>1.5</v>
      </c>
      <c r="T24" s="362">
        <v>0.5</v>
      </c>
      <c r="U24" s="362">
        <v>1.5</v>
      </c>
    </row>
    <row r="25" spans="1:21" x14ac:dyDescent="0.25">
      <c r="A25" s="962" t="s">
        <v>772</v>
      </c>
      <c r="B25" s="946" t="s">
        <v>290</v>
      </c>
      <c r="C25" s="963"/>
      <c r="D25" s="961" t="s">
        <v>290</v>
      </c>
      <c r="E25" s="946"/>
      <c r="F25" s="597"/>
      <c r="G25" s="596" t="s">
        <v>772</v>
      </c>
      <c r="H25" s="957">
        <f t="shared" si="0"/>
        <v>0.5</v>
      </c>
      <c r="I25" s="957">
        <f t="shared" si="1"/>
        <v>1.5</v>
      </c>
      <c r="J25" s="958">
        <f t="shared" si="2"/>
        <v>0.5</v>
      </c>
      <c r="K25" s="958">
        <f t="shared" si="3"/>
        <v>1.5</v>
      </c>
      <c r="L25" s="362" t="s">
        <v>7087</v>
      </c>
      <c r="M25" s="362">
        <v>0.5</v>
      </c>
      <c r="N25" s="362">
        <v>1.5</v>
      </c>
      <c r="O25" s="362">
        <v>0.5</v>
      </c>
      <c r="P25" s="362">
        <v>1.5</v>
      </c>
      <c r="R25" s="362">
        <v>0.5</v>
      </c>
      <c r="S25" s="362">
        <v>1.5</v>
      </c>
      <c r="T25" s="362">
        <v>0.5</v>
      </c>
      <c r="U25" s="362">
        <v>1.5</v>
      </c>
    </row>
    <row r="26" spans="1:21" x14ac:dyDescent="0.25">
      <c r="A26" s="962" t="s">
        <v>773</v>
      </c>
      <c r="B26" s="946" t="s">
        <v>294</v>
      </c>
      <c r="C26" s="963"/>
      <c r="D26" s="961" t="s">
        <v>290</v>
      </c>
      <c r="E26" s="946"/>
      <c r="F26" s="597"/>
      <c r="G26" s="596" t="s">
        <v>773</v>
      </c>
      <c r="H26" s="957">
        <f t="shared" si="0"/>
        <v>0.5</v>
      </c>
      <c r="I26" s="957">
        <f t="shared" si="1"/>
        <v>1.5</v>
      </c>
      <c r="J26" s="958">
        <f t="shared" si="2"/>
        <v>0.5</v>
      </c>
      <c r="K26" s="958">
        <f t="shared" si="3"/>
        <v>1.5</v>
      </c>
      <c r="L26" s="362" t="s">
        <v>7087</v>
      </c>
      <c r="M26" s="362">
        <v>0.6</v>
      </c>
      <c r="N26" s="362">
        <v>1.4</v>
      </c>
      <c r="O26" s="362">
        <v>0.6</v>
      </c>
      <c r="P26" s="362">
        <v>1.4</v>
      </c>
      <c r="R26" s="362">
        <v>0.5</v>
      </c>
      <c r="S26" s="362">
        <v>1.5</v>
      </c>
      <c r="T26" s="362">
        <v>0.5</v>
      </c>
      <c r="U26" s="362">
        <v>1.5</v>
      </c>
    </row>
    <row r="27" spans="1:21" x14ac:dyDescent="0.25">
      <c r="A27" s="962" t="s">
        <v>774</v>
      </c>
      <c r="B27" s="946"/>
      <c r="C27" s="963" t="s">
        <v>6563</v>
      </c>
      <c r="D27" s="961" t="s">
        <v>290</v>
      </c>
      <c r="E27" s="946"/>
      <c r="F27" s="597"/>
      <c r="G27" s="596" t="s">
        <v>774</v>
      </c>
      <c r="H27" s="957">
        <f t="shared" si="0"/>
        <v>0.5</v>
      </c>
      <c r="I27" s="957">
        <f t="shared" si="1"/>
        <v>1.5</v>
      </c>
      <c r="J27" s="958">
        <f t="shared" si="2"/>
        <v>0.5</v>
      </c>
      <c r="K27" s="958">
        <f t="shared" si="3"/>
        <v>1.5</v>
      </c>
      <c r="L27" s="362" t="s">
        <v>7087</v>
      </c>
      <c r="M27" s="362">
        <v>0.5</v>
      </c>
      <c r="N27" s="362">
        <v>1.5</v>
      </c>
      <c r="O27" s="362">
        <v>0.75</v>
      </c>
      <c r="P27" s="362">
        <v>1.4</v>
      </c>
      <c r="R27" s="362">
        <v>0.5</v>
      </c>
      <c r="S27" s="362">
        <v>1.5</v>
      </c>
      <c r="T27" s="362">
        <v>0.5</v>
      </c>
      <c r="U27" s="362">
        <v>1.5</v>
      </c>
    </row>
    <row r="28" spans="1:21" x14ac:dyDescent="0.25">
      <c r="A28" s="962" t="s">
        <v>775</v>
      </c>
      <c r="B28" s="946" t="s">
        <v>290</v>
      </c>
      <c r="C28" s="963"/>
      <c r="D28" s="961" t="s">
        <v>290</v>
      </c>
      <c r="E28" s="946"/>
      <c r="F28" s="597"/>
      <c r="G28" s="596" t="s">
        <v>775</v>
      </c>
      <c r="H28" s="957">
        <f t="shared" si="0"/>
        <v>0.5</v>
      </c>
      <c r="I28" s="957">
        <f t="shared" si="1"/>
        <v>1.5</v>
      </c>
      <c r="J28" s="958">
        <f t="shared" si="2"/>
        <v>0.5</v>
      </c>
      <c r="K28" s="958">
        <f t="shared" si="3"/>
        <v>1.5</v>
      </c>
      <c r="L28" s="362" t="s">
        <v>7087</v>
      </c>
      <c r="M28" s="362">
        <v>0.75</v>
      </c>
      <c r="N28" s="362">
        <v>1.25</v>
      </c>
      <c r="O28" s="362">
        <v>0.75</v>
      </c>
      <c r="P28" s="362">
        <v>1.25</v>
      </c>
      <c r="R28" s="362">
        <v>0.5</v>
      </c>
      <c r="S28" s="362">
        <v>1.5</v>
      </c>
      <c r="T28" s="362">
        <v>0.5</v>
      </c>
      <c r="U28" s="362">
        <v>1.5</v>
      </c>
    </row>
    <row r="29" spans="1:21" x14ac:dyDescent="0.25">
      <c r="A29" s="962" t="s">
        <v>776</v>
      </c>
      <c r="B29" s="946" t="s">
        <v>290</v>
      </c>
      <c r="C29" s="963"/>
      <c r="D29" s="961" t="s">
        <v>290</v>
      </c>
      <c r="E29" s="946"/>
      <c r="F29" s="597"/>
      <c r="G29" s="596" t="s">
        <v>776</v>
      </c>
      <c r="H29" s="957">
        <f t="shared" si="0"/>
        <v>0.5</v>
      </c>
      <c r="I29" s="957">
        <f t="shared" si="1"/>
        <v>1.5</v>
      </c>
      <c r="J29" s="958">
        <f t="shared" si="2"/>
        <v>0.5</v>
      </c>
      <c r="K29" s="958">
        <f t="shared" si="3"/>
        <v>1.5</v>
      </c>
      <c r="L29" s="362" t="s">
        <v>7087</v>
      </c>
      <c r="M29" s="362">
        <v>0.6</v>
      </c>
      <c r="N29" s="362">
        <v>1.4</v>
      </c>
      <c r="O29" s="362">
        <v>0.6</v>
      </c>
      <c r="P29" s="362">
        <v>1.4</v>
      </c>
      <c r="R29" s="362">
        <v>0.5</v>
      </c>
      <c r="S29" s="362">
        <v>1.5</v>
      </c>
      <c r="T29" s="362">
        <v>0.5</v>
      </c>
      <c r="U29" s="362">
        <v>1.5</v>
      </c>
    </row>
    <row r="30" spans="1:21" x14ac:dyDescent="0.25">
      <c r="A30" s="962" t="s">
        <v>777</v>
      </c>
      <c r="B30" s="946"/>
      <c r="C30" s="963" t="s">
        <v>6563</v>
      </c>
      <c r="D30" s="961" t="s">
        <v>294</v>
      </c>
      <c r="E30" s="946"/>
      <c r="F30" s="597"/>
      <c r="G30" s="596" t="s">
        <v>777</v>
      </c>
      <c r="H30" s="957">
        <f t="shared" si="0"/>
        <v>0.5</v>
      </c>
      <c r="I30" s="957">
        <f t="shared" si="1"/>
        <v>1.5</v>
      </c>
      <c r="J30" s="958">
        <f t="shared" si="2"/>
        <v>0.5</v>
      </c>
      <c r="K30" s="958">
        <f t="shared" si="3"/>
        <v>1.5</v>
      </c>
      <c r="L30" s="362" t="s">
        <v>7087</v>
      </c>
      <c r="M30" s="362">
        <v>0.5</v>
      </c>
      <c r="N30" s="362">
        <v>1.5</v>
      </c>
      <c r="O30" s="362">
        <v>0.6</v>
      </c>
      <c r="P30" s="362">
        <v>1.4</v>
      </c>
      <c r="R30" s="362">
        <v>0.5</v>
      </c>
      <c r="S30" s="362">
        <v>1.5</v>
      </c>
      <c r="T30" s="362">
        <v>0.5</v>
      </c>
      <c r="U30" s="362">
        <v>1.5</v>
      </c>
    </row>
    <row r="31" spans="1:21" x14ac:dyDescent="0.25">
      <c r="A31" s="962" t="s">
        <v>778</v>
      </c>
      <c r="B31" s="946"/>
      <c r="C31" s="963" t="s">
        <v>6563</v>
      </c>
      <c r="D31" s="961" t="s">
        <v>294</v>
      </c>
      <c r="E31" s="946"/>
      <c r="F31" s="597"/>
      <c r="G31" s="596" t="s">
        <v>778</v>
      </c>
      <c r="H31" s="957">
        <f t="shared" si="0"/>
        <v>0.5</v>
      </c>
      <c r="I31" s="957">
        <f t="shared" si="1"/>
        <v>1.5</v>
      </c>
      <c r="J31" s="958">
        <f t="shared" si="2"/>
        <v>0.5</v>
      </c>
      <c r="K31" s="958">
        <f t="shared" si="3"/>
        <v>1.5</v>
      </c>
      <c r="L31" s="362" t="s">
        <v>7087</v>
      </c>
      <c r="M31" s="362">
        <v>0.5</v>
      </c>
      <c r="N31" s="362">
        <v>1.5</v>
      </c>
      <c r="O31" s="362">
        <v>0.75</v>
      </c>
      <c r="P31" s="362">
        <v>1.25</v>
      </c>
      <c r="R31" s="362">
        <v>0.5</v>
      </c>
      <c r="S31" s="362">
        <v>1.5</v>
      </c>
      <c r="T31" s="362">
        <v>0.5</v>
      </c>
      <c r="U31" s="362">
        <v>1.5</v>
      </c>
    </row>
    <row r="32" spans="1:21" x14ac:dyDescent="0.25">
      <c r="A32" s="962" t="s">
        <v>779</v>
      </c>
      <c r="B32" s="946" t="s">
        <v>290</v>
      </c>
      <c r="C32" s="963"/>
      <c r="D32" s="961" t="s">
        <v>290</v>
      </c>
      <c r="E32" s="946"/>
      <c r="F32" s="597"/>
      <c r="G32" s="596" t="s">
        <v>779</v>
      </c>
      <c r="H32" s="957">
        <f t="shared" si="0"/>
        <v>0.5</v>
      </c>
      <c r="I32" s="957">
        <f t="shared" si="1"/>
        <v>1.5</v>
      </c>
      <c r="J32" s="958">
        <f t="shared" si="2"/>
        <v>0.5</v>
      </c>
      <c r="K32" s="958">
        <f t="shared" si="3"/>
        <v>1.5</v>
      </c>
      <c r="L32" s="362" t="s">
        <v>7087</v>
      </c>
      <c r="M32" s="362">
        <v>0.6</v>
      </c>
      <c r="N32" s="362">
        <v>1.4</v>
      </c>
      <c r="O32" s="362">
        <v>0.6</v>
      </c>
      <c r="P32" s="362">
        <v>1.4</v>
      </c>
      <c r="R32" s="362">
        <v>0.5</v>
      </c>
      <c r="S32" s="362">
        <v>1.5</v>
      </c>
      <c r="T32" s="362">
        <v>0.5</v>
      </c>
      <c r="U32" s="362">
        <v>1.5</v>
      </c>
    </row>
    <row r="33" spans="1:21" x14ac:dyDescent="0.25">
      <c r="A33" s="962" t="s">
        <v>780</v>
      </c>
      <c r="B33" s="946" t="s">
        <v>294</v>
      </c>
      <c r="C33" s="963"/>
      <c r="D33" s="961" t="s">
        <v>294</v>
      </c>
      <c r="E33" s="946"/>
      <c r="F33" s="597"/>
      <c r="G33" s="596" t="s">
        <v>780</v>
      </c>
      <c r="H33" s="957">
        <f t="shared" si="0"/>
        <v>0.5</v>
      </c>
      <c r="I33" s="957">
        <f t="shared" si="1"/>
        <v>1.5</v>
      </c>
      <c r="J33" s="958">
        <f t="shared" si="2"/>
        <v>0.5</v>
      </c>
      <c r="K33" s="958">
        <f t="shared" si="3"/>
        <v>1.5</v>
      </c>
      <c r="L33" s="362" t="s">
        <v>7087</v>
      </c>
      <c r="M33" s="362">
        <v>0.6</v>
      </c>
      <c r="N33" s="362">
        <v>1.4</v>
      </c>
      <c r="O33" s="362">
        <v>0.6</v>
      </c>
      <c r="P33" s="362">
        <v>1.4</v>
      </c>
      <c r="R33" s="362">
        <v>0.5</v>
      </c>
      <c r="S33" s="362">
        <v>1.5</v>
      </c>
      <c r="T33" s="362">
        <v>0.5</v>
      </c>
      <c r="U33" s="362">
        <v>1.5</v>
      </c>
    </row>
    <row r="34" spans="1:21" x14ac:dyDescent="0.25">
      <c r="A34" s="962" t="s">
        <v>781</v>
      </c>
      <c r="B34" s="946" t="s">
        <v>290</v>
      </c>
      <c r="C34" s="963"/>
      <c r="D34" s="961" t="s">
        <v>290</v>
      </c>
      <c r="E34" s="946"/>
      <c r="F34" s="597"/>
      <c r="G34" s="596" t="s">
        <v>781</v>
      </c>
      <c r="H34" s="957">
        <f t="shared" si="0"/>
        <v>0.5</v>
      </c>
      <c r="I34" s="957">
        <f t="shared" si="1"/>
        <v>1.5</v>
      </c>
      <c r="J34" s="958">
        <f t="shared" si="2"/>
        <v>0.5</v>
      </c>
      <c r="K34" s="958">
        <f t="shared" si="3"/>
        <v>1.5</v>
      </c>
      <c r="L34" s="362" t="s">
        <v>7087</v>
      </c>
      <c r="M34" s="362">
        <v>0.75</v>
      </c>
      <c r="N34" s="362">
        <v>1.25</v>
      </c>
      <c r="O34" s="362">
        <v>0.6</v>
      </c>
      <c r="P34" s="362">
        <v>1.4</v>
      </c>
      <c r="R34" s="362">
        <v>0.5</v>
      </c>
      <c r="S34" s="362">
        <v>1.5</v>
      </c>
      <c r="T34" s="362">
        <v>0.5</v>
      </c>
      <c r="U34" s="362">
        <v>1.5</v>
      </c>
    </row>
    <row r="35" spans="1:21" x14ac:dyDescent="0.25">
      <c r="A35" s="962" t="s">
        <v>782</v>
      </c>
      <c r="B35" s="946" t="s">
        <v>294</v>
      </c>
      <c r="C35" s="963"/>
      <c r="D35" s="961" t="s">
        <v>290</v>
      </c>
      <c r="E35" s="946"/>
      <c r="F35" s="597"/>
      <c r="G35" s="596" t="s">
        <v>782</v>
      </c>
      <c r="H35" s="957">
        <f t="shared" si="0"/>
        <v>0.5</v>
      </c>
      <c r="I35" s="957">
        <f t="shared" si="1"/>
        <v>1.5</v>
      </c>
      <c r="J35" s="958">
        <f t="shared" si="2"/>
        <v>0.5</v>
      </c>
      <c r="K35" s="958">
        <f t="shared" si="3"/>
        <v>1.5</v>
      </c>
      <c r="L35" s="362" t="s">
        <v>7087</v>
      </c>
      <c r="M35" s="362">
        <v>0.6</v>
      </c>
      <c r="N35" s="362">
        <v>1.4</v>
      </c>
      <c r="O35" s="362">
        <v>0.6</v>
      </c>
      <c r="P35" s="362">
        <v>1.4</v>
      </c>
      <c r="R35" s="362">
        <v>0.5</v>
      </c>
      <c r="S35" s="362">
        <v>1.5</v>
      </c>
      <c r="T35" s="362">
        <v>0.5</v>
      </c>
      <c r="U35" s="362">
        <v>1.5</v>
      </c>
    </row>
    <row r="36" spans="1:21" x14ac:dyDescent="0.25">
      <c r="A36" s="962" t="s">
        <v>783</v>
      </c>
      <c r="B36" s="946" t="s">
        <v>290</v>
      </c>
      <c r="C36" s="963"/>
      <c r="D36" s="961" t="s">
        <v>290</v>
      </c>
      <c r="E36" s="946"/>
      <c r="F36" s="597"/>
      <c r="G36" s="596" t="s">
        <v>783</v>
      </c>
      <c r="H36" s="957">
        <f t="shared" si="0"/>
        <v>0.5</v>
      </c>
      <c r="I36" s="957">
        <f t="shared" si="1"/>
        <v>1.5</v>
      </c>
      <c r="J36" s="958">
        <f t="shared" si="2"/>
        <v>0.5</v>
      </c>
      <c r="K36" s="958">
        <f t="shared" si="3"/>
        <v>1.5</v>
      </c>
      <c r="L36" s="362" t="s">
        <v>7087</v>
      </c>
      <c r="M36" s="362">
        <v>0.75</v>
      </c>
      <c r="N36" s="362">
        <v>1.25</v>
      </c>
      <c r="O36" s="362">
        <v>0.75</v>
      </c>
      <c r="P36" s="362">
        <v>1.25</v>
      </c>
      <c r="R36" s="362">
        <v>0.5</v>
      </c>
      <c r="S36" s="362">
        <v>1.5</v>
      </c>
      <c r="T36" s="362">
        <v>0.5</v>
      </c>
      <c r="U36" s="362">
        <v>1.5</v>
      </c>
    </row>
    <row r="37" spans="1:21" x14ac:dyDescent="0.25">
      <c r="A37" s="962" t="s">
        <v>784</v>
      </c>
      <c r="B37" s="946" t="s">
        <v>290</v>
      </c>
      <c r="C37" s="963"/>
      <c r="D37" s="961" t="s">
        <v>290</v>
      </c>
      <c r="E37" s="946"/>
      <c r="F37" s="597"/>
      <c r="G37" s="596" t="s">
        <v>784</v>
      </c>
      <c r="H37" s="957">
        <f t="shared" si="0"/>
        <v>0.5</v>
      </c>
      <c r="I37" s="957">
        <f t="shared" si="1"/>
        <v>1.5</v>
      </c>
      <c r="J37" s="958">
        <f t="shared" si="2"/>
        <v>0.5</v>
      </c>
      <c r="K37" s="958">
        <f t="shared" si="3"/>
        <v>1.5</v>
      </c>
      <c r="L37" s="362" t="s">
        <v>7087</v>
      </c>
      <c r="M37" s="362">
        <v>0.75</v>
      </c>
      <c r="N37" s="362">
        <v>1.25</v>
      </c>
      <c r="O37" s="362">
        <v>0.75</v>
      </c>
      <c r="P37" s="362">
        <v>1.25</v>
      </c>
      <c r="R37" s="362">
        <v>0.5</v>
      </c>
      <c r="S37" s="362">
        <v>1.5</v>
      </c>
      <c r="T37" s="362">
        <v>0.5</v>
      </c>
      <c r="U37" s="362">
        <v>1.5</v>
      </c>
    </row>
    <row r="38" spans="1:21" x14ac:dyDescent="0.25">
      <c r="A38" s="962" t="s">
        <v>785</v>
      </c>
      <c r="B38" s="946" t="s">
        <v>290</v>
      </c>
      <c r="C38" s="963"/>
      <c r="D38" s="961" t="s">
        <v>290</v>
      </c>
      <c r="E38" s="946"/>
      <c r="F38" s="597"/>
      <c r="G38" s="596" t="s">
        <v>785</v>
      </c>
      <c r="H38" s="957">
        <f t="shared" si="0"/>
        <v>0.5</v>
      </c>
      <c r="I38" s="957">
        <f t="shared" si="1"/>
        <v>1.5</v>
      </c>
      <c r="J38" s="958">
        <f t="shared" si="2"/>
        <v>0.5</v>
      </c>
      <c r="K38" s="958">
        <f t="shared" si="3"/>
        <v>1.5</v>
      </c>
      <c r="L38" s="362" t="s">
        <v>7087</v>
      </c>
      <c r="M38" s="362">
        <v>0.5</v>
      </c>
      <c r="N38" s="362">
        <v>1.5</v>
      </c>
      <c r="O38" s="362">
        <v>0.5</v>
      </c>
      <c r="P38" s="362">
        <v>1.5</v>
      </c>
      <c r="R38" s="362">
        <v>0.5</v>
      </c>
      <c r="S38" s="362">
        <v>1.5</v>
      </c>
      <c r="T38" s="362">
        <v>0.5</v>
      </c>
      <c r="U38" s="362">
        <v>1.5</v>
      </c>
    </row>
    <row r="39" spans="1:21" x14ac:dyDescent="0.25">
      <c r="A39" s="962" t="s">
        <v>786</v>
      </c>
      <c r="B39" s="946" t="s">
        <v>290</v>
      </c>
      <c r="C39" s="963"/>
      <c r="D39" s="961" t="s">
        <v>290</v>
      </c>
      <c r="E39" s="946"/>
      <c r="F39" s="597"/>
      <c r="G39" s="596" t="s">
        <v>786</v>
      </c>
      <c r="H39" s="957">
        <f t="shared" si="0"/>
        <v>0.5</v>
      </c>
      <c r="I39" s="957">
        <f t="shared" si="1"/>
        <v>1.5</v>
      </c>
      <c r="J39" s="958">
        <f t="shared" si="2"/>
        <v>0.5</v>
      </c>
      <c r="K39" s="958">
        <f t="shared" si="3"/>
        <v>1.5</v>
      </c>
      <c r="L39" s="362" t="s">
        <v>7087</v>
      </c>
      <c r="M39" s="362">
        <v>0.5</v>
      </c>
      <c r="N39" s="362">
        <v>1.5</v>
      </c>
      <c r="O39" s="362">
        <v>0.5</v>
      </c>
      <c r="P39" s="362">
        <v>1.5</v>
      </c>
      <c r="R39" s="362">
        <v>0.5</v>
      </c>
      <c r="S39" s="362">
        <v>1.5</v>
      </c>
      <c r="T39" s="362">
        <v>0.5</v>
      </c>
      <c r="U39" s="362">
        <v>1.5</v>
      </c>
    </row>
    <row r="40" spans="1:21" x14ac:dyDescent="0.25">
      <c r="A40" s="962" t="s">
        <v>787</v>
      </c>
      <c r="B40" s="946" t="s">
        <v>294</v>
      </c>
      <c r="C40" s="963"/>
      <c r="D40" s="961" t="s">
        <v>294</v>
      </c>
      <c r="E40" s="946"/>
      <c r="F40" s="597"/>
      <c r="G40" s="596" t="s">
        <v>787</v>
      </c>
      <c r="H40" s="957">
        <f t="shared" si="0"/>
        <v>0.5</v>
      </c>
      <c r="I40" s="957">
        <f t="shared" si="1"/>
        <v>1.5</v>
      </c>
      <c r="J40" s="958">
        <f t="shared" si="2"/>
        <v>0.5</v>
      </c>
      <c r="K40" s="958">
        <f t="shared" si="3"/>
        <v>1.5</v>
      </c>
      <c r="L40" s="362" t="s">
        <v>7087</v>
      </c>
      <c r="M40" s="362">
        <v>0.75</v>
      </c>
      <c r="N40" s="362">
        <v>1.25</v>
      </c>
      <c r="O40" s="362">
        <v>0.75</v>
      </c>
      <c r="P40" s="362">
        <v>1.25</v>
      </c>
      <c r="R40" s="362">
        <v>0.5</v>
      </c>
      <c r="S40" s="362">
        <v>1.5</v>
      </c>
      <c r="T40" s="362">
        <v>0.5</v>
      </c>
      <c r="U40" s="362">
        <v>1.5</v>
      </c>
    </row>
    <row r="41" spans="1:21" x14ac:dyDescent="0.25">
      <c r="A41" s="962" t="s">
        <v>788</v>
      </c>
      <c r="B41" s="946" t="s">
        <v>290</v>
      </c>
      <c r="C41" s="963"/>
      <c r="D41" s="961" t="s">
        <v>290</v>
      </c>
      <c r="E41" s="946"/>
      <c r="F41" s="597"/>
      <c r="G41" s="596" t="s">
        <v>788</v>
      </c>
      <c r="H41" s="957">
        <f t="shared" si="0"/>
        <v>0.5</v>
      </c>
      <c r="I41" s="957">
        <f t="shared" si="1"/>
        <v>1.5</v>
      </c>
      <c r="J41" s="958">
        <f t="shared" si="2"/>
        <v>0.5</v>
      </c>
      <c r="K41" s="958">
        <f t="shared" si="3"/>
        <v>1.5</v>
      </c>
      <c r="L41" s="362" t="s">
        <v>7087</v>
      </c>
      <c r="M41" s="362">
        <v>0.5</v>
      </c>
      <c r="N41" s="362">
        <v>1.5</v>
      </c>
      <c r="O41" s="362">
        <v>0.5</v>
      </c>
      <c r="P41" s="362">
        <v>1.5</v>
      </c>
      <c r="R41" s="362">
        <v>0.5</v>
      </c>
      <c r="S41" s="362">
        <v>1.5</v>
      </c>
      <c r="T41" s="362">
        <v>0.5</v>
      </c>
      <c r="U41" s="362">
        <v>1.5</v>
      </c>
    </row>
    <row r="42" spans="1:21" x14ac:dyDescent="0.25">
      <c r="A42" s="962" t="s">
        <v>789</v>
      </c>
      <c r="B42" s="946" t="s">
        <v>290</v>
      </c>
      <c r="C42" s="963"/>
      <c r="D42" s="961" t="s">
        <v>290</v>
      </c>
      <c r="E42" s="946"/>
      <c r="F42" s="597"/>
      <c r="G42" s="596" t="s">
        <v>789</v>
      </c>
      <c r="H42" s="957">
        <f t="shared" si="0"/>
        <v>0.5</v>
      </c>
      <c r="I42" s="957">
        <f t="shared" si="1"/>
        <v>1.5</v>
      </c>
      <c r="J42" s="958">
        <f t="shared" si="2"/>
        <v>0.5</v>
      </c>
      <c r="K42" s="958">
        <f t="shared" si="3"/>
        <v>1.5</v>
      </c>
      <c r="L42" s="362" t="s">
        <v>7087</v>
      </c>
      <c r="M42" s="362">
        <v>0.75</v>
      </c>
      <c r="N42" s="362">
        <v>1.25</v>
      </c>
      <c r="O42" s="362">
        <v>0.75</v>
      </c>
      <c r="P42" s="362">
        <v>1.25</v>
      </c>
      <c r="R42" s="362">
        <v>0.5</v>
      </c>
      <c r="S42" s="362">
        <v>1.5</v>
      </c>
      <c r="T42" s="362">
        <v>0.5</v>
      </c>
      <c r="U42" s="362">
        <v>1.5</v>
      </c>
    </row>
    <row r="43" spans="1:21" x14ac:dyDescent="0.25">
      <c r="A43" s="962" t="s">
        <v>790</v>
      </c>
      <c r="B43" s="946" t="s">
        <v>294</v>
      </c>
      <c r="C43" s="963"/>
      <c r="D43" s="961" t="s">
        <v>294</v>
      </c>
      <c r="E43" s="946"/>
      <c r="F43" s="597"/>
      <c r="G43" s="596" t="s">
        <v>790</v>
      </c>
      <c r="H43" s="957">
        <f t="shared" si="0"/>
        <v>0.5</v>
      </c>
      <c r="I43" s="957">
        <f t="shared" si="1"/>
        <v>1.5</v>
      </c>
      <c r="J43" s="958">
        <f t="shared" si="2"/>
        <v>0.5</v>
      </c>
      <c r="K43" s="958">
        <f t="shared" si="3"/>
        <v>1.5</v>
      </c>
      <c r="L43" s="362" t="s">
        <v>7087</v>
      </c>
      <c r="M43" s="362">
        <v>0.6</v>
      </c>
      <c r="N43" s="362">
        <v>1.4</v>
      </c>
      <c r="O43" s="362">
        <v>0.6</v>
      </c>
      <c r="P43" s="362">
        <v>1.4</v>
      </c>
      <c r="R43" s="362">
        <v>0.5</v>
      </c>
      <c r="S43" s="362">
        <v>1.5</v>
      </c>
      <c r="T43" s="362">
        <v>0.5</v>
      </c>
      <c r="U43" s="362">
        <v>1.5</v>
      </c>
    </row>
    <row r="44" spans="1:21" x14ac:dyDescent="0.25">
      <c r="A44" s="962" t="s">
        <v>791</v>
      </c>
      <c r="B44" s="946" t="s">
        <v>290</v>
      </c>
      <c r="C44" s="963"/>
      <c r="D44" s="961" t="s">
        <v>290</v>
      </c>
      <c r="E44" s="946"/>
      <c r="F44" s="597"/>
      <c r="G44" s="596" t="s">
        <v>791</v>
      </c>
      <c r="H44" s="957">
        <f t="shared" si="0"/>
        <v>0.5</v>
      </c>
      <c r="I44" s="957">
        <f t="shared" si="1"/>
        <v>1.5</v>
      </c>
      <c r="J44" s="958">
        <f t="shared" si="2"/>
        <v>0.5</v>
      </c>
      <c r="K44" s="958">
        <f t="shared" si="3"/>
        <v>1.5</v>
      </c>
      <c r="L44" s="362" t="s">
        <v>7087</v>
      </c>
      <c r="M44" s="362">
        <v>0.75</v>
      </c>
      <c r="N44" s="362">
        <v>1.25</v>
      </c>
      <c r="O44" s="362">
        <v>0.75</v>
      </c>
      <c r="P44" s="362">
        <v>1.25</v>
      </c>
      <c r="R44" s="362">
        <v>0.5</v>
      </c>
      <c r="S44" s="362">
        <v>1.5</v>
      </c>
      <c r="T44" s="362">
        <v>0.5</v>
      </c>
      <c r="U44" s="362">
        <v>1.5</v>
      </c>
    </row>
    <row r="45" spans="1:21" x14ac:dyDescent="0.25">
      <c r="A45" s="962" t="s">
        <v>792</v>
      </c>
      <c r="B45" s="946" t="s">
        <v>290</v>
      </c>
      <c r="C45" s="963"/>
      <c r="D45" s="961" t="s">
        <v>290</v>
      </c>
      <c r="E45" s="946"/>
      <c r="F45" s="597"/>
      <c r="G45" s="596" t="s">
        <v>792</v>
      </c>
      <c r="H45" s="957">
        <f t="shared" si="0"/>
        <v>0.5</v>
      </c>
      <c r="I45" s="957">
        <f t="shared" si="1"/>
        <v>1.5</v>
      </c>
      <c r="J45" s="958">
        <f t="shared" si="2"/>
        <v>0.5</v>
      </c>
      <c r="K45" s="958">
        <f t="shared" si="3"/>
        <v>1.5</v>
      </c>
      <c r="L45" s="362" t="s">
        <v>7087</v>
      </c>
      <c r="M45" s="362">
        <v>0.5</v>
      </c>
      <c r="N45" s="362">
        <v>1.5</v>
      </c>
      <c r="O45" s="362">
        <v>0.5</v>
      </c>
      <c r="P45" s="362">
        <v>1.5</v>
      </c>
      <c r="R45" s="362">
        <v>0.5</v>
      </c>
      <c r="S45" s="362">
        <v>1.5</v>
      </c>
      <c r="T45" s="362">
        <v>0.5</v>
      </c>
      <c r="U45" s="362">
        <v>1.5</v>
      </c>
    </row>
    <row r="46" spans="1:21" x14ac:dyDescent="0.25">
      <c r="A46" s="962" t="s">
        <v>793</v>
      </c>
      <c r="B46" s="946" t="s">
        <v>290</v>
      </c>
      <c r="C46" s="963"/>
      <c r="D46" s="961" t="s">
        <v>294</v>
      </c>
      <c r="E46" s="946"/>
      <c r="F46" s="597"/>
      <c r="G46" s="596" t="s">
        <v>793</v>
      </c>
      <c r="H46" s="957">
        <f t="shared" si="0"/>
        <v>0.5</v>
      </c>
      <c r="I46" s="957">
        <f t="shared" si="1"/>
        <v>1.5</v>
      </c>
      <c r="J46" s="958">
        <f t="shared" si="2"/>
        <v>0.5</v>
      </c>
      <c r="K46" s="958">
        <f t="shared" si="3"/>
        <v>1.5</v>
      </c>
      <c r="L46" s="362" t="s">
        <v>7087</v>
      </c>
      <c r="M46" s="362">
        <v>0.5</v>
      </c>
      <c r="N46" s="362">
        <v>1.5</v>
      </c>
      <c r="O46" s="362">
        <v>0.5</v>
      </c>
      <c r="P46" s="362">
        <v>1.5</v>
      </c>
      <c r="R46" s="362">
        <v>0.5</v>
      </c>
      <c r="S46" s="362">
        <v>1.5</v>
      </c>
      <c r="T46" s="362">
        <v>0.5</v>
      </c>
      <c r="U46" s="362">
        <v>1.5</v>
      </c>
    </row>
    <row r="47" spans="1:21" x14ac:dyDescent="0.25">
      <c r="A47" s="962" t="s">
        <v>794</v>
      </c>
      <c r="B47" s="946" t="s">
        <v>290</v>
      </c>
      <c r="C47" s="963"/>
      <c r="D47" s="961" t="s">
        <v>290</v>
      </c>
      <c r="E47" s="946"/>
      <c r="F47" s="597"/>
      <c r="G47" s="596" t="s">
        <v>794</v>
      </c>
      <c r="H47" s="957">
        <f t="shared" si="0"/>
        <v>0.5</v>
      </c>
      <c r="I47" s="957">
        <f t="shared" si="1"/>
        <v>1.5</v>
      </c>
      <c r="J47" s="958">
        <f t="shared" si="2"/>
        <v>0.5</v>
      </c>
      <c r="K47" s="958">
        <f t="shared" si="3"/>
        <v>1.5</v>
      </c>
      <c r="L47" s="362" t="s">
        <v>7087</v>
      </c>
      <c r="M47" s="362">
        <v>0.5</v>
      </c>
      <c r="N47" s="362">
        <v>1.5</v>
      </c>
      <c r="O47" s="362">
        <v>0.5</v>
      </c>
      <c r="P47" s="362">
        <v>1.5</v>
      </c>
      <c r="R47" s="362">
        <v>0.5</v>
      </c>
      <c r="S47" s="362">
        <v>1.5</v>
      </c>
      <c r="T47" s="362">
        <v>0.5</v>
      </c>
      <c r="U47" s="362">
        <v>1.5</v>
      </c>
    </row>
    <row r="48" spans="1:21" x14ac:dyDescent="0.25">
      <c r="A48" s="962" t="s">
        <v>795</v>
      </c>
      <c r="B48" s="946" t="s">
        <v>294</v>
      </c>
      <c r="C48" s="963"/>
      <c r="D48" s="961" t="s">
        <v>294</v>
      </c>
      <c r="E48" s="946"/>
      <c r="F48" s="597"/>
      <c r="G48" s="596" t="s">
        <v>795</v>
      </c>
      <c r="H48" s="957">
        <f t="shared" si="0"/>
        <v>0.5</v>
      </c>
      <c r="I48" s="957">
        <f t="shared" si="1"/>
        <v>1.5</v>
      </c>
      <c r="J48" s="958">
        <f t="shared" si="2"/>
        <v>0.5</v>
      </c>
      <c r="K48" s="958">
        <f t="shared" si="3"/>
        <v>1.5</v>
      </c>
      <c r="L48" s="362" t="s">
        <v>7087</v>
      </c>
      <c r="M48" s="362">
        <v>0.6</v>
      </c>
      <c r="N48" s="362">
        <v>1.4</v>
      </c>
      <c r="O48" s="362">
        <v>0.6</v>
      </c>
      <c r="P48" s="362">
        <v>1.4</v>
      </c>
      <c r="R48" s="362">
        <v>0.5</v>
      </c>
      <c r="S48" s="362">
        <v>1.5</v>
      </c>
      <c r="T48" s="362">
        <v>0.5</v>
      </c>
      <c r="U48" s="362">
        <v>1.5</v>
      </c>
    </row>
    <row r="49" spans="1:21" x14ac:dyDescent="0.25">
      <c r="A49" s="962" t="s">
        <v>796</v>
      </c>
      <c r="B49" s="946" t="s">
        <v>290</v>
      </c>
      <c r="C49" s="963"/>
      <c r="D49" s="961" t="s">
        <v>290</v>
      </c>
      <c r="E49" s="946"/>
      <c r="F49" s="597"/>
      <c r="G49" s="596" t="s">
        <v>796</v>
      </c>
      <c r="H49" s="957">
        <f t="shared" si="0"/>
        <v>0.5</v>
      </c>
      <c r="I49" s="957">
        <f t="shared" si="1"/>
        <v>1.5</v>
      </c>
      <c r="J49" s="958">
        <f t="shared" si="2"/>
        <v>0.5</v>
      </c>
      <c r="K49" s="958">
        <f t="shared" si="3"/>
        <v>1.5</v>
      </c>
      <c r="L49" s="362" t="s">
        <v>7087</v>
      </c>
      <c r="M49" s="362">
        <v>0.75</v>
      </c>
      <c r="N49" s="362">
        <v>1.4</v>
      </c>
      <c r="O49" s="362">
        <v>0.6</v>
      </c>
      <c r="P49" s="362">
        <v>1.4</v>
      </c>
      <c r="R49" s="362">
        <v>0.5</v>
      </c>
      <c r="S49" s="362">
        <v>1.5</v>
      </c>
      <c r="T49" s="362">
        <v>0.5</v>
      </c>
      <c r="U49" s="362">
        <v>1.5</v>
      </c>
    </row>
    <row r="50" spans="1:21" x14ac:dyDescent="0.25">
      <c r="A50" s="962" t="s">
        <v>797</v>
      </c>
      <c r="B50" s="946" t="s">
        <v>294</v>
      </c>
      <c r="C50" s="963"/>
      <c r="D50" s="961" t="s">
        <v>294</v>
      </c>
      <c r="E50" s="946"/>
      <c r="F50" s="597"/>
      <c r="G50" s="596" t="s">
        <v>797</v>
      </c>
      <c r="H50" s="957">
        <f t="shared" si="0"/>
        <v>0.5</v>
      </c>
      <c r="I50" s="957">
        <f t="shared" si="1"/>
        <v>1.5</v>
      </c>
      <c r="J50" s="958">
        <f t="shared" si="2"/>
        <v>0.5</v>
      </c>
      <c r="K50" s="958">
        <f t="shared" si="3"/>
        <v>1.5</v>
      </c>
      <c r="L50" s="362" t="s">
        <v>7087</v>
      </c>
      <c r="M50" s="362">
        <v>0.75</v>
      </c>
      <c r="N50" s="362">
        <v>1.25</v>
      </c>
      <c r="O50" s="362">
        <v>0.75</v>
      </c>
      <c r="P50" s="362">
        <v>1.25</v>
      </c>
      <c r="R50" s="362">
        <v>0.5</v>
      </c>
      <c r="S50" s="362">
        <v>1.5</v>
      </c>
      <c r="T50" s="362">
        <v>0.5</v>
      </c>
      <c r="U50" s="362">
        <v>1.5</v>
      </c>
    </row>
    <row r="51" spans="1:21" x14ac:dyDescent="0.25">
      <c r="A51" s="962" t="s">
        <v>798</v>
      </c>
      <c r="B51" s="946" t="s">
        <v>290</v>
      </c>
      <c r="C51" s="963"/>
      <c r="D51" s="961" t="s">
        <v>290</v>
      </c>
      <c r="E51" s="946"/>
      <c r="F51" s="597"/>
      <c r="G51" s="596" t="s">
        <v>798</v>
      </c>
      <c r="H51" s="957">
        <f t="shared" si="0"/>
        <v>0.5</v>
      </c>
      <c r="I51" s="957">
        <f t="shared" si="1"/>
        <v>1.5</v>
      </c>
      <c r="J51" s="958">
        <f t="shared" si="2"/>
        <v>0.5</v>
      </c>
      <c r="K51" s="958">
        <f t="shared" si="3"/>
        <v>1.5</v>
      </c>
      <c r="L51" s="362" t="s">
        <v>7087</v>
      </c>
      <c r="M51" s="362">
        <v>0.5</v>
      </c>
      <c r="N51" s="362">
        <v>1.5</v>
      </c>
      <c r="O51" s="362">
        <v>0.5</v>
      </c>
      <c r="P51" s="362">
        <v>1.5</v>
      </c>
      <c r="R51" s="362">
        <v>0.5</v>
      </c>
      <c r="S51" s="362">
        <v>1.5</v>
      </c>
      <c r="T51" s="362">
        <v>0.5</v>
      </c>
      <c r="U51" s="362">
        <v>1.5</v>
      </c>
    </row>
    <row r="52" spans="1:21" x14ac:dyDescent="0.25">
      <c r="A52" s="962" t="s">
        <v>799</v>
      </c>
      <c r="B52" s="946"/>
      <c r="C52" s="963" t="s">
        <v>6563</v>
      </c>
      <c r="D52" s="961" t="s">
        <v>290</v>
      </c>
      <c r="E52" s="946"/>
      <c r="F52" s="597"/>
      <c r="G52" s="596" t="s">
        <v>799</v>
      </c>
      <c r="H52" s="957">
        <f t="shared" si="0"/>
        <v>0.5</v>
      </c>
      <c r="I52" s="957">
        <f t="shared" si="1"/>
        <v>1.5</v>
      </c>
      <c r="J52" s="958">
        <f t="shared" si="2"/>
        <v>0.5</v>
      </c>
      <c r="K52" s="958">
        <f t="shared" si="3"/>
        <v>1.5</v>
      </c>
      <c r="L52" s="362" t="s">
        <v>7087</v>
      </c>
      <c r="M52" s="362">
        <v>0.5</v>
      </c>
      <c r="N52" s="362">
        <v>1.5</v>
      </c>
      <c r="O52" s="362">
        <v>0.6</v>
      </c>
      <c r="P52" s="362">
        <v>1.4</v>
      </c>
      <c r="R52" s="362">
        <v>0.5</v>
      </c>
      <c r="S52" s="362">
        <v>1.5</v>
      </c>
      <c r="T52" s="362">
        <v>0.5</v>
      </c>
      <c r="U52" s="362">
        <v>1.5</v>
      </c>
    </row>
    <row r="53" spans="1:21" x14ac:dyDescent="0.25">
      <c r="A53" s="962" t="s">
        <v>800</v>
      </c>
      <c r="B53" s="946" t="s">
        <v>290</v>
      </c>
      <c r="C53" s="963"/>
      <c r="D53" s="961" t="s">
        <v>290</v>
      </c>
      <c r="E53" s="946"/>
      <c r="F53" s="597"/>
      <c r="G53" s="596" t="s">
        <v>800</v>
      </c>
      <c r="H53" s="957">
        <f t="shared" si="0"/>
        <v>0.5</v>
      </c>
      <c r="I53" s="957">
        <f t="shared" si="1"/>
        <v>1.5</v>
      </c>
      <c r="J53" s="958">
        <f t="shared" si="2"/>
        <v>0.5</v>
      </c>
      <c r="K53" s="958">
        <f t="shared" si="3"/>
        <v>1.5</v>
      </c>
      <c r="L53" s="362" t="s">
        <v>7087</v>
      </c>
      <c r="M53" s="362">
        <v>0.75</v>
      </c>
      <c r="N53" s="362">
        <v>1.25</v>
      </c>
      <c r="O53" s="362">
        <v>0.75</v>
      </c>
      <c r="P53" s="362">
        <v>1.25</v>
      </c>
      <c r="R53" s="362">
        <v>0.5</v>
      </c>
      <c r="S53" s="362">
        <v>1.5</v>
      </c>
      <c r="T53" s="362">
        <v>0.5</v>
      </c>
      <c r="U53" s="362">
        <v>1.5</v>
      </c>
    </row>
    <row r="54" spans="1:21" x14ac:dyDescent="0.25">
      <c r="A54" s="962" t="s">
        <v>801</v>
      </c>
      <c r="B54" s="946" t="s">
        <v>294</v>
      </c>
      <c r="C54" s="963"/>
      <c r="D54" s="961" t="s">
        <v>294</v>
      </c>
      <c r="E54" s="946"/>
      <c r="F54" s="597"/>
      <c r="G54" s="596" t="s">
        <v>801</v>
      </c>
      <c r="H54" s="957">
        <f t="shared" si="0"/>
        <v>0.5</v>
      </c>
      <c r="I54" s="957">
        <f t="shared" si="1"/>
        <v>1.5</v>
      </c>
      <c r="J54" s="958">
        <f t="shared" si="2"/>
        <v>0.5</v>
      </c>
      <c r="K54" s="958">
        <f t="shared" si="3"/>
        <v>1.5</v>
      </c>
      <c r="L54" s="362" t="s">
        <v>7087</v>
      </c>
      <c r="M54" s="362">
        <v>0.5</v>
      </c>
      <c r="N54" s="362">
        <v>1.5</v>
      </c>
      <c r="O54" s="362">
        <v>0.5</v>
      </c>
      <c r="P54" s="362">
        <v>1.5</v>
      </c>
      <c r="R54" s="362">
        <v>0.5</v>
      </c>
      <c r="S54" s="362">
        <v>1.5</v>
      </c>
      <c r="T54" s="362">
        <v>0.5</v>
      </c>
      <c r="U54" s="362">
        <v>1.5</v>
      </c>
    </row>
    <row r="55" spans="1:21" x14ac:dyDescent="0.25">
      <c r="A55" s="962" t="s">
        <v>802</v>
      </c>
      <c r="B55" s="946" t="s">
        <v>290</v>
      </c>
      <c r="C55" s="963"/>
      <c r="D55" s="961" t="s">
        <v>290</v>
      </c>
      <c r="E55" s="946"/>
      <c r="F55" s="597"/>
      <c r="G55" s="596" t="s">
        <v>802</v>
      </c>
      <c r="H55" s="957">
        <f t="shared" si="0"/>
        <v>0.5</v>
      </c>
      <c r="I55" s="957">
        <f t="shared" si="1"/>
        <v>1.5</v>
      </c>
      <c r="J55" s="958">
        <f t="shared" si="2"/>
        <v>0.5</v>
      </c>
      <c r="K55" s="958">
        <f t="shared" si="3"/>
        <v>1.5</v>
      </c>
      <c r="L55" s="362" t="s">
        <v>7087</v>
      </c>
      <c r="M55" s="362">
        <v>0.5</v>
      </c>
      <c r="N55" s="362">
        <v>1.5</v>
      </c>
      <c r="O55" s="362">
        <v>0.5</v>
      </c>
      <c r="P55" s="362">
        <v>1.5</v>
      </c>
      <c r="R55" s="362">
        <v>0.5</v>
      </c>
      <c r="S55" s="362">
        <v>1.5</v>
      </c>
      <c r="T55" s="362">
        <v>0.5</v>
      </c>
      <c r="U55" s="362">
        <v>1.5</v>
      </c>
    </row>
    <row r="56" spans="1:21" x14ac:dyDescent="0.25">
      <c r="A56" s="962" t="s">
        <v>803</v>
      </c>
      <c r="B56" s="946"/>
      <c r="C56" s="963" t="s">
        <v>6563</v>
      </c>
      <c r="D56" s="961"/>
      <c r="E56" s="946" t="s">
        <v>6563</v>
      </c>
      <c r="F56" s="597"/>
      <c r="G56" s="596" t="s">
        <v>803</v>
      </c>
      <c r="H56" s="957">
        <f t="shared" si="0"/>
        <v>0.5</v>
      </c>
      <c r="I56" s="957">
        <f t="shared" si="1"/>
        <v>1.5</v>
      </c>
      <c r="J56" s="958">
        <f t="shared" si="2"/>
        <v>0.5</v>
      </c>
      <c r="K56" s="958">
        <f t="shared" si="3"/>
        <v>1.5</v>
      </c>
      <c r="L56" s="362" t="s">
        <v>7087</v>
      </c>
      <c r="M56" s="362">
        <v>0.5</v>
      </c>
      <c r="N56" s="362">
        <v>1.5</v>
      </c>
      <c r="O56" s="362">
        <v>0.5</v>
      </c>
      <c r="P56" s="362">
        <v>1.5</v>
      </c>
      <c r="R56" s="362">
        <v>0.5</v>
      </c>
      <c r="S56" s="362">
        <v>1.5</v>
      </c>
      <c r="T56" s="362">
        <v>0.5</v>
      </c>
      <c r="U56" s="362">
        <v>1.5</v>
      </c>
    </row>
    <row r="57" spans="1:21" x14ac:dyDescent="0.25">
      <c r="A57" s="962" t="s">
        <v>804</v>
      </c>
      <c r="B57" s="946"/>
      <c r="C57" s="963" t="s">
        <v>6563</v>
      </c>
      <c r="D57" s="961"/>
      <c r="E57" s="946" t="s">
        <v>6563</v>
      </c>
      <c r="F57" s="597"/>
      <c r="G57" s="596" t="s">
        <v>804</v>
      </c>
      <c r="H57" s="957">
        <f t="shared" si="0"/>
        <v>0.5</v>
      </c>
      <c r="I57" s="957">
        <f t="shared" si="1"/>
        <v>1.5</v>
      </c>
      <c r="J57" s="958">
        <f t="shared" si="2"/>
        <v>0.5</v>
      </c>
      <c r="K57" s="958">
        <f t="shared" si="3"/>
        <v>1.5</v>
      </c>
      <c r="L57" s="362" t="s">
        <v>7087</v>
      </c>
      <c r="M57" s="362">
        <v>0.5</v>
      </c>
      <c r="N57" s="362">
        <v>1.5</v>
      </c>
      <c r="O57" s="362">
        <v>0.5</v>
      </c>
      <c r="P57" s="362">
        <v>1.5</v>
      </c>
      <c r="R57" s="362">
        <v>0.5</v>
      </c>
      <c r="S57" s="362">
        <v>1.5</v>
      </c>
      <c r="T57" s="362">
        <v>0.5</v>
      </c>
      <c r="U57" s="362">
        <v>1.5</v>
      </c>
    </row>
    <row r="58" spans="1:21" x14ac:dyDescent="0.25">
      <c r="A58" s="962" t="s">
        <v>805</v>
      </c>
      <c r="B58" s="946" t="s">
        <v>290</v>
      </c>
      <c r="C58" s="963"/>
      <c r="D58" s="961" t="s">
        <v>290</v>
      </c>
      <c r="E58" s="946"/>
      <c r="F58" s="597"/>
      <c r="G58" s="596" t="s">
        <v>805</v>
      </c>
      <c r="H58" s="957">
        <f t="shared" si="0"/>
        <v>0.5</v>
      </c>
      <c r="I58" s="957">
        <f t="shared" si="1"/>
        <v>1.5</v>
      </c>
      <c r="J58" s="958">
        <f t="shared" si="2"/>
        <v>0.5</v>
      </c>
      <c r="K58" s="958">
        <f t="shared" si="3"/>
        <v>1.5</v>
      </c>
      <c r="L58" s="362" t="s">
        <v>7087</v>
      </c>
      <c r="M58" s="362">
        <v>0.6</v>
      </c>
      <c r="N58" s="362">
        <v>1.4</v>
      </c>
      <c r="O58" s="362">
        <v>0.6</v>
      </c>
      <c r="P58" s="362">
        <v>1.4</v>
      </c>
      <c r="R58" s="362">
        <v>0.5</v>
      </c>
      <c r="S58" s="362">
        <v>1.5</v>
      </c>
      <c r="T58" s="362">
        <v>0.5</v>
      </c>
      <c r="U58" s="362">
        <v>1.5</v>
      </c>
    </row>
    <row r="59" spans="1:21" x14ac:dyDescent="0.25">
      <c r="A59" s="962" t="s">
        <v>806</v>
      </c>
      <c r="B59" s="946" t="s">
        <v>290</v>
      </c>
      <c r="C59" s="963"/>
      <c r="D59" s="961" t="s">
        <v>290</v>
      </c>
      <c r="E59" s="946"/>
      <c r="F59" s="597"/>
      <c r="G59" s="596" t="s">
        <v>806</v>
      </c>
      <c r="H59" s="957">
        <f t="shared" si="0"/>
        <v>0.5</v>
      </c>
      <c r="I59" s="957">
        <f t="shared" si="1"/>
        <v>1.5</v>
      </c>
      <c r="J59" s="958">
        <f t="shared" si="2"/>
        <v>0.5</v>
      </c>
      <c r="K59" s="958">
        <f t="shared" si="3"/>
        <v>1.5</v>
      </c>
      <c r="L59" s="362" t="s">
        <v>7087</v>
      </c>
      <c r="M59" s="362">
        <v>0.5</v>
      </c>
      <c r="N59" s="362">
        <v>1.5</v>
      </c>
      <c r="O59" s="362">
        <v>0.5</v>
      </c>
      <c r="P59" s="362">
        <v>1.5</v>
      </c>
      <c r="R59" s="362">
        <v>0.5</v>
      </c>
      <c r="S59" s="362">
        <v>1.5</v>
      </c>
      <c r="T59" s="362">
        <v>0.5</v>
      </c>
      <c r="U59" s="362">
        <v>1.5</v>
      </c>
    </row>
    <row r="60" spans="1:21" x14ac:dyDescent="0.25">
      <c r="A60" s="962" t="s">
        <v>807</v>
      </c>
      <c r="B60" s="946" t="s">
        <v>290</v>
      </c>
      <c r="C60" s="963"/>
      <c r="D60" s="961" t="s">
        <v>290</v>
      </c>
      <c r="E60" s="946"/>
      <c r="F60" s="597"/>
      <c r="G60" s="946" t="s">
        <v>807</v>
      </c>
      <c r="H60" s="957">
        <f t="shared" si="0"/>
        <v>0.5</v>
      </c>
      <c r="I60" s="957">
        <f t="shared" si="1"/>
        <v>1.5</v>
      </c>
      <c r="J60" s="958">
        <f t="shared" si="2"/>
        <v>0.5</v>
      </c>
      <c r="K60" s="958">
        <f t="shared" si="3"/>
        <v>1.5</v>
      </c>
      <c r="L60" s="362" t="s">
        <v>7087</v>
      </c>
      <c r="M60" s="362">
        <v>0.5</v>
      </c>
      <c r="N60" s="362">
        <v>1.5</v>
      </c>
      <c r="O60" s="362">
        <v>0.6</v>
      </c>
      <c r="P60" s="362">
        <v>1.4</v>
      </c>
      <c r="R60" s="362">
        <v>0.5</v>
      </c>
      <c r="S60" s="362">
        <v>1.5</v>
      </c>
      <c r="T60" s="362">
        <v>0.5</v>
      </c>
      <c r="U60" s="362">
        <v>1.5</v>
      </c>
    </row>
    <row r="61" spans="1:21" x14ac:dyDescent="0.25">
      <c r="A61" s="362" t="s">
        <v>7074</v>
      </c>
      <c r="B61" s="362" t="s">
        <v>290</v>
      </c>
      <c r="D61" s="362" t="s">
        <v>290</v>
      </c>
      <c r="G61" s="961" t="s">
        <v>7074</v>
      </c>
      <c r="H61" s="961">
        <v>0.5</v>
      </c>
      <c r="I61" s="961">
        <v>1.5</v>
      </c>
      <c r="J61" s="961">
        <v>0.5</v>
      </c>
      <c r="K61" s="961">
        <v>1.5</v>
      </c>
      <c r="L61" s="362" t="s">
        <v>7088</v>
      </c>
    </row>
    <row r="70" spans="1:3" x14ac:dyDescent="0.25">
      <c r="A70" s="961" t="s">
        <v>6569</v>
      </c>
      <c r="B70" s="961" t="s">
        <v>6570</v>
      </c>
      <c r="C70" s="961" t="s">
        <v>6571</v>
      </c>
    </row>
    <row r="71" spans="1:3" x14ac:dyDescent="0.25">
      <c r="A71" s="961" t="s">
        <v>6572</v>
      </c>
      <c r="B71" s="961" t="s">
        <v>6573</v>
      </c>
      <c r="C71" s="961">
        <v>4</v>
      </c>
    </row>
    <row r="72" spans="1:3" x14ac:dyDescent="0.25">
      <c r="A72" s="961" t="s">
        <v>6574</v>
      </c>
      <c r="B72" s="961" t="s">
        <v>6575</v>
      </c>
      <c r="C72" s="961">
        <v>248</v>
      </c>
    </row>
    <row r="73" spans="1:3" x14ac:dyDescent="0.25">
      <c r="A73" s="961" t="s">
        <v>6576</v>
      </c>
      <c r="B73" s="961" t="s">
        <v>6577</v>
      </c>
      <c r="C73" s="961">
        <v>8</v>
      </c>
    </row>
    <row r="74" spans="1:3" x14ac:dyDescent="0.25">
      <c r="A74" s="961" t="s">
        <v>6578</v>
      </c>
      <c r="B74" s="961" t="s">
        <v>6579</v>
      </c>
      <c r="C74" s="961">
        <v>12</v>
      </c>
    </row>
    <row r="75" spans="1:3" x14ac:dyDescent="0.25">
      <c r="A75" s="961" t="s">
        <v>751</v>
      </c>
      <c r="B75" s="961" t="s">
        <v>6580</v>
      </c>
      <c r="C75" s="961">
        <v>16</v>
      </c>
    </row>
    <row r="76" spans="1:3" x14ac:dyDescent="0.25">
      <c r="A76" s="961" t="s">
        <v>6581</v>
      </c>
      <c r="B76" s="961" t="s">
        <v>6582</v>
      </c>
      <c r="C76" s="961">
        <v>20</v>
      </c>
    </row>
    <row r="77" spans="1:3" x14ac:dyDescent="0.25">
      <c r="A77" s="961" t="s">
        <v>6583</v>
      </c>
      <c r="B77" s="961" t="s">
        <v>6584</v>
      </c>
      <c r="C77" s="961">
        <v>24</v>
      </c>
    </row>
    <row r="78" spans="1:3" x14ac:dyDescent="0.25">
      <c r="A78" s="961" t="s">
        <v>6585</v>
      </c>
      <c r="B78" s="961" t="s">
        <v>6586</v>
      </c>
      <c r="C78" s="961">
        <v>660</v>
      </c>
    </row>
    <row r="79" spans="1:3" x14ac:dyDescent="0.25">
      <c r="A79" s="961" t="s">
        <v>6587</v>
      </c>
      <c r="B79" s="961" t="s">
        <v>6588</v>
      </c>
      <c r="C79" s="961">
        <v>10</v>
      </c>
    </row>
    <row r="80" spans="1:3" x14ac:dyDescent="0.25">
      <c r="A80" s="961" t="s">
        <v>6589</v>
      </c>
      <c r="B80" s="961" t="s">
        <v>6590</v>
      </c>
      <c r="C80" s="961">
        <v>28</v>
      </c>
    </row>
    <row r="81" spans="1:3" x14ac:dyDescent="0.25">
      <c r="A81" s="961" t="s">
        <v>6591</v>
      </c>
      <c r="B81" s="961" t="s">
        <v>6592</v>
      </c>
      <c r="C81" s="961">
        <v>32</v>
      </c>
    </row>
    <row r="82" spans="1:3" x14ac:dyDescent="0.25">
      <c r="A82" s="961" t="s">
        <v>6593</v>
      </c>
      <c r="B82" s="961" t="s">
        <v>6594</v>
      </c>
      <c r="C82" s="961">
        <v>51</v>
      </c>
    </row>
    <row r="83" spans="1:3" x14ac:dyDescent="0.25">
      <c r="A83" s="961" t="s">
        <v>6595</v>
      </c>
      <c r="B83" s="961" t="s">
        <v>6596</v>
      </c>
      <c r="C83" s="961">
        <v>533</v>
      </c>
    </row>
    <row r="84" spans="1:3" x14ac:dyDescent="0.25">
      <c r="A84" s="961" t="s">
        <v>6597</v>
      </c>
      <c r="B84" s="961" t="s">
        <v>6598</v>
      </c>
      <c r="C84" s="961">
        <v>36</v>
      </c>
    </row>
    <row r="85" spans="1:3" x14ac:dyDescent="0.25">
      <c r="A85" s="961" t="s">
        <v>6599</v>
      </c>
      <c r="B85" s="961" t="s">
        <v>6600</v>
      </c>
      <c r="C85" s="961">
        <v>40</v>
      </c>
    </row>
    <row r="86" spans="1:3" x14ac:dyDescent="0.25">
      <c r="A86" s="961" t="s">
        <v>6601</v>
      </c>
      <c r="B86" s="961" t="s">
        <v>6602</v>
      </c>
      <c r="C86" s="961">
        <v>31</v>
      </c>
    </row>
    <row r="87" spans="1:3" x14ac:dyDescent="0.25">
      <c r="A87" s="961" t="s">
        <v>6603</v>
      </c>
      <c r="B87" s="961" t="s">
        <v>6604</v>
      </c>
      <c r="C87" s="961">
        <v>44</v>
      </c>
    </row>
    <row r="88" spans="1:3" x14ac:dyDescent="0.25">
      <c r="A88" s="961" t="s">
        <v>6605</v>
      </c>
      <c r="B88" s="961" t="s">
        <v>6606</v>
      </c>
      <c r="C88" s="961">
        <v>48</v>
      </c>
    </row>
    <row r="89" spans="1:3" x14ac:dyDescent="0.25">
      <c r="A89" s="961" t="s">
        <v>6607</v>
      </c>
      <c r="B89" s="961" t="s">
        <v>6608</v>
      </c>
      <c r="C89" s="961">
        <v>50</v>
      </c>
    </row>
    <row r="90" spans="1:3" x14ac:dyDescent="0.25">
      <c r="A90" s="961" t="s">
        <v>6609</v>
      </c>
      <c r="B90" s="961" t="s">
        <v>6610</v>
      </c>
      <c r="C90" s="961">
        <v>52</v>
      </c>
    </row>
    <row r="91" spans="1:3" x14ac:dyDescent="0.25">
      <c r="A91" s="961" t="s">
        <v>6611</v>
      </c>
      <c r="B91" s="961" t="s">
        <v>6612</v>
      </c>
      <c r="C91" s="961">
        <v>112</v>
      </c>
    </row>
    <row r="92" spans="1:3" x14ac:dyDescent="0.25">
      <c r="A92" s="961" t="s">
        <v>6613</v>
      </c>
      <c r="B92" s="961" t="s">
        <v>6614</v>
      </c>
      <c r="C92" s="961">
        <v>56</v>
      </c>
    </row>
    <row r="93" spans="1:3" x14ac:dyDescent="0.25">
      <c r="A93" s="961" t="s">
        <v>6615</v>
      </c>
      <c r="B93" s="961" t="s">
        <v>6616</v>
      </c>
      <c r="C93" s="961">
        <v>84</v>
      </c>
    </row>
    <row r="94" spans="1:3" x14ac:dyDescent="0.25">
      <c r="A94" s="961" t="s">
        <v>6617</v>
      </c>
      <c r="B94" s="961" t="s">
        <v>6618</v>
      </c>
      <c r="C94" s="961">
        <v>204</v>
      </c>
    </row>
    <row r="95" spans="1:3" x14ac:dyDescent="0.25">
      <c r="A95" s="961" t="s">
        <v>754</v>
      </c>
      <c r="B95" s="961" t="s">
        <v>6619</v>
      </c>
      <c r="C95" s="961">
        <v>60</v>
      </c>
    </row>
    <row r="96" spans="1:3" x14ac:dyDescent="0.25">
      <c r="A96" s="961" t="s">
        <v>6620</v>
      </c>
      <c r="B96" s="961" t="s">
        <v>6621</v>
      </c>
      <c r="C96" s="961">
        <v>64</v>
      </c>
    </row>
    <row r="97" spans="1:3" x14ac:dyDescent="0.25">
      <c r="A97" s="961" t="s">
        <v>6622</v>
      </c>
      <c r="B97" s="961" t="s">
        <v>6623</v>
      </c>
      <c r="C97" s="961">
        <v>68</v>
      </c>
    </row>
    <row r="98" spans="1:3" x14ac:dyDescent="0.25">
      <c r="A98" s="961" t="s">
        <v>6624</v>
      </c>
      <c r="B98" s="961" t="s">
        <v>6625</v>
      </c>
      <c r="C98" s="961">
        <v>535</v>
      </c>
    </row>
    <row r="99" spans="1:3" x14ac:dyDescent="0.25">
      <c r="A99" s="961" t="s">
        <v>6626</v>
      </c>
      <c r="B99" s="961" t="s">
        <v>6627</v>
      </c>
      <c r="C99" s="961">
        <v>70</v>
      </c>
    </row>
    <row r="100" spans="1:3" x14ac:dyDescent="0.25">
      <c r="A100" s="961" t="s">
        <v>6628</v>
      </c>
      <c r="B100" s="961" t="s">
        <v>6629</v>
      </c>
      <c r="C100" s="961">
        <v>72</v>
      </c>
    </row>
    <row r="101" spans="1:3" x14ac:dyDescent="0.25">
      <c r="A101" s="961" t="s">
        <v>6630</v>
      </c>
      <c r="B101" s="961" t="s">
        <v>6631</v>
      </c>
      <c r="C101" s="961">
        <v>74</v>
      </c>
    </row>
    <row r="102" spans="1:3" x14ac:dyDescent="0.25">
      <c r="A102" s="961" t="s">
        <v>6632</v>
      </c>
      <c r="B102" s="961" t="s">
        <v>6633</v>
      </c>
      <c r="C102" s="961">
        <v>76</v>
      </c>
    </row>
    <row r="103" spans="1:3" x14ac:dyDescent="0.25">
      <c r="A103" s="961" t="s">
        <v>6634</v>
      </c>
      <c r="B103" s="961" t="s">
        <v>6635</v>
      </c>
      <c r="C103" s="961">
        <v>86</v>
      </c>
    </row>
    <row r="104" spans="1:3" x14ac:dyDescent="0.25">
      <c r="A104" s="961" t="s">
        <v>6636</v>
      </c>
      <c r="B104" s="961" t="s">
        <v>6637</v>
      </c>
      <c r="C104" s="961">
        <v>96</v>
      </c>
    </row>
    <row r="105" spans="1:3" x14ac:dyDescent="0.25">
      <c r="A105" s="961" t="s">
        <v>6638</v>
      </c>
      <c r="B105" s="961" t="s">
        <v>6639</v>
      </c>
      <c r="C105" s="961">
        <v>100</v>
      </c>
    </row>
    <row r="106" spans="1:3" x14ac:dyDescent="0.25">
      <c r="A106" s="961" t="s">
        <v>6640</v>
      </c>
      <c r="B106" s="961" t="s">
        <v>6641</v>
      </c>
      <c r="C106" s="961">
        <v>854</v>
      </c>
    </row>
    <row r="107" spans="1:3" x14ac:dyDescent="0.25">
      <c r="A107" s="961" t="s">
        <v>6642</v>
      </c>
      <c r="B107" s="961" t="s">
        <v>6643</v>
      </c>
      <c r="C107" s="961">
        <v>108</v>
      </c>
    </row>
    <row r="108" spans="1:3" x14ac:dyDescent="0.25">
      <c r="A108" s="961" t="s">
        <v>6644</v>
      </c>
      <c r="B108" s="961" t="s">
        <v>6645</v>
      </c>
      <c r="C108" s="961">
        <v>132</v>
      </c>
    </row>
    <row r="109" spans="1:3" x14ac:dyDescent="0.25">
      <c r="A109" s="961" t="s">
        <v>6646</v>
      </c>
      <c r="B109" s="961" t="s">
        <v>6647</v>
      </c>
      <c r="C109" s="961">
        <v>116</v>
      </c>
    </row>
    <row r="110" spans="1:3" x14ac:dyDescent="0.25">
      <c r="A110" s="961" t="s">
        <v>6648</v>
      </c>
      <c r="B110" s="961" t="s">
        <v>6649</v>
      </c>
      <c r="C110" s="961">
        <v>120</v>
      </c>
    </row>
    <row r="111" spans="1:3" x14ac:dyDescent="0.25">
      <c r="A111" s="961" t="s">
        <v>6650</v>
      </c>
      <c r="B111" s="961" t="s">
        <v>6651</v>
      </c>
      <c r="C111" s="961">
        <v>124</v>
      </c>
    </row>
    <row r="112" spans="1:3" x14ac:dyDescent="0.25">
      <c r="A112" s="961" t="s">
        <v>6652</v>
      </c>
      <c r="B112" s="961" t="s">
        <v>6653</v>
      </c>
      <c r="C112" s="961">
        <v>136</v>
      </c>
    </row>
    <row r="113" spans="1:3" x14ac:dyDescent="0.25">
      <c r="A113" s="961" t="s">
        <v>6654</v>
      </c>
      <c r="B113" s="961" t="s">
        <v>6655</v>
      </c>
      <c r="C113" s="961">
        <v>140</v>
      </c>
    </row>
    <row r="114" spans="1:3" x14ac:dyDescent="0.25">
      <c r="A114" s="961" t="s">
        <v>6656</v>
      </c>
      <c r="B114" s="961" t="s">
        <v>6657</v>
      </c>
      <c r="C114" s="961">
        <v>148</v>
      </c>
    </row>
    <row r="115" spans="1:3" x14ac:dyDescent="0.25">
      <c r="A115" s="961" t="s">
        <v>6658</v>
      </c>
      <c r="B115" s="961" t="s">
        <v>6659</v>
      </c>
      <c r="C115" s="961">
        <v>152</v>
      </c>
    </row>
    <row r="116" spans="1:3" x14ac:dyDescent="0.25">
      <c r="A116" s="961" t="s">
        <v>6660</v>
      </c>
      <c r="B116" s="961" t="s">
        <v>6661</v>
      </c>
      <c r="C116" s="961">
        <v>156</v>
      </c>
    </row>
    <row r="117" spans="1:3" x14ac:dyDescent="0.25">
      <c r="A117" s="961" t="s">
        <v>6662</v>
      </c>
      <c r="B117" s="961" t="s">
        <v>6663</v>
      </c>
      <c r="C117" s="961">
        <v>162</v>
      </c>
    </row>
    <row r="118" spans="1:3" x14ac:dyDescent="0.25">
      <c r="A118" s="961" t="s">
        <v>6664</v>
      </c>
      <c r="B118" s="961" t="s">
        <v>6665</v>
      </c>
      <c r="C118" s="961">
        <v>166</v>
      </c>
    </row>
    <row r="119" spans="1:3" x14ac:dyDescent="0.25">
      <c r="A119" s="961" t="s">
        <v>6666</v>
      </c>
      <c r="B119" s="961" t="s">
        <v>6667</v>
      </c>
      <c r="C119" s="961">
        <v>170</v>
      </c>
    </row>
    <row r="120" spans="1:3" x14ac:dyDescent="0.25">
      <c r="A120" s="961" t="s">
        <v>6668</v>
      </c>
      <c r="B120" s="961" t="s">
        <v>6669</v>
      </c>
      <c r="C120" s="961">
        <v>174</v>
      </c>
    </row>
    <row r="121" spans="1:3" x14ac:dyDescent="0.25">
      <c r="A121" s="961" t="s">
        <v>6670</v>
      </c>
      <c r="B121" s="961" t="s">
        <v>6671</v>
      </c>
      <c r="C121" s="961">
        <v>180</v>
      </c>
    </row>
    <row r="122" spans="1:3" x14ac:dyDescent="0.25">
      <c r="A122" s="961" t="s">
        <v>6672</v>
      </c>
      <c r="B122" s="961" t="s">
        <v>6673</v>
      </c>
      <c r="C122" s="961">
        <v>178</v>
      </c>
    </row>
    <row r="123" spans="1:3" x14ac:dyDescent="0.25">
      <c r="A123" s="961" t="s">
        <v>6674</v>
      </c>
      <c r="B123" s="961" t="s">
        <v>6675</v>
      </c>
      <c r="C123" s="961">
        <v>184</v>
      </c>
    </row>
    <row r="124" spans="1:3" x14ac:dyDescent="0.25">
      <c r="A124" s="961" t="s">
        <v>6676</v>
      </c>
      <c r="B124" s="961" t="s">
        <v>6677</v>
      </c>
      <c r="C124" s="961">
        <v>188</v>
      </c>
    </row>
    <row r="125" spans="1:3" x14ac:dyDescent="0.25">
      <c r="A125" s="961" t="s">
        <v>6678</v>
      </c>
      <c r="B125" s="961" t="s">
        <v>6679</v>
      </c>
      <c r="C125" s="961">
        <v>384</v>
      </c>
    </row>
    <row r="126" spans="1:3" x14ac:dyDescent="0.25">
      <c r="A126" s="961" t="s">
        <v>6680</v>
      </c>
      <c r="B126" s="961" t="s">
        <v>6681</v>
      </c>
      <c r="C126" s="961">
        <v>191</v>
      </c>
    </row>
    <row r="127" spans="1:3" x14ac:dyDescent="0.25">
      <c r="A127" s="961" t="s">
        <v>6682</v>
      </c>
      <c r="B127" s="961" t="s">
        <v>6683</v>
      </c>
      <c r="C127" s="961">
        <v>192</v>
      </c>
    </row>
    <row r="128" spans="1:3" x14ac:dyDescent="0.25">
      <c r="A128" s="961" t="s">
        <v>6684</v>
      </c>
      <c r="B128" s="961" t="s">
        <v>6685</v>
      </c>
      <c r="C128" s="961">
        <v>531</v>
      </c>
    </row>
    <row r="129" spans="1:3" x14ac:dyDescent="0.25">
      <c r="A129" s="961" t="s">
        <v>6686</v>
      </c>
      <c r="B129" s="961" t="s">
        <v>6687</v>
      </c>
      <c r="C129" s="961">
        <v>196</v>
      </c>
    </row>
    <row r="130" spans="1:3" x14ac:dyDescent="0.25">
      <c r="A130" s="961" t="s">
        <v>6688</v>
      </c>
      <c r="B130" s="961" t="s">
        <v>6689</v>
      </c>
      <c r="C130" s="961">
        <v>203</v>
      </c>
    </row>
    <row r="131" spans="1:3" x14ac:dyDescent="0.25">
      <c r="A131" s="961" t="s">
        <v>6690</v>
      </c>
      <c r="B131" s="961" t="s">
        <v>6691</v>
      </c>
      <c r="C131" s="961">
        <v>208</v>
      </c>
    </row>
    <row r="132" spans="1:3" x14ac:dyDescent="0.25">
      <c r="A132" s="961" t="s">
        <v>6692</v>
      </c>
      <c r="B132" s="961" t="s">
        <v>6693</v>
      </c>
      <c r="C132" s="961">
        <v>262</v>
      </c>
    </row>
    <row r="133" spans="1:3" x14ac:dyDescent="0.25">
      <c r="A133" s="961" t="s">
        <v>6694</v>
      </c>
      <c r="B133" s="961" t="s">
        <v>6695</v>
      </c>
      <c r="C133" s="961">
        <v>212</v>
      </c>
    </row>
    <row r="134" spans="1:3" x14ac:dyDescent="0.25">
      <c r="A134" s="961" t="s">
        <v>6696</v>
      </c>
      <c r="B134" s="961" t="s">
        <v>6697</v>
      </c>
      <c r="C134" s="961">
        <v>214</v>
      </c>
    </row>
    <row r="135" spans="1:3" x14ac:dyDescent="0.25">
      <c r="A135" s="961" t="s">
        <v>6698</v>
      </c>
      <c r="B135" s="961" t="s">
        <v>6699</v>
      </c>
      <c r="C135" s="961">
        <v>218</v>
      </c>
    </row>
    <row r="136" spans="1:3" x14ac:dyDescent="0.25">
      <c r="A136" s="961" t="s">
        <v>6700</v>
      </c>
      <c r="B136" s="961" t="s">
        <v>6701</v>
      </c>
      <c r="C136" s="961">
        <v>818</v>
      </c>
    </row>
    <row r="137" spans="1:3" x14ac:dyDescent="0.25">
      <c r="A137" s="961" t="s">
        <v>6702</v>
      </c>
      <c r="B137" s="961" t="s">
        <v>6703</v>
      </c>
      <c r="C137" s="961">
        <v>222</v>
      </c>
    </row>
    <row r="138" spans="1:3" x14ac:dyDescent="0.25">
      <c r="A138" s="961" t="s">
        <v>6704</v>
      </c>
      <c r="B138" s="961" t="s">
        <v>6705</v>
      </c>
      <c r="C138" s="961">
        <v>226</v>
      </c>
    </row>
    <row r="139" spans="1:3" x14ac:dyDescent="0.25">
      <c r="A139" s="961" t="s">
        <v>6706</v>
      </c>
      <c r="B139" s="961" t="s">
        <v>6707</v>
      </c>
      <c r="C139" s="961">
        <v>232</v>
      </c>
    </row>
    <row r="140" spans="1:3" x14ac:dyDescent="0.25">
      <c r="A140" s="961" t="s">
        <v>6708</v>
      </c>
      <c r="B140" s="961" t="s">
        <v>6709</v>
      </c>
      <c r="C140" s="961">
        <v>233</v>
      </c>
    </row>
    <row r="141" spans="1:3" x14ac:dyDescent="0.25">
      <c r="A141" s="961" t="s">
        <v>6710</v>
      </c>
      <c r="B141" s="961" t="s">
        <v>6711</v>
      </c>
      <c r="C141" s="961">
        <v>231</v>
      </c>
    </row>
    <row r="142" spans="1:3" x14ac:dyDescent="0.25">
      <c r="A142" s="961" t="s">
        <v>6712</v>
      </c>
      <c r="B142" s="961" t="s">
        <v>6713</v>
      </c>
      <c r="C142" s="961">
        <v>238</v>
      </c>
    </row>
    <row r="143" spans="1:3" x14ac:dyDescent="0.25">
      <c r="A143" s="961" t="s">
        <v>6714</v>
      </c>
      <c r="B143" s="961" t="s">
        <v>6715</v>
      </c>
      <c r="C143" s="961">
        <v>234</v>
      </c>
    </row>
    <row r="144" spans="1:3" x14ac:dyDescent="0.25">
      <c r="A144" s="961" t="s">
        <v>6716</v>
      </c>
      <c r="B144" s="961" t="s">
        <v>6717</v>
      </c>
      <c r="C144" s="961">
        <v>242</v>
      </c>
    </row>
    <row r="145" spans="1:3" x14ac:dyDescent="0.25">
      <c r="A145" s="961" t="s">
        <v>6718</v>
      </c>
      <c r="B145" s="961" t="s">
        <v>6719</v>
      </c>
      <c r="C145" s="961">
        <v>246</v>
      </c>
    </row>
    <row r="146" spans="1:3" x14ac:dyDescent="0.25">
      <c r="A146" s="961" t="s">
        <v>6720</v>
      </c>
      <c r="B146" s="961" t="s">
        <v>6721</v>
      </c>
      <c r="C146" s="961">
        <v>250</v>
      </c>
    </row>
    <row r="147" spans="1:3" x14ac:dyDescent="0.25">
      <c r="A147" s="961" t="s">
        <v>6722</v>
      </c>
      <c r="B147" s="961" t="s">
        <v>6723</v>
      </c>
      <c r="C147" s="961">
        <v>254</v>
      </c>
    </row>
    <row r="148" spans="1:3" x14ac:dyDescent="0.25">
      <c r="A148" s="961" t="s">
        <v>6724</v>
      </c>
      <c r="B148" s="961" t="s">
        <v>6725</v>
      </c>
      <c r="C148" s="961">
        <v>258</v>
      </c>
    </row>
    <row r="149" spans="1:3" x14ac:dyDescent="0.25">
      <c r="A149" s="961" t="s">
        <v>6726</v>
      </c>
      <c r="B149" s="961" t="s">
        <v>6727</v>
      </c>
      <c r="C149" s="961">
        <v>260</v>
      </c>
    </row>
    <row r="150" spans="1:3" x14ac:dyDescent="0.25">
      <c r="A150" s="961" t="s">
        <v>6728</v>
      </c>
      <c r="B150" s="961" t="s">
        <v>6729</v>
      </c>
      <c r="C150" s="961">
        <v>266</v>
      </c>
    </row>
    <row r="151" spans="1:3" x14ac:dyDescent="0.25">
      <c r="A151" s="961" t="s">
        <v>6730</v>
      </c>
      <c r="B151" s="961" t="s">
        <v>6731</v>
      </c>
      <c r="C151" s="961">
        <v>270</v>
      </c>
    </row>
    <row r="152" spans="1:3" x14ac:dyDescent="0.25">
      <c r="A152" s="961" t="s">
        <v>761</v>
      </c>
      <c r="B152" s="961" t="s">
        <v>6732</v>
      </c>
      <c r="C152" s="961">
        <v>268</v>
      </c>
    </row>
    <row r="153" spans="1:3" x14ac:dyDescent="0.25">
      <c r="A153" s="961" t="s">
        <v>6733</v>
      </c>
      <c r="B153" s="961" t="s">
        <v>6734</v>
      </c>
      <c r="C153" s="961">
        <v>276</v>
      </c>
    </row>
    <row r="154" spans="1:3" x14ac:dyDescent="0.25">
      <c r="A154" s="961" t="s">
        <v>6735</v>
      </c>
      <c r="B154" s="961" t="s">
        <v>6736</v>
      </c>
      <c r="C154" s="961">
        <v>288</v>
      </c>
    </row>
    <row r="155" spans="1:3" x14ac:dyDescent="0.25">
      <c r="A155" s="961" t="s">
        <v>6737</v>
      </c>
      <c r="B155" s="961" t="s">
        <v>6738</v>
      </c>
      <c r="C155" s="961">
        <v>292</v>
      </c>
    </row>
    <row r="156" spans="1:3" x14ac:dyDescent="0.25">
      <c r="A156" s="961" t="s">
        <v>6739</v>
      </c>
      <c r="B156" s="961" t="s">
        <v>6740</v>
      </c>
      <c r="C156" s="961">
        <v>300</v>
      </c>
    </row>
    <row r="157" spans="1:3" x14ac:dyDescent="0.25">
      <c r="A157" s="961" t="s">
        <v>6741</v>
      </c>
      <c r="B157" s="961" t="s">
        <v>6742</v>
      </c>
      <c r="C157" s="961">
        <v>304</v>
      </c>
    </row>
    <row r="158" spans="1:3" x14ac:dyDescent="0.25">
      <c r="A158" s="961" t="s">
        <v>6743</v>
      </c>
      <c r="B158" s="961" t="s">
        <v>6744</v>
      </c>
      <c r="C158" s="961">
        <v>308</v>
      </c>
    </row>
    <row r="159" spans="1:3" x14ac:dyDescent="0.25">
      <c r="A159" s="961" t="s">
        <v>6745</v>
      </c>
      <c r="B159" s="961" t="s">
        <v>6746</v>
      </c>
      <c r="C159" s="961">
        <v>312</v>
      </c>
    </row>
    <row r="160" spans="1:3" x14ac:dyDescent="0.25">
      <c r="A160" s="961" t="s">
        <v>762</v>
      </c>
      <c r="B160" s="961" t="s">
        <v>6747</v>
      </c>
      <c r="C160" s="961">
        <v>316</v>
      </c>
    </row>
    <row r="161" spans="1:3" x14ac:dyDescent="0.25">
      <c r="A161" s="961" t="s">
        <v>6748</v>
      </c>
      <c r="B161" s="961" t="s">
        <v>6749</v>
      </c>
      <c r="C161" s="961">
        <v>320</v>
      </c>
    </row>
    <row r="162" spans="1:3" x14ac:dyDescent="0.25">
      <c r="A162" s="961" t="s">
        <v>6750</v>
      </c>
      <c r="B162" s="961" t="s">
        <v>6751</v>
      </c>
      <c r="C162" s="961">
        <v>831</v>
      </c>
    </row>
    <row r="163" spans="1:3" x14ac:dyDescent="0.25">
      <c r="A163" s="961" t="s">
        <v>6752</v>
      </c>
      <c r="B163" s="961" t="s">
        <v>6753</v>
      </c>
      <c r="C163" s="961">
        <v>324</v>
      </c>
    </row>
    <row r="164" spans="1:3" x14ac:dyDescent="0.25">
      <c r="A164" s="961" t="s">
        <v>6754</v>
      </c>
      <c r="B164" s="961" t="s">
        <v>6755</v>
      </c>
      <c r="C164" s="961">
        <v>624</v>
      </c>
    </row>
    <row r="165" spans="1:3" x14ac:dyDescent="0.25">
      <c r="A165" s="961" t="s">
        <v>6756</v>
      </c>
      <c r="B165" s="961" t="s">
        <v>6757</v>
      </c>
      <c r="C165" s="961">
        <v>328</v>
      </c>
    </row>
    <row r="166" spans="1:3" x14ac:dyDescent="0.25">
      <c r="A166" s="961" t="s">
        <v>6758</v>
      </c>
      <c r="B166" s="961" t="s">
        <v>6759</v>
      </c>
      <c r="C166" s="961">
        <v>332</v>
      </c>
    </row>
    <row r="167" spans="1:3" x14ac:dyDescent="0.25">
      <c r="A167" s="961" t="s">
        <v>6760</v>
      </c>
      <c r="B167" s="961" t="s">
        <v>6761</v>
      </c>
      <c r="C167" s="961">
        <v>334</v>
      </c>
    </row>
    <row r="168" spans="1:3" x14ac:dyDescent="0.25">
      <c r="A168" s="961" t="s">
        <v>6762</v>
      </c>
      <c r="B168" s="961" t="s">
        <v>6763</v>
      </c>
      <c r="C168" s="961">
        <v>336</v>
      </c>
    </row>
    <row r="169" spans="1:3" x14ac:dyDescent="0.25">
      <c r="A169" s="961" t="s">
        <v>6764</v>
      </c>
      <c r="B169" s="961" t="s">
        <v>6765</v>
      </c>
      <c r="C169" s="961">
        <v>340</v>
      </c>
    </row>
    <row r="170" spans="1:3" x14ac:dyDescent="0.25">
      <c r="A170" s="961" t="s">
        <v>6766</v>
      </c>
      <c r="B170" s="961" t="s">
        <v>6767</v>
      </c>
      <c r="C170" s="961">
        <v>344</v>
      </c>
    </row>
    <row r="171" spans="1:3" x14ac:dyDescent="0.25">
      <c r="A171" s="961" t="s">
        <v>6768</v>
      </c>
      <c r="B171" s="961" t="s">
        <v>6769</v>
      </c>
      <c r="C171" s="961">
        <v>348</v>
      </c>
    </row>
    <row r="172" spans="1:3" x14ac:dyDescent="0.25">
      <c r="A172" s="961" t="s">
        <v>6770</v>
      </c>
      <c r="B172" s="961" t="s">
        <v>6771</v>
      </c>
      <c r="C172" s="961">
        <v>352</v>
      </c>
    </row>
    <row r="173" spans="1:3" x14ac:dyDescent="0.25">
      <c r="A173" s="961" t="s">
        <v>6772</v>
      </c>
      <c r="B173" s="961" t="s">
        <v>6773</v>
      </c>
      <c r="C173" s="961">
        <v>356</v>
      </c>
    </row>
    <row r="174" spans="1:3" x14ac:dyDescent="0.25">
      <c r="A174" s="961" t="s">
        <v>6774</v>
      </c>
      <c r="B174" s="961" t="s">
        <v>6775</v>
      </c>
      <c r="C174" s="961">
        <v>360</v>
      </c>
    </row>
    <row r="175" spans="1:3" x14ac:dyDescent="0.25">
      <c r="A175" s="961" t="s">
        <v>6776</v>
      </c>
      <c r="B175" s="961" t="s">
        <v>6777</v>
      </c>
      <c r="C175" s="961">
        <v>364</v>
      </c>
    </row>
    <row r="176" spans="1:3" x14ac:dyDescent="0.25">
      <c r="A176" s="961" t="s">
        <v>6778</v>
      </c>
      <c r="B176" s="961" t="s">
        <v>6779</v>
      </c>
      <c r="C176" s="961">
        <v>368</v>
      </c>
    </row>
    <row r="177" spans="1:3" x14ac:dyDescent="0.25">
      <c r="A177" s="961" t="s">
        <v>6780</v>
      </c>
      <c r="B177" s="961" t="s">
        <v>6781</v>
      </c>
      <c r="C177" s="961">
        <v>372</v>
      </c>
    </row>
    <row r="178" spans="1:3" x14ac:dyDescent="0.25">
      <c r="A178" s="961" t="s">
        <v>6782</v>
      </c>
      <c r="B178" s="961" t="s">
        <v>6783</v>
      </c>
      <c r="C178" s="961">
        <v>833</v>
      </c>
    </row>
    <row r="179" spans="1:3" x14ac:dyDescent="0.25">
      <c r="A179" s="961" t="s">
        <v>6784</v>
      </c>
      <c r="B179" s="961" t="s">
        <v>6785</v>
      </c>
      <c r="C179" s="961">
        <v>376</v>
      </c>
    </row>
    <row r="180" spans="1:3" x14ac:dyDescent="0.25">
      <c r="A180" s="961" t="s">
        <v>6786</v>
      </c>
      <c r="B180" s="961" t="s">
        <v>6787</v>
      </c>
      <c r="C180" s="961">
        <v>380</v>
      </c>
    </row>
    <row r="181" spans="1:3" x14ac:dyDescent="0.25">
      <c r="A181" s="961" t="s">
        <v>6788</v>
      </c>
      <c r="B181" s="961" t="s">
        <v>6789</v>
      </c>
      <c r="C181" s="961">
        <v>388</v>
      </c>
    </row>
    <row r="182" spans="1:3" x14ac:dyDescent="0.25">
      <c r="A182" s="961" t="s">
        <v>6790</v>
      </c>
      <c r="B182" s="961" t="s">
        <v>6791</v>
      </c>
      <c r="C182" s="961">
        <v>392</v>
      </c>
    </row>
    <row r="183" spans="1:3" x14ac:dyDescent="0.25">
      <c r="A183" s="961" t="s">
        <v>6792</v>
      </c>
      <c r="B183" s="961" t="s">
        <v>6793</v>
      </c>
      <c r="C183" s="961">
        <v>832</v>
      </c>
    </row>
    <row r="184" spans="1:3" x14ac:dyDescent="0.25">
      <c r="A184" s="961" t="s">
        <v>6794</v>
      </c>
      <c r="B184" s="961" t="s">
        <v>6795</v>
      </c>
      <c r="C184" s="961">
        <v>400</v>
      </c>
    </row>
    <row r="185" spans="1:3" x14ac:dyDescent="0.25">
      <c r="A185" s="961" t="s">
        <v>6796</v>
      </c>
      <c r="B185" s="961" t="s">
        <v>6797</v>
      </c>
      <c r="C185" s="961">
        <v>398</v>
      </c>
    </row>
    <row r="186" spans="1:3" x14ac:dyDescent="0.25">
      <c r="A186" s="961" t="s">
        <v>6798</v>
      </c>
      <c r="B186" s="961" t="s">
        <v>6799</v>
      </c>
      <c r="C186" s="961">
        <v>404</v>
      </c>
    </row>
    <row r="187" spans="1:3" x14ac:dyDescent="0.25">
      <c r="A187" s="961" t="s">
        <v>6800</v>
      </c>
      <c r="B187" s="961" t="s">
        <v>6801</v>
      </c>
      <c r="C187" s="961">
        <v>296</v>
      </c>
    </row>
    <row r="188" spans="1:3" x14ac:dyDescent="0.25">
      <c r="A188" s="961" t="s">
        <v>6802</v>
      </c>
      <c r="B188" s="961" t="s">
        <v>6803</v>
      </c>
      <c r="C188" s="961">
        <v>408</v>
      </c>
    </row>
    <row r="189" spans="1:3" x14ac:dyDescent="0.25">
      <c r="A189" s="961" t="s">
        <v>6804</v>
      </c>
      <c r="B189" s="961" t="s">
        <v>6805</v>
      </c>
      <c r="C189" s="961">
        <v>410</v>
      </c>
    </row>
    <row r="190" spans="1:3" x14ac:dyDescent="0.25">
      <c r="A190" s="961" t="s">
        <v>6806</v>
      </c>
      <c r="B190" s="961" t="s">
        <v>6807</v>
      </c>
      <c r="C190" s="961">
        <v>414</v>
      </c>
    </row>
    <row r="191" spans="1:3" x14ac:dyDescent="0.25">
      <c r="A191" s="961" t="s">
        <v>6808</v>
      </c>
      <c r="B191" s="961" t="s">
        <v>6809</v>
      </c>
      <c r="C191" s="961">
        <v>417</v>
      </c>
    </row>
    <row r="192" spans="1:3" x14ac:dyDescent="0.25">
      <c r="A192" s="961" t="s">
        <v>6810</v>
      </c>
      <c r="B192" s="961" t="s">
        <v>6811</v>
      </c>
      <c r="C192" s="961">
        <v>418</v>
      </c>
    </row>
    <row r="193" spans="1:3" x14ac:dyDescent="0.25">
      <c r="A193" s="961" t="s">
        <v>6812</v>
      </c>
      <c r="B193" s="961" t="s">
        <v>6813</v>
      </c>
      <c r="C193" s="961">
        <v>428</v>
      </c>
    </row>
    <row r="194" spans="1:3" x14ac:dyDescent="0.25">
      <c r="A194" s="961" t="s">
        <v>6246</v>
      </c>
      <c r="B194" s="961" t="s">
        <v>6814</v>
      </c>
      <c r="C194" s="961">
        <v>422</v>
      </c>
    </row>
    <row r="195" spans="1:3" x14ac:dyDescent="0.25">
      <c r="A195" s="961" t="s">
        <v>6815</v>
      </c>
      <c r="B195" s="961" t="s">
        <v>6816</v>
      </c>
      <c r="C195" s="961">
        <v>426</v>
      </c>
    </row>
    <row r="196" spans="1:3" x14ac:dyDescent="0.25">
      <c r="A196" s="961" t="s">
        <v>6817</v>
      </c>
      <c r="B196" s="961" t="s">
        <v>6818</v>
      </c>
      <c r="C196" s="961">
        <v>430</v>
      </c>
    </row>
    <row r="197" spans="1:3" x14ac:dyDescent="0.25">
      <c r="A197" s="961" t="s">
        <v>6819</v>
      </c>
      <c r="B197" s="961" t="s">
        <v>6820</v>
      </c>
      <c r="C197" s="961">
        <v>434</v>
      </c>
    </row>
    <row r="198" spans="1:3" x14ac:dyDescent="0.25">
      <c r="A198" s="961" t="s">
        <v>6821</v>
      </c>
      <c r="B198" s="961" t="s">
        <v>6822</v>
      </c>
      <c r="C198" s="961">
        <v>438</v>
      </c>
    </row>
    <row r="199" spans="1:3" x14ac:dyDescent="0.25">
      <c r="A199" s="961" t="s">
        <v>6823</v>
      </c>
      <c r="B199" s="961" t="s">
        <v>6824</v>
      </c>
      <c r="C199" s="961">
        <v>440</v>
      </c>
    </row>
    <row r="200" spans="1:3" x14ac:dyDescent="0.25">
      <c r="A200" s="961" t="s">
        <v>6825</v>
      </c>
      <c r="B200" s="961" t="s">
        <v>6826</v>
      </c>
      <c r="C200" s="961">
        <v>442</v>
      </c>
    </row>
    <row r="201" spans="1:3" x14ac:dyDescent="0.25">
      <c r="A201" s="961" t="s">
        <v>6827</v>
      </c>
      <c r="B201" s="961" t="s">
        <v>6828</v>
      </c>
      <c r="C201" s="961">
        <v>446</v>
      </c>
    </row>
    <row r="202" spans="1:3" x14ac:dyDescent="0.25">
      <c r="A202" s="961" t="s">
        <v>6829</v>
      </c>
      <c r="B202" s="961" t="s">
        <v>6830</v>
      </c>
      <c r="C202" s="961">
        <v>807</v>
      </c>
    </row>
    <row r="203" spans="1:3" x14ac:dyDescent="0.25">
      <c r="A203" s="961" t="s">
        <v>6831</v>
      </c>
      <c r="B203" s="961" t="s">
        <v>6832</v>
      </c>
      <c r="C203" s="961">
        <v>450</v>
      </c>
    </row>
    <row r="204" spans="1:3" x14ac:dyDescent="0.25">
      <c r="A204" s="961" t="s">
        <v>6833</v>
      </c>
      <c r="B204" s="961" t="s">
        <v>6834</v>
      </c>
      <c r="C204" s="961">
        <v>454</v>
      </c>
    </row>
    <row r="205" spans="1:3" x14ac:dyDescent="0.25">
      <c r="A205" s="961" t="s">
        <v>6835</v>
      </c>
      <c r="B205" s="961" t="s">
        <v>6836</v>
      </c>
      <c r="C205" s="961">
        <v>458</v>
      </c>
    </row>
    <row r="206" spans="1:3" x14ac:dyDescent="0.25">
      <c r="A206" s="961" t="s">
        <v>6837</v>
      </c>
      <c r="B206" s="961" t="s">
        <v>6838</v>
      </c>
      <c r="C206" s="961">
        <v>462</v>
      </c>
    </row>
    <row r="207" spans="1:3" x14ac:dyDescent="0.25">
      <c r="A207" s="961" t="s">
        <v>6839</v>
      </c>
      <c r="B207" s="961" t="s">
        <v>6840</v>
      </c>
      <c r="C207" s="961">
        <v>466</v>
      </c>
    </row>
    <row r="208" spans="1:3" x14ac:dyDescent="0.25">
      <c r="A208" s="961" t="s">
        <v>6841</v>
      </c>
      <c r="B208" s="961" t="s">
        <v>6842</v>
      </c>
      <c r="C208" s="961">
        <v>470</v>
      </c>
    </row>
    <row r="209" spans="1:3" x14ac:dyDescent="0.25">
      <c r="A209" s="961" t="s">
        <v>6843</v>
      </c>
      <c r="B209" s="961" t="s">
        <v>6844</v>
      </c>
      <c r="C209" s="961">
        <v>584</v>
      </c>
    </row>
    <row r="210" spans="1:3" x14ac:dyDescent="0.25">
      <c r="A210" s="961" t="s">
        <v>6845</v>
      </c>
      <c r="B210" s="961" t="s">
        <v>6846</v>
      </c>
      <c r="C210" s="961">
        <v>474</v>
      </c>
    </row>
    <row r="211" spans="1:3" x14ac:dyDescent="0.25">
      <c r="A211" s="961" t="s">
        <v>6847</v>
      </c>
      <c r="B211" s="961" t="s">
        <v>6848</v>
      </c>
      <c r="C211" s="961">
        <v>478</v>
      </c>
    </row>
    <row r="212" spans="1:3" x14ac:dyDescent="0.25">
      <c r="A212" s="961" t="s">
        <v>6849</v>
      </c>
      <c r="B212" s="961" t="s">
        <v>6850</v>
      </c>
      <c r="C212" s="961">
        <v>480</v>
      </c>
    </row>
    <row r="213" spans="1:3" x14ac:dyDescent="0.25">
      <c r="A213" s="961" t="s">
        <v>6851</v>
      </c>
      <c r="B213" s="961" t="s">
        <v>6852</v>
      </c>
      <c r="C213" s="961">
        <v>175</v>
      </c>
    </row>
    <row r="214" spans="1:3" x14ac:dyDescent="0.25">
      <c r="A214" s="961" t="s">
        <v>6853</v>
      </c>
      <c r="B214" s="961" t="s">
        <v>6854</v>
      </c>
      <c r="C214" s="961">
        <v>484</v>
      </c>
    </row>
    <row r="215" spans="1:3" x14ac:dyDescent="0.25">
      <c r="A215" s="961" t="s">
        <v>6855</v>
      </c>
      <c r="B215" s="961" t="s">
        <v>6856</v>
      </c>
      <c r="C215" s="961">
        <v>583</v>
      </c>
    </row>
    <row r="216" spans="1:3" x14ac:dyDescent="0.25">
      <c r="A216" s="961" t="s">
        <v>6857</v>
      </c>
      <c r="B216" s="961" t="s">
        <v>6858</v>
      </c>
      <c r="C216" s="961">
        <v>498</v>
      </c>
    </row>
    <row r="217" spans="1:3" x14ac:dyDescent="0.25">
      <c r="A217" s="961" t="s">
        <v>6859</v>
      </c>
      <c r="B217" s="961" t="s">
        <v>6860</v>
      </c>
      <c r="C217" s="961">
        <v>492</v>
      </c>
    </row>
    <row r="218" spans="1:3" x14ac:dyDescent="0.25">
      <c r="A218" s="961" t="s">
        <v>6861</v>
      </c>
      <c r="B218" s="961" t="s">
        <v>6862</v>
      </c>
      <c r="C218" s="961">
        <v>496</v>
      </c>
    </row>
    <row r="219" spans="1:3" x14ac:dyDescent="0.25">
      <c r="A219" s="961" t="s">
        <v>6863</v>
      </c>
      <c r="B219" s="961" t="s">
        <v>6864</v>
      </c>
      <c r="C219" s="961">
        <v>499</v>
      </c>
    </row>
    <row r="220" spans="1:3" x14ac:dyDescent="0.25">
      <c r="A220" s="961" t="s">
        <v>6865</v>
      </c>
      <c r="B220" s="961" t="s">
        <v>6866</v>
      </c>
      <c r="C220" s="961">
        <v>500</v>
      </c>
    </row>
    <row r="221" spans="1:3" x14ac:dyDescent="0.25">
      <c r="A221" s="961" t="s">
        <v>6867</v>
      </c>
      <c r="B221" s="961" t="s">
        <v>6868</v>
      </c>
      <c r="C221" s="961">
        <v>504</v>
      </c>
    </row>
    <row r="222" spans="1:3" x14ac:dyDescent="0.25">
      <c r="A222" s="961" t="s">
        <v>6869</v>
      </c>
      <c r="B222" s="961" t="s">
        <v>6870</v>
      </c>
      <c r="C222" s="961">
        <v>508</v>
      </c>
    </row>
    <row r="223" spans="1:3" x14ac:dyDescent="0.25">
      <c r="A223" s="961" t="s">
        <v>6871</v>
      </c>
      <c r="B223" s="961" t="s">
        <v>6872</v>
      </c>
      <c r="C223" s="961">
        <v>104</v>
      </c>
    </row>
    <row r="224" spans="1:3" x14ac:dyDescent="0.25">
      <c r="A224" s="961" t="s">
        <v>6873</v>
      </c>
      <c r="B224" s="961" t="s">
        <v>6874</v>
      </c>
      <c r="C224" s="961">
        <v>516</v>
      </c>
    </row>
    <row r="225" spans="1:3" x14ac:dyDescent="0.25">
      <c r="A225" s="961" t="s">
        <v>6875</v>
      </c>
      <c r="B225" s="961" t="s">
        <v>6876</v>
      </c>
      <c r="C225" s="961">
        <v>520</v>
      </c>
    </row>
    <row r="226" spans="1:3" x14ac:dyDescent="0.25">
      <c r="A226" s="961" t="s">
        <v>6877</v>
      </c>
      <c r="B226" s="961" t="s">
        <v>6878</v>
      </c>
      <c r="C226" s="961">
        <v>524</v>
      </c>
    </row>
    <row r="227" spans="1:3" x14ac:dyDescent="0.25">
      <c r="A227" s="961" t="s">
        <v>6879</v>
      </c>
      <c r="B227" s="961" t="s">
        <v>6880</v>
      </c>
      <c r="C227" s="961">
        <v>528</v>
      </c>
    </row>
    <row r="228" spans="1:3" x14ac:dyDescent="0.25">
      <c r="A228" s="961" t="s">
        <v>6881</v>
      </c>
      <c r="B228" s="961" t="s">
        <v>6882</v>
      </c>
      <c r="C228" s="961">
        <v>540</v>
      </c>
    </row>
    <row r="229" spans="1:3" x14ac:dyDescent="0.25">
      <c r="A229" s="961" t="s">
        <v>6883</v>
      </c>
      <c r="B229" s="961" t="s">
        <v>6884</v>
      </c>
      <c r="C229" s="961">
        <v>554</v>
      </c>
    </row>
    <row r="230" spans="1:3" x14ac:dyDescent="0.25">
      <c r="A230" s="961" t="s">
        <v>6885</v>
      </c>
      <c r="B230" s="961" t="s">
        <v>6886</v>
      </c>
      <c r="C230" s="961">
        <v>558</v>
      </c>
    </row>
    <row r="231" spans="1:3" x14ac:dyDescent="0.25">
      <c r="A231" s="961" t="s">
        <v>6887</v>
      </c>
      <c r="B231" s="961" t="s">
        <v>6888</v>
      </c>
      <c r="C231" s="961">
        <v>562</v>
      </c>
    </row>
    <row r="232" spans="1:3" x14ac:dyDescent="0.25">
      <c r="A232" s="961" t="s">
        <v>6889</v>
      </c>
      <c r="B232" s="961" t="s">
        <v>6890</v>
      </c>
      <c r="C232" s="961">
        <v>566</v>
      </c>
    </row>
    <row r="233" spans="1:3" x14ac:dyDescent="0.25">
      <c r="A233" s="961" t="s">
        <v>6891</v>
      </c>
      <c r="B233" s="961" t="s">
        <v>6892</v>
      </c>
      <c r="C233" s="961">
        <v>570</v>
      </c>
    </row>
    <row r="234" spans="1:3" x14ac:dyDescent="0.25">
      <c r="A234" s="961" t="s">
        <v>6893</v>
      </c>
      <c r="B234" s="961" t="s">
        <v>6894</v>
      </c>
      <c r="C234" s="961">
        <v>574</v>
      </c>
    </row>
    <row r="235" spans="1:3" x14ac:dyDescent="0.25">
      <c r="A235" s="961" t="s">
        <v>6895</v>
      </c>
      <c r="B235" s="961" t="s">
        <v>6896</v>
      </c>
      <c r="C235" s="961">
        <v>580</v>
      </c>
    </row>
    <row r="236" spans="1:3" x14ac:dyDescent="0.25">
      <c r="A236" s="961" t="s">
        <v>6897</v>
      </c>
      <c r="B236" s="961" t="s">
        <v>6898</v>
      </c>
      <c r="C236" s="961">
        <v>578</v>
      </c>
    </row>
    <row r="237" spans="1:3" x14ac:dyDescent="0.25">
      <c r="A237" s="961" t="s">
        <v>6899</v>
      </c>
      <c r="B237" s="961" t="s">
        <v>6900</v>
      </c>
      <c r="C237" s="961">
        <v>512</v>
      </c>
    </row>
    <row r="238" spans="1:3" x14ac:dyDescent="0.25">
      <c r="A238" s="961" t="s">
        <v>6901</v>
      </c>
      <c r="B238" s="961" t="s">
        <v>6902</v>
      </c>
      <c r="C238" s="961">
        <v>586</v>
      </c>
    </row>
    <row r="239" spans="1:3" x14ac:dyDescent="0.25">
      <c r="A239" s="961" t="s">
        <v>792</v>
      </c>
      <c r="B239" s="961" t="s">
        <v>6903</v>
      </c>
      <c r="C239" s="961">
        <v>585</v>
      </c>
    </row>
    <row r="240" spans="1:3" x14ac:dyDescent="0.25">
      <c r="A240" s="961" t="s">
        <v>6904</v>
      </c>
      <c r="B240" s="961" t="s">
        <v>5418</v>
      </c>
      <c r="C240" s="961">
        <v>275</v>
      </c>
    </row>
    <row r="241" spans="1:3" x14ac:dyDescent="0.25">
      <c r="A241" s="961" t="s">
        <v>6905</v>
      </c>
      <c r="B241" s="961" t="s">
        <v>6906</v>
      </c>
      <c r="C241" s="961">
        <v>591</v>
      </c>
    </row>
    <row r="242" spans="1:3" x14ac:dyDescent="0.25">
      <c r="A242" s="961" t="s">
        <v>6907</v>
      </c>
      <c r="B242" s="961" t="s">
        <v>6908</v>
      </c>
      <c r="C242" s="961">
        <v>598</v>
      </c>
    </row>
    <row r="243" spans="1:3" x14ac:dyDescent="0.25">
      <c r="A243" s="961" t="s">
        <v>6909</v>
      </c>
      <c r="B243" s="961" t="s">
        <v>6910</v>
      </c>
      <c r="C243" s="961">
        <v>600</v>
      </c>
    </row>
    <row r="244" spans="1:3" x14ac:dyDescent="0.25">
      <c r="A244" s="961" t="s">
        <v>6911</v>
      </c>
      <c r="B244" s="961" t="s">
        <v>6912</v>
      </c>
      <c r="C244" s="961">
        <v>604</v>
      </c>
    </row>
    <row r="245" spans="1:3" x14ac:dyDescent="0.25">
      <c r="A245" s="961" t="s">
        <v>6913</v>
      </c>
      <c r="B245" s="961" t="s">
        <v>6914</v>
      </c>
      <c r="C245" s="961">
        <v>608</v>
      </c>
    </row>
    <row r="246" spans="1:3" x14ac:dyDescent="0.25">
      <c r="A246" s="961" t="s">
        <v>6915</v>
      </c>
      <c r="B246" s="961" t="s">
        <v>6916</v>
      </c>
      <c r="C246" s="961">
        <v>612</v>
      </c>
    </row>
    <row r="247" spans="1:3" x14ac:dyDescent="0.25">
      <c r="A247" s="961" t="s">
        <v>6917</v>
      </c>
      <c r="B247" s="961" t="s">
        <v>6918</v>
      </c>
      <c r="C247" s="961">
        <v>616</v>
      </c>
    </row>
    <row r="248" spans="1:3" x14ac:dyDescent="0.25">
      <c r="A248" s="961" t="s">
        <v>6919</v>
      </c>
      <c r="B248" s="961" t="s">
        <v>6920</v>
      </c>
      <c r="C248" s="961">
        <v>620</v>
      </c>
    </row>
    <row r="249" spans="1:3" x14ac:dyDescent="0.25">
      <c r="A249" s="961" t="s">
        <v>794</v>
      </c>
      <c r="B249" s="961" t="s">
        <v>6921</v>
      </c>
      <c r="C249" s="961">
        <v>630</v>
      </c>
    </row>
    <row r="250" spans="1:3" x14ac:dyDescent="0.25">
      <c r="A250" s="961" t="s">
        <v>6922</v>
      </c>
      <c r="B250" s="961" t="s">
        <v>6923</v>
      </c>
      <c r="C250" s="961">
        <v>634</v>
      </c>
    </row>
    <row r="251" spans="1:3" x14ac:dyDescent="0.25">
      <c r="A251" s="961" t="s">
        <v>6924</v>
      </c>
      <c r="B251" s="961" t="s">
        <v>6925</v>
      </c>
      <c r="C251" s="961">
        <v>638</v>
      </c>
    </row>
    <row r="252" spans="1:3" x14ac:dyDescent="0.25">
      <c r="A252" s="961" t="s">
        <v>6926</v>
      </c>
      <c r="B252" s="961" t="s">
        <v>6927</v>
      </c>
      <c r="C252" s="961">
        <v>642</v>
      </c>
    </row>
    <row r="253" spans="1:3" x14ac:dyDescent="0.25">
      <c r="A253" s="961" t="s">
        <v>6928</v>
      </c>
      <c r="B253" s="961" t="s">
        <v>6929</v>
      </c>
      <c r="C253" s="961">
        <v>643</v>
      </c>
    </row>
    <row r="254" spans="1:3" x14ac:dyDescent="0.25">
      <c r="A254" s="961" t="s">
        <v>6930</v>
      </c>
      <c r="B254" s="961" t="s">
        <v>6931</v>
      </c>
      <c r="C254" s="961">
        <v>646</v>
      </c>
    </row>
    <row r="255" spans="1:3" x14ac:dyDescent="0.25">
      <c r="A255" s="961" t="s">
        <v>6932</v>
      </c>
      <c r="B255" s="961" t="s">
        <v>6933</v>
      </c>
      <c r="C255" s="961">
        <v>652</v>
      </c>
    </row>
    <row r="256" spans="1:3" x14ac:dyDescent="0.25">
      <c r="A256" s="961" t="s">
        <v>6934</v>
      </c>
      <c r="B256" s="961" t="s">
        <v>6935</v>
      </c>
      <c r="C256" s="961">
        <v>654</v>
      </c>
    </row>
    <row r="257" spans="1:3" x14ac:dyDescent="0.25">
      <c r="A257" s="961" t="s">
        <v>6936</v>
      </c>
      <c r="B257" s="961" t="s">
        <v>6937</v>
      </c>
      <c r="C257" s="961">
        <v>659</v>
      </c>
    </row>
    <row r="258" spans="1:3" x14ac:dyDescent="0.25">
      <c r="A258" s="961" t="s">
        <v>6938</v>
      </c>
      <c r="B258" s="961" t="s">
        <v>6939</v>
      </c>
      <c r="C258" s="961">
        <v>662</v>
      </c>
    </row>
    <row r="259" spans="1:3" x14ac:dyDescent="0.25">
      <c r="A259" s="961" t="s">
        <v>6940</v>
      </c>
      <c r="B259" s="961" t="s">
        <v>6941</v>
      </c>
      <c r="C259" s="961">
        <v>663</v>
      </c>
    </row>
    <row r="260" spans="1:3" x14ac:dyDescent="0.25">
      <c r="A260" s="961" t="s">
        <v>6942</v>
      </c>
      <c r="B260" s="961" t="s">
        <v>6943</v>
      </c>
      <c r="C260" s="961">
        <v>666</v>
      </c>
    </row>
    <row r="261" spans="1:3" x14ac:dyDescent="0.25">
      <c r="A261" s="961" t="s">
        <v>6944</v>
      </c>
      <c r="B261" s="961" t="s">
        <v>6945</v>
      </c>
      <c r="C261" s="961">
        <v>670</v>
      </c>
    </row>
    <row r="262" spans="1:3" x14ac:dyDescent="0.25">
      <c r="A262" s="961" t="s">
        <v>6946</v>
      </c>
      <c r="B262" s="961" t="s">
        <v>6947</v>
      </c>
      <c r="C262" s="961">
        <v>882</v>
      </c>
    </row>
    <row r="263" spans="1:3" x14ac:dyDescent="0.25">
      <c r="A263" s="961" t="s">
        <v>6948</v>
      </c>
      <c r="B263" s="961" t="s">
        <v>6949</v>
      </c>
      <c r="C263" s="961">
        <v>674</v>
      </c>
    </row>
    <row r="264" spans="1:3" x14ac:dyDescent="0.25">
      <c r="A264" s="961" t="s">
        <v>6950</v>
      </c>
      <c r="B264" s="961" t="s">
        <v>6951</v>
      </c>
      <c r="C264" s="961">
        <v>678</v>
      </c>
    </row>
    <row r="265" spans="1:3" x14ac:dyDescent="0.25">
      <c r="A265" s="961" t="s">
        <v>6952</v>
      </c>
      <c r="B265" s="961" t="s">
        <v>6953</v>
      </c>
      <c r="C265" s="961">
        <v>682</v>
      </c>
    </row>
    <row r="266" spans="1:3" x14ac:dyDescent="0.25">
      <c r="A266" s="961" t="s">
        <v>6954</v>
      </c>
      <c r="B266" s="961" t="s">
        <v>6955</v>
      </c>
      <c r="C266" s="961">
        <v>686</v>
      </c>
    </row>
    <row r="267" spans="1:3" x14ac:dyDescent="0.25">
      <c r="A267" s="961" t="s">
        <v>6956</v>
      </c>
      <c r="B267" s="961" t="s">
        <v>6957</v>
      </c>
      <c r="C267" s="961">
        <v>688</v>
      </c>
    </row>
    <row r="268" spans="1:3" x14ac:dyDescent="0.25">
      <c r="A268" s="961" t="s">
        <v>6958</v>
      </c>
      <c r="B268" s="961" t="s">
        <v>6959</v>
      </c>
      <c r="C268" s="961">
        <v>690</v>
      </c>
    </row>
    <row r="269" spans="1:3" x14ac:dyDescent="0.25">
      <c r="A269" s="961" t="s">
        <v>6960</v>
      </c>
      <c r="B269" s="961" t="s">
        <v>6961</v>
      </c>
      <c r="C269" s="961">
        <v>694</v>
      </c>
    </row>
    <row r="270" spans="1:3" x14ac:dyDescent="0.25">
      <c r="A270" s="961" t="s">
        <v>6962</v>
      </c>
      <c r="B270" s="961" t="s">
        <v>6963</v>
      </c>
      <c r="C270" s="961">
        <v>702</v>
      </c>
    </row>
    <row r="271" spans="1:3" x14ac:dyDescent="0.25">
      <c r="A271" s="961" t="s">
        <v>6964</v>
      </c>
      <c r="B271" s="961" t="s">
        <v>6965</v>
      </c>
      <c r="C271" s="961">
        <v>534</v>
      </c>
    </row>
    <row r="272" spans="1:3" x14ac:dyDescent="0.25">
      <c r="A272" s="961" t="s">
        <v>6966</v>
      </c>
      <c r="B272" s="961" t="s">
        <v>6967</v>
      </c>
      <c r="C272" s="961">
        <v>703</v>
      </c>
    </row>
    <row r="273" spans="1:3" x14ac:dyDescent="0.25">
      <c r="A273" s="961" t="s">
        <v>6968</v>
      </c>
      <c r="B273" s="961" t="s">
        <v>6969</v>
      </c>
      <c r="C273" s="961">
        <v>705</v>
      </c>
    </row>
    <row r="274" spans="1:3" x14ac:dyDescent="0.25">
      <c r="A274" s="961" t="s">
        <v>6970</v>
      </c>
      <c r="B274" s="961" t="s">
        <v>6971</v>
      </c>
      <c r="C274" s="961">
        <v>90</v>
      </c>
    </row>
    <row r="275" spans="1:3" x14ac:dyDescent="0.25">
      <c r="A275" s="961" t="s">
        <v>6972</v>
      </c>
      <c r="B275" s="961" t="s">
        <v>6973</v>
      </c>
      <c r="C275" s="961">
        <v>706</v>
      </c>
    </row>
    <row r="276" spans="1:3" x14ac:dyDescent="0.25">
      <c r="A276" s="961" t="s">
        <v>6974</v>
      </c>
      <c r="B276" s="961" t="s">
        <v>6975</v>
      </c>
      <c r="C276" s="961">
        <v>710</v>
      </c>
    </row>
    <row r="277" spans="1:3" x14ac:dyDescent="0.25">
      <c r="A277" s="961" t="s">
        <v>6976</v>
      </c>
      <c r="B277" s="961" t="s">
        <v>6977</v>
      </c>
      <c r="C277" s="961">
        <v>239</v>
      </c>
    </row>
    <row r="278" spans="1:3" x14ac:dyDescent="0.25">
      <c r="A278" s="961" t="s">
        <v>6978</v>
      </c>
      <c r="B278" s="961" t="s">
        <v>6979</v>
      </c>
      <c r="C278" s="961">
        <v>728</v>
      </c>
    </row>
    <row r="279" spans="1:3" x14ac:dyDescent="0.25">
      <c r="A279" s="961" t="s">
        <v>6980</v>
      </c>
      <c r="B279" s="961" t="s">
        <v>6981</v>
      </c>
      <c r="C279" s="961">
        <v>724</v>
      </c>
    </row>
    <row r="280" spans="1:3" x14ac:dyDescent="0.25">
      <c r="A280" s="961" t="s">
        <v>6982</v>
      </c>
      <c r="B280" s="961" t="s">
        <v>6983</v>
      </c>
      <c r="C280" s="961">
        <v>144</v>
      </c>
    </row>
    <row r="281" spans="1:3" x14ac:dyDescent="0.25">
      <c r="A281" s="961" t="s">
        <v>6984</v>
      </c>
      <c r="B281" s="961" t="s">
        <v>6985</v>
      </c>
      <c r="C281" s="961">
        <v>729</v>
      </c>
    </row>
    <row r="282" spans="1:3" x14ac:dyDescent="0.25">
      <c r="A282" s="961" t="s">
        <v>6986</v>
      </c>
      <c r="B282" s="961" t="s">
        <v>6987</v>
      </c>
      <c r="C282" s="961">
        <v>740</v>
      </c>
    </row>
    <row r="283" spans="1:3" x14ac:dyDescent="0.25">
      <c r="A283" s="961" t="s">
        <v>6988</v>
      </c>
      <c r="B283" s="961" t="s">
        <v>6989</v>
      </c>
      <c r="C283" s="961">
        <v>744</v>
      </c>
    </row>
    <row r="284" spans="1:3" x14ac:dyDescent="0.25">
      <c r="A284" s="961" t="s">
        <v>6990</v>
      </c>
      <c r="B284" s="961" t="s">
        <v>6991</v>
      </c>
      <c r="C284" s="961">
        <v>748</v>
      </c>
    </row>
    <row r="285" spans="1:3" x14ac:dyDescent="0.25">
      <c r="A285" s="961" t="s">
        <v>6992</v>
      </c>
      <c r="B285" s="961" t="s">
        <v>6993</v>
      </c>
      <c r="C285" s="961">
        <v>752</v>
      </c>
    </row>
    <row r="286" spans="1:3" x14ac:dyDescent="0.25">
      <c r="A286" s="961" t="s">
        <v>6994</v>
      </c>
      <c r="B286" s="961" t="s">
        <v>6995</v>
      </c>
      <c r="C286" s="961">
        <v>756</v>
      </c>
    </row>
    <row r="287" spans="1:3" x14ac:dyDescent="0.25">
      <c r="A287" s="961" t="s">
        <v>6996</v>
      </c>
      <c r="B287" s="961" t="s">
        <v>6997</v>
      </c>
      <c r="C287" s="961">
        <v>760</v>
      </c>
    </row>
    <row r="288" spans="1:3" x14ac:dyDescent="0.25">
      <c r="A288" s="961" t="s">
        <v>6998</v>
      </c>
      <c r="B288" s="961" t="s">
        <v>6999</v>
      </c>
      <c r="C288" s="961">
        <v>158</v>
      </c>
    </row>
    <row r="289" spans="1:3" x14ac:dyDescent="0.25">
      <c r="A289" s="961" t="s">
        <v>7000</v>
      </c>
      <c r="B289" s="961" t="s">
        <v>7001</v>
      </c>
      <c r="C289" s="961">
        <v>762</v>
      </c>
    </row>
    <row r="290" spans="1:3" x14ac:dyDescent="0.25">
      <c r="A290" s="961" t="s">
        <v>7002</v>
      </c>
      <c r="B290" s="961" t="s">
        <v>7003</v>
      </c>
      <c r="C290" s="961">
        <v>834</v>
      </c>
    </row>
    <row r="291" spans="1:3" x14ac:dyDescent="0.25">
      <c r="A291" s="961" t="s">
        <v>7004</v>
      </c>
      <c r="B291" s="961" t="s">
        <v>7005</v>
      </c>
      <c r="C291" s="961">
        <v>764</v>
      </c>
    </row>
    <row r="292" spans="1:3" x14ac:dyDescent="0.25">
      <c r="A292" s="961" t="s">
        <v>7006</v>
      </c>
      <c r="B292" s="961" t="s">
        <v>7007</v>
      </c>
      <c r="C292" s="961">
        <v>626</v>
      </c>
    </row>
    <row r="293" spans="1:3" x14ac:dyDescent="0.25">
      <c r="A293" s="961" t="s">
        <v>7008</v>
      </c>
      <c r="B293" s="961" t="s">
        <v>7009</v>
      </c>
      <c r="C293" s="961">
        <v>768</v>
      </c>
    </row>
    <row r="294" spans="1:3" x14ac:dyDescent="0.25">
      <c r="A294" s="961" t="s">
        <v>7010</v>
      </c>
      <c r="B294" s="961" t="s">
        <v>7011</v>
      </c>
      <c r="C294" s="961">
        <v>772</v>
      </c>
    </row>
    <row r="295" spans="1:3" x14ac:dyDescent="0.25">
      <c r="A295" s="961" t="s">
        <v>7012</v>
      </c>
      <c r="B295" s="961" t="s">
        <v>7013</v>
      </c>
      <c r="C295" s="961">
        <v>776</v>
      </c>
    </row>
    <row r="296" spans="1:3" x14ac:dyDescent="0.25">
      <c r="A296" s="961" t="s">
        <v>7014</v>
      </c>
      <c r="B296" s="961" t="s">
        <v>7015</v>
      </c>
      <c r="C296" s="961">
        <v>780</v>
      </c>
    </row>
    <row r="297" spans="1:3" x14ac:dyDescent="0.25">
      <c r="A297" s="961" t="s">
        <v>7016</v>
      </c>
      <c r="B297" s="961" t="s">
        <v>7017</v>
      </c>
      <c r="C297" s="961">
        <v>788</v>
      </c>
    </row>
    <row r="298" spans="1:3" x14ac:dyDescent="0.25">
      <c r="A298" s="961" t="s">
        <v>7018</v>
      </c>
      <c r="B298" s="961" t="s">
        <v>7019</v>
      </c>
      <c r="C298" s="961">
        <v>792</v>
      </c>
    </row>
    <row r="299" spans="1:3" x14ac:dyDescent="0.25">
      <c r="A299" s="961" t="s">
        <v>7020</v>
      </c>
      <c r="B299" s="961" t="s">
        <v>7021</v>
      </c>
      <c r="C299" s="961">
        <v>795</v>
      </c>
    </row>
    <row r="300" spans="1:3" x14ac:dyDescent="0.25">
      <c r="A300" s="961" t="s">
        <v>7022</v>
      </c>
      <c r="B300" s="961" t="s">
        <v>7023</v>
      </c>
      <c r="C300" s="961">
        <v>796</v>
      </c>
    </row>
    <row r="301" spans="1:3" x14ac:dyDescent="0.25">
      <c r="A301" s="961" t="s">
        <v>7024</v>
      </c>
      <c r="B301" s="961" t="s">
        <v>7025</v>
      </c>
      <c r="C301" s="961">
        <v>798</v>
      </c>
    </row>
    <row r="302" spans="1:3" x14ac:dyDescent="0.25">
      <c r="A302" s="961" t="s">
        <v>7026</v>
      </c>
      <c r="B302" s="961" t="s">
        <v>7027</v>
      </c>
      <c r="C302" s="961">
        <v>800</v>
      </c>
    </row>
    <row r="303" spans="1:3" x14ac:dyDescent="0.25">
      <c r="A303" s="961" t="s">
        <v>7028</v>
      </c>
      <c r="B303" s="961" t="s">
        <v>7029</v>
      </c>
      <c r="C303" s="961">
        <v>804</v>
      </c>
    </row>
    <row r="304" spans="1:3" x14ac:dyDescent="0.25">
      <c r="A304" s="961" t="s">
        <v>7030</v>
      </c>
      <c r="B304" s="961" t="s">
        <v>7031</v>
      </c>
      <c r="C304" s="961">
        <v>784</v>
      </c>
    </row>
    <row r="305" spans="1:3" x14ac:dyDescent="0.25">
      <c r="A305" s="961" t="s">
        <v>7032</v>
      </c>
      <c r="B305" s="961" t="s">
        <v>7033</v>
      </c>
      <c r="C305" s="961">
        <v>826</v>
      </c>
    </row>
    <row r="306" spans="1:3" x14ac:dyDescent="0.25">
      <c r="A306" s="961" t="s">
        <v>7034</v>
      </c>
      <c r="B306" s="961" t="s">
        <v>7035</v>
      </c>
      <c r="C306" s="961">
        <v>581</v>
      </c>
    </row>
    <row r="307" spans="1:3" x14ac:dyDescent="0.25">
      <c r="A307" s="961" t="s">
        <v>7036</v>
      </c>
      <c r="B307" s="961" t="s">
        <v>7037</v>
      </c>
      <c r="C307" s="961">
        <v>840</v>
      </c>
    </row>
    <row r="308" spans="1:3" x14ac:dyDescent="0.25">
      <c r="A308" s="961" t="s">
        <v>7038</v>
      </c>
      <c r="B308" s="961" t="s">
        <v>7039</v>
      </c>
      <c r="C308" s="961">
        <v>858</v>
      </c>
    </row>
    <row r="309" spans="1:3" x14ac:dyDescent="0.25">
      <c r="A309" s="961" t="s">
        <v>7040</v>
      </c>
      <c r="B309" s="961" t="s">
        <v>7041</v>
      </c>
      <c r="C309" s="961">
        <v>860</v>
      </c>
    </row>
    <row r="310" spans="1:3" x14ac:dyDescent="0.25">
      <c r="A310" s="961" t="s">
        <v>7042</v>
      </c>
      <c r="B310" s="961" t="s">
        <v>7043</v>
      </c>
      <c r="C310" s="961">
        <v>548</v>
      </c>
    </row>
    <row r="311" spans="1:3" x14ac:dyDescent="0.25">
      <c r="A311" s="961" t="s">
        <v>7044</v>
      </c>
      <c r="B311" s="961" t="s">
        <v>7045</v>
      </c>
      <c r="C311" s="961">
        <v>862</v>
      </c>
    </row>
    <row r="312" spans="1:3" x14ac:dyDescent="0.25">
      <c r="A312" s="961" t="s">
        <v>7046</v>
      </c>
      <c r="B312" s="961" t="s">
        <v>7047</v>
      </c>
      <c r="C312" s="961">
        <v>704</v>
      </c>
    </row>
    <row r="313" spans="1:3" x14ac:dyDescent="0.25">
      <c r="A313" s="961" t="s">
        <v>7048</v>
      </c>
      <c r="B313" s="961" t="s">
        <v>7049</v>
      </c>
      <c r="C313" s="961">
        <v>92</v>
      </c>
    </row>
    <row r="314" spans="1:3" x14ac:dyDescent="0.25">
      <c r="A314" s="961" t="s">
        <v>7050</v>
      </c>
      <c r="B314" s="961" t="s">
        <v>7051</v>
      </c>
      <c r="C314" s="961">
        <v>850</v>
      </c>
    </row>
    <row r="315" spans="1:3" x14ac:dyDescent="0.25">
      <c r="A315" s="961" t="s">
        <v>7052</v>
      </c>
      <c r="B315" s="961" t="s">
        <v>7053</v>
      </c>
      <c r="C315" s="961">
        <v>876</v>
      </c>
    </row>
    <row r="316" spans="1:3" x14ac:dyDescent="0.25">
      <c r="A316" s="961" t="s">
        <v>7054</v>
      </c>
      <c r="B316" s="961" t="s">
        <v>7055</v>
      </c>
      <c r="C316" s="961">
        <v>732</v>
      </c>
    </row>
    <row r="317" spans="1:3" x14ac:dyDescent="0.25">
      <c r="A317" s="961" t="s">
        <v>7056</v>
      </c>
      <c r="B317" s="961" t="s">
        <v>7057</v>
      </c>
      <c r="C317" s="961">
        <v>887</v>
      </c>
    </row>
    <row r="318" spans="1:3" x14ac:dyDescent="0.25">
      <c r="A318" s="961" t="s">
        <v>7058</v>
      </c>
      <c r="B318" s="961" t="s">
        <v>7059</v>
      </c>
      <c r="C318" s="961">
        <v>894</v>
      </c>
    </row>
    <row r="319" spans="1:3" x14ac:dyDescent="0.25">
      <c r="A319" s="961" t="s">
        <v>7060</v>
      </c>
      <c r="B319" s="961" t="s">
        <v>7061</v>
      </c>
      <c r="C319" s="961">
        <v>716</v>
      </c>
    </row>
  </sheetData>
  <sheetProtection password="DA63" sheet="1" objects="1" scenarios="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E72"/>
  <sheetViews>
    <sheetView zoomScaleNormal="100" workbookViewId="0">
      <pane ySplit="1" topLeftCell="A2" activePane="bottomLeft" state="frozen"/>
      <selection activeCell="C22" sqref="C22"/>
      <selection pane="bottomLeft" activeCell="C21" sqref="C21"/>
    </sheetView>
  </sheetViews>
  <sheetFormatPr defaultColWidth="9.140625" defaultRowHeight="15" x14ac:dyDescent="0.25"/>
  <cols>
    <col min="1" max="1" width="30.28515625" style="255" bestFit="1" customWidth="1"/>
    <col min="2" max="2" width="22" style="255" bestFit="1" customWidth="1"/>
    <col min="3" max="3" width="34.5703125" style="255" bestFit="1" customWidth="1"/>
    <col min="4" max="4" width="5.5703125" style="255" bestFit="1" customWidth="1"/>
    <col min="5" max="5" width="12" style="255" bestFit="1" customWidth="1"/>
    <col min="6" max="16384" width="9.140625" style="255"/>
  </cols>
  <sheetData>
    <row r="1" spans="1:3" x14ac:dyDescent="0.25">
      <c r="A1" s="598" t="s">
        <v>313</v>
      </c>
    </row>
    <row r="2" spans="1:3" x14ac:dyDescent="0.25">
      <c r="A2" s="599" t="s">
        <v>808</v>
      </c>
    </row>
    <row r="3" spans="1:3" x14ac:dyDescent="0.25">
      <c r="A3" s="599" t="s">
        <v>809</v>
      </c>
    </row>
    <row r="4" spans="1:3" x14ac:dyDescent="0.25">
      <c r="A4" s="599" t="s">
        <v>810</v>
      </c>
    </row>
    <row r="5" spans="1:3" x14ac:dyDescent="0.25">
      <c r="A5" s="599" t="s">
        <v>811</v>
      </c>
    </row>
    <row r="6" spans="1:3" x14ac:dyDescent="0.25">
      <c r="A6" s="599" t="s">
        <v>812</v>
      </c>
    </row>
    <row r="7" spans="1:3" x14ac:dyDescent="0.25">
      <c r="A7" s="599" t="s">
        <v>813</v>
      </c>
    </row>
    <row r="8" spans="1:3" x14ac:dyDescent="0.25">
      <c r="A8" s="599" t="s">
        <v>814</v>
      </c>
    </row>
    <row r="9" spans="1:3" x14ac:dyDescent="0.25">
      <c r="A9" s="599" t="s">
        <v>815</v>
      </c>
    </row>
    <row r="10" spans="1:3" x14ac:dyDescent="0.25">
      <c r="A10" s="599" t="s">
        <v>816</v>
      </c>
    </row>
    <row r="11" spans="1:3" x14ac:dyDescent="0.25">
      <c r="A11" s="599" t="s">
        <v>817</v>
      </c>
    </row>
    <row r="12" spans="1:3" x14ac:dyDescent="0.25">
      <c r="A12" s="599" t="s">
        <v>818</v>
      </c>
    </row>
    <row r="13" spans="1:3" x14ac:dyDescent="0.25">
      <c r="A13" s="599" t="s">
        <v>819</v>
      </c>
      <c r="B13" s="600"/>
      <c r="C13" s="600"/>
    </row>
    <row r="14" spans="1:3" x14ac:dyDescent="0.25">
      <c r="A14" s="599" t="s">
        <v>820</v>
      </c>
    </row>
    <row r="18" spans="3:5" x14ac:dyDescent="0.25">
      <c r="C18" s="255" t="s">
        <v>6067</v>
      </c>
      <c r="D18" s="255" t="s">
        <v>155</v>
      </c>
    </row>
    <row r="19" spans="3:5" x14ac:dyDescent="0.25">
      <c r="C19" s="321" t="s">
        <v>6069</v>
      </c>
      <c r="D19" s="255" t="s">
        <v>7077</v>
      </c>
    </row>
    <row r="20" spans="3:5" x14ac:dyDescent="0.25">
      <c r="C20" s="321" t="s">
        <v>6068</v>
      </c>
      <c r="D20" s="255" t="s">
        <v>7078</v>
      </c>
    </row>
    <row r="21" spans="3:5" x14ac:dyDescent="0.25">
      <c r="C21" s="321" t="s">
        <v>7081</v>
      </c>
      <c r="D21" s="255" t="s">
        <v>7079</v>
      </c>
      <c r="E21" s="255" t="s">
        <v>6568</v>
      </c>
    </row>
    <row r="68" spans="1:3" x14ac:dyDescent="0.25">
      <c r="B68" s="600" t="s">
        <v>821</v>
      </c>
      <c r="C68" s="600" t="s">
        <v>822</v>
      </c>
    </row>
    <row r="69" spans="1:3" x14ac:dyDescent="0.25">
      <c r="B69" s="600" t="s">
        <v>823</v>
      </c>
      <c r="C69" s="600" t="s">
        <v>824</v>
      </c>
    </row>
    <row r="72" spans="1:3" x14ac:dyDescent="0.25">
      <c r="A72" s="599"/>
    </row>
  </sheetData>
  <sheetProtection password="C5AE" sheet="1" objects="1" scenarios="1"/>
  <printOptions horizontalCentered="1"/>
  <pageMargins left="0.7" right="0.7" top="0.75" bottom="0.75" header="0.3" footer="0.3"/>
  <pageSetup scale="71" fitToHeight="3" orientation="landscape" r:id="rId1"/>
  <rowBreaks count="1" manualBreakCount="1">
    <brk id="39" max="16383" man="1"/>
  </rowBreak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pageSetUpPr fitToPage="1"/>
  </sheetPr>
  <dimension ref="B1:Q2461"/>
  <sheetViews>
    <sheetView topLeftCell="G1" workbookViewId="0">
      <pane ySplit="1" topLeftCell="A2" activePane="bottomLeft" state="frozen"/>
      <selection activeCell="S5" sqref="S5"/>
      <selection pane="bottomLeft" activeCell="X28" sqref="X28"/>
    </sheetView>
  </sheetViews>
  <sheetFormatPr defaultColWidth="9.140625" defaultRowHeight="15" customHeight="1" x14ac:dyDescent="0.25"/>
  <cols>
    <col min="1" max="1" width="2.85546875" style="604" customWidth="1"/>
    <col min="2" max="2" width="18.28515625" style="620" bestFit="1" customWidth="1"/>
    <col min="3" max="3" width="14.42578125" style="620" bestFit="1" customWidth="1"/>
    <col min="4" max="4" width="90.28515625" style="619" customWidth="1"/>
    <col min="5" max="5" width="8" style="621" customWidth="1"/>
    <col min="6" max="6" width="45.7109375" style="619" customWidth="1"/>
    <col min="7" max="7" width="26.85546875" style="619" customWidth="1"/>
    <col min="8" max="8" width="26.85546875" style="619" bestFit="1" customWidth="1"/>
    <col min="9" max="9" width="42" style="619" customWidth="1"/>
    <col min="10" max="10" width="0" style="604" hidden="1" customWidth="1"/>
    <col min="11" max="13" width="9.140625" style="604"/>
    <col min="14" max="14" width="17.5703125" style="604" bestFit="1" customWidth="1"/>
    <col min="15" max="16384" width="9.140625" style="604"/>
  </cols>
  <sheetData>
    <row r="1" spans="2:17" ht="15" customHeight="1" x14ac:dyDescent="0.25">
      <c r="B1" s="601" t="s">
        <v>825</v>
      </c>
      <c r="C1" s="601" t="s">
        <v>826</v>
      </c>
      <c r="D1" s="602" t="s">
        <v>827</v>
      </c>
      <c r="E1" s="601" t="s">
        <v>828</v>
      </c>
      <c r="F1" s="602" t="s">
        <v>829</v>
      </c>
      <c r="G1" s="602" t="s">
        <v>830</v>
      </c>
      <c r="H1" s="602" t="s">
        <v>313</v>
      </c>
      <c r="I1" s="602" t="s">
        <v>831</v>
      </c>
      <c r="J1" s="603" t="s">
        <v>832</v>
      </c>
      <c r="N1" s="822" t="s">
        <v>5814</v>
      </c>
      <c r="O1" s="822" t="s">
        <v>5815</v>
      </c>
      <c r="P1" s="823" t="s">
        <v>5816</v>
      </c>
      <c r="Q1" s="823" t="s">
        <v>5817</v>
      </c>
    </row>
    <row r="2" spans="2:17" s="608" customFormat="1" x14ac:dyDescent="0.25">
      <c r="B2" s="605" t="s">
        <v>833</v>
      </c>
      <c r="C2" s="606">
        <f t="shared" ref="C2:C65" si="0">B2+0</f>
        <v>111110</v>
      </c>
      <c r="D2" s="607" t="s">
        <v>834</v>
      </c>
      <c r="E2" s="607" t="s">
        <v>835</v>
      </c>
      <c r="F2" s="607" t="s">
        <v>836</v>
      </c>
      <c r="G2" s="607" t="s">
        <v>837</v>
      </c>
      <c r="H2" s="607" t="s">
        <v>837</v>
      </c>
      <c r="I2" s="607" t="s">
        <v>838</v>
      </c>
      <c r="J2" s="608" t="str">
        <f t="shared" ref="J2:J65" si="1">PROPER(I2)</f>
        <v>Food</v>
      </c>
      <c r="N2" s="822">
        <v>111110</v>
      </c>
      <c r="O2" s="822" t="s">
        <v>834</v>
      </c>
      <c r="P2" s="823">
        <v>116</v>
      </c>
      <c r="Q2" s="823" t="s">
        <v>836</v>
      </c>
    </row>
    <row r="3" spans="2:17" s="608" customFormat="1" x14ac:dyDescent="0.25">
      <c r="B3" s="605" t="s">
        <v>839</v>
      </c>
      <c r="C3" s="606">
        <f t="shared" si="0"/>
        <v>111120</v>
      </c>
      <c r="D3" s="607" t="s">
        <v>840</v>
      </c>
      <c r="E3" s="607" t="s">
        <v>841</v>
      </c>
      <c r="F3" s="607" t="s">
        <v>842</v>
      </c>
      <c r="G3" s="607" t="s">
        <v>837</v>
      </c>
      <c r="H3" s="607" t="s">
        <v>837</v>
      </c>
      <c r="I3" s="607" t="s">
        <v>838</v>
      </c>
      <c r="J3" s="608" t="str">
        <f t="shared" si="1"/>
        <v>Food</v>
      </c>
      <c r="N3" s="822">
        <v>111120</v>
      </c>
      <c r="O3" s="822" t="s">
        <v>840</v>
      </c>
      <c r="P3" s="823">
        <v>119</v>
      </c>
      <c r="Q3" s="823" t="s">
        <v>842</v>
      </c>
    </row>
    <row r="4" spans="2:17" s="608" customFormat="1" x14ac:dyDescent="0.25">
      <c r="B4" s="605" t="s">
        <v>843</v>
      </c>
      <c r="C4" s="606">
        <f t="shared" si="0"/>
        <v>111130</v>
      </c>
      <c r="D4" s="607" t="s">
        <v>844</v>
      </c>
      <c r="E4" s="607" t="s">
        <v>841</v>
      </c>
      <c r="F4" s="607" t="s">
        <v>842</v>
      </c>
      <c r="G4" s="607" t="s">
        <v>837</v>
      </c>
      <c r="H4" s="607" t="s">
        <v>837</v>
      </c>
      <c r="I4" s="607" t="s">
        <v>838</v>
      </c>
      <c r="J4" s="608" t="str">
        <f t="shared" si="1"/>
        <v>Food</v>
      </c>
      <c r="N4" s="822">
        <v>111130</v>
      </c>
      <c r="O4" s="822" t="s">
        <v>844</v>
      </c>
      <c r="P4" s="823">
        <v>119</v>
      </c>
      <c r="Q4" s="823" t="s">
        <v>842</v>
      </c>
    </row>
    <row r="5" spans="2:17" s="608" customFormat="1" x14ac:dyDescent="0.25">
      <c r="B5" s="605" t="s">
        <v>845</v>
      </c>
      <c r="C5" s="606">
        <f t="shared" si="0"/>
        <v>111140</v>
      </c>
      <c r="D5" s="607" t="s">
        <v>846</v>
      </c>
      <c r="E5" s="607" t="s">
        <v>847</v>
      </c>
      <c r="F5" s="607" t="s">
        <v>848</v>
      </c>
      <c r="G5" s="607" t="s">
        <v>837</v>
      </c>
      <c r="H5" s="607" t="s">
        <v>837</v>
      </c>
      <c r="I5" s="607" t="s">
        <v>838</v>
      </c>
      <c r="J5" s="608" t="str">
        <f t="shared" si="1"/>
        <v>Food</v>
      </c>
      <c r="N5" s="822">
        <v>111140</v>
      </c>
      <c r="O5" s="822" t="s">
        <v>846</v>
      </c>
      <c r="P5" s="823">
        <v>111</v>
      </c>
      <c r="Q5" s="823" t="s">
        <v>848</v>
      </c>
    </row>
    <row r="6" spans="2:17" s="608" customFormat="1" x14ac:dyDescent="0.25">
      <c r="B6" s="605" t="s">
        <v>849</v>
      </c>
      <c r="C6" s="606">
        <f t="shared" si="0"/>
        <v>111150</v>
      </c>
      <c r="D6" s="607" t="s">
        <v>850</v>
      </c>
      <c r="E6" s="607" t="s">
        <v>851</v>
      </c>
      <c r="F6" s="607" t="s">
        <v>852</v>
      </c>
      <c r="G6" s="607" t="s">
        <v>837</v>
      </c>
      <c r="H6" s="607" t="s">
        <v>837</v>
      </c>
      <c r="I6" s="607" t="s">
        <v>838</v>
      </c>
      <c r="J6" s="608" t="str">
        <f t="shared" si="1"/>
        <v>Food</v>
      </c>
      <c r="N6" s="822">
        <v>111150</v>
      </c>
      <c r="O6" s="822" t="s">
        <v>850</v>
      </c>
      <c r="P6" s="823">
        <v>115</v>
      </c>
      <c r="Q6" s="823" t="s">
        <v>852</v>
      </c>
    </row>
    <row r="7" spans="2:17" s="608" customFormat="1" x14ac:dyDescent="0.25">
      <c r="B7" s="605" t="s">
        <v>849</v>
      </c>
      <c r="C7" s="606">
        <f t="shared" si="0"/>
        <v>111150</v>
      </c>
      <c r="D7" s="607" t="s">
        <v>850</v>
      </c>
      <c r="E7" s="607" t="s">
        <v>841</v>
      </c>
      <c r="F7" s="607" t="s">
        <v>842</v>
      </c>
      <c r="G7" s="607" t="s">
        <v>837</v>
      </c>
      <c r="H7" s="607" t="s">
        <v>837</v>
      </c>
      <c r="I7" s="607" t="s">
        <v>838</v>
      </c>
      <c r="J7" s="608" t="str">
        <f t="shared" si="1"/>
        <v>Food</v>
      </c>
      <c r="N7" s="822">
        <v>111150</v>
      </c>
      <c r="O7" s="822" t="s">
        <v>850</v>
      </c>
      <c r="P7" s="823">
        <v>119</v>
      </c>
      <c r="Q7" s="823" t="s">
        <v>842</v>
      </c>
    </row>
    <row r="8" spans="2:17" s="608" customFormat="1" x14ac:dyDescent="0.25">
      <c r="B8" s="605" t="s">
        <v>853</v>
      </c>
      <c r="C8" s="606">
        <f t="shared" si="0"/>
        <v>111160</v>
      </c>
      <c r="D8" s="607" t="s">
        <v>854</v>
      </c>
      <c r="E8" s="607" t="s">
        <v>855</v>
      </c>
      <c r="F8" s="607" t="s">
        <v>856</v>
      </c>
      <c r="G8" s="607" t="s">
        <v>837</v>
      </c>
      <c r="H8" s="607" t="s">
        <v>837</v>
      </c>
      <c r="I8" s="607" t="s">
        <v>838</v>
      </c>
      <c r="J8" s="608" t="str">
        <f t="shared" si="1"/>
        <v>Food</v>
      </c>
      <c r="N8" s="822">
        <v>111160</v>
      </c>
      <c r="O8" s="822" t="s">
        <v>854</v>
      </c>
      <c r="P8" s="823">
        <v>112</v>
      </c>
      <c r="Q8" s="823" t="s">
        <v>856</v>
      </c>
    </row>
    <row r="9" spans="2:17" s="608" customFormat="1" x14ac:dyDescent="0.25">
      <c r="B9" s="605" t="s">
        <v>857</v>
      </c>
      <c r="C9" s="606">
        <f t="shared" si="0"/>
        <v>111191</v>
      </c>
      <c r="D9" s="607" t="s">
        <v>858</v>
      </c>
      <c r="E9" s="607" t="s">
        <v>841</v>
      </c>
      <c r="F9" s="607" t="s">
        <v>842</v>
      </c>
      <c r="G9" s="607" t="s">
        <v>837</v>
      </c>
      <c r="H9" s="607" t="s">
        <v>837</v>
      </c>
      <c r="I9" s="607" t="s">
        <v>838</v>
      </c>
      <c r="J9" s="608" t="str">
        <f t="shared" si="1"/>
        <v>Food</v>
      </c>
      <c r="N9" s="822">
        <v>111191</v>
      </c>
      <c r="O9" s="822" t="s">
        <v>858</v>
      </c>
      <c r="P9" s="823">
        <v>119</v>
      </c>
      <c r="Q9" s="823" t="s">
        <v>842</v>
      </c>
    </row>
    <row r="10" spans="2:17" s="608" customFormat="1" x14ac:dyDescent="0.25">
      <c r="B10" s="605" t="s">
        <v>859</v>
      </c>
      <c r="C10" s="606">
        <f t="shared" si="0"/>
        <v>111199</v>
      </c>
      <c r="D10" s="607" t="s">
        <v>860</v>
      </c>
      <c r="E10" s="607" t="s">
        <v>841</v>
      </c>
      <c r="F10" s="607" t="s">
        <v>842</v>
      </c>
      <c r="G10" s="607" t="s">
        <v>837</v>
      </c>
      <c r="H10" s="607" t="s">
        <v>837</v>
      </c>
      <c r="I10" s="607" t="s">
        <v>838</v>
      </c>
      <c r="J10" s="608" t="str">
        <f t="shared" si="1"/>
        <v>Food</v>
      </c>
      <c r="N10" s="822">
        <v>111199</v>
      </c>
      <c r="O10" s="822" t="s">
        <v>860</v>
      </c>
      <c r="P10" s="823">
        <v>119</v>
      </c>
      <c r="Q10" s="823" t="s">
        <v>842</v>
      </c>
    </row>
    <row r="11" spans="2:17" s="608" customFormat="1" x14ac:dyDescent="0.25">
      <c r="B11" s="605" t="s">
        <v>859</v>
      </c>
      <c r="C11" s="606">
        <f t="shared" si="0"/>
        <v>111199</v>
      </c>
      <c r="D11" s="607" t="s">
        <v>860</v>
      </c>
      <c r="E11" s="607" t="s">
        <v>861</v>
      </c>
      <c r="F11" s="607" t="s">
        <v>862</v>
      </c>
      <c r="G11" s="607" t="s">
        <v>837</v>
      </c>
      <c r="H11" s="607" t="s">
        <v>837</v>
      </c>
      <c r="I11" s="607" t="s">
        <v>838</v>
      </c>
      <c r="J11" s="608" t="str">
        <f t="shared" si="1"/>
        <v>Food</v>
      </c>
      <c r="N11" s="822">
        <v>111199</v>
      </c>
      <c r="O11" s="822" t="s">
        <v>860</v>
      </c>
      <c r="P11" s="823">
        <v>139</v>
      </c>
      <c r="Q11" s="823" t="s">
        <v>862</v>
      </c>
    </row>
    <row r="12" spans="2:17" s="608" customFormat="1" x14ac:dyDescent="0.25">
      <c r="B12" s="605" t="s">
        <v>863</v>
      </c>
      <c r="C12" s="606">
        <f t="shared" si="0"/>
        <v>111211</v>
      </c>
      <c r="D12" s="607" t="s">
        <v>864</v>
      </c>
      <c r="E12" s="607" t="s">
        <v>865</v>
      </c>
      <c r="F12" s="607" t="s">
        <v>866</v>
      </c>
      <c r="G12" s="607" t="s">
        <v>837</v>
      </c>
      <c r="H12" s="607" t="s">
        <v>837</v>
      </c>
      <c r="I12" s="607" t="s">
        <v>838</v>
      </c>
      <c r="J12" s="608" t="str">
        <f t="shared" si="1"/>
        <v>Food</v>
      </c>
      <c r="N12" s="822">
        <v>111211</v>
      </c>
      <c r="O12" s="822" t="s">
        <v>864</v>
      </c>
      <c r="P12" s="823">
        <v>134</v>
      </c>
      <c r="Q12" s="823" t="s">
        <v>866</v>
      </c>
    </row>
    <row r="13" spans="2:17" s="608" customFormat="1" x14ac:dyDescent="0.25">
      <c r="B13" s="605" t="s">
        <v>863</v>
      </c>
      <c r="C13" s="606">
        <f t="shared" si="0"/>
        <v>111211</v>
      </c>
      <c r="D13" s="607" t="s">
        <v>864</v>
      </c>
      <c r="E13" s="607" t="s">
        <v>861</v>
      </c>
      <c r="F13" s="607" t="s">
        <v>862</v>
      </c>
      <c r="G13" s="607" t="s">
        <v>837</v>
      </c>
      <c r="H13" s="607" t="s">
        <v>837</v>
      </c>
      <c r="I13" s="607" t="s">
        <v>838</v>
      </c>
      <c r="J13" s="608" t="str">
        <f t="shared" si="1"/>
        <v>Food</v>
      </c>
      <c r="N13" s="822">
        <v>111211</v>
      </c>
      <c r="O13" s="822" t="s">
        <v>864</v>
      </c>
      <c r="P13" s="823">
        <v>139</v>
      </c>
      <c r="Q13" s="823" t="s">
        <v>862</v>
      </c>
    </row>
    <row r="14" spans="2:17" s="608" customFormat="1" x14ac:dyDescent="0.25">
      <c r="B14" s="605" t="s">
        <v>863</v>
      </c>
      <c r="C14" s="606">
        <f t="shared" si="0"/>
        <v>111211</v>
      </c>
      <c r="D14" s="607" t="s">
        <v>864</v>
      </c>
      <c r="E14" s="607" t="s">
        <v>867</v>
      </c>
      <c r="F14" s="607" t="s">
        <v>868</v>
      </c>
      <c r="G14" s="607" t="s">
        <v>837</v>
      </c>
      <c r="H14" s="607" t="s">
        <v>837</v>
      </c>
      <c r="I14" s="607" t="s">
        <v>838</v>
      </c>
      <c r="J14" s="608" t="str">
        <f t="shared" si="1"/>
        <v>Food</v>
      </c>
      <c r="N14" s="822">
        <v>111211</v>
      </c>
      <c r="O14" s="822" t="s">
        <v>864</v>
      </c>
      <c r="P14" s="823">
        <v>161</v>
      </c>
      <c r="Q14" s="823" t="s">
        <v>868</v>
      </c>
    </row>
    <row r="15" spans="2:17" s="608" customFormat="1" x14ac:dyDescent="0.25">
      <c r="B15" s="605" t="s">
        <v>869</v>
      </c>
      <c r="C15" s="606">
        <f t="shared" si="0"/>
        <v>111219</v>
      </c>
      <c r="D15" s="607" t="s">
        <v>870</v>
      </c>
      <c r="E15" s="607" t="s">
        <v>861</v>
      </c>
      <c r="F15" s="607" t="s">
        <v>862</v>
      </c>
      <c r="G15" s="607" t="s">
        <v>837</v>
      </c>
      <c r="H15" s="607" t="s">
        <v>837</v>
      </c>
      <c r="I15" s="607" t="s">
        <v>838</v>
      </c>
      <c r="J15" s="608" t="str">
        <f t="shared" si="1"/>
        <v>Food</v>
      </c>
      <c r="N15" s="822">
        <v>111219</v>
      </c>
      <c r="O15" s="822" t="s">
        <v>870</v>
      </c>
      <c r="P15" s="823">
        <v>139</v>
      </c>
      <c r="Q15" s="823" t="s">
        <v>862</v>
      </c>
    </row>
    <row r="16" spans="2:17" s="608" customFormat="1" x14ac:dyDescent="0.25">
      <c r="B16" s="605" t="s">
        <v>869</v>
      </c>
      <c r="C16" s="606">
        <f t="shared" si="0"/>
        <v>111219</v>
      </c>
      <c r="D16" s="607" t="s">
        <v>870</v>
      </c>
      <c r="E16" s="607" t="s">
        <v>867</v>
      </c>
      <c r="F16" s="607" t="s">
        <v>868</v>
      </c>
      <c r="G16" s="607" t="s">
        <v>837</v>
      </c>
      <c r="H16" s="607" t="s">
        <v>837</v>
      </c>
      <c r="I16" s="607" t="s">
        <v>838</v>
      </c>
      <c r="J16" s="608" t="str">
        <f t="shared" si="1"/>
        <v>Food</v>
      </c>
      <c r="N16" s="822">
        <v>111219</v>
      </c>
      <c r="O16" s="822" t="s">
        <v>870</v>
      </c>
      <c r="P16" s="823">
        <v>161</v>
      </c>
      <c r="Q16" s="823" t="s">
        <v>868</v>
      </c>
    </row>
    <row r="17" spans="2:17" s="608" customFormat="1" x14ac:dyDescent="0.25">
      <c r="B17" s="605" t="s">
        <v>871</v>
      </c>
      <c r="C17" s="606">
        <f t="shared" si="0"/>
        <v>111310</v>
      </c>
      <c r="D17" s="607" t="s">
        <v>872</v>
      </c>
      <c r="E17" s="607" t="s">
        <v>873</v>
      </c>
      <c r="F17" s="607" t="s">
        <v>874</v>
      </c>
      <c r="G17" s="607" t="s">
        <v>837</v>
      </c>
      <c r="H17" s="607" t="s">
        <v>837</v>
      </c>
      <c r="I17" s="607" t="s">
        <v>838</v>
      </c>
      <c r="J17" s="608" t="str">
        <f t="shared" si="1"/>
        <v>Food</v>
      </c>
      <c r="N17" s="822">
        <v>111310</v>
      </c>
      <c r="O17" s="822" t="s">
        <v>872</v>
      </c>
      <c r="P17" s="823">
        <v>174</v>
      </c>
      <c r="Q17" s="823" t="s">
        <v>874</v>
      </c>
    </row>
    <row r="18" spans="2:17" s="608" customFormat="1" x14ac:dyDescent="0.25">
      <c r="B18" s="605" t="s">
        <v>875</v>
      </c>
      <c r="C18" s="606">
        <f t="shared" si="0"/>
        <v>111320</v>
      </c>
      <c r="D18" s="607" t="s">
        <v>876</v>
      </c>
      <c r="E18" s="607" t="s">
        <v>873</v>
      </c>
      <c r="F18" s="607" t="s">
        <v>874</v>
      </c>
      <c r="G18" s="607" t="s">
        <v>837</v>
      </c>
      <c r="H18" s="607" t="s">
        <v>837</v>
      </c>
      <c r="I18" s="607" t="s">
        <v>838</v>
      </c>
      <c r="J18" s="608" t="str">
        <f t="shared" si="1"/>
        <v>Food</v>
      </c>
      <c r="N18" s="822">
        <v>111320</v>
      </c>
      <c r="O18" s="822" t="s">
        <v>876</v>
      </c>
      <c r="P18" s="823">
        <v>174</v>
      </c>
      <c r="Q18" s="823" t="s">
        <v>874</v>
      </c>
    </row>
    <row r="19" spans="2:17" s="608" customFormat="1" x14ac:dyDescent="0.25">
      <c r="B19" s="605" t="s">
        <v>877</v>
      </c>
      <c r="C19" s="606">
        <f t="shared" si="0"/>
        <v>111331</v>
      </c>
      <c r="D19" s="607" t="s">
        <v>878</v>
      </c>
      <c r="E19" s="607" t="s">
        <v>879</v>
      </c>
      <c r="F19" s="607" t="s">
        <v>880</v>
      </c>
      <c r="G19" s="607" t="s">
        <v>837</v>
      </c>
      <c r="H19" s="607" t="s">
        <v>837</v>
      </c>
      <c r="I19" s="607" t="s">
        <v>838</v>
      </c>
      <c r="J19" s="608" t="str">
        <f t="shared" si="1"/>
        <v>Food</v>
      </c>
      <c r="N19" s="822">
        <v>111331</v>
      </c>
      <c r="O19" s="822" t="s">
        <v>878</v>
      </c>
      <c r="P19" s="823">
        <v>175</v>
      </c>
      <c r="Q19" s="823" t="s">
        <v>880</v>
      </c>
    </row>
    <row r="20" spans="2:17" s="608" customFormat="1" x14ac:dyDescent="0.25">
      <c r="B20" s="605" t="s">
        <v>881</v>
      </c>
      <c r="C20" s="606">
        <f t="shared" si="0"/>
        <v>111332</v>
      </c>
      <c r="D20" s="607" t="s">
        <v>882</v>
      </c>
      <c r="E20" s="607" t="s">
        <v>883</v>
      </c>
      <c r="F20" s="607" t="s">
        <v>884</v>
      </c>
      <c r="G20" s="607" t="s">
        <v>837</v>
      </c>
      <c r="H20" s="607" t="s">
        <v>837</v>
      </c>
      <c r="I20" s="607" t="s">
        <v>838</v>
      </c>
      <c r="J20" s="608" t="str">
        <f t="shared" si="1"/>
        <v>Food</v>
      </c>
      <c r="N20" s="822">
        <v>111332</v>
      </c>
      <c r="O20" s="822" t="s">
        <v>882</v>
      </c>
      <c r="P20" s="823">
        <v>172</v>
      </c>
      <c r="Q20" s="823" t="s">
        <v>884</v>
      </c>
    </row>
    <row r="21" spans="2:17" s="608" customFormat="1" x14ac:dyDescent="0.25">
      <c r="B21" s="605" t="s">
        <v>885</v>
      </c>
      <c r="C21" s="606">
        <f t="shared" si="0"/>
        <v>111333</v>
      </c>
      <c r="D21" s="607" t="s">
        <v>886</v>
      </c>
      <c r="E21" s="607" t="s">
        <v>887</v>
      </c>
      <c r="F21" s="607" t="s">
        <v>888</v>
      </c>
      <c r="G21" s="607" t="s">
        <v>837</v>
      </c>
      <c r="H21" s="607" t="s">
        <v>837</v>
      </c>
      <c r="I21" s="607" t="s">
        <v>838</v>
      </c>
      <c r="J21" s="608" t="str">
        <f t="shared" si="1"/>
        <v>Food</v>
      </c>
      <c r="N21" s="822">
        <v>111333</v>
      </c>
      <c r="O21" s="822" t="s">
        <v>886</v>
      </c>
      <c r="P21" s="823">
        <v>171</v>
      </c>
      <c r="Q21" s="823" t="s">
        <v>888</v>
      </c>
    </row>
    <row r="22" spans="2:17" s="608" customFormat="1" x14ac:dyDescent="0.25">
      <c r="B22" s="605" t="s">
        <v>889</v>
      </c>
      <c r="C22" s="606">
        <f t="shared" si="0"/>
        <v>111334</v>
      </c>
      <c r="D22" s="607" t="s">
        <v>890</v>
      </c>
      <c r="E22" s="607" t="s">
        <v>887</v>
      </c>
      <c r="F22" s="607" t="s">
        <v>888</v>
      </c>
      <c r="G22" s="607" t="s">
        <v>837</v>
      </c>
      <c r="H22" s="607" t="s">
        <v>837</v>
      </c>
      <c r="I22" s="607" t="s">
        <v>838</v>
      </c>
      <c r="J22" s="608" t="str">
        <f t="shared" si="1"/>
        <v>Food</v>
      </c>
      <c r="N22" s="822">
        <v>111334</v>
      </c>
      <c r="O22" s="822" t="s">
        <v>890</v>
      </c>
      <c r="P22" s="823">
        <v>171</v>
      </c>
      <c r="Q22" s="823" t="s">
        <v>888</v>
      </c>
    </row>
    <row r="23" spans="2:17" s="608" customFormat="1" x14ac:dyDescent="0.25">
      <c r="B23" s="605" t="s">
        <v>891</v>
      </c>
      <c r="C23" s="606">
        <f t="shared" si="0"/>
        <v>111335</v>
      </c>
      <c r="D23" s="607" t="s">
        <v>892</v>
      </c>
      <c r="E23" s="607" t="s">
        <v>893</v>
      </c>
      <c r="F23" s="607" t="s">
        <v>894</v>
      </c>
      <c r="G23" s="607" t="s">
        <v>837</v>
      </c>
      <c r="H23" s="607" t="s">
        <v>837</v>
      </c>
      <c r="I23" s="607" t="s">
        <v>838</v>
      </c>
      <c r="J23" s="608" t="str">
        <f t="shared" si="1"/>
        <v>Food</v>
      </c>
      <c r="N23" s="822">
        <v>111335</v>
      </c>
      <c r="O23" s="822" t="s">
        <v>892</v>
      </c>
      <c r="P23" s="823">
        <v>173</v>
      </c>
      <c r="Q23" s="823" t="s">
        <v>894</v>
      </c>
    </row>
    <row r="24" spans="2:17" s="608" customFormat="1" x14ac:dyDescent="0.25">
      <c r="B24" s="605" t="s">
        <v>895</v>
      </c>
      <c r="C24" s="606">
        <f t="shared" si="0"/>
        <v>111336</v>
      </c>
      <c r="D24" s="607" t="s">
        <v>896</v>
      </c>
      <c r="E24" s="607" t="s">
        <v>897</v>
      </c>
      <c r="F24" s="607" t="s">
        <v>898</v>
      </c>
      <c r="G24" s="607" t="s">
        <v>837</v>
      </c>
      <c r="H24" s="607" t="s">
        <v>837</v>
      </c>
      <c r="I24" s="607" t="s">
        <v>838</v>
      </c>
      <c r="J24" s="608" t="str">
        <f t="shared" si="1"/>
        <v>Food</v>
      </c>
      <c r="N24" s="822">
        <v>111336</v>
      </c>
      <c r="O24" s="822" t="s">
        <v>896</v>
      </c>
      <c r="P24" s="823">
        <v>179</v>
      </c>
      <c r="Q24" s="823" t="s">
        <v>898</v>
      </c>
    </row>
    <row r="25" spans="2:17" s="608" customFormat="1" x14ac:dyDescent="0.25">
      <c r="B25" s="605" t="s">
        <v>899</v>
      </c>
      <c r="C25" s="606">
        <f t="shared" si="0"/>
        <v>111339</v>
      </c>
      <c r="D25" s="607" t="s">
        <v>900</v>
      </c>
      <c r="E25" s="607" t="s">
        <v>879</v>
      </c>
      <c r="F25" s="607" t="s">
        <v>880</v>
      </c>
      <c r="G25" s="607" t="s">
        <v>837</v>
      </c>
      <c r="H25" s="607" t="s">
        <v>837</v>
      </c>
      <c r="I25" s="607" t="s">
        <v>838</v>
      </c>
      <c r="J25" s="608" t="str">
        <f t="shared" si="1"/>
        <v>Food</v>
      </c>
      <c r="N25" s="822">
        <v>111339</v>
      </c>
      <c r="O25" s="822" t="s">
        <v>900</v>
      </c>
      <c r="P25" s="823">
        <v>175</v>
      </c>
      <c r="Q25" s="823" t="s">
        <v>880</v>
      </c>
    </row>
    <row r="26" spans="2:17" s="608" customFormat="1" x14ac:dyDescent="0.25">
      <c r="B26" s="605" t="s">
        <v>899</v>
      </c>
      <c r="C26" s="606">
        <f t="shared" si="0"/>
        <v>111339</v>
      </c>
      <c r="D26" s="607" t="s">
        <v>900</v>
      </c>
      <c r="E26" s="607" t="s">
        <v>897</v>
      </c>
      <c r="F26" s="607" t="s">
        <v>898</v>
      </c>
      <c r="G26" s="607" t="s">
        <v>837</v>
      </c>
      <c r="H26" s="607" t="s">
        <v>837</v>
      </c>
      <c r="I26" s="607" t="s">
        <v>838</v>
      </c>
      <c r="J26" s="608" t="str">
        <f t="shared" si="1"/>
        <v>Food</v>
      </c>
      <c r="N26" s="822">
        <v>111339</v>
      </c>
      <c r="O26" s="822" t="s">
        <v>900</v>
      </c>
      <c r="P26" s="823">
        <v>179</v>
      </c>
      <c r="Q26" s="823" t="s">
        <v>898</v>
      </c>
    </row>
    <row r="27" spans="2:17" s="608" customFormat="1" x14ac:dyDescent="0.25">
      <c r="B27" s="605" t="s">
        <v>901</v>
      </c>
      <c r="C27" s="606">
        <f t="shared" si="0"/>
        <v>111411</v>
      </c>
      <c r="D27" s="607" t="s">
        <v>902</v>
      </c>
      <c r="E27" s="607" t="s">
        <v>903</v>
      </c>
      <c r="F27" s="607" t="s">
        <v>904</v>
      </c>
      <c r="G27" s="607" t="s">
        <v>837</v>
      </c>
      <c r="H27" s="607" t="s">
        <v>837</v>
      </c>
      <c r="I27" s="607" t="s">
        <v>838</v>
      </c>
      <c r="J27" s="608" t="str">
        <f t="shared" si="1"/>
        <v>Food</v>
      </c>
      <c r="N27" s="822">
        <v>111411</v>
      </c>
      <c r="O27" s="822" t="s">
        <v>902</v>
      </c>
      <c r="P27" s="823">
        <v>182</v>
      </c>
      <c r="Q27" s="823" t="s">
        <v>904</v>
      </c>
    </row>
    <row r="28" spans="2:17" s="608" customFormat="1" x14ac:dyDescent="0.25">
      <c r="B28" s="605" t="s">
        <v>905</v>
      </c>
      <c r="C28" s="606">
        <f t="shared" si="0"/>
        <v>111419</v>
      </c>
      <c r="D28" s="607" t="s">
        <v>906</v>
      </c>
      <c r="E28" s="607" t="s">
        <v>903</v>
      </c>
      <c r="F28" s="607" t="s">
        <v>904</v>
      </c>
      <c r="G28" s="607" t="s">
        <v>837</v>
      </c>
      <c r="H28" s="607" t="s">
        <v>837</v>
      </c>
      <c r="I28" s="607" t="s">
        <v>838</v>
      </c>
      <c r="J28" s="608" t="str">
        <f t="shared" si="1"/>
        <v>Food</v>
      </c>
      <c r="N28" s="822">
        <v>111419</v>
      </c>
      <c r="O28" s="822" t="s">
        <v>906</v>
      </c>
      <c r="P28" s="823">
        <v>182</v>
      </c>
      <c r="Q28" s="823" t="s">
        <v>904</v>
      </c>
    </row>
    <row r="29" spans="2:17" s="608" customFormat="1" x14ac:dyDescent="0.25">
      <c r="B29" s="605" t="s">
        <v>907</v>
      </c>
      <c r="C29" s="606">
        <f t="shared" si="0"/>
        <v>111421</v>
      </c>
      <c r="D29" s="607" t="s">
        <v>908</v>
      </c>
      <c r="E29" s="607" t="s">
        <v>909</v>
      </c>
      <c r="F29" s="607" t="s">
        <v>910</v>
      </c>
      <c r="G29" s="607" t="s">
        <v>837</v>
      </c>
      <c r="H29" s="607" t="s">
        <v>837</v>
      </c>
      <c r="I29" s="607" t="s">
        <v>838</v>
      </c>
      <c r="J29" s="608" t="str">
        <f t="shared" si="1"/>
        <v>Food</v>
      </c>
      <c r="N29" s="822">
        <v>111421</v>
      </c>
      <c r="O29" s="822" t="s">
        <v>908</v>
      </c>
      <c r="P29" s="823">
        <v>181</v>
      </c>
      <c r="Q29" s="823" t="s">
        <v>910</v>
      </c>
    </row>
    <row r="30" spans="2:17" s="608" customFormat="1" x14ac:dyDescent="0.25">
      <c r="B30" s="605" t="s">
        <v>907</v>
      </c>
      <c r="C30" s="606">
        <f t="shared" si="0"/>
        <v>111421</v>
      </c>
      <c r="D30" s="607" t="s">
        <v>908</v>
      </c>
      <c r="E30" s="607" t="s">
        <v>911</v>
      </c>
      <c r="F30" s="607" t="s">
        <v>912</v>
      </c>
      <c r="G30" s="607" t="s">
        <v>837</v>
      </c>
      <c r="H30" s="607" t="s">
        <v>837</v>
      </c>
      <c r="I30" s="607" t="s">
        <v>838</v>
      </c>
      <c r="J30" s="608" t="str">
        <f t="shared" si="1"/>
        <v>Food</v>
      </c>
      <c r="N30" s="822">
        <v>111421</v>
      </c>
      <c r="O30" s="822" t="s">
        <v>908</v>
      </c>
      <c r="P30" s="823">
        <v>811</v>
      </c>
      <c r="Q30" s="823" t="s">
        <v>912</v>
      </c>
    </row>
    <row r="31" spans="2:17" s="608" customFormat="1" x14ac:dyDescent="0.25">
      <c r="B31" s="605" t="s">
        <v>913</v>
      </c>
      <c r="C31" s="606">
        <f t="shared" si="0"/>
        <v>111422</v>
      </c>
      <c r="D31" s="607" t="s">
        <v>914</v>
      </c>
      <c r="E31" s="607" t="s">
        <v>909</v>
      </c>
      <c r="F31" s="607" t="s">
        <v>910</v>
      </c>
      <c r="G31" s="607" t="s">
        <v>837</v>
      </c>
      <c r="H31" s="607" t="s">
        <v>837</v>
      </c>
      <c r="I31" s="607" t="s">
        <v>838</v>
      </c>
      <c r="J31" s="608" t="str">
        <f t="shared" si="1"/>
        <v>Food</v>
      </c>
      <c r="N31" s="822">
        <v>111422</v>
      </c>
      <c r="O31" s="822" t="s">
        <v>914</v>
      </c>
      <c r="P31" s="823">
        <v>181</v>
      </c>
      <c r="Q31" s="823" t="s">
        <v>910</v>
      </c>
    </row>
    <row r="32" spans="2:17" s="608" customFormat="1" x14ac:dyDescent="0.25">
      <c r="B32" s="605" t="s">
        <v>915</v>
      </c>
      <c r="C32" s="606">
        <f t="shared" si="0"/>
        <v>111910</v>
      </c>
      <c r="D32" s="607" t="s">
        <v>916</v>
      </c>
      <c r="E32" s="607" t="s">
        <v>917</v>
      </c>
      <c r="F32" s="607" t="s">
        <v>918</v>
      </c>
      <c r="G32" s="607" t="s">
        <v>837</v>
      </c>
      <c r="H32" s="607" t="s">
        <v>837</v>
      </c>
      <c r="I32" s="607" t="s">
        <v>919</v>
      </c>
      <c r="J32" s="608" t="str">
        <f t="shared" si="1"/>
        <v>Tobacco</v>
      </c>
      <c r="N32" s="822">
        <v>111910</v>
      </c>
      <c r="O32" s="822" t="s">
        <v>916</v>
      </c>
      <c r="P32" s="823">
        <v>132</v>
      </c>
      <c r="Q32" s="823" t="s">
        <v>918</v>
      </c>
    </row>
    <row r="33" spans="2:17" s="608" customFormat="1" x14ac:dyDescent="0.25">
      <c r="B33" s="605" t="s">
        <v>920</v>
      </c>
      <c r="C33" s="606">
        <f t="shared" si="0"/>
        <v>111920</v>
      </c>
      <c r="D33" s="607" t="s">
        <v>921</v>
      </c>
      <c r="E33" s="607" t="s">
        <v>922</v>
      </c>
      <c r="F33" s="607" t="s">
        <v>923</v>
      </c>
      <c r="G33" s="607" t="s">
        <v>837</v>
      </c>
      <c r="H33" s="607" t="s">
        <v>837</v>
      </c>
      <c r="I33" s="607" t="s">
        <v>838</v>
      </c>
      <c r="J33" s="608" t="str">
        <f t="shared" si="1"/>
        <v>Food</v>
      </c>
      <c r="N33" s="822">
        <v>111920</v>
      </c>
      <c r="O33" s="822" t="s">
        <v>921</v>
      </c>
      <c r="P33" s="823">
        <v>131</v>
      </c>
      <c r="Q33" s="823" t="s">
        <v>923</v>
      </c>
    </row>
    <row r="34" spans="2:17" s="608" customFormat="1" x14ac:dyDescent="0.25">
      <c r="B34" s="605" t="s">
        <v>924</v>
      </c>
      <c r="C34" s="606">
        <f t="shared" si="0"/>
        <v>111930</v>
      </c>
      <c r="D34" s="607" t="s">
        <v>925</v>
      </c>
      <c r="E34" s="607" t="s">
        <v>926</v>
      </c>
      <c r="F34" s="607" t="s">
        <v>927</v>
      </c>
      <c r="G34" s="607" t="s">
        <v>837</v>
      </c>
      <c r="H34" s="607" t="s">
        <v>837</v>
      </c>
      <c r="I34" s="607" t="s">
        <v>838</v>
      </c>
      <c r="J34" s="608" t="str">
        <f t="shared" si="1"/>
        <v>Food</v>
      </c>
      <c r="N34" s="822">
        <v>111930</v>
      </c>
      <c r="O34" s="822" t="s">
        <v>925</v>
      </c>
      <c r="P34" s="823">
        <v>133</v>
      </c>
      <c r="Q34" s="823" t="s">
        <v>927</v>
      </c>
    </row>
    <row r="35" spans="2:17" s="608" customFormat="1" x14ac:dyDescent="0.25">
      <c r="B35" s="605" t="s">
        <v>928</v>
      </c>
      <c r="C35" s="606">
        <f t="shared" si="0"/>
        <v>111940</v>
      </c>
      <c r="D35" s="607" t="s">
        <v>929</v>
      </c>
      <c r="E35" s="607" t="s">
        <v>861</v>
      </c>
      <c r="F35" s="607" t="s">
        <v>862</v>
      </c>
      <c r="G35" s="607" t="s">
        <v>837</v>
      </c>
      <c r="H35" s="607" t="s">
        <v>837</v>
      </c>
      <c r="I35" s="607" t="s">
        <v>838</v>
      </c>
      <c r="J35" s="608" t="str">
        <f t="shared" si="1"/>
        <v>Food</v>
      </c>
      <c r="N35" s="822">
        <v>111940</v>
      </c>
      <c r="O35" s="822" t="s">
        <v>929</v>
      </c>
      <c r="P35" s="823">
        <v>139</v>
      </c>
      <c r="Q35" s="823" t="s">
        <v>862</v>
      </c>
    </row>
    <row r="36" spans="2:17" s="608" customFormat="1" x14ac:dyDescent="0.25">
      <c r="B36" s="605" t="s">
        <v>930</v>
      </c>
      <c r="C36" s="606">
        <f t="shared" si="0"/>
        <v>111991</v>
      </c>
      <c r="D36" s="607" t="s">
        <v>931</v>
      </c>
      <c r="E36" s="607" t="s">
        <v>926</v>
      </c>
      <c r="F36" s="607" t="s">
        <v>927</v>
      </c>
      <c r="G36" s="607" t="s">
        <v>837</v>
      </c>
      <c r="H36" s="607" t="s">
        <v>837</v>
      </c>
      <c r="I36" s="607" t="s">
        <v>838</v>
      </c>
      <c r="J36" s="608" t="str">
        <f t="shared" si="1"/>
        <v>Food</v>
      </c>
      <c r="N36" s="822">
        <v>111991</v>
      </c>
      <c r="O36" s="822" t="s">
        <v>931</v>
      </c>
      <c r="P36" s="823">
        <v>133</v>
      </c>
      <c r="Q36" s="823" t="s">
        <v>927</v>
      </c>
    </row>
    <row r="37" spans="2:17" s="608" customFormat="1" x14ac:dyDescent="0.25">
      <c r="B37" s="605" t="s">
        <v>932</v>
      </c>
      <c r="C37" s="606">
        <f t="shared" si="0"/>
        <v>111992</v>
      </c>
      <c r="D37" s="607" t="s">
        <v>933</v>
      </c>
      <c r="E37" s="607" t="s">
        <v>861</v>
      </c>
      <c r="F37" s="607" t="s">
        <v>862</v>
      </c>
      <c r="G37" s="607" t="s">
        <v>837</v>
      </c>
      <c r="H37" s="607" t="s">
        <v>837</v>
      </c>
      <c r="I37" s="607" t="s">
        <v>838</v>
      </c>
      <c r="J37" s="608" t="str">
        <f t="shared" si="1"/>
        <v>Food</v>
      </c>
      <c r="N37" s="822">
        <v>111992</v>
      </c>
      <c r="O37" s="822" t="s">
        <v>933</v>
      </c>
      <c r="P37" s="823">
        <v>139</v>
      </c>
      <c r="Q37" s="823" t="s">
        <v>862</v>
      </c>
    </row>
    <row r="38" spans="2:17" s="608" customFormat="1" x14ac:dyDescent="0.25">
      <c r="B38" s="605" t="s">
        <v>934</v>
      </c>
      <c r="C38" s="606">
        <f t="shared" si="0"/>
        <v>111998</v>
      </c>
      <c r="D38" s="607" t="s">
        <v>935</v>
      </c>
      <c r="E38" s="607" t="s">
        <v>861</v>
      </c>
      <c r="F38" s="607" t="s">
        <v>862</v>
      </c>
      <c r="G38" s="607" t="s">
        <v>837</v>
      </c>
      <c r="H38" s="607" t="s">
        <v>837</v>
      </c>
      <c r="I38" s="607" t="s">
        <v>838</v>
      </c>
      <c r="J38" s="608" t="str">
        <f t="shared" si="1"/>
        <v>Food</v>
      </c>
      <c r="N38" s="822">
        <v>111998</v>
      </c>
      <c r="O38" s="822" t="s">
        <v>935</v>
      </c>
      <c r="P38" s="823">
        <v>139</v>
      </c>
      <c r="Q38" s="823" t="s">
        <v>862</v>
      </c>
    </row>
    <row r="39" spans="2:17" s="608" customFormat="1" x14ac:dyDescent="0.25">
      <c r="B39" s="605" t="s">
        <v>934</v>
      </c>
      <c r="C39" s="606">
        <f t="shared" si="0"/>
        <v>111998</v>
      </c>
      <c r="D39" s="607" t="s">
        <v>935</v>
      </c>
      <c r="E39" s="607" t="s">
        <v>936</v>
      </c>
      <c r="F39" s="607" t="s">
        <v>937</v>
      </c>
      <c r="G39" s="607" t="s">
        <v>837</v>
      </c>
      <c r="H39" s="607" t="s">
        <v>837</v>
      </c>
      <c r="I39" s="607" t="s">
        <v>838</v>
      </c>
      <c r="J39" s="608" t="str">
        <f t="shared" si="1"/>
        <v>Food</v>
      </c>
      <c r="N39" s="822">
        <v>111998</v>
      </c>
      <c r="O39" s="822" t="s">
        <v>935</v>
      </c>
      <c r="P39" s="823">
        <v>191</v>
      </c>
      <c r="Q39" s="823" t="s">
        <v>937</v>
      </c>
    </row>
    <row r="40" spans="2:17" s="608" customFormat="1" x14ac:dyDescent="0.25">
      <c r="B40" s="605" t="s">
        <v>934</v>
      </c>
      <c r="C40" s="606">
        <f t="shared" si="0"/>
        <v>111998</v>
      </c>
      <c r="D40" s="607" t="s">
        <v>935</v>
      </c>
      <c r="E40" s="607" t="s">
        <v>938</v>
      </c>
      <c r="F40" s="607" t="s">
        <v>939</v>
      </c>
      <c r="G40" s="607" t="s">
        <v>837</v>
      </c>
      <c r="H40" s="607" t="s">
        <v>837</v>
      </c>
      <c r="I40" s="607" t="s">
        <v>838</v>
      </c>
      <c r="J40" s="608" t="str">
        <f t="shared" si="1"/>
        <v>Food</v>
      </c>
      <c r="N40" s="822">
        <v>111998</v>
      </c>
      <c r="O40" s="822" t="s">
        <v>935</v>
      </c>
      <c r="P40" s="823">
        <v>831</v>
      </c>
      <c r="Q40" s="823" t="s">
        <v>939</v>
      </c>
    </row>
    <row r="41" spans="2:17" s="608" customFormat="1" x14ac:dyDescent="0.25">
      <c r="B41" s="605" t="s">
        <v>934</v>
      </c>
      <c r="C41" s="606">
        <f t="shared" si="0"/>
        <v>111998</v>
      </c>
      <c r="D41" s="607" t="s">
        <v>935</v>
      </c>
      <c r="E41" s="607" t="s">
        <v>940</v>
      </c>
      <c r="F41" s="607" t="s">
        <v>941</v>
      </c>
      <c r="G41" s="607" t="s">
        <v>837</v>
      </c>
      <c r="H41" s="607" t="s">
        <v>837</v>
      </c>
      <c r="I41" s="607" t="s">
        <v>838</v>
      </c>
      <c r="J41" s="608" t="str">
        <f t="shared" si="1"/>
        <v>Food</v>
      </c>
      <c r="N41" s="822">
        <v>111998</v>
      </c>
      <c r="O41" s="822" t="s">
        <v>935</v>
      </c>
      <c r="P41" s="823">
        <v>919</v>
      </c>
      <c r="Q41" s="823" t="s">
        <v>941</v>
      </c>
    </row>
    <row r="42" spans="2:17" s="608" customFormat="1" x14ac:dyDescent="0.25">
      <c r="B42" s="605" t="s">
        <v>934</v>
      </c>
      <c r="C42" s="606">
        <f t="shared" si="0"/>
        <v>111998</v>
      </c>
      <c r="D42" s="607" t="s">
        <v>935</v>
      </c>
      <c r="E42" s="607" t="s">
        <v>942</v>
      </c>
      <c r="F42" s="607" t="s">
        <v>943</v>
      </c>
      <c r="G42" s="607" t="s">
        <v>837</v>
      </c>
      <c r="H42" s="607" t="s">
        <v>837</v>
      </c>
      <c r="I42" s="607" t="s">
        <v>838</v>
      </c>
      <c r="J42" s="608" t="str">
        <f t="shared" si="1"/>
        <v>Food</v>
      </c>
      <c r="N42" s="822">
        <v>111998</v>
      </c>
      <c r="O42" s="822" t="s">
        <v>935</v>
      </c>
      <c r="P42" s="823">
        <v>2099</v>
      </c>
      <c r="Q42" s="823" t="s">
        <v>943</v>
      </c>
    </row>
    <row r="43" spans="2:17" s="608" customFormat="1" x14ac:dyDescent="0.25">
      <c r="B43" s="605" t="s">
        <v>944</v>
      </c>
      <c r="C43" s="606">
        <f t="shared" si="0"/>
        <v>112111</v>
      </c>
      <c r="D43" s="607" t="s">
        <v>945</v>
      </c>
      <c r="E43" s="607" t="s">
        <v>946</v>
      </c>
      <c r="F43" s="607" t="s">
        <v>947</v>
      </c>
      <c r="G43" s="607" t="s">
        <v>837</v>
      </c>
      <c r="H43" s="607" t="s">
        <v>837</v>
      </c>
      <c r="I43" s="607" t="s">
        <v>838</v>
      </c>
      <c r="J43" s="608" t="str">
        <f t="shared" si="1"/>
        <v>Food</v>
      </c>
      <c r="N43" s="822">
        <v>112111</v>
      </c>
      <c r="O43" s="822" t="s">
        <v>945</v>
      </c>
      <c r="P43" s="823">
        <v>212</v>
      </c>
      <c r="Q43" s="823" t="s">
        <v>947</v>
      </c>
    </row>
    <row r="44" spans="2:17" s="608" customFormat="1" x14ac:dyDescent="0.25">
      <c r="B44" s="605" t="s">
        <v>944</v>
      </c>
      <c r="C44" s="606">
        <f t="shared" si="0"/>
        <v>112111</v>
      </c>
      <c r="D44" s="607" t="s">
        <v>945</v>
      </c>
      <c r="E44" s="607" t="s">
        <v>948</v>
      </c>
      <c r="F44" s="607" t="s">
        <v>949</v>
      </c>
      <c r="G44" s="607" t="s">
        <v>837</v>
      </c>
      <c r="H44" s="607" t="s">
        <v>837</v>
      </c>
      <c r="I44" s="607" t="s">
        <v>838</v>
      </c>
      <c r="J44" s="608" t="str">
        <f t="shared" si="1"/>
        <v>Food</v>
      </c>
      <c r="N44" s="822">
        <v>112111</v>
      </c>
      <c r="O44" s="822" t="s">
        <v>945</v>
      </c>
      <c r="P44" s="823">
        <v>241</v>
      </c>
      <c r="Q44" s="823" t="s">
        <v>949</v>
      </c>
    </row>
    <row r="45" spans="2:17" s="608" customFormat="1" x14ac:dyDescent="0.25">
      <c r="B45" s="605" t="s">
        <v>950</v>
      </c>
      <c r="C45" s="606">
        <f t="shared" si="0"/>
        <v>112112</v>
      </c>
      <c r="D45" s="607" t="s">
        <v>951</v>
      </c>
      <c r="E45" s="607" t="s">
        <v>952</v>
      </c>
      <c r="F45" s="607" t="s">
        <v>953</v>
      </c>
      <c r="G45" s="607" t="s">
        <v>837</v>
      </c>
      <c r="H45" s="607" t="s">
        <v>837</v>
      </c>
      <c r="I45" s="607" t="s">
        <v>838</v>
      </c>
      <c r="J45" s="608" t="str">
        <f t="shared" si="1"/>
        <v>Food</v>
      </c>
      <c r="N45" s="822">
        <v>112112</v>
      </c>
      <c r="O45" s="822" t="s">
        <v>951</v>
      </c>
      <c r="P45" s="823">
        <v>211</v>
      </c>
      <c r="Q45" s="823" t="s">
        <v>953</v>
      </c>
    </row>
    <row r="46" spans="2:17" s="608" customFormat="1" x14ac:dyDescent="0.25">
      <c r="B46" s="605" t="s">
        <v>954</v>
      </c>
      <c r="C46" s="606">
        <f t="shared" si="0"/>
        <v>112120</v>
      </c>
      <c r="D46" s="607" t="s">
        <v>955</v>
      </c>
      <c r="E46" s="607" t="s">
        <v>948</v>
      </c>
      <c r="F46" s="607" t="s">
        <v>949</v>
      </c>
      <c r="G46" s="607" t="s">
        <v>837</v>
      </c>
      <c r="H46" s="607" t="s">
        <v>837</v>
      </c>
      <c r="I46" s="607" t="s">
        <v>838</v>
      </c>
      <c r="J46" s="608" t="str">
        <f t="shared" si="1"/>
        <v>Food</v>
      </c>
      <c r="N46" s="822">
        <v>112120</v>
      </c>
      <c r="O46" s="822" t="s">
        <v>955</v>
      </c>
      <c r="P46" s="823">
        <v>241</v>
      </c>
      <c r="Q46" s="823" t="s">
        <v>949</v>
      </c>
    </row>
    <row r="47" spans="2:17" s="608" customFormat="1" x14ac:dyDescent="0.25">
      <c r="B47" s="605" t="s">
        <v>956</v>
      </c>
      <c r="C47" s="606">
        <f t="shared" si="0"/>
        <v>112130</v>
      </c>
      <c r="D47" s="607" t="s">
        <v>957</v>
      </c>
      <c r="E47" s="607" t="s">
        <v>3</v>
      </c>
      <c r="F47" s="607" t="s">
        <v>958</v>
      </c>
      <c r="G47" s="607" t="s">
        <v>837</v>
      </c>
      <c r="H47" s="607" t="s">
        <v>837</v>
      </c>
      <c r="I47" s="607" t="s">
        <v>838</v>
      </c>
      <c r="J47" s="608" t="str">
        <f t="shared" si="1"/>
        <v>Food</v>
      </c>
      <c r="N47" s="822">
        <v>112130</v>
      </c>
      <c r="O47" s="822" t="s">
        <v>957</v>
      </c>
      <c r="P47" s="823"/>
      <c r="Q47" s="823" t="s">
        <v>958</v>
      </c>
    </row>
    <row r="48" spans="2:17" s="608" customFormat="1" x14ac:dyDescent="0.25">
      <c r="B48" s="605" t="s">
        <v>959</v>
      </c>
      <c r="C48" s="606">
        <f t="shared" si="0"/>
        <v>112210</v>
      </c>
      <c r="D48" s="607" t="s">
        <v>960</v>
      </c>
      <c r="E48" s="607" t="s">
        <v>961</v>
      </c>
      <c r="F48" s="607" t="s">
        <v>962</v>
      </c>
      <c r="G48" s="607" t="s">
        <v>837</v>
      </c>
      <c r="H48" s="607" t="s">
        <v>837</v>
      </c>
      <c r="I48" s="607" t="s">
        <v>838</v>
      </c>
      <c r="J48" s="608" t="str">
        <f t="shared" si="1"/>
        <v>Food</v>
      </c>
      <c r="N48" s="822">
        <v>112210</v>
      </c>
      <c r="O48" s="822" t="s">
        <v>960</v>
      </c>
      <c r="P48" s="823">
        <v>213</v>
      </c>
      <c r="Q48" s="823" t="s">
        <v>962</v>
      </c>
    </row>
    <row r="49" spans="2:17" s="608" customFormat="1" x14ac:dyDescent="0.25">
      <c r="B49" s="605" t="s">
        <v>963</v>
      </c>
      <c r="C49" s="606">
        <f t="shared" si="0"/>
        <v>112310</v>
      </c>
      <c r="D49" s="607" t="s">
        <v>964</v>
      </c>
      <c r="E49" s="607" t="s">
        <v>965</v>
      </c>
      <c r="F49" s="607" t="s">
        <v>966</v>
      </c>
      <c r="G49" s="607" t="s">
        <v>837</v>
      </c>
      <c r="H49" s="607" t="s">
        <v>837</v>
      </c>
      <c r="I49" s="607" t="s">
        <v>838</v>
      </c>
      <c r="J49" s="608" t="str">
        <f t="shared" si="1"/>
        <v>Food</v>
      </c>
      <c r="N49" s="822">
        <v>112310</v>
      </c>
      <c r="O49" s="822" t="s">
        <v>964</v>
      </c>
      <c r="P49" s="823">
        <v>252</v>
      </c>
      <c r="Q49" s="823" t="s">
        <v>966</v>
      </c>
    </row>
    <row r="50" spans="2:17" s="608" customFormat="1" x14ac:dyDescent="0.25">
      <c r="B50" s="605" t="s">
        <v>967</v>
      </c>
      <c r="C50" s="606">
        <f t="shared" si="0"/>
        <v>112320</v>
      </c>
      <c r="D50" s="607" t="s">
        <v>968</v>
      </c>
      <c r="E50" s="607" t="s">
        <v>969</v>
      </c>
      <c r="F50" s="607" t="s">
        <v>970</v>
      </c>
      <c r="G50" s="607" t="s">
        <v>837</v>
      </c>
      <c r="H50" s="607" t="s">
        <v>837</v>
      </c>
      <c r="I50" s="607" t="s">
        <v>838</v>
      </c>
      <c r="J50" s="608" t="str">
        <f t="shared" si="1"/>
        <v>Food</v>
      </c>
      <c r="N50" s="822">
        <v>112320</v>
      </c>
      <c r="O50" s="822" t="s">
        <v>968</v>
      </c>
      <c r="P50" s="823">
        <v>251</v>
      </c>
      <c r="Q50" s="823" t="s">
        <v>970</v>
      </c>
    </row>
    <row r="51" spans="2:17" s="608" customFormat="1" x14ac:dyDescent="0.25">
      <c r="B51" s="605" t="s">
        <v>971</v>
      </c>
      <c r="C51" s="606">
        <f t="shared" si="0"/>
        <v>112330</v>
      </c>
      <c r="D51" s="607" t="s">
        <v>972</v>
      </c>
      <c r="E51" s="607" t="s">
        <v>973</v>
      </c>
      <c r="F51" s="607" t="s">
        <v>974</v>
      </c>
      <c r="G51" s="607" t="s">
        <v>837</v>
      </c>
      <c r="H51" s="607" t="s">
        <v>837</v>
      </c>
      <c r="I51" s="607" t="s">
        <v>838</v>
      </c>
      <c r="J51" s="608" t="str">
        <f t="shared" si="1"/>
        <v>Food</v>
      </c>
      <c r="N51" s="822">
        <v>112330</v>
      </c>
      <c r="O51" s="822" t="s">
        <v>972</v>
      </c>
      <c r="P51" s="823">
        <v>253</v>
      </c>
      <c r="Q51" s="823" t="s">
        <v>974</v>
      </c>
    </row>
    <row r="52" spans="2:17" s="608" customFormat="1" x14ac:dyDescent="0.25">
      <c r="B52" s="605" t="s">
        <v>975</v>
      </c>
      <c r="C52" s="606">
        <f t="shared" si="0"/>
        <v>112340</v>
      </c>
      <c r="D52" s="607" t="s">
        <v>976</v>
      </c>
      <c r="E52" s="607" t="s">
        <v>977</v>
      </c>
      <c r="F52" s="607" t="s">
        <v>976</v>
      </c>
      <c r="G52" s="607" t="s">
        <v>837</v>
      </c>
      <c r="H52" s="607" t="s">
        <v>837</v>
      </c>
      <c r="I52" s="607" t="s">
        <v>838</v>
      </c>
      <c r="J52" s="608" t="str">
        <f t="shared" si="1"/>
        <v>Food</v>
      </c>
      <c r="N52" s="822">
        <v>112340</v>
      </c>
      <c r="O52" s="822" t="s">
        <v>976</v>
      </c>
      <c r="P52" s="823">
        <v>254</v>
      </c>
      <c r="Q52" s="823" t="s">
        <v>976</v>
      </c>
    </row>
    <row r="53" spans="2:17" s="608" customFormat="1" x14ac:dyDescent="0.25">
      <c r="B53" s="605" t="s">
        <v>978</v>
      </c>
      <c r="C53" s="606">
        <f t="shared" si="0"/>
        <v>112390</v>
      </c>
      <c r="D53" s="607" t="s">
        <v>979</v>
      </c>
      <c r="E53" s="607" t="s">
        <v>980</v>
      </c>
      <c r="F53" s="607" t="s">
        <v>981</v>
      </c>
      <c r="G53" s="607" t="s">
        <v>837</v>
      </c>
      <c r="H53" s="607" t="s">
        <v>837</v>
      </c>
      <c r="I53" s="607" t="s">
        <v>838</v>
      </c>
      <c r="J53" s="608" t="str">
        <f t="shared" si="1"/>
        <v>Food</v>
      </c>
      <c r="N53" s="822">
        <v>112390</v>
      </c>
      <c r="O53" s="822" t="s">
        <v>979</v>
      </c>
      <c r="P53" s="823">
        <v>259</v>
      </c>
      <c r="Q53" s="823" t="s">
        <v>981</v>
      </c>
    </row>
    <row r="54" spans="2:17" s="608" customFormat="1" x14ac:dyDescent="0.25">
      <c r="B54" s="605" t="s">
        <v>982</v>
      </c>
      <c r="C54" s="606">
        <f t="shared" si="0"/>
        <v>112410</v>
      </c>
      <c r="D54" s="607" t="s">
        <v>983</v>
      </c>
      <c r="E54" s="607" t="s">
        <v>984</v>
      </c>
      <c r="F54" s="607" t="s">
        <v>985</v>
      </c>
      <c r="G54" s="607" t="s">
        <v>837</v>
      </c>
      <c r="H54" s="607" t="s">
        <v>837</v>
      </c>
      <c r="I54" s="607" t="s">
        <v>838</v>
      </c>
      <c r="J54" s="608" t="str">
        <f t="shared" si="1"/>
        <v>Food</v>
      </c>
      <c r="N54" s="822">
        <v>112410</v>
      </c>
      <c r="O54" s="822" t="s">
        <v>983</v>
      </c>
      <c r="P54" s="823">
        <v>214</v>
      </c>
      <c r="Q54" s="823" t="s">
        <v>985</v>
      </c>
    </row>
    <row r="55" spans="2:17" s="608" customFormat="1" x14ac:dyDescent="0.25">
      <c r="B55" s="605" t="s">
        <v>986</v>
      </c>
      <c r="C55" s="606">
        <f t="shared" si="0"/>
        <v>112420</v>
      </c>
      <c r="D55" s="607" t="s">
        <v>987</v>
      </c>
      <c r="E55" s="607" t="s">
        <v>984</v>
      </c>
      <c r="F55" s="607" t="s">
        <v>985</v>
      </c>
      <c r="G55" s="607" t="s">
        <v>837</v>
      </c>
      <c r="H55" s="607" t="s">
        <v>837</v>
      </c>
      <c r="I55" s="607" t="s">
        <v>838</v>
      </c>
      <c r="J55" s="608" t="str">
        <f t="shared" si="1"/>
        <v>Food</v>
      </c>
      <c r="N55" s="822">
        <v>112420</v>
      </c>
      <c r="O55" s="822" t="s">
        <v>987</v>
      </c>
      <c r="P55" s="823">
        <v>214</v>
      </c>
      <c r="Q55" s="823" t="s">
        <v>985</v>
      </c>
    </row>
    <row r="56" spans="2:17" s="608" customFormat="1" x14ac:dyDescent="0.25">
      <c r="B56" s="605" t="s">
        <v>988</v>
      </c>
      <c r="C56" s="606">
        <f t="shared" si="0"/>
        <v>112511</v>
      </c>
      <c r="D56" s="607" t="s">
        <v>989</v>
      </c>
      <c r="E56" s="607" t="s">
        <v>990</v>
      </c>
      <c r="F56" s="607" t="s">
        <v>991</v>
      </c>
      <c r="G56" s="607" t="s">
        <v>837</v>
      </c>
      <c r="H56" s="607" t="s">
        <v>837</v>
      </c>
      <c r="I56" s="607" t="s">
        <v>838</v>
      </c>
      <c r="J56" s="608" t="str">
        <f t="shared" si="1"/>
        <v>Food</v>
      </c>
      <c r="N56" s="822">
        <v>112511</v>
      </c>
      <c r="O56" s="822" t="s">
        <v>989</v>
      </c>
      <c r="P56" s="823">
        <v>273</v>
      </c>
      <c r="Q56" s="823" t="s">
        <v>991</v>
      </c>
    </row>
    <row r="57" spans="2:17" s="608" customFormat="1" x14ac:dyDescent="0.25">
      <c r="B57" s="605" t="s">
        <v>988</v>
      </c>
      <c r="C57" s="606">
        <f t="shared" si="0"/>
        <v>112511</v>
      </c>
      <c r="D57" s="607" t="s">
        <v>989</v>
      </c>
      <c r="E57" s="607" t="s">
        <v>992</v>
      </c>
      <c r="F57" s="607" t="s">
        <v>993</v>
      </c>
      <c r="G57" s="607" t="s">
        <v>837</v>
      </c>
      <c r="H57" s="607" t="s">
        <v>837</v>
      </c>
      <c r="I57" s="607" t="s">
        <v>838</v>
      </c>
      <c r="J57" s="608" t="str">
        <f t="shared" si="1"/>
        <v>Food</v>
      </c>
      <c r="N57" s="822">
        <v>112511</v>
      </c>
      <c r="O57" s="822" t="s">
        <v>989</v>
      </c>
      <c r="P57" s="823">
        <v>921</v>
      </c>
      <c r="Q57" s="823" t="s">
        <v>993</v>
      </c>
    </row>
    <row r="58" spans="2:17" s="608" customFormat="1" x14ac:dyDescent="0.25">
      <c r="B58" s="605" t="s">
        <v>994</v>
      </c>
      <c r="C58" s="606">
        <f t="shared" si="0"/>
        <v>112512</v>
      </c>
      <c r="D58" s="607" t="s">
        <v>995</v>
      </c>
      <c r="E58" s="607" t="s">
        <v>990</v>
      </c>
      <c r="F58" s="607" t="s">
        <v>991</v>
      </c>
      <c r="G58" s="607" t="s">
        <v>837</v>
      </c>
      <c r="H58" s="607" t="s">
        <v>837</v>
      </c>
      <c r="I58" s="607" t="s">
        <v>838</v>
      </c>
      <c r="J58" s="608" t="str">
        <f t="shared" si="1"/>
        <v>Food</v>
      </c>
      <c r="N58" s="822">
        <v>112512</v>
      </c>
      <c r="O58" s="822" t="s">
        <v>995</v>
      </c>
      <c r="P58" s="823">
        <v>273</v>
      </c>
      <c r="Q58" s="823" t="s">
        <v>991</v>
      </c>
    </row>
    <row r="59" spans="2:17" s="608" customFormat="1" x14ac:dyDescent="0.25">
      <c r="B59" s="605" t="s">
        <v>994</v>
      </c>
      <c r="C59" s="606">
        <f t="shared" si="0"/>
        <v>112512</v>
      </c>
      <c r="D59" s="607" t="s">
        <v>995</v>
      </c>
      <c r="E59" s="607" t="s">
        <v>940</v>
      </c>
      <c r="F59" s="607" t="s">
        <v>941</v>
      </c>
      <c r="G59" s="607" t="s">
        <v>837</v>
      </c>
      <c r="H59" s="607" t="s">
        <v>837</v>
      </c>
      <c r="I59" s="607" t="s">
        <v>838</v>
      </c>
      <c r="J59" s="608" t="str">
        <f t="shared" si="1"/>
        <v>Food</v>
      </c>
      <c r="N59" s="822">
        <v>112512</v>
      </c>
      <c r="O59" s="822" t="s">
        <v>995</v>
      </c>
      <c r="P59" s="823">
        <v>919</v>
      </c>
      <c r="Q59" s="823" t="s">
        <v>941</v>
      </c>
    </row>
    <row r="60" spans="2:17" s="608" customFormat="1" x14ac:dyDescent="0.25">
      <c r="B60" s="605" t="s">
        <v>994</v>
      </c>
      <c r="C60" s="606">
        <f t="shared" si="0"/>
        <v>112512</v>
      </c>
      <c r="D60" s="607" t="s">
        <v>995</v>
      </c>
      <c r="E60" s="607" t="s">
        <v>992</v>
      </c>
      <c r="F60" s="607" t="s">
        <v>993</v>
      </c>
      <c r="G60" s="607" t="s">
        <v>837</v>
      </c>
      <c r="H60" s="607" t="s">
        <v>837</v>
      </c>
      <c r="I60" s="607" t="s">
        <v>838</v>
      </c>
      <c r="J60" s="608" t="str">
        <f t="shared" si="1"/>
        <v>Food</v>
      </c>
      <c r="N60" s="822">
        <v>112512</v>
      </c>
      <c r="O60" s="822" t="s">
        <v>995</v>
      </c>
      <c r="P60" s="823">
        <v>921</v>
      </c>
      <c r="Q60" s="823" t="s">
        <v>993</v>
      </c>
    </row>
    <row r="61" spans="2:17" s="608" customFormat="1" x14ac:dyDescent="0.25">
      <c r="B61" s="605" t="s">
        <v>996</v>
      </c>
      <c r="C61" s="606">
        <f t="shared" si="0"/>
        <v>112519</v>
      </c>
      <c r="D61" s="607" t="s">
        <v>997</v>
      </c>
      <c r="E61" s="607" t="s">
        <v>861</v>
      </c>
      <c r="F61" s="607" t="s">
        <v>862</v>
      </c>
      <c r="G61" s="607" t="s">
        <v>837</v>
      </c>
      <c r="H61" s="607" t="s">
        <v>837</v>
      </c>
      <c r="I61" s="607" t="s">
        <v>838</v>
      </c>
      <c r="J61" s="608" t="str">
        <f t="shared" si="1"/>
        <v>Food</v>
      </c>
      <c r="N61" s="822">
        <v>112519</v>
      </c>
      <c r="O61" s="822" t="s">
        <v>997</v>
      </c>
      <c r="P61" s="823">
        <v>139</v>
      </c>
      <c r="Q61" s="823" t="s">
        <v>862</v>
      </c>
    </row>
    <row r="62" spans="2:17" s="608" customFormat="1" x14ac:dyDescent="0.25">
      <c r="B62" s="605" t="s">
        <v>996</v>
      </c>
      <c r="C62" s="606">
        <f t="shared" si="0"/>
        <v>112519</v>
      </c>
      <c r="D62" s="607" t="s">
        <v>997</v>
      </c>
      <c r="E62" s="607" t="s">
        <v>936</v>
      </c>
      <c r="F62" s="607" t="s">
        <v>937</v>
      </c>
      <c r="G62" s="607" t="s">
        <v>837</v>
      </c>
      <c r="H62" s="607" t="s">
        <v>837</v>
      </c>
      <c r="I62" s="607" t="s">
        <v>838</v>
      </c>
      <c r="J62" s="608" t="str">
        <f t="shared" si="1"/>
        <v>Food</v>
      </c>
      <c r="N62" s="822">
        <v>112519</v>
      </c>
      <c r="O62" s="822" t="s">
        <v>997</v>
      </c>
      <c r="P62" s="823">
        <v>191</v>
      </c>
      <c r="Q62" s="823" t="s">
        <v>937</v>
      </c>
    </row>
    <row r="63" spans="2:17" s="608" customFormat="1" x14ac:dyDescent="0.25">
      <c r="B63" s="605" t="s">
        <v>996</v>
      </c>
      <c r="C63" s="606">
        <f t="shared" si="0"/>
        <v>112519</v>
      </c>
      <c r="D63" s="607" t="s">
        <v>997</v>
      </c>
      <c r="E63" s="607" t="s">
        <v>990</v>
      </c>
      <c r="F63" s="607" t="s">
        <v>991</v>
      </c>
      <c r="G63" s="607" t="s">
        <v>837</v>
      </c>
      <c r="H63" s="607" t="s">
        <v>837</v>
      </c>
      <c r="I63" s="607" t="s">
        <v>838</v>
      </c>
      <c r="J63" s="608" t="str">
        <f t="shared" si="1"/>
        <v>Food</v>
      </c>
      <c r="N63" s="822">
        <v>112519</v>
      </c>
      <c r="O63" s="822" t="s">
        <v>997</v>
      </c>
      <c r="P63" s="823">
        <v>273</v>
      </c>
      <c r="Q63" s="823" t="s">
        <v>991</v>
      </c>
    </row>
    <row r="64" spans="2:17" s="608" customFormat="1" x14ac:dyDescent="0.25">
      <c r="B64" s="605" t="s">
        <v>996</v>
      </c>
      <c r="C64" s="606">
        <f t="shared" si="0"/>
        <v>112519</v>
      </c>
      <c r="D64" s="607" t="s">
        <v>997</v>
      </c>
      <c r="E64" s="607" t="s">
        <v>998</v>
      </c>
      <c r="F64" s="607" t="s">
        <v>999</v>
      </c>
      <c r="G64" s="607" t="s">
        <v>837</v>
      </c>
      <c r="H64" s="607" t="s">
        <v>837</v>
      </c>
      <c r="I64" s="607" t="s">
        <v>838</v>
      </c>
      <c r="J64" s="608" t="str">
        <f t="shared" si="1"/>
        <v>Food</v>
      </c>
      <c r="N64" s="822">
        <v>112519</v>
      </c>
      <c r="O64" s="822" t="s">
        <v>997</v>
      </c>
      <c r="P64" s="823">
        <v>279</v>
      </c>
      <c r="Q64" s="823" t="s">
        <v>999</v>
      </c>
    </row>
    <row r="65" spans="2:17" s="608" customFormat="1" x14ac:dyDescent="0.25">
      <c r="B65" s="605" t="s">
        <v>996</v>
      </c>
      <c r="C65" s="606">
        <f t="shared" si="0"/>
        <v>112519</v>
      </c>
      <c r="D65" s="607" t="s">
        <v>997</v>
      </c>
      <c r="E65" s="607" t="s">
        <v>938</v>
      </c>
      <c r="F65" s="607" t="s">
        <v>939</v>
      </c>
      <c r="G65" s="607" t="s">
        <v>837</v>
      </c>
      <c r="H65" s="607" t="s">
        <v>837</v>
      </c>
      <c r="I65" s="607" t="s">
        <v>838</v>
      </c>
      <c r="J65" s="608" t="str">
        <f t="shared" si="1"/>
        <v>Food</v>
      </c>
      <c r="N65" s="822">
        <v>112519</v>
      </c>
      <c r="O65" s="822" t="s">
        <v>997</v>
      </c>
      <c r="P65" s="823">
        <v>831</v>
      </c>
      <c r="Q65" s="823" t="s">
        <v>939</v>
      </c>
    </row>
    <row r="66" spans="2:17" s="608" customFormat="1" x14ac:dyDescent="0.25">
      <c r="B66" s="605" t="s">
        <v>996</v>
      </c>
      <c r="C66" s="606">
        <f t="shared" ref="C66:C129" si="2">B66+0</f>
        <v>112519</v>
      </c>
      <c r="D66" s="607" t="s">
        <v>997</v>
      </c>
      <c r="E66" s="607" t="s">
        <v>940</v>
      </c>
      <c r="F66" s="607" t="s">
        <v>941</v>
      </c>
      <c r="G66" s="607" t="s">
        <v>837</v>
      </c>
      <c r="H66" s="607" t="s">
        <v>837</v>
      </c>
      <c r="I66" s="607" t="s">
        <v>838</v>
      </c>
      <c r="J66" s="608" t="str">
        <f t="shared" ref="J66:J129" si="3">PROPER(I66)</f>
        <v>Food</v>
      </c>
      <c r="N66" s="822">
        <v>112519</v>
      </c>
      <c r="O66" s="822" t="s">
        <v>997</v>
      </c>
      <c r="P66" s="823">
        <v>919</v>
      </c>
      <c r="Q66" s="823" t="s">
        <v>941</v>
      </c>
    </row>
    <row r="67" spans="2:17" s="608" customFormat="1" x14ac:dyDescent="0.25">
      <c r="B67" s="605" t="s">
        <v>996</v>
      </c>
      <c r="C67" s="606">
        <f t="shared" si="2"/>
        <v>112519</v>
      </c>
      <c r="D67" s="607" t="s">
        <v>997</v>
      </c>
      <c r="E67" s="607" t="s">
        <v>942</v>
      </c>
      <c r="F67" s="607" t="s">
        <v>943</v>
      </c>
      <c r="G67" s="607" t="s">
        <v>837</v>
      </c>
      <c r="H67" s="607" t="s">
        <v>837</v>
      </c>
      <c r="I67" s="607" t="s">
        <v>838</v>
      </c>
      <c r="J67" s="608" t="str">
        <f t="shared" si="3"/>
        <v>Food</v>
      </c>
      <c r="N67" s="822">
        <v>112519</v>
      </c>
      <c r="O67" s="822" t="s">
        <v>997</v>
      </c>
      <c r="P67" s="823">
        <v>2099</v>
      </c>
      <c r="Q67" s="823" t="s">
        <v>943</v>
      </c>
    </row>
    <row r="68" spans="2:17" s="608" customFormat="1" x14ac:dyDescent="0.25">
      <c r="B68" s="605" t="s">
        <v>1000</v>
      </c>
      <c r="C68" s="606">
        <f t="shared" si="2"/>
        <v>112910</v>
      </c>
      <c r="D68" s="607" t="s">
        <v>1001</v>
      </c>
      <c r="E68" s="607" t="s">
        <v>998</v>
      </c>
      <c r="F68" s="607" t="s">
        <v>999</v>
      </c>
      <c r="G68" s="607" t="s">
        <v>837</v>
      </c>
      <c r="H68" s="607" t="s">
        <v>837</v>
      </c>
      <c r="I68" s="607" t="s">
        <v>838</v>
      </c>
      <c r="J68" s="608" t="str">
        <f t="shared" si="3"/>
        <v>Food</v>
      </c>
      <c r="N68" s="822">
        <v>112910</v>
      </c>
      <c r="O68" s="822" t="s">
        <v>1001</v>
      </c>
      <c r="P68" s="823">
        <v>279</v>
      </c>
      <c r="Q68" s="823" t="s">
        <v>999</v>
      </c>
    </row>
    <row r="69" spans="2:17" s="608" customFormat="1" x14ac:dyDescent="0.25">
      <c r="B69" s="605" t="s">
        <v>1002</v>
      </c>
      <c r="C69" s="606">
        <f t="shared" si="2"/>
        <v>112920</v>
      </c>
      <c r="D69" s="607" t="s">
        <v>1003</v>
      </c>
      <c r="E69" s="607" t="s">
        <v>1004</v>
      </c>
      <c r="F69" s="607" t="s">
        <v>1005</v>
      </c>
      <c r="G69" s="607" t="s">
        <v>837</v>
      </c>
      <c r="H69" s="607" t="s">
        <v>837</v>
      </c>
      <c r="I69" s="607" t="s">
        <v>1006</v>
      </c>
      <c r="J69" s="608" t="str">
        <f t="shared" si="3"/>
        <v>Agriculture</v>
      </c>
      <c r="N69" s="822">
        <v>112920</v>
      </c>
      <c r="O69" s="822" t="s">
        <v>1003</v>
      </c>
      <c r="P69" s="823">
        <v>272</v>
      </c>
      <c r="Q69" s="823" t="s">
        <v>1005</v>
      </c>
    </row>
    <row r="70" spans="2:17" s="608" customFormat="1" x14ac:dyDescent="0.25">
      <c r="B70" s="605" t="s">
        <v>1007</v>
      </c>
      <c r="C70" s="606">
        <f t="shared" si="2"/>
        <v>112930</v>
      </c>
      <c r="D70" s="607" t="s">
        <v>1008</v>
      </c>
      <c r="E70" s="607" t="s">
        <v>1009</v>
      </c>
      <c r="F70" s="607" t="s">
        <v>1010</v>
      </c>
      <c r="G70" s="607" t="s">
        <v>837</v>
      </c>
      <c r="H70" s="607" t="s">
        <v>837</v>
      </c>
      <c r="I70" s="607" t="s">
        <v>1006</v>
      </c>
      <c r="J70" s="608" t="str">
        <f t="shared" si="3"/>
        <v>Agriculture</v>
      </c>
      <c r="N70" s="822">
        <v>112930</v>
      </c>
      <c r="O70" s="822" t="s">
        <v>1008</v>
      </c>
      <c r="P70" s="823">
        <v>271</v>
      </c>
      <c r="Q70" s="823" t="s">
        <v>1010</v>
      </c>
    </row>
    <row r="71" spans="2:17" s="608" customFormat="1" x14ac:dyDescent="0.25">
      <c r="B71" s="605" t="s">
        <v>1011</v>
      </c>
      <c r="C71" s="606">
        <f t="shared" si="2"/>
        <v>112990</v>
      </c>
      <c r="D71" s="607" t="s">
        <v>1012</v>
      </c>
      <c r="E71" s="607" t="s">
        <v>1013</v>
      </c>
      <c r="F71" s="607" t="s">
        <v>1014</v>
      </c>
      <c r="G71" s="607" t="s">
        <v>837</v>
      </c>
      <c r="H71" s="607" t="s">
        <v>837</v>
      </c>
      <c r="I71" s="607" t="s">
        <v>1006</v>
      </c>
      <c r="J71" s="608" t="str">
        <f t="shared" si="3"/>
        <v>Agriculture</v>
      </c>
      <c r="N71" s="822">
        <v>112990</v>
      </c>
      <c r="O71" s="822" t="s">
        <v>1012</v>
      </c>
      <c r="P71" s="823">
        <v>219</v>
      </c>
      <c r="Q71" s="823" t="s">
        <v>1014</v>
      </c>
    </row>
    <row r="72" spans="2:17" s="608" customFormat="1" x14ac:dyDescent="0.25">
      <c r="B72" s="605" t="s">
        <v>1011</v>
      </c>
      <c r="C72" s="606">
        <f t="shared" si="2"/>
        <v>112990</v>
      </c>
      <c r="D72" s="607" t="s">
        <v>1012</v>
      </c>
      <c r="E72" s="607" t="s">
        <v>998</v>
      </c>
      <c r="F72" s="607" t="s">
        <v>999</v>
      </c>
      <c r="G72" s="607" t="s">
        <v>837</v>
      </c>
      <c r="H72" s="607" t="s">
        <v>837</v>
      </c>
      <c r="I72" s="607" t="s">
        <v>1006</v>
      </c>
      <c r="J72" s="608" t="str">
        <f t="shared" si="3"/>
        <v>Agriculture</v>
      </c>
      <c r="N72" s="822">
        <v>112990</v>
      </c>
      <c r="O72" s="822" t="s">
        <v>1012</v>
      </c>
      <c r="P72" s="823">
        <v>279</v>
      </c>
      <c r="Q72" s="823" t="s">
        <v>999</v>
      </c>
    </row>
    <row r="73" spans="2:17" s="608" customFormat="1" x14ac:dyDescent="0.25">
      <c r="B73" s="605" t="s">
        <v>1011</v>
      </c>
      <c r="C73" s="606">
        <f t="shared" si="2"/>
        <v>112990</v>
      </c>
      <c r="D73" s="607" t="s">
        <v>1012</v>
      </c>
      <c r="E73" s="607" t="s">
        <v>1015</v>
      </c>
      <c r="F73" s="607" t="s">
        <v>1016</v>
      </c>
      <c r="G73" s="607" t="s">
        <v>837</v>
      </c>
      <c r="H73" s="607" t="s">
        <v>837</v>
      </c>
      <c r="I73" s="607" t="s">
        <v>1006</v>
      </c>
      <c r="J73" s="608" t="str">
        <f t="shared" si="3"/>
        <v>Agriculture</v>
      </c>
      <c r="N73" s="822">
        <v>112990</v>
      </c>
      <c r="O73" s="822" t="s">
        <v>1012</v>
      </c>
      <c r="P73" s="823">
        <v>291</v>
      </c>
      <c r="Q73" s="823" t="s">
        <v>1016</v>
      </c>
    </row>
    <row r="74" spans="2:17" s="608" customFormat="1" x14ac:dyDescent="0.25">
      <c r="B74" s="605" t="s">
        <v>1017</v>
      </c>
      <c r="C74" s="606">
        <f t="shared" si="2"/>
        <v>113110</v>
      </c>
      <c r="D74" s="607" t="s">
        <v>1018</v>
      </c>
      <c r="E74" s="607" t="s">
        <v>911</v>
      </c>
      <c r="F74" s="607" t="s">
        <v>912</v>
      </c>
      <c r="G74" s="607" t="s">
        <v>1019</v>
      </c>
      <c r="H74" s="607" t="s">
        <v>1019</v>
      </c>
      <c r="I74" s="607" t="s">
        <v>1020</v>
      </c>
      <c r="J74" s="608" t="str">
        <f t="shared" si="3"/>
        <v>Paper And Forest Products</v>
      </c>
      <c r="N74" s="822">
        <v>113110</v>
      </c>
      <c r="O74" s="822" t="s">
        <v>1018</v>
      </c>
      <c r="P74" s="823">
        <v>811</v>
      </c>
      <c r="Q74" s="823" t="s">
        <v>912</v>
      </c>
    </row>
    <row r="75" spans="2:17" s="608" customFormat="1" x14ac:dyDescent="0.25">
      <c r="B75" s="605" t="s">
        <v>1021</v>
      </c>
      <c r="C75" s="606">
        <f t="shared" si="2"/>
        <v>113210</v>
      </c>
      <c r="D75" s="607" t="s">
        <v>1022</v>
      </c>
      <c r="E75" s="607" t="s">
        <v>938</v>
      </c>
      <c r="F75" s="607" t="s">
        <v>939</v>
      </c>
      <c r="G75" s="607" t="s">
        <v>1019</v>
      </c>
      <c r="H75" s="607" t="s">
        <v>1019</v>
      </c>
      <c r="I75" s="607" t="s">
        <v>1020</v>
      </c>
      <c r="J75" s="608" t="str">
        <f t="shared" si="3"/>
        <v>Paper And Forest Products</v>
      </c>
      <c r="N75" s="822">
        <v>113210</v>
      </c>
      <c r="O75" s="822" t="s">
        <v>1022</v>
      </c>
      <c r="P75" s="823">
        <v>831</v>
      </c>
      <c r="Q75" s="823" t="s">
        <v>939</v>
      </c>
    </row>
    <row r="76" spans="2:17" s="608" customFormat="1" x14ac:dyDescent="0.25">
      <c r="B76" s="605" t="s">
        <v>1023</v>
      </c>
      <c r="C76" s="606">
        <f t="shared" si="2"/>
        <v>113310</v>
      </c>
      <c r="D76" s="607" t="s">
        <v>1024</v>
      </c>
      <c r="E76" s="607" t="s">
        <v>1025</v>
      </c>
      <c r="F76" s="607" t="s">
        <v>1024</v>
      </c>
      <c r="G76" s="607" t="s">
        <v>1019</v>
      </c>
      <c r="H76" s="607" t="s">
        <v>1019</v>
      </c>
      <c r="I76" s="607" t="s">
        <v>1020</v>
      </c>
      <c r="J76" s="608" t="str">
        <f t="shared" si="3"/>
        <v>Paper And Forest Products</v>
      </c>
      <c r="N76" s="822">
        <v>113310</v>
      </c>
      <c r="O76" s="822" t="s">
        <v>1024</v>
      </c>
      <c r="P76" s="823">
        <v>2411</v>
      </c>
      <c r="Q76" s="823" t="s">
        <v>1024</v>
      </c>
    </row>
    <row r="77" spans="2:17" s="608" customFormat="1" x14ac:dyDescent="0.25">
      <c r="B77" s="605" t="s">
        <v>1026</v>
      </c>
      <c r="C77" s="606">
        <f t="shared" si="2"/>
        <v>114111</v>
      </c>
      <c r="D77" s="607" t="s">
        <v>1027</v>
      </c>
      <c r="E77" s="607" t="s">
        <v>1028</v>
      </c>
      <c r="F77" s="607" t="s">
        <v>1029</v>
      </c>
      <c r="G77" s="607" t="s">
        <v>837</v>
      </c>
      <c r="H77" s="607" t="s">
        <v>837</v>
      </c>
      <c r="I77" s="607" t="s">
        <v>1006</v>
      </c>
      <c r="J77" s="608" t="str">
        <f t="shared" si="3"/>
        <v>Agriculture</v>
      </c>
      <c r="N77" s="822">
        <v>114111</v>
      </c>
      <c r="O77" s="822" t="s">
        <v>1027</v>
      </c>
      <c r="P77" s="823">
        <v>912</v>
      </c>
      <c r="Q77" s="823" t="s">
        <v>1029</v>
      </c>
    </row>
    <row r="78" spans="2:17" s="608" customFormat="1" x14ac:dyDescent="0.25">
      <c r="B78" s="605" t="s">
        <v>1030</v>
      </c>
      <c r="C78" s="606">
        <f t="shared" si="2"/>
        <v>114112</v>
      </c>
      <c r="D78" s="607" t="s">
        <v>1031</v>
      </c>
      <c r="E78" s="607" t="s">
        <v>1032</v>
      </c>
      <c r="F78" s="607" t="s">
        <v>1033</v>
      </c>
      <c r="G78" s="607" t="s">
        <v>837</v>
      </c>
      <c r="H78" s="607" t="s">
        <v>837</v>
      </c>
      <c r="I78" s="607" t="s">
        <v>1006</v>
      </c>
      <c r="J78" s="608" t="str">
        <f t="shared" si="3"/>
        <v>Agriculture</v>
      </c>
      <c r="N78" s="822">
        <v>114112</v>
      </c>
      <c r="O78" s="822" t="s">
        <v>1031</v>
      </c>
      <c r="P78" s="823">
        <v>913</v>
      </c>
      <c r="Q78" s="823" t="s">
        <v>1033</v>
      </c>
    </row>
    <row r="79" spans="2:17" s="608" customFormat="1" x14ac:dyDescent="0.25">
      <c r="B79" s="605" t="s">
        <v>1030</v>
      </c>
      <c r="C79" s="606">
        <f t="shared" si="2"/>
        <v>114112</v>
      </c>
      <c r="D79" s="607" t="s">
        <v>1031</v>
      </c>
      <c r="E79" s="607" t="s">
        <v>940</v>
      </c>
      <c r="F79" s="607" t="s">
        <v>941</v>
      </c>
      <c r="G79" s="607" t="s">
        <v>837</v>
      </c>
      <c r="H79" s="607" t="s">
        <v>837</v>
      </c>
      <c r="I79" s="607" t="s">
        <v>1006</v>
      </c>
      <c r="J79" s="608" t="str">
        <f t="shared" si="3"/>
        <v>Agriculture</v>
      </c>
      <c r="N79" s="822">
        <v>114112</v>
      </c>
      <c r="O79" s="822" t="s">
        <v>1031</v>
      </c>
      <c r="P79" s="823">
        <v>919</v>
      </c>
      <c r="Q79" s="823" t="s">
        <v>941</v>
      </c>
    </row>
    <row r="80" spans="2:17" s="608" customFormat="1" x14ac:dyDescent="0.25">
      <c r="B80" s="605" t="s">
        <v>1034</v>
      </c>
      <c r="C80" s="606">
        <f t="shared" si="2"/>
        <v>114119</v>
      </c>
      <c r="D80" s="607" t="s">
        <v>1035</v>
      </c>
      <c r="E80" s="607" t="s">
        <v>940</v>
      </c>
      <c r="F80" s="607" t="s">
        <v>941</v>
      </c>
      <c r="G80" s="607" t="s">
        <v>837</v>
      </c>
      <c r="H80" s="607" t="s">
        <v>837</v>
      </c>
      <c r="I80" s="607" t="s">
        <v>1006</v>
      </c>
      <c r="J80" s="608" t="str">
        <f t="shared" si="3"/>
        <v>Agriculture</v>
      </c>
      <c r="N80" s="822">
        <v>114119</v>
      </c>
      <c r="O80" s="822" t="s">
        <v>1035</v>
      </c>
      <c r="P80" s="823">
        <v>919</v>
      </c>
      <c r="Q80" s="823" t="s">
        <v>941</v>
      </c>
    </row>
    <row r="81" spans="2:17" s="608" customFormat="1" x14ac:dyDescent="0.25">
      <c r="B81" s="605" t="s">
        <v>1036</v>
      </c>
      <c r="C81" s="606">
        <f t="shared" si="2"/>
        <v>114210</v>
      </c>
      <c r="D81" s="607" t="s">
        <v>1037</v>
      </c>
      <c r="E81" s="607" t="s">
        <v>1038</v>
      </c>
      <c r="F81" s="607" t="s">
        <v>1039</v>
      </c>
      <c r="G81" s="607" t="s">
        <v>837</v>
      </c>
      <c r="H81" s="607" t="s">
        <v>837</v>
      </c>
      <c r="I81" s="607" t="s">
        <v>1006</v>
      </c>
      <c r="J81" s="608" t="str">
        <f t="shared" si="3"/>
        <v>Agriculture</v>
      </c>
      <c r="N81" s="822">
        <v>114210</v>
      </c>
      <c r="O81" s="822" t="s">
        <v>1037</v>
      </c>
      <c r="P81" s="823">
        <v>971</v>
      </c>
      <c r="Q81" s="823" t="s">
        <v>1039</v>
      </c>
    </row>
    <row r="82" spans="2:17" s="608" customFormat="1" x14ac:dyDescent="0.25">
      <c r="B82" s="605" t="s">
        <v>1040</v>
      </c>
      <c r="C82" s="606">
        <f t="shared" si="2"/>
        <v>115111</v>
      </c>
      <c r="D82" s="607" t="s">
        <v>1041</v>
      </c>
      <c r="E82" s="607" t="s">
        <v>1042</v>
      </c>
      <c r="F82" s="607" t="s">
        <v>1041</v>
      </c>
      <c r="G82" s="607" t="s">
        <v>837</v>
      </c>
      <c r="H82" s="607" t="s">
        <v>837</v>
      </c>
      <c r="I82" s="607" t="s">
        <v>1006</v>
      </c>
      <c r="J82" s="608" t="str">
        <f t="shared" si="3"/>
        <v>Agriculture</v>
      </c>
      <c r="N82" s="822">
        <v>115111</v>
      </c>
      <c r="O82" s="822" t="s">
        <v>1041</v>
      </c>
      <c r="P82" s="823">
        <v>724</v>
      </c>
      <c r="Q82" s="823" t="s">
        <v>1041</v>
      </c>
    </row>
    <row r="83" spans="2:17" s="608" customFormat="1" x14ac:dyDescent="0.25">
      <c r="B83" s="605" t="s">
        <v>1043</v>
      </c>
      <c r="C83" s="606">
        <f t="shared" si="2"/>
        <v>115112</v>
      </c>
      <c r="D83" s="607" t="s">
        <v>1044</v>
      </c>
      <c r="E83" s="607" t="s">
        <v>1045</v>
      </c>
      <c r="F83" s="607" t="s">
        <v>1046</v>
      </c>
      <c r="G83" s="607" t="s">
        <v>837</v>
      </c>
      <c r="H83" s="607" t="s">
        <v>837</v>
      </c>
      <c r="I83" s="607" t="s">
        <v>1006</v>
      </c>
      <c r="J83" s="608" t="str">
        <f t="shared" si="3"/>
        <v>Agriculture</v>
      </c>
      <c r="N83" s="822">
        <v>115112</v>
      </c>
      <c r="O83" s="822" t="s">
        <v>1044</v>
      </c>
      <c r="P83" s="823">
        <v>711</v>
      </c>
      <c r="Q83" s="823" t="s">
        <v>1046</v>
      </c>
    </row>
    <row r="84" spans="2:17" s="608" customFormat="1" x14ac:dyDescent="0.25">
      <c r="B84" s="605" t="s">
        <v>1043</v>
      </c>
      <c r="C84" s="606">
        <f t="shared" si="2"/>
        <v>115112</v>
      </c>
      <c r="D84" s="607" t="s">
        <v>1044</v>
      </c>
      <c r="E84" s="607" t="s">
        <v>1047</v>
      </c>
      <c r="F84" s="607" t="s">
        <v>1048</v>
      </c>
      <c r="G84" s="607" t="s">
        <v>837</v>
      </c>
      <c r="H84" s="607" t="s">
        <v>837</v>
      </c>
      <c r="I84" s="607" t="s">
        <v>1006</v>
      </c>
      <c r="J84" s="608" t="str">
        <f t="shared" si="3"/>
        <v>Agriculture</v>
      </c>
      <c r="N84" s="822">
        <v>115112</v>
      </c>
      <c r="O84" s="822" t="s">
        <v>1044</v>
      </c>
      <c r="P84" s="823">
        <v>721</v>
      </c>
      <c r="Q84" s="823" t="s">
        <v>1048</v>
      </c>
    </row>
    <row r="85" spans="2:17" s="608" customFormat="1" x14ac:dyDescent="0.25">
      <c r="B85" s="605" t="s">
        <v>1049</v>
      </c>
      <c r="C85" s="606">
        <f t="shared" si="2"/>
        <v>115113</v>
      </c>
      <c r="D85" s="607" t="s">
        <v>1050</v>
      </c>
      <c r="E85" s="607" t="s">
        <v>1051</v>
      </c>
      <c r="F85" s="607" t="s">
        <v>1052</v>
      </c>
      <c r="G85" s="607" t="s">
        <v>837</v>
      </c>
      <c r="H85" s="607" t="s">
        <v>837</v>
      </c>
      <c r="I85" s="607" t="s">
        <v>1006</v>
      </c>
      <c r="J85" s="608" t="str">
        <f t="shared" si="3"/>
        <v>Agriculture</v>
      </c>
      <c r="N85" s="822">
        <v>115113</v>
      </c>
      <c r="O85" s="822" t="s">
        <v>1050</v>
      </c>
      <c r="P85" s="823">
        <v>722</v>
      </c>
      <c r="Q85" s="823" t="s">
        <v>1052</v>
      </c>
    </row>
    <row r="86" spans="2:17" s="608" customFormat="1" x14ac:dyDescent="0.25">
      <c r="B86" s="605" t="s">
        <v>1053</v>
      </c>
      <c r="C86" s="606">
        <f t="shared" si="2"/>
        <v>115114</v>
      </c>
      <c r="D86" s="607" t="s">
        <v>1054</v>
      </c>
      <c r="E86" s="607" t="s">
        <v>1055</v>
      </c>
      <c r="F86" s="607" t="s">
        <v>1056</v>
      </c>
      <c r="G86" s="607" t="s">
        <v>837</v>
      </c>
      <c r="H86" s="607" t="s">
        <v>837</v>
      </c>
      <c r="I86" s="607" t="s">
        <v>1006</v>
      </c>
      <c r="J86" s="608" t="str">
        <f t="shared" si="3"/>
        <v>Agriculture</v>
      </c>
      <c r="N86" s="822">
        <v>115114</v>
      </c>
      <c r="O86" s="822" t="s">
        <v>1054</v>
      </c>
      <c r="P86" s="823">
        <v>723</v>
      </c>
      <c r="Q86" s="823" t="s">
        <v>1056</v>
      </c>
    </row>
    <row r="87" spans="2:17" s="608" customFormat="1" x14ac:dyDescent="0.25">
      <c r="B87" s="605" t="s">
        <v>1057</v>
      </c>
      <c r="C87" s="606">
        <f t="shared" si="2"/>
        <v>115115</v>
      </c>
      <c r="D87" s="607" t="s">
        <v>1058</v>
      </c>
      <c r="E87" s="607" t="s">
        <v>1059</v>
      </c>
      <c r="F87" s="607" t="s">
        <v>1060</v>
      </c>
      <c r="G87" s="607" t="s">
        <v>837</v>
      </c>
      <c r="H87" s="607" t="s">
        <v>837</v>
      </c>
      <c r="I87" s="607" t="s">
        <v>1006</v>
      </c>
      <c r="J87" s="608" t="str">
        <f t="shared" si="3"/>
        <v>Agriculture</v>
      </c>
      <c r="N87" s="822">
        <v>115115</v>
      </c>
      <c r="O87" s="822" t="s">
        <v>1058</v>
      </c>
      <c r="P87" s="823">
        <v>761</v>
      </c>
      <c r="Q87" s="823" t="s">
        <v>1060</v>
      </c>
    </row>
    <row r="88" spans="2:17" s="608" customFormat="1" x14ac:dyDescent="0.25">
      <c r="B88" s="605" t="s">
        <v>1061</v>
      </c>
      <c r="C88" s="606">
        <f t="shared" si="2"/>
        <v>115116</v>
      </c>
      <c r="D88" s="607" t="s">
        <v>1062</v>
      </c>
      <c r="E88" s="607" t="s">
        <v>1063</v>
      </c>
      <c r="F88" s="607" t="s">
        <v>1062</v>
      </c>
      <c r="G88" s="607" t="s">
        <v>837</v>
      </c>
      <c r="H88" s="607" t="s">
        <v>837</v>
      </c>
      <c r="I88" s="607" t="s">
        <v>1006</v>
      </c>
      <c r="J88" s="608" t="str">
        <f t="shared" si="3"/>
        <v>Agriculture</v>
      </c>
      <c r="N88" s="822">
        <v>115116</v>
      </c>
      <c r="O88" s="822" t="s">
        <v>1062</v>
      </c>
      <c r="P88" s="823">
        <v>762</v>
      </c>
      <c r="Q88" s="823" t="s">
        <v>1062</v>
      </c>
    </row>
    <row r="89" spans="2:17" s="608" customFormat="1" x14ac:dyDescent="0.25">
      <c r="B89" s="605" t="s">
        <v>1064</v>
      </c>
      <c r="C89" s="606">
        <f t="shared" si="2"/>
        <v>115210</v>
      </c>
      <c r="D89" s="607" t="s">
        <v>1065</v>
      </c>
      <c r="E89" s="607" t="s">
        <v>1066</v>
      </c>
      <c r="F89" s="607" t="s">
        <v>1067</v>
      </c>
      <c r="G89" s="607" t="s">
        <v>837</v>
      </c>
      <c r="H89" s="607" t="s">
        <v>837</v>
      </c>
      <c r="I89" s="607" t="s">
        <v>1006</v>
      </c>
      <c r="J89" s="608" t="str">
        <f t="shared" si="3"/>
        <v>Agriculture</v>
      </c>
      <c r="N89" s="822">
        <v>115210</v>
      </c>
      <c r="O89" s="822" t="s">
        <v>1065</v>
      </c>
      <c r="P89" s="823">
        <v>751</v>
      </c>
      <c r="Q89" s="823" t="s">
        <v>1067</v>
      </c>
    </row>
    <row r="90" spans="2:17" s="608" customFormat="1" x14ac:dyDescent="0.25">
      <c r="B90" s="605" t="s">
        <v>1064</v>
      </c>
      <c r="C90" s="606">
        <f t="shared" si="2"/>
        <v>115210</v>
      </c>
      <c r="D90" s="607" t="s">
        <v>1065</v>
      </c>
      <c r="E90" s="607" t="s">
        <v>1068</v>
      </c>
      <c r="F90" s="607" t="s">
        <v>1069</v>
      </c>
      <c r="G90" s="607" t="s">
        <v>837</v>
      </c>
      <c r="H90" s="607" t="s">
        <v>837</v>
      </c>
      <c r="I90" s="607" t="s">
        <v>1006</v>
      </c>
      <c r="J90" s="608" t="str">
        <f t="shared" si="3"/>
        <v>Agriculture</v>
      </c>
      <c r="N90" s="822">
        <v>115210</v>
      </c>
      <c r="O90" s="822" t="s">
        <v>1065</v>
      </c>
      <c r="P90" s="823">
        <v>752</v>
      </c>
      <c r="Q90" s="823" t="s">
        <v>1069</v>
      </c>
    </row>
    <row r="91" spans="2:17" s="608" customFormat="1" x14ac:dyDescent="0.25">
      <c r="B91" s="605" t="s">
        <v>1064</v>
      </c>
      <c r="C91" s="606">
        <f t="shared" si="2"/>
        <v>115210</v>
      </c>
      <c r="D91" s="607" t="s">
        <v>1065</v>
      </c>
      <c r="E91" s="607" t="s">
        <v>1070</v>
      </c>
      <c r="F91" s="607" t="s">
        <v>1071</v>
      </c>
      <c r="G91" s="607" t="s">
        <v>837</v>
      </c>
      <c r="H91" s="607" t="s">
        <v>837</v>
      </c>
      <c r="I91" s="607" t="s">
        <v>1006</v>
      </c>
      <c r="J91" s="608" t="str">
        <f t="shared" si="3"/>
        <v>Agriculture</v>
      </c>
      <c r="N91" s="822">
        <v>115210</v>
      </c>
      <c r="O91" s="822" t="s">
        <v>1065</v>
      </c>
      <c r="P91" s="823">
        <v>7699</v>
      </c>
      <c r="Q91" s="823" t="s">
        <v>1071</v>
      </c>
    </row>
    <row r="92" spans="2:17" s="608" customFormat="1" x14ac:dyDescent="0.25">
      <c r="B92" s="605" t="s">
        <v>1072</v>
      </c>
      <c r="C92" s="606">
        <f t="shared" si="2"/>
        <v>115310</v>
      </c>
      <c r="D92" s="607" t="s">
        <v>1073</v>
      </c>
      <c r="E92" s="607" t="s">
        <v>1074</v>
      </c>
      <c r="F92" s="607" t="s">
        <v>1075</v>
      </c>
      <c r="G92" s="607" t="s">
        <v>837</v>
      </c>
      <c r="H92" s="607" t="s">
        <v>837</v>
      </c>
      <c r="I92" s="607" t="s">
        <v>1006</v>
      </c>
      <c r="J92" s="608" t="str">
        <f t="shared" si="3"/>
        <v>Agriculture</v>
      </c>
      <c r="N92" s="822">
        <v>115310</v>
      </c>
      <c r="O92" s="822" t="s">
        <v>1073</v>
      </c>
      <c r="P92" s="823">
        <v>851</v>
      </c>
      <c r="Q92" s="823" t="s">
        <v>1075</v>
      </c>
    </row>
    <row r="93" spans="2:17" s="608" customFormat="1" ht="18" x14ac:dyDescent="0.3">
      <c r="B93" s="605" t="s">
        <v>1076</v>
      </c>
      <c r="C93" s="606">
        <f t="shared" si="2"/>
        <v>211120</v>
      </c>
      <c r="D93" s="607" t="s">
        <v>1077</v>
      </c>
      <c r="E93" s="607" t="s">
        <v>1078</v>
      </c>
      <c r="F93" s="607" t="s">
        <v>1079</v>
      </c>
      <c r="G93" s="607" t="s">
        <v>1080</v>
      </c>
      <c r="H93" s="607" t="s">
        <v>1080</v>
      </c>
      <c r="I93" s="607" t="s">
        <v>1081</v>
      </c>
      <c r="J93" s="608" t="str">
        <f t="shared" si="3"/>
        <v>Oil And Gas</v>
      </c>
      <c r="N93" s="822">
        <v>211110</v>
      </c>
      <c r="O93" s="824" t="s">
        <v>5818</v>
      </c>
      <c r="P93" s="823"/>
      <c r="Q93" s="823" t="s">
        <v>958</v>
      </c>
    </row>
    <row r="94" spans="2:17" s="608" customFormat="1" x14ac:dyDescent="0.25">
      <c r="B94" s="605" t="s">
        <v>1082</v>
      </c>
      <c r="C94" s="606">
        <f t="shared" si="2"/>
        <v>211130</v>
      </c>
      <c r="D94" s="607" t="s">
        <v>1083</v>
      </c>
      <c r="E94" s="607" t="s">
        <v>1078</v>
      </c>
      <c r="F94" s="607" t="s">
        <v>1079</v>
      </c>
      <c r="G94" s="607" t="s">
        <v>1080</v>
      </c>
      <c r="H94" s="607" t="s">
        <v>1080</v>
      </c>
      <c r="I94" s="607" t="s">
        <v>1081</v>
      </c>
      <c r="J94" s="608" t="str">
        <f t="shared" si="3"/>
        <v>Oil And Gas</v>
      </c>
      <c r="N94" s="823">
        <v>211111</v>
      </c>
      <c r="O94" s="823" t="s">
        <v>5819</v>
      </c>
      <c r="P94" s="823"/>
      <c r="Q94" s="823" t="s">
        <v>958</v>
      </c>
    </row>
    <row r="95" spans="2:17" s="608" customFormat="1" x14ac:dyDescent="0.25">
      <c r="B95" s="605" t="s">
        <v>1082</v>
      </c>
      <c r="C95" s="606">
        <f t="shared" si="2"/>
        <v>211130</v>
      </c>
      <c r="D95" s="607" t="s">
        <v>1083</v>
      </c>
      <c r="E95" s="607" t="s">
        <v>1084</v>
      </c>
      <c r="F95" s="607" t="s">
        <v>1085</v>
      </c>
      <c r="G95" s="607" t="s">
        <v>1080</v>
      </c>
      <c r="H95" s="607" t="s">
        <v>1080</v>
      </c>
      <c r="I95" s="607" t="s">
        <v>1081</v>
      </c>
      <c r="J95" s="608" t="str">
        <f t="shared" si="3"/>
        <v>Oil And Gas</v>
      </c>
      <c r="N95" s="823">
        <v>211112</v>
      </c>
      <c r="O95" s="823" t="s">
        <v>5820</v>
      </c>
      <c r="P95" s="823"/>
      <c r="Q95" s="823" t="s">
        <v>958</v>
      </c>
    </row>
    <row r="96" spans="2:17" s="608" customFormat="1" x14ac:dyDescent="0.25">
      <c r="B96" s="605" t="s">
        <v>1082</v>
      </c>
      <c r="C96" s="606">
        <f t="shared" si="2"/>
        <v>211130</v>
      </c>
      <c r="D96" s="607" t="s">
        <v>1083</v>
      </c>
      <c r="E96" s="607" t="s">
        <v>1086</v>
      </c>
      <c r="F96" s="607" t="s">
        <v>1087</v>
      </c>
      <c r="G96" s="607" t="s">
        <v>1080</v>
      </c>
      <c r="H96" s="607" t="s">
        <v>1080</v>
      </c>
      <c r="I96" s="607" t="s">
        <v>1081</v>
      </c>
      <c r="J96" s="608" t="str">
        <f t="shared" si="3"/>
        <v>Oil And Gas</v>
      </c>
      <c r="N96" s="822">
        <v>211120</v>
      </c>
      <c r="O96" s="822" t="s">
        <v>1077</v>
      </c>
      <c r="P96" s="823">
        <v>1311</v>
      </c>
      <c r="Q96" s="823" t="s">
        <v>1079</v>
      </c>
    </row>
    <row r="97" spans="2:17" s="608" customFormat="1" x14ac:dyDescent="0.25">
      <c r="B97" s="605" t="s">
        <v>1088</v>
      </c>
      <c r="C97" s="606">
        <f t="shared" si="2"/>
        <v>212111</v>
      </c>
      <c r="D97" s="607" t="s">
        <v>1089</v>
      </c>
      <c r="E97" s="607" t="s">
        <v>1090</v>
      </c>
      <c r="F97" s="607" t="s">
        <v>1091</v>
      </c>
      <c r="G97" s="607" t="s">
        <v>1019</v>
      </c>
      <c r="H97" s="607" t="s">
        <v>1019</v>
      </c>
      <c r="I97" s="607" t="s">
        <v>1092</v>
      </c>
      <c r="J97" s="608" t="str">
        <f t="shared" si="3"/>
        <v>Mining, Quarry, Oil &amp; Gas</v>
      </c>
      <c r="N97" s="822">
        <v>211130</v>
      </c>
      <c r="O97" s="822" t="s">
        <v>1083</v>
      </c>
      <c r="P97" s="823">
        <v>1311</v>
      </c>
      <c r="Q97" s="823" t="s">
        <v>1079</v>
      </c>
    </row>
    <row r="98" spans="2:17" s="608" customFormat="1" x14ac:dyDescent="0.25">
      <c r="B98" s="605" t="s">
        <v>1093</v>
      </c>
      <c r="C98" s="606">
        <f t="shared" si="2"/>
        <v>212112</v>
      </c>
      <c r="D98" s="607" t="s">
        <v>1094</v>
      </c>
      <c r="E98" s="607" t="s">
        <v>1095</v>
      </c>
      <c r="F98" s="607" t="s">
        <v>1096</v>
      </c>
      <c r="G98" s="607" t="s">
        <v>1019</v>
      </c>
      <c r="H98" s="607" t="s">
        <v>1019</v>
      </c>
      <c r="I98" s="607" t="s">
        <v>1092</v>
      </c>
      <c r="J98" s="608" t="str">
        <f t="shared" si="3"/>
        <v>Mining, Quarry, Oil &amp; Gas</v>
      </c>
      <c r="N98" s="822">
        <v>211130</v>
      </c>
      <c r="O98" s="822" t="s">
        <v>1083</v>
      </c>
      <c r="P98" s="823">
        <v>1321</v>
      </c>
      <c r="Q98" s="823" t="s">
        <v>1085</v>
      </c>
    </row>
    <row r="99" spans="2:17" s="608" customFormat="1" x14ac:dyDescent="0.25">
      <c r="B99" s="605" t="s">
        <v>1097</v>
      </c>
      <c r="C99" s="606">
        <f t="shared" si="2"/>
        <v>212113</v>
      </c>
      <c r="D99" s="607" t="s">
        <v>1098</v>
      </c>
      <c r="E99" s="607" t="s">
        <v>1099</v>
      </c>
      <c r="F99" s="607" t="s">
        <v>1098</v>
      </c>
      <c r="G99" s="607" t="s">
        <v>1100</v>
      </c>
      <c r="H99" s="607" t="s">
        <v>1100</v>
      </c>
      <c r="I99" s="607" t="s">
        <v>1101</v>
      </c>
      <c r="J99" s="608" t="str">
        <f t="shared" si="3"/>
        <v>Metals And Mining</v>
      </c>
      <c r="N99" s="822">
        <v>211130</v>
      </c>
      <c r="O99" s="822" t="s">
        <v>1083</v>
      </c>
      <c r="P99" s="823">
        <v>2819</v>
      </c>
      <c r="Q99" s="823" t="s">
        <v>1087</v>
      </c>
    </row>
    <row r="100" spans="2:17" s="608" customFormat="1" x14ac:dyDescent="0.25">
      <c r="B100" s="605" t="s">
        <v>1102</v>
      </c>
      <c r="C100" s="606">
        <f t="shared" si="2"/>
        <v>212210</v>
      </c>
      <c r="D100" s="607" t="s">
        <v>1103</v>
      </c>
      <c r="E100" s="607" t="s">
        <v>1104</v>
      </c>
      <c r="F100" s="607" t="s">
        <v>1105</v>
      </c>
      <c r="G100" s="607" t="s">
        <v>1100</v>
      </c>
      <c r="H100" s="607" t="s">
        <v>1100</v>
      </c>
      <c r="I100" s="607" t="s">
        <v>1101</v>
      </c>
      <c r="J100" s="608" t="str">
        <f t="shared" si="3"/>
        <v>Metals And Mining</v>
      </c>
      <c r="N100" s="822">
        <v>212111</v>
      </c>
      <c r="O100" s="822" t="s">
        <v>1089</v>
      </c>
      <c r="P100" s="823">
        <v>1221</v>
      </c>
      <c r="Q100" s="823" t="s">
        <v>1091</v>
      </c>
    </row>
    <row r="101" spans="2:17" s="608" customFormat="1" x14ac:dyDescent="0.25">
      <c r="B101" s="605" t="s">
        <v>1106</v>
      </c>
      <c r="C101" s="606">
        <f t="shared" si="2"/>
        <v>212221</v>
      </c>
      <c r="D101" s="607" t="s">
        <v>1107</v>
      </c>
      <c r="E101" s="607" t="s">
        <v>1108</v>
      </c>
      <c r="F101" s="607" t="s">
        <v>1109</v>
      </c>
      <c r="G101" s="607" t="s">
        <v>1100</v>
      </c>
      <c r="H101" s="607" t="s">
        <v>1100</v>
      </c>
      <c r="I101" s="607" t="s">
        <v>1101</v>
      </c>
      <c r="J101" s="608" t="str">
        <f t="shared" si="3"/>
        <v>Metals And Mining</v>
      </c>
      <c r="N101" s="822">
        <v>212112</v>
      </c>
      <c r="O101" s="822" t="s">
        <v>1094</v>
      </c>
      <c r="P101" s="823">
        <v>1222</v>
      </c>
      <c r="Q101" s="823" t="s">
        <v>1096</v>
      </c>
    </row>
    <row r="102" spans="2:17" s="608" customFormat="1" x14ac:dyDescent="0.25">
      <c r="B102" s="605" t="s">
        <v>1110</v>
      </c>
      <c r="C102" s="606">
        <f t="shared" si="2"/>
        <v>212222</v>
      </c>
      <c r="D102" s="607" t="s">
        <v>1111</v>
      </c>
      <c r="E102" s="607" t="s">
        <v>1112</v>
      </c>
      <c r="F102" s="607" t="s">
        <v>1113</v>
      </c>
      <c r="G102" s="607" t="s">
        <v>1100</v>
      </c>
      <c r="H102" s="607" t="s">
        <v>1100</v>
      </c>
      <c r="I102" s="607" t="s">
        <v>1101</v>
      </c>
      <c r="J102" s="608" t="str">
        <f t="shared" si="3"/>
        <v>Metals And Mining</v>
      </c>
      <c r="N102" s="822">
        <v>212113</v>
      </c>
      <c r="O102" s="822" t="s">
        <v>1098</v>
      </c>
      <c r="P102" s="823">
        <v>1231</v>
      </c>
      <c r="Q102" s="823" t="s">
        <v>1098</v>
      </c>
    </row>
    <row r="103" spans="2:17" s="608" customFormat="1" x14ac:dyDescent="0.25">
      <c r="B103" s="605" t="s">
        <v>1114</v>
      </c>
      <c r="C103" s="606">
        <f t="shared" si="2"/>
        <v>212230</v>
      </c>
      <c r="D103" s="607" t="s">
        <v>1115</v>
      </c>
      <c r="E103" s="607" t="s">
        <v>1116</v>
      </c>
      <c r="F103" s="607" t="s">
        <v>1117</v>
      </c>
      <c r="G103" s="607" t="s">
        <v>1100</v>
      </c>
      <c r="H103" s="607" t="s">
        <v>1100</v>
      </c>
      <c r="I103" s="607" t="s">
        <v>1101</v>
      </c>
      <c r="J103" s="608" t="str">
        <f t="shared" si="3"/>
        <v>Metals And Mining</v>
      </c>
      <c r="N103" s="822">
        <v>212210</v>
      </c>
      <c r="O103" s="822" t="s">
        <v>1103</v>
      </c>
      <c r="P103" s="823">
        <v>1011</v>
      </c>
      <c r="Q103" s="823" t="s">
        <v>1105</v>
      </c>
    </row>
    <row r="104" spans="2:17" s="608" customFormat="1" x14ac:dyDescent="0.25">
      <c r="B104" s="605" t="s">
        <v>1114</v>
      </c>
      <c r="C104" s="606">
        <f t="shared" si="2"/>
        <v>212230</v>
      </c>
      <c r="D104" s="607" t="s">
        <v>1115</v>
      </c>
      <c r="E104" s="607" t="s">
        <v>1118</v>
      </c>
      <c r="F104" s="607" t="s">
        <v>1119</v>
      </c>
      <c r="G104" s="607" t="s">
        <v>1100</v>
      </c>
      <c r="H104" s="607" t="s">
        <v>1100</v>
      </c>
      <c r="I104" s="607" t="s">
        <v>1101</v>
      </c>
      <c r="J104" s="608" t="str">
        <f t="shared" si="3"/>
        <v>Metals And Mining</v>
      </c>
      <c r="N104" s="822">
        <v>212221</v>
      </c>
      <c r="O104" s="822" t="s">
        <v>1107</v>
      </c>
      <c r="P104" s="823">
        <v>1041</v>
      </c>
      <c r="Q104" s="823" t="s">
        <v>1109</v>
      </c>
    </row>
    <row r="105" spans="2:17" s="608" customFormat="1" x14ac:dyDescent="0.25">
      <c r="B105" s="605" t="s">
        <v>1114</v>
      </c>
      <c r="C105" s="606">
        <f t="shared" si="2"/>
        <v>212230</v>
      </c>
      <c r="D105" s="607" t="s">
        <v>1115</v>
      </c>
      <c r="E105" s="607" t="s">
        <v>1120</v>
      </c>
      <c r="F105" s="607" t="s">
        <v>1121</v>
      </c>
      <c r="G105" s="607" t="s">
        <v>1100</v>
      </c>
      <c r="H105" s="607" t="s">
        <v>1100</v>
      </c>
      <c r="I105" s="607" t="s">
        <v>1101</v>
      </c>
      <c r="J105" s="608" t="str">
        <f t="shared" si="3"/>
        <v>Metals And Mining</v>
      </c>
      <c r="N105" s="822">
        <v>212222</v>
      </c>
      <c r="O105" s="822" t="s">
        <v>1111</v>
      </c>
      <c r="P105" s="823">
        <v>1044</v>
      </c>
      <c r="Q105" s="823" t="s">
        <v>1113</v>
      </c>
    </row>
    <row r="106" spans="2:17" s="608" customFormat="1" x14ac:dyDescent="0.25">
      <c r="B106" s="605" t="s">
        <v>1122</v>
      </c>
      <c r="C106" s="606">
        <f t="shared" si="2"/>
        <v>212291</v>
      </c>
      <c r="D106" s="607" t="s">
        <v>1123</v>
      </c>
      <c r="E106" s="607" t="s">
        <v>1124</v>
      </c>
      <c r="F106" s="607" t="s">
        <v>1125</v>
      </c>
      <c r="G106" s="607" t="s">
        <v>1100</v>
      </c>
      <c r="H106" s="607" t="s">
        <v>1100</v>
      </c>
      <c r="I106" s="607" t="s">
        <v>1101</v>
      </c>
      <c r="J106" s="608" t="str">
        <f t="shared" si="3"/>
        <v>Metals And Mining</v>
      </c>
      <c r="N106" s="822">
        <v>212230</v>
      </c>
      <c r="O106" s="822" t="s">
        <v>1115</v>
      </c>
      <c r="P106" s="823">
        <v>1021</v>
      </c>
      <c r="Q106" s="823" t="s">
        <v>1117</v>
      </c>
    </row>
    <row r="107" spans="2:17" s="608" customFormat="1" x14ac:dyDescent="0.25">
      <c r="B107" s="605" t="s">
        <v>1126</v>
      </c>
      <c r="C107" s="606">
        <f t="shared" si="2"/>
        <v>212299</v>
      </c>
      <c r="D107" s="607" t="s">
        <v>1127</v>
      </c>
      <c r="E107" s="607" t="s">
        <v>1120</v>
      </c>
      <c r="F107" s="607" t="s">
        <v>1121</v>
      </c>
      <c r="G107" s="607" t="s">
        <v>1100</v>
      </c>
      <c r="H107" s="607" t="s">
        <v>1100</v>
      </c>
      <c r="I107" s="607" t="s">
        <v>1101</v>
      </c>
      <c r="J107" s="608" t="str">
        <f t="shared" si="3"/>
        <v>Metals And Mining</v>
      </c>
      <c r="N107" s="822">
        <v>212230</v>
      </c>
      <c r="O107" s="822" t="s">
        <v>1115</v>
      </c>
      <c r="P107" s="823">
        <v>1031</v>
      </c>
      <c r="Q107" s="823" t="s">
        <v>1119</v>
      </c>
    </row>
    <row r="108" spans="2:17" s="608" customFormat="1" x14ac:dyDescent="0.25">
      <c r="B108" s="605" t="s">
        <v>1126</v>
      </c>
      <c r="C108" s="606">
        <f t="shared" si="2"/>
        <v>212299</v>
      </c>
      <c r="D108" s="607" t="s">
        <v>1127</v>
      </c>
      <c r="E108" s="607" t="s">
        <v>1128</v>
      </c>
      <c r="F108" s="607" t="s">
        <v>1129</v>
      </c>
      <c r="G108" s="607" t="s">
        <v>1100</v>
      </c>
      <c r="H108" s="607" t="s">
        <v>1100</v>
      </c>
      <c r="I108" s="607" t="s">
        <v>1101</v>
      </c>
      <c r="J108" s="608" t="str">
        <f t="shared" si="3"/>
        <v>Metals And Mining</v>
      </c>
      <c r="N108" s="822">
        <v>212230</v>
      </c>
      <c r="O108" s="822" t="s">
        <v>1115</v>
      </c>
      <c r="P108" s="823">
        <v>1061</v>
      </c>
      <c r="Q108" s="823" t="s">
        <v>1121</v>
      </c>
    </row>
    <row r="109" spans="2:17" s="608" customFormat="1" x14ac:dyDescent="0.25">
      <c r="B109" s="605" t="s">
        <v>1130</v>
      </c>
      <c r="C109" s="606">
        <f t="shared" si="2"/>
        <v>212311</v>
      </c>
      <c r="D109" s="607" t="s">
        <v>1131</v>
      </c>
      <c r="E109" s="607" t="s">
        <v>1132</v>
      </c>
      <c r="F109" s="607" t="s">
        <v>1133</v>
      </c>
      <c r="G109" s="607" t="s">
        <v>1100</v>
      </c>
      <c r="H109" s="607" t="s">
        <v>1100</v>
      </c>
      <c r="I109" s="607" t="s">
        <v>1101</v>
      </c>
      <c r="J109" s="608" t="str">
        <f t="shared" si="3"/>
        <v>Metals And Mining</v>
      </c>
      <c r="N109" s="823">
        <v>212231</v>
      </c>
      <c r="O109" s="823" t="s">
        <v>5821</v>
      </c>
      <c r="P109" s="823"/>
      <c r="Q109" s="823" t="s">
        <v>958</v>
      </c>
    </row>
    <row r="110" spans="2:17" s="608" customFormat="1" x14ac:dyDescent="0.25">
      <c r="B110" s="605" t="s">
        <v>1134</v>
      </c>
      <c r="C110" s="606">
        <f t="shared" si="2"/>
        <v>212312</v>
      </c>
      <c r="D110" s="607" t="s">
        <v>1135</v>
      </c>
      <c r="E110" s="607" t="s">
        <v>1136</v>
      </c>
      <c r="F110" s="607" t="s">
        <v>1137</v>
      </c>
      <c r="G110" s="607" t="s">
        <v>1100</v>
      </c>
      <c r="H110" s="607" t="s">
        <v>1100</v>
      </c>
      <c r="I110" s="607" t="s">
        <v>1101</v>
      </c>
      <c r="J110" s="608" t="str">
        <f t="shared" si="3"/>
        <v>Metals And Mining</v>
      </c>
      <c r="N110" s="823">
        <v>212234</v>
      </c>
      <c r="O110" s="823" t="s">
        <v>5822</v>
      </c>
      <c r="P110" s="823"/>
      <c r="Q110" s="823" t="s">
        <v>958</v>
      </c>
    </row>
    <row r="111" spans="2:17" s="608" customFormat="1" x14ac:dyDescent="0.25">
      <c r="B111" s="605" t="s">
        <v>1138</v>
      </c>
      <c r="C111" s="606">
        <f t="shared" si="2"/>
        <v>212313</v>
      </c>
      <c r="D111" s="607" t="s">
        <v>1139</v>
      </c>
      <c r="E111" s="607" t="s">
        <v>1140</v>
      </c>
      <c r="F111" s="607" t="s">
        <v>1141</v>
      </c>
      <c r="G111" s="607" t="s">
        <v>1100</v>
      </c>
      <c r="H111" s="607" t="s">
        <v>1100</v>
      </c>
      <c r="I111" s="607" t="s">
        <v>1101</v>
      </c>
      <c r="J111" s="608" t="str">
        <f t="shared" si="3"/>
        <v>Metals And Mining</v>
      </c>
      <c r="N111" s="822">
        <v>212291</v>
      </c>
      <c r="O111" s="822" t="s">
        <v>1123</v>
      </c>
      <c r="P111" s="823">
        <v>1094</v>
      </c>
      <c r="Q111" s="823" t="s">
        <v>1125</v>
      </c>
    </row>
    <row r="112" spans="2:17" s="608" customFormat="1" x14ac:dyDescent="0.25">
      <c r="B112" s="605" t="s">
        <v>1142</v>
      </c>
      <c r="C112" s="606">
        <f t="shared" si="2"/>
        <v>212319</v>
      </c>
      <c r="D112" s="607" t="s">
        <v>1143</v>
      </c>
      <c r="E112" s="607" t="s">
        <v>1144</v>
      </c>
      <c r="F112" s="607" t="s">
        <v>1145</v>
      </c>
      <c r="G112" s="607" t="s">
        <v>1100</v>
      </c>
      <c r="H112" s="607" t="s">
        <v>1100</v>
      </c>
      <c r="I112" s="607" t="s">
        <v>1101</v>
      </c>
      <c r="J112" s="608" t="str">
        <f t="shared" si="3"/>
        <v>Metals And Mining</v>
      </c>
      <c r="N112" s="822">
        <v>212299</v>
      </c>
      <c r="O112" s="822" t="s">
        <v>1127</v>
      </c>
      <c r="P112" s="823">
        <v>1061</v>
      </c>
      <c r="Q112" s="823" t="s">
        <v>1121</v>
      </c>
    </row>
    <row r="113" spans="2:17" s="608" customFormat="1" x14ac:dyDescent="0.25">
      <c r="B113" s="605" t="s">
        <v>1142</v>
      </c>
      <c r="C113" s="606">
        <f t="shared" si="2"/>
        <v>212319</v>
      </c>
      <c r="D113" s="607" t="s">
        <v>1143</v>
      </c>
      <c r="E113" s="607" t="s">
        <v>1146</v>
      </c>
      <c r="F113" s="607" t="s">
        <v>1147</v>
      </c>
      <c r="G113" s="607" t="s">
        <v>1100</v>
      </c>
      <c r="H113" s="607" t="s">
        <v>1100</v>
      </c>
      <c r="I113" s="607" t="s">
        <v>1101</v>
      </c>
      <c r="J113" s="608" t="str">
        <f t="shared" si="3"/>
        <v>Metals And Mining</v>
      </c>
      <c r="N113" s="822">
        <v>212299</v>
      </c>
      <c r="O113" s="822" t="s">
        <v>1127</v>
      </c>
      <c r="P113" s="823">
        <v>1099</v>
      </c>
      <c r="Q113" s="823" t="s">
        <v>1129</v>
      </c>
    </row>
    <row r="114" spans="2:17" s="608" customFormat="1" x14ac:dyDescent="0.25">
      <c r="B114" s="605" t="s">
        <v>1148</v>
      </c>
      <c r="C114" s="606">
        <f t="shared" si="2"/>
        <v>212321</v>
      </c>
      <c r="D114" s="607" t="s">
        <v>1149</v>
      </c>
      <c r="E114" s="607" t="s">
        <v>1150</v>
      </c>
      <c r="F114" s="607" t="s">
        <v>1151</v>
      </c>
      <c r="G114" s="607" t="s">
        <v>1100</v>
      </c>
      <c r="H114" s="607" t="s">
        <v>1100</v>
      </c>
      <c r="I114" s="607" t="s">
        <v>1101</v>
      </c>
      <c r="J114" s="608" t="str">
        <f t="shared" si="3"/>
        <v>Metals And Mining</v>
      </c>
      <c r="N114" s="822">
        <v>212311</v>
      </c>
      <c r="O114" s="822" t="s">
        <v>1131</v>
      </c>
      <c r="P114" s="823">
        <v>1411</v>
      </c>
      <c r="Q114" s="823" t="s">
        <v>1133</v>
      </c>
    </row>
    <row r="115" spans="2:17" s="608" customFormat="1" x14ac:dyDescent="0.25">
      <c r="B115" s="605" t="s">
        <v>1152</v>
      </c>
      <c r="C115" s="606">
        <f t="shared" si="2"/>
        <v>212322</v>
      </c>
      <c r="D115" s="607" t="s">
        <v>1153</v>
      </c>
      <c r="E115" s="607" t="s">
        <v>1154</v>
      </c>
      <c r="F115" s="607" t="s">
        <v>1155</v>
      </c>
      <c r="G115" s="607" t="s">
        <v>1100</v>
      </c>
      <c r="H115" s="607" t="s">
        <v>1100</v>
      </c>
      <c r="I115" s="607" t="s">
        <v>1101</v>
      </c>
      <c r="J115" s="608" t="str">
        <f t="shared" si="3"/>
        <v>Metals And Mining</v>
      </c>
      <c r="N115" s="822">
        <v>212312</v>
      </c>
      <c r="O115" s="822" t="s">
        <v>1135</v>
      </c>
      <c r="P115" s="823">
        <v>1422</v>
      </c>
      <c r="Q115" s="823" t="s">
        <v>1137</v>
      </c>
    </row>
    <row r="116" spans="2:17" s="608" customFormat="1" x14ac:dyDescent="0.25">
      <c r="B116" s="605" t="s">
        <v>1156</v>
      </c>
      <c r="C116" s="606">
        <f t="shared" si="2"/>
        <v>212324</v>
      </c>
      <c r="D116" s="607" t="s">
        <v>1157</v>
      </c>
      <c r="E116" s="607" t="s">
        <v>1158</v>
      </c>
      <c r="F116" s="607" t="s">
        <v>1159</v>
      </c>
      <c r="G116" s="607" t="s">
        <v>1100</v>
      </c>
      <c r="H116" s="607" t="s">
        <v>1100</v>
      </c>
      <c r="I116" s="607" t="s">
        <v>1101</v>
      </c>
      <c r="J116" s="608" t="str">
        <f t="shared" si="3"/>
        <v>Metals And Mining</v>
      </c>
      <c r="N116" s="822">
        <v>212313</v>
      </c>
      <c r="O116" s="822" t="s">
        <v>1139</v>
      </c>
      <c r="P116" s="823">
        <v>1423</v>
      </c>
      <c r="Q116" s="823" t="s">
        <v>1141</v>
      </c>
    </row>
    <row r="117" spans="2:17" s="608" customFormat="1" x14ac:dyDescent="0.25">
      <c r="B117" s="605" t="s">
        <v>1156</v>
      </c>
      <c r="C117" s="606">
        <f t="shared" si="2"/>
        <v>212324</v>
      </c>
      <c r="D117" s="607" t="s">
        <v>1157</v>
      </c>
      <c r="E117" s="607" t="s">
        <v>1160</v>
      </c>
      <c r="F117" s="607" t="s">
        <v>1161</v>
      </c>
      <c r="G117" s="607" t="s">
        <v>1100</v>
      </c>
      <c r="H117" s="607" t="s">
        <v>1100</v>
      </c>
      <c r="I117" s="607" t="s">
        <v>1101</v>
      </c>
      <c r="J117" s="608" t="str">
        <f t="shared" si="3"/>
        <v>Metals And Mining</v>
      </c>
      <c r="N117" s="822">
        <v>212319</v>
      </c>
      <c r="O117" s="822" t="s">
        <v>1143</v>
      </c>
      <c r="P117" s="823">
        <v>1429</v>
      </c>
      <c r="Q117" s="823" t="s">
        <v>1145</v>
      </c>
    </row>
    <row r="118" spans="2:17" s="608" customFormat="1" x14ac:dyDescent="0.25">
      <c r="B118" s="605" t="s">
        <v>1162</v>
      </c>
      <c r="C118" s="606">
        <f t="shared" si="2"/>
        <v>212325</v>
      </c>
      <c r="D118" s="607" t="s">
        <v>1163</v>
      </c>
      <c r="E118" s="607" t="s">
        <v>1164</v>
      </c>
      <c r="F118" s="607" t="s">
        <v>1165</v>
      </c>
      <c r="G118" s="607" t="s">
        <v>1100</v>
      </c>
      <c r="H118" s="607" t="s">
        <v>1100</v>
      </c>
      <c r="I118" s="607" t="s">
        <v>1101</v>
      </c>
      <c r="J118" s="608" t="str">
        <f t="shared" si="3"/>
        <v>Metals And Mining</v>
      </c>
      <c r="N118" s="822">
        <v>212319</v>
      </c>
      <c r="O118" s="822" t="s">
        <v>1143</v>
      </c>
      <c r="P118" s="823">
        <v>1499</v>
      </c>
      <c r="Q118" s="823" t="s">
        <v>1147</v>
      </c>
    </row>
    <row r="119" spans="2:17" s="608" customFormat="1" x14ac:dyDescent="0.25">
      <c r="B119" s="605" t="s">
        <v>1162</v>
      </c>
      <c r="C119" s="606">
        <f t="shared" si="2"/>
        <v>212325</v>
      </c>
      <c r="D119" s="607" t="s">
        <v>1163</v>
      </c>
      <c r="E119" s="607" t="s">
        <v>1160</v>
      </c>
      <c r="F119" s="607" t="s">
        <v>1161</v>
      </c>
      <c r="G119" s="607" t="s">
        <v>1100</v>
      </c>
      <c r="H119" s="607" t="s">
        <v>1100</v>
      </c>
      <c r="I119" s="607" t="s">
        <v>1101</v>
      </c>
      <c r="J119" s="608" t="str">
        <f t="shared" si="3"/>
        <v>Metals And Mining</v>
      </c>
      <c r="N119" s="822">
        <v>212321</v>
      </c>
      <c r="O119" s="822" t="s">
        <v>1149</v>
      </c>
      <c r="P119" s="823">
        <v>1442</v>
      </c>
      <c r="Q119" s="823" t="s">
        <v>1151</v>
      </c>
    </row>
    <row r="120" spans="2:17" s="608" customFormat="1" x14ac:dyDescent="0.25">
      <c r="B120" s="605" t="s">
        <v>1166</v>
      </c>
      <c r="C120" s="606">
        <f t="shared" si="2"/>
        <v>212391</v>
      </c>
      <c r="D120" s="607" t="s">
        <v>1167</v>
      </c>
      <c r="E120" s="607" t="s">
        <v>1168</v>
      </c>
      <c r="F120" s="607" t="s">
        <v>1169</v>
      </c>
      <c r="G120" s="607" t="s">
        <v>1100</v>
      </c>
      <c r="H120" s="607" t="s">
        <v>1100</v>
      </c>
      <c r="I120" s="607" t="s">
        <v>1101</v>
      </c>
      <c r="J120" s="608" t="str">
        <f t="shared" si="3"/>
        <v>Metals And Mining</v>
      </c>
      <c r="N120" s="822">
        <v>212322</v>
      </c>
      <c r="O120" s="822" t="s">
        <v>1153</v>
      </c>
      <c r="P120" s="823">
        <v>1446</v>
      </c>
      <c r="Q120" s="823" t="s">
        <v>1155</v>
      </c>
    </row>
    <row r="121" spans="2:17" s="608" customFormat="1" x14ac:dyDescent="0.25">
      <c r="B121" s="605" t="s">
        <v>1170</v>
      </c>
      <c r="C121" s="606">
        <f t="shared" si="2"/>
        <v>212392</v>
      </c>
      <c r="D121" s="607" t="s">
        <v>1171</v>
      </c>
      <c r="E121" s="607" t="s">
        <v>1172</v>
      </c>
      <c r="F121" s="607" t="s">
        <v>1173</v>
      </c>
      <c r="G121" s="607" t="s">
        <v>1100</v>
      </c>
      <c r="H121" s="607" t="s">
        <v>1100</v>
      </c>
      <c r="I121" s="607" t="s">
        <v>1101</v>
      </c>
      <c r="J121" s="608" t="str">
        <f t="shared" si="3"/>
        <v>Metals And Mining</v>
      </c>
      <c r="N121" s="822">
        <v>212324</v>
      </c>
      <c r="O121" s="822" t="s">
        <v>1157</v>
      </c>
      <c r="P121" s="823">
        <v>1455</v>
      </c>
      <c r="Q121" s="823" t="s">
        <v>1159</v>
      </c>
    </row>
    <row r="122" spans="2:17" s="608" customFormat="1" x14ac:dyDescent="0.25">
      <c r="B122" s="605" t="s">
        <v>1174</v>
      </c>
      <c r="C122" s="606">
        <f t="shared" si="2"/>
        <v>212393</v>
      </c>
      <c r="D122" s="607" t="s">
        <v>1175</v>
      </c>
      <c r="E122" s="607" t="s">
        <v>1176</v>
      </c>
      <c r="F122" s="607" t="s">
        <v>1177</v>
      </c>
      <c r="G122" s="607" t="s">
        <v>1100</v>
      </c>
      <c r="H122" s="607" t="s">
        <v>1100</v>
      </c>
      <c r="I122" s="607" t="s">
        <v>1101</v>
      </c>
      <c r="J122" s="608" t="str">
        <f t="shared" si="3"/>
        <v>Metals And Mining</v>
      </c>
      <c r="N122" s="822">
        <v>212324</v>
      </c>
      <c r="O122" s="822" t="s">
        <v>1157</v>
      </c>
      <c r="P122" s="823">
        <v>3295</v>
      </c>
      <c r="Q122" s="823" t="s">
        <v>1161</v>
      </c>
    </row>
    <row r="123" spans="2:17" s="608" customFormat="1" x14ac:dyDescent="0.25">
      <c r="B123" s="605" t="s">
        <v>1174</v>
      </c>
      <c r="C123" s="606">
        <f t="shared" si="2"/>
        <v>212393</v>
      </c>
      <c r="D123" s="607" t="s">
        <v>1175</v>
      </c>
      <c r="E123" s="607" t="s">
        <v>1160</v>
      </c>
      <c r="F123" s="607" t="s">
        <v>1161</v>
      </c>
      <c r="G123" s="607" t="s">
        <v>1100</v>
      </c>
      <c r="H123" s="607" t="s">
        <v>1100</v>
      </c>
      <c r="I123" s="607" t="s">
        <v>1101</v>
      </c>
      <c r="J123" s="608" t="str">
        <f t="shared" si="3"/>
        <v>Metals And Mining</v>
      </c>
      <c r="N123" s="822">
        <v>212325</v>
      </c>
      <c r="O123" s="822" t="s">
        <v>1163</v>
      </c>
      <c r="P123" s="823">
        <v>1459</v>
      </c>
      <c r="Q123" s="823" t="s">
        <v>1165</v>
      </c>
    </row>
    <row r="124" spans="2:17" s="608" customFormat="1" x14ac:dyDescent="0.25">
      <c r="B124" s="605" t="s">
        <v>1178</v>
      </c>
      <c r="C124" s="606">
        <f t="shared" si="2"/>
        <v>212399</v>
      </c>
      <c r="D124" s="607" t="s">
        <v>1179</v>
      </c>
      <c r="E124" s="607" t="s">
        <v>1146</v>
      </c>
      <c r="F124" s="607" t="s">
        <v>1147</v>
      </c>
      <c r="G124" s="607" t="s">
        <v>1100</v>
      </c>
      <c r="H124" s="607" t="s">
        <v>1100</v>
      </c>
      <c r="I124" s="607" t="s">
        <v>1101</v>
      </c>
      <c r="J124" s="608" t="str">
        <f t="shared" si="3"/>
        <v>Metals And Mining</v>
      </c>
      <c r="N124" s="822">
        <v>212325</v>
      </c>
      <c r="O124" s="822" t="s">
        <v>1163</v>
      </c>
      <c r="P124" s="823">
        <v>3295</v>
      </c>
      <c r="Q124" s="823" t="s">
        <v>1161</v>
      </c>
    </row>
    <row r="125" spans="2:17" s="608" customFormat="1" x14ac:dyDescent="0.25">
      <c r="B125" s="605" t="s">
        <v>1178</v>
      </c>
      <c r="C125" s="606">
        <f t="shared" si="2"/>
        <v>212399</v>
      </c>
      <c r="D125" s="607" t="s">
        <v>1179</v>
      </c>
      <c r="E125" s="607" t="s">
        <v>1160</v>
      </c>
      <c r="F125" s="607" t="s">
        <v>1161</v>
      </c>
      <c r="G125" s="607" t="s">
        <v>1100</v>
      </c>
      <c r="H125" s="607" t="s">
        <v>1100</v>
      </c>
      <c r="I125" s="607" t="s">
        <v>1101</v>
      </c>
      <c r="J125" s="608" t="str">
        <f t="shared" si="3"/>
        <v>Metals And Mining</v>
      </c>
      <c r="N125" s="822">
        <v>212391</v>
      </c>
      <c r="O125" s="822" t="s">
        <v>1167</v>
      </c>
      <c r="P125" s="823">
        <v>1474</v>
      </c>
      <c r="Q125" s="823" t="s">
        <v>1169</v>
      </c>
    </row>
    <row r="126" spans="2:17" s="608" customFormat="1" x14ac:dyDescent="0.25">
      <c r="B126" s="605" t="s">
        <v>1180</v>
      </c>
      <c r="C126" s="606">
        <f t="shared" si="2"/>
        <v>213111</v>
      </c>
      <c r="D126" s="607" t="s">
        <v>1181</v>
      </c>
      <c r="E126" s="607" t="s">
        <v>1182</v>
      </c>
      <c r="F126" s="607" t="s">
        <v>1181</v>
      </c>
      <c r="G126" s="607" t="s">
        <v>1100</v>
      </c>
      <c r="H126" s="607" t="s">
        <v>1100</v>
      </c>
      <c r="I126" s="607" t="s">
        <v>1101</v>
      </c>
      <c r="J126" s="608" t="str">
        <f t="shared" si="3"/>
        <v>Metals And Mining</v>
      </c>
      <c r="N126" s="822">
        <v>212392</v>
      </c>
      <c r="O126" s="822" t="s">
        <v>1171</v>
      </c>
      <c r="P126" s="823">
        <v>1475</v>
      </c>
      <c r="Q126" s="823" t="s">
        <v>1173</v>
      </c>
    </row>
    <row r="127" spans="2:17" s="608" customFormat="1" x14ac:dyDescent="0.25">
      <c r="B127" s="605" t="s">
        <v>1183</v>
      </c>
      <c r="C127" s="606">
        <f t="shared" si="2"/>
        <v>213112</v>
      </c>
      <c r="D127" s="607" t="s">
        <v>1184</v>
      </c>
      <c r="E127" s="607" t="s">
        <v>1185</v>
      </c>
      <c r="F127" s="607" t="s">
        <v>1186</v>
      </c>
      <c r="G127" s="607" t="s">
        <v>1100</v>
      </c>
      <c r="H127" s="607" t="s">
        <v>1100</v>
      </c>
      <c r="I127" s="607" t="s">
        <v>1101</v>
      </c>
      <c r="J127" s="608" t="str">
        <f t="shared" si="3"/>
        <v>Metals And Mining</v>
      </c>
      <c r="N127" s="822">
        <v>212393</v>
      </c>
      <c r="O127" s="822" t="s">
        <v>1175</v>
      </c>
      <c r="P127" s="823">
        <v>1479</v>
      </c>
      <c r="Q127" s="823" t="s">
        <v>1177</v>
      </c>
    </row>
    <row r="128" spans="2:17" s="608" customFormat="1" x14ac:dyDescent="0.25">
      <c r="B128" s="605" t="s">
        <v>1183</v>
      </c>
      <c r="C128" s="606">
        <f t="shared" si="2"/>
        <v>213112</v>
      </c>
      <c r="D128" s="607" t="s">
        <v>1184</v>
      </c>
      <c r="E128" s="607" t="s">
        <v>1187</v>
      </c>
      <c r="F128" s="607" t="s">
        <v>1188</v>
      </c>
      <c r="G128" s="607" t="s">
        <v>1100</v>
      </c>
      <c r="H128" s="607" t="s">
        <v>1100</v>
      </c>
      <c r="I128" s="607" t="s">
        <v>1101</v>
      </c>
      <c r="J128" s="608" t="str">
        <f t="shared" si="3"/>
        <v>Metals And Mining</v>
      </c>
      <c r="N128" s="822">
        <v>212393</v>
      </c>
      <c r="O128" s="822" t="s">
        <v>1175</v>
      </c>
      <c r="P128" s="823">
        <v>3295</v>
      </c>
      <c r="Q128" s="823" t="s">
        <v>1161</v>
      </c>
    </row>
    <row r="129" spans="2:17" s="608" customFormat="1" x14ac:dyDescent="0.25">
      <c r="B129" s="605" t="s">
        <v>1189</v>
      </c>
      <c r="C129" s="606">
        <f t="shared" si="2"/>
        <v>213113</v>
      </c>
      <c r="D129" s="607" t="s">
        <v>1190</v>
      </c>
      <c r="E129" s="607" t="s">
        <v>1191</v>
      </c>
      <c r="F129" s="607" t="s">
        <v>1192</v>
      </c>
      <c r="G129" s="607" t="s">
        <v>1080</v>
      </c>
      <c r="H129" s="607" t="s">
        <v>1080</v>
      </c>
      <c r="I129" s="607" t="s">
        <v>1081</v>
      </c>
      <c r="J129" s="608" t="str">
        <f t="shared" si="3"/>
        <v>Oil And Gas</v>
      </c>
      <c r="N129" s="822">
        <v>212399</v>
      </c>
      <c r="O129" s="822" t="s">
        <v>1179</v>
      </c>
      <c r="P129" s="823">
        <v>1499</v>
      </c>
      <c r="Q129" s="823" t="s">
        <v>1147</v>
      </c>
    </row>
    <row r="130" spans="2:17" s="608" customFormat="1" x14ac:dyDescent="0.25">
      <c r="B130" s="605" t="s">
        <v>1193</v>
      </c>
      <c r="C130" s="606">
        <f t="shared" ref="C130:C193" si="4">B130+0</f>
        <v>213114</v>
      </c>
      <c r="D130" s="607" t="s">
        <v>1194</v>
      </c>
      <c r="E130" s="607" t="s">
        <v>1195</v>
      </c>
      <c r="F130" s="607" t="s">
        <v>1196</v>
      </c>
      <c r="G130" s="607" t="s">
        <v>1100</v>
      </c>
      <c r="H130" s="607" t="s">
        <v>1100</v>
      </c>
      <c r="I130" s="607" t="s">
        <v>1101</v>
      </c>
      <c r="J130" s="608" t="str">
        <f t="shared" ref="J130:J193" si="5">PROPER(I130)</f>
        <v>Metals And Mining</v>
      </c>
      <c r="N130" s="822">
        <v>212399</v>
      </c>
      <c r="O130" s="822" t="s">
        <v>1179</v>
      </c>
      <c r="P130" s="823">
        <v>3295</v>
      </c>
      <c r="Q130" s="823" t="s">
        <v>1161</v>
      </c>
    </row>
    <row r="131" spans="2:17" s="608" customFormat="1" x14ac:dyDescent="0.25">
      <c r="B131" s="605" t="s">
        <v>1197</v>
      </c>
      <c r="C131" s="606">
        <f t="shared" si="4"/>
        <v>213115</v>
      </c>
      <c r="D131" s="607" t="s">
        <v>1198</v>
      </c>
      <c r="E131" s="607" t="s">
        <v>1199</v>
      </c>
      <c r="F131" s="607" t="s">
        <v>1200</v>
      </c>
      <c r="G131" s="607" t="s">
        <v>1100</v>
      </c>
      <c r="H131" s="607" t="s">
        <v>1100</v>
      </c>
      <c r="I131" s="607" t="s">
        <v>1101</v>
      </c>
      <c r="J131" s="608" t="str">
        <f t="shared" si="5"/>
        <v>Metals And Mining</v>
      </c>
      <c r="N131" s="822">
        <v>213111</v>
      </c>
      <c r="O131" s="822" t="s">
        <v>1181</v>
      </c>
      <c r="P131" s="823">
        <v>1381</v>
      </c>
      <c r="Q131" s="823" t="s">
        <v>1181</v>
      </c>
    </row>
    <row r="132" spans="2:17" s="608" customFormat="1" x14ac:dyDescent="0.25">
      <c r="B132" s="605" t="s">
        <v>1201</v>
      </c>
      <c r="C132" s="606">
        <f t="shared" si="4"/>
        <v>221111</v>
      </c>
      <c r="D132" s="607" t="s">
        <v>1202</v>
      </c>
      <c r="E132" s="607" t="s">
        <v>1203</v>
      </c>
      <c r="F132" s="607" t="s">
        <v>1204</v>
      </c>
      <c r="G132" s="607" t="s">
        <v>1205</v>
      </c>
      <c r="H132" s="607" t="s">
        <v>1205</v>
      </c>
      <c r="I132" s="607" t="s">
        <v>1205</v>
      </c>
      <c r="J132" s="608" t="str">
        <f t="shared" si="5"/>
        <v>Utilities</v>
      </c>
      <c r="N132" s="822">
        <v>213112</v>
      </c>
      <c r="O132" s="822" t="s">
        <v>1184</v>
      </c>
      <c r="P132" s="823">
        <v>1382</v>
      </c>
      <c r="Q132" s="823" t="s">
        <v>1186</v>
      </c>
    </row>
    <row r="133" spans="2:17" s="608" customFormat="1" x14ac:dyDescent="0.25">
      <c r="B133" s="605" t="s">
        <v>1201</v>
      </c>
      <c r="C133" s="606">
        <f t="shared" si="4"/>
        <v>221111</v>
      </c>
      <c r="D133" s="607" t="s">
        <v>1202</v>
      </c>
      <c r="E133" s="607" t="s">
        <v>1206</v>
      </c>
      <c r="F133" s="607" t="s">
        <v>1207</v>
      </c>
      <c r="G133" s="607" t="s">
        <v>1205</v>
      </c>
      <c r="H133" s="607" t="s">
        <v>1205</v>
      </c>
      <c r="I133" s="607" t="s">
        <v>1205</v>
      </c>
      <c r="J133" s="608" t="str">
        <f t="shared" si="5"/>
        <v>Utilities</v>
      </c>
      <c r="N133" s="822">
        <v>213112</v>
      </c>
      <c r="O133" s="822" t="s">
        <v>1184</v>
      </c>
      <c r="P133" s="823">
        <v>1389</v>
      </c>
      <c r="Q133" s="823" t="s">
        <v>1188</v>
      </c>
    </row>
    <row r="134" spans="2:17" s="608" customFormat="1" x14ac:dyDescent="0.25">
      <c r="B134" s="605" t="s">
        <v>1201</v>
      </c>
      <c r="C134" s="606">
        <f t="shared" si="4"/>
        <v>221111</v>
      </c>
      <c r="D134" s="607" t="s">
        <v>1202</v>
      </c>
      <c r="E134" s="607" t="s">
        <v>1208</v>
      </c>
      <c r="F134" s="607" t="s">
        <v>1209</v>
      </c>
      <c r="G134" s="607" t="s">
        <v>1205</v>
      </c>
      <c r="H134" s="607" t="s">
        <v>1205</v>
      </c>
      <c r="I134" s="607" t="s">
        <v>1205</v>
      </c>
      <c r="J134" s="608" t="str">
        <f t="shared" si="5"/>
        <v>Utilities</v>
      </c>
      <c r="N134" s="822">
        <v>213113</v>
      </c>
      <c r="O134" s="822" t="s">
        <v>1190</v>
      </c>
      <c r="P134" s="823">
        <v>1241</v>
      </c>
      <c r="Q134" s="823" t="s">
        <v>1192</v>
      </c>
    </row>
    <row r="135" spans="2:17" s="608" customFormat="1" x14ac:dyDescent="0.25">
      <c r="B135" s="605" t="s">
        <v>1210</v>
      </c>
      <c r="C135" s="606">
        <f t="shared" si="4"/>
        <v>221112</v>
      </c>
      <c r="D135" s="607" t="s">
        <v>1211</v>
      </c>
      <c r="E135" s="607" t="s">
        <v>1203</v>
      </c>
      <c r="F135" s="607" t="s">
        <v>1204</v>
      </c>
      <c r="G135" s="607" t="s">
        <v>1205</v>
      </c>
      <c r="H135" s="607" t="s">
        <v>1205</v>
      </c>
      <c r="I135" s="607" t="s">
        <v>1205</v>
      </c>
      <c r="J135" s="608" t="str">
        <f t="shared" si="5"/>
        <v>Utilities</v>
      </c>
      <c r="N135" s="822">
        <v>213114</v>
      </c>
      <c r="O135" s="822" t="s">
        <v>1194</v>
      </c>
      <c r="P135" s="823">
        <v>1081</v>
      </c>
      <c r="Q135" s="823" t="s">
        <v>1196</v>
      </c>
    </row>
    <row r="136" spans="2:17" s="608" customFormat="1" x14ac:dyDescent="0.25">
      <c r="B136" s="605" t="s">
        <v>1210</v>
      </c>
      <c r="C136" s="606">
        <f t="shared" si="4"/>
        <v>221112</v>
      </c>
      <c r="D136" s="607" t="s">
        <v>1211</v>
      </c>
      <c r="E136" s="607" t="s">
        <v>1206</v>
      </c>
      <c r="F136" s="607" t="s">
        <v>1207</v>
      </c>
      <c r="G136" s="607" t="s">
        <v>1205</v>
      </c>
      <c r="H136" s="607" t="s">
        <v>1205</v>
      </c>
      <c r="I136" s="607" t="s">
        <v>1205</v>
      </c>
      <c r="J136" s="608" t="str">
        <f t="shared" si="5"/>
        <v>Utilities</v>
      </c>
      <c r="N136" s="822">
        <v>213115</v>
      </c>
      <c r="O136" s="822" t="s">
        <v>1198</v>
      </c>
      <c r="P136" s="823">
        <v>1481</v>
      </c>
      <c r="Q136" s="823" t="s">
        <v>1200</v>
      </c>
    </row>
    <row r="137" spans="2:17" s="608" customFormat="1" x14ac:dyDescent="0.25">
      <c r="B137" s="605" t="s">
        <v>1210</v>
      </c>
      <c r="C137" s="606">
        <f t="shared" si="4"/>
        <v>221112</v>
      </c>
      <c r="D137" s="607" t="s">
        <v>1211</v>
      </c>
      <c r="E137" s="607" t="s">
        <v>1208</v>
      </c>
      <c r="F137" s="607" t="s">
        <v>1209</v>
      </c>
      <c r="G137" s="607" t="s">
        <v>1205</v>
      </c>
      <c r="H137" s="607" t="s">
        <v>1205</v>
      </c>
      <c r="I137" s="607" t="s">
        <v>1205</v>
      </c>
      <c r="J137" s="608" t="str">
        <f t="shared" si="5"/>
        <v>Utilities</v>
      </c>
      <c r="N137" s="822">
        <v>221111</v>
      </c>
      <c r="O137" s="822" t="s">
        <v>1202</v>
      </c>
      <c r="P137" s="823">
        <v>4911</v>
      </c>
      <c r="Q137" s="823" t="s">
        <v>1204</v>
      </c>
    </row>
    <row r="138" spans="2:17" s="608" customFormat="1" x14ac:dyDescent="0.25">
      <c r="B138" s="605" t="s">
        <v>1212</v>
      </c>
      <c r="C138" s="606">
        <f t="shared" si="4"/>
        <v>221113</v>
      </c>
      <c r="D138" s="607" t="s">
        <v>1213</v>
      </c>
      <c r="E138" s="607" t="s">
        <v>1203</v>
      </c>
      <c r="F138" s="607" t="s">
        <v>1204</v>
      </c>
      <c r="G138" s="607" t="s">
        <v>1205</v>
      </c>
      <c r="H138" s="607" t="s">
        <v>1205</v>
      </c>
      <c r="I138" s="607" t="s">
        <v>1205</v>
      </c>
      <c r="J138" s="608" t="str">
        <f t="shared" si="5"/>
        <v>Utilities</v>
      </c>
      <c r="N138" s="822">
        <v>221111</v>
      </c>
      <c r="O138" s="822" t="s">
        <v>1202</v>
      </c>
      <c r="P138" s="823">
        <v>4931</v>
      </c>
      <c r="Q138" s="823" t="s">
        <v>1207</v>
      </c>
    </row>
    <row r="139" spans="2:17" s="608" customFormat="1" x14ac:dyDescent="0.25">
      <c r="B139" s="605" t="s">
        <v>1212</v>
      </c>
      <c r="C139" s="606">
        <f t="shared" si="4"/>
        <v>221113</v>
      </c>
      <c r="D139" s="607" t="s">
        <v>1213</v>
      </c>
      <c r="E139" s="607" t="s">
        <v>1206</v>
      </c>
      <c r="F139" s="607" t="s">
        <v>1207</v>
      </c>
      <c r="G139" s="607" t="s">
        <v>1205</v>
      </c>
      <c r="H139" s="607" t="s">
        <v>1205</v>
      </c>
      <c r="I139" s="607" t="s">
        <v>1205</v>
      </c>
      <c r="J139" s="608" t="str">
        <f t="shared" si="5"/>
        <v>Utilities</v>
      </c>
      <c r="N139" s="822">
        <v>221111</v>
      </c>
      <c r="O139" s="822" t="s">
        <v>1202</v>
      </c>
      <c r="P139" s="823">
        <v>4939</v>
      </c>
      <c r="Q139" s="823" t="s">
        <v>1209</v>
      </c>
    </row>
    <row r="140" spans="2:17" s="608" customFormat="1" x14ac:dyDescent="0.25">
      <c r="B140" s="605" t="s">
        <v>1212</v>
      </c>
      <c r="C140" s="606">
        <f t="shared" si="4"/>
        <v>221113</v>
      </c>
      <c r="D140" s="607" t="s">
        <v>1213</v>
      </c>
      <c r="E140" s="607" t="s">
        <v>1208</v>
      </c>
      <c r="F140" s="607" t="s">
        <v>1209</v>
      </c>
      <c r="G140" s="607" t="s">
        <v>1205</v>
      </c>
      <c r="H140" s="607" t="s">
        <v>1205</v>
      </c>
      <c r="I140" s="607" t="s">
        <v>1205</v>
      </c>
      <c r="J140" s="608" t="str">
        <f t="shared" si="5"/>
        <v>Utilities</v>
      </c>
      <c r="N140" s="822">
        <v>221112</v>
      </c>
      <c r="O140" s="822" t="s">
        <v>1211</v>
      </c>
      <c r="P140" s="823">
        <v>4911</v>
      </c>
      <c r="Q140" s="823" t="s">
        <v>1204</v>
      </c>
    </row>
    <row r="141" spans="2:17" s="608" customFormat="1" x14ac:dyDescent="0.25">
      <c r="B141" s="605" t="s">
        <v>1214</v>
      </c>
      <c r="C141" s="606">
        <f t="shared" si="4"/>
        <v>221114</v>
      </c>
      <c r="D141" s="607" t="s">
        <v>1215</v>
      </c>
      <c r="E141" s="607" t="s">
        <v>1203</v>
      </c>
      <c r="F141" s="607" t="s">
        <v>1204</v>
      </c>
      <c r="G141" s="607" t="s">
        <v>1205</v>
      </c>
      <c r="H141" s="607" t="s">
        <v>1205</v>
      </c>
      <c r="I141" s="607" t="s">
        <v>1205</v>
      </c>
      <c r="J141" s="608" t="str">
        <f t="shared" si="5"/>
        <v>Utilities</v>
      </c>
      <c r="N141" s="822">
        <v>221112</v>
      </c>
      <c r="O141" s="822" t="s">
        <v>1211</v>
      </c>
      <c r="P141" s="823">
        <v>4931</v>
      </c>
      <c r="Q141" s="823" t="s">
        <v>1207</v>
      </c>
    </row>
    <row r="142" spans="2:17" s="608" customFormat="1" x14ac:dyDescent="0.25">
      <c r="B142" s="605" t="s">
        <v>1214</v>
      </c>
      <c r="C142" s="606">
        <f t="shared" si="4"/>
        <v>221114</v>
      </c>
      <c r="D142" s="607" t="s">
        <v>1215</v>
      </c>
      <c r="E142" s="607" t="s">
        <v>1206</v>
      </c>
      <c r="F142" s="607" t="s">
        <v>1207</v>
      </c>
      <c r="G142" s="607" t="s">
        <v>1205</v>
      </c>
      <c r="H142" s="607" t="s">
        <v>1205</v>
      </c>
      <c r="I142" s="607" t="s">
        <v>1205</v>
      </c>
      <c r="J142" s="608" t="str">
        <f t="shared" si="5"/>
        <v>Utilities</v>
      </c>
      <c r="N142" s="822">
        <v>221112</v>
      </c>
      <c r="O142" s="822" t="s">
        <v>1211</v>
      </c>
      <c r="P142" s="823">
        <v>4939</v>
      </c>
      <c r="Q142" s="823" t="s">
        <v>1209</v>
      </c>
    </row>
    <row r="143" spans="2:17" s="608" customFormat="1" x14ac:dyDescent="0.25">
      <c r="B143" s="605" t="s">
        <v>1214</v>
      </c>
      <c r="C143" s="606">
        <f t="shared" si="4"/>
        <v>221114</v>
      </c>
      <c r="D143" s="607" t="s">
        <v>1215</v>
      </c>
      <c r="E143" s="607" t="s">
        <v>1208</v>
      </c>
      <c r="F143" s="607" t="s">
        <v>1209</v>
      </c>
      <c r="G143" s="607" t="s">
        <v>1205</v>
      </c>
      <c r="H143" s="607" t="s">
        <v>1205</v>
      </c>
      <c r="I143" s="607" t="s">
        <v>1205</v>
      </c>
      <c r="J143" s="608" t="str">
        <f t="shared" si="5"/>
        <v>Utilities</v>
      </c>
      <c r="N143" s="822">
        <v>221113</v>
      </c>
      <c r="O143" s="822" t="s">
        <v>1213</v>
      </c>
      <c r="P143" s="823">
        <v>4911</v>
      </c>
      <c r="Q143" s="823" t="s">
        <v>1204</v>
      </c>
    </row>
    <row r="144" spans="2:17" s="608" customFormat="1" x14ac:dyDescent="0.25">
      <c r="B144" s="605" t="s">
        <v>1216</v>
      </c>
      <c r="C144" s="606">
        <f t="shared" si="4"/>
        <v>221115</v>
      </c>
      <c r="D144" s="607" t="s">
        <v>1217</v>
      </c>
      <c r="E144" s="607" t="s">
        <v>1203</v>
      </c>
      <c r="F144" s="607" t="s">
        <v>1204</v>
      </c>
      <c r="G144" s="607" t="s">
        <v>1205</v>
      </c>
      <c r="H144" s="607" t="s">
        <v>1205</v>
      </c>
      <c r="I144" s="607" t="s">
        <v>1205</v>
      </c>
      <c r="J144" s="608" t="str">
        <f t="shared" si="5"/>
        <v>Utilities</v>
      </c>
      <c r="N144" s="822">
        <v>221113</v>
      </c>
      <c r="O144" s="822" t="s">
        <v>1213</v>
      </c>
      <c r="P144" s="823">
        <v>4931</v>
      </c>
      <c r="Q144" s="823" t="s">
        <v>1207</v>
      </c>
    </row>
    <row r="145" spans="2:17" s="608" customFormat="1" x14ac:dyDescent="0.25">
      <c r="B145" s="605" t="s">
        <v>1216</v>
      </c>
      <c r="C145" s="606">
        <f t="shared" si="4"/>
        <v>221115</v>
      </c>
      <c r="D145" s="607" t="s">
        <v>1217</v>
      </c>
      <c r="E145" s="607" t="s">
        <v>1206</v>
      </c>
      <c r="F145" s="607" t="s">
        <v>1207</v>
      </c>
      <c r="G145" s="607" t="s">
        <v>1205</v>
      </c>
      <c r="H145" s="607" t="s">
        <v>1205</v>
      </c>
      <c r="I145" s="607" t="s">
        <v>1205</v>
      </c>
      <c r="J145" s="608" t="str">
        <f t="shared" si="5"/>
        <v>Utilities</v>
      </c>
      <c r="N145" s="822">
        <v>221113</v>
      </c>
      <c r="O145" s="822" t="s">
        <v>1213</v>
      </c>
      <c r="P145" s="823">
        <v>4939</v>
      </c>
      <c r="Q145" s="823" t="s">
        <v>1209</v>
      </c>
    </row>
    <row r="146" spans="2:17" s="608" customFormat="1" x14ac:dyDescent="0.25">
      <c r="B146" s="605" t="s">
        <v>1216</v>
      </c>
      <c r="C146" s="606">
        <f t="shared" si="4"/>
        <v>221115</v>
      </c>
      <c r="D146" s="607" t="s">
        <v>1217</v>
      </c>
      <c r="E146" s="607" t="s">
        <v>1208</v>
      </c>
      <c r="F146" s="607" t="s">
        <v>1209</v>
      </c>
      <c r="G146" s="607" t="s">
        <v>1205</v>
      </c>
      <c r="H146" s="607" t="s">
        <v>1205</v>
      </c>
      <c r="I146" s="607" t="s">
        <v>1205</v>
      </c>
      <c r="J146" s="608" t="str">
        <f t="shared" si="5"/>
        <v>Utilities</v>
      </c>
      <c r="N146" s="822">
        <v>221114</v>
      </c>
      <c r="O146" s="822" t="s">
        <v>1215</v>
      </c>
      <c r="P146" s="823">
        <v>4911</v>
      </c>
      <c r="Q146" s="823" t="s">
        <v>1204</v>
      </c>
    </row>
    <row r="147" spans="2:17" s="608" customFormat="1" x14ac:dyDescent="0.25">
      <c r="B147" s="605" t="s">
        <v>1218</v>
      </c>
      <c r="C147" s="606">
        <f t="shared" si="4"/>
        <v>221116</v>
      </c>
      <c r="D147" s="607" t="s">
        <v>1219</v>
      </c>
      <c r="E147" s="607" t="s">
        <v>1203</v>
      </c>
      <c r="F147" s="607" t="s">
        <v>1204</v>
      </c>
      <c r="G147" s="607" t="s">
        <v>1205</v>
      </c>
      <c r="H147" s="607" t="s">
        <v>1205</v>
      </c>
      <c r="I147" s="607" t="s">
        <v>1205</v>
      </c>
      <c r="J147" s="608" t="str">
        <f t="shared" si="5"/>
        <v>Utilities</v>
      </c>
      <c r="N147" s="822">
        <v>221114</v>
      </c>
      <c r="O147" s="822" t="s">
        <v>1215</v>
      </c>
      <c r="P147" s="823">
        <v>4931</v>
      </c>
      <c r="Q147" s="823" t="s">
        <v>1207</v>
      </c>
    </row>
    <row r="148" spans="2:17" s="608" customFormat="1" x14ac:dyDescent="0.25">
      <c r="B148" s="605" t="s">
        <v>1218</v>
      </c>
      <c r="C148" s="606">
        <f t="shared" si="4"/>
        <v>221116</v>
      </c>
      <c r="D148" s="607" t="s">
        <v>1219</v>
      </c>
      <c r="E148" s="607" t="s">
        <v>1206</v>
      </c>
      <c r="F148" s="607" t="s">
        <v>1207</v>
      </c>
      <c r="G148" s="607" t="s">
        <v>1205</v>
      </c>
      <c r="H148" s="607" t="s">
        <v>1205</v>
      </c>
      <c r="I148" s="607" t="s">
        <v>1205</v>
      </c>
      <c r="J148" s="608" t="str">
        <f t="shared" si="5"/>
        <v>Utilities</v>
      </c>
      <c r="N148" s="822">
        <v>221114</v>
      </c>
      <c r="O148" s="822" t="s">
        <v>1215</v>
      </c>
      <c r="P148" s="823">
        <v>4939</v>
      </c>
      <c r="Q148" s="823" t="s">
        <v>1209</v>
      </c>
    </row>
    <row r="149" spans="2:17" s="608" customFormat="1" x14ac:dyDescent="0.25">
      <c r="B149" s="605" t="s">
        <v>1218</v>
      </c>
      <c r="C149" s="606">
        <f t="shared" si="4"/>
        <v>221116</v>
      </c>
      <c r="D149" s="607" t="s">
        <v>1219</v>
      </c>
      <c r="E149" s="607" t="s">
        <v>1208</v>
      </c>
      <c r="F149" s="607" t="s">
        <v>1209</v>
      </c>
      <c r="G149" s="607" t="s">
        <v>1205</v>
      </c>
      <c r="H149" s="607" t="s">
        <v>1205</v>
      </c>
      <c r="I149" s="607" t="s">
        <v>1205</v>
      </c>
      <c r="J149" s="608" t="str">
        <f t="shared" si="5"/>
        <v>Utilities</v>
      </c>
      <c r="N149" s="822">
        <v>221115</v>
      </c>
      <c r="O149" s="822" t="s">
        <v>1217</v>
      </c>
      <c r="P149" s="823">
        <v>4911</v>
      </c>
      <c r="Q149" s="823" t="s">
        <v>1204</v>
      </c>
    </row>
    <row r="150" spans="2:17" s="608" customFormat="1" x14ac:dyDescent="0.25">
      <c r="B150" s="605" t="s">
        <v>1220</v>
      </c>
      <c r="C150" s="606">
        <f t="shared" si="4"/>
        <v>221117</v>
      </c>
      <c r="D150" s="607" t="s">
        <v>1221</v>
      </c>
      <c r="E150" s="607" t="s">
        <v>1203</v>
      </c>
      <c r="F150" s="607" t="s">
        <v>1204</v>
      </c>
      <c r="G150" s="607" t="s">
        <v>1205</v>
      </c>
      <c r="H150" s="607" t="s">
        <v>1205</v>
      </c>
      <c r="I150" s="607" t="s">
        <v>1205</v>
      </c>
      <c r="J150" s="608" t="str">
        <f t="shared" si="5"/>
        <v>Utilities</v>
      </c>
      <c r="N150" s="822">
        <v>221115</v>
      </c>
      <c r="O150" s="822" t="s">
        <v>1217</v>
      </c>
      <c r="P150" s="823">
        <v>4931</v>
      </c>
      <c r="Q150" s="823" t="s">
        <v>1207</v>
      </c>
    </row>
    <row r="151" spans="2:17" s="608" customFormat="1" x14ac:dyDescent="0.25">
      <c r="B151" s="605" t="s">
        <v>1220</v>
      </c>
      <c r="C151" s="606">
        <f t="shared" si="4"/>
        <v>221117</v>
      </c>
      <c r="D151" s="607" t="s">
        <v>1221</v>
      </c>
      <c r="E151" s="607" t="s">
        <v>1206</v>
      </c>
      <c r="F151" s="607" t="s">
        <v>1207</v>
      </c>
      <c r="G151" s="607" t="s">
        <v>1205</v>
      </c>
      <c r="H151" s="607" t="s">
        <v>1205</v>
      </c>
      <c r="I151" s="607" t="s">
        <v>1205</v>
      </c>
      <c r="J151" s="608" t="str">
        <f t="shared" si="5"/>
        <v>Utilities</v>
      </c>
      <c r="N151" s="822">
        <v>221115</v>
      </c>
      <c r="O151" s="822" t="s">
        <v>1217</v>
      </c>
      <c r="P151" s="823">
        <v>4939</v>
      </c>
      <c r="Q151" s="823" t="s">
        <v>1209</v>
      </c>
    </row>
    <row r="152" spans="2:17" s="608" customFormat="1" x14ac:dyDescent="0.25">
      <c r="B152" s="605" t="s">
        <v>1220</v>
      </c>
      <c r="C152" s="606">
        <f t="shared" si="4"/>
        <v>221117</v>
      </c>
      <c r="D152" s="607" t="s">
        <v>1221</v>
      </c>
      <c r="E152" s="607" t="s">
        <v>1208</v>
      </c>
      <c r="F152" s="607" t="s">
        <v>1209</v>
      </c>
      <c r="G152" s="607" t="s">
        <v>1205</v>
      </c>
      <c r="H152" s="607" t="s">
        <v>1205</v>
      </c>
      <c r="I152" s="607" t="s">
        <v>1205</v>
      </c>
      <c r="J152" s="608" t="str">
        <f t="shared" si="5"/>
        <v>Utilities</v>
      </c>
      <c r="N152" s="822">
        <v>221116</v>
      </c>
      <c r="O152" s="822" t="s">
        <v>1219</v>
      </c>
      <c r="P152" s="823">
        <v>4911</v>
      </c>
      <c r="Q152" s="823" t="s">
        <v>1204</v>
      </c>
    </row>
    <row r="153" spans="2:17" s="608" customFormat="1" x14ac:dyDescent="0.25">
      <c r="B153" s="605" t="s">
        <v>1222</v>
      </c>
      <c r="C153" s="606">
        <f t="shared" si="4"/>
        <v>221118</v>
      </c>
      <c r="D153" s="607" t="s">
        <v>1223</v>
      </c>
      <c r="E153" s="607" t="s">
        <v>1203</v>
      </c>
      <c r="F153" s="607" t="s">
        <v>1204</v>
      </c>
      <c r="G153" s="607" t="s">
        <v>1205</v>
      </c>
      <c r="H153" s="607" t="s">
        <v>1205</v>
      </c>
      <c r="I153" s="607" t="s">
        <v>1205</v>
      </c>
      <c r="J153" s="608" t="str">
        <f t="shared" si="5"/>
        <v>Utilities</v>
      </c>
      <c r="N153" s="822">
        <v>221116</v>
      </c>
      <c r="O153" s="822" t="s">
        <v>1219</v>
      </c>
      <c r="P153" s="823">
        <v>4931</v>
      </c>
      <c r="Q153" s="823" t="s">
        <v>1207</v>
      </c>
    </row>
    <row r="154" spans="2:17" s="608" customFormat="1" x14ac:dyDescent="0.25">
      <c r="B154" s="605" t="s">
        <v>1222</v>
      </c>
      <c r="C154" s="606">
        <f t="shared" si="4"/>
        <v>221118</v>
      </c>
      <c r="D154" s="607" t="s">
        <v>1223</v>
      </c>
      <c r="E154" s="607" t="s">
        <v>1206</v>
      </c>
      <c r="F154" s="607" t="s">
        <v>1207</v>
      </c>
      <c r="G154" s="607" t="s">
        <v>1205</v>
      </c>
      <c r="H154" s="607" t="s">
        <v>1205</v>
      </c>
      <c r="I154" s="607" t="s">
        <v>1205</v>
      </c>
      <c r="J154" s="608" t="str">
        <f t="shared" si="5"/>
        <v>Utilities</v>
      </c>
      <c r="N154" s="822">
        <v>221116</v>
      </c>
      <c r="O154" s="822" t="s">
        <v>1219</v>
      </c>
      <c r="P154" s="823">
        <v>4939</v>
      </c>
      <c r="Q154" s="823" t="s">
        <v>1209</v>
      </c>
    </row>
    <row r="155" spans="2:17" s="608" customFormat="1" x14ac:dyDescent="0.25">
      <c r="B155" s="605" t="s">
        <v>1222</v>
      </c>
      <c r="C155" s="606">
        <f t="shared" si="4"/>
        <v>221118</v>
      </c>
      <c r="D155" s="607" t="s">
        <v>1223</v>
      </c>
      <c r="E155" s="607" t="s">
        <v>1208</v>
      </c>
      <c r="F155" s="607" t="s">
        <v>1209</v>
      </c>
      <c r="G155" s="607" t="s">
        <v>1205</v>
      </c>
      <c r="H155" s="607" t="s">
        <v>1205</v>
      </c>
      <c r="I155" s="607" t="s">
        <v>1205</v>
      </c>
      <c r="J155" s="608" t="str">
        <f t="shared" si="5"/>
        <v>Utilities</v>
      </c>
      <c r="N155" s="822">
        <v>221117</v>
      </c>
      <c r="O155" s="822" t="s">
        <v>1221</v>
      </c>
      <c r="P155" s="823">
        <v>4911</v>
      </c>
      <c r="Q155" s="823" t="s">
        <v>1204</v>
      </c>
    </row>
    <row r="156" spans="2:17" s="608" customFormat="1" x14ac:dyDescent="0.25">
      <c r="B156" s="605" t="s">
        <v>1224</v>
      </c>
      <c r="C156" s="606">
        <f t="shared" si="4"/>
        <v>221121</v>
      </c>
      <c r="D156" s="607" t="s">
        <v>1225</v>
      </c>
      <c r="E156" s="607" t="s">
        <v>1203</v>
      </c>
      <c r="F156" s="607" t="s">
        <v>1204</v>
      </c>
      <c r="G156" s="607" t="s">
        <v>1205</v>
      </c>
      <c r="H156" s="607" t="s">
        <v>1205</v>
      </c>
      <c r="I156" s="607" t="s">
        <v>1205</v>
      </c>
      <c r="J156" s="608" t="str">
        <f t="shared" si="5"/>
        <v>Utilities</v>
      </c>
      <c r="N156" s="822">
        <v>221117</v>
      </c>
      <c r="O156" s="822" t="s">
        <v>1221</v>
      </c>
      <c r="P156" s="823">
        <v>4931</v>
      </c>
      <c r="Q156" s="823" t="s">
        <v>1207</v>
      </c>
    </row>
    <row r="157" spans="2:17" s="608" customFormat="1" x14ac:dyDescent="0.25">
      <c r="B157" s="605" t="s">
        <v>1224</v>
      </c>
      <c r="C157" s="606">
        <f t="shared" si="4"/>
        <v>221121</v>
      </c>
      <c r="D157" s="607" t="s">
        <v>1225</v>
      </c>
      <c r="E157" s="607" t="s">
        <v>1206</v>
      </c>
      <c r="F157" s="607" t="s">
        <v>1207</v>
      </c>
      <c r="G157" s="607" t="s">
        <v>1205</v>
      </c>
      <c r="H157" s="607" t="s">
        <v>1205</v>
      </c>
      <c r="I157" s="607" t="s">
        <v>1205</v>
      </c>
      <c r="J157" s="608" t="str">
        <f t="shared" si="5"/>
        <v>Utilities</v>
      </c>
      <c r="N157" s="822">
        <v>221117</v>
      </c>
      <c r="O157" s="822" t="s">
        <v>1221</v>
      </c>
      <c r="P157" s="823">
        <v>4939</v>
      </c>
      <c r="Q157" s="823" t="s">
        <v>1209</v>
      </c>
    </row>
    <row r="158" spans="2:17" s="608" customFormat="1" x14ac:dyDescent="0.25">
      <c r="B158" s="605" t="s">
        <v>1224</v>
      </c>
      <c r="C158" s="606">
        <f t="shared" si="4"/>
        <v>221121</v>
      </c>
      <c r="D158" s="607" t="s">
        <v>1225</v>
      </c>
      <c r="E158" s="607" t="s">
        <v>1208</v>
      </c>
      <c r="F158" s="607" t="s">
        <v>1209</v>
      </c>
      <c r="G158" s="607" t="s">
        <v>1205</v>
      </c>
      <c r="H158" s="607" t="s">
        <v>1205</v>
      </c>
      <c r="I158" s="607" t="s">
        <v>1205</v>
      </c>
      <c r="J158" s="608" t="str">
        <f t="shared" si="5"/>
        <v>Utilities</v>
      </c>
      <c r="N158" s="822">
        <v>221118</v>
      </c>
      <c r="O158" s="822" t="s">
        <v>1223</v>
      </c>
      <c r="P158" s="823">
        <v>4911</v>
      </c>
      <c r="Q158" s="823" t="s">
        <v>1204</v>
      </c>
    </row>
    <row r="159" spans="2:17" s="608" customFormat="1" x14ac:dyDescent="0.25">
      <c r="B159" s="605" t="s">
        <v>1226</v>
      </c>
      <c r="C159" s="606">
        <f t="shared" si="4"/>
        <v>221122</v>
      </c>
      <c r="D159" s="607" t="s">
        <v>1227</v>
      </c>
      <c r="E159" s="607" t="s">
        <v>1203</v>
      </c>
      <c r="F159" s="607" t="s">
        <v>1204</v>
      </c>
      <c r="G159" s="607" t="s">
        <v>1205</v>
      </c>
      <c r="H159" s="607" t="s">
        <v>1205</v>
      </c>
      <c r="I159" s="607" t="s">
        <v>1205</v>
      </c>
      <c r="J159" s="608" t="str">
        <f t="shared" si="5"/>
        <v>Utilities</v>
      </c>
      <c r="N159" s="822">
        <v>221118</v>
      </c>
      <c r="O159" s="822" t="s">
        <v>1223</v>
      </c>
      <c r="P159" s="823">
        <v>4931</v>
      </c>
      <c r="Q159" s="823" t="s">
        <v>1207</v>
      </c>
    </row>
    <row r="160" spans="2:17" s="608" customFormat="1" x14ac:dyDescent="0.25">
      <c r="B160" s="605" t="s">
        <v>1226</v>
      </c>
      <c r="C160" s="606">
        <f t="shared" si="4"/>
        <v>221122</v>
      </c>
      <c r="D160" s="607" t="s">
        <v>1227</v>
      </c>
      <c r="E160" s="607" t="s">
        <v>1206</v>
      </c>
      <c r="F160" s="607" t="s">
        <v>1207</v>
      </c>
      <c r="G160" s="607" t="s">
        <v>1205</v>
      </c>
      <c r="H160" s="607" t="s">
        <v>1205</v>
      </c>
      <c r="I160" s="607" t="s">
        <v>1205</v>
      </c>
      <c r="J160" s="608" t="str">
        <f t="shared" si="5"/>
        <v>Utilities</v>
      </c>
      <c r="N160" s="822">
        <v>221118</v>
      </c>
      <c r="O160" s="822" t="s">
        <v>1223</v>
      </c>
      <c r="P160" s="823">
        <v>4939</v>
      </c>
      <c r="Q160" s="823" t="s">
        <v>1209</v>
      </c>
    </row>
    <row r="161" spans="2:17" s="608" customFormat="1" x14ac:dyDescent="0.25">
      <c r="B161" s="605" t="s">
        <v>1226</v>
      </c>
      <c r="C161" s="606">
        <f t="shared" si="4"/>
        <v>221122</v>
      </c>
      <c r="D161" s="607" t="s">
        <v>1227</v>
      </c>
      <c r="E161" s="607" t="s">
        <v>1208</v>
      </c>
      <c r="F161" s="607" t="s">
        <v>1209</v>
      </c>
      <c r="G161" s="607" t="s">
        <v>1205</v>
      </c>
      <c r="H161" s="607" t="s">
        <v>1205</v>
      </c>
      <c r="I161" s="607" t="s">
        <v>1205</v>
      </c>
      <c r="J161" s="608" t="str">
        <f t="shared" si="5"/>
        <v>Utilities</v>
      </c>
      <c r="N161" s="823">
        <v>221119</v>
      </c>
      <c r="O161" s="823" t="s">
        <v>5823</v>
      </c>
      <c r="P161" s="823"/>
      <c r="Q161" s="823" t="s">
        <v>958</v>
      </c>
    </row>
    <row r="162" spans="2:17" s="608" customFormat="1" x14ac:dyDescent="0.25">
      <c r="B162" s="605" t="s">
        <v>1228</v>
      </c>
      <c r="C162" s="606">
        <f t="shared" si="4"/>
        <v>221210</v>
      </c>
      <c r="D162" s="607" t="s">
        <v>1229</v>
      </c>
      <c r="E162" s="607" t="s">
        <v>1230</v>
      </c>
      <c r="F162" s="607" t="s">
        <v>1231</v>
      </c>
      <c r="G162" s="607" t="s">
        <v>1205</v>
      </c>
      <c r="H162" s="607" t="s">
        <v>1205</v>
      </c>
      <c r="I162" s="607" t="s">
        <v>1205</v>
      </c>
      <c r="J162" s="608" t="str">
        <f t="shared" si="5"/>
        <v>Utilities</v>
      </c>
      <c r="N162" s="823">
        <v>221119</v>
      </c>
      <c r="O162" s="823" t="s">
        <v>5824</v>
      </c>
      <c r="P162" s="823"/>
      <c r="Q162" s="823" t="s">
        <v>958</v>
      </c>
    </row>
    <row r="163" spans="2:17" s="608" customFormat="1" x14ac:dyDescent="0.25">
      <c r="B163" s="605" t="s">
        <v>1228</v>
      </c>
      <c r="C163" s="606">
        <f t="shared" si="4"/>
        <v>221210</v>
      </c>
      <c r="D163" s="607" t="s">
        <v>1229</v>
      </c>
      <c r="E163" s="607" t="s">
        <v>1232</v>
      </c>
      <c r="F163" s="607" t="s">
        <v>1229</v>
      </c>
      <c r="G163" s="607" t="s">
        <v>1205</v>
      </c>
      <c r="H163" s="607" t="s">
        <v>1205</v>
      </c>
      <c r="I163" s="607" t="s">
        <v>1205</v>
      </c>
      <c r="J163" s="608" t="str">
        <f t="shared" si="5"/>
        <v>Utilities</v>
      </c>
      <c r="N163" s="823">
        <v>221119</v>
      </c>
      <c r="O163" s="823" t="s">
        <v>5825</v>
      </c>
      <c r="P163" s="823"/>
      <c r="Q163" s="823" t="s">
        <v>958</v>
      </c>
    </row>
    <row r="164" spans="2:17" s="608" customFormat="1" x14ac:dyDescent="0.25">
      <c r="B164" s="605" t="s">
        <v>1228</v>
      </c>
      <c r="C164" s="606">
        <f t="shared" si="4"/>
        <v>221210</v>
      </c>
      <c r="D164" s="607" t="s">
        <v>1229</v>
      </c>
      <c r="E164" s="607" t="s">
        <v>1233</v>
      </c>
      <c r="F164" s="607" t="s">
        <v>1234</v>
      </c>
      <c r="G164" s="607" t="s">
        <v>1205</v>
      </c>
      <c r="H164" s="607" t="s">
        <v>1205</v>
      </c>
      <c r="I164" s="607" t="s">
        <v>1205</v>
      </c>
      <c r="J164" s="608" t="str">
        <f t="shared" si="5"/>
        <v>Utilities</v>
      </c>
      <c r="N164" s="823">
        <v>221119</v>
      </c>
      <c r="O164" s="823" t="s">
        <v>5826</v>
      </c>
      <c r="P164" s="823"/>
      <c r="Q164" s="823" t="s">
        <v>958</v>
      </c>
    </row>
    <row r="165" spans="2:17" s="608" customFormat="1" x14ac:dyDescent="0.25">
      <c r="B165" s="605" t="s">
        <v>1228</v>
      </c>
      <c r="C165" s="606">
        <f t="shared" si="4"/>
        <v>221210</v>
      </c>
      <c r="D165" s="607" t="s">
        <v>1229</v>
      </c>
      <c r="E165" s="607" t="s">
        <v>1206</v>
      </c>
      <c r="F165" s="607" t="s">
        <v>1207</v>
      </c>
      <c r="G165" s="607" t="s">
        <v>1205</v>
      </c>
      <c r="H165" s="607" t="s">
        <v>1205</v>
      </c>
      <c r="I165" s="607" t="s">
        <v>1205</v>
      </c>
      <c r="J165" s="608" t="str">
        <f t="shared" si="5"/>
        <v>Utilities</v>
      </c>
      <c r="N165" s="823">
        <v>221119</v>
      </c>
      <c r="O165" s="823" t="s">
        <v>5827</v>
      </c>
      <c r="P165" s="823"/>
      <c r="Q165" s="823" t="s">
        <v>958</v>
      </c>
    </row>
    <row r="166" spans="2:17" s="608" customFormat="1" x14ac:dyDescent="0.25">
      <c r="B166" s="605" t="s">
        <v>1228</v>
      </c>
      <c r="C166" s="606">
        <f t="shared" si="4"/>
        <v>221210</v>
      </c>
      <c r="D166" s="607" t="s">
        <v>1229</v>
      </c>
      <c r="E166" s="607" t="s">
        <v>1235</v>
      </c>
      <c r="F166" s="607" t="s">
        <v>1236</v>
      </c>
      <c r="G166" s="607" t="s">
        <v>1205</v>
      </c>
      <c r="H166" s="607" t="s">
        <v>1205</v>
      </c>
      <c r="I166" s="607" t="s">
        <v>1205</v>
      </c>
      <c r="J166" s="608" t="str">
        <f t="shared" si="5"/>
        <v>Utilities</v>
      </c>
      <c r="N166" s="822">
        <v>221121</v>
      </c>
      <c r="O166" s="822" t="s">
        <v>1225</v>
      </c>
      <c r="P166" s="823">
        <v>4911</v>
      </c>
      <c r="Q166" s="823" t="s">
        <v>1204</v>
      </c>
    </row>
    <row r="167" spans="2:17" s="608" customFormat="1" x14ac:dyDescent="0.25">
      <c r="B167" s="605" t="s">
        <v>1228</v>
      </c>
      <c r="C167" s="606">
        <f t="shared" si="4"/>
        <v>221210</v>
      </c>
      <c r="D167" s="607" t="s">
        <v>1229</v>
      </c>
      <c r="E167" s="607" t="s">
        <v>1208</v>
      </c>
      <c r="F167" s="607" t="s">
        <v>1209</v>
      </c>
      <c r="G167" s="607" t="s">
        <v>1205</v>
      </c>
      <c r="H167" s="607" t="s">
        <v>1205</v>
      </c>
      <c r="I167" s="607" t="s">
        <v>1205</v>
      </c>
      <c r="J167" s="608" t="str">
        <f t="shared" si="5"/>
        <v>Utilities</v>
      </c>
      <c r="N167" s="822">
        <v>221121</v>
      </c>
      <c r="O167" s="822" t="s">
        <v>1225</v>
      </c>
      <c r="P167" s="823">
        <v>4931</v>
      </c>
      <c r="Q167" s="823" t="s">
        <v>1207</v>
      </c>
    </row>
    <row r="168" spans="2:17" s="608" customFormat="1" x14ac:dyDescent="0.25">
      <c r="B168" s="605" t="s">
        <v>1237</v>
      </c>
      <c r="C168" s="606">
        <f t="shared" si="4"/>
        <v>221310</v>
      </c>
      <c r="D168" s="607" t="s">
        <v>1238</v>
      </c>
      <c r="E168" s="607" t="s">
        <v>1239</v>
      </c>
      <c r="F168" s="607" t="s">
        <v>1240</v>
      </c>
      <c r="G168" s="607" t="s">
        <v>1205</v>
      </c>
      <c r="H168" s="607" t="s">
        <v>1205</v>
      </c>
      <c r="I168" s="607" t="s">
        <v>1205</v>
      </c>
      <c r="J168" s="608" t="str">
        <f t="shared" si="5"/>
        <v>Utilities</v>
      </c>
      <c r="N168" s="822">
        <v>221121</v>
      </c>
      <c r="O168" s="822" t="s">
        <v>1225</v>
      </c>
      <c r="P168" s="823">
        <v>4939</v>
      </c>
      <c r="Q168" s="823" t="s">
        <v>1209</v>
      </c>
    </row>
    <row r="169" spans="2:17" s="608" customFormat="1" x14ac:dyDescent="0.25">
      <c r="B169" s="605" t="s">
        <v>1237</v>
      </c>
      <c r="C169" s="606">
        <f t="shared" si="4"/>
        <v>221310</v>
      </c>
      <c r="D169" s="607" t="s">
        <v>1238</v>
      </c>
      <c r="E169" s="607" t="s">
        <v>1241</v>
      </c>
      <c r="F169" s="607" t="s">
        <v>1242</v>
      </c>
      <c r="G169" s="607" t="s">
        <v>1205</v>
      </c>
      <c r="H169" s="607" t="s">
        <v>1205</v>
      </c>
      <c r="I169" s="607" t="s">
        <v>1205</v>
      </c>
      <c r="J169" s="608" t="str">
        <f t="shared" si="5"/>
        <v>Utilities</v>
      </c>
      <c r="N169" s="822">
        <v>221122</v>
      </c>
      <c r="O169" s="822" t="s">
        <v>1227</v>
      </c>
      <c r="P169" s="823">
        <v>4911</v>
      </c>
      <c r="Q169" s="823" t="s">
        <v>1204</v>
      </c>
    </row>
    <row r="170" spans="2:17" s="608" customFormat="1" x14ac:dyDescent="0.25">
      <c r="B170" s="605" t="s">
        <v>1243</v>
      </c>
      <c r="C170" s="606">
        <f t="shared" si="4"/>
        <v>221320</v>
      </c>
      <c r="D170" s="607" t="s">
        <v>1244</v>
      </c>
      <c r="E170" s="607" t="s">
        <v>1245</v>
      </c>
      <c r="F170" s="607" t="s">
        <v>1246</v>
      </c>
      <c r="G170" s="607" t="s">
        <v>1205</v>
      </c>
      <c r="H170" s="607" t="s">
        <v>1205</v>
      </c>
      <c r="I170" s="607" t="s">
        <v>1205</v>
      </c>
      <c r="J170" s="608" t="str">
        <f t="shared" si="5"/>
        <v>Utilities</v>
      </c>
      <c r="N170" s="822">
        <v>221122</v>
      </c>
      <c r="O170" s="822" t="s">
        <v>1227</v>
      </c>
      <c r="P170" s="823">
        <v>4931</v>
      </c>
      <c r="Q170" s="823" t="s">
        <v>1207</v>
      </c>
    </row>
    <row r="171" spans="2:17" s="608" customFormat="1" x14ac:dyDescent="0.25">
      <c r="B171" s="605" t="s">
        <v>1247</v>
      </c>
      <c r="C171" s="606">
        <f t="shared" si="4"/>
        <v>221330</v>
      </c>
      <c r="D171" s="607" t="s">
        <v>1248</v>
      </c>
      <c r="E171" s="607" t="s">
        <v>1249</v>
      </c>
      <c r="F171" s="607" t="s">
        <v>1250</v>
      </c>
      <c r="G171" s="607" t="s">
        <v>1205</v>
      </c>
      <c r="H171" s="607" t="s">
        <v>1205</v>
      </c>
      <c r="I171" s="607" t="s">
        <v>1205</v>
      </c>
      <c r="J171" s="608" t="str">
        <f t="shared" si="5"/>
        <v>Utilities</v>
      </c>
      <c r="N171" s="822">
        <v>221122</v>
      </c>
      <c r="O171" s="822" t="s">
        <v>1227</v>
      </c>
      <c r="P171" s="823">
        <v>4939</v>
      </c>
      <c r="Q171" s="823" t="s">
        <v>1209</v>
      </c>
    </row>
    <row r="172" spans="2:17" s="608" customFormat="1" x14ac:dyDescent="0.25">
      <c r="B172" s="605" t="s">
        <v>1251</v>
      </c>
      <c r="C172" s="606">
        <f t="shared" si="4"/>
        <v>236115</v>
      </c>
      <c r="D172" s="607" t="s">
        <v>1252</v>
      </c>
      <c r="E172" s="607" t="s">
        <v>1253</v>
      </c>
      <c r="F172" s="607" t="s">
        <v>1254</v>
      </c>
      <c r="G172" s="607" t="s">
        <v>1019</v>
      </c>
      <c r="H172" s="607" t="s">
        <v>1019</v>
      </c>
      <c r="I172" s="607" t="s">
        <v>1255</v>
      </c>
      <c r="J172" s="608" t="str">
        <f t="shared" si="5"/>
        <v>Construction</v>
      </c>
      <c r="N172" s="822">
        <v>221210</v>
      </c>
      <c r="O172" s="822" t="s">
        <v>1229</v>
      </c>
      <c r="P172" s="823">
        <v>4923</v>
      </c>
      <c r="Q172" s="823" t="s">
        <v>1231</v>
      </c>
    </row>
    <row r="173" spans="2:17" s="608" customFormat="1" x14ac:dyDescent="0.25">
      <c r="B173" s="605" t="s">
        <v>1251</v>
      </c>
      <c r="C173" s="606">
        <f t="shared" si="4"/>
        <v>236115</v>
      </c>
      <c r="D173" s="607" t="s">
        <v>1252</v>
      </c>
      <c r="E173" s="607" t="s">
        <v>1256</v>
      </c>
      <c r="F173" s="607" t="s">
        <v>1257</v>
      </c>
      <c r="G173" s="607" t="s">
        <v>1019</v>
      </c>
      <c r="H173" s="607" t="s">
        <v>1019</v>
      </c>
      <c r="I173" s="607" t="s">
        <v>1255</v>
      </c>
      <c r="J173" s="608" t="str">
        <f t="shared" si="5"/>
        <v>Construction</v>
      </c>
      <c r="N173" s="822">
        <v>221210</v>
      </c>
      <c r="O173" s="822" t="s">
        <v>1229</v>
      </c>
      <c r="P173" s="823">
        <v>4924</v>
      </c>
      <c r="Q173" s="823" t="s">
        <v>1229</v>
      </c>
    </row>
    <row r="174" spans="2:17" s="608" customFormat="1" x14ac:dyDescent="0.25">
      <c r="B174" s="605" t="s">
        <v>1258</v>
      </c>
      <c r="C174" s="606">
        <f t="shared" si="4"/>
        <v>236116</v>
      </c>
      <c r="D174" s="607" t="s">
        <v>1259</v>
      </c>
      <c r="E174" s="607" t="s">
        <v>1260</v>
      </c>
      <c r="F174" s="607" t="s">
        <v>1261</v>
      </c>
      <c r="G174" s="607" t="s">
        <v>1019</v>
      </c>
      <c r="H174" s="607" t="s">
        <v>1019</v>
      </c>
      <c r="I174" s="607" t="s">
        <v>1255</v>
      </c>
      <c r="J174" s="608" t="str">
        <f t="shared" si="5"/>
        <v>Construction</v>
      </c>
      <c r="N174" s="822">
        <v>221210</v>
      </c>
      <c r="O174" s="822" t="s">
        <v>1229</v>
      </c>
      <c r="P174" s="823">
        <v>4925</v>
      </c>
      <c r="Q174" s="823" t="s">
        <v>1234</v>
      </c>
    </row>
    <row r="175" spans="2:17" s="608" customFormat="1" x14ac:dyDescent="0.25">
      <c r="B175" s="605" t="s">
        <v>1258</v>
      </c>
      <c r="C175" s="606">
        <f t="shared" si="4"/>
        <v>236116</v>
      </c>
      <c r="D175" s="607" t="s">
        <v>1259</v>
      </c>
      <c r="E175" s="607" t="s">
        <v>1256</v>
      </c>
      <c r="F175" s="607" t="s">
        <v>1257</v>
      </c>
      <c r="G175" s="607" t="s">
        <v>1019</v>
      </c>
      <c r="H175" s="607" t="s">
        <v>1019</v>
      </c>
      <c r="I175" s="607" t="s">
        <v>1255</v>
      </c>
      <c r="J175" s="608" t="str">
        <f t="shared" si="5"/>
        <v>Construction</v>
      </c>
      <c r="N175" s="822">
        <v>221210</v>
      </c>
      <c r="O175" s="822" t="s">
        <v>1229</v>
      </c>
      <c r="P175" s="823">
        <v>4931</v>
      </c>
      <c r="Q175" s="823" t="s">
        <v>1207</v>
      </c>
    </row>
    <row r="176" spans="2:17" s="608" customFormat="1" x14ac:dyDescent="0.25">
      <c r="B176" s="605" t="s">
        <v>1262</v>
      </c>
      <c r="C176" s="606">
        <f t="shared" si="4"/>
        <v>236117</v>
      </c>
      <c r="D176" s="607" t="s">
        <v>1263</v>
      </c>
      <c r="E176" s="607" t="s">
        <v>1264</v>
      </c>
      <c r="F176" s="607" t="s">
        <v>1265</v>
      </c>
      <c r="G176" s="607" t="s">
        <v>1019</v>
      </c>
      <c r="H176" s="607" t="s">
        <v>1019</v>
      </c>
      <c r="I176" s="607" t="s">
        <v>1255</v>
      </c>
      <c r="J176" s="608" t="str">
        <f t="shared" si="5"/>
        <v>Construction</v>
      </c>
      <c r="N176" s="822">
        <v>221210</v>
      </c>
      <c r="O176" s="822" t="s">
        <v>1229</v>
      </c>
      <c r="P176" s="823">
        <v>4932</v>
      </c>
      <c r="Q176" s="823" t="s">
        <v>1236</v>
      </c>
    </row>
    <row r="177" spans="2:17" s="608" customFormat="1" x14ac:dyDescent="0.25">
      <c r="B177" s="605" t="s">
        <v>1266</v>
      </c>
      <c r="C177" s="606">
        <f t="shared" si="4"/>
        <v>236118</v>
      </c>
      <c r="D177" s="607" t="s">
        <v>1267</v>
      </c>
      <c r="E177" s="607" t="s">
        <v>1253</v>
      </c>
      <c r="F177" s="607" t="s">
        <v>1254</v>
      </c>
      <c r="G177" s="607" t="s">
        <v>1019</v>
      </c>
      <c r="H177" s="607" t="s">
        <v>1019</v>
      </c>
      <c r="I177" s="607" t="s">
        <v>1255</v>
      </c>
      <c r="J177" s="608" t="str">
        <f t="shared" si="5"/>
        <v>Construction</v>
      </c>
      <c r="N177" s="822">
        <v>221210</v>
      </c>
      <c r="O177" s="822" t="s">
        <v>1229</v>
      </c>
      <c r="P177" s="823">
        <v>4939</v>
      </c>
      <c r="Q177" s="823" t="s">
        <v>1209</v>
      </c>
    </row>
    <row r="178" spans="2:17" s="608" customFormat="1" x14ac:dyDescent="0.25">
      <c r="B178" s="605" t="s">
        <v>1266</v>
      </c>
      <c r="C178" s="606">
        <f t="shared" si="4"/>
        <v>236118</v>
      </c>
      <c r="D178" s="607" t="s">
        <v>1267</v>
      </c>
      <c r="E178" s="607" t="s">
        <v>1260</v>
      </c>
      <c r="F178" s="607" t="s">
        <v>1261</v>
      </c>
      <c r="G178" s="607" t="s">
        <v>1019</v>
      </c>
      <c r="H178" s="607" t="s">
        <v>1019</v>
      </c>
      <c r="I178" s="607" t="s">
        <v>1255</v>
      </c>
      <c r="J178" s="608" t="str">
        <f t="shared" si="5"/>
        <v>Construction</v>
      </c>
      <c r="N178" s="822">
        <v>221310</v>
      </c>
      <c r="O178" s="822" t="s">
        <v>1238</v>
      </c>
      <c r="P178" s="823">
        <v>4941</v>
      </c>
      <c r="Q178" s="823" t="s">
        <v>1240</v>
      </c>
    </row>
    <row r="179" spans="2:17" s="608" customFormat="1" x14ac:dyDescent="0.25">
      <c r="B179" s="605" t="s">
        <v>1266</v>
      </c>
      <c r="C179" s="606">
        <f t="shared" si="4"/>
        <v>236118</v>
      </c>
      <c r="D179" s="607" t="s">
        <v>1267</v>
      </c>
      <c r="E179" s="607" t="s">
        <v>1264</v>
      </c>
      <c r="F179" s="607" t="s">
        <v>1265</v>
      </c>
      <c r="G179" s="607" t="s">
        <v>1019</v>
      </c>
      <c r="H179" s="607" t="s">
        <v>1019</v>
      </c>
      <c r="I179" s="607" t="s">
        <v>1255</v>
      </c>
      <c r="J179" s="608" t="str">
        <f t="shared" si="5"/>
        <v>Construction</v>
      </c>
      <c r="N179" s="822">
        <v>221310</v>
      </c>
      <c r="O179" s="822" t="s">
        <v>1238</v>
      </c>
      <c r="P179" s="823">
        <v>4971</v>
      </c>
      <c r="Q179" s="823" t="s">
        <v>1242</v>
      </c>
    </row>
    <row r="180" spans="2:17" s="608" customFormat="1" x14ac:dyDescent="0.25">
      <c r="B180" s="605" t="s">
        <v>1266</v>
      </c>
      <c r="C180" s="606">
        <f t="shared" si="4"/>
        <v>236118</v>
      </c>
      <c r="D180" s="607" t="s">
        <v>1267</v>
      </c>
      <c r="E180" s="607" t="s">
        <v>1256</v>
      </c>
      <c r="F180" s="607" t="s">
        <v>1257</v>
      </c>
      <c r="G180" s="607" t="s">
        <v>1019</v>
      </c>
      <c r="H180" s="607" t="s">
        <v>1019</v>
      </c>
      <c r="I180" s="607" t="s">
        <v>1255</v>
      </c>
      <c r="J180" s="608" t="str">
        <f t="shared" si="5"/>
        <v>Construction</v>
      </c>
      <c r="N180" s="822">
        <v>221320</v>
      </c>
      <c r="O180" s="822" t="s">
        <v>1244</v>
      </c>
      <c r="P180" s="823">
        <v>4952</v>
      </c>
      <c r="Q180" s="823" t="s">
        <v>1246</v>
      </c>
    </row>
    <row r="181" spans="2:17" s="608" customFormat="1" x14ac:dyDescent="0.25">
      <c r="B181" s="605" t="s">
        <v>1268</v>
      </c>
      <c r="C181" s="606">
        <f t="shared" si="4"/>
        <v>236210</v>
      </c>
      <c r="D181" s="607" t="s">
        <v>1269</v>
      </c>
      <c r="E181" s="607" t="s">
        <v>1264</v>
      </c>
      <c r="F181" s="607" t="s">
        <v>1265</v>
      </c>
      <c r="G181" s="607" t="s">
        <v>1019</v>
      </c>
      <c r="H181" s="607" t="s">
        <v>1019</v>
      </c>
      <c r="I181" s="607" t="s">
        <v>1255</v>
      </c>
      <c r="J181" s="608" t="str">
        <f t="shared" si="5"/>
        <v>Construction</v>
      </c>
      <c r="N181" s="822">
        <v>221330</v>
      </c>
      <c r="O181" s="822" t="s">
        <v>1248</v>
      </c>
      <c r="P181" s="823">
        <v>4961</v>
      </c>
      <c r="Q181" s="823" t="s">
        <v>1250</v>
      </c>
    </row>
    <row r="182" spans="2:17" s="608" customFormat="1" x14ac:dyDescent="0.25">
      <c r="B182" s="605" t="s">
        <v>1268</v>
      </c>
      <c r="C182" s="606">
        <f t="shared" si="4"/>
        <v>236210</v>
      </c>
      <c r="D182" s="607" t="s">
        <v>1269</v>
      </c>
      <c r="E182" s="607" t="s">
        <v>1270</v>
      </c>
      <c r="F182" s="607" t="s">
        <v>1271</v>
      </c>
      <c r="G182" s="607" t="s">
        <v>1019</v>
      </c>
      <c r="H182" s="607" t="s">
        <v>1019</v>
      </c>
      <c r="I182" s="607" t="s">
        <v>1255</v>
      </c>
      <c r="J182" s="608" t="str">
        <f t="shared" si="5"/>
        <v>Construction</v>
      </c>
      <c r="N182" s="822">
        <v>236110</v>
      </c>
      <c r="O182" s="822" t="s">
        <v>5828</v>
      </c>
      <c r="P182" s="823"/>
      <c r="Q182" s="823" t="s">
        <v>958</v>
      </c>
    </row>
    <row r="183" spans="2:17" s="608" customFormat="1" x14ac:dyDescent="0.25">
      <c r="B183" s="605" t="s">
        <v>1268</v>
      </c>
      <c r="C183" s="606">
        <f t="shared" si="4"/>
        <v>236210</v>
      </c>
      <c r="D183" s="607" t="s">
        <v>1269</v>
      </c>
      <c r="E183" s="607" t="s">
        <v>1272</v>
      </c>
      <c r="F183" s="607" t="s">
        <v>1273</v>
      </c>
      <c r="G183" s="607" t="s">
        <v>1019</v>
      </c>
      <c r="H183" s="607" t="s">
        <v>1019</v>
      </c>
      <c r="I183" s="607" t="s">
        <v>1255</v>
      </c>
      <c r="J183" s="608" t="str">
        <f t="shared" si="5"/>
        <v>Construction</v>
      </c>
      <c r="N183" s="822">
        <v>236115</v>
      </c>
      <c r="O183" s="822" t="s">
        <v>1252</v>
      </c>
      <c r="P183" s="823">
        <v>1521</v>
      </c>
      <c r="Q183" s="823" t="s">
        <v>1254</v>
      </c>
    </row>
    <row r="184" spans="2:17" s="608" customFormat="1" x14ac:dyDescent="0.25">
      <c r="B184" s="605" t="s">
        <v>1268</v>
      </c>
      <c r="C184" s="606">
        <f t="shared" si="4"/>
        <v>236210</v>
      </c>
      <c r="D184" s="607" t="s">
        <v>1269</v>
      </c>
      <c r="E184" s="607" t="s">
        <v>1256</v>
      </c>
      <c r="F184" s="607" t="s">
        <v>1257</v>
      </c>
      <c r="G184" s="607" t="s">
        <v>1019</v>
      </c>
      <c r="H184" s="607" t="s">
        <v>1019</v>
      </c>
      <c r="I184" s="607" t="s">
        <v>1255</v>
      </c>
      <c r="J184" s="608" t="str">
        <f t="shared" si="5"/>
        <v>Construction</v>
      </c>
      <c r="N184" s="822">
        <v>236115</v>
      </c>
      <c r="O184" s="822" t="s">
        <v>1252</v>
      </c>
      <c r="P184" s="823">
        <v>8741</v>
      </c>
      <c r="Q184" s="823" t="s">
        <v>1257</v>
      </c>
    </row>
    <row r="185" spans="2:17" s="608" customFormat="1" x14ac:dyDescent="0.25">
      <c r="B185" s="605" t="s">
        <v>1274</v>
      </c>
      <c r="C185" s="606">
        <f t="shared" si="4"/>
        <v>236220</v>
      </c>
      <c r="D185" s="607" t="s">
        <v>1275</v>
      </c>
      <c r="E185" s="607" t="s">
        <v>1260</v>
      </c>
      <c r="F185" s="607" t="s">
        <v>1261</v>
      </c>
      <c r="G185" s="607" t="s">
        <v>1019</v>
      </c>
      <c r="H185" s="607" t="s">
        <v>1019</v>
      </c>
      <c r="I185" s="607" t="s">
        <v>1255</v>
      </c>
      <c r="J185" s="608" t="str">
        <f t="shared" si="5"/>
        <v>Construction</v>
      </c>
      <c r="N185" s="822">
        <v>236116</v>
      </c>
      <c r="O185" s="822" t="s">
        <v>1259</v>
      </c>
      <c r="P185" s="823">
        <v>1522</v>
      </c>
      <c r="Q185" s="823" t="s">
        <v>1261</v>
      </c>
    </row>
    <row r="186" spans="2:17" s="608" customFormat="1" x14ac:dyDescent="0.25">
      <c r="B186" s="605" t="s">
        <v>1274</v>
      </c>
      <c r="C186" s="606">
        <f t="shared" si="4"/>
        <v>236220</v>
      </c>
      <c r="D186" s="607" t="s">
        <v>1275</v>
      </c>
      <c r="E186" s="607" t="s">
        <v>1264</v>
      </c>
      <c r="F186" s="607" t="s">
        <v>1265</v>
      </c>
      <c r="G186" s="607" t="s">
        <v>1019</v>
      </c>
      <c r="H186" s="607" t="s">
        <v>1019</v>
      </c>
      <c r="I186" s="607" t="s">
        <v>1255</v>
      </c>
      <c r="J186" s="608" t="str">
        <f t="shared" si="5"/>
        <v>Construction</v>
      </c>
      <c r="N186" s="822">
        <v>236116</v>
      </c>
      <c r="O186" s="822" t="s">
        <v>1259</v>
      </c>
      <c r="P186" s="823">
        <v>8741</v>
      </c>
      <c r="Q186" s="823" t="s">
        <v>1257</v>
      </c>
    </row>
    <row r="187" spans="2:17" s="608" customFormat="1" x14ac:dyDescent="0.25">
      <c r="B187" s="605" t="s">
        <v>1274</v>
      </c>
      <c r="C187" s="606">
        <f t="shared" si="4"/>
        <v>236220</v>
      </c>
      <c r="D187" s="607" t="s">
        <v>1275</v>
      </c>
      <c r="E187" s="607" t="s">
        <v>1270</v>
      </c>
      <c r="F187" s="607" t="s">
        <v>1271</v>
      </c>
      <c r="G187" s="607" t="s">
        <v>1019</v>
      </c>
      <c r="H187" s="607" t="s">
        <v>1019</v>
      </c>
      <c r="I187" s="607" t="s">
        <v>1255</v>
      </c>
      <c r="J187" s="608" t="str">
        <f t="shared" si="5"/>
        <v>Construction</v>
      </c>
      <c r="N187" s="822">
        <v>236117</v>
      </c>
      <c r="O187" s="822" t="s">
        <v>1263</v>
      </c>
      <c r="P187" s="823">
        <v>1531</v>
      </c>
      <c r="Q187" s="823" t="s">
        <v>1265</v>
      </c>
    </row>
    <row r="188" spans="2:17" s="608" customFormat="1" x14ac:dyDescent="0.25">
      <c r="B188" s="605" t="s">
        <v>1274</v>
      </c>
      <c r="C188" s="606">
        <f t="shared" si="4"/>
        <v>236220</v>
      </c>
      <c r="D188" s="607" t="s">
        <v>1275</v>
      </c>
      <c r="E188" s="607" t="s">
        <v>1276</v>
      </c>
      <c r="F188" s="607" t="s">
        <v>1277</v>
      </c>
      <c r="G188" s="607" t="s">
        <v>1019</v>
      </c>
      <c r="H188" s="607" t="s">
        <v>1019</v>
      </c>
      <c r="I188" s="607" t="s">
        <v>1255</v>
      </c>
      <c r="J188" s="608" t="str">
        <f t="shared" si="5"/>
        <v>Construction</v>
      </c>
      <c r="N188" s="822">
        <v>236118</v>
      </c>
      <c r="O188" s="822" t="s">
        <v>1267</v>
      </c>
      <c r="P188" s="823">
        <v>1521</v>
      </c>
      <c r="Q188" s="823" t="s">
        <v>1254</v>
      </c>
    </row>
    <row r="189" spans="2:17" s="608" customFormat="1" x14ac:dyDescent="0.25">
      <c r="B189" s="605" t="s">
        <v>1274</v>
      </c>
      <c r="C189" s="606">
        <f t="shared" si="4"/>
        <v>236220</v>
      </c>
      <c r="D189" s="607" t="s">
        <v>1275</v>
      </c>
      <c r="E189" s="607" t="s">
        <v>1278</v>
      </c>
      <c r="F189" s="607" t="s">
        <v>1279</v>
      </c>
      <c r="G189" s="607" t="s">
        <v>1019</v>
      </c>
      <c r="H189" s="607" t="s">
        <v>1019</v>
      </c>
      <c r="I189" s="607" t="s">
        <v>1255</v>
      </c>
      <c r="J189" s="608" t="str">
        <f t="shared" si="5"/>
        <v>Construction</v>
      </c>
      <c r="N189" s="822">
        <v>236118</v>
      </c>
      <c r="O189" s="822" t="s">
        <v>1267</v>
      </c>
      <c r="P189" s="823">
        <v>1522</v>
      </c>
      <c r="Q189" s="823" t="s">
        <v>1261</v>
      </c>
    </row>
    <row r="190" spans="2:17" s="608" customFormat="1" x14ac:dyDescent="0.25">
      <c r="B190" s="605" t="s">
        <v>1274</v>
      </c>
      <c r="C190" s="606">
        <f t="shared" si="4"/>
        <v>236220</v>
      </c>
      <c r="D190" s="607" t="s">
        <v>1275</v>
      </c>
      <c r="E190" s="607" t="s">
        <v>1256</v>
      </c>
      <c r="F190" s="607" t="s">
        <v>1257</v>
      </c>
      <c r="G190" s="607" t="s">
        <v>1019</v>
      </c>
      <c r="H190" s="607" t="s">
        <v>1019</v>
      </c>
      <c r="I190" s="607" t="s">
        <v>1255</v>
      </c>
      <c r="J190" s="608" t="str">
        <f t="shared" si="5"/>
        <v>Construction</v>
      </c>
      <c r="N190" s="822">
        <v>236118</v>
      </c>
      <c r="O190" s="822" t="s">
        <v>1267</v>
      </c>
      <c r="P190" s="823">
        <v>1531</v>
      </c>
      <c r="Q190" s="823" t="s">
        <v>1265</v>
      </c>
    </row>
    <row r="191" spans="2:17" s="608" customFormat="1" x14ac:dyDescent="0.25">
      <c r="B191" s="605" t="s">
        <v>1280</v>
      </c>
      <c r="C191" s="606">
        <f t="shared" si="4"/>
        <v>237110</v>
      </c>
      <c r="D191" s="607" t="s">
        <v>1281</v>
      </c>
      <c r="E191" s="607" t="s">
        <v>1282</v>
      </c>
      <c r="F191" s="607" t="s">
        <v>1283</v>
      </c>
      <c r="G191" s="607" t="s">
        <v>1019</v>
      </c>
      <c r="H191" s="607" t="s">
        <v>1019</v>
      </c>
      <c r="I191" s="607" t="s">
        <v>1255</v>
      </c>
      <c r="J191" s="608" t="str">
        <f t="shared" si="5"/>
        <v>Construction</v>
      </c>
      <c r="N191" s="822">
        <v>236118</v>
      </c>
      <c r="O191" s="822" t="s">
        <v>1267</v>
      </c>
      <c r="P191" s="823">
        <v>8741</v>
      </c>
      <c r="Q191" s="823" t="s">
        <v>1257</v>
      </c>
    </row>
    <row r="192" spans="2:17" s="608" customFormat="1" ht="18" x14ac:dyDescent="0.3">
      <c r="B192" s="605" t="s">
        <v>1280</v>
      </c>
      <c r="C192" s="606">
        <f t="shared" si="4"/>
        <v>237110</v>
      </c>
      <c r="D192" s="607" t="s">
        <v>1281</v>
      </c>
      <c r="E192" s="607" t="s">
        <v>1272</v>
      </c>
      <c r="F192" s="607" t="s">
        <v>1273</v>
      </c>
      <c r="G192" s="607" t="s">
        <v>1019</v>
      </c>
      <c r="H192" s="607" t="s">
        <v>1019</v>
      </c>
      <c r="I192" s="607" t="s">
        <v>1255</v>
      </c>
      <c r="J192" s="608" t="str">
        <f t="shared" si="5"/>
        <v>Construction</v>
      </c>
      <c r="N192" s="822">
        <v>236200</v>
      </c>
      <c r="O192" s="824" t="s">
        <v>5829</v>
      </c>
      <c r="P192" s="823"/>
      <c r="Q192" s="823" t="s">
        <v>958</v>
      </c>
    </row>
    <row r="193" spans="2:17" s="608" customFormat="1" x14ac:dyDescent="0.25">
      <c r="B193" s="605" t="s">
        <v>1280</v>
      </c>
      <c r="C193" s="606">
        <f t="shared" si="4"/>
        <v>237110</v>
      </c>
      <c r="D193" s="607" t="s">
        <v>1281</v>
      </c>
      <c r="E193" s="607" t="s">
        <v>1284</v>
      </c>
      <c r="F193" s="607" t="s">
        <v>1285</v>
      </c>
      <c r="G193" s="607" t="s">
        <v>1019</v>
      </c>
      <c r="H193" s="607" t="s">
        <v>1019</v>
      </c>
      <c r="I193" s="607" t="s">
        <v>1255</v>
      </c>
      <c r="J193" s="608" t="str">
        <f t="shared" si="5"/>
        <v>Construction</v>
      </c>
      <c r="N193" s="822">
        <v>236210</v>
      </c>
      <c r="O193" s="822" t="s">
        <v>1269</v>
      </c>
      <c r="P193" s="823">
        <v>1531</v>
      </c>
      <c r="Q193" s="823" t="s">
        <v>1265</v>
      </c>
    </row>
    <row r="194" spans="2:17" s="608" customFormat="1" x14ac:dyDescent="0.25">
      <c r="B194" s="605" t="s">
        <v>1280</v>
      </c>
      <c r="C194" s="606">
        <f t="shared" ref="C194:C257" si="6">B194+0</f>
        <v>237110</v>
      </c>
      <c r="D194" s="607" t="s">
        <v>1281</v>
      </c>
      <c r="E194" s="607" t="s">
        <v>1256</v>
      </c>
      <c r="F194" s="607" t="s">
        <v>1257</v>
      </c>
      <c r="G194" s="607" t="s">
        <v>1019</v>
      </c>
      <c r="H194" s="607" t="s">
        <v>1019</v>
      </c>
      <c r="I194" s="607" t="s">
        <v>1255</v>
      </c>
      <c r="J194" s="608" t="str">
        <f t="shared" ref="J194:J257" si="7">PROPER(I194)</f>
        <v>Construction</v>
      </c>
      <c r="N194" s="822">
        <v>236210</v>
      </c>
      <c r="O194" s="822" t="s">
        <v>1269</v>
      </c>
      <c r="P194" s="823">
        <v>1541</v>
      </c>
      <c r="Q194" s="823" t="s">
        <v>1271</v>
      </c>
    </row>
    <row r="195" spans="2:17" s="608" customFormat="1" x14ac:dyDescent="0.25">
      <c r="B195" s="605" t="s">
        <v>1286</v>
      </c>
      <c r="C195" s="606">
        <f t="shared" si="6"/>
        <v>237120</v>
      </c>
      <c r="D195" s="607" t="s">
        <v>1287</v>
      </c>
      <c r="E195" s="607" t="s">
        <v>1187</v>
      </c>
      <c r="F195" s="607" t="s">
        <v>1188</v>
      </c>
      <c r="G195" s="607" t="s">
        <v>1019</v>
      </c>
      <c r="H195" s="607" t="s">
        <v>1019</v>
      </c>
      <c r="I195" s="607" t="s">
        <v>1255</v>
      </c>
      <c r="J195" s="608" t="str">
        <f t="shared" si="7"/>
        <v>Construction</v>
      </c>
      <c r="N195" s="822">
        <v>236210</v>
      </c>
      <c r="O195" s="822" t="s">
        <v>1269</v>
      </c>
      <c r="P195" s="823">
        <v>1629</v>
      </c>
      <c r="Q195" s="823" t="s">
        <v>1273</v>
      </c>
    </row>
    <row r="196" spans="2:17" s="608" customFormat="1" x14ac:dyDescent="0.25">
      <c r="B196" s="605" t="s">
        <v>1286</v>
      </c>
      <c r="C196" s="606">
        <f t="shared" si="6"/>
        <v>237120</v>
      </c>
      <c r="D196" s="607" t="s">
        <v>1287</v>
      </c>
      <c r="E196" s="607" t="s">
        <v>1282</v>
      </c>
      <c r="F196" s="607" t="s">
        <v>1283</v>
      </c>
      <c r="G196" s="607" t="s">
        <v>1019</v>
      </c>
      <c r="H196" s="607" t="s">
        <v>1019</v>
      </c>
      <c r="I196" s="607" t="s">
        <v>1255</v>
      </c>
      <c r="J196" s="608" t="str">
        <f t="shared" si="7"/>
        <v>Construction</v>
      </c>
      <c r="N196" s="822">
        <v>236210</v>
      </c>
      <c r="O196" s="822" t="s">
        <v>1269</v>
      </c>
      <c r="P196" s="823">
        <v>8741</v>
      </c>
      <c r="Q196" s="823" t="s">
        <v>1257</v>
      </c>
    </row>
    <row r="197" spans="2:17" s="608" customFormat="1" x14ac:dyDescent="0.25">
      <c r="B197" s="605" t="s">
        <v>1286</v>
      </c>
      <c r="C197" s="606">
        <f t="shared" si="6"/>
        <v>237120</v>
      </c>
      <c r="D197" s="607" t="s">
        <v>1287</v>
      </c>
      <c r="E197" s="607" t="s">
        <v>1272</v>
      </c>
      <c r="F197" s="607" t="s">
        <v>1273</v>
      </c>
      <c r="G197" s="607" t="s">
        <v>1019</v>
      </c>
      <c r="H197" s="607" t="s">
        <v>1019</v>
      </c>
      <c r="I197" s="607" t="s">
        <v>1255</v>
      </c>
      <c r="J197" s="608" t="str">
        <f t="shared" si="7"/>
        <v>Construction</v>
      </c>
      <c r="N197" s="822">
        <v>236220</v>
      </c>
      <c r="O197" s="822" t="s">
        <v>1275</v>
      </c>
      <c r="P197" s="823">
        <v>1522</v>
      </c>
      <c r="Q197" s="823" t="s">
        <v>1261</v>
      </c>
    </row>
    <row r="198" spans="2:17" s="608" customFormat="1" x14ac:dyDescent="0.25">
      <c r="B198" s="605" t="s">
        <v>1286</v>
      </c>
      <c r="C198" s="606">
        <f t="shared" si="6"/>
        <v>237120</v>
      </c>
      <c r="D198" s="607" t="s">
        <v>1287</v>
      </c>
      <c r="E198" s="607" t="s">
        <v>1256</v>
      </c>
      <c r="F198" s="607" t="s">
        <v>1257</v>
      </c>
      <c r="G198" s="607" t="s">
        <v>1019</v>
      </c>
      <c r="H198" s="607" t="s">
        <v>1019</v>
      </c>
      <c r="I198" s="607" t="s">
        <v>1255</v>
      </c>
      <c r="J198" s="608" t="str">
        <f t="shared" si="7"/>
        <v>Construction</v>
      </c>
      <c r="N198" s="822">
        <v>236220</v>
      </c>
      <c r="O198" s="822" t="s">
        <v>1275</v>
      </c>
      <c r="P198" s="823">
        <v>1531</v>
      </c>
      <c r="Q198" s="823" t="s">
        <v>1265</v>
      </c>
    </row>
    <row r="199" spans="2:17" s="608" customFormat="1" x14ac:dyDescent="0.25">
      <c r="B199" s="605" t="s">
        <v>1288</v>
      </c>
      <c r="C199" s="606">
        <f t="shared" si="6"/>
        <v>237130</v>
      </c>
      <c r="D199" s="607" t="s">
        <v>1289</v>
      </c>
      <c r="E199" s="607" t="s">
        <v>1282</v>
      </c>
      <c r="F199" s="607" t="s">
        <v>1283</v>
      </c>
      <c r="G199" s="607" t="s">
        <v>1019</v>
      </c>
      <c r="H199" s="607" t="s">
        <v>1019</v>
      </c>
      <c r="I199" s="607" t="s">
        <v>1255</v>
      </c>
      <c r="J199" s="608" t="str">
        <f t="shared" si="7"/>
        <v>Construction</v>
      </c>
      <c r="N199" s="822">
        <v>236220</v>
      </c>
      <c r="O199" s="822" t="s">
        <v>1275</v>
      </c>
      <c r="P199" s="823">
        <v>1541</v>
      </c>
      <c r="Q199" s="823" t="s">
        <v>1271</v>
      </c>
    </row>
    <row r="200" spans="2:17" s="608" customFormat="1" x14ac:dyDescent="0.25">
      <c r="B200" s="605" t="s">
        <v>1288</v>
      </c>
      <c r="C200" s="606">
        <f t="shared" si="6"/>
        <v>237130</v>
      </c>
      <c r="D200" s="607" t="s">
        <v>1289</v>
      </c>
      <c r="E200" s="607" t="s">
        <v>1272</v>
      </c>
      <c r="F200" s="607" t="s">
        <v>1273</v>
      </c>
      <c r="G200" s="607" t="s">
        <v>1019</v>
      </c>
      <c r="H200" s="607" t="s">
        <v>1019</v>
      </c>
      <c r="I200" s="607" t="s">
        <v>1255</v>
      </c>
      <c r="J200" s="608" t="str">
        <f t="shared" si="7"/>
        <v>Construction</v>
      </c>
      <c r="N200" s="822">
        <v>236220</v>
      </c>
      <c r="O200" s="822" t="s">
        <v>1275</v>
      </c>
      <c r="P200" s="823">
        <v>1542</v>
      </c>
      <c r="Q200" s="823" t="s">
        <v>1277</v>
      </c>
    </row>
    <row r="201" spans="2:17" s="608" customFormat="1" x14ac:dyDescent="0.25">
      <c r="B201" s="605" t="s">
        <v>1288</v>
      </c>
      <c r="C201" s="606">
        <f t="shared" si="6"/>
        <v>237130</v>
      </c>
      <c r="D201" s="607" t="s">
        <v>1289</v>
      </c>
      <c r="E201" s="607" t="s">
        <v>1256</v>
      </c>
      <c r="F201" s="607" t="s">
        <v>1257</v>
      </c>
      <c r="G201" s="607" t="s">
        <v>1019</v>
      </c>
      <c r="H201" s="607" t="s">
        <v>1019</v>
      </c>
      <c r="I201" s="607" t="s">
        <v>1255</v>
      </c>
      <c r="J201" s="608" t="str">
        <f t="shared" si="7"/>
        <v>Construction</v>
      </c>
      <c r="N201" s="822">
        <v>236220</v>
      </c>
      <c r="O201" s="822" t="s">
        <v>1275</v>
      </c>
      <c r="P201" s="823">
        <v>1799</v>
      </c>
      <c r="Q201" s="823" t="s">
        <v>1279</v>
      </c>
    </row>
    <row r="202" spans="2:17" s="608" customFormat="1" x14ac:dyDescent="0.25">
      <c r="B202" s="605" t="s">
        <v>1290</v>
      </c>
      <c r="C202" s="606">
        <f t="shared" si="6"/>
        <v>237210</v>
      </c>
      <c r="D202" s="607" t="s">
        <v>1291</v>
      </c>
      <c r="E202" s="607" t="s">
        <v>1292</v>
      </c>
      <c r="F202" s="607" t="s">
        <v>1293</v>
      </c>
      <c r="G202" s="607" t="s">
        <v>1019</v>
      </c>
      <c r="H202" s="607" t="s">
        <v>1019</v>
      </c>
      <c r="I202" s="607" t="s">
        <v>1255</v>
      </c>
      <c r="J202" s="608" t="str">
        <f t="shared" si="7"/>
        <v>Construction</v>
      </c>
      <c r="N202" s="822">
        <v>236220</v>
      </c>
      <c r="O202" s="822" t="s">
        <v>1275</v>
      </c>
      <c r="P202" s="823">
        <v>8741</v>
      </c>
      <c r="Q202" s="823" t="s">
        <v>1257</v>
      </c>
    </row>
    <row r="203" spans="2:17" s="608" customFormat="1" x14ac:dyDescent="0.25">
      <c r="B203" s="605" t="s">
        <v>1294</v>
      </c>
      <c r="C203" s="606">
        <f t="shared" si="6"/>
        <v>237310</v>
      </c>
      <c r="D203" s="607" t="s">
        <v>1295</v>
      </c>
      <c r="E203" s="607" t="s">
        <v>1296</v>
      </c>
      <c r="F203" s="607" t="s">
        <v>1297</v>
      </c>
      <c r="G203" s="607" t="s">
        <v>1019</v>
      </c>
      <c r="H203" s="607" t="s">
        <v>1019</v>
      </c>
      <c r="I203" s="607" t="s">
        <v>1255</v>
      </c>
      <c r="J203" s="608" t="str">
        <f t="shared" si="7"/>
        <v>Construction</v>
      </c>
      <c r="N203" s="822">
        <v>237110</v>
      </c>
      <c r="O203" s="822" t="s">
        <v>1281</v>
      </c>
      <c r="P203" s="823">
        <v>1623</v>
      </c>
      <c r="Q203" s="823" t="s">
        <v>1283</v>
      </c>
    </row>
    <row r="204" spans="2:17" s="608" customFormat="1" x14ac:dyDescent="0.25">
      <c r="B204" s="605" t="s">
        <v>1294</v>
      </c>
      <c r="C204" s="606">
        <f t="shared" si="6"/>
        <v>237310</v>
      </c>
      <c r="D204" s="607" t="s">
        <v>1295</v>
      </c>
      <c r="E204" s="607" t="s">
        <v>1298</v>
      </c>
      <c r="F204" s="607" t="s">
        <v>1299</v>
      </c>
      <c r="G204" s="607" t="s">
        <v>1019</v>
      </c>
      <c r="H204" s="607" t="s">
        <v>1019</v>
      </c>
      <c r="I204" s="607" t="s">
        <v>1255</v>
      </c>
      <c r="J204" s="608" t="str">
        <f t="shared" si="7"/>
        <v>Construction</v>
      </c>
      <c r="N204" s="822">
        <v>237110</v>
      </c>
      <c r="O204" s="822" t="s">
        <v>1281</v>
      </c>
      <c r="P204" s="823">
        <v>1629</v>
      </c>
      <c r="Q204" s="823" t="s">
        <v>1273</v>
      </c>
    </row>
    <row r="205" spans="2:17" s="608" customFormat="1" x14ac:dyDescent="0.25">
      <c r="B205" s="605" t="s">
        <v>1294</v>
      </c>
      <c r="C205" s="606">
        <f t="shared" si="6"/>
        <v>237310</v>
      </c>
      <c r="D205" s="607" t="s">
        <v>1295</v>
      </c>
      <c r="E205" s="607" t="s">
        <v>1300</v>
      </c>
      <c r="F205" s="607" t="s">
        <v>1301</v>
      </c>
      <c r="G205" s="607" t="s">
        <v>1019</v>
      </c>
      <c r="H205" s="607" t="s">
        <v>1019</v>
      </c>
      <c r="I205" s="607" t="s">
        <v>1255</v>
      </c>
      <c r="J205" s="608" t="str">
        <f t="shared" si="7"/>
        <v>Construction</v>
      </c>
      <c r="N205" s="822">
        <v>237110</v>
      </c>
      <c r="O205" s="822" t="s">
        <v>1281</v>
      </c>
      <c r="P205" s="823">
        <v>1781</v>
      </c>
      <c r="Q205" s="823" t="s">
        <v>1285</v>
      </c>
    </row>
    <row r="206" spans="2:17" s="608" customFormat="1" x14ac:dyDescent="0.25">
      <c r="B206" s="605" t="s">
        <v>1294</v>
      </c>
      <c r="C206" s="606">
        <f t="shared" si="6"/>
        <v>237310</v>
      </c>
      <c r="D206" s="607" t="s">
        <v>1295</v>
      </c>
      <c r="E206" s="607" t="s">
        <v>1256</v>
      </c>
      <c r="F206" s="607" t="s">
        <v>1257</v>
      </c>
      <c r="G206" s="607" t="s">
        <v>1019</v>
      </c>
      <c r="H206" s="607" t="s">
        <v>1019</v>
      </c>
      <c r="I206" s="607" t="s">
        <v>1255</v>
      </c>
      <c r="J206" s="608" t="str">
        <f t="shared" si="7"/>
        <v>Construction</v>
      </c>
      <c r="N206" s="822">
        <v>237110</v>
      </c>
      <c r="O206" s="822" t="s">
        <v>1281</v>
      </c>
      <c r="P206" s="823">
        <v>8741</v>
      </c>
      <c r="Q206" s="823" t="s">
        <v>1257</v>
      </c>
    </row>
    <row r="207" spans="2:17" s="608" customFormat="1" x14ac:dyDescent="0.25">
      <c r="B207" s="605" t="s">
        <v>1302</v>
      </c>
      <c r="C207" s="606">
        <f t="shared" si="6"/>
        <v>237990</v>
      </c>
      <c r="D207" s="607" t="s">
        <v>1303</v>
      </c>
      <c r="E207" s="607" t="s">
        <v>1298</v>
      </c>
      <c r="F207" s="607" t="s">
        <v>1299</v>
      </c>
      <c r="G207" s="607" t="s">
        <v>1019</v>
      </c>
      <c r="H207" s="607" t="s">
        <v>1019</v>
      </c>
      <c r="I207" s="607" t="s">
        <v>1255</v>
      </c>
      <c r="J207" s="608" t="str">
        <f t="shared" si="7"/>
        <v>Construction</v>
      </c>
      <c r="N207" s="822">
        <v>237120</v>
      </c>
      <c r="O207" s="822" t="s">
        <v>1287</v>
      </c>
      <c r="P207" s="823">
        <v>1389</v>
      </c>
      <c r="Q207" s="823" t="s">
        <v>1188</v>
      </c>
    </row>
    <row r="208" spans="2:17" s="608" customFormat="1" x14ac:dyDescent="0.25">
      <c r="B208" s="605" t="s">
        <v>1302</v>
      </c>
      <c r="C208" s="606">
        <f t="shared" si="6"/>
        <v>237990</v>
      </c>
      <c r="D208" s="607" t="s">
        <v>1303</v>
      </c>
      <c r="E208" s="607" t="s">
        <v>1272</v>
      </c>
      <c r="F208" s="607" t="s">
        <v>1273</v>
      </c>
      <c r="G208" s="607" t="s">
        <v>1019</v>
      </c>
      <c r="H208" s="607" t="s">
        <v>1019</v>
      </c>
      <c r="I208" s="607" t="s">
        <v>1255</v>
      </c>
      <c r="J208" s="608" t="str">
        <f t="shared" si="7"/>
        <v>Construction</v>
      </c>
      <c r="N208" s="822">
        <v>237120</v>
      </c>
      <c r="O208" s="822" t="s">
        <v>1287</v>
      </c>
      <c r="P208" s="823">
        <v>1623</v>
      </c>
      <c r="Q208" s="823" t="s">
        <v>1283</v>
      </c>
    </row>
    <row r="209" spans="2:17" s="608" customFormat="1" x14ac:dyDescent="0.25">
      <c r="B209" s="605" t="s">
        <v>1302</v>
      </c>
      <c r="C209" s="606">
        <f t="shared" si="6"/>
        <v>237990</v>
      </c>
      <c r="D209" s="607" t="s">
        <v>1303</v>
      </c>
      <c r="E209" s="607" t="s">
        <v>1278</v>
      </c>
      <c r="F209" s="607" t="s">
        <v>1279</v>
      </c>
      <c r="G209" s="607" t="s">
        <v>1019</v>
      </c>
      <c r="H209" s="607" t="s">
        <v>1019</v>
      </c>
      <c r="I209" s="607" t="s">
        <v>1255</v>
      </c>
      <c r="J209" s="608" t="str">
        <f t="shared" si="7"/>
        <v>Construction</v>
      </c>
      <c r="N209" s="822">
        <v>237120</v>
      </c>
      <c r="O209" s="822" t="s">
        <v>1287</v>
      </c>
      <c r="P209" s="823">
        <v>1629</v>
      </c>
      <c r="Q209" s="823" t="s">
        <v>1273</v>
      </c>
    </row>
    <row r="210" spans="2:17" s="608" customFormat="1" x14ac:dyDescent="0.25">
      <c r="B210" s="605" t="s">
        <v>1302</v>
      </c>
      <c r="C210" s="606">
        <f t="shared" si="6"/>
        <v>237990</v>
      </c>
      <c r="D210" s="607" t="s">
        <v>1303</v>
      </c>
      <c r="E210" s="607" t="s">
        <v>1256</v>
      </c>
      <c r="F210" s="607" t="s">
        <v>1257</v>
      </c>
      <c r="G210" s="607" t="s">
        <v>1019</v>
      </c>
      <c r="H210" s="607" t="s">
        <v>1019</v>
      </c>
      <c r="I210" s="607" t="s">
        <v>1255</v>
      </c>
      <c r="J210" s="608" t="str">
        <f t="shared" si="7"/>
        <v>Construction</v>
      </c>
      <c r="N210" s="822">
        <v>237120</v>
      </c>
      <c r="O210" s="822" t="s">
        <v>1287</v>
      </c>
      <c r="P210" s="823">
        <v>8741</v>
      </c>
      <c r="Q210" s="823" t="s">
        <v>1257</v>
      </c>
    </row>
    <row r="211" spans="2:17" s="608" customFormat="1" x14ac:dyDescent="0.25">
      <c r="B211" s="605" t="s">
        <v>1304</v>
      </c>
      <c r="C211" s="606">
        <f t="shared" si="6"/>
        <v>238110</v>
      </c>
      <c r="D211" s="607" t="s">
        <v>1305</v>
      </c>
      <c r="E211" s="607" t="s">
        <v>1306</v>
      </c>
      <c r="F211" s="607" t="s">
        <v>1307</v>
      </c>
      <c r="G211" s="607" t="s">
        <v>1019</v>
      </c>
      <c r="H211" s="607" t="s">
        <v>1019</v>
      </c>
      <c r="I211" s="607" t="s">
        <v>1255</v>
      </c>
      <c r="J211" s="608" t="str">
        <f t="shared" si="7"/>
        <v>Construction</v>
      </c>
      <c r="N211" s="822">
        <v>237130</v>
      </c>
      <c r="O211" s="822" t="s">
        <v>1289</v>
      </c>
      <c r="P211" s="823">
        <v>1623</v>
      </c>
      <c r="Q211" s="823" t="s">
        <v>1283</v>
      </c>
    </row>
    <row r="212" spans="2:17" s="608" customFormat="1" x14ac:dyDescent="0.25">
      <c r="B212" s="605" t="s">
        <v>1308</v>
      </c>
      <c r="C212" s="606">
        <f t="shared" si="6"/>
        <v>238120</v>
      </c>
      <c r="D212" s="607" t="s">
        <v>1309</v>
      </c>
      <c r="E212" s="607" t="s">
        <v>1310</v>
      </c>
      <c r="F212" s="607" t="s">
        <v>1311</v>
      </c>
      <c r="G212" s="607" t="s">
        <v>1019</v>
      </c>
      <c r="H212" s="607" t="s">
        <v>1019</v>
      </c>
      <c r="I212" s="607" t="s">
        <v>1255</v>
      </c>
      <c r="J212" s="608" t="str">
        <f t="shared" si="7"/>
        <v>Construction</v>
      </c>
      <c r="N212" s="822">
        <v>237130</v>
      </c>
      <c r="O212" s="822" t="s">
        <v>1289</v>
      </c>
      <c r="P212" s="823">
        <v>1629</v>
      </c>
      <c r="Q212" s="823" t="s">
        <v>1273</v>
      </c>
    </row>
    <row r="213" spans="2:17" s="608" customFormat="1" x14ac:dyDescent="0.25">
      <c r="B213" s="605" t="s">
        <v>1312</v>
      </c>
      <c r="C213" s="606">
        <f t="shared" si="6"/>
        <v>238130</v>
      </c>
      <c r="D213" s="607" t="s">
        <v>1313</v>
      </c>
      <c r="E213" s="607" t="s">
        <v>1314</v>
      </c>
      <c r="F213" s="607" t="s">
        <v>1315</v>
      </c>
      <c r="G213" s="607" t="s">
        <v>1019</v>
      </c>
      <c r="H213" s="607" t="s">
        <v>1019</v>
      </c>
      <c r="I213" s="607" t="s">
        <v>1255</v>
      </c>
      <c r="J213" s="608" t="str">
        <f t="shared" si="7"/>
        <v>Construction</v>
      </c>
      <c r="N213" s="822">
        <v>237130</v>
      </c>
      <c r="O213" s="822" t="s">
        <v>1289</v>
      </c>
      <c r="P213" s="823">
        <v>8741</v>
      </c>
      <c r="Q213" s="823" t="s">
        <v>1257</v>
      </c>
    </row>
    <row r="214" spans="2:17" s="608" customFormat="1" x14ac:dyDescent="0.25">
      <c r="B214" s="605" t="s">
        <v>1316</v>
      </c>
      <c r="C214" s="606">
        <f t="shared" si="6"/>
        <v>238140</v>
      </c>
      <c r="D214" s="607" t="s">
        <v>1317</v>
      </c>
      <c r="E214" s="607" t="s">
        <v>1318</v>
      </c>
      <c r="F214" s="607" t="s">
        <v>1319</v>
      </c>
      <c r="G214" s="607" t="s">
        <v>1019</v>
      </c>
      <c r="H214" s="607" t="s">
        <v>1019</v>
      </c>
      <c r="I214" s="607" t="s">
        <v>1255</v>
      </c>
      <c r="J214" s="608" t="str">
        <f t="shared" si="7"/>
        <v>Construction</v>
      </c>
      <c r="N214" s="822">
        <v>237210</v>
      </c>
      <c r="O214" s="822" t="s">
        <v>1291</v>
      </c>
      <c r="P214" s="823">
        <v>6552</v>
      </c>
      <c r="Q214" s="823" t="s">
        <v>1293</v>
      </c>
    </row>
    <row r="215" spans="2:17" s="608" customFormat="1" x14ac:dyDescent="0.25">
      <c r="B215" s="605" t="s">
        <v>1316</v>
      </c>
      <c r="C215" s="606">
        <f t="shared" si="6"/>
        <v>238140</v>
      </c>
      <c r="D215" s="607" t="s">
        <v>1317</v>
      </c>
      <c r="E215" s="607" t="s">
        <v>1306</v>
      </c>
      <c r="F215" s="607" t="s">
        <v>1307</v>
      </c>
      <c r="G215" s="607" t="s">
        <v>1019</v>
      </c>
      <c r="H215" s="607" t="s">
        <v>1019</v>
      </c>
      <c r="I215" s="607" t="s">
        <v>1255</v>
      </c>
      <c r="J215" s="608" t="str">
        <f t="shared" si="7"/>
        <v>Construction</v>
      </c>
      <c r="N215" s="822">
        <v>237310</v>
      </c>
      <c r="O215" s="822" t="s">
        <v>1295</v>
      </c>
      <c r="P215" s="823">
        <v>1611</v>
      </c>
      <c r="Q215" s="823" t="s">
        <v>1297</v>
      </c>
    </row>
    <row r="216" spans="2:17" s="608" customFormat="1" x14ac:dyDescent="0.25">
      <c r="B216" s="605" t="s">
        <v>1320</v>
      </c>
      <c r="C216" s="606">
        <f t="shared" si="6"/>
        <v>238150</v>
      </c>
      <c r="D216" s="607" t="s">
        <v>1321</v>
      </c>
      <c r="E216" s="607" t="s">
        <v>1322</v>
      </c>
      <c r="F216" s="607" t="s">
        <v>1323</v>
      </c>
      <c r="G216" s="607" t="s">
        <v>1019</v>
      </c>
      <c r="H216" s="607" t="s">
        <v>1019</v>
      </c>
      <c r="I216" s="607" t="s">
        <v>1255</v>
      </c>
      <c r="J216" s="608" t="str">
        <f t="shared" si="7"/>
        <v>Construction</v>
      </c>
      <c r="N216" s="822">
        <v>237310</v>
      </c>
      <c r="O216" s="822" t="s">
        <v>1295</v>
      </c>
      <c r="P216" s="823">
        <v>1622</v>
      </c>
      <c r="Q216" s="823" t="s">
        <v>1299</v>
      </c>
    </row>
    <row r="217" spans="2:17" s="608" customFormat="1" x14ac:dyDescent="0.25">
      <c r="B217" s="605" t="s">
        <v>1320</v>
      </c>
      <c r="C217" s="606">
        <f t="shared" si="6"/>
        <v>238150</v>
      </c>
      <c r="D217" s="607" t="s">
        <v>1321</v>
      </c>
      <c r="E217" s="607" t="s">
        <v>1278</v>
      </c>
      <c r="F217" s="607" t="s">
        <v>1279</v>
      </c>
      <c r="G217" s="607" t="s">
        <v>1019</v>
      </c>
      <c r="H217" s="607" t="s">
        <v>1019</v>
      </c>
      <c r="I217" s="607" t="s">
        <v>1255</v>
      </c>
      <c r="J217" s="608" t="str">
        <f t="shared" si="7"/>
        <v>Construction</v>
      </c>
      <c r="N217" s="822">
        <v>237310</v>
      </c>
      <c r="O217" s="822" t="s">
        <v>1295</v>
      </c>
      <c r="P217" s="823">
        <v>1721</v>
      </c>
      <c r="Q217" s="823" t="s">
        <v>1301</v>
      </c>
    </row>
    <row r="218" spans="2:17" s="608" customFormat="1" x14ac:dyDescent="0.25">
      <c r="B218" s="605" t="s">
        <v>1324</v>
      </c>
      <c r="C218" s="606">
        <f t="shared" si="6"/>
        <v>238160</v>
      </c>
      <c r="D218" s="607" t="s">
        <v>1325</v>
      </c>
      <c r="E218" s="607" t="s">
        <v>1326</v>
      </c>
      <c r="F218" s="607" t="s">
        <v>1327</v>
      </c>
      <c r="G218" s="607" t="s">
        <v>1019</v>
      </c>
      <c r="H218" s="607" t="s">
        <v>1019</v>
      </c>
      <c r="I218" s="607" t="s">
        <v>1255</v>
      </c>
      <c r="J218" s="608" t="str">
        <f t="shared" si="7"/>
        <v>Construction</v>
      </c>
      <c r="N218" s="822">
        <v>237310</v>
      </c>
      <c r="O218" s="822" t="s">
        <v>1295</v>
      </c>
      <c r="P218" s="823">
        <v>8741</v>
      </c>
      <c r="Q218" s="823" t="s">
        <v>1257</v>
      </c>
    </row>
    <row r="219" spans="2:17" s="608" customFormat="1" x14ac:dyDescent="0.25">
      <c r="B219" s="605" t="s">
        <v>1328</v>
      </c>
      <c r="C219" s="606">
        <f t="shared" si="6"/>
        <v>238170</v>
      </c>
      <c r="D219" s="607" t="s">
        <v>1329</v>
      </c>
      <c r="E219" s="607" t="s">
        <v>1326</v>
      </c>
      <c r="F219" s="607" t="s">
        <v>1327</v>
      </c>
      <c r="G219" s="607" t="s">
        <v>1019</v>
      </c>
      <c r="H219" s="607" t="s">
        <v>1019</v>
      </c>
      <c r="I219" s="607" t="s">
        <v>1255</v>
      </c>
      <c r="J219" s="608" t="str">
        <f t="shared" si="7"/>
        <v>Construction</v>
      </c>
      <c r="N219" s="822">
        <v>237990</v>
      </c>
      <c r="O219" s="822" t="s">
        <v>1303</v>
      </c>
      <c r="P219" s="823">
        <v>1622</v>
      </c>
      <c r="Q219" s="823" t="s">
        <v>1299</v>
      </c>
    </row>
    <row r="220" spans="2:17" s="608" customFormat="1" x14ac:dyDescent="0.25">
      <c r="B220" s="605" t="s">
        <v>1330</v>
      </c>
      <c r="C220" s="606">
        <f t="shared" si="6"/>
        <v>238190</v>
      </c>
      <c r="D220" s="607" t="s">
        <v>1331</v>
      </c>
      <c r="E220" s="607" t="s">
        <v>1310</v>
      </c>
      <c r="F220" s="607" t="s">
        <v>1311</v>
      </c>
      <c r="G220" s="607" t="s">
        <v>1019</v>
      </c>
      <c r="H220" s="607" t="s">
        <v>1019</v>
      </c>
      <c r="I220" s="607" t="s">
        <v>1255</v>
      </c>
      <c r="J220" s="608" t="str">
        <f t="shared" si="7"/>
        <v>Construction</v>
      </c>
      <c r="N220" s="822">
        <v>237990</v>
      </c>
      <c r="O220" s="822" t="s">
        <v>1303</v>
      </c>
      <c r="P220" s="823">
        <v>1629</v>
      </c>
      <c r="Q220" s="823" t="s">
        <v>1273</v>
      </c>
    </row>
    <row r="221" spans="2:17" s="608" customFormat="1" x14ac:dyDescent="0.25">
      <c r="B221" s="605" t="s">
        <v>1330</v>
      </c>
      <c r="C221" s="606">
        <f t="shared" si="6"/>
        <v>238190</v>
      </c>
      <c r="D221" s="607" t="s">
        <v>1331</v>
      </c>
      <c r="E221" s="607" t="s">
        <v>1278</v>
      </c>
      <c r="F221" s="607" t="s">
        <v>1279</v>
      </c>
      <c r="G221" s="607" t="s">
        <v>1019</v>
      </c>
      <c r="H221" s="607" t="s">
        <v>1019</v>
      </c>
      <c r="I221" s="607" t="s">
        <v>1255</v>
      </c>
      <c r="J221" s="608" t="str">
        <f t="shared" si="7"/>
        <v>Construction</v>
      </c>
      <c r="N221" s="822">
        <v>237990</v>
      </c>
      <c r="O221" s="822" t="s">
        <v>1303</v>
      </c>
      <c r="P221" s="823">
        <v>1799</v>
      </c>
      <c r="Q221" s="823" t="s">
        <v>1279</v>
      </c>
    </row>
    <row r="222" spans="2:17" s="608" customFormat="1" x14ac:dyDescent="0.25">
      <c r="B222" s="605" t="s">
        <v>1332</v>
      </c>
      <c r="C222" s="606">
        <f t="shared" si="6"/>
        <v>238210</v>
      </c>
      <c r="D222" s="607" t="s">
        <v>1333</v>
      </c>
      <c r="E222" s="607" t="s">
        <v>1334</v>
      </c>
      <c r="F222" s="607" t="s">
        <v>1335</v>
      </c>
      <c r="G222" s="607" t="s">
        <v>1019</v>
      </c>
      <c r="H222" s="607" t="s">
        <v>1019</v>
      </c>
      <c r="I222" s="607" t="s">
        <v>1255</v>
      </c>
      <c r="J222" s="608" t="str">
        <f t="shared" si="7"/>
        <v>Construction</v>
      </c>
      <c r="N222" s="822">
        <v>237990</v>
      </c>
      <c r="O222" s="822" t="s">
        <v>1303</v>
      </c>
      <c r="P222" s="823">
        <v>8741</v>
      </c>
      <c r="Q222" s="823" t="s">
        <v>1257</v>
      </c>
    </row>
    <row r="223" spans="2:17" s="608" customFormat="1" x14ac:dyDescent="0.25">
      <c r="B223" s="605" t="s">
        <v>1332</v>
      </c>
      <c r="C223" s="606">
        <f t="shared" si="6"/>
        <v>238210</v>
      </c>
      <c r="D223" s="607" t="s">
        <v>1333</v>
      </c>
      <c r="E223" s="607" t="s">
        <v>1336</v>
      </c>
      <c r="F223" s="607" t="s">
        <v>1337</v>
      </c>
      <c r="G223" s="607" t="s">
        <v>1019</v>
      </c>
      <c r="H223" s="607" t="s">
        <v>1019</v>
      </c>
      <c r="I223" s="607" t="s">
        <v>1255</v>
      </c>
      <c r="J223" s="608" t="str">
        <f t="shared" si="7"/>
        <v>Construction</v>
      </c>
      <c r="N223" s="822">
        <v>238110</v>
      </c>
      <c r="O223" s="822" t="s">
        <v>1305</v>
      </c>
      <c r="P223" s="823">
        <v>1771</v>
      </c>
      <c r="Q223" s="823" t="s">
        <v>1307</v>
      </c>
    </row>
    <row r="224" spans="2:17" s="608" customFormat="1" x14ac:dyDescent="0.25">
      <c r="B224" s="605" t="s">
        <v>1338</v>
      </c>
      <c r="C224" s="606">
        <f t="shared" si="6"/>
        <v>238220</v>
      </c>
      <c r="D224" s="607" t="s">
        <v>1339</v>
      </c>
      <c r="E224" s="607" t="s">
        <v>1334</v>
      </c>
      <c r="F224" s="607" t="s">
        <v>1335</v>
      </c>
      <c r="G224" s="607" t="s">
        <v>1019</v>
      </c>
      <c r="H224" s="607" t="s">
        <v>1019</v>
      </c>
      <c r="I224" s="607" t="s">
        <v>1255</v>
      </c>
      <c r="J224" s="608" t="str">
        <f t="shared" si="7"/>
        <v>Construction</v>
      </c>
      <c r="N224" s="822">
        <v>238120</v>
      </c>
      <c r="O224" s="822" t="s">
        <v>1309</v>
      </c>
      <c r="P224" s="823">
        <v>1791</v>
      </c>
      <c r="Q224" s="823" t="s">
        <v>1311</v>
      </c>
    </row>
    <row r="225" spans="2:17" s="608" customFormat="1" x14ac:dyDescent="0.25">
      <c r="B225" s="605" t="s">
        <v>1338</v>
      </c>
      <c r="C225" s="606">
        <f t="shared" si="6"/>
        <v>238220</v>
      </c>
      <c r="D225" s="607" t="s">
        <v>1339</v>
      </c>
      <c r="E225" s="607" t="s">
        <v>1310</v>
      </c>
      <c r="F225" s="607" t="s">
        <v>1311</v>
      </c>
      <c r="G225" s="607" t="s">
        <v>1019</v>
      </c>
      <c r="H225" s="607" t="s">
        <v>1019</v>
      </c>
      <c r="I225" s="607" t="s">
        <v>1255</v>
      </c>
      <c r="J225" s="608" t="str">
        <f t="shared" si="7"/>
        <v>Construction</v>
      </c>
      <c r="N225" s="822">
        <v>238130</v>
      </c>
      <c r="O225" s="822" t="s">
        <v>1313</v>
      </c>
      <c r="P225" s="823">
        <v>1751</v>
      </c>
      <c r="Q225" s="823" t="s">
        <v>1315</v>
      </c>
    </row>
    <row r="226" spans="2:17" s="608" customFormat="1" x14ac:dyDescent="0.25">
      <c r="B226" s="605" t="s">
        <v>1338</v>
      </c>
      <c r="C226" s="606">
        <f t="shared" si="6"/>
        <v>238220</v>
      </c>
      <c r="D226" s="607" t="s">
        <v>1339</v>
      </c>
      <c r="E226" s="607" t="s">
        <v>1340</v>
      </c>
      <c r="F226" s="607" t="s">
        <v>1341</v>
      </c>
      <c r="G226" s="607" t="s">
        <v>1019</v>
      </c>
      <c r="H226" s="607" t="s">
        <v>1019</v>
      </c>
      <c r="I226" s="607" t="s">
        <v>1255</v>
      </c>
      <c r="J226" s="608" t="str">
        <f t="shared" si="7"/>
        <v>Construction</v>
      </c>
      <c r="N226" s="822">
        <v>238140</v>
      </c>
      <c r="O226" s="822" t="s">
        <v>1317</v>
      </c>
      <c r="P226" s="823">
        <v>1741</v>
      </c>
      <c r="Q226" s="823" t="s">
        <v>1319</v>
      </c>
    </row>
    <row r="227" spans="2:17" s="608" customFormat="1" x14ac:dyDescent="0.25">
      <c r="B227" s="605" t="s">
        <v>1338</v>
      </c>
      <c r="C227" s="606">
        <f t="shared" si="6"/>
        <v>238220</v>
      </c>
      <c r="D227" s="607" t="s">
        <v>1339</v>
      </c>
      <c r="E227" s="607" t="s">
        <v>1070</v>
      </c>
      <c r="F227" s="607" t="s">
        <v>1071</v>
      </c>
      <c r="G227" s="607" t="s">
        <v>1019</v>
      </c>
      <c r="H227" s="607" t="s">
        <v>1019</v>
      </c>
      <c r="I227" s="607" t="s">
        <v>1255</v>
      </c>
      <c r="J227" s="608" t="str">
        <f t="shared" si="7"/>
        <v>Construction</v>
      </c>
      <c r="N227" s="822">
        <v>238140</v>
      </c>
      <c r="O227" s="822" t="s">
        <v>1317</v>
      </c>
      <c r="P227" s="823">
        <v>1771</v>
      </c>
      <c r="Q227" s="823" t="s">
        <v>1307</v>
      </c>
    </row>
    <row r="228" spans="2:17" s="608" customFormat="1" x14ac:dyDescent="0.25">
      <c r="B228" s="605" t="s">
        <v>1342</v>
      </c>
      <c r="C228" s="606">
        <f t="shared" si="6"/>
        <v>238290</v>
      </c>
      <c r="D228" s="607" t="s">
        <v>1343</v>
      </c>
      <c r="E228" s="607" t="s">
        <v>1340</v>
      </c>
      <c r="F228" s="607" t="s">
        <v>1341</v>
      </c>
      <c r="G228" s="607" t="s">
        <v>1019</v>
      </c>
      <c r="H228" s="607" t="s">
        <v>1019</v>
      </c>
      <c r="I228" s="607" t="s">
        <v>1255</v>
      </c>
      <c r="J228" s="608" t="str">
        <f t="shared" si="7"/>
        <v>Construction</v>
      </c>
      <c r="N228" s="822">
        <v>238150</v>
      </c>
      <c r="O228" s="822" t="s">
        <v>1321</v>
      </c>
      <c r="P228" s="823">
        <v>1793</v>
      </c>
      <c r="Q228" s="823" t="s">
        <v>1323</v>
      </c>
    </row>
    <row r="229" spans="2:17" s="608" customFormat="1" x14ac:dyDescent="0.25">
      <c r="B229" s="605" t="s">
        <v>1342</v>
      </c>
      <c r="C229" s="606">
        <f t="shared" si="6"/>
        <v>238290</v>
      </c>
      <c r="D229" s="607" t="s">
        <v>1343</v>
      </c>
      <c r="E229" s="607" t="s">
        <v>1278</v>
      </c>
      <c r="F229" s="607" t="s">
        <v>1279</v>
      </c>
      <c r="G229" s="607" t="s">
        <v>1019</v>
      </c>
      <c r="H229" s="607" t="s">
        <v>1019</v>
      </c>
      <c r="I229" s="607" t="s">
        <v>1255</v>
      </c>
      <c r="J229" s="608" t="str">
        <f t="shared" si="7"/>
        <v>Construction</v>
      </c>
      <c r="N229" s="822">
        <v>238150</v>
      </c>
      <c r="O229" s="822" t="s">
        <v>1321</v>
      </c>
      <c r="P229" s="823">
        <v>1799</v>
      </c>
      <c r="Q229" s="823" t="s">
        <v>1279</v>
      </c>
    </row>
    <row r="230" spans="2:17" s="608" customFormat="1" x14ac:dyDescent="0.25">
      <c r="B230" s="605" t="s">
        <v>1342</v>
      </c>
      <c r="C230" s="606">
        <f t="shared" si="6"/>
        <v>238290</v>
      </c>
      <c r="D230" s="607" t="s">
        <v>1343</v>
      </c>
      <c r="E230" s="607" t="s">
        <v>1344</v>
      </c>
      <c r="F230" s="607" t="s">
        <v>1345</v>
      </c>
      <c r="G230" s="607" t="s">
        <v>1019</v>
      </c>
      <c r="H230" s="607" t="s">
        <v>1019</v>
      </c>
      <c r="I230" s="607" t="s">
        <v>1255</v>
      </c>
      <c r="J230" s="608" t="str">
        <f t="shared" si="7"/>
        <v>Construction</v>
      </c>
      <c r="N230" s="822">
        <v>238160</v>
      </c>
      <c r="O230" s="822" t="s">
        <v>1325</v>
      </c>
      <c r="P230" s="823">
        <v>1761</v>
      </c>
      <c r="Q230" s="823" t="s">
        <v>1327</v>
      </c>
    </row>
    <row r="231" spans="2:17" s="608" customFormat="1" x14ac:dyDescent="0.25">
      <c r="B231" s="605" t="s">
        <v>1346</v>
      </c>
      <c r="C231" s="606">
        <f t="shared" si="6"/>
        <v>238310</v>
      </c>
      <c r="D231" s="607" t="s">
        <v>1347</v>
      </c>
      <c r="E231" s="607" t="s">
        <v>1348</v>
      </c>
      <c r="F231" s="607" t="s">
        <v>1349</v>
      </c>
      <c r="G231" s="607" t="s">
        <v>1019</v>
      </c>
      <c r="H231" s="607" t="s">
        <v>1019</v>
      </c>
      <c r="I231" s="607" t="s">
        <v>1255</v>
      </c>
      <c r="J231" s="608" t="str">
        <f t="shared" si="7"/>
        <v>Construction</v>
      </c>
      <c r="N231" s="822">
        <v>238170</v>
      </c>
      <c r="O231" s="822" t="s">
        <v>1329</v>
      </c>
      <c r="P231" s="823">
        <v>1761</v>
      </c>
      <c r="Q231" s="823" t="s">
        <v>1327</v>
      </c>
    </row>
    <row r="232" spans="2:17" s="608" customFormat="1" x14ac:dyDescent="0.25">
      <c r="B232" s="605" t="s">
        <v>1346</v>
      </c>
      <c r="C232" s="606">
        <f t="shared" si="6"/>
        <v>238310</v>
      </c>
      <c r="D232" s="607" t="s">
        <v>1347</v>
      </c>
      <c r="E232" s="607" t="s">
        <v>1350</v>
      </c>
      <c r="F232" s="607" t="s">
        <v>1351</v>
      </c>
      <c r="G232" s="607" t="s">
        <v>1019</v>
      </c>
      <c r="H232" s="607" t="s">
        <v>1019</v>
      </c>
      <c r="I232" s="607" t="s">
        <v>1255</v>
      </c>
      <c r="J232" s="608" t="str">
        <f t="shared" si="7"/>
        <v>Construction</v>
      </c>
      <c r="N232" s="822">
        <v>238190</v>
      </c>
      <c r="O232" s="822" t="s">
        <v>1331</v>
      </c>
      <c r="P232" s="823">
        <v>1791</v>
      </c>
      <c r="Q232" s="823" t="s">
        <v>1311</v>
      </c>
    </row>
    <row r="233" spans="2:17" s="608" customFormat="1" x14ac:dyDescent="0.25">
      <c r="B233" s="605" t="s">
        <v>1346</v>
      </c>
      <c r="C233" s="606">
        <f t="shared" si="6"/>
        <v>238310</v>
      </c>
      <c r="D233" s="607" t="s">
        <v>1347</v>
      </c>
      <c r="E233" s="607" t="s">
        <v>1352</v>
      </c>
      <c r="F233" s="607" t="s">
        <v>1353</v>
      </c>
      <c r="G233" s="607" t="s">
        <v>1019</v>
      </c>
      <c r="H233" s="607" t="s">
        <v>1019</v>
      </c>
      <c r="I233" s="607" t="s">
        <v>1255</v>
      </c>
      <c r="J233" s="608" t="str">
        <f t="shared" si="7"/>
        <v>Construction</v>
      </c>
      <c r="N233" s="822">
        <v>238190</v>
      </c>
      <c r="O233" s="822" t="s">
        <v>1331</v>
      </c>
      <c r="P233" s="823">
        <v>1799</v>
      </c>
      <c r="Q233" s="823" t="s">
        <v>1279</v>
      </c>
    </row>
    <row r="234" spans="2:17" s="608" customFormat="1" x14ac:dyDescent="0.25">
      <c r="B234" s="605" t="s">
        <v>1346</v>
      </c>
      <c r="C234" s="606">
        <f t="shared" si="6"/>
        <v>238310</v>
      </c>
      <c r="D234" s="607" t="s">
        <v>1347</v>
      </c>
      <c r="E234" s="607" t="s">
        <v>1310</v>
      </c>
      <c r="F234" s="607" t="s">
        <v>1311</v>
      </c>
      <c r="G234" s="607" t="s">
        <v>1019</v>
      </c>
      <c r="H234" s="607" t="s">
        <v>1019</v>
      </c>
      <c r="I234" s="607" t="s">
        <v>1255</v>
      </c>
      <c r="J234" s="608" t="str">
        <f t="shared" si="7"/>
        <v>Construction</v>
      </c>
      <c r="N234" s="822">
        <v>238210</v>
      </c>
      <c r="O234" s="822" t="s">
        <v>1333</v>
      </c>
      <c r="P234" s="823">
        <v>1711</v>
      </c>
      <c r="Q234" s="823" t="s">
        <v>1335</v>
      </c>
    </row>
    <row r="235" spans="2:17" s="608" customFormat="1" x14ac:dyDescent="0.25">
      <c r="B235" s="605" t="s">
        <v>1346</v>
      </c>
      <c r="C235" s="606">
        <f t="shared" si="6"/>
        <v>238310</v>
      </c>
      <c r="D235" s="607" t="s">
        <v>1347</v>
      </c>
      <c r="E235" s="607" t="s">
        <v>1278</v>
      </c>
      <c r="F235" s="607" t="s">
        <v>1279</v>
      </c>
      <c r="G235" s="607" t="s">
        <v>1019</v>
      </c>
      <c r="H235" s="607" t="s">
        <v>1019</v>
      </c>
      <c r="I235" s="607" t="s">
        <v>1255</v>
      </c>
      <c r="J235" s="608" t="str">
        <f t="shared" si="7"/>
        <v>Construction</v>
      </c>
      <c r="N235" s="822">
        <v>238210</v>
      </c>
      <c r="O235" s="822" t="s">
        <v>1333</v>
      </c>
      <c r="P235" s="823">
        <v>1731</v>
      </c>
      <c r="Q235" s="823" t="s">
        <v>1337</v>
      </c>
    </row>
    <row r="236" spans="2:17" s="608" customFormat="1" x14ac:dyDescent="0.25">
      <c r="B236" s="605" t="s">
        <v>1354</v>
      </c>
      <c r="C236" s="606">
        <f t="shared" si="6"/>
        <v>238320</v>
      </c>
      <c r="D236" s="607" t="s">
        <v>1355</v>
      </c>
      <c r="E236" s="607" t="s">
        <v>1300</v>
      </c>
      <c r="F236" s="607" t="s">
        <v>1301</v>
      </c>
      <c r="G236" s="607" t="s">
        <v>1019</v>
      </c>
      <c r="H236" s="607" t="s">
        <v>1019</v>
      </c>
      <c r="I236" s="607" t="s">
        <v>1255</v>
      </c>
      <c r="J236" s="608" t="str">
        <f t="shared" si="7"/>
        <v>Construction</v>
      </c>
      <c r="N236" s="822">
        <v>238220</v>
      </c>
      <c r="O236" s="822" t="s">
        <v>1339</v>
      </c>
      <c r="P236" s="823">
        <v>1711</v>
      </c>
      <c r="Q236" s="823" t="s">
        <v>1335</v>
      </c>
    </row>
    <row r="237" spans="2:17" s="608" customFormat="1" x14ac:dyDescent="0.25">
      <c r="B237" s="605" t="s">
        <v>1354</v>
      </c>
      <c r="C237" s="606">
        <f t="shared" si="6"/>
        <v>238320</v>
      </c>
      <c r="D237" s="607" t="s">
        <v>1355</v>
      </c>
      <c r="E237" s="607" t="s">
        <v>1278</v>
      </c>
      <c r="F237" s="607" t="s">
        <v>1279</v>
      </c>
      <c r="G237" s="607" t="s">
        <v>1019</v>
      </c>
      <c r="H237" s="607" t="s">
        <v>1019</v>
      </c>
      <c r="I237" s="607" t="s">
        <v>1255</v>
      </c>
      <c r="J237" s="608" t="str">
        <f t="shared" si="7"/>
        <v>Construction</v>
      </c>
      <c r="N237" s="822">
        <v>238220</v>
      </c>
      <c r="O237" s="822" t="s">
        <v>1339</v>
      </c>
      <c r="P237" s="823">
        <v>1791</v>
      </c>
      <c r="Q237" s="823" t="s">
        <v>1311</v>
      </c>
    </row>
    <row r="238" spans="2:17" s="608" customFormat="1" x14ac:dyDescent="0.25">
      <c r="B238" s="605" t="s">
        <v>1356</v>
      </c>
      <c r="C238" s="606">
        <f t="shared" si="6"/>
        <v>238330</v>
      </c>
      <c r="D238" s="607" t="s">
        <v>1357</v>
      </c>
      <c r="E238" s="607" t="s">
        <v>1352</v>
      </c>
      <c r="F238" s="607" t="s">
        <v>1353</v>
      </c>
      <c r="G238" s="607" t="s">
        <v>1019</v>
      </c>
      <c r="H238" s="607" t="s">
        <v>1019</v>
      </c>
      <c r="I238" s="607" t="s">
        <v>1255</v>
      </c>
      <c r="J238" s="608" t="str">
        <f t="shared" si="7"/>
        <v>Construction</v>
      </c>
      <c r="N238" s="822">
        <v>238220</v>
      </c>
      <c r="O238" s="822" t="s">
        <v>1339</v>
      </c>
      <c r="P238" s="823">
        <v>1796</v>
      </c>
      <c r="Q238" s="823" t="s">
        <v>1341</v>
      </c>
    </row>
    <row r="239" spans="2:17" s="608" customFormat="1" x14ac:dyDescent="0.25">
      <c r="B239" s="605" t="s">
        <v>1358</v>
      </c>
      <c r="C239" s="606">
        <f t="shared" si="6"/>
        <v>238340</v>
      </c>
      <c r="D239" s="607" t="s">
        <v>1359</v>
      </c>
      <c r="E239" s="607" t="s">
        <v>1350</v>
      </c>
      <c r="F239" s="607" t="s">
        <v>1351</v>
      </c>
      <c r="G239" s="607" t="s">
        <v>1019</v>
      </c>
      <c r="H239" s="607" t="s">
        <v>1019</v>
      </c>
      <c r="I239" s="607" t="s">
        <v>1255</v>
      </c>
      <c r="J239" s="608" t="str">
        <f t="shared" si="7"/>
        <v>Construction</v>
      </c>
      <c r="N239" s="822">
        <v>238220</v>
      </c>
      <c r="O239" s="822" t="s">
        <v>1339</v>
      </c>
      <c r="P239" s="823">
        <v>7699</v>
      </c>
      <c r="Q239" s="823" t="s">
        <v>1071</v>
      </c>
    </row>
    <row r="240" spans="2:17" s="608" customFormat="1" x14ac:dyDescent="0.25">
      <c r="B240" s="605" t="s">
        <v>1360</v>
      </c>
      <c r="C240" s="606">
        <f t="shared" si="6"/>
        <v>238350</v>
      </c>
      <c r="D240" s="607" t="s">
        <v>1361</v>
      </c>
      <c r="E240" s="607" t="s">
        <v>1314</v>
      </c>
      <c r="F240" s="607" t="s">
        <v>1315</v>
      </c>
      <c r="G240" s="607" t="s">
        <v>1019</v>
      </c>
      <c r="H240" s="607" t="s">
        <v>1019</v>
      </c>
      <c r="I240" s="607" t="s">
        <v>1255</v>
      </c>
      <c r="J240" s="608" t="str">
        <f t="shared" si="7"/>
        <v>Construction</v>
      </c>
      <c r="N240" s="822">
        <v>238290</v>
      </c>
      <c r="O240" s="822" t="s">
        <v>1343</v>
      </c>
      <c r="P240" s="823">
        <v>1796</v>
      </c>
      <c r="Q240" s="823" t="s">
        <v>1341</v>
      </c>
    </row>
    <row r="241" spans="2:17" s="608" customFormat="1" x14ac:dyDescent="0.25">
      <c r="B241" s="605" t="s">
        <v>1360</v>
      </c>
      <c r="C241" s="606">
        <f t="shared" si="6"/>
        <v>238350</v>
      </c>
      <c r="D241" s="607" t="s">
        <v>1361</v>
      </c>
      <c r="E241" s="607" t="s">
        <v>1278</v>
      </c>
      <c r="F241" s="607" t="s">
        <v>1279</v>
      </c>
      <c r="G241" s="607" t="s">
        <v>1019</v>
      </c>
      <c r="H241" s="607" t="s">
        <v>1019</v>
      </c>
      <c r="I241" s="607" t="s">
        <v>1255</v>
      </c>
      <c r="J241" s="608" t="str">
        <f t="shared" si="7"/>
        <v>Construction</v>
      </c>
      <c r="N241" s="822">
        <v>238290</v>
      </c>
      <c r="O241" s="822" t="s">
        <v>1343</v>
      </c>
      <c r="P241" s="823">
        <v>1799</v>
      </c>
      <c r="Q241" s="823" t="s">
        <v>1279</v>
      </c>
    </row>
    <row r="242" spans="2:17" s="608" customFormat="1" x14ac:dyDescent="0.25">
      <c r="B242" s="605" t="s">
        <v>1362</v>
      </c>
      <c r="C242" s="606">
        <f t="shared" si="6"/>
        <v>238390</v>
      </c>
      <c r="D242" s="607" t="s">
        <v>1363</v>
      </c>
      <c r="E242" s="607" t="s">
        <v>1326</v>
      </c>
      <c r="F242" s="607" t="s">
        <v>1327</v>
      </c>
      <c r="G242" s="607" t="s">
        <v>1019</v>
      </c>
      <c r="H242" s="607" t="s">
        <v>1019</v>
      </c>
      <c r="I242" s="607" t="s">
        <v>1255</v>
      </c>
      <c r="J242" s="608" t="str">
        <f t="shared" si="7"/>
        <v>Construction</v>
      </c>
      <c r="N242" s="822">
        <v>238290</v>
      </c>
      <c r="O242" s="822" t="s">
        <v>1343</v>
      </c>
      <c r="P242" s="823">
        <v>7622</v>
      </c>
      <c r="Q242" s="823" t="s">
        <v>1345</v>
      </c>
    </row>
    <row r="243" spans="2:17" s="608" customFormat="1" x14ac:dyDescent="0.25">
      <c r="B243" s="605" t="s">
        <v>1362</v>
      </c>
      <c r="C243" s="606">
        <f t="shared" si="6"/>
        <v>238390</v>
      </c>
      <c r="D243" s="607" t="s">
        <v>1363</v>
      </c>
      <c r="E243" s="607" t="s">
        <v>1278</v>
      </c>
      <c r="F243" s="607" t="s">
        <v>1279</v>
      </c>
      <c r="G243" s="607" t="s">
        <v>1019</v>
      </c>
      <c r="H243" s="607" t="s">
        <v>1019</v>
      </c>
      <c r="I243" s="607" t="s">
        <v>1255</v>
      </c>
      <c r="J243" s="608" t="str">
        <f t="shared" si="7"/>
        <v>Construction</v>
      </c>
      <c r="N243" s="822">
        <v>238310</v>
      </c>
      <c r="O243" s="822" t="s">
        <v>1347</v>
      </c>
      <c r="P243" s="823">
        <v>1742</v>
      </c>
      <c r="Q243" s="823" t="s">
        <v>1349</v>
      </c>
    </row>
    <row r="244" spans="2:17" s="608" customFormat="1" x14ac:dyDescent="0.25">
      <c r="B244" s="605" t="s">
        <v>1364</v>
      </c>
      <c r="C244" s="606">
        <f t="shared" si="6"/>
        <v>238910</v>
      </c>
      <c r="D244" s="607" t="s">
        <v>1365</v>
      </c>
      <c r="E244" s="607" t="s">
        <v>1195</v>
      </c>
      <c r="F244" s="607" t="s">
        <v>1196</v>
      </c>
      <c r="G244" s="607" t="s">
        <v>1019</v>
      </c>
      <c r="H244" s="607" t="s">
        <v>1019</v>
      </c>
      <c r="I244" s="607" t="s">
        <v>1255</v>
      </c>
      <c r="J244" s="608" t="str">
        <f t="shared" si="7"/>
        <v>Construction</v>
      </c>
      <c r="N244" s="822">
        <v>238310</v>
      </c>
      <c r="O244" s="822" t="s">
        <v>1347</v>
      </c>
      <c r="P244" s="823">
        <v>1743</v>
      </c>
      <c r="Q244" s="823" t="s">
        <v>1351</v>
      </c>
    </row>
    <row r="245" spans="2:17" s="608" customFormat="1" x14ac:dyDescent="0.25">
      <c r="B245" s="605" t="s">
        <v>1364</v>
      </c>
      <c r="C245" s="606">
        <f t="shared" si="6"/>
        <v>238910</v>
      </c>
      <c r="D245" s="607" t="s">
        <v>1365</v>
      </c>
      <c r="E245" s="607" t="s">
        <v>1191</v>
      </c>
      <c r="F245" s="607" t="s">
        <v>1192</v>
      </c>
      <c r="G245" s="607" t="s">
        <v>1019</v>
      </c>
      <c r="H245" s="607" t="s">
        <v>1019</v>
      </c>
      <c r="I245" s="607" t="s">
        <v>1255</v>
      </c>
      <c r="J245" s="608" t="str">
        <f t="shared" si="7"/>
        <v>Construction</v>
      </c>
      <c r="N245" s="822">
        <v>238310</v>
      </c>
      <c r="O245" s="822" t="s">
        <v>1347</v>
      </c>
      <c r="P245" s="823">
        <v>1752</v>
      </c>
      <c r="Q245" s="823" t="s">
        <v>1353</v>
      </c>
    </row>
    <row r="246" spans="2:17" s="608" customFormat="1" x14ac:dyDescent="0.25">
      <c r="B246" s="605" t="s">
        <v>1364</v>
      </c>
      <c r="C246" s="606">
        <f t="shared" si="6"/>
        <v>238910</v>
      </c>
      <c r="D246" s="607" t="s">
        <v>1365</v>
      </c>
      <c r="E246" s="607" t="s">
        <v>1187</v>
      </c>
      <c r="F246" s="607" t="s">
        <v>1188</v>
      </c>
      <c r="G246" s="607" t="s">
        <v>1019</v>
      </c>
      <c r="H246" s="607" t="s">
        <v>1019</v>
      </c>
      <c r="I246" s="607" t="s">
        <v>1255</v>
      </c>
      <c r="J246" s="608" t="str">
        <f t="shared" si="7"/>
        <v>Construction</v>
      </c>
      <c r="N246" s="822">
        <v>238310</v>
      </c>
      <c r="O246" s="822" t="s">
        <v>1347</v>
      </c>
      <c r="P246" s="823">
        <v>1791</v>
      </c>
      <c r="Q246" s="823" t="s">
        <v>1311</v>
      </c>
    </row>
    <row r="247" spans="2:17" s="608" customFormat="1" x14ac:dyDescent="0.25">
      <c r="B247" s="605" t="s">
        <v>1364</v>
      </c>
      <c r="C247" s="606">
        <f t="shared" si="6"/>
        <v>238910</v>
      </c>
      <c r="D247" s="607" t="s">
        <v>1365</v>
      </c>
      <c r="E247" s="607" t="s">
        <v>1199</v>
      </c>
      <c r="F247" s="607" t="s">
        <v>1200</v>
      </c>
      <c r="G247" s="607" t="s">
        <v>1019</v>
      </c>
      <c r="H247" s="607" t="s">
        <v>1019</v>
      </c>
      <c r="I247" s="607" t="s">
        <v>1255</v>
      </c>
      <c r="J247" s="608" t="str">
        <f t="shared" si="7"/>
        <v>Construction</v>
      </c>
      <c r="N247" s="822">
        <v>238310</v>
      </c>
      <c r="O247" s="822" t="s">
        <v>1347</v>
      </c>
      <c r="P247" s="823">
        <v>1799</v>
      </c>
      <c r="Q247" s="823" t="s">
        <v>1279</v>
      </c>
    </row>
    <row r="248" spans="2:17" s="608" customFormat="1" x14ac:dyDescent="0.25">
      <c r="B248" s="605" t="s">
        <v>1364</v>
      </c>
      <c r="C248" s="606">
        <f t="shared" si="6"/>
        <v>238910</v>
      </c>
      <c r="D248" s="607" t="s">
        <v>1365</v>
      </c>
      <c r="E248" s="607" t="s">
        <v>1272</v>
      </c>
      <c r="F248" s="607" t="s">
        <v>1273</v>
      </c>
      <c r="G248" s="607" t="s">
        <v>1019</v>
      </c>
      <c r="H248" s="607" t="s">
        <v>1019</v>
      </c>
      <c r="I248" s="607" t="s">
        <v>1255</v>
      </c>
      <c r="J248" s="608" t="str">
        <f t="shared" si="7"/>
        <v>Construction</v>
      </c>
      <c r="N248" s="822">
        <v>238320</v>
      </c>
      <c r="O248" s="822" t="s">
        <v>1355</v>
      </c>
      <c r="P248" s="823">
        <v>1721</v>
      </c>
      <c r="Q248" s="823" t="s">
        <v>1301</v>
      </c>
    </row>
    <row r="249" spans="2:17" s="608" customFormat="1" x14ac:dyDescent="0.25">
      <c r="B249" s="605" t="s">
        <v>1364</v>
      </c>
      <c r="C249" s="606">
        <f t="shared" si="6"/>
        <v>238910</v>
      </c>
      <c r="D249" s="607" t="s">
        <v>1365</v>
      </c>
      <c r="E249" s="607" t="s">
        <v>1334</v>
      </c>
      <c r="F249" s="607" t="s">
        <v>1335</v>
      </c>
      <c r="G249" s="607" t="s">
        <v>1019</v>
      </c>
      <c r="H249" s="607" t="s">
        <v>1019</v>
      </c>
      <c r="I249" s="607" t="s">
        <v>1255</v>
      </c>
      <c r="J249" s="608" t="str">
        <f t="shared" si="7"/>
        <v>Construction</v>
      </c>
      <c r="N249" s="822">
        <v>238320</v>
      </c>
      <c r="O249" s="822" t="s">
        <v>1355</v>
      </c>
      <c r="P249" s="823">
        <v>1799</v>
      </c>
      <c r="Q249" s="823" t="s">
        <v>1279</v>
      </c>
    </row>
    <row r="250" spans="2:17" s="608" customFormat="1" x14ac:dyDescent="0.25">
      <c r="B250" s="605" t="s">
        <v>1364</v>
      </c>
      <c r="C250" s="606">
        <f t="shared" si="6"/>
        <v>238910</v>
      </c>
      <c r="D250" s="607" t="s">
        <v>1365</v>
      </c>
      <c r="E250" s="607" t="s">
        <v>1366</v>
      </c>
      <c r="F250" s="607" t="s">
        <v>1367</v>
      </c>
      <c r="G250" s="607" t="s">
        <v>1019</v>
      </c>
      <c r="H250" s="607" t="s">
        <v>1019</v>
      </c>
      <c r="I250" s="607" t="s">
        <v>1255</v>
      </c>
      <c r="J250" s="608" t="str">
        <f t="shared" si="7"/>
        <v>Construction</v>
      </c>
      <c r="N250" s="822">
        <v>238330</v>
      </c>
      <c r="O250" s="822" t="s">
        <v>1357</v>
      </c>
      <c r="P250" s="823">
        <v>1752</v>
      </c>
      <c r="Q250" s="823" t="s">
        <v>1353</v>
      </c>
    </row>
    <row r="251" spans="2:17" s="608" customFormat="1" x14ac:dyDescent="0.25">
      <c r="B251" s="605" t="s">
        <v>1364</v>
      </c>
      <c r="C251" s="606">
        <f t="shared" si="6"/>
        <v>238910</v>
      </c>
      <c r="D251" s="607" t="s">
        <v>1365</v>
      </c>
      <c r="E251" s="607" t="s">
        <v>1368</v>
      </c>
      <c r="F251" s="607" t="s">
        <v>1369</v>
      </c>
      <c r="G251" s="607" t="s">
        <v>1019</v>
      </c>
      <c r="H251" s="607" t="s">
        <v>1019</v>
      </c>
      <c r="I251" s="607" t="s">
        <v>1255</v>
      </c>
      <c r="J251" s="608" t="str">
        <f t="shared" si="7"/>
        <v>Construction</v>
      </c>
      <c r="N251" s="822">
        <v>238340</v>
      </c>
      <c r="O251" s="822" t="s">
        <v>1359</v>
      </c>
      <c r="P251" s="823">
        <v>1743</v>
      </c>
      <c r="Q251" s="823" t="s">
        <v>1351</v>
      </c>
    </row>
    <row r="252" spans="2:17" s="608" customFormat="1" x14ac:dyDescent="0.25">
      <c r="B252" s="605" t="s">
        <v>1364</v>
      </c>
      <c r="C252" s="606">
        <f t="shared" si="6"/>
        <v>238910</v>
      </c>
      <c r="D252" s="607" t="s">
        <v>1365</v>
      </c>
      <c r="E252" s="607" t="s">
        <v>1278</v>
      </c>
      <c r="F252" s="607" t="s">
        <v>1279</v>
      </c>
      <c r="G252" s="607" t="s">
        <v>1019</v>
      </c>
      <c r="H252" s="607" t="s">
        <v>1019</v>
      </c>
      <c r="I252" s="607" t="s">
        <v>1255</v>
      </c>
      <c r="J252" s="608" t="str">
        <f t="shared" si="7"/>
        <v>Construction</v>
      </c>
      <c r="N252" s="822">
        <v>238350</v>
      </c>
      <c r="O252" s="822" t="s">
        <v>1361</v>
      </c>
      <c r="P252" s="823">
        <v>1751</v>
      </c>
      <c r="Q252" s="823" t="s">
        <v>1315</v>
      </c>
    </row>
    <row r="253" spans="2:17" s="608" customFormat="1" x14ac:dyDescent="0.25">
      <c r="B253" s="605" t="s">
        <v>1364</v>
      </c>
      <c r="C253" s="606">
        <f t="shared" si="6"/>
        <v>238910</v>
      </c>
      <c r="D253" s="607" t="s">
        <v>1365</v>
      </c>
      <c r="E253" s="607" t="s">
        <v>1370</v>
      </c>
      <c r="F253" s="607" t="s">
        <v>1371</v>
      </c>
      <c r="G253" s="607" t="s">
        <v>1019</v>
      </c>
      <c r="H253" s="607" t="s">
        <v>1019</v>
      </c>
      <c r="I253" s="607" t="s">
        <v>1255</v>
      </c>
      <c r="J253" s="608" t="str">
        <f t="shared" si="7"/>
        <v>Construction</v>
      </c>
      <c r="N253" s="822">
        <v>238350</v>
      </c>
      <c r="O253" s="822" t="s">
        <v>1361</v>
      </c>
      <c r="P253" s="823">
        <v>1799</v>
      </c>
      <c r="Q253" s="823" t="s">
        <v>1279</v>
      </c>
    </row>
    <row r="254" spans="2:17" s="608" customFormat="1" x14ac:dyDescent="0.25">
      <c r="B254" s="605" t="s">
        <v>1372</v>
      </c>
      <c r="C254" s="606">
        <f t="shared" si="6"/>
        <v>238990</v>
      </c>
      <c r="D254" s="607" t="s">
        <v>1373</v>
      </c>
      <c r="E254" s="607" t="s">
        <v>1306</v>
      </c>
      <c r="F254" s="607" t="s">
        <v>1307</v>
      </c>
      <c r="G254" s="607" t="s">
        <v>1019</v>
      </c>
      <c r="H254" s="607" t="s">
        <v>1019</v>
      </c>
      <c r="I254" s="607" t="s">
        <v>1255</v>
      </c>
      <c r="J254" s="608" t="str">
        <f t="shared" si="7"/>
        <v>Construction</v>
      </c>
      <c r="N254" s="822">
        <v>238390</v>
      </c>
      <c r="O254" s="822" t="s">
        <v>1363</v>
      </c>
      <c r="P254" s="823">
        <v>1761</v>
      </c>
      <c r="Q254" s="823" t="s">
        <v>1327</v>
      </c>
    </row>
    <row r="255" spans="2:17" s="608" customFormat="1" x14ac:dyDescent="0.25">
      <c r="B255" s="605" t="s">
        <v>1372</v>
      </c>
      <c r="C255" s="606">
        <f t="shared" si="6"/>
        <v>238990</v>
      </c>
      <c r="D255" s="607" t="s">
        <v>1373</v>
      </c>
      <c r="E255" s="607" t="s">
        <v>1278</v>
      </c>
      <c r="F255" s="607" t="s">
        <v>1279</v>
      </c>
      <c r="G255" s="607" t="s">
        <v>1019</v>
      </c>
      <c r="H255" s="607" t="s">
        <v>1019</v>
      </c>
      <c r="I255" s="607" t="s">
        <v>1255</v>
      </c>
      <c r="J255" s="608" t="str">
        <f t="shared" si="7"/>
        <v>Construction</v>
      </c>
      <c r="N255" s="822">
        <v>238390</v>
      </c>
      <c r="O255" s="822" t="s">
        <v>1363</v>
      </c>
      <c r="P255" s="823">
        <v>1799</v>
      </c>
      <c r="Q255" s="823" t="s">
        <v>1279</v>
      </c>
    </row>
    <row r="256" spans="2:17" s="608" customFormat="1" x14ac:dyDescent="0.25">
      <c r="B256" s="605" t="s">
        <v>1372</v>
      </c>
      <c r="C256" s="606">
        <f t="shared" si="6"/>
        <v>238990</v>
      </c>
      <c r="D256" s="607" t="s">
        <v>1373</v>
      </c>
      <c r="E256" s="607" t="s">
        <v>1370</v>
      </c>
      <c r="F256" s="607" t="s">
        <v>1371</v>
      </c>
      <c r="G256" s="607" t="s">
        <v>1019</v>
      </c>
      <c r="H256" s="607" t="s">
        <v>1019</v>
      </c>
      <c r="I256" s="607" t="s">
        <v>1255</v>
      </c>
      <c r="J256" s="608" t="str">
        <f t="shared" si="7"/>
        <v>Construction</v>
      </c>
      <c r="N256" s="822">
        <v>238910</v>
      </c>
      <c r="O256" s="822" t="s">
        <v>1365</v>
      </c>
      <c r="P256" s="823">
        <v>1081</v>
      </c>
      <c r="Q256" s="823" t="s">
        <v>1196</v>
      </c>
    </row>
    <row r="257" spans="2:17" s="608" customFormat="1" x14ac:dyDescent="0.25">
      <c r="B257" s="605" t="s">
        <v>1374</v>
      </c>
      <c r="C257" s="606">
        <f t="shared" si="6"/>
        <v>311111</v>
      </c>
      <c r="D257" s="607" t="s">
        <v>1375</v>
      </c>
      <c r="E257" s="607" t="s">
        <v>1376</v>
      </c>
      <c r="F257" s="607" t="s">
        <v>1377</v>
      </c>
      <c r="G257" s="607" t="s">
        <v>837</v>
      </c>
      <c r="H257" s="607" t="s">
        <v>837</v>
      </c>
      <c r="I257" s="607" t="s">
        <v>838</v>
      </c>
      <c r="J257" s="608" t="str">
        <f t="shared" si="7"/>
        <v>Food</v>
      </c>
      <c r="N257" s="822">
        <v>238910</v>
      </c>
      <c r="O257" s="822" t="s">
        <v>1365</v>
      </c>
      <c r="P257" s="823">
        <v>1241</v>
      </c>
      <c r="Q257" s="823" t="s">
        <v>1192</v>
      </c>
    </row>
    <row r="258" spans="2:17" s="608" customFormat="1" x14ac:dyDescent="0.25">
      <c r="B258" s="605" t="s">
        <v>1378</v>
      </c>
      <c r="C258" s="606">
        <f t="shared" ref="C258:C321" si="8">B258+0</f>
        <v>311119</v>
      </c>
      <c r="D258" s="607" t="s">
        <v>1379</v>
      </c>
      <c r="E258" s="607" t="s">
        <v>1380</v>
      </c>
      <c r="F258" s="607" t="s">
        <v>1381</v>
      </c>
      <c r="G258" s="607" t="s">
        <v>837</v>
      </c>
      <c r="H258" s="607" t="s">
        <v>837</v>
      </c>
      <c r="I258" s="607" t="s">
        <v>838</v>
      </c>
      <c r="J258" s="608" t="str">
        <f t="shared" ref="J258:J321" si="9">PROPER(I258)</f>
        <v>Food</v>
      </c>
      <c r="N258" s="822">
        <v>238910</v>
      </c>
      <c r="O258" s="822" t="s">
        <v>1365</v>
      </c>
      <c r="P258" s="823">
        <v>1389</v>
      </c>
      <c r="Q258" s="823" t="s">
        <v>1188</v>
      </c>
    </row>
    <row r="259" spans="2:17" s="608" customFormat="1" x14ac:dyDescent="0.25">
      <c r="B259" s="605" t="s">
        <v>1378</v>
      </c>
      <c r="C259" s="606">
        <f t="shared" si="8"/>
        <v>311119</v>
      </c>
      <c r="D259" s="607" t="s">
        <v>1379</v>
      </c>
      <c r="E259" s="607" t="s">
        <v>1382</v>
      </c>
      <c r="F259" s="607" t="s">
        <v>1056</v>
      </c>
      <c r="G259" s="607" t="s">
        <v>837</v>
      </c>
      <c r="H259" s="607" t="s">
        <v>837</v>
      </c>
      <c r="I259" s="607" t="s">
        <v>838</v>
      </c>
      <c r="J259" s="608" t="str">
        <f t="shared" si="9"/>
        <v>Food</v>
      </c>
      <c r="N259" s="822">
        <v>238910</v>
      </c>
      <c r="O259" s="822" t="s">
        <v>1365</v>
      </c>
      <c r="P259" s="823">
        <v>1481</v>
      </c>
      <c r="Q259" s="823" t="s">
        <v>1200</v>
      </c>
    </row>
    <row r="260" spans="2:17" s="608" customFormat="1" x14ac:dyDescent="0.25">
      <c r="B260" s="605" t="s">
        <v>1383</v>
      </c>
      <c r="C260" s="606">
        <f t="shared" si="8"/>
        <v>311211</v>
      </c>
      <c r="D260" s="607" t="s">
        <v>1384</v>
      </c>
      <c r="E260" s="607" t="s">
        <v>1385</v>
      </c>
      <c r="F260" s="607" t="s">
        <v>1386</v>
      </c>
      <c r="G260" s="607" t="s">
        <v>837</v>
      </c>
      <c r="H260" s="607" t="s">
        <v>837</v>
      </c>
      <c r="I260" s="607" t="s">
        <v>838</v>
      </c>
      <c r="J260" s="608" t="str">
        <f t="shared" si="9"/>
        <v>Food</v>
      </c>
      <c r="N260" s="822">
        <v>238910</v>
      </c>
      <c r="O260" s="822" t="s">
        <v>1365</v>
      </c>
      <c r="P260" s="823">
        <v>1629</v>
      </c>
      <c r="Q260" s="823" t="s">
        <v>1273</v>
      </c>
    </row>
    <row r="261" spans="2:17" s="608" customFormat="1" x14ac:dyDescent="0.25">
      <c r="B261" s="605" t="s">
        <v>1383</v>
      </c>
      <c r="C261" s="606">
        <f t="shared" si="8"/>
        <v>311211</v>
      </c>
      <c r="D261" s="607" t="s">
        <v>1384</v>
      </c>
      <c r="E261" s="607" t="s">
        <v>1387</v>
      </c>
      <c r="F261" s="607" t="s">
        <v>1388</v>
      </c>
      <c r="G261" s="607" t="s">
        <v>837</v>
      </c>
      <c r="H261" s="607" t="s">
        <v>837</v>
      </c>
      <c r="I261" s="607" t="s">
        <v>838</v>
      </c>
      <c r="J261" s="608" t="str">
        <f t="shared" si="9"/>
        <v>Food</v>
      </c>
      <c r="N261" s="822">
        <v>238910</v>
      </c>
      <c r="O261" s="822" t="s">
        <v>1365</v>
      </c>
      <c r="P261" s="823">
        <v>1711</v>
      </c>
      <c r="Q261" s="823" t="s">
        <v>1335</v>
      </c>
    </row>
    <row r="262" spans="2:17" s="608" customFormat="1" x14ac:dyDescent="0.25">
      <c r="B262" s="605" t="s">
        <v>1389</v>
      </c>
      <c r="C262" s="606">
        <f t="shared" si="8"/>
        <v>311212</v>
      </c>
      <c r="D262" s="607" t="s">
        <v>1390</v>
      </c>
      <c r="E262" s="607" t="s">
        <v>1391</v>
      </c>
      <c r="F262" s="607" t="s">
        <v>1390</v>
      </c>
      <c r="G262" s="607" t="s">
        <v>837</v>
      </c>
      <c r="H262" s="607" t="s">
        <v>837</v>
      </c>
      <c r="I262" s="607" t="s">
        <v>838</v>
      </c>
      <c r="J262" s="608" t="str">
        <f t="shared" si="9"/>
        <v>Food</v>
      </c>
      <c r="N262" s="822">
        <v>238910</v>
      </c>
      <c r="O262" s="822" t="s">
        <v>1365</v>
      </c>
      <c r="P262" s="823">
        <v>1794</v>
      </c>
      <c r="Q262" s="823" t="s">
        <v>1367</v>
      </c>
    </row>
    <row r="263" spans="2:17" s="608" customFormat="1" x14ac:dyDescent="0.25">
      <c r="B263" s="605" t="s">
        <v>1389</v>
      </c>
      <c r="C263" s="606">
        <f t="shared" si="8"/>
        <v>311212</v>
      </c>
      <c r="D263" s="607" t="s">
        <v>1390</v>
      </c>
      <c r="E263" s="607" t="s">
        <v>942</v>
      </c>
      <c r="F263" s="607" t="s">
        <v>943</v>
      </c>
      <c r="G263" s="607" t="s">
        <v>837</v>
      </c>
      <c r="H263" s="607" t="s">
        <v>837</v>
      </c>
      <c r="I263" s="607" t="s">
        <v>838</v>
      </c>
      <c r="J263" s="608" t="str">
        <f t="shared" si="9"/>
        <v>Food</v>
      </c>
      <c r="N263" s="822">
        <v>238910</v>
      </c>
      <c r="O263" s="822" t="s">
        <v>1365</v>
      </c>
      <c r="P263" s="823">
        <v>1795</v>
      </c>
      <c r="Q263" s="823" t="s">
        <v>1369</v>
      </c>
    </row>
    <row r="264" spans="2:17" s="608" customFormat="1" x14ac:dyDescent="0.25">
      <c r="B264" s="605" t="s">
        <v>1392</v>
      </c>
      <c r="C264" s="606">
        <f t="shared" si="8"/>
        <v>311213</v>
      </c>
      <c r="D264" s="607" t="s">
        <v>1393</v>
      </c>
      <c r="E264" s="607" t="s">
        <v>1394</v>
      </c>
      <c r="F264" s="607" t="s">
        <v>1395</v>
      </c>
      <c r="G264" s="607" t="s">
        <v>837</v>
      </c>
      <c r="H264" s="607" t="s">
        <v>837</v>
      </c>
      <c r="I264" s="607" t="s">
        <v>838</v>
      </c>
      <c r="J264" s="608" t="str">
        <f t="shared" si="9"/>
        <v>Food</v>
      </c>
      <c r="N264" s="822">
        <v>238910</v>
      </c>
      <c r="O264" s="822" t="s">
        <v>1365</v>
      </c>
      <c r="P264" s="823">
        <v>1799</v>
      </c>
      <c r="Q264" s="823" t="s">
        <v>1279</v>
      </c>
    </row>
    <row r="265" spans="2:17" s="608" customFormat="1" x14ac:dyDescent="0.25">
      <c r="B265" s="605" t="s">
        <v>1396</v>
      </c>
      <c r="C265" s="606">
        <f t="shared" si="8"/>
        <v>311221</v>
      </c>
      <c r="D265" s="607" t="s">
        <v>1397</v>
      </c>
      <c r="E265" s="607" t="s">
        <v>1398</v>
      </c>
      <c r="F265" s="607" t="s">
        <v>1397</v>
      </c>
      <c r="G265" s="607" t="s">
        <v>837</v>
      </c>
      <c r="H265" s="607" t="s">
        <v>837</v>
      </c>
      <c r="I265" s="607" t="s">
        <v>838</v>
      </c>
      <c r="J265" s="608" t="str">
        <f t="shared" si="9"/>
        <v>Food</v>
      </c>
      <c r="N265" s="822">
        <v>238910</v>
      </c>
      <c r="O265" s="822" t="s">
        <v>1365</v>
      </c>
      <c r="P265" s="823">
        <v>7353</v>
      </c>
      <c r="Q265" s="823" t="s">
        <v>1371</v>
      </c>
    </row>
    <row r="266" spans="2:17" s="608" customFormat="1" ht="18" x14ac:dyDescent="0.3">
      <c r="B266" s="605" t="s">
        <v>1399</v>
      </c>
      <c r="C266" s="606">
        <f t="shared" si="8"/>
        <v>311224</v>
      </c>
      <c r="D266" s="607" t="s">
        <v>1400</v>
      </c>
      <c r="E266" s="607" t="s">
        <v>1401</v>
      </c>
      <c r="F266" s="607" t="s">
        <v>1402</v>
      </c>
      <c r="G266" s="607" t="s">
        <v>837</v>
      </c>
      <c r="H266" s="607" t="s">
        <v>837</v>
      </c>
      <c r="I266" s="607" t="s">
        <v>838</v>
      </c>
      <c r="J266" s="608" t="str">
        <f t="shared" si="9"/>
        <v>Food</v>
      </c>
      <c r="N266" s="822">
        <v>238911</v>
      </c>
      <c r="O266" s="824" t="s">
        <v>1365</v>
      </c>
      <c r="P266" s="823"/>
      <c r="Q266" s="823" t="s">
        <v>958</v>
      </c>
    </row>
    <row r="267" spans="2:17" s="608" customFormat="1" x14ac:dyDescent="0.25">
      <c r="B267" s="605" t="s">
        <v>1399</v>
      </c>
      <c r="C267" s="606">
        <f t="shared" si="8"/>
        <v>311224</v>
      </c>
      <c r="D267" s="607" t="s">
        <v>1400</v>
      </c>
      <c r="E267" s="607" t="s">
        <v>1403</v>
      </c>
      <c r="F267" s="607" t="s">
        <v>1404</v>
      </c>
      <c r="G267" s="607" t="s">
        <v>837</v>
      </c>
      <c r="H267" s="607" t="s">
        <v>837</v>
      </c>
      <c r="I267" s="607" t="s">
        <v>838</v>
      </c>
      <c r="J267" s="608" t="str">
        <f t="shared" si="9"/>
        <v>Food</v>
      </c>
      <c r="N267" s="822">
        <v>238990</v>
      </c>
      <c r="O267" s="822" t="s">
        <v>1373</v>
      </c>
      <c r="P267" s="823">
        <v>1771</v>
      </c>
      <c r="Q267" s="823" t="s">
        <v>1307</v>
      </c>
    </row>
    <row r="268" spans="2:17" s="608" customFormat="1" x14ac:dyDescent="0.25">
      <c r="B268" s="605" t="s">
        <v>1399</v>
      </c>
      <c r="C268" s="606">
        <f t="shared" si="8"/>
        <v>311224</v>
      </c>
      <c r="D268" s="607" t="s">
        <v>1400</v>
      </c>
      <c r="E268" s="607" t="s">
        <v>1405</v>
      </c>
      <c r="F268" s="607" t="s">
        <v>1406</v>
      </c>
      <c r="G268" s="607" t="s">
        <v>837</v>
      </c>
      <c r="H268" s="607" t="s">
        <v>837</v>
      </c>
      <c r="I268" s="607" t="s">
        <v>838</v>
      </c>
      <c r="J268" s="608" t="str">
        <f t="shared" si="9"/>
        <v>Food</v>
      </c>
      <c r="N268" s="822">
        <v>238990</v>
      </c>
      <c r="O268" s="822" t="s">
        <v>1373</v>
      </c>
      <c r="P268" s="823">
        <v>1799</v>
      </c>
      <c r="Q268" s="823" t="s">
        <v>1279</v>
      </c>
    </row>
    <row r="269" spans="2:17" s="608" customFormat="1" x14ac:dyDescent="0.25">
      <c r="B269" s="605" t="s">
        <v>1399</v>
      </c>
      <c r="C269" s="606">
        <f t="shared" si="8"/>
        <v>311224</v>
      </c>
      <c r="D269" s="607" t="s">
        <v>1400</v>
      </c>
      <c r="E269" s="607" t="s">
        <v>1407</v>
      </c>
      <c r="F269" s="607" t="s">
        <v>1408</v>
      </c>
      <c r="G269" s="607" t="s">
        <v>837</v>
      </c>
      <c r="H269" s="607" t="s">
        <v>837</v>
      </c>
      <c r="I269" s="607" t="s">
        <v>838</v>
      </c>
      <c r="J269" s="608" t="str">
        <f t="shared" si="9"/>
        <v>Food</v>
      </c>
      <c r="N269" s="822">
        <v>238990</v>
      </c>
      <c r="O269" s="822" t="s">
        <v>1373</v>
      </c>
      <c r="P269" s="823">
        <v>7353</v>
      </c>
      <c r="Q269" s="823" t="s">
        <v>1371</v>
      </c>
    </row>
    <row r="270" spans="2:17" s="608" customFormat="1" ht="18" x14ac:dyDescent="0.3">
      <c r="B270" s="605" t="s">
        <v>1409</v>
      </c>
      <c r="C270" s="606">
        <f t="shared" si="8"/>
        <v>311225</v>
      </c>
      <c r="D270" s="607" t="s">
        <v>1410</v>
      </c>
      <c r="E270" s="607" t="s">
        <v>1398</v>
      </c>
      <c r="F270" s="607" t="s">
        <v>1397</v>
      </c>
      <c r="G270" s="607" t="s">
        <v>837</v>
      </c>
      <c r="H270" s="607" t="s">
        <v>837</v>
      </c>
      <c r="I270" s="607" t="s">
        <v>838</v>
      </c>
      <c r="J270" s="608" t="str">
        <f t="shared" si="9"/>
        <v>Food</v>
      </c>
      <c r="N270" s="822">
        <v>311110</v>
      </c>
      <c r="O270" s="824" t="s">
        <v>5830</v>
      </c>
      <c r="P270" s="823"/>
      <c r="Q270" s="823" t="s">
        <v>958</v>
      </c>
    </row>
    <row r="271" spans="2:17" s="608" customFormat="1" x14ac:dyDescent="0.25">
      <c r="B271" s="605" t="s">
        <v>1409</v>
      </c>
      <c r="C271" s="606">
        <f t="shared" si="8"/>
        <v>311225</v>
      </c>
      <c r="D271" s="607" t="s">
        <v>1410</v>
      </c>
      <c r="E271" s="607" t="s">
        <v>1401</v>
      </c>
      <c r="F271" s="607" t="s">
        <v>1402</v>
      </c>
      <c r="G271" s="607" t="s">
        <v>837</v>
      </c>
      <c r="H271" s="607" t="s">
        <v>837</v>
      </c>
      <c r="I271" s="607" t="s">
        <v>838</v>
      </c>
      <c r="J271" s="608" t="str">
        <f t="shared" si="9"/>
        <v>Food</v>
      </c>
      <c r="N271" s="822">
        <v>311111</v>
      </c>
      <c r="O271" s="822" t="s">
        <v>1375</v>
      </c>
      <c r="P271" s="823">
        <v>2047</v>
      </c>
      <c r="Q271" s="823" t="s">
        <v>1377</v>
      </c>
    </row>
    <row r="272" spans="2:17" s="608" customFormat="1" x14ac:dyDescent="0.25">
      <c r="B272" s="605" t="s">
        <v>1409</v>
      </c>
      <c r="C272" s="606">
        <f t="shared" si="8"/>
        <v>311225</v>
      </c>
      <c r="D272" s="607" t="s">
        <v>1410</v>
      </c>
      <c r="E272" s="607" t="s">
        <v>1403</v>
      </c>
      <c r="F272" s="607" t="s">
        <v>1404</v>
      </c>
      <c r="G272" s="607" t="s">
        <v>837</v>
      </c>
      <c r="H272" s="607" t="s">
        <v>837</v>
      </c>
      <c r="I272" s="607" t="s">
        <v>838</v>
      </c>
      <c r="J272" s="608" t="str">
        <f t="shared" si="9"/>
        <v>Food</v>
      </c>
      <c r="N272" s="822">
        <v>311119</v>
      </c>
      <c r="O272" s="822" t="s">
        <v>1379</v>
      </c>
      <c r="P272" s="823">
        <v>723</v>
      </c>
      <c r="Q272" s="823" t="s">
        <v>1056</v>
      </c>
    </row>
    <row r="273" spans="2:17" s="608" customFormat="1" x14ac:dyDescent="0.25">
      <c r="B273" s="605" t="s">
        <v>1409</v>
      </c>
      <c r="C273" s="606">
        <f t="shared" si="8"/>
        <v>311225</v>
      </c>
      <c r="D273" s="607" t="s">
        <v>1410</v>
      </c>
      <c r="E273" s="607" t="s">
        <v>1405</v>
      </c>
      <c r="F273" s="607" t="s">
        <v>1406</v>
      </c>
      <c r="G273" s="607" t="s">
        <v>837</v>
      </c>
      <c r="H273" s="607" t="s">
        <v>837</v>
      </c>
      <c r="I273" s="607" t="s">
        <v>838</v>
      </c>
      <c r="J273" s="608" t="str">
        <f t="shared" si="9"/>
        <v>Food</v>
      </c>
      <c r="N273" s="822">
        <v>311119</v>
      </c>
      <c r="O273" s="822" t="s">
        <v>1379</v>
      </c>
      <c r="P273" s="823">
        <v>2048</v>
      </c>
      <c r="Q273" s="823" t="s">
        <v>1381</v>
      </c>
    </row>
    <row r="274" spans="2:17" s="608" customFormat="1" x14ac:dyDescent="0.25">
      <c r="B274" s="605" t="s">
        <v>1409</v>
      </c>
      <c r="C274" s="606">
        <f t="shared" si="8"/>
        <v>311225</v>
      </c>
      <c r="D274" s="607" t="s">
        <v>1410</v>
      </c>
      <c r="E274" s="607" t="s">
        <v>1407</v>
      </c>
      <c r="F274" s="607" t="s">
        <v>1408</v>
      </c>
      <c r="G274" s="607" t="s">
        <v>837</v>
      </c>
      <c r="H274" s="607" t="s">
        <v>837</v>
      </c>
      <c r="I274" s="607" t="s">
        <v>838</v>
      </c>
      <c r="J274" s="608" t="str">
        <f t="shared" si="9"/>
        <v>Food</v>
      </c>
      <c r="N274" s="822">
        <v>311211</v>
      </c>
      <c r="O274" s="822" t="s">
        <v>1384</v>
      </c>
      <c r="P274" s="823">
        <v>2034</v>
      </c>
      <c r="Q274" s="823" t="s">
        <v>1386</v>
      </c>
    </row>
    <row r="275" spans="2:17" s="608" customFormat="1" x14ac:dyDescent="0.25">
      <c r="B275" s="605" t="s">
        <v>1411</v>
      </c>
      <c r="C275" s="606">
        <f t="shared" si="8"/>
        <v>311230</v>
      </c>
      <c r="D275" s="607" t="s">
        <v>1412</v>
      </c>
      <c r="E275" s="607" t="s">
        <v>1413</v>
      </c>
      <c r="F275" s="607" t="s">
        <v>1414</v>
      </c>
      <c r="G275" s="607" t="s">
        <v>837</v>
      </c>
      <c r="H275" s="607" t="s">
        <v>837</v>
      </c>
      <c r="I275" s="607" t="s">
        <v>838</v>
      </c>
      <c r="J275" s="608" t="str">
        <f t="shared" si="9"/>
        <v>Food</v>
      </c>
      <c r="N275" s="822">
        <v>311211</v>
      </c>
      <c r="O275" s="822" t="s">
        <v>1384</v>
      </c>
      <c r="P275" s="823">
        <v>2041</v>
      </c>
      <c r="Q275" s="823" t="s">
        <v>1388</v>
      </c>
    </row>
    <row r="276" spans="2:17" s="608" customFormat="1" x14ac:dyDescent="0.25">
      <c r="B276" s="605" t="s">
        <v>1415</v>
      </c>
      <c r="C276" s="606">
        <f t="shared" si="8"/>
        <v>311313</v>
      </c>
      <c r="D276" s="607" t="s">
        <v>1416</v>
      </c>
      <c r="E276" s="607" t="s">
        <v>1417</v>
      </c>
      <c r="F276" s="607" t="s">
        <v>1418</v>
      </c>
      <c r="G276" s="607" t="s">
        <v>837</v>
      </c>
      <c r="H276" s="607" t="s">
        <v>837</v>
      </c>
      <c r="I276" s="607" t="s">
        <v>838</v>
      </c>
      <c r="J276" s="608" t="str">
        <f t="shared" si="9"/>
        <v>Food</v>
      </c>
      <c r="N276" s="822">
        <v>311212</v>
      </c>
      <c r="O276" s="822" t="s">
        <v>1390</v>
      </c>
      <c r="P276" s="823">
        <v>2044</v>
      </c>
      <c r="Q276" s="823" t="s">
        <v>1390</v>
      </c>
    </row>
    <row r="277" spans="2:17" s="608" customFormat="1" x14ac:dyDescent="0.25">
      <c r="B277" s="605" t="s">
        <v>1419</v>
      </c>
      <c r="C277" s="606">
        <f t="shared" si="8"/>
        <v>311314</v>
      </c>
      <c r="D277" s="607" t="s">
        <v>1420</v>
      </c>
      <c r="E277" s="607" t="s">
        <v>1421</v>
      </c>
      <c r="F277" s="607" t="s">
        <v>1422</v>
      </c>
      <c r="G277" s="607" t="s">
        <v>837</v>
      </c>
      <c r="H277" s="607" t="s">
        <v>837</v>
      </c>
      <c r="I277" s="607" t="s">
        <v>838</v>
      </c>
      <c r="J277" s="608" t="str">
        <f t="shared" si="9"/>
        <v>Food</v>
      </c>
      <c r="N277" s="822">
        <v>311212</v>
      </c>
      <c r="O277" s="822" t="s">
        <v>1390</v>
      </c>
      <c r="P277" s="823">
        <v>2099</v>
      </c>
      <c r="Q277" s="823" t="s">
        <v>943</v>
      </c>
    </row>
    <row r="278" spans="2:17" s="608" customFormat="1" x14ac:dyDescent="0.25">
      <c r="B278" s="605" t="s">
        <v>1419</v>
      </c>
      <c r="C278" s="606">
        <f t="shared" si="8"/>
        <v>311314</v>
      </c>
      <c r="D278" s="607" t="s">
        <v>1420</v>
      </c>
      <c r="E278" s="607" t="s">
        <v>1423</v>
      </c>
      <c r="F278" s="607" t="s">
        <v>1424</v>
      </c>
      <c r="G278" s="607" t="s">
        <v>837</v>
      </c>
      <c r="H278" s="607" t="s">
        <v>837</v>
      </c>
      <c r="I278" s="607" t="s">
        <v>838</v>
      </c>
      <c r="J278" s="608" t="str">
        <f t="shared" si="9"/>
        <v>Food</v>
      </c>
      <c r="N278" s="822">
        <v>311213</v>
      </c>
      <c r="O278" s="822" t="s">
        <v>1393</v>
      </c>
      <c r="P278" s="823">
        <v>2083</v>
      </c>
      <c r="Q278" s="823" t="s">
        <v>1395</v>
      </c>
    </row>
    <row r="279" spans="2:17" s="608" customFormat="1" x14ac:dyDescent="0.25">
      <c r="B279" s="605" t="s">
        <v>1425</v>
      </c>
      <c r="C279" s="606">
        <f t="shared" si="8"/>
        <v>311340</v>
      </c>
      <c r="D279" s="607" t="s">
        <v>1426</v>
      </c>
      <c r="E279" s="607" t="s">
        <v>1427</v>
      </c>
      <c r="F279" s="607" t="s">
        <v>1428</v>
      </c>
      <c r="G279" s="607" t="s">
        <v>837</v>
      </c>
      <c r="H279" s="607" t="s">
        <v>837</v>
      </c>
      <c r="I279" s="607" t="s">
        <v>838</v>
      </c>
      <c r="J279" s="608" t="str">
        <f t="shared" si="9"/>
        <v>Food</v>
      </c>
      <c r="N279" s="822">
        <v>311221</v>
      </c>
      <c r="O279" s="822" t="s">
        <v>1397</v>
      </c>
      <c r="P279" s="823">
        <v>2046</v>
      </c>
      <c r="Q279" s="823" t="s">
        <v>1397</v>
      </c>
    </row>
    <row r="280" spans="2:17" s="608" customFormat="1" x14ac:dyDescent="0.25">
      <c r="B280" s="605" t="s">
        <v>1425</v>
      </c>
      <c r="C280" s="606">
        <f t="shared" si="8"/>
        <v>311340</v>
      </c>
      <c r="D280" s="607" t="s">
        <v>1426</v>
      </c>
      <c r="E280" s="607" t="s">
        <v>1429</v>
      </c>
      <c r="F280" s="607" t="s">
        <v>1430</v>
      </c>
      <c r="G280" s="607" t="s">
        <v>837</v>
      </c>
      <c r="H280" s="607" t="s">
        <v>837</v>
      </c>
      <c r="I280" s="607" t="s">
        <v>838</v>
      </c>
      <c r="J280" s="608" t="str">
        <f t="shared" si="9"/>
        <v>Food</v>
      </c>
      <c r="N280" s="823">
        <v>311222</v>
      </c>
      <c r="O280" s="823" t="s">
        <v>5831</v>
      </c>
      <c r="P280" s="823"/>
      <c r="Q280" s="823" t="s">
        <v>958</v>
      </c>
    </row>
    <row r="281" spans="2:17" s="608" customFormat="1" x14ac:dyDescent="0.25">
      <c r="B281" s="605" t="s">
        <v>1425</v>
      </c>
      <c r="C281" s="606">
        <f t="shared" si="8"/>
        <v>311340</v>
      </c>
      <c r="D281" s="607" t="s">
        <v>1426</v>
      </c>
      <c r="E281" s="607" t="s">
        <v>942</v>
      </c>
      <c r="F281" s="607" t="s">
        <v>943</v>
      </c>
      <c r="G281" s="607" t="s">
        <v>837</v>
      </c>
      <c r="H281" s="607" t="s">
        <v>837</v>
      </c>
      <c r="I281" s="607" t="s">
        <v>838</v>
      </c>
      <c r="J281" s="608" t="str">
        <f t="shared" si="9"/>
        <v>Food</v>
      </c>
      <c r="N281" s="823">
        <v>311223</v>
      </c>
      <c r="O281" s="823" t="s">
        <v>5832</v>
      </c>
      <c r="P281" s="823"/>
      <c r="Q281" s="823" t="s">
        <v>958</v>
      </c>
    </row>
    <row r="282" spans="2:17" s="608" customFormat="1" x14ac:dyDescent="0.25">
      <c r="B282" s="605" t="s">
        <v>1425</v>
      </c>
      <c r="C282" s="606">
        <f t="shared" si="8"/>
        <v>311340</v>
      </c>
      <c r="D282" s="607" t="s">
        <v>1426</v>
      </c>
      <c r="E282" s="607" t="s">
        <v>1431</v>
      </c>
      <c r="F282" s="607" t="s">
        <v>1432</v>
      </c>
      <c r="G282" s="607" t="s">
        <v>837</v>
      </c>
      <c r="H282" s="607" t="s">
        <v>837</v>
      </c>
      <c r="I282" s="607" t="s">
        <v>838</v>
      </c>
      <c r="J282" s="608" t="str">
        <f t="shared" si="9"/>
        <v>Food</v>
      </c>
      <c r="N282" s="822">
        <v>311224</v>
      </c>
      <c r="O282" s="822" t="s">
        <v>1400</v>
      </c>
      <c r="P282" s="823">
        <v>2074</v>
      </c>
      <c r="Q282" s="823" t="s">
        <v>1402</v>
      </c>
    </row>
    <row r="283" spans="2:17" s="608" customFormat="1" x14ac:dyDescent="0.25">
      <c r="B283" s="605" t="s">
        <v>1433</v>
      </c>
      <c r="C283" s="606">
        <f t="shared" si="8"/>
        <v>311351</v>
      </c>
      <c r="D283" s="607" t="s">
        <v>1434</v>
      </c>
      <c r="E283" s="607" t="s">
        <v>1435</v>
      </c>
      <c r="F283" s="607" t="s">
        <v>1436</v>
      </c>
      <c r="G283" s="607" t="s">
        <v>837</v>
      </c>
      <c r="H283" s="607" t="s">
        <v>837</v>
      </c>
      <c r="I283" s="607" t="s">
        <v>838</v>
      </c>
      <c r="J283" s="608" t="str">
        <f t="shared" si="9"/>
        <v>Food</v>
      </c>
      <c r="N283" s="822">
        <v>311224</v>
      </c>
      <c r="O283" s="822" t="s">
        <v>1400</v>
      </c>
      <c r="P283" s="823">
        <v>2075</v>
      </c>
      <c r="Q283" s="823" t="s">
        <v>1404</v>
      </c>
    </row>
    <row r="284" spans="2:17" s="608" customFormat="1" x14ac:dyDescent="0.25">
      <c r="B284" s="605" t="s">
        <v>1437</v>
      </c>
      <c r="C284" s="606">
        <f t="shared" si="8"/>
        <v>311352</v>
      </c>
      <c r="D284" s="607" t="s">
        <v>1438</v>
      </c>
      <c r="E284" s="607" t="s">
        <v>1427</v>
      </c>
      <c r="F284" s="607" t="s">
        <v>1428</v>
      </c>
      <c r="G284" s="607" t="s">
        <v>837</v>
      </c>
      <c r="H284" s="607" t="s">
        <v>837</v>
      </c>
      <c r="I284" s="607" t="s">
        <v>838</v>
      </c>
      <c r="J284" s="608" t="str">
        <f t="shared" si="9"/>
        <v>Food</v>
      </c>
      <c r="N284" s="822">
        <v>311224</v>
      </c>
      <c r="O284" s="822" t="s">
        <v>1400</v>
      </c>
      <c r="P284" s="823">
        <v>2076</v>
      </c>
      <c r="Q284" s="823" t="s">
        <v>1406</v>
      </c>
    </row>
    <row r="285" spans="2:17" s="608" customFormat="1" x14ac:dyDescent="0.25">
      <c r="B285" s="605" t="s">
        <v>1437</v>
      </c>
      <c r="C285" s="606">
        <f t="shared" si="8"/>
        <v>311352</v>
      </c>
      <c r="D285" s="607" t="s">
        <v>1438</v>
      </c>
      <c r="E285" s="607" t="s">
        <v>1435</v>
      </c>
      <c r="F285" s="607" t="s">
        <v>1436</v>
      </c>
      <c r="G285" s="607" t="s">
        <v>837</v>
      </c>
      <c r="H285" s="607" t="s">
        <v>837</v>
      </c>
      <c r="I285" s="607" t="s">
        <v>838</v>
      </c>
      <c r="J285" s="608" t="str">
        <f t="shared" si="9"/>
        <v>Food</v>
      </c>
      <c r="N285" s="822">
        <v>311224</v>
      </c>
      <c r="O285" s="822" t="s">
        <v>1400</v>
      </c>
      <c r="P285" s="823">
        <v>2079</v>
      </c>
      <c r="Q285" s="823" t="s">
        <v>1408</v>
      </c>
    </row>
    <row r="286" spans="2:17" s="608" customFormat="1" x14ac:dyDescent="0.25">
      <c r="B286" s="605" t="s">
        <v>1437</v>
      </c>
      <c r="C286" s="606">
        <f t="shared" si="8"/>
        <v>311352</v>
      </c>
      <c r="D286" s="607" t="s">
        <v>1438</v>
      </c>
      <c r="E286" s="607" t="s">
        <v>1431</v>
      </c>
      <c r="F286" s="607" t="s">
        <v>1432</v>
      </c>
      <c r="G286" s="607" t="s">
        <v>837</v>
      </c>
      <c r="H286" s="607" t="s">
        <v>837</v>
      </c>
      <c r="I286" s="607" t="s">
        <v>838</v>
      </c>
      <c r="J286" s="608" t="str">
        <f t="shared" si="9"/>
        <v>Food</v>
      </c>
      <c r="N286" s="822">
        <v>311225</v>
      </c>
      <c r="O286" s="822" t="s">
        <v>1410</v>
      </c>
      <c r="P286" s="823">
        <v>2046</v>
      </c>
      <c r="Q286" s="823" t="s">
        <v>1397</v>
      </c>
    </row>
    <row r="287" spans="2:17" s="608" customFormat="1" x14ac:dyDescent="0.25">
      <c r="B287" s="605" t="s">
        <v>1439</v>
      </c>
      <c r="C287" s="606">
        <f t="shared" si="8"/>
        <v>311411</v>
      </c>
      <c r="D287" s="607" t="s">
        <v>1440</v>
      </c>
      <c r="E287" s="607" t="s">
        <v>1441</v>
      </c>
      <c r="F287" s="607" t="s">
        <v>1442</v>
      </c>
      <c r="G287" s="607" t="s">
        <v>837</v>
      </c>
      <c r="H287" s="607" t="s">
        <v>837</v>
      </c>
      <c r="I287" s="607" t="s">
        <v>838</v>
      </c>
      <c r="J287" s="608" t="str">
        <f t="shared" si="9"/>
        <v>Food</v>
      </c>
      <c r="N287" s="822">
        <v>311225</v>
      </c>
      <c r="O287" s="822" t="s">
        <v>1410</v>
      </c>
      <c r="P287" s="823">
        <v>2074</v>
      </c>
      <c r="Q287" s="823" t="s">
        <v>1402</v>
      </c>
    </row>
    <row r="288" spans="2:17" s="608" customFormat="1" x14ac:dyDescent="0.25">
      <c r="B288" s="605" t="s">
        <v>1443</v>
      </c>
      <c r="C288" s="606">
        <f t="shared" si="8"/>
        <v>311412</v>
      </c>
      <c r="D288" s="607" t="s">
        <v>1444</v>
      </c>
      <c r="E288" s="607" t="s">
        <v>1445</v>
      </c>
      <c r="F288" s="607" t="s">
        <v>1446</v>
      </c>
      <c r="G288" s="607" t="s">
        <v>837</v>
      </c>
      <c r="H288" s="607" t="s">
        <v>837</v>
      </c>
      <c r="I288" s="607" t="s">
        <v>838</v>
      </c>
      <c r="J288" s="608" t="str">
        <f t="shared" si="9"/>
        <v>Food</v>
      </c>
      <c r="N288" s="822">
        <v>311225</v>
      </c>
      <c r="O288" s="822" t="s">
        <v>1410</v>
      </c>
      <c r="P288" s="823">
        <v>2075</v>
      </c>
      <c r="Q288" s="823" t="s">
        <v>1404</v>
      </c>
    </row>
    <row r="289" spans="2:17" s="608" customFormat="1" x14ac:dyDescent="0.25">
      <c r="B289" s="605" t="s">
        <v>1447</v>
      </c>
      <c r="C289" s="606">
        <f t="shared" si="8"/>
        <v>311421</v>
      </c>
      <c r="D289" s="607" t="s">
        <v>1448</v>
      </c>
      <c r="E289" s="607" t="s">
        <v>1449</v>
      </c>
      <c r="F289" s="607" t="s">
        <v>1450</v>
      </c>
      <c r="G289" s="607" t="s">
        <v>837</v>
      </c>
      <c r="H289" s="607" t="s">
        <v>837</v>
      </c>
      <c r="I289" s="607" t="s">
        <v>838</v>
      </c>
      <c r="J289" s="608" t="str">
        <f t="shared" si="9"/>
        <v>Food</v>
      </c>
      <c r="N289" s="822">
        <v>311225</v>
      </c>
      <c r="O289" s="822" t="s">
        <v>1410</v>
      </c>
      <c r="P289" s="823">
        <v>2076</v>
      </c>
      <c r="Q289" s="823" t="s">
        <v>1406</v>
      </c>
    </row>
    <row r="290" spans="2:17" s="608" customFormat="1" x14ac:dyDescent="0.25">
      <c r="B290" s="605" t="s">
        <v>1447</v>
      </c>
      <c r="C290" s="606">
        <f t="shared" si="8"/>
        <v>311421</v>
      </c>
      <c r="D290" s="607" t="s">
        <v>1448</v>
      </c>
      <c r="E290" s="607" t="s">
        <v>1451</v>
      </c>
      <c r="F290" s="607" t="s">
        <v>1452</v>
      </c>
      <c r="G290" s="607" t="s">
        <v>837</v>
      </c>
      <c r="H290" s="607" t="s">
        <v>837</v>
      </c>
      <c r="I290" s="607" t="s">
        <v>838</v>
      </c>
      <c r="J290" s="608" t="str">
        <f t="shared" si="9"/>
        <v>Food</v>
      </c>
      <c r="N290" s="822">
        <v>311225</v>
      </c>
      <c r="O290" s="822" t="s">
        <v>1410</v>
      </c>
      <c r="P290" s="823">
        <v>2079</v>
      </c>
      <c r="Q290" s="823" t="s">
        <v>1408</v>
      </c>
    </row>
    <row r="291" spans="2:17" s="608" customFormat="1" x14ac:dyDescent="0.25">
      <c r="B291" s="605" t="s">
        <v>1453</v>
      </c>
      <c r="C291" s="606">
        <f t="shared" si="8"/>
        <v>311422</v>
      </c>
      <c r="D291" s="607" t="s">
        <v>1454</v>
      </c>
      <c r="E291" s="607" t="s">
        <v>1455</v>
      </c>
      <c r="F291" s="607" t="s">
        <v>1456</v>
      </c>
      <c r="G291" s="607" t="s">
        <v>837</v>
      </c>
      <c r="H291" s="607" t="s">
        <v>837</v>
      </c>
      <c r="I291" s="607" t="s">
        <v>838</v>
      </c>
      <c r="J291" s="608" t="str">
        <f t="shared" si="9"/>
        <v>Food</v>
      </c>
      <c r="N291" s="822">
        <v>311230</v>
      </c>
      <c r="O291" s="822" t="s">
        <v>1412</v>
      </c>
      <c r="P291" s="823">
        <v>2043</v>
      </c>
      <c r="Q291" s="823" t="s">
        <v>1414</v>
      </c>
    </row>
    <row r="292" spans="2:17" s="608" customFormat="1" x14ac:dyDescent="0.25">
      <c r="B292" s="605" t="s">
        <v>1457</v>
      </c>
      <c r="C292" s="606">
        <f t="shared" si="8"/>
        <v>311423</v>
      </c>
      <c r="D292" s="607" t="s">
        <v>1458</v>
      </c>
      <c r="E292" s="607" t="s">
        <v>1385</v>
      </c>
      <c r="F292" s="607" t="s">
        <v>1386</v>
      </c>
      <c r="G292" s="607" t="s">
        <v>837</v>
      </c>
      <c r="H292" s="607" t="s">
        <v>837</v>
      </c>
      <c r="I292" s="607" t="s">
        <v>838</v>
      </c>
      <c r="J292" s="608" t="str">
        <f t="shared" si="9"/>
        <v>Food</v>
      </c>
      <c r="N292" s="823">
        <v>311311</v>
      </c>
      <c r="O292" s="823" t="s">
        <v>5833</v>
      </c>
      <c r="P292" s="823"/>
      <c r="Q292" s="823" t="s">
        <v>958</v>
      </c>
    </row>
    <row r="293" spans="2:17" s="608" customFormat="1" x14ac:dyDescent="0.25">
      <c r="B293" s="605" t="s">
        <v>1457</v>
      </c>
      <c r="C293" s="606">
        <f t="shared" si="8"/>
        <v>311423</v>
      </c>
      <c r="D293" s="607" t="s">
        <v>1458</v>
      </c>
      <c r="E293" s="607" t="s">
        <v>942</v>
      </c>
      <c r="F293" s="607" t="s">
        <v>943</v>
      </c>
      <c r="G293" s="607" t="s">
        <v>837</v>
      </c>
      <c r="H293" s="607" t="s">
        <v>837</v>
      </c>
      <c r="I293" s="607" t="s">
        <v>838</v>
      </c>
      <c r="J293" s="608" t="str">
        <f t="shared" si="9"/>
        <v>Food</v>
      </c>
      <c r="N293" s="823">
        <v>311312</v>
      </c>
      <c r="O293" s="823" t="s">
        <v>1424</v>
      </c>
      <c r="P293" s="823"/>
      <c r="Q293" s="823" t="s">
        <v>958</v>
      </c>
    </row>
    <row r="294" spans="2:17" s="608" customFormat="1" x14ac:dyDescent="0.25">
      <c r="B294" s="605" t="s">
        <v>1459</v>
      </c>
      <c r="C294" s="606">
        <f t="shared" si="8"/>
        <v>311511</v>
      </c>
      <c r="D294" s="607" t="s">
        <v>1460</v>
      </c>
      <c r="E294" s="607" t="s">
        <v>1461</v>
      </c>
      <c r="F294" s="607" t="s">
        <v>1462</v>
      </c>
      <c r="G294" s="607" t="s">
        <v>837</v>
      </c>
      <c r="H294" s="607" t="s">
        <v>837</v>
      </c>
      <c r="I294" s="607" t="s">
        <v>838</v>
      </c>
      <c r="J294" s="608" t="str">
        <f t="shared" si="9"/>
        <v>Food</v>
      </c>
      <c r="N294" s="822">
        <v>311313</v>
      </c>
      <c r="O294" s="822" t="s">
        <v>1416</v>
      </c>
      <c r="P294" s="823">
        <v>2063</v>
      </c>
      <c r="Q294" s="823" t="s">
        <v>1418</v>
      </c>
    </row>
    <row r="295" spans="2:17" s="608" customFormat="1" x14ac:dyDescent="0.25">
      <c r="B295" s="605" t="s">
        <v>1459</v>
      </c>
      <c r="C295" s="606">
        <f t="shared" si="8"/>
        <v>311511</v>
      </c>
      <c r="D295" s="607" t="s">
        <v>1460</v>
      </c>
      <c r="E295" s="607" t="s">
        <v>1463</v>
      </c>
      <c r="F295" s="607" t="s">
        <v>1464</v>
      </c>
      <c r="G295" s="607" t="s">
        <v>837</v>
      </c>
      <c r="H295" s="607" t="s">
        <v>837</v>
      </c>
      <c r="I295" s="607" t="s">
        <v>838</v>
      </c>
      <c r="J295" s="608" t="str">
        <f t="shared" si="9"/>
        <v>Food</v>
      </c>
      <c r="N295" s="822">
        <v>311314</v>
      </c>
      <c r="O295" s="822" t="s">
        <v>1420</v>
      </c>
      <c r="P295" s="823">
        <v>2061</v>
      </c>
      <c r="Q295" s="823" t="s">
        <v>1422</v>
      </c>
    </row>
    <row r="296" spans="2:17" s="608" customFormat="1" x14ac:dyDescent="0.25">
      <c r="B296" s="605" t="s">
        <v>1465</v>
      </c>
      <c r="C296" s="606">
        <f t="shared" si="8"/>
        <v>311512</v>
      </c>
      <c r="D296" s="607" t="s">
        <v>1466</v>
      </c>
      <c r="E296" s="607" t="s">
        <v>1467</v>
      </c>
      <c r="F296" s="607" t="s">
        <v>1468</v>
      </c>
      <c r="G296" s="607" t="s">
        <v>837</v>
      </c>
      <c r="H296" s="607" t="s">
        <v>837</v>
      </c>
      <c r="I296" s="607" t="s">
        <v>838</v>
      </c>
      <c r="J296" s="608" t="str">
        <f t="shared" si="9"/>
        <v>Food</v>
      </c>
      <c r="N296" s="822">
        <v>311314</v>
      </c>
      <c r="O296" s="822" t="s">
        <v>1420</v>
      </c>
      <c r="P296" s="823">
        <v>2062</v>
      </c>
      <c r="Q296" s="823" t="s">
        <v>1424</v>
      </c>
    </row>
    <row r="297" spans="2:17" s="608" customFormat="1" x14ac:dyDescent="0.25">
      <c r="B297" s="605" t="s">
        <v>1469</v>
      </c>
      <c r="C297" s="606">
        <f t="shared" si="8"/>
        <v>311513</v>
      </c>
      <c r="D297" s="607" t="s">
        <v>1470</v>
      </c>
      <c r="E297" s="607" t="s">
        <v>1471</v>
      </c>
      <c r="F297" s="607" t="s">
        <v>1472</v>
      </c>
      <c r="G297" s="607" t="s">
        <v>837</v>
      </c>
      <c r="H297" s="607" t="s">
        <v>837</v>
      </c>
      <c r="I297" s="607" t="s">
        <v>838</v>
      </c>
      <c r="J297" s="608" t="str">
        <f t="shared" si="9"/>
        <v>Food</v>
      </c>
      <c r="N297" s="823">
        <v>311320</v>
      </c>
      <c r="O297" s="823" t="s">
        <v>1434</v>
      </c>
      <c r="P297" s="823"/>
      <c r="Q297" s="823" t="s">
        <v>958</v>
      </c>
    </row>
    <row r="298" spans="2:17" s="608" customFormat="1" x14ac:dyDescent="0.25">
      <c r="B298" s="605" t="s">
        <v>1473</v>
      </c>
      <c r="C298" s="606">
        <f t="shared" si="8"/>
        <v>311514</v>
      </c>
      <c r="D298" s="607" t="s">
        <v>1474</v>
      </c>
      <c r="E298" s="607" t="s">
        <v>1461</v>
      </c>
      <c r="F298" s="607" t="s">
        <v>1462</v>
      </c>
      <c r="G298" s="607" t="s">
        <v>837</v>
      </c>
      <c r="H298" s="607" t="s">
        <v>837</v>
      </c>
      <c r="I298" s="607" t="s">
        <v>838</v>
      </c>
      <c r="J298" s="608" t="str">
        <f t="shared" si="9"/>
        <v>Food</v>
      </c>
      <c r="N298" s="823">
        <v>311330</v>
      </c>
      <c r="O298" s="823" t="s">
        <v>1438</v>
      </c>
      <c r="P298" s="823"/>
      <c r="Q298" s="823" t="s">
        <v>958</v>
      </c>
    </row>
    <row r="299" spans="2:17" s="608" customFormat="1" x14ac:dyDescent="0.25">
      <c r="B299" s="605" t="s">
        <v>1473</v>
      </c>
      <c r="C299" s="606">
        <f t="shared" si="8"/>
        <v>311514</v>
      </c>
      <c r="D299" s="607" t="s">
        <v>1474</v>
      </c>
      <c r="E299" s="607" t="s">
        <v>1463</v>
      </c>
      <c r="F299" s="607" t="s">
        <v>1464</v>
      </c>
      <c r="G299" s="607" t="s">
        <v>837</v>
      </c>
      <c r="H299" s="607" t="s">
        <v>837</v>
      </c>
      <c r="I299" s="607" t="s">
        <v>838</v>
      </c>
      <c r="J299" s="608" t="str">
        <f t="shared" si="9"/>
        <v>Food</v>
      </c>
      <c r="N299" s="822">
        <v>311340</v>
      </c>
      <c r="O299" s="822" t="s">
        <v>1426</v>
      </c>
      <c r="P299" s="823">
        <v>2064</v>
      </c>
      <c r="Q299" s="823" t="s">
        <v>1428</v>
      </c>
    </row>
    <row r="300" spans="2:17" s="608" customFormat="1" x14ac:dyDescent="0.25">
      <c r="B300" s="605" t="s">
        <v>1475</v>
      </c>
      <c r="C300" s="606">
        <f t="shared" si="8"/>
        <v>311520</v>
      </c>
      <c r="D300" s="607" t="s">
        <v>1476</v>
      </c>
      <c r="E300" s="607" t="s">
        <v>1477</v>
      </c>
      <c r="F300" s="607" t="s">
        <v>1478</v>
      </c>
      <c r="G300" s="607" t="s">
        <v>837</v>
      </c>
      <c r="H300" s="607" t="s">
        <v>837</v>
      </c>
      <c r="I300" s="607" t="s">
        <v>838</v>
      </c>
      <c r="J300" s="608" t="str">
        <f t="shared" si="9"/>
        <v>Food</v>
      </c>
      <c r="N300" s="822">
        <v>311340</v>
      </c>
      <c r="O300" s="822" t="s">
        <v>1426</v>
      </c>
      <c r="P300" s="823">
        <v>2067</v>
      </c>
      <c r="Q300" s="823" t="s">
        <v>1430</v>
      </c>
    </row>
    <row r="301" spans="2:17" s="608" customFormat="1" x14ac:dyDescent="0.25">
      <c r="B301" s="605" t="s">
        <v>1479</v>
      </c>
      <c r="C301" s="606">
        <f t="shared" si="8"/>
        <v>311611</v>
      </c>
      <c r="D301" s="607" t="s">
        <v>1480</v>
      </c>
      <c r="E301" s="607" t="s">
        <v>1481</v>
      </c>
      <c r="F301" s="607" t="s">
        <v>1482</v>
      </c>
      <c r="G301" s="607" t="s">
        <v>837</v>
      </c>
      <c r="H301" s="607" t="s">
        <v>837</v>
      </c>
      <c r="I301" s="607" t="s">
        <v>838</v>
      </c>
      <c r="J301" s="608" t="str">
        <f t="shared" si="9"/>
        <v>Food</v>
      </c>
      <c r="N301" s="822">
        <v>311340</v>
      </c>
      <c r="O301" s="822" t="s">
        <v>1426</v>
      </c>
      <c r="P301" s="823">
        <v>2099</v>
      </c>
      <c r="Q301" s="823" t="s">
        <v>943</v>
      </c>
    </row>
    <row r="302" spans="2:17" s="608" customFormat="1" x14ac:dyDescent="0.25">
      <c r="B302" s="605" t="s">
        <v>1479</v>
      </c>
      <c r="C302" s="606">
        <f t="shared" si="8"/>
        <v>311611</v>
      </c>
      <c r="D302" s="607" t="s">
        <v>1480</v>
      </c>
      <c r="E302" s="607" t="s">
        <v>1380</v>
      </c>
      <c r="F302" s="607" t="s">
        <v>1381</v>
      </c>
      <c r="G302" s="607" t="s">
        <v>837</v>
      </c>
      <c r="H302" s="607" t="s">
        <v>837</v>
      </c>
      <c r="I302" s="607" t="s">
        <v>838</v>
      </c>
      <c r="J302" s="608" t="str">
        <f t="shared" si="9"/>
        <v>Food</v>
      </c>
      <c r="N302" s="822">
        <v>311340</v>
      </c>
      <c r="O302" s="822" t="s">
        <v>1426</v>
      </c>
      <c r="P302" s="823">
        <v>5441</v>
      </c>
      <c r="Q302" s="823" t="s">
        <v>1432</v>
      </c>
    </row>
    <row r="303" spans="2:17" s="608" customFormat="1" x14ac:dyDescent="0.25">
      <c r="B303" s="605" t="s">
        <v>1479</v>
      </c>
      <c r="C303" s="606">
        <f t="shared" si="8"/>
        <v>311611</v>
      </c>
      <c r="D303" s="607" t="s">
        <v>1480</v>
      </c>
      <c r="E303" s="607" t="s">
        <v>1483</v>
      </c>
      <c r="F303" s="607" t="s">
        <v>1067</v>
      </c>
      <c r="G303" s="607" t="s">
        <v>837</v>
      </c>
      <c r="H303" s="607" t="s">
        <v>837</v>
      </c>
      <c r="I303" s="607" t="s">
        <v>838</v>
      </c>
      <c r="J303" s="608" t="str">
        <f t="shared" si="9"/>
        <v>Food</v>
      </c>
      <c r="N303" s="822">
        <v>311351</v>
      </c>
      <c r="O303" s="822" t="s">
        <v>1434</v>
      </c>
      <c r="P303" s="823">
        <v>2066</v>
      </c>
      <c r="Q303" s="823" t="s">
        <v>1436</v>
      </c>
    </row>
    <row r="304" spans="2:17" s="608" customFormat="1" x14ac:dyDescent="0.25">
      <c r="B304" s="605" t="s">
        <v>1484</v>
      </c>
      <c r="C304" s="606">
        <f t="shared" si="8"/>
        <v>311612</v>
      </c>
      <c r="D304" s="607" t="s">
        <v>1485</v>
      </c>
      <c r="E304" s="607" t="s">
        <v>1486</v>
      </c>
      <c r="F304" s="607" t="s">
        <v>1487</v>
      </c>
      <c r="G304" s="607" t="s">
        <v>837</v>
      </c>
      <c r="H304" s="607" t="s">
        <v>837</v>
      </c>
      <c r="I304" s="607" t="s">
        <v>838</v>
      </c>
      <c r="J304" s="608" t="str">
        <f t="shared" si="9"/>
        <v>Food</v>
      </c>
      <c r="N304" s="822">
        <v>311352</v>
      </c>
      <c r="O304" s="822" t="s">
        <v>1438</v>
      </c>
      <c r="P304" s="823">
        <v>2064</v>
      </c>
      <c r="Q304" s="823" t="s">
        <v>1428</v>
      </c>
    </row>
    <row r="305" spans="2:17" s="608" customFormat="1" x14ac:dyDescent="0.25">
      <c r="B305" s="605" t="s">
        <v>1484</v>
      </c>
      <c r="C305" s="606">
        <f t="shared" si="8"/>
        <v>311612</v>
      </c>
      <c r="D305" s="607" t="s">
        <v>1485</v>
      </c>
      <c r="E305" s="607" t="s">
        <v>1488</v>
      </c>
      <c r="F305" s="607" t="s">
        <v>1489</v>
      </c>
      <c r="G305" s="607" t="s">
        <v>837</v>
      </c>
      <c r="H305" s="607" t="s">
        <v>837</v>
      </c>
      <c r="I305" s="607" t="s">
        <v>838</v>
      </c>
      <c r="J305" s="608" t="str">
        <f t="shared" si="9"/>
        <v>Food</v>
      </c>
      <c r="N305" s="822">
        <v>311352</v>
      </c>
      <c r="O305" s="822" t="s">
        <v>1438</v>
      </c>
      <c r="P305" s="823">
        <v>2066</v>
      </c>
      <c r="Q305" s="823" t="s">
        <v>1436</v>
      </c>
    </row>
    <row r="306" spans="2:17" s="608" customFormat="1" x14ac:dyDescent="0.25">
      <c r="B306" s="605" t="s">
        <v>1490</v>
      </c>
      <c r="C306" s="606">
        <f t="shared" si="8"/>
        <v>311613</v>
      </c>
      <c r="D306" s="607" t="s">
        <v>1491</v>
      </c>
      <c r="E306" s="607" t="s">
        <v>1486</v>
      </c>
      <c r="F306" s="607" t="s">
        <v>1487</v>
      </c>
      <c r="G306" s="607" t="s">
        <v>837</v>
      </c>
      <c r="H306" s="607" t="s">
        <v>837</v>
      </c>
      <c r="I306" s="607" t="s">
        <v>838</v>
      </c>
      <c r="J306" s="608" t="str">
        <f t="shared" si="9"/>
        <v>Food</v>
      </c>
      <c r="N306" s="822">
        <v>311352</v>
      </c>
      <c r="O306" s="822" t="s">
        <v>1438</v>
      </c>
      <c r="P306" s="823">
        <v>5441</v>
      </c>
      <c r="Q306" s="823" t="s">
        <v>1432</v>
      </c>
    </row>
    <row r="307" spans="2:17" s="608" customFormat="1" x14ac:dyDescent="0.25">
      <c r="B307" s="605" t="s">
        <v>1490</v>
      </c>
      <c r="C307" s="606">
        <f t="shared" si="8"/>
        <v>311613</v>
      </c>
      <c r="D307" s="607" t="s">
        <v>1491</v>
      </c>
      <c r="E307" s="607" t="s">
        <v>1492</v>
      </c>
      <c r="F307" s="607" t="s">
        <v>1493</v>
      </c>
      <c r="G307" s="607" t="s">
        <v>837</v>
      </c>
      <c r="H307" s="607" t="s">
        <v>837</v>
      </c>
      <c r="I307" s="607" t="s">
        <v>838</v>
      </c>
      <c r="J307" s="608" t="str">
        <f t="shared" si="9"/>
        <v>Food</v>
      </c>
      <c r="N307" s="822">
        <v>311411</v>
      </c>
      <c r="O307" s="822" t="s">
        <v>1440</v>
      </c>
      <c r="P307" s="823">
        <v>2037</v>
      </c>
      <c r="Q307" s="823" t="s">
        <v>1442</v>
      </c>
    </row>
    <row r="308" spans="2:17" s="608" customFormat="1" x14ac:dyDescent="0.25">
      <c r="B308" s="605" t="s">
        <v>1494</v>
      </c>
      <c r="C308" s="606">
        <f t="shared" si="8"/>
        <v>311615</v>
      </c>
      <c r="D308" s="607" t="s">
        <v>1495</v>
      </c>
      <c r="E308" s="607" t="s">
        <v>1496</v>
      </c>
      <c r="F308" s="607" t="s">
        <v>1497</v>
      </c>
      <c r="G308" s="607" t="s">
        <v>837</v>
      </c>
      <c r="H308" s="607" t="s">
        <v>837</v>
      </c>
      <c r="I308" s="607" t="s">
        <v>838</v>
      </c>
      <c r="J308" s="608" t="str">
        <f t="shared" si="9"/>
        <v>Food</v>
      </c>
      <c r="N308" s="822">
        <v>311412</v>
      </c>
      <c r="O308" s="822" t="s">
        <v>1444</v>
      </c>
      <c r="P308" s="823">
        <v>2038</v>
      </c>
      <c r="Q308" s="823" t="s">
        <v>1446</v>
      </c>
    </row>
    <row r="309" spans="2:17" s="608" customFormat="1" x14ac:dyDescent="0.25">
      <c r="B309" s="605" t="s">
        <v>1498</v>
      </c>
      <c r="C309" s="606">
        <f t="shared" si="8"/>
        <v>311710</v>
      </c>
      <c r="D309" s="607" t="s">
        <v>1499</v>
      </c>
      <c r="E309" s="607" t="s">
        <v>1492</v>
      </c>
      <c r="F309" s="607" t="s">
        <v>1493</v>
      </c>
      <c r="G309" s="607" t="s">
        <v>837</v>
      </c>
      <c r="H309" s="607" t="s">
        <v>837</v>
      </c>
      <c r="I309" s="607" t="s">
        <v>838</v>
      </c>
      <c r="J309" s="608" t="str">
        <f t="shared" si="9"/>
        <v>Food</v>
      </c>
      <c r="N309" s="822">
        <v>311421</v>
      </c>
      <c r="O309" s="822" t="s">
        <v>1448</v>
      </c>
      <c r="P309" s="823">
        <v>2033</v>
      </c>
      <c r="Q309" s="823" t="s">
        <v>1450</v>
      </c>
    </row>
    <row r="310" spans="2:17" s="608" customFormat="1" x14ac:dyDescent="0.25">
      <c r="B310" s="605" t="s">
        <v>1498</v>
      </c>
      <c r="C310" s="606">
        <f t="shared" si="8"/>
        <v>311710</v>
      </c>
      <c r="D310" s="607" t="s">
        <v>1499</v>
      </c>
      <c r="E310" s="607" t="s">
        <v>1500</v>
      </c>
      <c r="F310" s="607" t="s">
        <v>1501</v>
      </c>
      <c r="G310" s="607" t="s">
        <v>837</v>
      </c>
      <c r="H310" s="607" t="s">
        <v>837</v>
      </c>
      <c r="I310" s="607" t="s">
        <v>838</v>
      </c>
      <c r="J310" s="608" t="str">
        <f t="shared" si="9"/>
        <v>Food</v>
      </c>
      <c r="N310" s="822">
        <v>311421</v>
      </c>
      <c r="O310" s="822" t="s">
        <v>1448</v>
      </c>
      <c r="P310" s="823">
        <v>2035</v>
      </c>
      <c r="Q310" s="823" t="s">
        <v>1452</v>
      </c>
    </row>
    <row r="311" spans="2:17" s="608" customFormat="1" x14ac:dyDescent="0.25">
      <c r="B311" s="605" t="s">
        <v>1498</v>
      </c>
      <c r="C311" s="606">
        <f t="shared" si="8"/>
        <v>311710</v>
      </c>
      <c r="D311" s="607" t="s">
        <v>1499</v>
      </c>
      <c r="E311" s="607" t="s">
        <v>1502</v>
      </c>
      <c r="F311" s="607" t="s">
        <v>1503</v>
      </c>
      <c r="G311" s="607" t="s">
        <v>837</v>
      </c>
      <c r="H311" s="607" t="s">
        <v>837</v>
      </c>
      <c r="I311" s="607" t="s">
        <v>838</v>
      </c>
      <c r="J311" s="608" t="str">
        <f t="shared" si="9"/>
        <v>Food</v>
      </c>
      <c r="N311" s="822">
        <v>311422</v>
      </c>
      <c r="O311" s="822" t="s">
        <v>1454</v>
      </c>
      <c r="P311" s="823">
        <v>2032</v>
      </c>
      <c r="Q311" s="823" t="s">
        <v>1456</v>
      </c>
    </row>
    <row r="312" spans="2:17" s="608" customFormat="1" x14ac:dyDescent="0.25">
      <c r="B312" s="605" t="s">
        <v>1504</v>
      </c>
      <c r="C312" s="606">
        <f t="shared" si="8"/>
        <v>311811</v>
      </c>
      <c r="D312" s="607" t="s">
        <v>1505</v>
      </c>
      <c r="E312" s="607" t="s">
        <v>1506</v>
      </c>
      <c r="F312" s="607" t="s">
        <v>1505</v>
      </c>
      <c r="G312" s="607" t="s">
        <v>837</v>
      </c>
      <c r="H312" s="607" t="s">
        <v>837</v>
      </c>
      <c r="I312" s="607" t="s">
        <v>838</v>
      </c>
      <c r="J312" s="608" t="str">
        <f t="shared" si="9"/>
        <v>Food</v>
      </c>
      <c r="N312" s="822">
        <v>311423</v>
      </c>
      <c r="O312" s="822" t="s">
        <v>1458</v>
      </c>
      <c r="P312" s="823">
        <v>2034</v>
      </c>
      <c r="Q312" s="823" t="s">
        <v>1386</v>
      </c>
    </row>
    <row r="313" spans="2:17" s="608" customFormat="1" x14ac:dyDescent="0.25">
      <c r="B313" s="605" t="s">
        <v>1507</v>
      </c>
      <c r="C313" s="606">
        <f t="shared" si="8"/>
        <v>311812</v>
      </c>
      <c r="D313" s="607" t="s">
        <v>1508</v>
      </c>
      <c r="E313" s="607" t="s">
        <v>1509</v>
      </c>
      <c r="F313" s="607" t="s">
        <v>1510</v>
      </c>
      <c r="G313" s="607" t="s">
        <v>837</v>
      </c>
      <c r="H313" s="607" t="s">
        <v>837</v>
      </c>
      <c r="I313" s="607" t="s">
        <v>838</v>
      </c>
      <c r="J313" s="608" t="str">
        <f t="shared" si="9"/>
        <v>Food</v>
      </c>
      <c r="N313" s="822">
        <v>311423</v>
      </c>
      <c r="O313" s="822" t="s">
        <v>1458</v>
      </c>
      <c r="P313" s="823">
        <v>2099</v>
      </c>
      <c r="Q313" s="823" t="s">
        <v>943</v>
      </c>
    </row>
    <row r="314" spans="2:17" s="608" customFormat="1" x14ac:dyDescent="0.25">
      <c r="B314" s="605" t="s">
        <v>1507</v>
      </c>
      <c r="C314" s="606">
        <f t="shared" si="8"/>
        <v>311812</v>
      </c>
      <c r="D314" s="607" t="s">
        <v>1508</v>
      </c>
      <c r="E314" s="607" t="s">
        <v>1511</v>
      </c>
      <c r="F314" s="607" t="s">
        <v>1512</v>
      </c>
      <c r="G314" s="607" t="s">
        <v>837</v>
      </c>
      <c r="H314" s="607" t="s">
        <v>837</v>
      </c>
      <c r="I314" s="607" t="s">
        <v>838</v>
      </c>
      <c r="J314" s="608" t="str">
        <f t="shared" si="9"/>
        <v>Food</v>
      </c>
      <c r="N314" s="822">
        <v>311511</v>
      </c>
      <c r="O314" s="822" t="s">
        <v>1460</v>
      </c>
      <c r="P314" s="823">
        <v>2023</v>
      </c>
      <c r="Q314" s="823" t="s">
        <v>1462</v>
      </c>
    </row>
    <row r="315" spans="2:17" s="608" customFormat="1" x14ac:dyDescent="0.25">
      <c r="B315" s="605" t="s">
        <v>1513</v>
      </c>
      <c r="C315" s="606">
        <f t="shared" si="8"/>
        <v>311813</v>
      </c>
      <c r="D315" s="607" t="s">
        <v>1514</v>
      </c>
      <c r="E315" s="607" t="s">
        <v>1515</v>
      </c>
      <c r="F315" s="607" t="s">
        <v>1516</v>
      </c>
      <c r="G315" s="607" t="s">
        <v>837</v>
      </c>
      <c r="H315" s="607" t="s">
        <v>837</v>
      </c>
      <c r="I315" s="607" t="s">
        <v>838</v>
      </c>
      <c r="J315" s="608" t="str">
        <f t="shared" si="9"/>
        <v>Food</v>
      </c>
      <c r="N315" s="822">
        <v>311511</v>
      </c>
      <c r="O315" s="822" t="s">
        <v>1460</v>
      </c>
      <c r="P315" s="823">
        <v>2026</v>
      </c>
      <c r="Q315" s="823" t="s">
        <v>1464</v>
      </c>
    </row>
    <row r="316" spans="2:17" s="608" customFormat="1" x14ac:dyDescent="0.25">
      <c r="B316" s="605" t="s">
        <v>1517</v>
      </c>
      <c r="C316" s="606">
        <f t="shared" si="8"/>
        <v>311821</v>
      </c>
      <c r="D316" s="607" t="s">
        <v>1518</v>
      </c>
      <c r="E316" s="607" t="s">
        <v>1511</v>
      </c>
      <c r="F316" s="607" t="s">
        <v>1512</v>
      </c>
      <c r="G316" s="607" t="s">
        <v>837</v>
      </c>
      <c r="H316" s="607" t="s">
        <v>837</v>
      </c>
      <c r="I316" s="607" t="s">
        <v>838</v>
      </c>
      <c r="J316" s="608" t="str">
        <f t="shared" si="9"/>
        <v>Food</v>
      </c>
      <c r="N316" s="822">
        <v>311512</v>
      </c>
      <c r="O316" s="822" t="s">
        <v>1466</v>
      </c>
      <c r="P316" s="823">
        <v>2021</v>
      </c>
      <c r="Q316" s="823" t="s">
        <v>1468</v>
      </c>
    </row>
    <row r="317" spans="2:17" s="608" customFormat="1" x14ac:dyDescent="0.25">
      <c r="B317" s="605" t="s">
        <v>1519</v>
      </c>
      <c r="C317" s="606">
        <f t="shared" si="8"/>
        <v>311824</v>
      </c>
      <c r="D317" s="607" t="s">
        <v>1520</v>
      </c>
      <c r="E317" s="607" t="s">
        <v>1521</v>
      </c>
      <c r="F317" s="607" t="s">
        <v>1522</v>
      </c>
      <c r="G317" s="607" t="s">
        <v>837</v>
      </c>
      <c r="H317" s="607" t="s">
        <v>837</v>
      </c>
      <c r="I317" s="607" t="s">
        <v>838</v>
      </c>
      <c r="J317" s="608" t="str">
        <f t="shared" si="9"/>
        <v>Food</v>
      </c>
      <c r="N317" s="822">
        <v>311513</v>
      </c>
      <c r="O317" s="822" t="s">
        <v>1470</v>
      </c>
      <c r="P317" s="823">
        <v>2022</v>
      </c>
      <c r="Q317" s="823" t="s">
        <v>1472</v>
      </c>
    </row>
    <row r="318" spans="2:17" s="608" customFormat="1" x14ac:dyDescent="0.25">
      <c r="B318" s="605" t="s">
        <v>1519</v>
      </c>
      <c r="C318" s="606">
        <f t="shared" si="8"/>
        <v>311824</v>
      </c>
      <c r="D318" s="607" t="s">
        <v>1520</v>
      </c>
      <c r="E318" s="607" t="s">
        <v>1523</v>
      </c>
      <c r="F318" s="607" t="s">
        <v>1524</v>
      </c>
      <c r="G318" s="607" t="s">
        <v>837</v>
      </c>
      <c r="H318" s="607" t="s">
        <v>837</v>
      </c>
      <c r="I318" s="607" t="s">
        <v>838</v>
      </c>
      <c r="J318" s="608" t="str">
        <f t="shared" si="9"/>
        <v>Food</v>
      </c>
      <c r="N318" s="822">
        <v>311514</v>
      </c>
      <c r="O318" s="822" t="s">
        <v>1474</v>
      </c>
      <c r="P318" s="823">
        <v>2023</v>
      </c>
      <c r="Q318" s="823" t="s">
        <v>1462</v>
      </c>
    </row>
    <row r="319" spans="2:17" s="608" customFormat="1" x14ac:dyDescent="0.25">
      <c r="B319" s="605" t="s">
        <v>1519</v>
      </c>
      <c r="C319" s="606">
        <f t="shared" si="8"/>
        <v>311824</v>
      </c>
      <c r="D319" s="607" t="s">
        <v>1520</v>
      </c>
      <c r="E319" s="607" t="s">
        <v>942</v>
      </c>
      <c r="F319" s="607" t="s">
        <v>943</v>
      </c>
      <c r="G319" s="607" t="s">
        <v>837</v>
      </c>
      <c r="H319" s="607" t="s">
        <v>837</v>
      </c>
      <c r="I319" s="607" t="s">
        <v>838</v>
      </c>
      <c r="J319" s="608" t="str">
        <f t="shared" si="9"/>
        <v>Food</v>
      </c>
      <c r="N319" s="822">
        <v>311514</v>
      </c>
      <c r="O319" s="822" t="s">
        <v>1474</v>
      </c>
      <c r="P319" s="823">
        <v>2026</v>
      </c>
      <c r="Q319" s="823" t="s">
        <v>1464</v>
      </c>
    </row>
    <row r="320" spans="2:17" s="608" customFormat="1" x14ac:dyDescent="0.25">
      <c r="B320" s="605" t="s">
        <v>1525</v>
      </c>
      <c r="C320" s="606">
        <f t="shared" si="8"/>
        <v>311830</v>
      </c>
      <c r="D320" s="607" t="s">
        <v>1526</v>
      </c>
      <c r="E320" s="607" t="s">
        <v>942</v>
      </c>
      <c r="F320" s="607" t="s">
        <v>943</v>
      </c>
      <c r="G320" s="607" t="s">
        <v>837</v>
      </c>
      <c r="H320" s="607" t="s">
        <v>837</v>
      </c>
      <c r="I320" s="607" t="s">
        <v>838</v>
      </c>
      <c r="J320" s="608" t="str">
        <f t="shared" si="9"/>
        <v>Food</v>
      </c>
      <c r="N320" s="822">
        <v>311520</v>
      </c>
      <c r="O320" s="822" t="s">
        <v>1476</v>
      </c>
      <c r="P320" s="823">
        <v>2024</v>
      </c>
      <c r="Q320" s="823" t="s">
        <v>1478</v>
      </c>
    </row>
    <row r="321" spans="2:17" s="608" customFormat="1" x14ac:dyDescent="0.25">
      <c r="B321" s="605" t="s">
        <v>1527</v>
      </c>
      <c r="C321" s="606">
        <f t="shared" si="8"/>
        <v>311911</v>
      </c>
      <c r="D321" s="607" t="s">
        <v>1528</v>
      </c>
      <c r="E321" s="607" t="s">
        <v>1529</v>
      </c>
      <c r="F321" s="607" t="s">
        <v>1530</v>
      </c>
      <c r="G321" s="607" t="s">
        <v>837</v>
      </c>
      <c r="H321" s="607" t="s">
        <v>837</v>
      </c>
      <c r="I321" s="607" t="s">
        <v>838</v>
      </c>
      <c r="J321" s="608" t="str">
        <f t="shared" si="9"/>
        <v>Food</v>
      </c>
      <c r="N321" s="822">
        <v>311611</v>
      </c>
      <c r="O321" s="822" t="s">
        <v>1480</v>
      </c>
      <c r="P321" s="823">
        <v>751</v>
      </c>
      <c r="Q321" s="823" t="s">
        <v>1067</v>
      </c>
    </row>
    <row r="322" spans="2:17" s="608" customFormat="1" x14ac:dyDescent="0.25">
      <c r="B322" s="605" t="s">
        <v>1527</v>
      </c>
      <c r="C322" s="606">
        <f t="shared" ref="C322:C385" si="10">B322+0</f>
        <v>311911</v>
      </c>
      <c r="D322" s="607" t="s">
        <v>1528</v>
      </c>
      <c r="E322" s="607" t="s">
        <v>942</v>
      </c>
      <c r="F322" s="607" t="s">
        <v>943</v>
      </c>
      <c r="G322" s="607" t="s">
        <v>837</v>
      </c>
      <c r="H322" s="607" t="s">
        <v>837</v>
      </c>
      <c r="I322" s="607" t="s">
        <v>838</v>
      </c>
      <c r="J322" s="608" t="str">
        <f t="shared" ref="J322:J385" si="11">PROPER(I322)</f>
        <v>Food</v>
      </c>
      <c r="N322" s="822">
        <v>311611</v>
      </c>
      <c r="O322" s="822" t="s">
        <v>1480</v>
      </c>
      <c r="P322" s="823">
        <v>2011</v>
      </c>
      <c r="Q322" s="823" t="s">
        <v>1482</v>
      </c>
    </row>
    <row r="323" spans="2:17" s="608" customFormat="1" x14ac:dyDescent="0.25">
      <c r="B323" s="605" t="s">
        <v>1531</v>
      </c>
      <c r="C323" s="606">
        <f t="shared" si="10"/>
        <v>311919</v>
      </c>
      <c r="D323" s="607" t="s">
        <v>1532</v>
      </c>
      <c r="E323" s="607" t="s">
        <v>1511</v>
      </c>
      <c r="F323" s="607" t="s">
        <v>1512</v>
      </c>
      <c r="G323" s="607" t="s">
        <v>837</v>
      </c>
      <c r="H323" s="607" t="s">
        <v>837</v>
      </c>
      <c r="I323" s="607" t="s">
        <v>838</v>
      </c>
      <c r="J323" s="608" t="str">
        <f t="shared" si="11"/>
        <v>Food</v>
      </c>
      <c r="N323" s="822">
        <v>311611</v>
      </c>
      <c r="O323" s="822" t="s">
        <v>1480</v>
      </c>
      <c r="P323" s="823">
        <v>2048</v>
      </c>
      <c r="Q323" s="823" t="s">
        <v>1381</v>
      </c>
    </row>
    <row r="324" spans="2:17" s="608" customFormat="1" x14ac:dyDescent="0.25">
      <c r="B324" s="605" t="s">
        <v>1531</v>
      </c>
      <c r="C324" s="606">
        <f t="shared" si="10"/>
        <v>311919</v>
      </c>
      <c r="D324" s="607" t="s">
        <v>1532</v>
      </c>
      <c r="E324" s="607" t="s">
        <v>1533</v>
      </c>
      <c r="F324" s="607" t="s">
        <v>1534</v>
      </c>
      <c r="G324" s="607" t="s">
        <v>837</v>
      </c>
      <c r="H324" s="607" t="s">
        <v>837</v>
      </c>
      <c r="I324" s="607" t="s">
        <v>838</v>
      </c>
      <c r="J324" s="608" t="str">
        <f t="shared" si="11"/>
        <v>Food</v>
      </c>
      <c r="N324" s="822">
        <v>311612</v>
      </c>
      <c r="O324" s="822" t="s">
        <v>1485</v>
      </c>
      <c r="P324" s="823">
        <v>2013</v>
      </c>
      <c r="Q324" s="823" t="s">
        <v>1487</v>
      </c>
    </row>
    <row r="325" spans="2:17" s="608" customFormat="1" x14ac:dyDescent="0.25">
      <c r="B325" s="605" t="s">
        <v>1535</v>
      </c>
      <c r="C325" s="606">
        <f t="shared" si="10"/>
        <v>311920</v>
      </c>
      <c r="D325" s="607" t="s">
        <v>1536</v>
      </c>
      <c r="E325" s="607" t="s">
        <v>1413</v>
      </c>
      <c r="F325" s="607" t="s">
        <v>1414</v>
      </c>
      <c r="G325" s="607" t="s">
        <v>837</v>
      </c>
      <c r="H325" s="607" t="s">
        <v>837</v>
      </c>
      <c r="I325" s="607" t="s">
        <v>1537</v>
      </c>
      <c r="J325" s="608" t="str">
        <f t="shared" si="11"/>
        <v>Beverage</v>
      </c>
      <c r="N325" s="822">
        <v>311612</v>
      </c>
      <c r="O325" s="822" t="s">
        <v>1485</v>
      </c>
      <c r="P325" s="823">
        <v>5147</v>
      </c>
      <c r="Q325" s="823" t="s">
        <v>1489</v>
      </c>
    </row>
    <row r="326" spans="2:17" s="608" customFormat="1" x14ac:dyDescent="0.25">
      <c r="B326" s="605" t="s">
        <v>1535</v>
      </c>
      <c r="C326" s="606">
        <f t="shared" si="10"/>
        <v>311920</v>
      </c>
      <c r="D326" s="607" t="s">
        <v>1536</v>
      </c>
      <c r="E326" s="607" t="s">
        <v>1538</v>
      </c>
      <c r="F326" s="607" t="s">
        <v>1539</v>
      </c>
      <c r="G326" s="607" t="s">
        <v>837</v>
      </c>
      <c r="H326" s="607" t="s">
        <v>837</v>
      </c>
      <c r="I326" s="607" t="s">
        <v>1537</v>
      </c>
      <c r="J326" s="608" t="str">
        <f t="shared" si="11"/>
        <v>Beverage</v>
      </c>
      <c r="N326" s="822">
        <v>311613</v>
      </c>
      <c r="O326" s="822" t="s">
        <v>1491</v>
      </c>
      <c r="P326" s="823">
        <v>2013</v>
      </c>
      <c r="Q326" s="823" t="s">
        <v>1487</v>
      </c>
    </row>
    <row r="327" spans="2:17" s="608" customFormat="1" x14ac:dyDescent="0.25">
      <c r="B327" s="605" t="s">
        <v>1535</v>
      </c>
      <c r="C327" s="606">
        <f t="shared" si="10"/>
        <v>311920</v>
      </c>
      <c r="D327" s="607" t="s">
        <v>1536</v>
      </c>
      <c r="E327" s="607" t="s">
        <v>1540</v>
      </c>
      <c r="F327" s="607" t="s">
        <v>1541</v>
      </c>
      <c r="G327" s="607" t="s">
        <v>837</v>
      </c>
      <c r="H327" s="607" t="s">
        <v>837</v>
      </c>
      <c r="I327" s="607" t="s">
        <v>1537</v>
      </c>
      <c r="J327" s="608" t="str">
        <f t="shared" si="11"/>
        <v>Beverage</v>
      </c>
      <c r="N327" s="822">
        <v>311613</v>
      </c>
      <c r="O327" s="822" t="s">
        <v>1491</v>
      </c>
      <c r="P327" s="823">
        <v>2077</v>
      </c>
      <c r="Q327" s="823" t="s">
        <v>1493</v>
      </c>
    </row>
    <row r="328" spans="2:17" s="608" customFormat="1" x14ac:dyDescent="0.25">
      <c r="B328" s="605" t="s">
        <v>1535</v>
      </c>
      <c r="C328" s="606">
        <f t="shared" si="10"/>
        <v>311920</v>
      </c>
      <c r="D328" s="607" t="s">
        <v>1536</v>
      </c>
      <c r="E328" s="607" t="s">
        <v>942</v>
      </c>
      <c r="F328" s="607" t="s">
        <v>943</v>
      </c>
      <c r="G328" s="607" t="s">
        <v>837</v>
      </c>
      <c r="H328" s="607" t="s">
        <v>837</v>
      </c>
      <c r="I328" s="607" t="s">
        <v>1537</v>
      </c>
      <c r="J328" s="608" t="str">
        <f t="shared" si="11"/>
        <v>Beverage</v>
      </c>
      <c r="N328" s="822">
        <v>311615</v>
      </c>
      <c r="O328" s="822" t="s">
        <v>1495</v>
      </c>
      <c r="P328" s="823">
        <v>2015</v>
      </c>
      <c r="Q328" s="823" t="s">
        <v>1497</v>
      </c>
    </row>
    <row r="329" spans="2:17" s="608" customFormat="1" x14ac:dyDescent="0.25">
      <c r="B329" s="605" t="s">
        <v>1542</v>
      </c>
      <c r="C329" s="606">
        <f t="shared" si="10"/>
        <v>311930</v>
      </c>
      <c r="D329" s="607" t="s">
        <v>1543</v>
      </c>
      <c r="E329" s="607" t="s">
        <v>1538</v>
      </c>
      <c r="F329" s="607" t="s">
        <v>1539</v>
      </c>
      <c r="G329" s="607" t="s">
        <v>837</v>
      </c>
      <c r="H329" s="607" t="s">
        <v>837</v>
      </c>
      <c r="I329" s="607" t="s">
        <v>838</v>
      </c>
      <c r="J329" s="608" t="str">
        <f t="shared" si="11"/>
        <v>Food</v>
      </c>
      <c r="N329" s="822">
        <v>311710</v>
      </c>
      <c r="O329" s="822" t="s">
        <v>1499</v>
      </c>
      <c r="P329" s="823">
        <v>2077</v>
      </c>
      <c r="Q329" s="823" t="s">
        <v>1493</v>
      </c>
    </row>
    <row r="330" spans="2:17" s="608" customFormat="1" x14ac:dyDescent="0.25">
      <c r="B330" s="605" t="s">
        <v>1544</v>
      </c>
      <c r="C330" s="606">
        <f t="shared" si="10"/>
        <v>311941</v>
      </c>
      <c r="D330" s="607" t="s">
        <v>1545</v>
      </c>
      <c r="E330" s="607" t="s">
        <v>1451</v>
      </c>
      <c r="F330" s="607" t="s">
        <v>1452</v>
      </c>
      <c r="G330" s="607" t="s">
        <v>837</v>
      </c>
      <c r="H330" s="607" t="s">
        <v>837</v>
      </c>
      <c r="I330" s="607" t="s">
        <v>838</v>
      </c>
      <c r="J330" s="608" t="str">
        <f t="shared" si="11"/>
        <v>Food</v>
      </c>
      <c r="N330" s="822">
        <v>311710</v>
      </c>
      <c r="O330" s="822" t="s">
        <v>1499</v>
      </c>
      <c r="P330" s="823">
        <v>2091</v>
      </c>
      <c r="Q330" s="823" t="s">
        <v>1501</v>
      </c>
    </row>
    <row r="331" spans="2:17" s="608" customFormat="1" x14ac:dyDescent="0.25">
      <c r="B331" s="605" t="s">
        <v>1544</v>
      </c>
      <c r="C331" s="606">
        <f t="shared" si="10"/>
        <v>311941</v>
      </c>
      <c r="D331" s="607" t="s">
        <v>1545</v>
      </c>
      <c r="E331" s="607" t="s">
        <v>942</v>
      </c>
      <c r="F331" s="607" t="s">
        <v>943</v>
      </c>
      <c r="G331" s="607" t="s">
        <v>837</v>
      </c>
      <c r="H331" s="607" t="s">
        <v>837</v>
      </c>
      <c r="I331" s="607" t="s">
        <v>838</v>
      </c>
      <c r="J331" s="608" t="str">
        <f t="shared" si="11"/>
        <v>Food</v>
      </c>
      <c r="N331" s="822">
        <v>311710</v>
      </c>
      <c r="O331" s="822" t="s">
        <v>1499</v>
      </c>
      <c r="P331" s="823">
        <v>2092</v>
      </c>
      <c r="Q331" s="823" t="s">
        <v>1503</v>
      </c>
    </row>
    <row r="332" spans="2:17" s="608" customFormat="1" x14ac:dyDescent="0.25">
      <c r="B332" s="605" t="s">
        <v>1546</v>
      </c>
      <c r="C332" s="606">
        <f t="shared" si="10"/>
        <v>311942</v>
      </c>
      <c r="D332" s="607" t="s">
        <v>1547</v>
      </c>
      <c r="E332" s="607" t="s">
        <v>1548</v>
      </c>
      <c r="F332" s="607" t="s">
        <v>1549</v>
      </c>
      <c r="G332" s="607" t="s">
        <v>837</v>
      </c>
      <c r="H332" s="607" t="s">
        <v>837</v>
      </c>
      <c r="I332" s="607" t="s">
        <v>838</v>
      </c>
      <c r="J332" s="608" t="str">
        <f t="shared" si="11"/>
        <v>Food</v>
      </c>
      <c r="N332" s="823">
        <v>311711</v>
      </c>
      <c r="O332" s="823" t="s">
        <v>5834</v>
      </c>
      <c r="P332" s="823"/>
      <c r="Q332" s="823" t="s">
        <v>958</v>
      </c>
    </row>
    <row r="333" spans="2:17" s="608" customFormat="1" x14ac:dyDescent="0.25">
      <c r="B333" s="605" t="s">
        <v>1546</v>
      </c>
      <c r="C333" s="606">
        <f t="shared" si="10"/>
        <v>311942</v>
      </c>
      <c r="D333" s="607" t="s">
        <v>1547</v>
      </c>
      <c r="E333" s="607" t="s">
        <v>1538</v>
      </c>
      <c r="F333" s="607" t="s">
        <v>1539</v>
      </c>
      <c r="G333" s="607" t="s">
        <v>837</v>
      </c>
      <c r="H333" s="607" t="s">
        <v>837</v>
      </c>
      <c r="I333" s="607" t="s">
        <v>838</v>
      </c>
      <c r="J333" s="608" t="str">
        <f t="shared" si="11"/>
        <v>Food</v>
      </c>
      <c r="N333" s="823">
        <v>311712</v>
      </c>
      <c r="O333" s="823" t="s">
        <v>5835</v>
      </c>
      <c r="P333" s="823"/>
      <c r="Q333" s="823" t="s">
        <v>958</v>
      </c>
    </row>
    <row r="334" spans="2:17" s="608" customFormat="1" x14ac:dyDescent="0.25">
      <c r="B334" s="605" t="s">
        <v>1546</v>
      </c>
      <c r="C334" s="606">
        <f t="shared" si="10"/>
        <v>311942</v>
      </c>
      <c r="D334" s="607" t="s">
        <v>1547</v>
      </c>
      <c r="E334" s="607" t="s">
        <v>942</v>
      </c>
      <c r="F334" s="607" t="s">
        <v>943</v>
      </c>
      <c r="G334" s="607" t="s">
        <v>837</v>
      </c>
      <c r="H334" s="607" t="s">
        <v>837</v>
      </c>
      <c r="I334" s="607" t="s">
        <v>838</v>
      </c>
      <c r="J334" s="608" t="str">
        <f t="shared" si="11"/>
        <v>Food</v>
      </c>
      <c r="N334" s="822">
        <v>311811</v>
      </c>
      <c r="O334" s="822" t="s">
        <v>1505</v>
      </c>
      <c r="P334" s="823">
        <v>5461</v>
      </c>
      <c r="Q334" s="823" t="s">
        <v>1505</v>
      </c>
    </row>
    <row r="335" spans="2:17" s="608" customFormat="1" x14ac:dyDescent="0.25">
      <c r="B335" s="605" t="s">
        <v>1546</v>
      </c>
      <c r="C335" s="606">
        <f t="shared" si="10"/>
        <v>311942</v>
      </c>
      <c r="D335" s="607" t="s">
        <v>1547</v>
      </c>
      <c r="E335" s="607" t="s">
        <v>1550</v>
      </c>
      <c r="F335" s="607" t="s">
        <v>1551</v>
      </c>
      <c r="G335" s="607" t="s">
        <v>837</v>
      </c>
      <c r="H335" s="607" t="s">
        <v>837</v>
      </c>
      <c r="I335" s="607" t="s">
        <v>838</v>
      </c>
      <c r="J335" s="608" t="str">
        <f t="shared" si="11"/>
        <v>Food</v>
      </c>
      <c r="N335" s="822">
        <v>311812</v>
      </c>
      <c r="O335" s="822" t="s">
        <v>1508</v>
      </c>
      <c r="P335" s="823">
        <v>2051</v>
      </c>
      <c r="Q335" s="823" t="s">
        <v>1510</v>
      </c>
    </row>
    <row r="336" spans="2:17" s="608" customFormat="1" x14ac:dyDescent="0.25">
      <c r="B336" s="605" t="s">
        <v>1552</v>
      </c>
      <c r="C336" s="606">
        <f t="shared" si="10"/>
        <v>311991</v>
      </c>
      <c r="D336" s="607" t="s">
        <v>1553</v>
      </c>
      <c r="E336" s="607" t="s">
        <v>942</v>
      </c>
      <c r="F336" s="607" t="s">
        <v>943</v>
      </c>
      <c r="G336" s="607" t="s">
        <v>837</v>
      </c>
      <c r="H336" s="607" t="s">
        <v>837</v>
      </c>
      <c r="I336" s="607" t="s">
        <v>838</v>
      </c>
      <c r="J336" s="608" t="str">
        <f t="shared" si="11"/>
        <v>Food</v>
      </c>
      <c r="N336" s="822">
        <v>311812</v>
      </c>
      <c r="O336" s="822" t="s">
        <v>1508</v>
      </c>
      <c r="P336" s="823">
        <v>2052</v>
      </c>
      <c r="Q336" s="823" t="s">
        <v>1512</v>
      </c>
    </row>
    <row r="337" spans="2:17" s="608" customFormat="1" x14ac:dyDescent="0.25">
      <c r="B337" s="605" t="s">
        <v>1554</v>
      </c>
      <c r="C337" s="606">
        <f t="shared" si="10"/>
        <v>311999</v>
      </c>
      <c r="D337" s="607" t="s">
        <v>1555</v>
      </c>
      <c r="E337" s="607" t="s">
        <v>1496</v>
      </c>
      <c r="F337" s="607" t="s">
        <v>1497</v>
      </c>
      <c r="G337" s="607" t="s">
        <v>837</v>
      </c>
      <c r="H337" s="607" t="s">
        <v>837</v>
      </c>
      <c r="I337" s="607" t="s">
        <v>838</v>
      </c>
      <c r="J337" s="608" t="str">
        <f t="shared" si="11"/>
        <v>Food</v>
      </c>
      <c r="N337" s="822">
        <v>311813</v>
      </c>
      <c r="O337" s="822" t="s">
        <v>1514</v>
      </c>
      <c r="P337" s="823">
        <v>2053</v>
      </c>
      <c r="Q337" s="823" t="s">
        <v>1516</v>
      </c>
    </row>
    <row r="338" spans="2:17" s="608" customFormat="1" x14ac:dyDescent="0.25">
      <c r="B338" s="605" t="s">
        <v>1554</v>
      </c>
      <c r="C338" s="606">
        <f t="shared" si="10"/>
        <v>311999</v>
      </c>
      <c r="D338" s="607" t="s">
        <v>1555</v>
      </c>
      <c r="E338" s="607" t="s">
        <v>1455</v>
      </c>
      <c r="F338" s="607" t="s">
        <v>1456</v>
      </c>
      <c r="G338" s="607" t="s">
        <v>837</v>
      </c>
      <c r="H338" s="607" t="s">
        <v>837</v>
      </c>
      <c r="I338" s="607" t="s">
        <v>838</v>
      </c>
      <c r="J338" s="608" t="str">
        <f t="shared" si="11"/>
        <v>Food</v>
      </c>
      <c r="N338" s="822">
        <v>311821</v>
      </c>
      <c r="O338" s="822" t="s">
        <v>1518</v>
      </c>
      <c r="P338" s="823">
        <v>2052</v>
      </c>
      <c r="Q338" s="823" t="s">
        <v>1512</v>
      </c>
    </row>
    <row r="339" spans="2:17" s="608" customFormat="1" x14ac:dyDescent="0.25">
      <c r="B339" s="605" t="s">
        <v>1554</v>
      </c>
      <c r="C339" s="606">
        <f t="shared" si="10"/>
        <v>311999</v>
      </c>
      <c r="D339" s="607" t="s">
        <v>1555</v>
      </c>
      <c r="E339" s="607" t="s">
        <v>1385</v>
      </c>
      <c r="F339" s="607" t="s">
        <v>1386</v>
      </c>
      <c r="G339" s="607" t="s">
        <v>837</v>
      </c>
      <c r="H339" s="607" t="s">
        <v>837</v>
      </c>
      <c r="I339" s="607" t="s">
        <v>838</v>
      </c>
      <c r="J339" s="608" t="str">
        <f t="shared" si="11"/>
        <v>Food</v>
      </c>
      <c r="N339" s="823">
        <v>311822</v>
      </c>
      <c r="O339" s="823" t="s">
        <v>5836</v>
      </c>
      <c r="P339" s="823"/>
      <c r="Q339" s="823" t="s">
        <v>958</v>
      </c>
    </row>
    <row r="340" spans="2:17" s="608" customFormat="1" x14ac:dyDescent="0.25">
      <c r="B340" s="605" t="s">
        <v>1554</v>
      </c>
      <c r="C340" s="606">
        <f t="shared" si="10"/>
        <v>311999</v>
      </c>
      <c r="D340" s="607" t="s">
        <v>1555</v>
      </c>
      <c r="E340" s="607" t="s">
        <v>1538</v>
      </c>
      <c r="F340" s="607" t="s">
        <v>1539</v>
      </c>
      <c r="G340" s="607" t="s">
        <v>837</v>
      </c>
      <c r="H340" s="607" t="s">
        <v>837</v>
      </c>
      <c r="I340" s="607" t="s">
        <v>838</v>
      </c>
      <c r="J340" s="608" t="str">
        <f t="shared" si="11"/>
        <v>Food</v>
      </c>
      <c r="N340" s="823">
        <v>311823</v>
      </c>
      <c r="O340" s="823" t="s">
        <v>5837</v>
      </c>
      <c r="P340" s="823"/>
      <c r="Q340" s="823" t="s">
        <v>958</v>
      </c>
    </row>
    <row r="341" spans="2:17" s="608" customFormat="1" x14ac:dyDescent="0.25">
      <c r="B341" s="605" t="s">
        <v>1554</v>
      </c>
      <c r="C341" s="606">
        <f t="shared" si="10"/>
        <v>311999</v>
      </c>
      <c r="D341" s="607" t="s">
        <v>1555</v>
      </c>
      <c r="E341" s="607" t="s">
        <v>942</v>
      </c>
      <c r="F341" s="607" t="s">
        <v>943</v>
      </c>
      <c r="G341" s="607" t="s">
        <v>837</v>
      </c>
      <c r="H341" s="607" t="s">
        <v>837</v>
      </c>
      <c r="I341" s="607" t="s">
        <v>838</v>
      </c>
      <c r="J341" s="608" t="str">
        <f t="shared" si="11"/>
        <v>Food</v>
      </c>
      <c r="N341" s="822">
        <v>311824</v>
      </c>
      <c r="O341" s="822" t="s">
        <v>1520</v>
      </c>
      <c r="P341" s="823">
        <v>2045</v>
      </c>
      <c r="Q341" s="823" t="s">
        <v>1522</v>
      </c>
    </row>
    <row r="342" spans="2:17" s="608" customFormat="1" x14ac:dyDescent="0.25">
      <c r="B342" s="605" t="s">
        <v>1556</v>
      </c>
      <c r="C342" s="606">
        <f t="shared" si="10"/>
        <v>312111</v>
      </c>
      <c r="D342" s="607" t="s">
        <v>1557</v>
      </c>
      <c r="E342" s="607" t="s">
        <v>1558</v>
      </c>
      <c r="F342" s="607" t="s">
        <v>1559</v>
      </c>
      <c r="G342" s="607" t="s">
        <v>837</v>
      </c>
      <c r="H342" s="607" t="s">
        <v>837</v>
      </c>
      <c r="I342" s="607" t="s">
        <v>1537</v>
      </c>
      <c r="J342" s="608" t="str">
        <f t="shared" si="11"/>
        <v>Beverage</v>
      </c>
      <c r="N342" s="822">
        <v>311824</v>
      </c>
      <c r="O342" s="822" t="s">
        <v>1520</v>
      </c>
      <c r="P342" s="823">
        <v>2098</v>
      </c>
      <c r="Q342" s="823" t="s">
        <v>1524</v>
      </c>
    </row>
    <row r="343" spans="2:17" s="608" customFormat="1" x14ac:dyDescent="0.25">
      <c r="B343" s="605" t="s">
        <v>1560</v>
      </c>
      <c r="C343" s="606">
        <f t="shared" si="10"/>
        <v>312112</v>
      </c>
      <c r="D343" s="607" t="s">
        <v>1561</v>
      </c>
      <c r="E343" s="607" t="s">
        <v>1558</v>
      </c>
      <c r="F343" s="607" t="s">
        <v>1559</v>
      </c>
      <c r="G343" s="607" t="s">
        <v>837</v>
      </c>
      <c r="H343" s="607" t="s">
        <v>837</v>
      </c>
      <c r="I343" s="607" t="s">
        <v>1537</v>
      </c>
      <c r="J343" s="608" t="str">
        <f t="shared" si="11"/>
        <v>Beverage</v>
      </c>
      <c r="N343" s="822">
        <v>311824</v>
      </c>
      <c r="O343" s="822" t="s">
        <v>1520</v>
      </c>
      <c r="P343" s="823">
        <v>2099</v>
      </c>
      <c r="Q343" s="823" t="s">
        <v>943</v>
      </c>
    </row>
    <row r="344" spans="2:17" s="608" customFormat="1" x14ac:dyDescent="0.25">
      <c r="B344" s="605" t="s">
        <v>1560</v>
      </c>
      <c r="C344" s="606">
        <f t="shared" si="10"/>
        <v>312112</v>
      </c>
      <c r="D344" s="607" t="s">
        <v>1561</v>
      </c>
      <c r="E344" s="607" t="s">
        <v>1562</v>
      </c>
      <c r="F344" s="607" t="s">
        <v>1563</v>
      </c>
      <c r="G344" s="607" t="s">
        <v>837</v>
      </c>
      <c r="H344" s="607" t="s">
        <v>837</v>
      </c>
      <c r="I344" s="607" t="s">
        <v>1537</v>
      </c>
      <c r="J344" s="608" t="str">
        <f t="shared" si="11"/>
        <v>Beverage</v>
      </c>
      <c r="N344" s="822">
        <v>311830</v>
      </c>
      <c r="O344" s="822" t="s">
        <v>1526</v>
      </c>
      <c r="P344" s="823">
        <v>2099</v>
      </c>
      <c r="Q344" s="823" t="s">
        <v>943</v>
      </c>
    </row>
    <row r="345" spans="2:17" s="608" customFormat="1" x14ac:dyDescent="0.25">
      <c r="B345" s="605" t="s">
        <v>1564</v>
      </c>
      <c r="C345" s="606">
        <f t="shared" si="10"/>
        <v>312113</v>
      </c>
      <c r="D345" s="607" t="s">
        <v>1565</v>
      </c>
      <c r="E345" s="607" t="s">
        <v>1566</v>
      </c>
      <c r="F345" s="607" t="s">
        <v>1567</v>
      </c>
      <c r="G345" s="607" t="s">
        <v>837</v>
      </c>
      <c r="H345" s="607" t="s">
        <v>837</v>
      </c>
      <c r="I345" s="607" t="s">
        <v>1537</v>
      </c>
      <c r="J345" s="608" t="str">
        <f t="shared" si="11"/>
        <v>Beverage</v>
      </c>
      <c r="N345" s="822">
        <v>311911</v>
      </c>
      <c r="O345" s="822" t="s">
        <v>1528</v>
      </c>
      <c r="P345" s="823">
        <v>2068</v>
      </c>
      <c r="Q345" s="823" t="s">
        <v>1530</v>
      </c>
    </row>
    <row r="346" spans="2:17" s="608" customFormat="1" x14ac:dyDescent="0.25">
      <c r="B346" s="605" t="s">
        <v>1568</v>
      </c>
      <c r="C346" s="606">
        <f t="shared" si="10"/>
        <v>312120</v>
      </c>
      <c r="D346" s="607" t="s">
        <v>1569</v>
      </c>
      <c r="E346" s="607" t="s">
        <v>1548</v>
      </c>
      <c r="F346" s="607" t="s">
        <v>1549</v>
      </c>
      <c r="G346" s="607" t="s">
        <v>837</v>
      </c>
      <c r="H346" s="607" t="s">
        <v>837</v>
      </c>
      <c r="I346" s="607" t="s">
        <v>1537</v>
      </c>
      <c r="J346" s="608" t="str">
        <f t="shared" si="11"/>
        <v>Beverage</v>
      </c>
      <c r="N346" s="822">
        <v>311911</v>
      </c>
      <c r="O346" s="822" t="s">
        <v>1528</v>
      </c>
      <c r="P346" s="823">
        <v>2099</v>
      </c>
      <c r="Q346" s="823" t="s">
        <v>943</v>
      </c>
    </row>
    <row r="347" spans="2:17" s="608" customFormat="1" x14ac:dyDescent="0.25">
      <c r="B347" s="605" t="s">
        <v>1570</v>
      </c>
      <c r="C347" s="606">
        <f t="shared" si="10"/>
        <v>312130</v>
      </c>
      <c r="D347" s="607" t="s">
        <v>1571</v>
      </c>
      <c r="E347" s="607" t="s">
        <v>1572</v>
      </c>
      <c r="F347" s="607" t="s">
        <v>1573</v>
      </c>
      <c r="G347" s="607" t="s">
        <v>837</v>
      </c>
      <c r="H347" s="607" t="s">
        <v>837</v>
      </c>
      <c r="I347" s="607" t="s">
        <v>1537</v>
      </c>
      <c r="J347" s="608" t="str">
        <f t="shared" si="11"/>
        <v>Beverage</v>
      </c>
      <c r="N347" s="822">
        <v>311919</v>
      </c>
      <c r="O347" s="822" t="s">
        <v>1532</v>
      </c>
      <c r="P347" s="823">
        <v>2052</v>
      </c>
      <c r="Q347" s="823" t="s">
        <v>1512</v>
      </c>
    </row>
    <row r="348" spans="2:17" s="608" customFormat="1" x14ac:dyDescent="0.25">
      <c r="B348" s="605" t="s">
        <v>1570</v>
      </c>
      <c r="C348" s="606">
        <f t="shared" si="10"/>
        <v>312130</v>
      </c>
      <c r="D348" s="607" t="s">
        <v>1571</v>
      </c>
      <c r="E348" s="607" t="s">
        <v>1574</v>
      </c>
      <c r="F348" s="607" t="s">
        <v>1575</v>
      </c>
      <c r="G348" s="607" t="s">
        <v>837</v>
      </c>
      <c r="H348" s="607" t="s">
        <v>837</v>
      </c>
      <c r="I348" s="607" t="s">
        <v>1537</v>
      </c>
      <c r="J348" s="608" t="str">
        <f t="shared" si="11"/>
        <v>Beverage</v>
      </c>
      <c r="N348" s="822">
        <v>311919</v>
      </c>
      <c r="O348" s="822" t="s">
        <v>1532</v>
      </c>
      <c r="P348" s="823">
        <v>2096</v>
      </c>
      <c r="Q348" s="823" t="s">
        <v>1534</v>
      </c>
    </row>
    <row r="349" spans="2:17" s="608" customFormat="1" x14ac:dyDescent="0.25">
      <c r="B349" s="605" t="s">
        <v>1576</v>
      </c>
      <c r="C349" s="606">
        <f t="shared" si="10"/>
        <v>312140</v>
      </c>
      <c r="D349" s="607" t="s">
        <v>1577</v>
      </c>
      <c r="E349" s="607" t="s">
        <v>1574</v>
      </c>
      <c r="F349" s="607" t="s">
        <v>1575</v>
      </c>
      <c r="G349" s="607" t="s">
        <v>837</v>
      </c>
      <c r="H349" s="607" t="s">
        <v>837</v>
      </c>
      <c r="I349" s="607" t="s">
        <v>1537</v>
      </c>
      <c r="J349" s="608" t="str">
        <f t="shared" si="11"/>
        <v>Beverage</v>
      </c>
      <c r="N349" s="822">
        <v>311920</v>
      </c>
      <c r="O349" s="822" t="s">
        <v>1536</v>
      </c>
      <c r="P349" s="823">
        <v>2043</v>
      </c>
      <c r="Q349" s="823" t="s">
        <v>1414</v>
      </c>
    </row>
    <row r="350" spans="2:17" s="608" customFormat="1" x14ac:dyDescent="0.25">
      <c r="B350" s="605" t="s">
        <v>1578</v>
      </c>
      <c r="C350" s="606">
        <f t="shared" si="10"/>
        <v>312230</v>
      </c>
      <c r="D350" s="607" t="s">
        <v>1579</v>
      </c>
      <c r="E350" s="607" t="s">
        <v>1580</v>
      </c>
      <c r="F350" s="607" t="s">
        <v>1581</v>
      </c>
      <c r="G350" s="607" t="s">
        <v>837</v>
      </c>
      <c r="H350" s="607" t="s">
        <v>837</v>
      </c>
      <c r="I350" s="607" t="s">
        <v>919</v>
      </c>
      <c r="J350" s="608" t="str">
        <f t="shared" si="11"/>
        <v>Tobacco</v>
      </c>
      <c r="N350" s="822">
        <v>311920</v>
      </c>
      <c r="O350" s="822" t="s">
        <v>1536</v>
      </c>
      <c r="P350" s="823">
        <v>2087</v>
      </c>
      <c r="Q350" s="823" t="s">
        <v>1539</v>
      </c>
    </row>
    <row r="351" spans="2:17" s="608" customFormat="1" x14ac:dyDescent="0.25">
      <c r="B351" s="605" t="s">
        <v>1578</v>
      </c>
      <c r="C351" s="606">
        <f t="shared" si="10"/>
        <v>312230</v>
      </c>
      <c r="D351" s="607" t="s">
        <v>1579</v>
      </c>
      <c r="E351" s="607" t="s">
        <v>1582</v>
      </c>
      <c r="F351" s="607" t="s">
        <v>1583</v>
      </c>
      <c r="G351" s="607" t="s">
        <v>837</v>
      </c>
      <c r="H351" s="607" t="s">
        <v>837</v>
      </c>
      <c r="I351" s="607" t="s">
        <v>919</v>
      </c>
      <c r="J351" s="608" t="str">
        <f t="shared" si="11"/>
        <v>Tobacco</v>
      </c>
      <c r="N351" s="822">
        <v>311920</v>
      </c>
      <c r="O351" s="822" t="s">
        <v>1536</v>
      </c>
      <c r="P351" s="823">
        <v>2095</v>
      </c>
      <c r="Q351" s="823" t="s">
        <v>1541</v>
      </c>
    </row>
    <row r="352" spans="2:17" s="608" customFormat="1" x14ac:dyDescent="0.25">
      <c r="B352" s="605" t="s">
        <v>1578</v>
      </c>
      <c r="C352" s="606">
        <f t="shared" si="10"/>
        <v>312230</v>
      </c>
      <c r="D352" s="607" t="s">
        <v>1579</v>
      </c>
      <c r="E352" s="607" t="s">
        <v>1584</v>
      </c>
      <c r="F352" s="607" t="s">
        <v>1585</v>
      </c>
      <c r="G352" s="607" t="s">
        <v>837</v>
      </c>
      <c r="H352" s="607" t="s">
        <v>837</v>
      </c>
      <c r="I352" s="607" t="s">
        <v>919</v>
      </c>
      <c r="J352" s="608" t="str">
        <f t="shared" si="11"/>
        <v>Tobacco</v>
      </c>
      <c r="N352" s="822">
        <v>311920</v>
      </c>
      <c r="O352" s="822" t="s">
        <v>1536</v>
      </c>
      <c r="P352" s="823">
        <v>2099</v>
      </c>
      <c r="Q352" s="823" t="s">
        <v>943</v>
      </c>
    </row>
    <row r="353" spans="2:17" s="608" customFormat="1" x14ac:dyDescent="0.25">
      <c r="B353" s="605" t="s">
        <v>1578</v>
      </c>
      <c r="C353" s="606">
        <f t="shared" si="10"/>
        <v>312230</v>
      </c>
      <c r="D353" s="607" t="s">
        <v>1579</v>
      </c>
      <c r="E353" s="607" t="s">
        <v>1586</v>
      </c>
      <c r="F353" s="607" t="s">
        <v>1587</v>
      </c>
      <c r="G353" s="607" t="s">
        <v>837</v>
      </c>
      <c r="H353" s="607" t="s">
        <v>837</v>
      </c>
      <c r="I353" s="607" t="s">
        <v>919</v>
      </c>
      <c r="J353" s="608" t="str">
        <f t="shared" si="11"/>
        <v>Tobacco</v>
      </c>
      <c r="N353" s="822">
        <v>311930</v>
      </c>
      <c r="O353" s="822" t="s">
        <v>1543</v>
      </c>
      <c r="P353" s="823">
        <v>2087</v>
      </c>
      <c r="Q353" s="823" t="s">
        <v>1539</v>
      </c>
    </row>
    <row r="354" spans="2:17" s="608" customFormat="1" x14ac:dyDescent="0.25">
      <c r="B354" s="605" t="s">
        <v>1578</v>
      </c>
      <c r="C354" s="606">
        <f t="shared" si="10"/>
        <v>312230</v>
      </c>
      <c r="D354" s="607" t="s">
        <v>1579</v>
      </c>
      <c r="E354" s="607" t="s">
        <v>1588</v>
      </c>
      <c r="F354" s="607" t="s">
        <v>1589</v>
      </c>
      <c r="G354" s="607" t="s">
        <v>837</v>
      </c>
      <c r="H354" s="607" t="s">
        <v>837</v>
      </c>
      <c r="I354" s="607" t="s">
        <v>919</v>
      </c>
      <c r="J354" s="608" t="str">
        <f t="shared" si="11"/>
        <v>Tobacco</v>
      </c>
      <c r="N354" s="822">
        <v>311941</v>
      </c>
      <c r="O354" s="822" t="s">
        <v>1545</v>
      </c>
      <c r="P354" s="823">
        <v>2035</v>
      </c>
      <c r="Q354" s="823" t="s">
        <v>1452</v>
      </c>
    </row>
    <row r="355" spans="2:17" s="608" customFormat="1" x14ac:dyDescent="0.25">
      <c r="B355" s="605" t="s">
        <v>1590</v>
      </c>
      <c r="C355" s="606">
        <f t="shared" si="10"/>
        <v>313110</v>
      </c>
      <c r="D355" s="607" t="s">
        <v>1591</v>
      </c>
      <c r="E355" s="607" t="s">
        <v>1592</v>
      </c>
      <c r="F355" s="607" t="s">
        <v>1593</v>
      </c>
      <c r="G355" s="607" t="s">
        <v>1594</v>
      </c>
      <c r="H355" s="607" t="s">
        <v>1594</v>
      </c>
      <c r="I355" s="607" t="s">
        <v>1595</v>
      </c>
      <c r="J355" s="608" t="str">
        <f t="shared" si="11"/>
        <v>Home Furnishings</v>
      </c>
      <c r="N355" s="822">
        <v>311941</v>
      </c>
      <c r="O355" s="822" t="s">
        <v>1545</v>
      </c>
      <c r="P355" s="823">
        <v>2099</v>
      </c>
      <c r="Q355" s="823" t="s">
        <v>943</v>
      </c>
    </row>
    <row r="356" spans="2:17" s="608" customFormat="1" x14ac:dyDescent="0.25">
      <c r="B356" s="605" t="s">
        <v>1590</v>
      </c>
      <c r="C356" s="606">
        <f t="shared" si="10"/>
        <v>313110</v>
      </c>
      <c r="D356" s="607" t="s">
        <v>1591</v>
      </c>
      <c r="E356" s="607" t="s">
        <v>1596</v>
      </c>
      <c r="F356" s="607" t="s">
        <v>1597</v>
      </c>
      <c r="G356" s="607" t="s">
        <v>1594</v>
      </c>
      <c r="H356" s="607" t="s">
        <v>1594</v>
      </c>
      <c r="I356" s="607" t="s">
        <v>1595</v>
      </c>
      <c r="J356" s="608" t="str">
        <f t="shared" si="11"/>
        <v>Home Furnishings</v>
      </c>
      <c r="N356" s="822">
        <v>311942</v>
      </c>
      <c r="O356" s="822" t="s">
        <v>1547</v>
      </c>
      <c r="P356" s="823">
        <v>2082</v>
      </c>
      <c r="Q356" s="823" t="s">
        <v>1549</v>
      </c>
    </row>
    <row r="357" spans="2:17" s="608" customFormat="1" x14ac:dyDescent="0.25">
      <c r="B357" s="605" t="s">
        <v>1590</v>
      </c>
      <c r="C357" s="606">
        <f t="shared" si="10"/>
        <v>313110</v>
      </c>
      <c r="D357" s="607" t="s">
        <v>1591</v>
      </c>
      <c r="E357" s="607" t="s">
        <v>1598</v>
      </c>
      <c r="F357" s="607" t="s">
        <v>1599</v>
      </c>
      <c r="G357" s="607" t="s">
        <v>1594</v>
      </c>
      <c r="H357" s="607" t="s">
        <v>1594</v>
      </c>
      <c r="I357" s="607" t="s">
        <v>1595</v>
      </c>
      <c r="J357" s="608" t="str">
        <f t="shared" si="11"/>
        <v>Home Furnishings</v>
      </c>
      <c r="N357" s="822">
        <v>311942</v>
      </c>
      <c r="O357" s="822" t="s">
        <v>1547</v>
      </c>
      <c r="P357" s="823">
        <v>2087</v>
      </c>
      <c r="Q357" s="823" t="s">
        <v>1539</v>
      </c>
    </row>
    <row r="358" spans="2:17" s="608" customFormat="1" x14ac:dyDescent="0.25">
      <c r="B358" s="605" t="s">
        <v>1590</v>
      </c>
      <c r="C358" s="606">
        <f t="shared" si="10"/>
        <v>313110</v>
      </c>
      <c r="D358" s="607" t="s">
        <v>1591</v>
      </c>
      <c r="E358" s="607" t="s">
        <v>1600</v>
      </c>
      <c r="F358" s="607" t="s">
        <v>1601</v>
      </c>
      <c r="G358" s="607" t="s">
        <v>1594</v>
      </c>
      <c r="H358" s="607" t="s">
        <v>1594</v>
      </c>
      <c r="I358" s="607" t="s">
        <v>1595</v>
      </c>
      <c r="J358" s="608" t="str">
        <f t="shared" si="11"/>
        <v>Home Furnishings</v>
      </c>
      <c r="N358" s="822">
        <v>311942</v>
      </c>
      <c r="O358" s="822" t="s">
        <v>1547</v>
      </c>
      <c r="P358" s="823">
        <v>2099</v>
      </c>
      <c r="Q358" s="823" t="s">
        <v>943</v>
      </c>
    </row>
    <row r="359" spans="2:17" s="608" customFormat="1" x14ac:dyDescent="0.25">
      <c r="B359" s="605" t="s">
        <v>1590</v>
      </c>
      <c r="C359" s="606">
        <f t="shared" si="10"/>
        <v>313110</v>
      </c>
      <c r="D359" s="607" t="s">
        <v>1591</v>
      </c>
      <c r="E359" s="607" t="s">
        <v>1602</v>
      </c>
      <c r="F359" s="607" t="s">
        <v>1603</v>
      </c>
      <c r="G359" s="607" t="s">
        <v>1594</v>
      </c>
      <c r="H359" s="607" t="s">
        <v>1594</v>
      </c>
      <c r="I359" s="607" t="s">
        <v>1595</v>
      </c>
      <c r="J359" s="608" t="str">
        <f t="shared" si="11"/>
        <v>Home Furnishings</v>
      </c>
      <c r="N359" s="822">
        <v>311942</v>
      </c>
      <c r="O359" s="822" t="s">
        <v>1547</v>
      </c>
      <c r="P359" s="823">
        <v>2899</v>
      </c>
      <c r="Q359" s="823" t="s">
        <v>1551</v>
      </c>
    </row>
    <row r="360" spans="2:17" s="608" customFormat="1" x14ac:dyDescent="0.25">
      <c r="B360" s="605" t="s">
        <v>1604</v>
      </c>
      <c r="C360" s="606">
        <f t="shared" si="10"/>
        <v>313210</v>
      </c>
      <c r="D360" s="607" t="s">
        <v>1605</v>
      </c>
      <c r="E360" s="607" t="s">
        <v>1606</v>
      </c>
      <c r="F360" s="607" t="s">
        <v>1607</v>
      </c>
      <c r="G360" s="607" t="s">
        <v>1594</v>
      </c>
      <c r="H360" s="607" t="s">
        <v>1594</v>
      </c>
      <c r="I360" s="607" t="s">
        <v>1608</v>
      </c>
      <c r="J360" s="608" t="str">
        <f t="shared" si="11"/>
        <v>Textile Apparel Luxury Goods</v>
      </c>
      <c r="N360" s="822">
        <v>311991</v>
      </c>
      <c r="O360" s="822" t="s">
        <v>1553</v>
      </c>
      <c r="P360" s="823">
        <v>2099</v>
      </c>
      <c r="Q360" s="823" t="s">
        <v>943</v>
      </c>
    </row>
    <row r="361" spans="2:17" s="608" customFormat="1" x14ac:dyDescent="0.25">
      <c r="B361" s="605" t="s">
        <v>1604</v>
      </c>
      <c r="C361" s="606">
        <f t="shared" si="10"/>
        <v>313210</v>
      </c>
      <c r="D361" s="607" t="s">
        <v>1605</v>
      </c>
      <c r="E361" s="607" t="s">
        <v>1609</v>
      </c>
      <c r="F361" s="607" t="s">
        <v>1610</v>
      </c>
      <c r="G361" s="607" t="s">
        <v>1594</v>
      </c>
      <c r="H361" s="607" t="s">
        <v>1594</v>
      </c>
      <c r="I361" s="607" t="s">
        <v>1608</v>
      </c>
      <c r="J361" s="608" t="str">
        <f t="shared" si="11"/>
        <v>Textile Apparel Luxury Goods</v>
      </c>
      <c r="N361" s="822">
        <v>311999</v>
      </c>
      <c r="O361" s="822" t="s">
        <v>1555</v>
      </c>
      <c r="P361" s="823">
        <v>2015</v>
      </c>
      <c r="Q361" s="823" t="s">
        <v>1497</v>
      </c>
    </row>
    <row r="362" spans="2:17" s="608" customFormat="1" x14ac:dyDescent="0.25">
      <c r="B362" s="605" t="s">
        <v>1604</v>
      </c>
      <c r="C362" s="606">
        <f t="shared" si="10"/>
        <v>313210</v>
      </c>
      <c r="D362" s="607" t="s">
        <v>1605</v>
      </c>
      <c r="E362" s="607" t="s">
        <v>1611</v>
      </c>
      <c r="F362" s="607" t="s">
        <v>1612</v>
      </c>
      <c r="G362" s="607" t="s">
        <v>1594</v>
      </c>
      <c r="H362" s="607" t="s">
        <v>1594</v>
      </c>
      <c r="I362" s="607" t="s">
        <v>1608</v>
      </c>
      <c r="J362" s="608" t="str">
        <f t="shared" si="11"/>
        <v>Textile Apparel Luxury Goods</v>
      </c>
      <c r="N362" s="822">
        <v>311999</v>
      </c>
      <c r="O362" s="822" t="s">
        <v>1555</v>
      </c>
      <c r="P362" s="823">
        <v>2032</v>
      </c>
      <c r="Q362" s="823" t="s">
        <v>1456</v>
      </c>
    </row>
    <row r="363" spans="2:17" s="608" customFormat="1" x14ac:dyDescent="0.25">
      <c r="B363" s="605" t="s">
        <v>1604</v>
      </c>
      <c r="C363" s="606">
        <f t="shared" si="10"/>
        <v>313210</v>
      </c>
      <c r="D363" s="607" t="s">
        <v>1605</v>
      </c>
      <c r="E363" s="607" t="s">
        <v>1602</v>
      </c>
      <c r="F363" s="607" t="s">
        <v>1603</v>
      </c>
      <c r="G363" s="607" t="s">
        <v>1594</v>
      </c>
      <c r="H363" s="607" t="s">
        <v>1594</v>
      </c>
      <c r="I363" s="607" t="s">
        <v>1608</v>
      </c>
      <c r="J363" s="608" t="str">
        <f t="shared" si="11"/>
        <v>Textile Apparel Luxury Goods</v>
      </c>
      <c r="N363" s="822">
        <v>311999</v>
      </c>
      <c r="O363" s="822" t="s">
        <v>1555</v>
      </c>
      <c r="P363" s="823">
        <v>2034</v>
      </c>
      <c r="Q363" s="823" t="s">
        <v>1386</v>
      </c>
    </row>
    <row r="364" spans="2:17" s="608" customFormat="1" x14ac:dyDescent="0.25">
      <c r="B364" s="605" t="s">
        <v>1613</v>
      </c>
      <c r="C364" s="606">
        <f t="shared" si="10"/>
        <v>313220</v>
      </c>
      <c r="D364" s="607" t="s">
        <v>1614</v>
      </c>
      <c r="E364" s="607" t="s">
        <v>1615</v>
      </c>
      <c r="F364" s="607" t="s">
        <v>1616</v>
      </c>
      <c r="G364" s="607" t="s">
        <v>1594</v>
      </c>
      <c r="H364" s="607" t="s">
        <v>1594</v>
      </c>
      <c r="I364" s="607" t="s">
        <v>1608</v>
      </c>
      <c r="J364" s="608" t="str">
        <f t="shared" si="11"/>
        <v>Textile Apparel Luxury Goods</v>
      </c>
      <c r="N364" s="822">
        <v>311999</v>
      </c>
      <c r="O364" s="822" t="s">
        <v>1555</v>
      </c>
      <c r="P364" s="823">
        <v>2087</v>
      </c>
      <c r="Q364" s="823" t="s">
        <v>1539</v>
      </c>
    </row>
    <row r="365" spans="2:17" s="608" customFormat="1" x14ac:dyDescent="0.25">
      <c r="B365" s="605" t="s">
        <v>1613</v>
      </c>
      <c r="C365" s="606">
        <f t="shared" si="10"/>
        <v>313220</v>
      </c>
      <c r="D365" s="607" t="s">
        <v>1614</v>
      </c>
      <c r="E365" s="607" t="s">
        <v>1602</v>
      </c>
      <c r="F365" s="607" t="s">
        <v>1603</v>
      </c>
      <c r="G365" s="607" t="s">
        <v>1594</v>
      </c>
      <c r="H365" s="607" t="s">
        <v>1594</v>
      </c>
      <c r="I365" s="607" t="s">
        <v>1608</v>
      </c>
      <c r="J365" s="608" t="str">
        <f t="shared" si="11"/>
        <v>Textile Apparel Luxury Goods</v>
      </c>
      <c r="N365" s="822">
        <v>311999</v>
      </c>
      <c r="O365" s="822" t="s">
        <v>1555</v>
      </c>
      <c r="P365" s="823">
        <v>2099</v>
      </c>
      <c r="Q365" s="823" t="s">
        <v>943</v>
      </c>
    </row>
    <row r="366" spans="2:17" s="608" customFormat="1" x14ac:dyDescent="0.25">
      <c r="B366" s="605" t="s">
        <v>1613</v>
      </c>
      <c r="C366" s="606">
        <f t="shared" si="10"/>
        <v>313220</v>
      </c>
      <c r="D366" s="607" t="s">
        <v>1614</v>
      </c>
      <c r="E366" s="607" t="s">
        <v>1617</v>
      </c>
      <c r="F366" s="607" t="s">
        <v>1618</v>
      </c>
      <c r="G366" s="607" t="s">
        <v>1594</v>
      </c>
      <c r="H366" s="607" t="s">
        <v>1594</v>
      </c>
      <c r="I366" s="607" t="s">
        <v>1608</v>
      </c>
      <c r="J366" s="608" t="str">
        <f t="shared" si="11"/>
        <v>Textile Apparel Luxury Goods</v>
      </c>
      <c r="N366" s="822">
        <v>312111</v>
      </c>
      <c r="O366" s="822" t="s">
        <v>1557</v>
      </c>
      <c r="P366" s="823">
        <v>2086</v>
      </c>
      <c r="Q366" s="823" t="s">
        <v>1559</v>
      </c>
    </row>
    <row r="367" spans="2:17" s="608" customFormat="1" x14ac:dyDescent="0.25">
      <c r="B367" s="605" t="s">
        <v>1619</v>
      </c>
      <c r="C367" s="606">
        <f t="shared" si="10"/>
        <v>313230</v>
      </c>
      <c r="D367" s="607" t="s">
        <v>1620</v>
      </c>
      <c r="E367" s="607" t="s">
        <v>1621</v>
      </c>
      <c r="F367" s="607" t="s">
        <v>1622</v>
      </c>
      <c r="G367" s="607" t="s">
        <v>1594</v>
      </c>
      <c r="H367" s="607" t="s">
        <v>1594</v>
      </c>
      <c r="I367" s="607" t="s">
        <v>1608</v>
      </c>
      <c r="J367" s="608" t="str">
        <f t="shared" si="11"/>
        <v>Textile Apparel Luxury Goods</v>
      </c>
      <c r="N367" s="822">
        <v>312112</v>
      </c>
      <c r="O367" s="822" t="s">
        <v>1561</v>
      </c>
      <c r="P367" s="823">
        <v>2086</v>
      </c>
      <c r="Q367" s="823" t="s">
        <v>1559</v>
      </c>
    </row>
    <row r="368" spans="2:17" s="608" customFormat="1" x14ac:dyDescent="0.25">
      <c r="B368" s="605" t="s">
        <v>1619</v>
      </c>
      <c r="C368" s="606">
        <f t="shared" si="10"/>
        <v>313230</v>
      </c>
      <c r="D368" s="607" t="s">
        <v>1620</v>
      </c>
      <c r="E368" s="607" t="s">
        <v>1602</v>
      </c>
      <c r="F368" s="607" t="s">
        <v>1603</v>
      </c>
      <c r="G368" s="607" t="s">
        <v>1594</v>
      </c>
      <c r="H368" s="607" t="s">
        <v>1594</v>
      </c>
      <c r="I368" s="607" t="s">
        <v>1608</v>
      </c>
      <c r="J368" s="608" t="str">
        <f t="shared" si="11"/>
        <v>Textile Apparel Luxury Goods</v>
      </c>
      <c r="N368" s="822">
        <v>312112</v>
      </c>
      <c r="O368" s="822" t="s">
        <v>1561</v>
      </c>
      <c r="P368" s="823">
        <v>5149</v>
      </c>
      <c r="Q368" s="823" t="s">
        <v>1563</v>
      </c>
    </row>
    <row r="369" spans="2:17" s="608" customFormat="1" x14ac:dyDescent="0.25">
      <c r="B369" s="605" t="s">
        <v>1623</v>
      </c>
      <c r="C369" s="606">
        <f t="shared" si="10"/>
        <v>313240</v>
      </c>
      <c r="D369" s="607" t="s">
        <v>1624</v>
      </c>
      <c r="E369" s="607" t="s">
        <v>1625</v>
      </c>
      <c r="F369" s="607" t="s">
        <v>1626</v>
      </c>
      <c r="G369" s="607" t="s">
        <v>1594</v>
      </c>
      <c r="H369" s="607" t="s">
        <v>1594</v>
      </c>
      <c r="I369" s="607" t="s">
        <v>1608</v>
      </c>
      <c r="J369" s="608" t="str">
        <f t="shared" si="11"/>
        <v>Textile Apparel Luxury Goods</v>
      </c>
      <c r="N369" s="822">
        <v>312113</v>
      </c>
      <c r="O369" s="822" t="s">
        <v>1565</v>
      </c>
      <c r="P369" s="823">
        <v>2097</v>
      </c>
      <c r="Q369" s="823" t="s">
        <v>1567</v>
      </c>
    </row>
    <row r="370" spans="2:17" s="608" customFormat="1" x14ac:dyDescent="0.25">
      <c r="B370" s="605" t="s">
        <v>1623</v>
      </c>
      <c r="C370" s="606">
        <f t="shared" si="10"/>
        <v>313240</v>
      </c>
      <c r="D370" s="607" t="s">
        <v>1624</v>
      </c>
      <c r="E370" s="607" t="s">
        <v>1627</v>
      </c>
      <c r="F370" s="607" t="s">
        <v>1628</v>
      </c>
      <c r="G370" s="607" t="s">
        <v>1594</v>
      </c>
      <c r="H370" s="607" t="s">
        <v>1594</v>
      </c>
      <c r="I370" s="607" t="s">
        <v>1608</v>
      </c>
      <c r="J370" s="608" t="str">
        <f t="shared" si="11"/>
        <v>Textile Apparel Luxury Goods</v>
      </c>
      <c r="N370" s="822">
        <v>312120</v>
      </c>
      <c r="O370" s="822" t="s">
        <v>1569</v>
      </c>
      <c r="P370" s="823">
        <v>2082</v>
      </c>
      <c r="Q370" s="823" t="s">
        <v>1549</v>
      </c>
    </row>
    <row r="371" spans="2:17" s="608" customFormat="1" x14ac:dyDescent="0.25">
      <c r="B371" s="605" t="s">
        <v>1623</v>
      </c>
      <c r="C371" s="606">
        <f t="shared" si="10"/>
        <v>313240</v>
      </c>
      <c r="D371" s="607" t="s">
        <v>1624</v>
      </c>
      <c r="E371" s="607" t="s">
        <v>1629</v>
      </c>
      <c r="F371" s="607" t="s">
        <v>1630</v>
      </c>
      <c r="G371" s="607" t="s">
        <v>1594</v>
      </c>
      <c r="H371" s="607" t="s">
        <v>1594</v>
      </c>
      <c r="I371" s="607" t="s">
        <v>1608</v>
      </c>
      <c r="J371" s="608" t="str">
        <f t="shared" si="11"/>
        <v>Textile Apparel Luxury Goods</v>
      </c>
      <c r="N371" s="822">
        <v>312130</v>
      </c>
      <c r="O371" s="822" t="s">
        <v>1571</v>
      </c>
      <c r="P371" s="823">
        <v>2084</v>
      </c>
      <c r="Q371" s="823" t="s">
        <v>1573</v>
      </c>
    </row>
    <row r="372" spans="2:17" s="608" customFormat="1" x14ac:dyDescent="0.25">
      <c r="B372" s="605" t="s">
        <v>1631</v>
      </c>
      <c r="C372" s="606">
        <f t="shared" si="10"/>
        <v>313310</v>
      </c>
      <c r="D372" s="607" t="s">
        <v>1632</v>
      </c>
      <c r="E372" s="607" t="s">
        <v>1611</v>
      </c>
      <c r="F372" s="607" t="s">
        <v>1612</v>
      </c>
      <c r="G372" s="607" t="s">
        <v>1594</v>
      </c>
      <c r="H372" s="607" t="s">
        <v>1594</v>
      </c>
      <c r="I372" s="607" t="s">
        <v>1608</v>
      </c>
      <c r="J372" s="608" t="str">
        <f t="shared" si="11"/>
        <v>Textile Apparel Luxury Goods</v>
      </c>
      <c r="N372" s="822">
        <v>312130</v>
      </c>
      <c r="O372" s="822" t="s">
        <v>1571</v>
      </c>
      <c r="P372" s="823">
        <v>2085</v>
      </c>
      <c r="Q372" s="823" t="s">
        <v>1575</v>
      </c>
    </row>
    <row r="373" spans="2:17" s="608" customFormat="1" x14ac:dyDescent="0.25">
      <c r="B373" s="605" t="s">
        <v>1631</v>
      </c>
      <c r="C373" s="606">
        <f t="shared" si="10"/>
        <v>313310</v>
      </c>
      <c r="D373" s="607" t="s">
        <v>1632</v>
      </c>
      <c r="E373" s="607" t="s">
        <v>1633</v>
      </c>
      <c r="F373" s="607" t="s">
        <v>1634</v>
      </c>
      <c r="G373" s="607" t="s">
        <v>1594</v>
      </c>
      <c r="H373" s="607" t="s">
        <v>1594</v>
      </c>
      <c r="I373" s="607" t="s">
        <v>1608</v>
      </c>
      <c r="J373" s="608" t="str">
        <f t="shared" si="11"/>
        <v>Textile Apparel Luxury Goods</v>
      </c>
      <c r="N373" s="822">
        <v>312140</v>
      </c>
      <c r="O373" s="822" t="s">
        <v>1577</v>
      </c>
      <c r="P373" s="823">
        <v>2085</v>
      </c>
      <c r="Q373" s="823" t="s">
        <v>1575</v>
      </c>
    </row>
    <row r="374" spans="2:17" s="608" customFormat="1" x14ac:dyDescent="0.25">
      <c r="B374" s="605" t="s">
        <v>1631</v>
      </c>
      <c r="C374" s="606">
        <f t="shared" si="10"/>
        <v>313310</v>
      </c>
      <c r="D374" s="607" t="s">
        <v>1632</v>
      </c>
      <c r="E374" s="607" t="s">
        <v>1635</v>
      </c>
      <c r="F374" s="607" t="s">
        <v>1636</v>
      </c>
      <c r="G374" s="607" t="s">
        <v>1594</v>
      </c>
      <c r="H374" s="607" t="s">
        <v>1594</v>
      </c>
      <c r="I374" s="607" t="s">
        <v>1608</v>
      </c>
      <c r="J374" s="608" t="str">
        <f t="shared" si="11"/>
        <v>Textile Apparel Luxury Goods</v>
      </c>
      <c r="N374" s="823">
        <v>312210</v>
      </c>
      <c r="O374" s="823" t="s">
        <v>1587</v>
      </c>
      <c r="P374" s="823"/>
      <c r="Q374" s="823" t="s">
        <v>958</v>
      </c>
    </row>
    <row r="375" spans="2:17" s="608" customFormat="1" x14ac:dyDescent="0.25">
      <c r="B375" s="605" t="s">
        <v>1631</v>
      </c>
      <c r="C375" s="606">
        <f t="shared" si="10"/>
        <v>313310</v>
      </c>
      <c r="D375" s="607" t="s">
        <v>1632</v>
      </c>
      <c r="E375" s="607" t="s">
        <v>1637</v>
      </c>
      <c r="F375" s="607" t="s">
        <v>1638</v>
      </c>
      <c r="G375" s="607" t="s">
        <v>1594</v>
      </c>
      <c r="H375" s="607" t="s">
        <v>1594</v>
      </c>
      <c r="I375" s="607" t="s">
        <v>1608</v>
      </c>
      <c r="J375" s="608" t="str">
        <f t="shared" si="11"/>
        <v>Textile Apparel Luxury Goods</v>
      </c>
      <c r="N375" s="823">
        <v>312221</v>
      </c>
      <c r="O375" s="823" t="s">
        <v>5838</v>
      </c>
      <c r="P375" s="823"/>
      <c r="Q375" s="823" t="s">
        <v>958</v>
      </c>
    </row>
    <row r="376" spans="2:17" s="608" customFormat="1" x14ac:dyDescent="0.25">
      <c r="B376" s="605" t="s">
        <v>1631</v>
      </c>
      <c r="C376" s="606">
        <f t="shared" si="10"/>
        <v>313310</v>
      </c>
      <c r="D376" s="607" t="s">
        <v>1632</v>
      </c>
      <c r="E376" s="607" t="s">
        <v>1639</v>
      </c>
      <c r="F376" s="607" t="s">
        <v>1640</v>
      </c>
      <c r="G376" s="607" t="s">
        <v>1594</v>
      </c>
      <c r="H376" s="607" t="s">
        <v>1594</v>
      </c>
      <c r="I376" s="607" t="s">
        <v>1608</v>
      </c>
      <c r="J376" s="608" t="str">
        <f t="shared" si="11"/>
        <v>Textile Apparel Luxury Goods</v>
      </c>
      <c r="N376" s="823">
        <v>312229</v>
      </c>
      <c r="O376" s="823" t="s">
        <v>5839</v>
      </c>
      <c r="P376" s="823"/>
      <c r="Q376" s="823" t="s">
        <v>958</v>
      </c>
    </row>
    <row r="377" spans="2:17" s="608" customFormat="1" x14ac:dyDescent="0.25">
      <c r="B377" s="605" t="s">
        <v>1631</v>
      </c>
      <c r="C377" s="606">
        <f t="shared" si="10"/>
        <v>313310</v>
      </c>
      <c r="D377" s="607" t="s">
        <v>1632</v>
      </c>
      <c r="E377" s="607" t="s">
        <v>1625</v>
      </c>
      <c r="F377" s="607" t="s">
        <v>1626</v>
      </c>
      <c r="G377" s="607" t="s">
        <v>1594</v>
      </c>
      <c r="H377" s="607" t="s">
        <v>1594</v>
      </c>
      <c r="I377" s="607" t="s">
        <v>1608</v>
      </c>
      <c r="J377" s="608" t="str">
        <f t="shared" si="11"/>
        <v>Textile Apparel Luxury Goods</v>
      </c>
      <c r="N377" s="822">
        <v>312230</v>
      </c>
      <c r="O377" s="822" t="s">
        <v>1579</v>
      </c>
      <c r="P377" s="823">
        <v>2111</v>
      </c>
      <c r="Q377" s="823" t="s">
        <v>1581</v>
      </c>
    </row>
    <row r="378" spans="2:17" s="608" customFormat="1" x14ac:dyDescent="0.25">
      <c r="B378" s="605" t="s">
        <v>1631</v>
      </c>
      <c r="C378" s="606">
        <f t="shared" si="10"/>
        <v>313310</v>
      </c>
      <c r="D378" s="607" t="s">
        <v>1632</v>
      </c>
      <c r="E378" s="607" t="s">
        <v>1627</v>
      </c>
      <c r="F378" s="607" t="s">
        <v>1628</v>
      </c>
      <c r="G378" s="607" t="s">
        <v>1594</v>
      </c>
      <c r="H378" s="607" t="s">
        <v>1594</v>
      </c>
      <c r="I378" s="607" t="s">
        <v>1608</v>
      </c>
      <c r="J378" s="608" t="str">
        <f t="shared" si="11"/>
        <v>Textile Apparel Luxury Goods</v>
      </c>
      <c r="N378" s="822">
        <v>312230</v>
      </c>
      <c r="O378" s="822" t="s">
        <v>1579</v>
      </c>
      <c r="P378" s="823">
        <v>2121</v>
      </c>
      <c r="Q378" s="823" t="s">
        <v>1583</v>
      </c>
    </row>
    <row r="379" spans="2:17" s="608" customFormat="1" x14ac:dyDescent="0.25">
      <c r="B379" s="605" t="s">
        <v>1631</v>
      </c>
      <c r="C379" s="606">
        <f t="shared" si="10"/>
        <v>313310</v>
      </c>
      <c r="D379" s="607" t="s">
        <v>1632</v>
      </c>
      <c r="E379" s="607" t="s">
        <v>1629</v>
      </c>
      <c r="F379" s="607" t="s">
        <v>1630</v>
      </c>
      <c r="G379" s="607" t="s">
        <v>1594</v>
      </c>
      <c r="H379" s="607" t="s">
        <v>1594</v>
      </c>
      <c r="I379" s="607" t="s">
        <v>1608</v>
      </c>
      <c r="J379" s="608" t="str">
        <f t="shared" si="11"/>
        <v>Textile Apparel Luxury Goods</v>
      </c>
      <c r="N379" s="822">
        <v>312230</v>
      </c>
      <c r="O379" s="822" t="s">
        <v>1579</v>
      </c>
      <c r="P379" s="823">
        <v>2131</v>
      </c>
      <c r="Q379" s="823" t="s">
        <v>1585</v>
      </c>
    </row>
    <row r="380" spans="2:17" s="608" customFormat="1" x14ac:dyDescent="0.25">
      <c r="B380" s="605" t="s">
        <v>1631</v>
      </c>
      <c r="C380" s="606">
        <f t="shared" si="10"/>
        <v>313310</v>
      </c>
      <c r="D380" s="607" t="s">
        <v>1632</v>
      </c>
      <c r="E380" s="607" t="s">
        <v>1641</v>
      </c>
      <c r="F380" s="607" t="s">
        <v>1642</v>
      </c>
      <c r="G380" s="607" t="s">
        <v>1594</v>
      </c>
      <c r="H380" s="607" t="s">
        <v>1594</v>
      </c>
      <c r="I380" s="607" t="s">
        <v>1608</v>
      </c>
      <c r="J380" s="608" t="str">
        <f t="shared" si="11"/>
        <v>Textile Apparel Luxury Goods</v>
      </c>
      <c r="N380" s="822">
        <v>312230</v>
      </c>
      <c r="O380" s="822" t="s">
        <v>1579</v>
      </c>
      <c r="P380" s="823">
        <v>2141</v>
      </c>
      <c r="Q380" s="823" t="s">
        <v>1587</v>
      </c>
    </row>
    <row r="381" spans="2:17" s="608" customFormat="1" x14ac:dyDescent="0.25">
      <c r="B381" s="605" t="s">
        <v>1631</v>
      </c>
      <c r="C381" s="606">
        <f t="shared" si="10"/>
        <v>313310</v>
      </c>
      <c r="D381" s="607" t="s">
        <v>1632</v>
      </c>
      <c r="E381" s="607" t="s">
        <v>1643</v>
      </c>
      <c r="F381" s="607" t="s">
        <v>1644</v>
      </c>
      <c r="G381" s="607" t="s">
        <v>1594</v>
      </c>
      <c r="H381" s="607" t="s">
        <v>1594</v>
      </c>
      <c r="I381" s="607" t="s">
        <v>1608</v>
      </c>
      <c r="J381" s="608" t="str">
        <f t="shared" si="11"/>
        <v>Textile Apparel Luxury Goods</v>
      </c>
      <c r="N381" s="822">
        <v>312230</v>
      </c>
      <c r="O381" s="822" t="s">
        <v>1579</v>
      </c>
      <c r="P381" s="823">
        <v>7389</v>
      </c>
      <c r="Q381" s="823" t="s">
        <v>1589</v>
      </c>
    </row>
    <row r="382" spans="2:17" s="608" customFormat="1" x14ac:dyDescent="0.25">
      <c r="B382" s="605" t="s">
        <v>1631</v>
      </c>
      <c r="C382" s="606">
        <f t="shared" si="10"/>
        <v>313310</v>
      </c>
      <c r="D382" s="607" t="s">
        <v>1632</v>
      </c>
      <c r="E382" s="607" t="s">
        <v>1645</v>
      </c>
      <c r="F382" s="607" t="s">
        <v>1646</v>
      </c>
      <c r="G382" s="607" t="s">
        <v>1594</v>
      </c>
      <c r="H382" s="607" t="s">
        <v>1594</v>
      </c>
      <c r="I382" s="607" t="s">
        <v>1608</v>
      </c>
      <c r="J382" s="608" t="str">
        <f t="shared" si="11"/>
        <v>Textile Apparel Luxury Goods</v>
      </c>
      <c r="N382" s="822">
        <v>313110</v>
      </c>
      <c r="O382" s="822" t="s">
        <v>1591</v>
      </c>
      <c r="P382" s="823">
        <v>2281</v>
      </c>
      <c r="Q382" s="823" t="s">
        <v>1593</v>
      </c>
    </row>
    <row r="383" spans="2:17" s="608" customFormat="1" x14ac:dyDescent="0.25">
      <c r="B383" s="605" t="s">
        <v>1631</v>
      </c>
      <c r="C383" s="606">
        <f t="shared" si="10"/>
        <v>313310</v>
      </c>
      <c r="D383" s="607" t="s">
        <v>1632</v>
      </c>
      <c r="E383" s="607" t="s">
        <v>1598</v>
      </c>
      <c r="F383" s="607" t="s">
        <v>1599</v>
      </c>
      <c r="G383" s="607" t="s">
        <v>1594</v>
      </c>
      <c r="H383" s="607" t="s">
        <v>1594</v>
      </c>
      <c r="I383" s="607" t="s">
        <v>1608</v>
      </c>
      <c r="J383" s="608" t="str">
        <f t="shared" si="11"/>
        <v>Textile Apparel Luxury Goods</v>
      </c>
      <c r="N383" s="822">
        <v>313110</v>
      </c>
      <c r="O383" s="822" t="s">
        <v>1591</v>
      </c>
      <c r="P383" s="823">
        <v>2282</v>
      </c>
      <c r="Q383" s="823" t="s">
        <v>1597</v>
      </c>
    </row>
    <row r="384" spans="2:17" s="608" customFormat="1" x14ac:dyDescent="0.25">
      <c r="B384" s="605" t="s">
        <v>1631</v>
      </c>
      <c r="C384" s="606">
        <f t="shared" si="10"/>
        <v>313310</v>
      </c>
      <c r="D384" s="607" t="s">
        <v>1632</v>
      </c>
      <c r="E384" s="607" t="s">
        <v>1602</v>
      </c>
      <c r="F384" s="607" t="s">
        <v>1603</v>
      </c>
      <c r="G384" s="607" t="s">
        <v>1594</v>
      </c>
      <c r="H384" s="607" t="s">
        <v>1594</v>
      </c>
      <c r="I384" s="607" t="s">
        <v>1608</v>
      </c>
      <c r="J384" s="608" t="str">
        <f t="shared" si="11"/>
        <v>Textile Apparel Luxury Goods</v>
      </c>
      <c r="N384" s="822">
        <v>313110</v>
      </c>
      <c r="O384" s="822" t="s">
        <v>1591</v>
      </c>
      <c r="P384" s="823">
        <v>2284</v>
      </c>
      <c r="Q384" s="823" t="s">
        <v>1599</v>
      </c>
    </row>
    <row r="385" spans="2:17" s="608" customFormat="1" x14ac:dyDescent="0.25">
      <c r="B385" s="605" t="s">
        <v>1631</v>
      </c>
      <c r="C385" s="606">
        <f t="shared" si="10"/>
        <v>313310</v>
      </c>
      <c r="D385" s="607" t="s">
        <v>1632</v>
      </c>
      <c r="E385" s="607" t="s">
        <v>1647</v>
      </c>
      <c r="F385" s="607" t="s">
        <v>1648</v>
      </c>
      <c r="G385" s="607" t="s">
        <v>1594</v>
      </c>
      <c r="H385" s="607" t="s">
        <v>1594</v>
      </c>
      <c r="I385" s="607" t="s">
        <v>1608</v>
      </c>
      <c r="J385" s="608" t="str">
        <f t="shared" si="11"/>
        <v>Textile Apparel Luxury Goods</v>
      </c>
      <c r="N385" s="822">
        <v>313110</v>
      </c>
      <c r="O385" s="822" t="s">
        <v>1591</v>
      </c>
      <c r="P385" s="823">
        <v>2298</v>
      </c>
      <c r="Q385" s="823" t="s">
        <v>1601</v>
      </c>
    </row>
    <row r="386" spans="2:17" s="608" customFormat="1" x14ac:dyDescent="0.25">
      <c r="B386" s="605" t="s">
        <v>1631</v>
      </c>
      <c r="C386" s="606">
        <f t="shared" ref="C386:C449" si="12">B386+0</f>
        <v>313310</v>
      </c>
      <c r="D386" s="607" t="s">
        <v>1632</v>
      </c>
      <c r="E386" s="607" t="s">
        <v>1588</v>
      </c>
      <c r="F386" s="607" t="s">
        <v>1589</v>
      </c>
      <c r="G386" s="607" t="s">
        <v>1594</v>
      </c>
      <c r="H386" s="607" t="s">
        <v>1594</v>
      </c>
      <c r="I386" s="607" t="s">
        <v>1608</v>
      </c>
      <c r="J386" s="608" t="str">
        <f t="shared" ref="J386:J449" si="13">PROPER(I386)</f>
        <v>Textile Apparel Luxury Goods</v>
      </c>
      <c r="N386" s="822">
        <v>313110</v>
      </c>
      <c r="O386" s="822" t="s">
        <v>1591</v>
      </c>
      <c r="P386" s="823">
        <v>2299</v>
      </c>
      <c r="Q386" s="823" t="s">
        <v>1603</v>
      </c>
    </row>
    <row r="387" spans="2:17" s="608" customFormat="1" x14ac:dyDescent="0.25">
      <c r="B387" s="605" t="s">
        <v>1649</v>
      </c>
      <c r="C387" s="606">
        <f t="shared" si="12"/>
        <v>313320</v>
      </c>
      <c r="D387" s="607" t="s">
        <v>1650</v>
      </c>
      <c r="E387" s="607" t="s">
        <v>1651</v>
      </c>
      <c r="F387" s="607" t="s">
        <v>1652</v>
      </c>
      <c r="G387" s="607" t="s">
        <v>1594</v>
      </c>
      <c r="H387" s="607" t="s">
        <v>1594</v>
      </c>
      <c r="I387" s="607" t="s">
        <v>1608</v>
      </c>
      <c r="J387" s="608" t="str">
        <f t="shared" si="13"/>
        <v>Textile Apparel Luxury Goods</v>
      </c>
      <c r="N387" s="823">
        <v>313111</v>
      </c>
      <c r="O387" s="823" t="s">
        <v>1593</v>
      </c>
      <c r="P387" s="823"/>
      <c r="Q387" s="823" t="s">
        <v>958</v>
      </c>
    </row>
    <row r="388" spans="2:17" s="608" customFormat="1" x14ac:dyDescent="0.25">
      <c r="B388" s="605" t="s">
        <v>1649</v>
      </c>
      <c r="C388" s="606">
        <f t="shared" si="12"/>
        <v>313320</v>
      </c>
      <c r="D388" s="607" t="s">
        <v>1650</v>
      </c>
      <c r="E388" s="607" t="s">
        <v>1653</v>
      </c>
      <c r="F388" s="607" t="s">
        <v>1654</v>
      </c>
      <c r="G388" s="607" t="s">
        <v>1594</v>
      </c>
      <c r="H388" s="607" t="s">
        <v>1594</v>
      </c>
      <c r="I388" s="607" t="s">
        <v>1608</v>
      </c>
      <c r="J388" s="608" t="str">
        <f t="shared" si="13"/>
        <v>Textile Apparel Luxury Goods</v>
      </c>
      <c r="N388" s="823">
        <v>313112</v>
      </c>
      <c r="O388" s="823" t="s">
        <v>5840</v>
      </c>
      <c r="P388" s="823"/>
      <c r="Q388" s="823" t="s">
        <v>958</v>
      </c>
    </row>
    <row r="389" spans="2:17" s="608" customFormat="1" x14ac:dyDescent="0.25">
      <c r="B389" s="605" t="s">
        <v>1655</v>
      </c>
      <c r="C389" s="606">
        <f t="shared" si="12"/>
        <v>314110</v>
      </c>
      <c r="D389" s="607" t="s">
        <v>1656</v>
      </c>
      <c r="E389" s="607" t="s">
        <v>1657</v>
      </c>
      <c r="F389" s="607" t="s">
        <v>1658</v>
      </c>
      <c r="G389" s="607" t="s">
        <v>1594</v>
      </c>
      <c r="H389" s="607" t="s">
        <v>1594</v>
      </c>
      <c r="I389" s="607" t="s">
        <v>1595</v>
      </c>
      <c r="J389" s="608" t="str">
        <f t="shared" si="13"/>
        <v>Home Furnishings</v>
      </c>
      <c r="N389" s="823">
        <v>313113</v>
      </c>
      <c r="O389" s="823" t="s">
        <v>1599</v>
      </c>
      <c r="P389" s="823"/>
      <c r="Q389" s="823" t="s">
        <v>958</v>
      </c>
    </row>
    <row r="390" spans="2:17" s="608" customFormat="1" x14ac:dyDescent="0.25">
      <c r="B390" s="605" t="s">
        <v>1659</v>
      </c>
      <c r="C390" s="606">
        <f t="shared" si="12"/>
        <v>314120</v>
      </c>
      <c r="D390" s="607" t="s">
        <v>1660</v>
      </c>
      <c r="E390" s="607" t="s">
        <v>1661</v>
      </c>
      <c r="F390" s="607" t="s">
        <v>1662</v>
      </c>
      <c r="G390" s="607" t="s">
        <v>1594</v>
      </c>
      <c r="H390" s="607" t="s">
        <v>1594</v>
      </c>
      <c r="I390" s="607" t="s">
        <v>1595</v>
      </c>
      <c r="J390" s="608" t="str">
        <f t="shared" si="13"/>
        <v>Home Furnishings</v>
      </c>
      <c r="N390" s="822">
        <v>313210</v>
      </c>
      <c r="O390" s="822" t="s">
        <v>1605</v>
      </c>
      <c r="P390" s="823">
        <v>2211</v>
      </c>
      <c r="Q390" s="823" t="s">
        <v>1607</v>
      </c>
    </row>
    <row r="391" spans="2:17" s="608" customFormat="1" x14ac:dyDescent="0.25">
      <c r="B391" s="605" t="s">
        <v>1659</v>
      </c>
      <c r="C391" s="606">
        <f t="shared" si="12"/>
        <v>314120</v>
      </c>
      <c r="D391" s="607" t="s">
        <v>1660</v>
      </c>
      <c r="E391" s="607" t="s">
        <v>1663</v>
      </c>
      <c r="F391" s="607" t="s">
        <v>1664</v>
      </c>
      <c r="G391" s="607" t="s">
        <v>1594</v>
      </c>
      <c r="H391" s="607" t="s">
        <v>1594</v>
      </c>
      <c r="I391" s="607" t="s">
        <v>1595</v>
      </c>
      <c r="J391" s="608" t="str">
        <f t="shared" si="13"/>
        <v>Home Furnishings</v>
      </c>
      <c r="N391" s="822">
        <v>313210</v>
      </c>
      <c r="O391" s="822" t="s">
        <v>1605</v>
      </c>
      <c r="P391" s="823">
        <v>2221</v>
      </c>
      <c r="Q391" s="823" t="s">
        <v>1610</v>
      </c>
    </row>
    <row r="392" spans="2:17" s="608" customFormat="1" x14ac:dyDescent="0.25">
      <c r="B392" s="605" t="s">
        <v>1659</v>
      </c>
      <c r="C392" s="606">
        <f t="shared" si="12"/>
        <v>314120</v>
      </c>
      <c r="D392" s="607" t="s">
        <v>1660</v>
      </c>
      <c r="E392" s="607" t="s">
        <v>1665</v>
      </c>
      <c r="F392" s="607" t="s">
        <v>1666</v>
      </c>
      <c r="G392" s="607" t="s">
        <v>1594</v>
      </c>
      <c r="H392" s="607" t="s">
        <v>1594</v>
      </c>
      <c r="I392" s="607" t="s">
        <v>1595</v>
      </c>
      <c r="J392" s="608" t="str">
        <f t="shared" si="13"/>
        <v>Home Furnishings</v>
      </c>
      <c r="N392" s="822">
        <v>313210</v>
      </c>
      <c r="O392" s="822" t="s">
        <v>1605</v>
      </c>
      <c r="P392" s="823">
        <v>2231</v>
      </c>
      <c r="Q392" s="823" t="s">
        <v>1612</v>
      </c>
    </row>
    <row r="393" spans="2:17" s="608" customFormat="1" x14ac:dyDescent="0.25">
      <c r="B393" s="605" t="s">
        <v>1667</v>
      </c>
      <c r="C393" s="606">
        <f t="shared" si="12"/>
        <v>314910</v>
      </c>
      <c r="D393" s="607" t="s">
        <v>1668</v>
      </c>
      <c r="E393" s="607" t="s">
        <v>1663</v>
      </c>
      <c r="F393" s="607" t="s">
        <v>1664</v>
      </c>
      <c r="G393" s="607" t="s">
        <v>1594</v>
      </c>
      <c r="H393" s="607" t="s">
        <v>1594</v>
      </c>
      <c r="I393" s="607" t="s">
        <v>1608</v>
      </c>
      <c r="J393" s="608" t="str">
        <f t="shared" si="13"/>
        <v>Textile Apparel Luxury Goods</v>
      </c>
      <c r="N393" s="822">
        <v>313210</v>
      </c>
      <c r="O393" s="822" t="s">
        <v>1605</v>
      </c>
      <c r="P393" s="823">
        <v>2299</v>
      </c>
      <c r="Q393" s="823" t="s">
        <v>1603</v>
      </c>
    </row>
    <row r="394" spans="2:17" s="608" customFormat="1" x14ac:dyDescent="0.25">
      <c r="B394" s="605" t="s">
        <v>1667</v>
      </c>
      <c r="C394" s="606">
        <f t="shared" si="12"/>
        <v>314910</v>
      </c>
      <c r="D394" s="607" t="s">
        <v>1668</v>
      </c>
      <c r="E394" s="607" t="s">
        <v>1669</v>
      </c>
      <c r="F394" s="607" t="s">
        <v>1670</v>
      </c>
      <c r="G394" s="607" t="s">
        <v>1594</v>
      </c>
      <c r="H394" s="607" t="s">
        <v>1594</v>
      </c>
      <c r="I394" s="607" t="s">
        <v>1608</v>
      </c>
      <c r="J394" s="608" t="str">
        <f t="shared" si="13"/>
        <v>Textile Apparel Luxury Goods</v>
      </c>
      <c r="N394" s="822">
        <v>313220</v>
      </c>
      <c r="O394" s="822" t="s">
        <v>1614</v>
      </c>
      <c r="P394" s="823">
        <v>2241</v>
      </c>
      <c r="Q394" s="823" t="s">
        <v>1616</v>
      </c>
    </row>
    <row r="395" spans="2:17" s="608" customFormat="1" x14ac:dyDescent="0.25">
      <c r="B395" s="605" t="s">
        <v>1667</v>
      </c>
      <c r="C395" s="606">
        <f t="shared" si="12"/>
        <v>314910</v>
      </c>
      <c r="D395" s="607" t="s">
        <v>1668</v>
      </c>
      <c r="E395" s="607" t="s">
        <v>1671</v>
      </c>
      <c r="F395" s="607" t="s">
        <v>1672</v>
      </c>
      <c r="G395" s="607" t="s">
        <v>1594</v>
      </c>
      <c r="H395" s="607" t="s">
        <v>1594</v>
      </c>
      <c r="I395" s="607" t="s">
        <v>1608</v>
      </c>
      <c r="J395" s="608" t="str">
        <f t="shared" si="13"/>
        <v>Textile Apparel Luxury Goods</v>
      </c>
      <c r="N395" s="822">
        <v>313220</v>
      </c>
      <c r="O395" s="822" t="s">
        <v>1614</v>
      </c>
      <c r="P395" s="823">
        <v>2299</v>
      </c>
      <c r="Q395" s="823" t="s">
        <v>1603</v>
      </c>
    </row>
    <row r="396" spans="2:17" s="608" customFormat="1" x14ac:dyDescent="0.25">
      <c r="B396" s="605" t="s">
        <v>1667</v>
      </c>
      <c r="C396" s="606">
        <f t="shared" si="12"/>
        <v>314910</v>
      </c>
      <c r="D396" s="607" t="s">
        <v>1668</v>
      </c>
      <c r="E396" s="607" t="s">
        <v>1653</v>
      </c>
      <c r="F396" s="607" t="s">
        <v>1654</v>
      </c>
      <c r="G396" s="607" t="s">
        <v>1594</v>
      </c>
      <c r="H396" s="607" t="s">
        <v>1594</v>
      </c>
      <c r="I396" s="607" t="s">
        <v>1608</v>
      </c>
      <c r="J396" s="608" t="str">
        <f t="shared" si="13"/>
        <v>Textile Apparel Luxury Goods</v>
      </c>
      <c r="N396" s="822">
        <v>313220</v>
      </c>
      <c r="O396" s="822" t="s">
        <v>1614</v>
      </c>
      <c r="P396" s="823">
        <v>2397</v>
      </c>
      <c r="Q396" s="823" t="s">
        <v>1618</v>
      </c>
    </row>
    <row r="397" spans="2:17" s="608" customFormat="1" x14ac:dyDescent="0.25">
      <c r="B397" s="605" t="s">
        <v>1673</v>
      </c>
      <c r="C397" s="606">
        <f t="shared" si="12"/>
        <v>314994</v>
      </c>
      <c r="D397" s="607" t="s">
        <v>1674</v>
      </c>
      <c r="E397" s="607" t="s">
        <v>1675</v>
      </c>
      <c r="F397" s="607" t="s">
        <v>1676</v>
      </c>
      <c r="G397" s="607" t="s">
        <v>1594</v>
      </c>
      <c r="H397" s="607" t="s">
        <v>1594</v>
      </c>
      <c r="I397" s="607" t="s">
        <v>1608</v>
      </c>
      <c r="J397" s="608" t="str">
        <f t="shared" si="13"/>
        <v>Textile Apparel Luxury Goods</v>
      </c>
      <c r="N397" s="823">
        <v>313221</v>
      </c>
      <c r="O397" s="823" t="s">
        <v>1616</v>
      </c>
      <c r="P397" s="823"/>
      <c r="Q397" s="823" t="s">
        <v>958</v>
      </c>
    </row>
    <row r="398" spans="2:17" s="608" customFormat="1" x14ac:dyDescent="0.25">
      <c r="B398" s="605" t="s">
        <v>1673</v>
      </c>
      <c r="C398" s="606">
        <f t="shared" si="12"/>
        <v>314994</v>
      </c>
      <c r="D398" s="607" t="s">
        <v>1674</v>
      </c>
      <c r="E398" s="607" t="s">
        <v>1600</v>
      </c>
      <c r="F398" s="607" t="s">
        <v>1601</v>
      </c>
      <c r="G398" s="607" t="s">
        <v>1594</v>
      </c>
      <c r="H398" s="607" t="s">
        <v>1594</v>
      </c>
      <c r="I398" s="607" t="s">
        <v>1608</v>
      </c>
      <c r="J398" s="608" t="str">
        <f t="shared" si="13"/>
        <v>Textile Apparel Luxury Goods</v>
      </c>
      <c r="N398" s="823">
        <v>313222</v>
      </c>
      <c r="O398" s="823" t="s">
        <v>5841</v>
      </c>
      <c r="P398" s="823"/>
      <c r="Q398" s="823" t="s">
        <v>958</v>
      </c>
    </row>
    <row r="399" spans="2:17" s="608" customFormat="1" x14ac:dyDescent="0.25">
      <c r="B399" s="605" t="s">
        <v>1677</v>
      </c>
      <c r="C399" s="606">
        <f t="shared" si="12"/>
        <v>314999</v>
      </c>
      <c r="D399" s="607" t="s">
        <v>1678</v>
      </c>
      <c r="E399" s="607" t="s">
        <v>1602</v>
      </c>
      <c r="F399" s="607" t="s">
        <v>1603</v>
      </c>
      <c r="G399" s="607" t="s">
        <v>1594</v>
      </c>
      <c r="H399" s="607" t="s">
        <v>1594</v>
      </c>
      <c r="I399" s="607" t="s">
        <v>1608</v>
      </c>
      <c r="J399" s="608" t="str">
        <f t="shared" si="13"/>
        <v>Textile Apparel Luxury Goods</v>
      </c>
      <c r="N399" s="822">
        <v>313230</v>
      </c>
      <c r="O399" s="822" t="s">
        <v>1620</v>
      </c>
      <c r="P399" s="823">
        <v>2297</v>
      </c>
      <c r="Q399" s="823" t="s">
        <v>1622</v>
      </c>
    </row>
    <row r="400" spans="2:17" s="608" customFormat="1" x14ac:dyDescent="0.25">
      <c r="B400" s="605" t="s">
        <v>1677</v>
      </c>
      <c r="C400" s="606">
        <f t="shared" si="12"/>
        <v>314999</v>
      </c>
      <c r="D400" s="607" t="s">
        <v>1678</v>
      </c>
      <c r="E400" s="607" t="s">
        <v>1679</v>
      </c>
      <c r="F400" s="607" t="s">
        <v>1680</v>
      </c>
      <c r="G400" s="607" t="s">
        <v>1594</v>
      </c>
      <c r="H400" s="607" t="s">
        <v>1594</v>
      </c>
      <c r="I400" s="607" t="s">
        <v>1608</v>
      </c>
      <c r="J400" s="608" t="str">
        <f t="shared" si="13"/>
        <v>Textile Apparel Luxury Goods</v>
      </c>
      <c r="N400" s="822">
        <v>313230</v>
      </c>
      <c r="O400" s="822" t="s">
        <v>1620</v>
      </c>
      <c r="P400" s="823">
        <v>2299</v>
      </c>
      <c r="Q400" s="823" t="s">
        <v>1603</v>
      </c>
    </row>
    <row r="401" spans="2:17" s="608" customFormat="1" x14ac:dyDescent="0.25">
      <c r="B401" s="605" t="s">
        <v>1677</v>
      </c>
      <c r="C401" s="606">
        <f t="shared" si="12"/>
        <v>314999</v>
      </c>
      <c r="D401" s="607" t="s">
        <v>1678</v>
      </c>
      <c r="E401" s="607" t="s">
        <v>1681</v>
      </c>
      <c r="F401" s="607" t="s">
        <v>1682</v>
      </c>
      <c r="G401" s="607" t="s">
        <v>1594</v>
      </c>
      <c r="H401" s="607" t="s">
        <v>1594</v>
      </c>
      <c r="I401" s="607" t="s">
        <v>1608</v>
      </c>
      <c r="J401" s="608" t="str">
        <f t="shared" si="13"/>
        <v>Textile Apparel Luxury Goods</v>
      </c>
      <c r="N401" s="822">
        <v>313240</v>
      </c>
      <c r="O401" s="822" t="s">
        <v>1624</v>
      </c>
      <c r="P401" s="823">
        <v>2257</v>
      </c>
      <c r="Q401" s="823" t="s">
        <v>1626</v>
      </c>
    </row>
    <row r="402" spans="2:17" s="608" customFormat="1" x14ac:dyDescent="0.25">
      <c r="B402" s="605" t="s">
        <v>1677</v>
      </c>
      <c r="C402" s="606">
        <f t="shared" si="12"/>
        <v>314999</v>
      </c>
      <c r="D402" s="607" t="s">
        <v>1678</v>
      </c>
      <c r="E402" s="607" t="s">
        <v>1683</v>
      </c>
      <c r="F402" s="607" t="s">
        <v>1684</v>
      </c>
      <c r="G402" s="607" t="s">
        <v>1594</v>
      </c>
      <c r="H402" s="607" t="s">
        <v>1594</v>
      </c>
      <c r="I402" s="607" t="s">
        <v>1608</v>
      </c>
      <c r="J402" s="608" t="str">
        <f t="shared" si="13"/>
        <v>Textile Apparel Luxury Goods</v>
      </c>
      <c r="N402" s="822">
        <v>313240</v>
      </c>
      <c r="O402" s="822" t="s">
        <v>1624</v>
      </c>
      <c r="P402" s="823">
        <v>2258</v>
      </c>
      <c r="Q402" s="823" t="s">
        <v>1628</v>
      </c>
    </row>
    <row r="403" spans="2:17" s="608" customFormat="1" x14ac:dyDescent="0.25">
      <c r="B403" s="605" t="s">
        <v>1677</v>
      </c>
      <c r="C403" s="606">
        <f t="shared" si="12"/>
        <v>314999</v>
      </c>
      <c r="D403" s="607" t="s">
        <v>1678</v>
      </c>
      <c r="E403" s="607" t="s">
        <v>1685</v>
      </c>
      <c r="F403" s="607" t="s">
        <v>1686</v>
      </c>
      <c r="G403" s="607" t="s">
        <v>1594</v>
      </c>
      <c r="H403" s="607" t="s">
        <v>1594</v>
      </c>
      <c r="I403" s="607" t="s">
        <v>1608</v>
      </c>
      <c r="J403" s="608" t="str">
        <f t="shared" si="13"/>
        <v>Textile Apparel Luxury Goods</v>
      </c>
      <c r="N403" s="822">
        <v>313240</v>
      </c>
      <c r="O403" s="822" t="s">
        <v>1624</v>
      </c>
      <c r="P403" s="823">
        <v>2259</v>
      </c>
      <c r="Q403" s="823" t="s">
        <v>1630</v>
      </c>
    </row>
    <row r="404" spans="2:17" s="608" customFormat="1" x14ac:dyDescent="0.25">
      <c r="B404" s="605" t="s">
        <v>1677</v>
      </c>
      <c r="C404" s="606">
        <f t="shared" si="12"/>
        <v>314999</v>
      </c>
      <c r="D404" s="607" t="s">
        <v>1678</v>
      </c>
      <c r="E404" s="607" t="s">
        <v>1687</v>
      </c>
      <c r="F404" s="607" t="s">
        <v>1688</v>
      </c>
      <c r="G404" s="607" t="s">
        <v>1594</v>
      </c>
      <c r="H404" s="607" t="s">
        <v>1594</v>
      </c>
      <c r="I404" s="607" t="s">
        <v>1608</v>
      </c>
      <c r="J404" s="608" t="str">
        <f t="shared" si="13"/>
        <v>Textile Apparel Luxury Goods</v>
      </c>
      <c r="N404" s="823">
        <v>313241</v>
      </c>
      <c r="O404" s="823" t="s">
        <v>1626</v>
      </c>
      <c r="P404" s="823"/>
      <c r="Q404" s="823" t="s">
        <v>958</v>
      </c>
    </row>
    <row r="405" spans="2:17" s="608" customFormat="1" x14ac:dyDescent="0.25">
      <c r="B405" s="605" t="s">
        <v>1677</v>
      </c>
      <c r="C405" s="606">
        <f t="shared" si="12"/>
        <v>314999</v>
      </c>
      <c r="D405" s="607" t="s">
        <v>1678</v>
      </c>
      <c r="E405" s="607" t="s">
        <v>1689</v>
      </c>
      <c r="F405" s="607" t="s">
        <v>1690</v>
      </c>
      <c r="G405" s="607" t="s">
        <v>1594</v>
      </c>
      <c r="H405" s="607" t="s">
        <v>1594</v>
      </c>
      <c r="I405" s="607" t="s">
        <v>1608</v>
      </c>
      <c r="J405" s="608" t="str">
        <f t="shared" si="13"/>
        <v>Textile Apparel Luxury Goods</v>
      </c>
      <c r="N405" s="823">
        <v>313249</v>
      </c>
      <c r="O405" s="823" t="s">
        <v>5842</v>
      </c>
      <c r="P405" s="823"/>
      <c r="Q405" s="823" t="s">
        <v>958</v>
      </c>
    </row>
    <row r="406" spans="2:17" s="608" customFormat="1" x14ac:dyDescent="0.25">
      <c r="B406" s="605" t="s">
        <v>1677</v>
      </c>
      <c r="C406" s="606">
        <f t="shared" si="12"/>
        <v>314999</v>
      </c>
      <c r="D406" s="607" t="s">
        <v>1678</v>
      </c>
      <c r="E406" s="607" t="s">
        <v>1691</v>
      </c>
      <c r="F406" s="607" t="s">
        <v>1692</v>
      </c>
      <c r="G406" s="607" t="s">
        <v>1594</v>
      </c>
      <c r="H406" s="607" t="s">
        <v>1594</v>
      </c>
      <c r="I406" s="607" t="s">
        <v>1608</v>
      </c>
      <c r="J406" s="608" t="str">
        <f t="shared" si="13"/>
        <v>Textile Apparel Luxury Goods</v>
      </c>
      <c r="N406" s="822">
        <v>313310</v>
      </c>
      <c r="O406" s="822" t="s">
        <v>1632</v>
      </c>
      <c r="P406" s="823">
        <v>2231</v>
      </c>
      <c r="Q406" s="823" t="s">
        <v>1612</v>
      </c>
    </row>
    <row r="407" spans="2:17" s="608" customFormat="1" x14ac:dyDescent="0.25">
      <c r="B407" s="605" t="s">
        <v>1677</v>
      </c>
      <c r="C407" s="606">
        <f t="shared" si="12"/>
        <v>314999</v>
      </c>
      <c r="D407" s="607" t="s">
        <v>1678</v>
      </c>
      <c r="E407" s="607" t="s">
        <v>1693</v>
      </c>
      <c r="F407" s="607" t="s">
        <v>1694</v>
      </c>
      <c r="G407" s="607" t="s">
        <v>1594</v>
      </c>
      <c r="H407" s="607" t="s">
        <v>1594</v>
      </c>
      <c r="I407" s="607" t="s">
        <v>1608</v>
      </c>
      <c r="J407" s="608" t="str">
        <f t="shared" si="13"/>
        <v>Textile Apparel Luxury Goods</v>
      </c>
      <c r="N407" s="822">
        <v>313310</v>
      </c>
      <c r="O407" s="822" t="s">
        <v>1632</v>
      </c>
      <c r="P407" s="823">
        <v>2251</v>
      </c>
      <c r="Q407" s="823" t="s">
        <v>1634</v>
      </c>
    </row>
    <row r="408" spans="2:17" s="608" customFormat="1" x14ac:dyDescent="0.25">
      <c r="B408" s="605" t="s">
        <v>1677</v>
      </c>
      <c r="C408" s="606">
        <f t="shared" si="12"/>
        <v>314999</v>
      </c>
      <c r="D408" s="607" t="s">
        <v>1678</v>
      </c>
      <c r="E408" s="607" t="s">
        <v>1695</v>
      </c>
      <c r="F408" s="607" t="s">
        <v>1696</v>
      </c>
      <c r="G408" s="607" t="s">
        <v>1594</v>
      </c>
      <c r="H408" s="607" t="s">
        <v>1594</v>
      </c>
      <c r="I408" s="607" t="s">
        <v>1608</v>
      </c>
      <c r="J408" s="608" t="str">
        <f t="shared" si="13"/>
        <v>Textile Apparel Luxury Goods</v>
      </c>
      <c r="N408" s="822">
        <v>313310</v>
      </c>
      <c r="O408" s="822" t="s">
        <v>1632</v>
      </c>
      <c r="P408" s="823">
        <v>2252</v>
      </c>
      <c r="Q408" s="823" t="s">
        <v>1636</v>
      </c>
    </row>
    <row r="409" spans="2:17" s="608" customFormat="1" x14ac:dyDescent="0.25">
      <c r="B409" s="605" t="s">
        <v>1677</v>
      </c>
      <c r="C409" s="606">
        <f t="shared" si="12"/>
        <v>314999</v>
      </c>
      <c r="D409" s="607" t="s">
        <v>1678</v>
      </c>
      <c r="E409" s="607" t="s">
        <v>1697</v>
      </c>
      <c r="F409" s="607" t="s">
        <v>1698</v>
      </c>
      <c r="G409" s="607" t="s">
        <v>1594</v>
      </c>
      <c r="H409" s="607" t="s">
        <v>1594</v>
      </c>
      <c r="I409" s="607" t="s">
        <v>1608</v>
      </c>
      <c r="J409" s="608" t="str">
        <f t="shared" si="13"/>
        <v>Textile Apparel Luxury Goods</v>
      </c>
      <c r="N409" s="822">
        <v>313310</v>
      </c>
      <c r="O409" s="822" t="s">
        <v>1632</v>
      </c>
      <c r="P409" s="823">
        <v>2253</v>
      </c>
      <c r="Q409" s="823" t="s">
        <v>1638</v>
      </c>
    </row>
    <row r="410" spans="2:17" s="608" customFormat="1" x14ac:dyDescent="0.25">
      <c r="B410" s="605" t="s">
        <v>1677</v>
      </c>
      <c r="C410" s="606">
        <f t="shared" si="12"/>
        <v>314999</v>
      </c>
      <c r="D410" s="607" t="s">
        <v>1678</v>
      </c>
      <c r="E410" s="607" t="s">
        <v>1699</v>
      </c>
      <c r="F410" s="607" t="s">
        <v>1700</v>
      </c>
      <c r="G410" s="607" t="s">
        <v>1594</v>
      </c>
      <c r="H410" s="607" t="s">
        <v>1594</v>
      </c>
      <c r="I410" s="607" t="s">
        <v>1608</v>
      </c>
      <c r="J410" s="608" t="str">
        <f t="shared" si="13"/>
        <v>Textile Apparel Luxury Goods</v>
      </c>
      <c r="N410" s="822">
        <v>313310</v>
      </c>
      <c r="O410" s="822" t="s">
        <v>1632</v>
      </c>
      <c r="P410" s="823">
        <v>2254</v>
      </c>
      <c r="Q410" s="823" t="s">
        <v>1640</v>
      </c>
    </row>
    <row r="411" spans="2:17" s="608" customFormat="1" x14ac:dyDescent="0.25">
      <c r="B411" s="605" t="s">
        <v>1677</v>
      </c>
      <c r="C411" s="606">
        <f t="shared" si="12"/>
        <v>314999</v>
      </c>
      <c r="D411" s="607" t="s">
        <v>1678</v>
      </c>
      <c r="E411" s="607" t="s">
        <v>1701</v>
      </c>
      <c r="F411" s="607" t="s">
        <v>1702</v>
      </c>
      <c r="G411" s="607" t="s">
        <v>1594</v>
      </c>
      <c r="H411" s="607" t="s">
        <v>1594</v>
      </c>
      <c r="I411" s="607" t="s">
        <v>1608</v>
      </c>
      <c r="J411" s="608" t="str">
        <f t="shared" si="13"/>
        <v>Textile Apparel Luxury Goods</v>
      </c>
      <c r="N411" s="822">
        <v>313310</v>
      </c>
      <c r="O411" s="822" t="s">
        <v>1632</v>
      </c>
      <c r="P411" s="823">
        <v>2257</v>
      </c>
      <c r="Q411" s="823" t="s">
        <v>1626</v>
      </c>
    </row>
    <row r="412" spans="2:17" s="608" customFormat="1" x14ac:dyDescent="0.25">
      <c r="B412" s="605" t="s">
        <v>1677</v>
      </c>
      <c r="C412" s="606">
        <f t="shared" si="12"/>
        <v>314999</v>
      </c>
      <c r="D412" s="607" t="s">
        <v>1678</v>
      </c>
      <c r="E412" s="607" t="s">
        <v>1703</v>
      </c>
      <c r="F412" s="607" t="s">
        <v>1704</v>
      </c>
      <c r="G412" s="607" t="s">
        <v>1594</v>
      </c>
      <c r="H412" s="607" t="s">
        <v>1594</v>
      </c>
      <c r="I412" s="607" t="s">
        <v>1608</v>
      </c>
      <c r="J412" s="608" t="str">
        <f t="shared" si="13"/>
        <v>Textile Apparel Luxury Goods</v>
      </c>
      <c r="N412" s="822">
        <v>313310</v>
      </c>
      <c r="O412" s="822" t="s">
        <v>1632</v>
      </c>
      <c r="P412" s="823">
        <v>2258</v>
      </c>
      <c r="Q412" s="823" t="s">
        <v>1628</v>
      </c>
    </row>
    <row r="413" spans="2:17" s="608" customFormat="1" x14ac:dyDescent="0.25">
      <c r="B413" s="605" t="s">
        <v>1677</v>
      </c>
      <c r="C413" s="606">
        <f t="shared" si="12"/>
        <v>314999</v>
      </c>
      <c r="D413" s="607" t="s">
        <v>1678</v>
      </c>
      <c r="E413" s="607" t="s">
        <v>1705</v>
      </c>
      <c r="F413" s="607" t="s">
        <v>1706</v>
      </c>
      <c r="G413" s="607" t="s">
        <v>1594</v>
      </c>
      <c r="H413" s="607" t="s">
        <v>1594</v>
      </c>
      <c r="I413" s="607" t="s">
        <v>1608</v>
      </c>
      <c r="J413" s="608" t="str">
        <f t="shared" si="13"/>
        <v>Textile Apparel Luxury Goods</v>
      </c>
      <c r="N413" s="822">
        <v>313310</v>
      </c>
      <c r="O413" s="822" t="s">
        <v>1632</v>
      </c>
      <c r="P413" s="823">
        <v>2259</v>
      </c>
      <c r="Q413" s="823" t="s">
        <v>1630</v>
      </c>
    </row>
    <row r="414" spans="2:17" s="608" customFormat="1" x14ac:dyDescent="0.25">
      <c r="B414" s="605" t="s">
        <v>1677</v>
      </c>
      <c r="C414" s="606">
        <f t="shared" si="12"/>
        <v>314999</v>
      </c>
      <c r="D414" s="607" t="s">
        <v>1678</v>
      </c>
      <c r="E414" s="607" t="s">
        <v>1707</v>
      </c>
      <c r="F414" s="607" t="s">
        <v>1708</v>
      </c>
      <c r="G414" s="607" t="s">
        <v>1594</v>
      </c>
      <c r="H414" s="607" t="s">
        <v>1594</v>
      </c>
      <c r="I414" s="607" t="s">
        <v>1608</v>
      </c>
      <c r="J414" s="608" t="str">
        <f t="shared" si="13"/>
        <v>Textile Apparel Luxury Goods</v>
      </c>
      <c r="N414" s="822">
        <v>313310</v>
      </c>
      <c r="O414" s="822" t="s">
        <v>1632</v>
      </c>
      <c r="P414" s="823">
        <v>2261</v>
      </c>
      <c r="Q414" s="823" t="s">
        <v>1642</v>
      </c>
    </row>
    <row r="415" spans="2:17" s="608" customFormat="1" x14ac:dyDescent="0.25">
      <c r="B415" s="605" t="s">
        <v>1677</v>
      </c>
      <c r="C415" s="606">
        <f t="shared" si="12"/>
        <v>314999</v>
      </c>
      <c r="D415" s="607" t="s">
        <v>1678</v>
      </c>
      <c r="E415" s="607" t="s">
        <v>1709</v>
      </c>
      <c r="F415" s="607" t="s">
        <v>1710</v>
      </c>
      <c r="G415" s="607" t="s">
        <v>1594</v>
      </c>
      <c r="H415" s="607" t="s">
        <v>1594</v>
      </c>
      <c r="I415" s="607" t="s">
        <v>1608</v>
      </c>
      <c r="J415" s="608" t="str">
        <f t="shared" si="13"/>
        <v>Textile Apparel Luxury Goods</v>
      </c>
      <c r="N415" s="822">
        <v>313310</v>
      </c>
      <c r="O415" s="822" t="s">
        <v>1632</v>
      </c>
      <c r="P415" s="823">
        <v>2262</v>
      </c>
      <c r="Q415" s="823" t="s">
        <v>1644</v>
      </c>
    </row>
    <row r="416" spans="2:17" s="608" customFormat="1" x14ac:dyDescent="0.25">
      <c r="B416" s="605" t="s">
        <v>1677</v>
      </c>
      <c r="C416" s="606">
        <f t="shared" si="12"/>
        <v>314999</v>
      </c>
      <c r="D416" s="607" t="s">
        <v>1678</v>
      </c>
      <c r="E416" s="607" t="s">
        <v>1711</v>
      </c>
      <c r="F416" s="607" t="s">
        <v>1712</v>
      </c>
      <c r="G416" s="607" t="s">
        <v>1594</v>
      </c>
      <c r="H416" s="607" t="s">
        <v>1594</v>
      </c>
      <c r="I416" s="607" t="s">
        <v>1608</v>
      </c>
      <c r="J416" s="608" t="str">
        <f t="shared" si="13"/>
        <v>Textile Apparel Luxury Goods</v>
      </c>
      <c r="N416" s="822">
        <v>313310</v>
      </c>
      <c r="O416" s="822" t="s">
        <v>1632</v>
      </c>
      <c r="P416" s="823">
        <v>2269</v>
      </c>
      <c r="Q416" s="823" t="s">
        <v>1646</v>
      </c>
    </row>
    <row r="417" spans="2:17" s="608" customFormat="1" x14ac:dyDescent="0.25">
      <c r="B417" s="605" t="s">
        <v>1677</v>
      </c>
      <c r="C417" s="606">
        <f t="shared" si="12"/>
        <v>314999</v>
      </c>
      <c r="D417" s="607" t="s">
        <v>1678</v>
      </c>
      <c r="E417" s="607" t="s">
        <v>1713</v>
      </c>
      <c r="F417" s="607" t="s">
        <v>1714</v>
      </c>
      <c r="G417" s="607" t="s">
        <v>1594</v>
      </c>
      <c r="H417" s="607" t="s">
        <v>1594</v>
      </c>
      <c r="I417" s="607" t="s">
        <v>1608</v>
      </c>
      <c r="J417" s="608" t="str">
        <f t="shared" si="13"/>
        <v>Textile Apparel Luxury Goods</v>
      </c>
      <c r="N417" s="822">
        <v>313310</v>
      </c>
      <c r="O417" s="822" t="s">
        <v>1632</v>
      </c>
      <c r="P417" s="823">
        <v>2284</v>
      </c>
      <c r="Q417" s="823" t="s">
        <v>1599</v>
      </c>
    </row>
    <row r="418" spans="2:17" s="608" customFormat="1" x14ac:dyDescent="0.25">
      <c r="B418" s="605" t="s">
        <v>1677</v>
      </c>
      <c r="C418" s="606">
        <f t="shared" si="12"/>
        <v>314999</v>
      </c>
      <c r="D418" s="607" t="s">
        <v>1678</v>
      </c>
      <c r="E418" s="607" t="s">
        <v>1715</v>
      </c>
      <c r="F418" s="607" t="s">
        <v>1716</v>
      </c>
      <c r="G418" s="607" t="s">
        <v>1594</v>
      </c>
      <c r="H418" s="607" t="s">
        <v>1594</v>
      </c>
      <c r="I418" s="607" t="s">
        <v>1608</v>
      </c>
      <c r="J418" s="608" t="str">
        <f t="shared" si="13"/>
        <v>Textile Apparel Luxury Goods</v>
      </c>
      <c r="N418" s="822">
        <v>313310</v>
      </c>
      <c r="O418" s="822" t="s">
        <v>1632</v>
      </c>
      <c r="P418" s="823">
        <v>2299</v>
      </c>
      <c r="Q418" s="823" t="s">
        <v>1603</v>
      </c>
    </row>
    <row r="419" spans="2:17" s="608" customFormat="1" x14ac:dyDescent="0.25">
      <c r="B419" s="605" t="s">
        <v>1677</v>
      </c>
      <c r="C419" s="606">
        <f t="shared" si="12"/>
        <v>314999</v>
      </c>
      <c r="D419" s="607" t="s">
        <v>1678</v>
      </c>
      <c r="E419" s="607" t="s">
        <v>1717</v>
      </c>
      <c r="F419" s="607" t="s">
        <v>1718</v>
      </c>
      <c r="G419" s="607" t="s">
        <v>1594</v>
      </c>
      <c r="H419" s="607" t="s">
        <v>1594</v>
      </c>
      <c r="I419" s="607" t="s">
        <v>1608</v>
      </c>
      <c r="J419" s="608" t="str">
        <f t="shared" si="13"/>
        <v>Textile Apparel Luxury Goods</v>
      </c>
      <c r="N419" s="822">
        <v>313310</v>
      </c>
      <c r="O419" s="822" t="s">
        <v>1632</v>
      </c>
      <c r="P419" s="823">
        <v>5131</v>
      </c>
      <c r="Q419" s="823" t="s">
        <v>1648</v>
      </c>
    </row>
    <row r="420" spans="2:17" s="608" customFormat="1" x14ac:dyDescent="0.25">
      <c r="B420" s="605" t="s">
        <v>1677</v>
      </c>
      <c r="C420" s="606">
        <f t="shared" si="12"/>
        <v>314999</v>
      </c>
      <c r="D420" s="607" t="s">
        <v>1678</v>
      </c>
      <c r="E420" s="607" t="s">
        <v>1719</v>
      </c>
      <c r="F420" s="607" t="s">
        <v>1720</v>
      </c>
      <c r="G420" s="607" t="s">
        <v>1594</v>
      </c>
      <c r="H420" s="607" t="s">
        <v>1594</v>
      </c>
      <c r="I420" s="607" t="s">
        <v>1608</v>
      </c>
      <c r="J420" s="608" t="str">
        <f t="shared" si="13"/>
        <v>Textile Apparel Luxury Goods</v>
      </c>
      <c r="N420" s="822">
        <v>313310</v>
      </c>
      <c r="O420" s="822" t="s">
        <v>1632</v>
      </c>
      <c r="P420" s="823">
        <v>7389</v>
      </c>
      <c r="Q420" s="823" t="s">
        <v>1589</v>
      </c>
    </row>
    <row r="421" spans="2:17" s="608" customFormat="1" x14ac:dyDescent="0.25">
      <c r="B421" s="605" t="s">
        <v>1677</v>
      </c>
      <c r="C421" s="606">
        <f t="shared" si="12"/>
        <v>314999</v>
      </c>
      <c r="D421" s="607" t="s">
        <v>1678</v>
      </c>
      <c r="E421" s="607" t="s">
        <v>1721</v>
      </c>
      <c r="F421" s="607" t="s">
        <v>1722</v>
      </c>
      <c r="G421" s="607" t="s">
        <v>1594</v>
      </c>
      <c r="H421" s="607" t="s">
        <v>1594</v>
      </c>
      <c r="I421" s="607" t="s">
        <v>1608</v>
      </c>
      <c r="J421" s="608" t="str">
        <f t="shared" si="13"/>
        <v>Textile Apparel Luxury Goods</v>
      </c>
      <c r="N421" s="822">
        <v>313311</v>
      </c>
      <c r="O421" s="822" t="s">
        <v>5843</v>
      </c>
      <c r="P421" s="823"/>
      <c r="Q421" s="823" t="s">
        <v>958</v>
      </c>
    </row>
    <row r="422" spans="2:17" s="608" customFormat="1" x14ac:dyDescent="0.25">
      <c r="B422" s="605" t="s">
        <v>1677</v>
      </c>
      <c r="C422" s="606">
        <f t="shared" si="12"/>
        <v>314999</v>
      </c>
      <c r="D422" s="607" t="s">
        <v>1678</v>
      </c>
      <c r="E422" s="607" t="s">
        <v>1723</v>
      </c>
      <c r="F422" s="607" t="s">
        <v>1724</v>
      </c>
      <c r="G422" s="607" t="s">
        <v>1594</v>
      </c>
      <c r="H422" s="607" t="s">
        <v>1594</v>
      </c>
      <c r="I422" s="607" t="s">
        <v>1608</v>
      </c>
      <c r="J422" s="608" t="str">
        <f t="shared" si="13"/>
        <v>Textile Apparel Luxury Goods</v>
      </c>
      <c r="N422" s="822">
        <v>313312</v>
      </c>
      <c r="O422" s="822" t="s">
        <v>5844</v>
      </c>
      <c r="P422" s="823"/>
      <c r="Q422" s="823" t="s">
        <v>958</v>
      </c>
    </row>
    <row r="423" spans="2:17" s="608" customFormat="1" x14ac:dyDescent="0.25">
      <c r="B423" s="605" t="s">
        <v>1677</v>
      </c>
      <c r="C423" s="606">
        <f t="shared" si="12"/>
        <v>314999</v>
      </c>
      <c r="D423" s="607" t="s">
        <v>1678</v>
      </c>
      <c r="E423" s="607" t="s">
        <v>1663</v>
      </c>
      <c r="F423" s="607" t="s">
        <v>1664</v>
      </c>
      <c r="G423" s="607" t="s">
        <v>1594</v>
      </c>
      <c r="H423" s="607" t="s">
        <v>1594</v>
      </c>
      <c r="I423" s="607" t="s">
        <v>1608</v>
      </c>
      <c r="J423" s="608" t="str">
        <f t="shared" si="13"/>
        <v>Textile Apparel Luxury Goods</v>
      </c>
      <c r="N423" s="822">
        <v>313320</v>
      </c>
      <c r="O423" s="822" t="s">
        <v>1650</v>
      </c>
      <c r="P423" s="823">
        <v>2295</v>
      </c>
      <c r="Q423" s="823" t="s">
        <v>1652</v>
      </c>
    </row>
    <row r="424" spans="2:17" s="608" customFormat="1" x14ac:dyDescent="0.25">
      <c r="B424" s="605" t="s">
        <v>1677</v>
      </c>
      <c r="C424" s="606">
        <f t="shared" si="12"/>
        <v>314999</v>
      </c>
      <c r="D424" s="607" t="s">
        <v>1678</v>
      </c>
      <c r="E424" s="607" t="s">
        <v>1725</v>
      </c>
      <c r="F424" s="607" t="s">
        <v>1726</v>
      </c>
      <c r="G424" s="607" t="s">
        <v>1594</v>
      </c>
      <c r="H424" s="607" t="s">
        <v>1594</v>
      </c>
      <c r="I424" s="607" t="s">
        <v>1608</v>
      </c>
      <c r="J424" s="608" t="str">
        <f t="shared" si="13"/>
        <v>Textile Apparel Luxury Goods</v>
      </c>
      <c r="N424" s="822">
        <v>313320</v>
      </c>
      <c r="O424" s="822" t="s">
        <v>1650</v>
      </c>
      <c r="P424" s="823">
        <v>3069</v>
      </c>
      <c r="Q424" s="823" t="s">
        <v>1654</v>
      </c>
    </row>
    <row r="425" spans="2:17" s="608" customFormat="1" x14ac:dyDescent="0.25">
      <c r="B425" s="605" t="s">
        <v>1677</v>
      </c>
      <c r="C425" s="606">
        <f t="shared" si="12"/>
        <v>314999</v>
      </c>
      <c r="D425" s="607" t="s">
        <v>1678</v>
      </c>
      <c r="E425" s="607" t="s">
        <v>1727</v>
      </c>
      <c r="F425" s="607" t="s">
        <v>1728</v>
      </c>
      <c r="G425" s="607" t="s">
        <v>1594</v>
      </c>
      <c r="H425" s="607" t="s">
        <v>1594</v>
      </c>
      <c r="I425" s="607" t="s">
        <v>1608</v>
      </c>
      <c r="J425" s="608" t="str">
        <f t="shared" si="13"/>
        <v>Textile Apparel Luxury Goods</v>
      </c>
      <c r="N425" s="822">
        <v>314110</v>
      </c>
      <c r="O425" s="822" t="s">
        <v>1656</v>
      </c>
      <c r="P425" s="823">
        <v>2273</v>
      </c>
      <c r="Q425" s="823" t="s">
        <v>1658</v>
      </c>
    </row>
    <row r="426" spans="2:17" s="608" customFormat="1" x14ac:dyDescent="0.25">
      <c r="B426" s="605" t="s">
        <v>1677</v>
      </c>
      <c r="C426" s="606">
        <f t="shared" si="12"/>
        <v>314999</v>
      </c>
      <c r="D426" s="607" t="s">
        <v>1678</v>
      </c>
      <c r="E426" s="607" t="s">
        <v>1729</v>
      </c>
      <c r="F426" s="607" t="s">
        <v>1730</v>
      </c>
      <c r="G426" s="607" t="s">
        <v>1594</v>
      </c>
      <c r="H426" s="607" t="s">
        <v>1594</v>
      </c>
      <c r="I426" s="607" t="s">
        <v>1608</v>
      </c>
      <c r="J426" s="608" t="str">
        <f t="shared" si="13"/>
        <v>Textile Apparel Luxury Goods</v>
      </c>
      <c r="N426" s="822">
        <v>314120</v>
      </c>
      <c r="O426" s="822" t="s">
        <v>1660</v>
      </c>
      <c r="P426" s="823">
        <v>2391</v>
      </c>
      <c r="Q426" s="823" t="s">
        <v>1662</v>
      </c>
    </row>
    <row r="427" spans="2:17" s="608" customFormat="1" x14ac:dyDescent="0.25">
      <c r="B427" s="605" t="s">
        <v>1677</v>
      </c>
      <c r="C427" s="606">
        <f t="shared" si="12"/>
        <v>314999</v>
      </c>
      <c r="D427" s="607" t="s">
        <v>1678</v>
      </c>
      <c r="E427" s="607" t="s">
        <v>1731</v>
      </c>
      <c r="F427" s="607" t="s">
        <v>1732</v>
      </c>
      <c r="G427" s="607" t="s">
        <v>1594</v>
      </c>
      <c r="H427" s="607" t="s">
        <v>1594</v>
      </c>
      <c r="I427" s="607" t="s">
        <v>1608</v>
      </c>
      <c r="J427" s="608" t="str">
        <f t="shared" si="13"/>
        <v>Textile Apparel Luxury Goods</v>
      </c>
      <c r="N427" s="822">
        <v>314120</v>
      </c>
      <c r="O427" s="822" t="s">
        <v>1660</v>
      </c>
      <c r="P427" s="823">
        <v>2392</v>
      </c>
      <c r="Q427" s="823" t="s">
        <v>1664</v>
      </c>
    </row>
    <row r="428" spans="2:17" s="608" customFormat="1" x14ac:dyDescent="0.25">
      <c r="B428" s="605" t="s">
        <v>1677</v>
      </c>
      <c r="C428" s="606">
        <f t="shared" si="12"/>
        <v>314999</v>
      </c>
      <c r="D428" s="607" t="s">
        <v>1678</v>
      </c>
      <c r="E428" s="607" t="s">
        <v>1733</v>
      </c>
      <c r="F428" s="607" t="s">
        <v>1734</v>
      </c>
      <c r="G428" s="607" t="s">
        <v>1594</v>
      </c>
      <c r="H428" s="607" t="s">
        <v>1594</v>
      </c>
      <c r="I428" s="607" t="s">
        <v>1608</v>
      </c>
      <c r="J428" s="608" t="str">
        <f t="shared" si="13"/>
        <v>Textile Apparel Luxury Goods</v>
      </c>
      <c r="N428" s="822">
        <v>314120</v>
      </c>
      <c r="O428" s="822" t="s">
        <v>1660</v>
      </c>
      <c r="P428" s="823">
        <v>5714</v>
      </c>
      <c r="Q428" s="823" t="s">
        <v>1666</v>
      </c>
    </row>
    <row r="429" spans="2:17" s="608" customFormat="1" x14ac:dyDescent="0.25">
      <c r="B429" s="605" t="s">
        <v>1677</v>
      </c>
      <c r="C429" s="606">
        <f t="shared" si="12"/>
        <v>314999</v>
      </c>
      <c r="D429" s="607" t="s">
        <v>1678</v>
      </c>
      <c r="E429" s="607" t="s">
        <v>1588</v>
      </c>
      <c r="F429" s="607" t="s">
        <v>1589</v>
      </c>
      <c r="G429" s="607" t="s">
        <v>1594</v>
      </c>
      <c r="H429" s="607" t="s">
        <v>1594</v>
      </c>
      <c r="I429" s="607" t="s">
        <v>1608</v>
      </c>
      <c r="J429" s="608" t="str">
        <f t="shared" si="13"/>
        <v>Textile Apparel Luxury Goods</v>
      </c>
      <c r="N429" s="822">
        <v>314121</v>
      </c>
      <c r="O429" s="822" t="s">
        <v>5845</v>
      </c>
      <c r="P429" s="823"/>
      <c r="Q429" s="823" t="s">
        <v>958</v>
      </c>
    </row>
    <row r="430" spans="2:17" s="608" customFormat="1" x14ac:dyDescent="0.25">
      <c r="B430" s="605" t="s">
        <v>1735</v>
      </c>
      <c r="C430" s="606">
        <f t="shared" si="12"/>
        <v>315110</v>
      </c>
      <c r="D430" s="607" t="s">
        <v>1736</v>
      </c>
      <c r="E430" s="607" t="s">
        <v>1633</v>
      </c>
      <c r="F430" s="607" t="s">
        <v>1634</v>
      </c>
      <c r="G430" s="607" t="s">
        <v>1594</v>
      </c>
      <c r="H430" s="607" t="s">
        <v>1594</v>
      </c>
      <c r="I430" s="607" t="s">
        <v>1608</v>
      </c>
      <c r="J430" s="608" t="str">
        <f t="shared" si="13"/>
        <v>Textile Apparel Luxury Goods</v>
      </c>
      <c r="N430" s="823">
        <v>314129</v>
      </c>
      <c r="O430" s="823" t="s">
        <v>5846</v>
      </c>
      <c r="P430" s="823"/>
      <c r="Q430" s="823" t="s">
        <v>958</v>
      </c>
    </row>
    <row r="431" spans="2:17" s="608" customFormat="1" x14ac:dyDescent="0.25">
      <c r="B431" s="605" t="s">
        <v>1735</v>
      </c>
      <c r="C431" s="606">
        <f t="shared" si="12"/>
        <v>315110</v>
      </c>
      <c r="D431" s="607" t="s">
        <v>1736</v>
      </c>
      <c r="E431" s="607" t="s">
        <v>1635</v>
      </c>
      <c r="F431" s="607" t="s">
        <v>1636</v>
      </c>
      <c r="G431" s="607" t="s">
        <v>1594</v>
      </c>
      <c r="H431" s="607" t="s">
        <v>1594</v>
      </c>
      <c r="I431" s="607" t="s">
        <v>1608</v>
      </c>
      <c r="J431" s="608" t="str">
        <f t="shared" si="13"/>
        <v>Textile Apparel Luxury Goods</v>
      </c>
      <c r="N431" s="822">
        <v>314910</v>
      </c>
      <c r="O431" s="822" t="s">
        <v>1668</v>
      </c>
      <c r="P431" s="823">
        <v>2392</v>
      </c>
      <c r="Q431" s="823" t="s">
        <v>1664</v>
      </c>
    </row>
    <row r="432" spans="2:17" s="608" customFormat="1" x14ac:dyDescent="0.25">
      <c r="B432" s="605" t="s">
        <v>1737</v>
      </c>
      <c r="C432" s="606">
        <f t="shared" si="12"/>
        <v>315190</v>
      </c>
      <c r="D432" s="607" t="s">
        <v>1738</v>
      </c>
      <c r="E432" s="607" t="s">
        <v>1637</v>
      </c>
      <c r="F432" s="607" t="s">
        <v>1638</v>
      </c>
      <c r="G432" s="607" t="s">
        <v>1594</v>
      </c>
      <c r="H432" s="607" t="s">
        <v>1594</v>
      </c>
      <c r="I432" s="607" t="s">
        <v>1608</v>
      </c>
      <c r="J432" s="608" t="str">
        <f t="shared" si="13"/>
        <v>Textile Apparel Luxury Goods</v>
      </c>
      <c r="N432" s="822">
        <v>314910</v>
      </c>
      <c r="O432" s="822" t="s">
        <v>1668</v>
      </c>
      <c r="P432" s="823">
        <v>2393</v>
      </c>
      <c r="Q432" s="823" t="s">
        <v>1670</v>
      </c>
    </row>
    <row r="433" spans="2:17" s="608" customFormat="1" x14ac:dyDescent="0.25">
      <c r="B433" s="605" t="s">
        <v>1737</v>
      </c>
      <c r="C433" s="606">
        <f t="shared" si="12"/>
        <v>315190</v>
      </c>
      <c r="D433" s="607" t="s">
        <v>1738</v>
      </c>
      <c r="E433" s="607" t="s">
        <v>1639</v>
      </c>
      <c r="F433" s="607" t="s">
        <v>1640</v>
      </c>
      <c r="G433" s="607" t="s">
        <v>1594</v>
      </c>
      <c r="H433" s="607" t="s">
        <v>1594</v>
      </c>
      <c r="I433" s="607" t="s">
        <v>1608</v>
      </c>
      <c r="J433" s="608" t="str">
        <f t="shared" si="13"/>
        <v>Textile Apparel Luxury Goods</v>
      </c>
      <c r="N433" s="822">
        <v>314910</v>
      </c>
      <c r="O433" s="822" t="s">
        <v>1668</v>
      </c>
      <c r="P433" s="823">
        <v>2394</v>
      </c>
      <c r="Q433" s="823" t="s">
        <v>1672</v>
      </c>
    </row>
    <row r="434" spans="2:17" s="608" customFormat="1" x14ac:dyDescent="0.25">
      <c r="B434" s="605" t="s">
        <v>1737</v>
      </c>
      <c r="C434" s="606">
        <f t="shared" si="12"/>
        <v>315190</v>
      </c>
      <c r="D434" s="607" t="s">
        <v>1738</v>
      </c>
      <c r="E434" s="607" t="s">
        <v>1629</v>
      </c>
      <c r="F434" s="607" t="s">
        <v>1630</v>
      </c>
      <c r="G434" s="607" t="s">
        <v>1594</v>
      </c>
      <c r="H434" s="607" t="s">
        <v>1594</v>
      </c>
      <c r="I434" s="607" t="s">
        <v>1608</v>
      </c>
      <c r="J434" s="608" t="str">
        <f t="shared" si="13"/>
        <v>Textile Apparel Luxury Goods</v>
      </c>
      <c r="N434" s="822">
        <v>314910</v>
      </c>
      <c r="O434" s="822" t="s">
        <v>1668</v>
      </c>
      <c r="P434" s="823">
        <v>3069</v>
      </c>
      <c r="Q434" s="823" t="s">
        <v>1654</v>
      </c>
    </row>
    <row r="435" spans="2:17" s="608" customFormat="1" x14ac:dyDescent="0.25">
      <c r="B435" s="605" t="s">
        <v>1739</v>
      </c>
      <c r="C435" s="606">
        <f t="shared" si="12"/>
        <v>315210</v>
      </c>
      <c r="D435" s="607" t="s">
        <v>1740</v>
      </c>
      <c r="E435" s="607" t="s">
        <v>1679</v>
      </c>
      <c r="F435" s="607" t="s">
        <v>1680</v>
      </c>
      <c r="G435" s="607" t="s">
        <v>1594</v>
      </c>
      <c r="H435" s="607" t="s">
        <v>1594</v>
      </c>
      <c r="I435" s="607" t="s">
        <v>1608</v>
      </c>
      <c r="J435" s="608" t="str">
        <f t="shared" si="13"/>
        <v>Textile Apparel Luxury Goods</v>
      </c>
      <c r="N435" s="823">
        <v>314911</v>
      </c>
      <c r="O435" s="823" t="s">
        <v>5847</v>
      </c>
      <c r="P435" s="823"/>
      <c r="Q435" s="823" t="s">
        <v>958</v>
      </c>
    </row>
    <row r="436" spans="2:17" s="608" customFormat="1" x14ac:dyDescent="0.25">
      <c r="B436" s="605" t="s">
        <v>1739</v>
      </c>
      <c r="C436" s="606">
        <f t="shared" si="12"/>
        <v>315210</v>
      </c>
      <c r="D436" s="607" t="s">
        <v>1740</v>
      </c>
      <c r="E436" s="607" t="s">
        <v>1681</v>
      </c>
      <c r="F436" s="607" t="s">
        <v>1682</v>
      </c>
      <c r="G436" s="607" t="s">
        <v>1594</v>
      </c>
      <c r="H436" s="607" t="s">
        <v>1594</v>
      </c>
      <c r="I436" s="607" t="s">
        <v>1608</v>
      </c>
      <c r="J436" s="608" t="str">
        <f t="shared" si="13"/>
        <v>Textile Apparel Luxury Goods</v>
      </c>
      <c r="N436" s="823">
        <v>314912</v>
      </c>
      <c r="O436" s="823" t="s">
        <v>5848</v>
      </c>
      <c r="P436" s="823"/>
      <c r="Q436" s="823" t="s">
        <v>958</v>
      </c>
    </row>
    <row r="437" spans="2:17" s="608" customFormat="1" ht="18" x14ac:dyDescent="0.3">
      <c r="B437" s="605" t="s">
        <v>1739</v>
      </c>
      <c r="C437" s="606">
        <f t="shared" si="12"/>
        <v>315210</v>
      </c>
      <c r="D437" s="607" t="s">
        <v>1740</v>
      </c>
      <c r="E437" s="607" t="s">
        <v>1683</v>
      </c>
      <c r="F437" s="607" t="s">
        <v>1684</v>
      </c>
      <c r="G437" s="607" t="s">
        <v>1594</v>
      </c>
      <c r="H437" s="607" t="s">
        <v>1594</v>
      </c>
      <c r="I437" s="607" t="s">
        <v>1608</v>
      </c>
      <c r="J437" s="608" t="str">
        <f t="shared" si="13"/>
        <v>Textile Apparel Luxury Goods</v>
      </c>
      <c r="N437" s="822">
        <v>314991</v>
      </c>
      <c r="O437" s="824" t="s">
        <v>5849</v>
      </c>
      <c r="P437" s="823"/>
      <c r="Q437" s="823" t="s">
        <v>958</v>
      </c>
    </row>
    <row r="438" spans="2:17" s="608" customFormat="1" x14ac:dyDescent="0.25">
      <c r="B438" s="605" t="s">
        <v>1739</v>
      </c>
      <c r="C438" s="606">
        <f t="shared" si="12"/>
        <v>315210</v>
      </c>
      <c r="D438" s="607" t="s">
        <v>1740</v>
      </c>
      <c r="E438" s="607" t="s">
        <v>1685</v>
      </c>
      <c r="F438" s="607" t="s">
        <v>1686</v>
      </c>
      <c r="G438" s="607" t="s">
        <v>1594</v>
      </c>
      <c r="H438" s="607" t="s">
        <v>1594</v>
      </c>
      <c r="I438" s="607" t="s">
        <v>1608</v>
      </c>
      <c r="J438" s="608" t="str">
        <f t="shared" si="13"/>
        <v>Textile Apparel Luxury Goods</v>
      </c>
      <c r="N438" s="823">
        <v>314992</v>
      </c>
      <c r="O438" s="823" t="s">
        <v>5850</v>
      </c>
      <c r="P438" s="823"/>
      <c r="Q438" s="823" t="s">
        <v>958</v>
      </c>
    </row>
    <row r="439" spans="2:17" s="608" customFormat="1" x14ac:dyDescent="0.25">
      <c r="B439" s="605" t="s">
        <v>1739</v>
      </c>
      <c r="C439" s="606">
        <f t="shared" si="12"/>
        <v>315210</v>
      </c>
      <c r="D439" s="607" t="s">
        <v>1740</v>
      </c>
      <c r="E439" s="607" t="s">
        <v>1687</v>
      </c>
      <c r="F439" s="607" t="s">
        <v>1688</v>
      </c>
      <c r="G439" s="607" t="s">
        <v>1594</v>
      </c>
      <c r="H439" s="607" t="s">
        <v>1594</v>
      </c>
      <c r="I439" s="607" t="s">
        <v>1608</v>
      </c>
      <c r="J439" s="608" t="str">
        <f t="shared" si="13"/>
        <v>Textile Apparel Luxury Goods</v>
      </c>
      <c r="N439" s="822">
        <v>314994</v>
      </c>
      <c r="O439" s="822" t="s">
        <v>1674</v>
      </c>
      <c r="P439" s="823">
        <v>2296</v>
      </c>
      <c r="Q439" s="823" t="s">
        <v>1676</v>
      </c>
    </row>
    <row r="440" spans="2:17" s="608" customFormat="1" x14ac:dyDescent="0.25">
      <c r="B440" s="605" t="s">
        <v>1739</v>
      </c>
      <c r="C440" s="606">
        <f t="shared" si="12"/>
        <v>315210</v>
      </c>
      <c r="D440" s="607" t="s">
        <v>1740</v>
      </c>
      <c r="E440" s="607" t="s">
        <v>1689</v>
      </c>
      <c r="F440" s="607" t="s">
        <v>1690</v>
      </c>
      <c r="G440" s="607" t="s">
        <v>1594</v>
      </c>
      <c r="H440" s="607" t="s">
        <v>1594</v>
      </c>
      <c r="I440" s="607" t="s">
        <v>1608</v>
      </c>
      <c r="J440" s="608" t="str">
        <f t="shared" si="13"/>
        <v>Textile Apparel Luxury Goods</v>
      </c>
      <c r="N440" s="822">
        <v>314994</v>
      </c>
      <c r="O440" s="822" t="s">
        <v>1674</v>
      </c>
      <c r="P440" s="823">
        <v>2298</v>
      </c>
      <c r="Q440" s="823" t="s">
        <v>1601</v>
      </c>
    </row>
    <row r="441" spans="2:17" s="608" customFormat="1" x14ac:dyDescent="0.25">
      <c r="B441" s="605" t="s">
        <v>1739</v>
      </c>
      <c r="C441" s="606">
        <f t="shared" si="12"/>
        <v>315210</v>
      </c>
      <c r="D441" s="607" t="s">
        <v>1740</v>
      </c>
      <c r="E441" s="607" t="s">
        <v>1691</v>
      </c>
      <c r="F441" s="607" t="s">
        <v>1692</v>
      </c>
      <c r="G441" s="607" t="s">
        <v>1594</v>
      </c>
      <c r="H441" s="607" t="s">
        <v>1594</v>
      </c>
      <c r="I441" s="607" t="s">
        <v>1608</v>
      </c>
      <c r="J441" s="608" t="str">
        <f t="shared" si="13"/>
        <v>Textile Apparel Luxury Goods</v>
      </c>
      <c r="N441" s="822">
        <v>314999</v>
      </c>
      <c r="O441" s="822" t="s">
        <v>1678</v>
      </c>
      <c r="P441" s="823">
        <v>2299</v>
      </c>
      <c r="Q441" s="823" t="s">
        <v>1603</v>
      </c>
    </row>
    <row r="442" spans="2:17" s="608" customFormat="1" x14ac:dyDescent="0.25">
      <c r="B442" s="605" t="s">
        <v>1739</v>
      </c>
      <c r="C442" s="606">
        <f t="shared" si="12"/>
        <v>315210</v>
      </c>
      <c r="D442" s="607" t="s">
        <v>1740</v>
      </c>
      <c r="E442" s="607" t="s">
        <v>1693</v>
      </c>
      <c r="F442" s="607" t="s">
        <v>1694</v>
      </c>
      <c r="G442" s="607" t="s">
        <v>1594</v>
      </c>
      <c r="H442" s="607" t="s">
        <v>1594</v>
      </c>
      <c r="I442" s="607" t="s">
        <v>1608</v>
      </c>
      <c r="J442" s="608" t="str">
        <f t="shared" si="13"/>
        <v>Textile Apparel Luxury Goods</v>
      </c>
      <c r="N442" s="822">
        <v>314999</v>
      </c>
      <c r="O442" s="822" t="s">
        <v>1678</v>
      </c>
      <c r="P442" s="823">
        <v>2311</v>
      </c>
      <c r="Q442" s="823" t="s">
        <v>1680</v>
      </c>
    </row>
    <row r="443" spans="2:17" s="608" customFormat="1" x14ac:dyDescent="0.25">
      <c r="B443" s="605" t="s">
        <v>1739</v>
      </c>
      <c r="C443" s="606">
        <f t="shared" si="12"/>
        <v>315210</v>
      </c>
      <c r="D443" s="607" t="s">
        <v>1740</v>
      </c>
      <c r="E443" s="607" t="s">
        <v>1695</v>
      </c>
      <c r="F443" s="607" t="s">
        <v>1696</v>
      </c>
      <c r="G443" s="607" t="s">
        <v>1594</v>
      </c>
      <c r="H443" s="607" t="s">
        <v>1594</v>
      </c>
      <c r="I443" s="607" t="s">
        <v>1608</v>
      </c>
      <c r="J443" s="608" t="str">
        <f t="shared" si="13"/>
        <v>Textile Apparel Luxury Goods</v>
      </c>
      <c r="N443" s="822">
        <v>314999</v>
      </c>
      <c r="O443" s="822" t="s">
        <v>1678</v>
      </c>
      <c r="P443" s="823">
        <v>2321</v>
      </c>
      <c r="Q443" s="823" t="s">
        <v>1682</v>
      </c>
    </row>
    <row r="444" spans="2:17" s="608" customFormat="1" x14ac:dyDescent="0.25">
      <c r="B444" s="605" t="s">
        <v>1739</v>
      </c>
      <c r="C444" s="606">
        <f t="shared" si="12"/>
        <v>315210</v>
      </c>
      <c r="D444" s="607" t="s">
        <v>1740</v>
      </c>
      <c r="E444" s="607" t="s">
        <v>1697</v>
      </c>
      <c r="F444" s="607" t="s">
        <v>1698</v>
      </c>
      <c r="G444" s="607" t="s">
        <v>1594</v>
      </c>
      <c r="H444" s="607" t="s">
        <v>1594</v>
      </c>
      <c r="I444" s="607" t="s">
        <v>1608</v>
      </c>
      <c r="J444" s="608" t="str">
        <f t="shared" si="13"/>
        <v>Textile Apparel Luxury Goods</v>
      </c>
      <c r="N444" s="822">
        <v>314999</v>
      </c>
      <c r="O444" s="822" t="s">
        <v>1678</v>
      </c>
      <c r="P444" s="823">
        <v>2322</v>
      </c>
      <c r="Q444" s="823" t="s">
        <v>1684</v>
      </c>
    </row>
    <row r="445" spans="2:17" s="608" customFormat="1" x14ac:dyDescent="0.25">
      <c r="B445" s="605" t="s">
        <v>1739</v>
      </c>
      <c r="C445" s="606">
        <f t="shared" si="12"/>
        <v>315210</v>
      </c>
      <c r="D445" s="607" t="s">
        <v>1740</v>
      </c>
      <c r="E445" s="607" t="s">
        <v>1699</v>
      </c>
      <c r="F445" s="607" t="s">
        <v>1700</v>
      </c>
      <c r="G445" s="607" t="s">
        <v>1594</v>
      </c>
      <c r="H445" s="607" t="s">
        <v>1594</v>
      </c>
      <c r="I445" s="607" t="s">
        <v>1608</v>
      </c>
      <c r="J445" s="608" t="str">
        <f t="shared" si="13"/>
        <v>Textile Apparel Luxury Goods</v>
      </c>
      <c r="N445" s="822">
        <v>314999</v>
      </c>
      <c r="O445" s="822" t="s">
        <v>1678</v>
      </c>
      <c r="P445" s="823">
        <v>2323</v>
      </c>
      <c r="Q445" s="823" t="s">
        <v>1686</v>
      </c>
    </row>
    <row r="446" spans="2:17" s="608" customFormat="1" x14ac:dyDescent="0.25">
      <c r="B446" s="605" t="s">
        <v>1739</v>
      </c>
      <c r="C446" s="606">
        <f t="shared" si="12"/>
        <v>315210</v>
      </c>
      <c r="D446" s="607" t="s">
        <v>1740</v>
      </c>
      <c r="E446" s="607" t="s">
        <v>1701</v>
      </c>
      <c r="F446" s="607" t="s">
        <v>1702</v>
      </c>
      <c r="G446" s="607" t="s">
        <v>1594</v>
      </c>
      <c r="H446" s="607" t="s">
        <v>1594</v>
      </c>
      <c r="I446" s="607" t="s">
        <v>1608</v>
      </c>
      <c r="J446" s="608" t="str">
        <f t="shared" si="13"/>
        <v>Textile Apparel Luxury Goods</v>
      </c>
      <c r="N446" s="822">
        <v>314999</v>
      </c>
      <c r="O446" s="822" t="s">
        <v>1678</v>
      </c>
      <c r="P446" s="823">
        <v>2325</v>
      </c>
      <c r="Q446" s="823" t="s">
        <v>1688</v>
      </c>
    </row>
    <row r="447" spans="2:17" s="608" customFormat="1" x14ac:dyDescent="0.25">
      <c r="B447" s="605" t="s">
        <v>1739</v>
      </c>
      <c r="C447" s="606">
        <f t="shared" si="12"/>
        <v>315210</v>
      </c>
      <c r="D447" s="607" t="s">
        <v>1740</v>
      </c>
      <c r="E447" s="607" t="s">
        <v>1703</v>
      </c>
      <c r="F447" s="607" t="s">
        <v>1704</v>
      </c>
      <c r="G447" s="607" t="s">
        <v>1594</v>
      </c>
      <c r="H447" s="607" t="s">
        <v>1594</v>
      </c>
      <c r="I447" s="607" t="s">
        <v>1608</v>
      </c>
      <c r="J447" s="608" t="str">
        <f t="shared" si="13"/>
        <v>Textile Apparel Luxury Goods</v>
      </c>
      <c r="N447" s="822">
        <v>314999</v>
      </c>
      <c r="O447" s="822" t="s">
        <v>1678</v>
      </c>
      <c r="P447" s="823">
        <v>2326</v>
      </c>
      <c r="Q447" s="823" t="s">
        <v>1690</v>
      </c>
    </row>
    <row r="448" spans="2:17" s="608" customFormat="1" x14ac:dyDescent="0.25">
      <c r="B448" s="605" t="s">
        <v>1739</v>
      </c>
      <c r="C448" s="606">
        <f t="shared" si="12"/>
        <v>315210</v>
      </c>
      <c r="D448" s="607" t="s">
        <v>1740</v>
      </c>
      <c r="E448" s="607" t="s">
        <v>1705</v>
      </c>
      <c r="F448" s="607" t="s">
        <v>1706</v>
      </c>
      <c r="G448" s="607" t="s">
        <v>1594</v>
      </c>
      <c r="H448" s="607" t="s">
        <v>1594</v>
      </c>
      <c r="I448" s="607" t="s">
        <v>1608</v>
      </c>
      <c r="J448" s="608" t="str">
        <f t="shared" si="13"/>
        <v>Textile Apparel Luxury Goods</v>
      </c>
      <c r="N448" s="822">
        <v>314999</v>
      </c>
      <c r="O448" s="822" t="s">
        <v>1678</v>
      </c>
      <c r="P448" s="823">
        <v>2329</v>
      </c>
      <c r="Q448" s="823" t="s">
        <v>1692</v>
      </c>
    </row>
    <row r="449" spans="2:17" s="608" customFormat="1" x14ac:dyDescent="0.25">
      <c r="B449" s="605" t="s">
        <v>1739</v>
      </c>
      <c r="C449" s="606">
        <f t="shared" si="12"/>
        <v>315210</v>
      </c>
      <c r="D449" s="607" t="s">
        <v>1740</v>
      </c>
      <c r="E449" s="607" t="s">
        <v>1707</v>
      </c>
      <c r="F449" s="607" t="s">
        <v>1708</v>
      </c>
      <c r="G449" s="607" t="s">
        <v>1594</v>
      </c>
      <c r="H449" s="607" t="s">
        <v>1594</v>
      </c>
      <c r="I449" s="607" t="s">
        <v>1608</v>
      </c>
      <c r="J449" s="608" t="str">
        <f t="shared" si="13"/>
        <v>Textile Apparel Luxury Goods</v>
      </c>
      <c r="N449" s="822">
        <v>314999</v>
      </c>
      <c r="O449" s="822" t="s">
        <v>1678</v>
      </c>
      <c r="P449" s="823">
        <v>2331</v>
      </c>
      <c r="Q449" s="823" t="s">
        <v>1694</v>
      </c>
    </row>
    <row r="450" spans="2:17" s="608" customFormat="1" x14ac:dyDescent="0.25">
      <c r="B450" s="605" t="s">
        <v>1739</v>
      </c>
      <c r="C450" s="606">
        <f t="shared" ref="C450:C513" si="14">B450+0</f>
        <v>315210</v>
      </c>
      <c r="D450" s="607" t="s">
        <v>1740</v>
      </c>
      <c r="E450" s="607" t="s">
        <v>1709</v>
      </c>
      <c r="F450" s="607" t="s">
        <v>1710</v>
      </c>
      <c r="G450" s="607" t="s">
        <v>1594</v>
      </c>
      <c r="H450" s="607" t="s">
        <v>1594</v>
      </c>
      <c r="I450" s="607" t="s">
        <v>1608</v>
      </c>
      <c r="J450" s="608" t="str">
        <f t="shared" ref="J450:J513" si="15">PROPER(I450)</f>
        <v>Textile Apparel Luxury Goods</v>
      </c>
      <c r="N450" s="822">
        <v>314999</v>
      </c>
      <c r="O450" s="822" t="s">
        <v>1678</v>
      </c>
      <c r="P450" s="823">
        <v>2335</v>
      </c>
      <c r="Q450" s="823" t="s">
        <v>1696</v>
      </c>
    </row>
    <row r="451" spans="2:17" s="608" customFormat="1" x14ac:dyDescent="0.25">
      <c r="B451" s="605" t="s">
        <v>1739</v>
      </c>
      <c r="C451" s="606">
        <f t="shared" si="14"/>
        <v>315210</v>
      </c>
      <c r="D451" s="607" t="s">
        <v>1740</v>
      </c>
      <c r="E451" s="607" t="s">
        <v>1711</v>
      </c>
      <c r="F451" s="607" t="s">
        <v>1712</v>
      </c>
      <c r="G451" s="607" t="s">
        <v>1594</v>
      </c>
      <c r="H451" s="607" t="s">
        <v>1594</v>
      </c>
      <c r="I451" s="607" t="s">
        <v>1608</v>
      </c>
      <c r="J451" s="608" t="str">
        <f t="shared" si="15"/>
        <v>Textile Apparel Luxury Goods</v>
      </c>
      <c r="N451" s="822">
        <v>314999</v>
      </c>
      <c r="O451" s="822" t="s">
        <v>1678</v>
      </c>
      <c r="P451" s="823">
        <v>2337</v>
      </c>
      <c r="Q451" s="823" t="s">
        <v>1698</v>
      </c>
    </row>
    <row r="452" spans="2:17" s="608" customFormat="1" x14ac:dyDescent="0.25">
      <c r="B452" s="605" t="s">
        <v>1739</v>
      </c>
      <c r="C452" s="606">
        <f t="shared" si="14"/>
        <v>315210</v>
      </c>
      <c r="D452" s="607" t="s">
        <v>1740</v>
      </c>
      <c r="E452" s="607" t="s">
        <v>1713</v>
      </c>
      <c r="F452" s="607" t="s">
        <v>1714</v>
      </c>
      <c r="G452" s="607" t="s">
        <v>1594</v>
      </c>
      <c r="H452" s="607" t="s">
        <v>1594</v>
      </c>
      <c r="I452" s="607" t="s">
        <v>1608</v>
      </c>
      <c r="J452" s="608" t="str">
        <f t="shared" si="15"/>
        <v>Textile Apparel Luxury Goods</v>
      </c>
      <c r="N452" s="822">
        <v>314999</v>
      </c>
      <c r="O452" s="822" t="s">
        <v>1678</v>
      </c>
      <c r="P452" s="823">
        <v>2339</v>
      </c>
      <c r="Q452" s="823" t="s">
        <v>1700</v>
      </c>
    </row>
    <row r="453" spans="2:17" s="608" customFormat="1" x14ac:dyDescent="0.25">
      <c r="B453" s="605" t="s">
        <v>1739</v>
      </c>
      <c r="C453" s="606">
        <f t="shared" si="14"/>
        <v>315210</v>
      </c>
      <c r="D453" s="607" t="s">
        <v>1740</v>
      </c>
      <c r="E453" s="607" t="s">
        <v>1715</v>
      </c>
      <c r="F453" s="607" t="s">
        <v>1716</v>
      </c>
      <c r="G453" s="607" t="s">
        <v>1594</v>
      </c>
      <c r="H453" s="607" t="s">
        <v>1594</v>
      </c>
      <c r="I453" s="607" t="s">
        <v>1608</v>
      </c>
      <c r="J453" s="608" t="str">
        <f t="shared" si="15"/>
        <v>Textile Apparel Luxury Goods</v>
      </c>
      <c r="N453" s="822">
        <v>314999</v>
      </c>
      <c r="O453" s="822" t="s">
        <v>1678</v>
      </c>
      <c r="P453" s="823">
        <v>2341</v>
      </c>
      <c r="Q453" s="823" t="s">
        <v>1702</v>
      </c>
    </row>
    <row r="454" spans="2:17" s="608" customFormat="1" x14ac:dyDescent="0.25">
      <c r="B454" s="605" t="s">
        <v>1739</v>
      </c>
      <c r="C454" s="606">
        <f t="shared" si="14"/>
        <v>315210</v>
      </c>
      <c r="D454" s="607" t="s">
        <v>1740</v>
      </c>
      <c r="E454" s="607" t="s">
        <v>1717</v>
      </c>
      <c r="F454" s="607" t="s">
        <v>1718</v>
      </c>
      <c r="G454" s="607" t="s">
        <v>1594</v>
      </c>
      <c r="H454" s="607" t="s">
        <v>1594</v>
      </c>
      <c r="I454" s="607" t="s">
        <v>1608</v>
      </c>
      <c r="J454" s="608" t="str">
        <f t="shared" si="15"/>
        <v>Textile Apparel Luxury Goods</v>
      </c>
      <c r="N454" s="822">
        <v>314999</v>
      </c>
      <c r="O454" s="822" t="s">
        <v>1678</v>
      </c>
      <c r="P454" s="823">
        <v>2342</v>
      </c>
      <c r="Q454" s="823" t="s">
        <v>1704</v>
      </c>
    </row>
    <row r="455" spans="2:17" s="608" customFormat="1" x14ac:dyDescent="0.25">
      <c r="B455" s="605" t="s">
        <v>1739</v>
      </c>
      <c r="C455" s="606">
        <f t="shared" si="14"/>
        <v>315210</v>
      </c>
      <c r="D455" s="607" t="s">
        <v>1740</v>
      </c>
      <c r="E455" s="607" t="s">
        <v>1719</v>
      </c>
      <c r="F455" s="607" t="s">
        <v>1720</v>
      </c>
      <c r="G455" s="607" t="s">
        <v>1594</v>
      </c>
      <c r="H455" s="607" t="s">
        <v>1594</v>
      </c>
      <c r="I455" s="607" t="s">
        <v>1608</v>
      </c>
      <c r="J455" s="608" t="str">
        <f t="shared" si="15"/>
        <v>Textile Apparel Luxury Goods</v>
      </c>
      <c r="N455" s="822">
        <v>314999</v>
      </c>
      <c r="O455" s="822" t="s">
        <v>1678</v>
      </c>
      <c r="P455" s="823">
        <v>2353</v>
      </c>
      <c r="Q455" s="823" t="s">
        <v>1706</v>
      </c>
    </row>
    <row r="456" spans="2:17" s="608" customFormat="1" x14ac:dyDescent="0.25">
      <c r="B456" s="605" t="s">
        <v>1739</v>
      </c>
      <c r="C456" s="606">
        <f t="shared" si="14"/>
        <v>315210</v>
      </c>
      <c r="D456" s="607" t="s">
        <v>1740</v>
      </c>
      <c r="E456" s="607" t="s">
        <v>1721</v>
      </c>
      <c r="F456" s="607" t="s">
        <v>1722</v>
      </c>
      <c r="G456" s="607" t="s">
        <v>1594</v>
      </c>
      <c r="H456" s="607" t="s">
        <v>1594</v>
      </c>
      <c r="I456" s="607" t="s">
        <v>1608</v>
      </c>
      <c r="J456" s="608" t="str">
        <f t="shared" si="15"/>
        <v>Textile Apparel Luxury Goods</v>
      </c>
      <c r="N456" s="822">
        <v>314999</v>
      </c>
      <c r="O456" s="822" t="s">
        <v>1678</v>
      </c>
      <c r="P456" s="823">
        <v>2361</v>
      </c>
      <c r="Q456" s="823" t="s">
        <v>1708</v>
      </c>
    </row>
    <row r="457" spans="2:17" s="608" customFormat="1" x14ac:dyDescent="0.25">
      <c r="B457" s="605" t="s">
        <v>1739</v>
      </c>
      <c r="C457" s="606">
        <f t="shared" si="14"/>
        <v>315210</v>
      </c>
      <c r="D457" s="607" t="s">
        <v>1740</v>
      </c>
      <c r="E457" s="607" t="s">
        <v>1723</v>
      </c>
      <c r="F457" s="607" t="s">
        <v>1724</v>
      </c>
      <c r="G457" s="607" t="s">
        <v>1594</v>
      </c>
      <c r="H457" s="607" t="s">
        <v>1594</v>
      </c>
      <c r="I457" s="607" t="s">
        <v>1608</v>
      </c>
      <c r="J457" s="608" t="str">
        <f t="shared" si="15"/>
        <v>Textile Apparel Luxury Goods</v>
      </c>
      <c r="N457" s="822">
        <v>314999</v>
      </c>
      <c r="O457" s="822" t="s">
        <v>1678</v>
      </c>
      <c r="P457" s="823">
        <v>2369</v>
      </c>
      <c r="Q457" s="823" t="s">
        <v>1710</v>
      </c>
    </row>
    <row r="458" spans="2:17" s="608" customFormat="1" x14ac:dyDescent="0.25">
      <c r="B458" s="605" t="s">
        <v>1739</v>
      </c>
      <c r="C458" s="606">
        <f t="shared" si="14"/>
        <v>315210</v>
      </c>
      <c r="D458" s="607" t="s">
        <v>1740</v>
      </c>
      <c r="E458" s="607" t="s">
        <v>1725</v>
      </c>
      <c r="F458" s="607" t="s">
        <v>1726</v>
      </c>
      <c r="G458" s="607" t="s">
        <v>1594</v>
      </c>
      <c r="H458" s="607" t="s">
        <v>1594</v>
      </c>
      <c r="I458" s="607" t="s">
        <v>1608</v>
      </c>
      <c r="J458" s="608" t="str">
        <f t="shared" si="15"/>
        <v>Textile Apparel Luxury Goods</v>
      </c>
      <c r="N458" s="822">
        <v>314999</v>
      </c>
      <c r="O458" s="822" t="s">
        <v>1678</v>
      </c>
      <c r="P458" s="823">
        <v>2371</v>
      </c>
      <c r="Q458" s="823" t="s">
        <v>1712</v>
      </c>
    </row>
    <row r="459" spans="2:17" s="608" customFormat="1" x14ac:dyDescent="0.25">
      <c r="B459" s="605" t="s">
        <v>1739</v>
      </c>
      <c r="C459" s="606">
        <f t="shared" si="14"/>
        <v>315210</v>
      </c>
      <c r="D459" s="607" t="s">
        <v>1740</v>
      </c>
      <c r="E459" s="607" t="s">
        <v>1727</v>
      </c>
      <c r="F459" s="607" t="s">
        <v>1728</v>
      </c>
      <c r="G459" s="607" t="s">
        <v>1594</v>
      </c>
      <c r="H459" s="607" t="s">
        <v>1594</v>
      </c>
      <c r="I459" s="607" t="s">
        <v>1608</v>
      </c>
      <c r="J459" s="608" t="str">
        <f t="shared" si="15"/>
        <v>Textile Apparel Luxury Goods</v>
      </c>
      <c r="N459" s="822">
        <v>314999</v>
      </c>
      <c r="O459" s="822" t="s">
        <v>1678</v>
      </c>
      <c r="P459" s="823">
        <v>2381</v>
      </c>
      <c r="Q459" s="823" t="s">
        <v>1714</v>
      </c>
    </row>
    <row r="460" spans="2:17" s="608" customFormat="1" x14ac:dyDescent="0.25">
      <c r="B460" s="605" t="s">
        <v>1739</v>
      </c>
      <c r="C460" s="606">
        <f t="shared" si="14"/>
        <v>315210</v>
      </c>
      <c r="D460" s="607" t="s">
        <v>1740</v>
      </c>
      <c r="E460" s="607" t="s">
        <v>1729</v>
      </c>
      <c r="F460" s="607" t="s">
        <v>1730</v>
      </c>
      <c r="G460" s="607" t="s">
        <v>1594</v>
      </c>
      <c r="H460" s="607" t="s">
        <v>1594</v>
      </c>
      <c r="I460" s="607" t="s">
        <v>1608</v>
      </c>
      <c r="J460" s="608" t="str">
        <f t="shared" si="15"/>
        <v>Textile Apparel Luxury Goods</v>
      </c>
      <c r="N460" s="822">
        <v>314999</v>
      </c>
      <c r="O460" s="822" t="s">
        <v>1678</v>
      </c>
      <c r="P460" s="823">
        <v>2384</v>
      </c>
      <c r="Q460" s="823" t="s">
        <v>1716</v>
      </c>
    </row>
    <row r="461" spans="2:17" s="608" customFormat="1" x14ac:dyDescent="0.25">
      <c r="B461" s="605" t="s">
        <v>1739</v>
      </c>
      <c r="C461" s="606">
        <f t="shared" si="14"/>
        <v>315210</v>
      </c>
      <c r="D461" s="607" t="s">
        <v>1740</v>
      </c>
      <c r="E461" s="607" t="s">
        <v>1731</v>
      </c>
      <c r="F461" s="607" t="s">
        <v>1732</v>
      </c>
      <c r="G461" s="607" t="s">
        <v>1594</v>
      </c>
      <c r="H461" s="607" t="s">
        <v>1594</v>
      </c>
      <c r="I461" s="607" t="s">
        <v>1608</v>
      </c>
      <c r="J461" s="608" t="str">
        <f t="shared" si="15"/>
        <v>Textile Apparel Luxury Goods</v>
      </c>
      <c r="N461" s="822">
        <v>314999</v>
      </c>
      <c r="O461" s="822" t="s">
        <v>1678</v>
      </c>
      <c r="P461" s="823">
        <v>2385</v>
      </c>
      <c r="Q461" s="823" t="s">
        <v>1718</v>
      </c>
    </row>
    <row r="462" spans="2:17" s="608" customFormat="1" x14ac:dyDescent="0.25">
      <c r="B462" s="605" t="s">
        <v>1741</v>
      </c>
      <c r="C462" s="606">
        <f t="shared" si="14"/>
        <v>315220</v>
      </c>
      <c r="D462" s="607" t="s">
        <v>1742</v>
      </c>
      <c r="E462" s="607" t="s">
        <v>1679</v>
      </c>
      <c r="F462" s="607" t="s">
        <v>1680</v>
      </c>
      <c r="G462" s="607" t="s">
        <v>1594</v>
      </c>
      <c r="H462" s="607" t="s">
        <v>1594</v>
      </c>
      <c r="I462" s="607" t="s">
        <v>1608</v>
      </c>
      <c r="J462" s="608" t="str">
        <f t="shared" si="15"/>
        <v>Textile Apparel Luxury Goods</v>
      </c>
      <c r="N462" s="822">
        <v>314999</v>
      </c>
      <c r="O462" s="822" t="s">
        <v>1678</v>
      </c>
      <c r="P462" s="823">
        <v>2386</v>
      </c>
      <c r="Q462" s="823" t="s">
        <v>1720</v>
      </c>
    </row>
    <row r="463" spans="2:17" s="608" customFormat="1" x14ac:dyDescent="0.25">
      <c r="B463" s="605" t="s">
        <v>1741</v>
      </c>
      <c r="C463" s="606">
        <f t="shared" si="14"/>
        <v>315220</v>
      </c>
      <c r="D463" s="607" t="s">
        <v>1742</v>
      </c>
      <c r="E463" s="607" t="s">
        <v>1681</v>
      </c>
      <c r="F463" s="607" t="s">
        <v>1682</v>
      </c>
      <c r="G463" s="607" t="s">
        <v>1594</v>
      </c>
      <c r="H463" s="607" t="s">
        <v>1594</v>
      </c>
      <c r="I463" s="607" t="s">
        <v>1608</v>
      </c>
      <c r="J463" s="608" t="str">
        <f t="shared" si="15"/>
        <v>Textile Apparel Luxury Goods</v>
      </c>
      <c r="N463" s="822">
        <v>314999</v>
      </c>
      <c r="O463" s="822" t="s">
        <v>1678</v>
      </c>
      <c r="P463" s="823">
        <v>2387</v>
      </c>
      <c r="Q463" s="823" t="s">
        <v>1722</v>
      </c>
    </row>
    <row r="464" spans="2:17" s="608" customFormat="1" x14ac:dyDescent="0.25">
      <c r="B464" s="605" t="s">
        <v>1741</v>
      </c>
      <c r="C464" s="606">
        <f t="shared" si="14"/>
        <v>315220</v>
      </c>
      <c r="D464" s="607" t="s">
        <v>1742</v>
      </c>
      <c r="E464" s="607" t="s">
        <v>1683</v>
      </c>
      <c r="F464" s="607" t="s">
        <v>1684</v>
      </c>
      <c r="G464" s="607" t="s">
        <v>1594</v>
      </c>
      <c r="H464" s="607" t="s">
        <v>1594</v>
      </c>
      <c r="I464" s="607" t="s">
        <v>1608</v>
      </c>
      <c r="J464" s="608" t="str">
        <f t="shared" si="15"/>
        <v>Textile Apparel Luxury Goods</v>
      </c>
      <c r="N464" s="822">
        <v>314999</v>
      </c>
      <c r="O464" s="822" t="s">
        <v>1678</v>
      </c>
      <c r="P464" s="823">
        <v>2389</v>
      </c>
      <c r="Q464" s="823" t="s">
        <v>1724</v>
      </c>
    </row>
    <row r="465" spans="2:17" s="608" customFormat="1" x14ac:dyDescent="0.25">
      <c r="B465" s="605" t="s">
        <v>1741</v>
      </c>
      <c r="C465" s="606">
        <f t="shared" si="14"/>
        <v>315220</v>
      </c>
      <c r="D465" s="607" t="s">
        <v>1742</v>
      </c>
      <c r="E465" s="607" t="s">
        <v>1687</v>
      </c>
      <c r="F465" s="607" t="s">
        <v>1688</v>
      </c>
      <c r="G465" s="607" t="s">
        <v>1594</v>
      </c>
      <c r="H465" s="607" t="s">
        <v>1594</v>
      </c>
      <c r="I465" s="607" t="s">
        <v>1608</v>
      </c>
      <c r="J465" s="608" t="str">
        <f t="shared" si="15"/>
        <v>Textile Apparel Luxury Goods</v>
      </c>
      <c r="N465" s="822">
        <v>314999</v>
      </c>
      <c r="O465" s="822" t="s">
        <v>1678</v>
      </c>
      <c r="P465" s="823">
        <v>2392</v>
      </c>
      <c r="Q465" s="823" t="s">
        <v>1664</v>
      </c>
    </row>
    <row r="466" spans="2:17" s="608" customFormat="1" x14ac:dyDescent="0.25">
      <c r="B466" s="605" t="s">
        <v>1741</v>
      </c>
      <c r="C466" s="606">
        <f t="shared" si="14"/>
        <v>315220</v>
      </c>
      <c r="D466" s="607" t="s">
        <v>1742</v>
      </c>
      <c r="E466" s="607" t="s">
        <v>1689</v>
      </c>
      <c r="F466" s="607" t="s">
        <v>1690</v>
      </c>
      <c r="G466" s="607" t="s">
        <v>1594</v>
      </c>
      <c r="H466" s="607" t="s">
        <v>1594</v>
      </c>
      <c r="I466" s="607" t="s">
        <v>1608</v>
      </c>
      <c r="J466" s="608" t="str">
        <f t="shared" si="15"/>
        <v>Textile Apparel Luxury Goods</v>
      </c>
      <c r="N466" s="822">
        <v>314999</v>
      </c>
      <c r="O466" s="822" t="s">
        <v>1678</v>
      </c>
      <c r="P466" s="823">
        <v>2395</v>
      </c>
      <c r="Q466" s="823" t="s">
        <v>1726</v>
      </c>
    </row>
    <row r="467" spans="2:17" s="608" customFormat="1" x14ac:dyDescent="0.25">
      <c r="B467" s="605" t="s">
        <v>1741</v>
      </c>
      <c r="C467" s="606">
        <f t="shared" si="14"/>
        <v>315220</v>
      </c>
      <c r="D467" s="607" t="s">
        <v>1742</v>
      </c>
      <c r="E467" s="607" t="s">
        <v>1691</v>
      </c>
      <c r="F467" s="607" t="s">
        <v>1692</v>
      </c>
      <c r="G467" s="607" t="s">
        <v>1594</v>
      </c>
      <c r="H467" s="607" t="s">
        <v>1594</v>
      </c>
      <c r="I467" s="607" t="s">
        <v>1608</v>
      </c>
      <c r="J467" s="608" t="str">
        <f t="shared" si="15"/>
        <v>Textile Apparel Luxury Goods</v>
      </c>
      <c r="N467" s="822">
        <v>314999</v>
      </c>
      <c r="O467" s="822" t="s">
        <v>1678</v>
      </c>
      <c r="P467" s="823">
        <v>2396</v>
      </c>
      <c r="Q467" s="823" t="s">
        <v>1728</v>
      </c>
    </row>
    <row r="468" spans="2:17" s="608" customFormat="1" x14ac:dyDescent="0.25">
      <c r="B468" s="605" t="s">
        <v>1741</v>
      </c>
      <c r="C468" s="606">
        <f t="shared" si="14"/>
        <v>315220</v>
      </c>
      <c r="D468" s="607" t="s">
        <v>1742</v>
      </c>
      <c r="E468" s="607" t="s">
        <v>1701</v>
      </c>
      <c r="F468" s="607" t="s">
        <v>1702</v>
      </c>
      <c r="G468" s="607" t="s">
        <v>1594</v>
      </c>
      <c r="H468" s="607" t="s">
        <v>1594</v>
      </c>
      <c r="I468" s="607" t="s">
        <v>1608</v>
      </c>
      <c r="J468" s="608" t="str">
        <f t="shared" si="15"/>
        <v>Textile Apparel Luxury Goods</v>
      </c>
      <c r="N468" s="822">
        <v>314999</v>
      </c>
      <c r="O468" s="822" t="s">
        <v>1678</v>
      </c>
      <c r="P468" s="823">
        <v>2399</v>
      </c>
      <c r="Q468" s="823" t="s">
        <v>1730</v>
      </c>
    </row>
    <row r="469" spans="2:17" s="608" customFormat="1" x14ac:dyDescent="0.25">
      <c r="B469" s="605" t="s">
        <v>1741</v>
      </c>
      <c r="C469" s="606">
        <f t="shared" si="14"/>
        <v>315220</v>
      </c>
      <c r="D469" s="607" t="s">
        <v>1742</v>
      </c>
      <c r="E469" s="607" t="s">
        <v>1707</v>
      </c>
      <c r="F469" s="607" t="s">
        <v>1708</v>
      </c>
      <c r="G469" s="607" t="s">
        <v>1594</v>
      </c>
      <c r="H469" s="607" t="s">
        <v>1594</v>
      </c>
      <c r="I469" s="607" t="s">
        <v>1608</v>
      </c>
      <c r="J469" s="608" t="str">
        <f t="shared" si="15"/>
        <v>Textile Apparel Luxury Goods</v>
      </c>
      <c r="N469" s="822">
        <v>314999</v>
      </c>
      <c r="O469" s="822" t="s">
        <v>1678</v>
      </c>
      <c r="P469" s="823">
        <v>3151</v>
      </c>
      <c r="Q469" s="823" t="s">
        <v>1732</v>
      </c>
    </row>
    <row r="470" spans="2:17" s="608" customFormat="1" x14ac:dyDescent="0.25">
      <c r="B470" s="605" t="s">
        <v>1741</v>
      </c>
      <c r="C470" s="606">
        <f t="shared" si="14"/>
        <v>315220</v>
      </c>
      <c r="D470" s="607" t="s">
        <v>1742</v>
      </c>
      <c r="E470" s="607" t="s">
        <v>1709</v>
      </c>
      <c r="F470" s="607" t="s">
        <v>1710</v>
      </c>
      <c r="G470" s="607" t="s">
        <v>1594</v>
      </c>
      <c r="H470" s="607" t="s">
        <v>1594</v>
      </c>
      <c r="I470" s="607" t="s">
        <v>1608</v>
      </c>
      <c r="J470" s="608" t="str">
        <f t="shared" si="15"/>
        <v>Textile Apparel Luxury Goods</v>
      </c>
      <c r="N470" s="822">
        <v>314999</v>
      </c>
      <c r="O470" s="822" t="s">
        <v>1678</v>
      </c>
      <c r="P470" s="823">
        <v>3569</v>
      </c>
      <c r="Q470" s="823" t="s">
        <v>1734</v>
      </c>
    </row>
    <row r="471" spans="2:17" s="608" customFormat="1" x14ac:dyDescent="0.25">
      <c r="B471" s="605" t="s">
        <v>1741</v>
      </c>
      <c r="C471" s="606">
        <f t="shared" si="14"/>
        <v>315220</v>
      </c>
      <c r="D471" s="607" t="s">
        <v>1742</v>
      </c>
      <c r="E471" s="607" t="s">
        <v>1715</v>
      </c>
      <c r="F471" s="607" t="s">
        <v>1716</v>
      </c>
      <c r="G471" s="607" t="s">
        <v>1594</v>
      </c>
      <c r="H471" s="607" t="s">
        <v>1594</v>
      </c>
      <c r="I471" s="607" t="s">
        <v>1608</v>
      </c>
      <c r="J471" s="608" t="str">
        <f t="shared" si="15"/>
        <v>Textile Apparel Luxury Goods</v>
      </c>
      <c r="N471" s="822">
        <v>314999</v>
      </c>
      <c r="O471" s="822" t="s">
        <v>1678</v>
      </c>
      <c r="P471" s="823">
        <v>7389</v>
      </c>
      <c r="Q471" s="823" t="s">
        <v>1589</v>
      </c>
    </row>
    <row r="472" spans="2:17" s="608" customFormat="1" ht="18" x14ac:dyDescent="0.3">
      <c r="B472" s="605" t="s">
        <v>1741</v>
      </c>
      <c r="C472" s="606">
        <f t="shared" si="14"/>
        <v>315220</v>
      </c>
      <c r="D472" s="607" t="s">
        <v>1742</v>
      </c>
      <c r="E472" s="607" t="s">
        <v>1717</v>
      </c>
      <c r="F472" s="607" t="s">
        <v>1718</v>
      </c>
      <c r="G472" s="607" t="s">
        <v>1594</v>
      </c>
      <c r="H472" s="607" t="s">
        <v>1594</v>
      </c>
      <c r="I472" s="607" t="s">
        <v>1608</v>
      </c>
      <c r="J472" s="608" t="str">
        <f t="shared" si="15"/>
        <v>Textile Apparel Luxury Goods</v>
      </c>
      <c r="N472" s="822">
        <v>315000</v>
      </c>
      <c r="O472" s="824" t="s">
        <v>5851</v>
      </c>
      <c r="P472" s="823"/>
      <c r="Q472" s="823" t="s">
        <v>958</v>
      </c>
    </row>
    <row r="473" spans="2:17" s="608" customFormat="1" x14ac:dyDescent="0.25">
      <c r="B473" s="605" t="s">
        <v>1741</v>
      </c>
      <c r="C473" s="606">
        <f t="shared" si="14"/>
        <v>315220</v>
      </c>
      <c r="D473" s="607" t="s">
        <v>1742</v>
      </c>
      <c r="E473" s="607" t="s">
        <v>1743</v>
      </c>
      <c r="F473" s="607" t="s">
        <v>1744</v>
      </c>
      <c r="G473" s="607" t="s">
        <v>1594</v>
      </c>
      <c r="H473" s="607" t="s">
        <v>1594</v>
      </c>
      <c r="I473" s="607" t="s">
        <v>1608</v>
      </c>
      <c r="J473" s="608" t="str">
        <f t="shared" si="15"/>
        <v>Textile Apparel Luxury Goods</v>
      </c>
      <c r="N473" s="822">
        <v>315110</v>
      </c>
      <c r="O473" s="822" t="s">
        <v>1736</v>
      </c>
      <c r="P473" s="823">
        <v>2251</v>
      </c>
      <c r="Q473" s="823" t="s">
        <v>1634</v>
      </c>
    </row>
    <row r="474" spans="2:17" s="608" customFormat="1" x14ac:dyDescent="0.25">
      <c r="B474" s="605" t="s">
        <v>1745</v>
      </c>
      <c r="C474" s="606">
        <f t="shared" si="14"/>
        <v>315240</v>
      </c>
      <c r="D474" s="607" t="s">
        <v>1746</v>
      </c>
      <c r="E474" s="607" t="s">
        <v>1693</v>
      </c>
      <c r="F474" s="607" t="s">
        <v>1694</v>
      </c>
      <c r="G474" s="607" t="s">
        <v>1594</v>
      </c>
      <c r="H474" s="607" t="s">
        <v>1594</v>
      </c>
      <c r="I474" s="607" t="s">
        <v>1608</v>
      </c>
      <c r="J474" s="608" t="str">
        <f t="shared" si="15"/>
        <v>Textile Apparel Luxury Goods</v>
      </c>
      <c r="N474" s="822">
        <v>315110</v>
      </c>
      <c r="O474" s="822" t="s">
        <v>1736</v>
      </c>
      <c r="P474" s="823">
        <v>2252</v>
      </c>
      <c r="Q474" s="823" t="s">
        <v>1636</v>
      </c>
    </row>
    <row r="475" spans="2:17" s="608" customFormat="1" x14ac:dyDescent="0.25">
      <c r="B475" s="605" t="s">
        <v>1745</v>
      </c>
      <c r="C475" s="606">
        <f t="shared" si="14"/>
        <v>315240</v>
      </c>
      <c r="D475" s="607" t="s">
        <v>1746</v>
      </c>
      <c r="E475" s="607" t="s">
        <v>1695</v>
      </c>
      <c r="F475" s="607" t="s">
        <v>1696</v>
      </c>
      <c r="G475" s="607" t="s">
        <v>1594</v>
      </c>
      <c r="H475" s="607" t="s">
        <v>1594</v>
      </c>
      <c r="I475" s="607" t="s">
        <v>1608</v>
      </c>
      <c r="J475" s="608" t="str">
        <f t="shared" si="15"/>
        <v>Textile Apparel Luxury Goods</v>
      </c>
      <c r="N475" s="823">
        <v>315111</v>
      </c>
      <c r="O475" s="823" t="s">
        <v>5852</v>
      </c>
      <c r="P475" s="823"/>
      <c r="Q475" s="823" t="s">
        <v>958</v>
      </c>
    </row>
    <row r="476" spans="2:17" s="608" customFormat="1" x14ac:dyDescent="0.25">
      <c r="B476" s="605" t="s">
        <v>1745</v>
      </c>
      <c r="C476" s="606">
        <f t="shared" si="14"/>
        <v>315240</v>
      </c>
      <c r="D476" s="607" t="s">
        <v>1746</v>
      </c>
      <c r="E476" s="607" t="s">
        <v>1697</v>
      </c>
      <c r="F476" s="607" t="s">
        <v>1698</v>
      </c>
      <c r="G476" s="607" t="s">
        <v>1594</v>
      </c>
      <c r="H476" s="607" t="s">
        <v>1594</v>
      </c>
      <c r="I476" s="607" t="s">
        <v>1608</v>
      </c>
      <c r="J476" s="608" t="str">
        <f t="shared" si="15"/>
        <v>Textile Apparel Luxury Goods</v>
      </c>
      <c r="N476" s="823">
        <v>315119</v>
      </c>
      <c r="O476" s="823" t="s">
        <v>5853</v>
      </c>
      <c r="P476" s="823"/>
      <c r="Q476" s="823" t="s">
        <v>958</v>
      </c>
    </row>
    <row r="477" spans="2:17" s="608" customFormat="1" x14ac:dyDescent="0.25">
      <c r="B477" s="605" t="s">
        <v>1745</v>
      </c>
      <c r="C477" s="606">
        <f t="shared" si="14"/>
        <v>315240</v>
      </c>
      <c r="D477" s="607" t="s">
        <v>1746</v>
      </c>
      <c r="E477" s="607" t="s">
        <v>1699</v>
      </c>
      <c r="F477" s="607" t="s">
        <v>1700</v>
      </c>
      <c r="G477" s="607" t="s">
        <v>1594</v>
      </c>
      <c r="H477" s="607" t="s">
        <v>1594</v>
      </c>
      <c r="I477" s="607" t="s">
        <v>1608</v>
      </c>
      <c r="J477" s="608" t="str">
        <f t="shared" si="15"/>
        <v>Textile Apparel Luxury Goods</v>
      </c>
      <c r="N477" s="822">
        <v>315190</v>
      </c>
      <c r="O477" s="822" t="s">
        <v>1738</v>
      </c>
      <c r="P477" s="823">
        <v>2253</v>
      </c>
      <c r="Q477" s="823" t="s">
        <v>1638</v>
      </c>
    </row>
    <row r="478" spans="2:17" s="608" customFormat="1" x14ac:dyDescent="0.25">
      <c r="B478" s="605" t="s">
        <v>1745</v>
      </c>
      <c r="C478" s="606">
        <f t="shared" si="14"/>
        <v>315240</v>
      </c>
      <c r="D478" s="607" t="s">
        <v>1746</v>
      </c>
      <c r="E478" s="607" t="s">
        <v>1701</v>
      </c>
      <c r="F478" s="607" t="s">
        <v>1702</v>
      </c>
      <c r="G478" s="607" t="s">
        <v>1594</v>
      </c>
      <c r="H478" s="607" t="s">
        <v>1594</v>
      </c>
      <c r="I478" s="607" t="s">
        <v>1608</v>
      </c>
      <c r="J478" s="608" t="str">
        <f t="shared" si="15"/>
        <v>Textile Apparel Luxury Goods</v>
      </c>
      <c r="N478" s="822">
        <v>315190</v>
      </c>
      <c r="O478" s="822" t="s">
        <v>1738</v>
      </c>
      <c r="P478" s="823">
        <v>2254</v>
      </c>
      <c r="Q478" s="823" t="s">
        <v>1640</v>
      </c>
    </row>
    <row r="479" spans="2:17" s="608" customFormat="1" x14ac:dyDescent="0.25">
      <c r="B479" s="605" t="s">
        <v>1745</v>
      </c>
      <c r="C479" s="606">
        <f t="shared" si="14"/>
        <v>315240</v>
      </c>
      <c r="D479" s="607" t="s">
        <v>1746</v>
      </c>
      <c r="E479" s="607" t="s">
        <v>1703</v>
      </c>
      <c r="F479" s="607" t="s">
        <v>1704</v>
      </c>
      <c r="G479" s="607" t="s">
        <v>1594</v>
      </c>
      <c r="H479" s="607" t="s">
        <v>1594</v>
      </c>
      <c r="I479" s="607" t="s">
        <v>1608</v>
      </c>
      <c r="J479" s="608" t="str">
        <f t="shared" si="15"/>
        <v>Textile Apparel Luxury Goods</v>
      </c>
      <c r="N479" s="822">
        <v>315190</v>
      </c>
      <c r="O479" s="822" t="s">
        <v>1738</v>
      </c>
      <c r="P479" s="823">
        <v>2259</v>
      </c>
      <c r="Q479" s="823" t="s">
        <v>1630</v>
      </c>
    </row>
    <row r="480" spans="2:17" s="608" customFormat="1" ht="18" x14ac:dyDescent="0.3">
      <c r="B480" s="605" t="s">
        <v>1745</v>
      </c>
      <c r="C480" s="606">
        <f t="shared" si="14"/>
        <v>315240</v>
      </c>
      <c r="D480" s="607" t="s">
        <v>1746</v>
      </c>
      <c r="E480" s="607" t="s">
        <v>1707</v>
      </c>
      <c r="F480" s="607" t="s">
        <v>1708</v>
      </c>
      <c r="G480" s="607" t="s">
        <v>1594</v>
      </c>
      <c r="H480" s="607" t="s">
        <v>1594</v>
      </c>
      <c r="I480" s="607" t="s">
        <v>1608</v>
      </c>
      <c r="J480" s="608" t="str">
        <f t="shared" si="15"/>
        <v>Textile Apparel Luxury Goods</v>
      </c>
      <c r="N480" s="822">
        <v>315191</v>
      </c>
      <c r="O480" s="824" t="s">
        <v>1738</v>
      </c>
      <c r="P480" s="823"/>
      <c r="Q480" s="823" t="s">
        <v>958</v>
      </c>
    </row>
    <row r="481" spans="2:17" s="608" customFormat="1" x14ac:dyDescent="0.25">
      <c r="B481" s="605" t="s">
        <v>1745</v>
      </c>
      <c r="C481" s="606">
        <f t="shared" si="14"/>
        <v>315240</v>
      </c>
      <c r="D481" s="607" t="s">
        <v>1746</v>
      </c>
      <c r="E481" s="607" t="s">
        <v>1709</v>
      </c>
      <c r="F481" s="607" t="s">
        <v>1710</v>
      </c>
      <c r="G481" s="607" t="s">
        <v>1594</v>
      </c>
      <c r="H481" s="607" t="s">
        <v>1594</v>
      </c>
      <c r="I481" s="607" t="s">
        <v>1608</v>
      </c>
      <c r="J481" s="608" t="str">
        <f t="shared" si="15"/>
        <v>Textile Apparel Luxury Goods</v>
      </c>
      <c r="N481" s="823">
        <v>315192</v>
      </c>
      <c r="O481" s="823" t="s">
        <v>5854</v>
      </c>
      <c r="P481" s="823"/>
      <c r="Q481" s="823" t="s">
        <v>958</v>
      </c>
    </row>
    <row r="482" spans="2:17" s="608" customFormat="1" x14ac:dyDescent="0.25">
      <c r="B482" s="605" t="s">
        <v>1745</v>
      </c>
      <c r="C482" s="606">
        <f t="shared" si="14"/>
        <v>315240</v>
      </c>
      <c r="D482" s="607" t="s">
        <v>1746</v>
      </c>
      <c r="E482" s="607" t="s">
        <v>1715</v>
      </c>
      <c r="F482" s="607" t="s">
        <v>1716</v>
      </c>
      <c r="G482" s="607" t="s">
        <v>1594</v>
      </c>
      <c r="H482" s="607" t="s">
        <v>1594</v>
      </c>
      <c r="I482" s="607" t="s">
        <v>1608</v>
      </c>
      <c r="J482" s="608" t="str">
        <f t="shared" si="15"/>
        <v>Textile Apparel Luxury Goods</v>
      </c>
      <c r="N482" s="822">
        <v>315210</v>
      </c>
      <c r="O482" s="822" t="s">
        <v>1740</v>
      </c>
      <c r="P482" s="823">
        <v>2311</v>
      </c>
      <c r="Q482" s="823" t="s">
        <v>1680</v>
      </c>
    </row>
    <row r="483" spans="2:17" s="608" customFormat="1" x14ac:dyDescent="0.25">
      <c r="B483" s="605" t="s">
        <v>1745</v>
      </c>
      <c r="C483" s="606">
        <f t="shared" si="14"/>
        <v>315240</v>
      </c>
      <c r="D483" s="607" t="s">
        <v>1746</v>
      </c>
      <c r="E483" s="607" t="s">
        <v>1717</v>
      </c>
      <c r="F483" s="607" t="s">
        <v>1718</v>
      </c>
      <c r="G483" s="607" t="s">
        <v>1594</v>
      </c>
      <c r="H483" s="607" t="s">
        <v>1594</v>
      </c>
      <c r="I483" s="607" t="s">
        <v>1608</v>
      </c>
      <c r="J483" s="608" t="str">
        <f t="shared" si="15"/>
        <v>Textile Apparel Luxury Goods</v>
      </c>
      <c r="N483" s="822">
        <v>315210</v>
      </c>
      <c r="O483" s="822" t="s">
        <v>1740</v>
      </c>
      <c r="P483" s="823">
        <v>2321</v>
      </c>
      <c r="Q483" s="823" t="s">
        <v>1682</v>
      </c>
    </row>
    <row r="484" spans="2:17" s="608" customFormat="1" x14ac:dyDescent="0.25">
      <c r="B484" s="605" t="s">
        <v>1745</v>
      </c>
      <c r="C484" s="606">
        <f t="shared" si="14"/>
        <v>315240</v>
      </c>
      <c r="D484" s="607" t="s">
        <v>1746</v>
      </c>
      <c r="E484" s="607" t="s">
        <v>1723</v>
      </c>
      <c r="F484" s="607" t="s">
        <v>1724</v>
      </c>
      <c r="G484" s="607" t="s">
        <v>1594</v>
      </c>
      <c r="H484" s="607" t="s">
        <v>1594</v>
      </c>
      <c r="I484" s="607" t="s">
        <v>1608</v>
      </c>
      <c r="J484" s="608" t="str">
        <f t="shared" si="15"/>
        <v>Textile Apparel Luxury Goods</v>
      </c>
      <c r="N484" s="822">
        <v>315210</v>
      </c>
      <c r="O484" s="822" t="s">
        <v>1740</v>
      </c>
      <c r="P484" s="823">
        <v>2322</v>
      </c>
      <c r="Q484" s="823" t="s">
        <v>1684</v>
      </c>
    </row>
    <row r="485" spans="2:17" s="608" customFormat="1" x14ac:dyDescent="0.25">
      <c r="B485" s="605" t="s">
        <v>1745</v>
      </c>
      <c r="C485" s="606">
        <f t="shared" si="14"/>
        <v>315240</v>
      </c>
      <c r="D485" s="607" t="s">
        <v>1746</v>
      </c>
      <c r="E485" s="607" t="s">
        <v>1743</v>
      </c>
      <c r="F485" s="607" t="s">
        <v>1744</v>
      </c>
      <c r="G485" s="607" t="s">
        <v>1594</v>
      </c>
      <c r="H485" s="607" t="s">
        <v>1594</v>
      </c>
      <c r="I485" s="607" t="s">
        <v>1608</v>
      </c>
      <c r="J485" s="608" t="str">
        <f t="shared" si="15"/>
        <v>Textile Apparel Luxury Goods</v>
      </c>
      <c r="N485" s="822">
        <v>315210</v>
      </c>
      <c r="O485" s="822" t="s">
        <v>1740</v>
      </c>
      <c r="P485" s="823">
        <v>2323</v>
      </c>
      <c r="Q485" s="823" t="s">
        <v>1686</v>
      </c>
    </row>
    <row r="486" spans="2:17" s="608" customFormat="1" x14ac:dyDescent="0.25">
      <c r="B486" s="605" t="s">
        <v>1747</v>
      </c>
      <c r="C486" s="606">
        <f t="shared" si="14"/>
        <v>315280</v>
      </c>
      <c r="D486" s="607" t="s">
        <v>1748</v>
      </c>
      <c r="E486" s="607" t="s">
        <v>1691</v>
      </c>
      <c r="F486" s="607" t="s">
        <v>1692</v>
      </c>
      <c r="G486" s="607" t="s">
        <v>1594</v>
      </c>
      <c r="H486" s="607" t="s">
        <v>1594</v>
      </c>
      <c r="I486" s="607" t="s">
        <v>1608</v>
      </c>
      <c r="J486" s="608" t="str">
        <f t="shared" si="15"/>
        <v>Textile Apparel Luxury Goods</v>
      </c>
      <c r="N486" s="822">
        <v>315210</v>
      </c>
      <c r="O486" s="822" t="s">
        <v>1740</v>
      </c>
      <c r="P486" s="823">
        <v>2325</v>
      </c>
      <c r="Q486" s="823" t="s">
        <v>1688</v>
      </c>
    </row>
    <row r="487" spans="2:17" s="608" customFormat="1" x14ac:dyDescent="0.25">
      <c r="B487" s="605" t="s">
        <v>1747</v>
      </c>
      <c r="C487" s="606">
        <f t="shared" si="14"/>
        <v>315280</v>
      </c>
      <c r="D487" s="607" t="s">
        <v>1748</v>
      </c>
      <c r="E487" s="607" t="s">
        <v>1699</v>
      </c>
      <c r="F487" s="607" t="s">
        <v>1700</v>
      </c>
      <c r="G487" s="607" t="s">
        <v>1594</v>
      </c>
      <c r="H487" s="607" t="s">
        <v>1594</v>
      </c>
      <c r="I487" s="607" t="s">
        <v>1608</v>
      </c>
      <c r="J487" s="608" t="str">
        <f t="shared" si="15"/>
        <v>Textile Apparel Luxury Goods</v>
      </c>
      <c r="N487" s="822">
        <v>315210</v>
      </c>
      <c r="O487" s="822" t="s">
        <v>1740</v>
      </c>
      <c r="P487" s="823">
        <v>2326</v>
      </c>
      <c r="Q487" s="823" t="s">
        <v>1690</v>
      </c>
    </row>
    <row r="488" spans="2:17" s="608" customFormat="1" x14ac:dyDescent="0.25">
      <c r="B488" s="605" t="s">
        <v>1747</v>
      </c>
      <c r="C488" s="606">
        <f t="shared" si="14"/>
        <v>315280</v>
      </c>
      <c r="D488" s="607" t="s">
        <v>1748</v>
      </c>
      <c r="E488" s="607" t="s">
        <v>1711</v>
      </c>
      <c r="F488" s="607" t="s">
        <v>1712</v>
      </c>
      <c r="G488" s="607" t="s">
        <v>1594</v>
      </c>
      <c r="H488" s="607" t="s">
        <v>1594</v>
      </c>
      <c r="I488" s="607" t="s">
        <v>1608</v>
      </c>
      <c r="J488" s="608" t="str">
        <f t="shared" si="15"/>
        <v>Textile Apparel Luxury Goods</v>
      </c>
      <c r="N488" s="822">
        <v>315210</v>
      </c>
      <c r="O488" s="822" t="s">
        <v>1740</v>
      </c>
      <c r="P488" s="823">
        <v>2329</v>
      </c>
      <c r="Q488" s="823" t="s">
        <v>1692</v>
      </c>
    </row>
    <row r="489" spans="2:17" s="608" customFormat="1" x14ac:dyDescent="0.25">
      <c r="B489" s="605" t="s">
        <v>1747</v>
      </c>
      <c r="C489" s="606">
        <f t="shared" si="14"/>
        <v>315280</v>
      </c>
      <c r="D489" s="607" t="s">
        <v>1748</v>
      </c>
      <c r="E489" s="607" t="s">
        <v>1717</v>
      </c>
      <c r="F489" s="607" t="s">
        <v>1718</v>
      </c>
      <c r="G489" s="607" t="s">
        <v>1594</v>
      </c>
      <c r="H489" s="607" t="s">
        <v>1594</v>
      </c>
      <c r="I489" s="607" t="s">
        <v>1608</v>
      </c>
      <c r="J489" s="608" t="str">
        <f t="shared" si="15"/>
        <v>Textile Apparel Luxury Goods</v>
      </c>
      <c r="N489" s="822">
        <v>315210</v>
      </c>
      <c r="O489" s="822" t="s">
        <v>1740</v>
      </c>
      <c r="P489" s="823">
        <v>2331</v>
      </c>
      <c r="Q489" s="823" t="s">
        <v>1694</v>
      </c>
    </row>
    <row r="490" spans="2:17" s="608" customFormat="1" x14ac:dyDescent="0.25">
      <c r="B490" s="605" t="s">
        <v>1747</v>
      </c>
      <c r="C490" s="606">
        <f t="shared" si="14"/>
        <v>315280</v>
      </c>
      <c r="D490" s="607" t="s">
        <v>1748</v>
      </c>
      <c r="E490" s="607" t="s">
        <v>1719</v>
      </c>
      <c r="F490" s="607" t="s">
        <v>1720</v>
      </c>
      <c r="G490" s="607" t="s">
        <v>1594</v>
      </c>
      <c r="H490" s="607" t="s">
        <v>1594</v>
      </c>
      <c r="I490" s="607" t="s">
        <v>1608</v>
      </c>
      <c r="J490" s="608" t="str">
        <f t="shared" si="15"/>
        <v>Textile Apparel Luxury Goods</v>
      </c>
      <c r="N490" s="822">
        <v>315210</v>
      </c>
      <c r="O490" s="822" t="s">
        <v>1740</v>
      </c>
      <c r="P490" s="823">
        <v>2335</v>
      </c>
      <c r="Q490" s="823" t="s">
        <v>1696</v>
      </c>
    </row>
    <row r="491" spans="2:17" s="608" customFormat="1" x14ac:dyDescent="0.25">
      <c r="B491" s="605" t="s">
        <v>1747</v>
      </c>
      <c r="C491" s="606">
        <f t="shared" si="14"/>
        <v>315280</v>
      </c>
      <c r="D491" s="607" t="s">
        <v>1748</v>
      </c>
      <c r="E491" s="607" t="s">
        <v>1723</v>
      </c>
      <c r="F491" s="607" t="s">
        <v>1724</v>
      </c>
      <c r="G491" s="607" t="s">
        <v>1594</v>
      </c>
      <c r="H491" s="607" t="s">
        <v>1594</v>
      </c>
      <c r="I491" s="607" t="s">
        <v>1608</v>
      </c>
      <c r="J491" s="608" t="str">
        <f t="shared" si="15"/>
        <v>Textile Apparel Luxury Goods</v>
      </c>
      <c r="N491" s="822">
        <v>315210</v>
      </c>
      <c r="O491" s="822" t="s">
        <v>1740</v>
      </c>
      <c r="P491" s="823">
        <v>2337</v>
      </c>
      <c r="Q491" s="823" t="s">
        <v>1698</v>
      </c>
    </row>
    <row r="492" spans="2:17" s="608" customFormat="1" x14ac:dyDescent="0.25">
      <c r="B492" s="605" t="s">
        <v>1747</v>
      </c>
      <c r="C492" s="606">
        <f t="shared" si="14"/>
        <v>315280</v>
      </c>
      <c r="D492" s="607" t="s">
        <v>1748</v>
      </c>
      <c r="E492" s="607" t="s">
        <v>1653</v>
      </c>
      <c r="F492" s="607" t="s">
        <v>1654</v>
      </c>
      <c r="G492" s="607" t="s">
        <v>1594</v>
      </c>
      <c r="H492" s="607" t="s">
        <v>1594</v>
      </c>
      <c r="I492" s="607" t="s">
        <v>1608</v>
      </c>
      <c r="J492" s="608" t="str">
        <f t="shared" si="15"/>
        <v>Textile Apparel Luxury Goods</v>
      </c>
      <c r="N492" s="822">
        <v>315210</v>
      </c>
      <c r="O492" s="822" t="s">
        <v>1740</v>
      </c>
      <c r="P492" s="823">
        <v>2339</v>
      </c>
      <c r="Q492" s="823" t="s">
        <v>1700</v>
      </c>
    </row>
    <row r="493" spans="2:17" s="608" customFormat="1" x14ac:dyDescent="0.25">
      <c r="B493" s="605" t="s">
        <v>1749</v>
      </c>
      <c r="C493" s="606">
        <f t="shared" si="14"/>
        <v>315990</v>
      </c>
      <c r="D493" s="607" t="s">
        <v>1750</v>
      </c>
      <c r="E493" s="607" t="s">
        <v>1685</v>
      </c>
      <c r="F493" s="607" t="s">
        <v>1686</v>
      </c>
      <c r="G493" s="607" t="s">
        <v>1594</v>
      </c>
      <c r="H493" s="607" t="s">
        <v>1594</v>
      </c>
      <c r="I493" s="607" t="s">
        <v>1608</v>
      </c>
      <c r="J493" s="608" t="str">
        <f t="shared" si="15"/>
        <v>Textile Apparel Luxury Goods</v>
      </c>
      <c r="N493" s="822">
        <v>315210</v>
      </c>
      <c r="O493" s="822" t="s">
        <v>1740</v>
      </c>
      <c r="P493" s="823">
        <v>2341</v>
      </c>
      <c r="Q493" s="823" t="s">
        <v>1702</v>
      </c>
    </row>
    <row r="494" spans="2:17" s="608" customFormat="1" x14ac:dyDescent="0.25">
      <c r="B494" s="605" t="s">
        <v>1749</v>
      </c>
      <c r="C494" s="606">
        <f t="shared" si="14"/>
        <v>315990</v>
      </c>
      <c r="D494" s="607" t="s">
        <v>1750</v>
      </c>
      <c r="E494" s="607" t="s">
        <v>1699</v>
      </c>
      <c r="F494" s="607" t="s">
        <v>1700</v>
      </c>
      <c r="G494" s="607" t="s">
        <v>1594</v>
      </c>
      <c r="H494" s="607" t="s">
        <v>1594</v>
      </c>
      <c r="I494" s="607" t="s">
        <v>1608</v>
      </c>
      <c r="J494" s="608" t="str">
        <f t="shared" si="15"/>
        <v>Textile Apparel Luxury Goods</v>
      </c>
      <c r="N494" s="822">
        <v>315210</v>
      </c>
      <c r="O494" s="822" t="s">
        <v>1740</v>
      </c>
      <c r="P494" s="823">
        <v>2342</v>
      </c>
      <c r="Q494" s="823" t="s">
        <v>1704</v>
      </c>
    </row>
    <row r="495" spans="2:17" s="608" customFormat="1" x14ac:dyDescent="0.25">
      <c r="B495" s="605" t="s">
        <v>1749</v>
      </c>
      <c r="C495" s="606">
        <f t="shared" si="14"/>
        <v>315990</v>
      </c>
      <c r="D495" s="607" t="s">
        <v>1750</v>
      </c>
      <c r="E495" s="607" t="s">
        <v>1705</v>
      </c>
      <c r="F495" s="607" t="s">
        <v>1706</v>
      </c>
      <c r="G495" s="607" t="s">
        <v>1594</v>
      </c>
      <c r="H495" s="607" t="s">
        <v>1594</v>
      </c>
      <c r="I495" s="607" t="s">
        <v>1608</v>
      </c>
      <c r="J495" s="608" t="str">
        <f t="shared" si="15"/>
        <v>Textile Apparel Luxury Goods</v>
      </c>
      <c r="N495" s="822">
        <v>315210</v>
      </c>
      <c r="O495" s="822" t="s">
        <v>1740</v>
      </c>
      <c r="P495" s="823">
        <v>2353</v>
      </c>
      <c r="Q495" s="823" t="s">
        <v>1706</v>
      </c>
    </row>
    <row r="496" spans="2:17" s="608" customFormat="1" x14ac:dyDescent="0.25">
      <c r="B496" s="605" t="s">
        <v>1749</v>
      </c>
      <c r="C496" s="606">
        <f t="shared" si="14"/>
        <v>315990</v>
      </c>
      <c r="D496" s="607" t="s">
        <v>1750</v>
      </c>
      <c r="E496" s="607" t="s">
        <v>1713</v>
      </c>
      <c r="F496" s="607" t="s">
        <v>1714</v>
      </c>
      <c r="G496" s="607" t="s">
        <v>1594</v>
      </c>
      <c r="H496" s="607" t="s">
        <v>1594</v>
      </c>
      <c r="I496" s="607" t="s">
        <v>1608</v>
      </c>
      <c r="J496" s="608" t="str">
        <f t="shared" si="15"/>
        <v>Textile Apparel Luxury Goods</v>
      </c>
      <c r="N496" s="822">
        <v>315210</v>
      </c>
      <c r="O496" s="822" t="s">
        <v>1740</v>
      </c>
      <c r="P496" s="823">
        <v>2361</v>
      </c>
      <c r="Q496" s="823" t="s">
        <v>1708</v>
      </c>
    </row>
    <row r="497" spans="2:17" s="608" customFormat="1" x14ac:dyDescent="0.25">
      <c r="B497" s="605" t="s">
        <v>1749</v>
      </c>
      <c r="C497" s="606">
        <f t="shared" si="14"/>
        <v>315990</v>
      </c>
      <c r="D497" s="607" t="s">
        <v>1750</v>
      </c>
      <c r="E497" s="607" t="s">
        <v>1717</v>
      </c>
      <c r="F497" s="607" t="s">
        <v>1718</v>
      </c>
      <c r="G497" s="607" t="s">
        <v>1594</v>
      </c>
      <c r="H497" s="607" t="s">
        <v>1594</v>
      </c>
      <c r="I497" s="607" t="s">
        <v>1608</v>
      </c>
      <c r="J497" s="608" t="str">
        <f t="shared" si="15"/>
        <v>Textile Apparel Luxury Goods</v>
      </c>
      <c r="N497" s="822">
        <v>315210</v>
      </c>
      <c r="O497" s="822" t="s">
        <v>1740</v>
      </c>
      <c r="P497" s="823">
        <v>2369</v>
      </c>
      <c r="Q497" s="823" t="s">
        <v>1710</v>
      </c>
    </row>
    <row r="498" spans="2:17" s="608" customFormat="1" x14ac:dyDescent="0.25">
      <c r="B498" s="605" t="s">
        <v>1749</v>
      </c>
      <c r="C498" s="606">
        <f t="shared" si="14"/>
        <v>315990</v>
      </c>
      <c r="D498" s="607" t="s">
        <v>1750</v>
      </c>
      <c r="E498" s="607" t="s">
        <v>1721</v>
      </c>
      <c r="F498" s="607" t="s">
        <v>1722</v>
      </c>
      <c r="G498" s="607" t="s">
        <v>1594</v>
      </c>
      <c r="H498" s="607" t="s">
        <v>1594</v>
      </c>
      <c r="I498" s="607" t="s">
        <v>1608</v>
      </c>
      <c r="J498" s="608" t="str">
        <f t="shared" si="15"/>
        <v>Textile Apparel Luxury Goods</v>
      </c>
      <c r="N498" s="822">
        <v>315210</v>
      </c>
      <c r="O498" s="822" t="s">
        <v>1740</v>
      </c>
      <c r="P498" s="823">
        <v>2371</v>
      </c>
      <c r="Q498" s="823" t="s">
        <v>1712</v>
      </c>
    </row>
    <row r="499" spans="2:17" s="608" customFormat="1" x14ac:dyDescent="0.25">
      <c r="B499" s="605" t="s">
        <v>1749</v>
      </c>
      <c r="C499" s="606">
        <f t="shared" si="14"/>
        <v>315990</v>
      </c>
      <c r="D499" s="607" t="s">
        <v>1750</v>
      </c>
      <c r="E499" s="607" t="s">
        <v>1723</v>
      </c>
      <c r="F499" s="607" t="s">
        <v>1724</v>
      </c>
      <c r="G499" s="607" t="s">
        <v>1594</v>
      </c>
      <c r="H499" s="607" t="s">
        <v>1594</v>
      </c>
      <c r="I499" s="607" t="s">
        <v>1608</v>
      </c>
      <c r="J499" s="608" t="str">
        <f t="shared" si="15"/>
        <v>Textile Apparel Luxury Goods</v>
      </c>
      <c r="N499" s="822">
        <v>315210</v>
      </c>
      <c r="O499" s="822" t="s">
        <v>1740</v>
      </c>
      <c r="P499" s="823">
        <v>2381</v>
      </c>
      <c r="Q499" s="823" t="s">
        <v>1714</v>
      </c>
    </row>
    <row r="500" spans="2:17" s="608" customFormat="1" x14ac:dyDescent="0.25">
      <c r="B500" s="605" t="s">
        <v>1749</v>
      </c>
      <c r="C500" s="606">
        <f t="shared" si="14"/>
        <v>315990</v>
      </c>
      <c r="D500" s="607" t="s">
        <v>1750</v>
      </c>
      <c r="E500" s="607" t="s">
        <v>1727</v>
      </c>
      <c r="F500" s="607" t="s">
        <v>1728</v>
      </c>
      <c r="G500" s="607" t="s">
        <v>1594</v>
      </c>
      <c r="H500" s="607" t="s">
        <v>1594</v>
      </c>
      <c r="I500" s="607" t="s">
        <v>1608</v>
      </c>
      <c r="J500" s="608" t="str">
        <f t="shared" si="15"/>
        <v>Textile Apparel Luxury Goods</v>
      </c>
      <c r="N500" s="822">
        <v>315210</v>
      </c>
      <c r="O500" s="822" t="s">
        <v>1740</v>
      </c>
      <c r="P500" s="823">
        <v>2384</v>
      </c>
      <c r="Q500" s="823" t="s">
        <v>1716</v>
      </c>
    </row>
    <row r="501" spans="2:17" s="608" customFormat="1" x14ac:dyDescent="0.25">
      <c r="B501" s="605" t="s">
        <v>1749</v>
      </c>
      <c r="C501" s="606">
        <f t="shared" si="14"/>
        <v>315990</v>
      </c>
      <c r="D501" s="607" t="s">
        <v>1750</v>
      </c>
      <c r="E501" s="607" t="s">
        <v>1729</v>
      </c>
      <c r="F501" s="607" t="s">
        <v>1730</v>
      </c>
      <c r="G501" s="607" t="s">
        <v>1594</v>
      </c>
      <c r="H501" s="607" t="s">
        <v>1594</v>
      </c>
      <c r="I501" s="607" t="s">
        <v>1608</v>
      </c>
      <c r="J501" s="608" t="str">
        <f t="shared" si="15"/>
        <v>Textile Apparel Luxury Goods</v>
      </c>
      <c r="N501" s="822">
        <v>315210</v>
      </c>
      <c r="O501" s="822" t="s">
        <v>1740</v>
      </c>
      <c r="P501" s="823">
        <v>2385</v>
      </c>
      <c r="Q501" s="823" t="s">
        <v>1718</v>
      </c>
    </row>
    <row r="502" spans="2:17" s="608" customFormat="1" x14ac:dyDescent="0.25">
      <c r="B502" s="605" t="s">
        <v>1749</v>
      </c>
      <c r="C502" s="606">
        <f t="shared" si="14"/>
        <v>315990</v>
      </c>
      <c r="D502" s="607" t="s">
        <v>1750</v>
      </c>
      <c r="E502" s="607" t="s">
        <v>1653</v>
      </c>
      <c r="F502" s="607" t="s">
        <v>1654</v>
      </c>
      <c r="G502" s="607" t="s">
        <v>1594</v>
      </c>
      <c r="H502" s="607" t="s">
        <v>1594</v>
      </c>
      <c r="I502" s="607" t="s">
        <v>1608</v>
      </c>
      <c r="J502" s="608" t="str">
        <f t="shared" si="15"/>
        <v>Textile Apparel Luxury Goods</v>
      </c>
      <c r="N502" s="822">
        <v>315210</v>
      </c>
      <c r="O502" s="822" t="s">
        <v>1740</v>
      </c>
      <c r="P502" s="823">
        <v>2386</v>
      </c>
      <c r="Q502" s="823" t="s">
        <v>1720</v>
      </c>
    </row>
    <row r="503" spans="2:17" s="608" customFormat="1" x14ac:dyDescent="0.25">
      <c r="B503" s="605" t="s">
        <v>1749</v>
      </c>
      <c r="C503" s="606">
        <f t="shared" si="14"/>
        <v>315990</v>
      </c>
      <c r="D503" s="607" t="s">
        <v>1750</v>
      </c>
      <c r="E503" s="607" t="s">
        <v>1731</v>
      </c>
      <c r="F503" s="607" t="s">
        <v>1732</v>
      </c>
      <c r="G503" s="607" t="s">
        <v>1594</v>
      </c>
      <c r="H503" s="607" t="s">
        <v>1594</v>
      </c>
      <c r="I503" s="607" t="s">
        <v>1608</v>
      </c>
      <c r="J503" s="608" t="str">
        <f t="shared" si="15"/>
        <v>Textile Apparel Luxury Goods</v>
      </c>
      <c r="N503" s="822">
        <v>315210</v>
      </c>
      <c r="O503" s="822" t="s">
        <v>1740</v>
      </c>
      <c r="P503" s="823">
        <v>2387</v>
      </c>
      <c r="Q503" s="823" t="s">
        <v>1722</v>
      </c>
    </row>
    <row r="504" spans="2:17" s="608" customFormat="1" x14ac:dyDescent="0.25">
      <c r="B504" s="605" t="s">
        <v>1751</v>
      </c>
      <c r="C504" s="606">
        <f t="shared" si="14"/>
        <v>316110</v>
      </c>
      <c r="D504" s="607" t="s">
        <v>1752</v>
      </c>
      <c r="E504" s="605" t="s">
        <v>1753</v>
      </c>
      <c r="F504" s="607" t="s">
        <v>1754</v>
      </c>
      <c r="G504" s="607" t="s">
        <v>1019</v>
      </c>
      <c r="H504" s="607" t="s">
        <v>1019</v>
      </c>
      <c r="I504" s="607" t="s">
        <v>1755</v>
      </c>
      <c r="J504" s="608" t="str">
        <f t="shared" si="15"/>
        <v>Manufacturing</v>
      </c>
      <c r="N504" s="822">
        <v>315210</v>
      </c>
      <c r="O504" s="822" t="s">
        <v>1740</v>
      </c>
      <c r="P504" s="823">
        <v>2389</v>
      </c>
      <c r="Q504" s="823" t="s">
        <v>1724</v>
      </c>
    </row>
    <row r="505" spans="2:17" s="608" customFormat="1" x14ac:dyDescent="0.25">
      <c r="B505" s="605" t="s">
        <v>1751</v>
      </c>
      <c r="C505" s="606">
        <f t="shared" si="14"/>
        <v>316110</v>
      </c>
      <c r="D505" s="607" t="s">
        <v>1752</v>
      </c>
      <c r="E505" s="605" t="s">
        <v>1756</v>
      </c>
      <c r="F505" s="607" t="s">
        <v>1757</v>
      </c>
      <c r="G505" s="607" t="s">
        <v>1019</v>
      </c>
      <c r="H505" s="607" t="s">
        <v>1019</v>
      </c>
      <c r="I505" s="607" t="s">
        <v>1755</v>
      </c>
      <c r="J505" s="608" t="str">
        <f t="shared" si="15"/>
        <v>Manufacturing</v>
      </c>
      <c r="N505" s="822">
        <v>315210</v>
      </c>
      <c r="O505" s="822" t="s">
        <v>1740</v>
      </c>
      <c r="P505" s="823">
        <v>2395</v>
      </c>
      <c r="Q505" s="823" t="s">
        <v>1726</v>
      </c>
    </row>
    <row r="506" spans="2:17" s="608" customFormat="1" x14ac:dyDescent="0.25">
      <c r="B506" s="605" t="s">
        <v>1758</v>
      </c>
      <c r="C506" s="606">
        <f t="shared" si="14"/>
        <v>316210</v>
      </c>
      <c r="D506" s="607" t="s">
        <v>1759</v>
      </c>
      <c r="E506" s="607" t="s">
        <v>1760</v>
      </c>
      <c r="F506" s="607" t="s">
        <v>1761</v>
      </c>
      <c r="G506" s="607" t="s">
        <v>1594</v>
      </c>
      <c r="H506" s="607" t="s">
        <v>1594</v>
      </c>
      <c r="I506" s="607" t="s">
        <v>1608</v>
      </c>
      <c r="J506" s="608" t="str">
        <f t="shared" si="15"/>
        <v>Textile Apparel Luxury Goods</v>
      </c>
      <c r="N506" s="822">
        <v>315210</v>
      </c>
      <c r="O506" s="822" t="s">
        <v>1740</v>
      </c>
      <c r="P506" s="823">
        <v>2396</v>
      </c>
      <c r="Q506" s="823" t="s">
        <v>1728</v>
      </c>
    </row>
    <row r="507" spans="2:17" s="608" customFormat="1" x14ac:dyDescent="0.25">
      <c r="B507" s="605" t="s">
        <v>1758</v>
      </c>
      <c r="C507" s="606">
        <f t="shared" si="14"/>
        <v>316210</v>
      </c>
      <c r="D507" s="607" t="s">
        <v>1759</v>
      </c>
      <c r="E507" s="607" t="s">
        <v>1762</v>
      </c>
      <c r="F507" s="607" t="s">
        <v>1763</v>
      </c>
      <c r="G507" s="607" t="s">
        <v>1594</v>
      </c>
      <c r="H507" s="607" t="s">
        <v>1594</v>
      </c>
      <c r="I507" s="607" t="s">
        <v>1608</v>
      </c>
      <c r="J507" s="608" t="str">
        <f t="shared" si="15"/>
        <v>Textile Apparel Luxury Goods</v>
      </c>
      <c r="N507" s="822">
        <v>315210</v>
      </c>
      <c r="O507" s="822" t="s">
        <v>1740</v>
      </c>
      <c r="P507" s="823">
        <v>2399</v>
      </c>
      <c r="Q507" s="823" t="s">
        <v>1730</v>
      </c>
    </row>
    <row r="508" spans="2:17" s="608" customFormat="1" x14ac:dyDescent="0.25">
      <c r="B508" s="605" t="s">
        <v>1758</v>
      </c>
      <c r="C508" s="606">
        <f t="shared" si="14"/>
        <v>316210</v>
      </c>
      <c r="D508" s="607" t="s">
        <v>1759</v>
      </c>
      <c r="E508" s="607" t="s">
        <v>1764</v>
      </c>
      <c r="F508" s="607" t="s">
        <v>1765</v>
      </c>
      <c r="G508" s="607" t="s">
        <v>1594</v>
      </c>
      <c r="H508" s="607" t="s">
        <v>1594</v>
      </c>
      <c r="I508" s="607" t="s">
        <v>1608</v>
      </c>
      <c r="J508" s="608" t="str">
        <f t="shared" si="15"/>
        <v>Textile Apparel Luxury Goods</v>
      </c>
      <c r="N508" s="822">
        <v>315210</v>
      </c>
      <c r="O508" s="822" t="s">
        <v>1740</v>
      </c>
      <c r="P508" s="823">
        <v>3151</v>
      </c>
      <c r="Q508" s="823" t="s">
        <v>1732</v>
      </c>
    </row>
    <row r="509" spans="2:17" s="608" customFormat="1" x14ac:dyDescent="0.25">
      <c r="B509" s="605" t="s">
        <v>1758</v>
      </c>
      <c r="C509" s="606">
        <f t="shared" si="14"/>
        <v>316210</v>
      </c>
      <c r="D509" s="607" t="s">
        <v>1759</v>
      </c>
      <c r="E509" s="607" t="s">
        <v>1766</v>
      </c>
      <c r="F509" s="607" t="s">
        <v>1767</v>
      </c>
      <c r="G509" s="607" t="s">
        <v>1594</v>
      </c>
      <c r="H509" s="607" t="s">
        <v>1594</v>
      </c>
      <c r="I509" s="607" t="s">
        <v>1608</v>
      </c>
      <c r="J509" s="608" t="str">
        <f t="shared" si="15"/>
        <v>Textile Apparel Luxury Goods</v>
      </c>
      <c r="N509" s="823">
        <v>315211</v>
      </c>
      <c r="O509" s="823" t="s">
        <v>5855</v>
      </c>
      <c r="P509" s="823"/>
      <c r="Q509" s="823" t="s">
        <v>958</v>
      </c>
    </row>
    <row r="510" spans="2:17" s="608" customFormat="1" x14ac:dyDescent="0.25">
      <c r="B510" s="605" t="s">
        <v>1758</v>
      </c>
      <c r="C510" s="606">
        <f t="shared" si="14"/>
        <v>316210</v>
      </c>
      <c r="D510" s="607" t="s">
        <v>1759</v>
      </c>
      <c r="E510" s="607" t="s">
        <v>1768</v>
      </c>
      <c r="F510" s="607" t="s">
        <v>1769</v>
      </c>
      <c r="G510" s="607" t="s">
        <v>1594</v>
      </c>
      <c r="H510" s="607" t="s">
        <v>1594</v>
      </c>
      <c r="I510" s="607" t="s">
        <v>1608</v>
      </c>
      <c r="J510" s="608" t="str">
        <f t="shared" si="15"/>
        <v>Textile Apparel Luxury Goods</v>
      </c>
      <c r="N510" s="823">
        <v>315212</v>
      </c>
      <c r="O510" s="823" t="s">
        <v>5856</v>
      </c>
      <c r="P510" s="823"/>
      <c r="Q510" s="823" t="s">
        <v>958</v>
      </c>
    </row>
    <row r="511" spans="2:17" s="608" customFormat="1" x14ac:dyDescent="0.25">
      <c r="B511" s="605" t="s">
        <v>1770</v>
      </c>
      <c r="C511" s="606">
        <f t="shared" si="14"/>
        <v>316992</v>
      </c>
      <c r="D511" s="607" t="s">
        <v>1771</v>
      </c>
      <c r="E511" s="607" t="s">
        <v>1772</v>
      </c>
      <c r="F511" s="607" t="s">
        <v>1773</v>
      </c>
      <c r="G511" s="607" t="s">
        <v>1594</v>
      </c>
      <c r="H511" s="607" t="s">
        <v>1594</v>
      </c>
      <c r="I511" s="607" t="s">
        <v>1608</v>
      </c>
      <c r="J511" s="608" t="str">
        <f t="shared" si="15"/>
        <v>Textile Apparel Luxury Goods</v>
      </c>
      <c r="N511" s="822">
        <v>315220</v>
      </c>
      <c r="O511" s="822" t="s">
        <v>1742</v>
      </c>
      <c r="P511" s="823">
        <v>2311</v>
      </c>
      <c r="Q511" s="823" t="s">
        <v>1680</v>
      </c>
    </row>
    <row r="512" spans="2:17" s="608" customFormat="1" x14ac:dyDescent="0.25">
      <c r="B512" s="605" t="s">
        <v>1774</v>
      </c>
      <c r="C512" s="606">
        <f t="shared" si="14"/>
        <v>316998</v>
      </c>
      <c r="D512" s="607" t="s">
        <v>1775</v>
      </c>
      <c r="E512" s="607" t="s">
        <v>1776</v>
      </c>
      <c r="F512" s="607" t="s">
        <v>1777</v>
      </c>
      <c r="G512" s="607" t="s">
        <v>1594</v>
      </c>
      <c r="H512" s="607" t="s">
        <v>1594</v>
      </c>
      <c r="I512" s="607" t="s">
        <v>1608</v>
      </c>
      <c r="J512" s="608" t="str">
        <f t="shared" si="15"/>
        <v>Textile Apparel Luxury Goods</v>
      </c>
      <c r="N512" s="822">
        <v>315220</v>
      </c>
      <c r="O512" s="822" t="s">
        <v>1742</v>
      </c>
      <c r="P512" s="823">
        <v>2321</v>
      </c>
      <c r="Q512" s="823" t="s">
        <v>1682</v>
      </c>
    </row>
    <row r="513" spans="2:17" s="608" customFormat="1" x14ac:dyDescent="0.25">
      <c r="B513" s="605" t="s">
        <v>1774</v>
      </c>
      <c r="C513" s="606">
        <f t="shared" si="14"/>
        <v>316998</v>
      </c>
      <c r="D513" s="607" t="s">
        <v>1775</v>
      </c>
      <c r="E513" s="607" t="s">
        <v>1778</v>
      </c>
      <c r="F513" s="607" t="s">
        <v>1779</v>
      </c>
      <c r="G513" s="607" t="s">
        <v>1594</v>
      </c>
      <c r="H513" s="607" t="s">
        <v>1594</v>
      </c>
      <c r="I513" s="607" t="s">
        <v>1608</v>
      </c>
      <c r="J513" s="608" t="str">
        <f t="shared" si="15"/>
        <v>Textile Apparel Luxury Goods</v>
      </c>
      <c r="N513" s="822">
        <v>315220</v>
      </c>
      <c r="O513" s="822" t="s">
        <v>1742</v>
      </c>
      <c r="P513" s="823">
        <v>2322</v>
      </c>
      <c r="Q513" s="823" t="s">
        <v>1684</v>
      </c>
    </row>
    <row r="514" spans="2:17" s="608" customFormat="1" x14ac:dyDescent="0.25">
      <c r="B514" s="605" t="s">
        <v>1774</v>
      </c>
      <c r="C514" s="606">
        <f t="shared" ref="C514:C577" si="16">B514+0</f>
        <v>316998</v>
      </c>
      <c r="D514" s="607" t="s">
        <v>1775</v>
      </c>
      <c r="E514" s="607" t="s">
        <v>1780</v>
      </c>
      <c r="F514" s="607" t="s">
        <v>1781</v>
      </c>
      <c r="G514" s="607" t="s">
        <v>1594</v>
      </c>
      <c r="H514" s="607" t="s">
        <v>1594</v>
      </c>
      <c r="I514" s="607" t="s">
        <v>1608</v>
      </c>
      <c r="J514" s="608" t="str">
        <f t="shared" ref="J514:J577" si="17">PROPER(I514)</f>
        <v>Textile Apparel Luxury Goods</v>
      </c>
      <c r="N514" s="822">
        <v>315220</v>
      </c>
      <c r="O514" s="822" t="s">
        <v>1742</v>
      </c>
      <c r="P514" s="823">
        <v>2325</v>
      </c>
      <c r="Q514" s="823" t="s">
        <v>1688</v>
      </c>
    </row>
    <row r="515" spans="2:17" s="608" customFormat="1" x14ac:dyDescent="0.25">
      <c r="B515" s="605" t="s">
        <v>1774</v>
      </c>
      <c r="C515" s="606">
        <f t="shared" si="16"/>
        <v>316998</v>
      </c>
      <c r="D515" s="607" t="s">
        <v>1775</v>
      </c>
      <c r="E515" s="607" t="s">
        <v>1782</v>
      </c>
      <c r="F515" s="607" t="s">
        <v>1783</v>
      </c>
      <c r="G515" s="607" t="s">
        <v>1594</v>
      </c>
      <c r="H515" s="607" t="s">
        <v>1594</v>
      </c>
      <c r="I515" s="607" t="s">
        <v>1608</v>
      </c>
      <c r="J515" s="608" t="str">
        <f t="shared" si="17"/>
        <v>Textile Apparel Luxury Goods</v>
      </c>
      <c r="N515" s="822">
        <v>315220</v>
      </c>
      <c r="O515" s="822" t="s">
        <v>1742</v>
      </c>
      <c r="P515" s="823">
        <v>2326</v>
      </c>
      <c r="Q515" s="823" t="s">
        <v>1690</v>
      </c>
    </row>
    <row r="516" spans="2:17" s="608" customFormat="1" x14ac:dyDescent="0.25">
      <c r="B516" s="605" t="s">
        <v>1784</v>
      </c>
      <c r="C516" s="606">
        <f t="shared" si="16"/>
        <v>321113</v>
      </c>
      <c r="D516" s="607" t="s">
        <v>1785</v>
      </c>
      <c r="E516" s="607" t="s">
        <v>1786</v>
      </c>
      <c r="F516" s="607" t="s">
        <v>1787</v>
      </c>
      <c r="G516" s="607" t="s">
        <v>1019</v>
      </c>
      <c r="H516" s="607" t="s">
        <v>1019</v>
      </c>
      <c r="I516" s="607" t="s">
        <v>1020</v>
      </c>
      <c r="J516" s="608" t="str">
        <f t="shared" si="17"/>
        <v>Paper And Forest Products</v>
      </c>
      <c r="N516" s="822">
        <v>315220</v>
      </c>
      <c r="O516" s="822" t="s">
        <v>1742</v>
      </c>
      <c r="P516" s="823">
        <v>2329</v>
      </c>
      <c r="Q516" s="823" t="s">
        <v>1692</v>
      </c>
    </row>
    <row r="517" spans="2:17" s="608" customFormat="1" x14ac:dyDescent="0.25">
      <c r="B517" s="605" t="s">
        <v>1784</v>
      </c>
      <c r="C517" s="606">
        <f t="shared" si="16"/>
        <v>321113</v>
      </c>
      <c r="D517" s="607" t="s">
        <v>1785</v>
      </c>
      <c r="E517" s="607" t="s">
        <v>1788</v>
      </c>
      <c r="F517" s="607" t="s">
        <v>1789</v>
      </c>
      <c r="G517" s="607" t="s">
        <v>1019</v>
      </c>
      <c r="H517" s="607" t="s">
        <v>1019</v>
      </c>
      <c r="I517" s="607" t="s">
        <v>1020</v>
      </c>
      <c r="J517" s="608" t="str">
        <f t="shared" si="17"/>
        <v>Paper And Forest Products</v>
      </c>
      <c r="N517" s="822">
        <v>315220</v>
      </c>
      <c r="O517" s="822" t="s">
        <v>1742</v>
      </c>
      <c r="P517" s="823">
        <v>2341</v>
      </c>
      <c r="Q517" s="823" t="s">
        <v>1702</v>
      </c>
    </row>
    <row r="518" spans="2:17" s="608" customFormat="1" x14ac:dyDescent="0.25">
      <c r="B518" s="605" t="s">
        <v>1784</v>
      </c>
      <c r="C518" s="606">
        <f t="shared" si="16"/>
        <v>321113</v>
      </c>
      <c r="D518" s="607" t="s">
        <v>1785</v>
      </c>
      <c r="E518" s="607" t="s">
        <v>1790</v>
      </c>
      <c r="F518" s="607" t="s">
        <v>1791</v>
      </c>
      <c r="G518" s="607" t="s">
        <v>1019</v>
      </c>
      <c r="H518" s="607" t="s">
        <v>1019</v>
      </c>
      <c r="I518" s="607" t="s">
        <v>1020</v>
      </c>
      <c r="J518" s="608" t="str">
        <f t="shared" si="17"/>
        <v>Paper And Forest Products</v>
      </c>
      <c r="N518" s="822">
        <v>315220</v>
      </c>
      <c r="O518" s="822" t="s">
        <v>1742</v>
      </c>
      <c r="P518" s="823">
        <v>2361</v>
      </c>
      <c r="Q518" s="823" t="s">
        <v>1708</v>
      </c>
    </row>
    <row r="519" spans="2:17" s="608" customFormat="1" x14ac:dyDescent="0.25">
      <c r="B519" s="605" t="s">
        <v>1792</v>
      </c>
      <c r="C519" s="606">
        <f t="shared" si="16"/>
        <v>321114</v>
      </c>
      <c r="D519" s="607" t="s">
        <v>1793</v>
      </c>
      <c r="E519" s="607" t="s">
        <v>1794</v>
      </c>
      <c r="F519" s="607" t="s">
        <v>1795</v>
      </c>
      <c r="G519" s="607" t="s">
        <v>1019</v>
      </c>
      <c r="H519" s="607" t="s">
        <v>1019</v>
      </c>
      <c r="I519" s="607" t="s">
        <v>1020</v>
      </c>
      <c r="J519" s="608" t="str">
        <f t="shared" si="17"/>
        <v>Paper And Forest Products</v>
      </c>
      <c r="N519" s="822">
        <v>315220</v>
      </c>
      <c r="O519" s="822" t="s">
        <v>1742</v>
      </c>
      <c r="P519" s="823">
        <v>2369</v>
      </c>
      <c r="Q519" s="823" t="s">
        <v>1710</v>
      </c>
    </row>
    <row r="520" spans="2:17" s="608" customFormat="1" x14ac:dyDescent="0.25">
      <c r="B520" s="605" t="s">
        <v>1796</v>
      </c>
      <c r="C520" s="606">
        <f t="shared" si="16"/>
        <v>321211</v>
      </c>
      <c r="D520" s="607" t="s">
        <v>1797</v>
      </c>
      <c r="E520" s="607" t="s">
        <v>1798</v>
      </c>
      <c r="F520" s="607" t="s">
        <v>1799</v>
      </c>
      <c r="G520" s="607" t="s">
        <v>1019</v>
      </c>
      <c r="H520" s="607" t="s">
        <v>1019</v>
      </c>
      <c r="I520" s="607" t="s">
        <v>1020</v>
      </c>
      <c r="J520" s="608" t="str">
        <f t="shared" si="17"/>
        <v>Paper And Forest Products</v>
      </c>
      <c r="N520" s="822">
        <v>315220</v>
      </c>
      <c r="O520" s="822" t="s">
        <v>1742</v>
      </c>
      <c r="P520" s="823">
        <v>2384</v>
      </c>
      <c r="Q520" s="823" t="s">
        <v>1716</v>
      </c>
    </row>
    <row r="521" spans="2:17" s="608" customFormat="1" x14ac:dyDescent="0.25">
      <c r="B521" s="605" t="s">
        <v>1800</v>
      </c>
      <c r="C521" s="606">
        <f t="shared" si="16"/>
        <v>321212</v>
      </c>
      <c r="D521" s="607" t="s">
        <v>1801</v>
      </c>
      <c r="E521" s="607" t="s">
        <v>1802</v>
      </c>
      <c r="F521" s="607" t="s">
        <v>1803</v>
      </c>
      <c r="G521" s="607" t="s">
        <v>1019</v>
      </c>
      <c r="H521" s="607" t="s">
        <v>1019</v>
      </c>
      <c r="I521" s="607" t="s">
        <v>1020</v>
      </c>
      <c r="J521" s="608" t="str">
        <f t="shared" si="17"/>
        <v>Paper And Forest Products</v>
      </c>
      <c r="N521" s="822">
        <v>315220</v>
      </c>
      <c r="O521" s="822" t="s">
        <v>1742</v>
      </c>
      <c r="P521" s="823">
        <v>2385</v>
      </c>
      <c r="Q521" s="823" t="s">
        <v>1718</v>
      </c>
    </row>
    <row r="522" spans="2:17" s="608" customFormat="1" x14ac:dyDescent="0.25">
      <c r="B522" s="605" t="s">
        <v>1804</v>
      </c>
      <c r="C522" s="606">
        <f t="shared" si="16"/>
        <v>321213</v>
      </c>
      <c r="D522" s="607" t="s">
        <v>1805</v>
      </c>
      <c r="E522" s="607" t="s">
        <v>1806</v>
      </c>
      <c r="F522" s="607" t="s">
        <v>1807</v>
      </c>
      <c r="G522" s="607" t="s">
        <v>1019</v>
      </c>
      <c r="H522" s="607" t="s">
        <v>1019</v>
      </c>
      <c r="I522" s="607" t="s">
        <v>1020</v>
      </c>
      <c r="J522" s="608" t="str">
        <f t="shared" si="17"/>
        <v>Paper And Forest Products</v>
      </c>
      <c r="N522" s="822">
        <v>315220</v>
      </c>
      <c r="O522" s="822" t="s">
        <v>1742</v>
      </c>
      <c r="P522" s="823">
        <v>5699</v>
      </c>
      <c r="Q522" s="823" t="s">
        <v>1744</v>
      </c>
    </row>
    <row r="523" spans="2:17" s="608" customFormat="1" x14ac:dyDescent="0.25">
      <c r="B523" s="605" t="s">
        <v>1808</v>
      </c>
      <c r="C523" s="606">
        <f t="shared" si="16"/>
        <v>321214</v>
      </c>
      <c r="D523" s="607" t="s">
        <v>1809</v>
      </c>
      <c r="E523" s="607" t="s">
        <v>1806</v>
      </c>
      <c r="F523" s="607" t="s">
        <v>1807</v>
      </c>
      <c r="G523" s="607" t="s">
        <v>1019</v>
      </c>
      <c r="H523" s="607" t="s">
        <v>1019</v>
      </c>
      <c r="I523" s="607" t="s">
        <v>1020</v>
      </c>
      <c r="J523" s="608" t="str">
        <f t="shared" si="17"/>
        <v>Paper And Forest Products</v>
      </c>
      <c r="N523" s="823">
        <v>315221</v>
      </c>
      <c r="O523" s="823" t="s">
        <v>5857</v>
      </c>
      <c r="P523" s="823"/>
      <c r="Q523" s="823" t="s">
        <v>958</v>
      </c>
    </row>
    <row r="524" spans="2:17" s="608" customFormat="1" x14ac:dyDescent="0.25">
      <c r="B524" s="605" t="s">
        <v>1810</v>
      </c>
      <c r="C524" s="606">
        <f t="shared" si="16"/>
        <v>321219</v>
      </c>
      <c r="D524" s="607" t="s">
        <v>1811</v>
      </c>
      <c r="E524" s="607" t="s">
        <v>1812</v>
      </c>
      <c r="F524" s="607" t="s">
        <v>1813</v>
      </c>
      <c r="G524" s="607" t="s">
        <v>1019</v>
      </c>
      <c r="H524" s="607" t="s">
        <v>1019</v>
      </c>
      <c r="I524" s="607" t="s">
        <v>1020</v>
      </c>
      <c r="J524" s="608" t="str">
        <f t="shared" si="17"/>
        <v>Paper And Forest Products</v>
      </c>
      <c r="N524" s="823">
        <v>315222</v>
      </c>
      <c r="O524" s="823" t="s">
        <v>5858</v>
      </c>
      <c r="P524" s="823"/>
      <c r="Q524" s="823" t="s">
        <v>958</v>
      </c>
    </row>
    <row r="525" spans="2:17" s="608" customFormat="1" x14ac:dyDescent="0.25">
      <c r="B525" s="605" t="s">
        <v>1814</v>
      </c>
      <c r="C525" s="606">
        <f t="shared" si="16"/>
        <v>321911</v>
      </c>
      <c r="D525" s="607" t="s">
        <v>1815</v>
      </c>
      <c r="E525" s="607" t="s">
        <v>1816</v>
      </c>
      <c r="F525" s="607" t="s">
        <v>1817</v>
      </c>
      <c r="G525" s="607" t="s">
        <v>1019</v>
      </c>
      <c r="H525" s="607" t="s">
        <v>1019</v>
      </c>
      <c r="I525" s="607" t="s">
        <v>1020</v>
      </c>
      <c r="J525" s="608" t="str">
        <f t="shared" si="17"/>
        <v>Paper And Forest Products</v>
      </c>
      <c r="N525" s="823">
        <v>315223</v>
      </c>
      <c r="O525" s="823" t="s">
        <v>5859</v>
      </c>
      <c r="P525" s="823"/>
      <c r="Q525" s="823" t="s">
        <v>958</v>
      </c>
    </row>
    <row r="526" spans="2:17" s="608" customFormat="1" x14ac:dyDescent="0.25">
      <c r="B526" s="605" t="s">
        <v>1818</v>
      </c>
      <c r="C526" s="606">
        <f t="shared" si="16"/>
        <v>321912</v>
      </c>
      <c r="D526" s="607" t="s">
        <v>1819</v>
      </c>
      <c r="E526" s="607" t="s">
        <v>1786</v>
      </c>
      <c r="F526" s="607" t="s">
        <v>1787</v>
      </c>
      <c r="G526" s="607" t="s">
        <v>1019</v>
      </c>
      <c r="H526" s="607" t="s">
        <v>1019</v>
      </c>
      <c r="I526" s="607" t="s">
        <v>1020</v>
      </c>
      <c r="J526" s="608" t="str">
        <f t="shared" si="17"/>
        <v>Paper And Forest Products</v>
      </c>
      <c r="N526" s="822">
        <v>315224</v>
      </c>
      <c r="O526" s="822" t="s">
        <v>5860</v>
      </c>
      <c r="P526" s="823"/>
      <c r="Q526" s="823" t="s">
        <v>958</v>
      </c>
    </row>
    <row r="527" spans="2:17" s="608" customFormat="1" x14ac:dyDescent="0.25">
      <c r="B527" s="605" t="s">
        <v>1818</v>
      </c>
      <c r="C527" s="606">
        <f t="shared" si="16"/>
        <v>321912</v>
      </c>
      <c r="D527" s="607" t="s">
        <v>1819</v>
      </c>
      <c r="E527" s="607" t="s">
        <v>1788</v>
      </c>
      <c r="F527" s="607" t="s">
        <v>1789</v>
      </c>
      <c r="G527" s="607" t="s">
        <v>1019</v>
      </c>
      <c r="H527" s="607" t="s">
        <v>1019</v>
      </c>
      <c r="I527" s="607" t="s">
        <v>1020</v>
      </c>
      <c r="J527" s="608" t="str">
        <f t="shared" si="17"/>
        <v>Paper And Forest Products</v>
      </c>
      <c r="N527" s="823">
        <v>315225</v>
      </c>
      <c r="O527" s="823" t="s">
        <v>5861</v>
      </c>
      <c r="P527" s="823"/>
      <c r="Q527" s="823" t="s">
        <v>958</v>
      </c>
    </row>
    <row r="528" spans="2:17" s="608" customFormat="1" x14ac:dyDescent="0.25">
      <c r="B528" s="605" t="s">
        <v>1820</v>
      </c>
      <c r="C528" s="606">
        <f t="shared" si="16"/>
        <v>321918</v>
      </c>
      <c r="D528" s="607" t="s">
        <v>1821</v>
      </c>
      <c r="E528" s="607" t="s">
        <v>1786</v>
      </c>
      <c r="F528" s="607" t="s">
        <v>1787</v>
      </c>
      <c r="G528" s="607" t="s">
        <v>1019</v>
      </c>
      <c r="H528" s="607" t="s">
        <v>1019</v>
      </c>
      <c r="I528" s="607" t="s">
        <v>1020</v>
      </c>
      <c r="J528" s="608" t="str">
        <f t="shared" si="17"/>
        <v>Paper And Forest Products</v>
      </c>
      <c r="N528" s="823">
        <v>315228</v>
      </c>
      <c r="O528" s="823" t="s">
        <v>5862</v>
      </c>
      <c r="P528" s="823"/>
      <c r="Q528" s="823" t="s">
        <v>958</v>
      </c>
    </row>
    <row r="529" spans="2:17" s="608" customFormat="1" x14ac:dyDescent="0.25">
      <c r="B529" s="605" t="s">
        <v>1820</v>
      </c>
      <c r="C529" s="606">
        <f t="shared" si="16"/>
        <v>321918</v>
      </c>
      <c r="D529" s="607" t="s">
        <v>1821</v>
      </c>
      <c r="E529" s="607" t="s">
        <v>1788</v>
      </c>
      <c r="F529" s="607" t="s">
        <v>1789</v>
      </c>
      <c r="G529" s="607" t="s">
        <v>1019</v>
      </c>
      <c r="H529" s="607" t="s">
        <v>1019</v>
      </c>
      <c r="I529" s="607" t="s">
        <v>1020</v>
      </c>
      <c r="J529" s="608" t="str">
        <f t="shared" si="17"/>
        <v>Paper And Forest Products</v>
      </c>
      <c r="N529" s="823">
        <v>315231</v>
      </c>
      <c r="O529" s="823" t="s">
        <v>5863</v>
      </c>
      <c r="P529" s="823"/>
      <c r="Q529" s="823" t="s">
        <v>958</v>
      </c>
    </row>
    <row r="530" spans="2:17" s="608" customFormat="1" x14ac:dyDescent="0.25">
      <c r="B530" s="605" t="s">
        <v>1820</v>
      </c>
      <c r="C530" s="606">
        <f t="shared" si="16"/>
        <v>321918</v>
      </c>
      <c r="D530" s="607" t="s">
        <v>1821</v>
      </c>
      <c r="E530" s="607" t="s">
        <v>1816</v>
      </c>
      <c r="F530" s="607" t="s">
        <v>1817</v>
      </c>
      <c r="G530" s="607" t="s">
        <v>1019</v>
      </c>
      <c r="H530" s="607" t="s">
        <v>1019</v>
      </c>
      <c r="I530" s="607" t="s">
        <v>1020</v>
      </c>
      <c r="J530" s="608" t="str">
        <f t="shared" si="17"/>
        <v>Paper And Forest Products</v>
      </c>
      <c r="N530" s="823">
        <v>315232</v>
      </c>
      <c r="O530" s="823" t="s">
        <v>5864</v>
      </c>
      <c r="P530" s="823"/>
      <c r="Q530" s="823" t="s">
        <v>958</v>
      </c>
    </row>
    <row r="531" spans="2:17" s="608" customFormat="1" x14ac:dyDescent="0.25">
      <c r="B531" s="605" t="s">
        <v>1822</v>
      </c>
      <c r="C531" s="606">
        <f t="shared" si="16"/>
        <v>321920</v>
      </c>
      <c r="D531" s="607" t="s">
        <v>1823</v>
      </c>
      <c r="E531" s="607" t="s">
        <v>1786</v>
      </c>
      <c r="F531" s="607" t="s">
        <v>1787</v>
      </c>
      <c r="G531" s="607" t="s">
        <v>1019</v>
      </c>
      <c r="H531" s="607" t="s">
        <v>1019</v>
      </c>
      <c r="I531" s="607" t="s">
        <v>1020</v>
      </c>
      <c r="J531" s="608" t="str">
        <f t="shared" si="17"/>
        <v>Paper And Forest Products</v>
      </c>
      <c r="N531" s="823">
        <v>315233</v>
      </c>
      <c r="O531" s="823" t="s">
        <v>5865</v>
      </c>
      <c r="P531" s="823"/>
      <c r="Q531" s="823" t="s">
        <v>958</v>
      </c>
    </row>
    <row r="532" spans="2:17" s="608" customFormat="1" x14ac:dyDescent="0.25">
      <c r="B532" s="605" t="s">
        <v>1822</v>
      </c>
      <c r="C532" s="606">
        <f t="shared" si="16"/>
        <v>321920</v>
      </c>
      <c r="D532" s="607" t="s">
        <v>1823</v>
      </c>
      <c r="E532" s="607" t="s">
        <v>1790</v>
      </c>
      <c r="F532" s="607" t="s">
        <v>1791</v>
      </c>
      <c r="G532" s="607" t="s">
        <v>1019</v>
      </c>
      <c r="H532" s="607" t="s">
        <v>1019</v>
      </c>
      <c r="I532" s="607" t="s">
        <v>1020</v>
      </c>
      <c r="J532" s="608" t="str">
        <f t="shared" si="17"/>
        <v>Paper And Forest Products</v>
      </c>
      <c r="N532" s="823">
        <v>315234</v>
      </c>
      <c r="O532" s="823" t="s">
        <v>5866</v>
      </c>
      <c r="P532" s="823"/>
      <c r="Q532" s="823" t="s">
        <v>958</v>
      </c>
    </row>
    <row r="533" spans="2:17" s="608" customFormat="1" x14ac:dyDescent="0.25">
      <c r="B533" s="605" t="s">
        <v>1822</v>
      </c>
      <c r="C533" s="606">
        <f t="shared" si="16"/>
        <v>321920</v>
      </c>
      <c r="D533" s="607" t="s">
        <v>1823</v>
      </c>
      <c r="E533" s="607" t="s">
        <v>1824</v>
      </c>
      <c r="F533" s="607" t="s">
        <v>1825</v>
      </c>
      <c r="G533" s="607" t="s">
        <v>1019</v>
      </c>
      <c r="H533" s="607" t="s">
        <v>1019</v>
      </c>
      <c r="I533" s="607" t="s">
        <v>1020</v>
      </c>
      <c r="J533" s="608" t="str">
        <f t="shared" si="17"/>
        <v>Paper And Forest Products</v>
      </c>
      <c r="N533" s="822">
        <v>315239</v>
      </c>
      <c r="O533" s="822" t="s">
        <v>5867</v>
      </c>
      <c r="P533" s="823"/>
      <c r="Q533" s="823" t="s">
        <v>958</v>
      </c>
    </row>
    <row r="534" spans="2:17" s="608" customFormat="1" x14ac:dyDescent="0.25">
      <c r="B534" s="605" t="s">
        <v>1822</v>
      </c>
      <c r="C534" s="606">
        <f t="shared" si="16"/>
        <v>321920</v>
      </c>
      <c r="D534" s="607" t="s">
        <v>1823</v>
      </c>
      <c r="E534" s="607" t="s">
        <v>1826</v>
      </c>
      <c r="F534" s="607" t="s">
        <v>1827</v>
      </c>
      <c r="G534" s="607" t="s">
        <v>1019</v>
      </c>
      <c r="H534" s="607" t="s">
        <v>1019</v>
      </c>
      <c r="I534" s="607" t="s">
        <v>1020</v>
      </c>
      <c r="J534" s="608" t="str">
        <f t="shared" si="17"/>
        <v>Paper And Forest Products</v>
      </c>
      <c r="N534" s="822">
        <v>315240</v>
      </c>
      <c r="O534" s="822" t="s">
        <v>1746</v>
      </c>
      <c r="P534" s="823">
        <v>2331</v>
      </c>
      <c r="Q534" s="823" t="s">
        <v>1694</v>
      </c>
    </row>
    <row r="535" spans="2:17" s="608" customFormat="1" x14ac:dyDescent="0.25">
      <c r="B535" s="605" t="s">
        <v>1822</v>
      </c>
      <c r="C535" s="606">
        <f t="shared" si="16"/>
        <v>321920</v>
      </c>
      <c r="D535" s="607" t="s">
        <v>1823</v>
      </c>
      <c r="E535" s="607" t="s">
        <v>1828</v>
      </c>
      <c r="F535" s="607" t="s">
        <v>1829</v>
      </c>
      <c r="G535" s="607" t="s">
        <v>1019</v>
      </c>
      <c r="H535" s="607" t="s">
        <v>1019</v>
      </c>
      <c r="I535" s="607" t="s">
        <v>1020</v>
      </c>
      <c r="J535" s="608" t="str">
        <f t="shared" si="17"/>
        <v>Paper And Forest Products</v>
      </c>
      <c r="N535" s="822">
        <v>315240</v>
      </c>
      <c r="O535" s="822" t="s">
        <v>1746</v>
      </c>
      <c r="P535" s="823">
        <v>2335</v>
      </c>
      <c r="Q535" s="823" t="s">
        <v>1696</v>
      </c>
    </row>
    <row r="536" spans="2:17" s="608" customFormat="1" x14ac:dyDescent="0.25">
      <c r="B536" s="605" t="s">
        <v>1822</v>
      </c>
      <c r="C536" s="606">
        <f t="shared" si="16"/>
        <v>321920</v>
      </c>
      <c r="D536" s="607" t="s">
        <v>1823</v>
      </c>
      <c r="E536" s="607" t="s">
        <v>1830</v>
      </c>
      <c r="F536" s="607" t="s">
        <v>1831</v>
      </c>
      <c r="G536" s="607" t="s">
        <v>1019</v>
      </c>
      <c r="H536" s="607" t="s">
        <v>1019</v>
      </c>
      <c r="I536" s="607" t="s">
        <v>1020</v>
      </c>
      <c r="J536" s="608" t="str">
        <f t="shared" si="17"/>
        <v>Paper And Forest Products</v>
      </c>
      <c r="N536" s="822">
        <v>315240</v>
      </c>
      <c r="O536" s="822" t="s">
        <v>1746</v>
      </c>
      <c r="P536" s="823">
        <v>2337</v>
      </c>
      <c r="Q536" s="823" t="s">
        <v>1698</v>
      </c>
    </row>
    <row r="537" spans="2:17" s="608" customFormat="1" x14ac:dyDescent="0.25">
      <c r="B537" s="605" t="s">
        <v>1832</v>
      </c>
      <c r="C537" s="606">
        <f t="shared" si="16"/>
        <v>321991</v>
      </c>
      <c r="D537" s="607" t="s">
        <v>1833</v>
      </c>
      <c r="E537" s="607" t="s">
        <v>1834</v>
      </c>
      <c r="F537" s="607" t="s">
        <v>1835</v>
      </c>
      <c r="G537" s="607" t="s">
        <v>1019</v>
      </c>
      <c r="H537" s="607" t="s">
        <v>1019</v>
      </c>
      <c r="I537" s="607" t="s">
        <v>1020</v>
      </c>
      <c r="J537" s="608" t="str">
        <f t="shared" si="17"/>
        <v>Paper And Forest Products</v>
      </c>
      <c r="N537" s="822">
        <v>315240</v>
      </c>
      <c r="O537" s="822" t="s">
        <v>1746</v>
      </c>
      <c r="P537" s="823">
        <v>2339</v>
      </c>
      <c r="Q537" s="823" t="s">
        <v>1700</v>
      </c>
    </row>
    <row r="538" spans="2:17" s="608" customFormat="1" x14ac:dyDescent="0.25">
      <c r="B538" s="605" t="s">
        <v>1836</v>
      </c>
      <c r="C538" s="606">
        <f t="shared" si="16"/>
        <v>321992</v>
      </c>
      <c r="D538" s="607" t="s">
        <v>1837</v>
      </c>
      <c r="E538" s="607" t="s">
        <v>1838</v>
      </c>
      <c r="F538" s="607" t="s">
        <v>1839</v>
      </c>
      <c r="G538" s="607" t="s">
        <v>1019</v>
      </c>
      <c r="H538" s="607" t="s">
        <v>1019</v>
      </c>
      <c r="I538" s="607" t="s">
        <v>1020</v>
      </c>
      <c r="J538" s="608" t="str">
        <f t="shared" si="17"/>
        <v>Paper And Forest Products</v>
      </c>
      <c r="N538" s="822">
        <v>315240</v>
      </c>
      <c r="O538" s="822" t="s">
        <v>1746</v>
      </c>
      <c r="P538" s="823">
        <v>2341</v>
      </c>
      <c r="Q538" s="823" t="s">
        <v>1702</v>
      </c>
    </row>
    <row r="539" spans="2:17" s="608" customFormat="1" x14ac:dyDescent="0.25">
      <c r="B539" s="605" t="s">
        <v>1840</v>
      </c>
      <c r="C539" s="606">
        <f t="shared" si="16"/>
        <v>321999</v>
      </c>
      <c r="D539" s="607" t="s">
        <v>1841</v>
      </c>
      <c r="E539" s="607" t="s">
        <v>1786</v>
      </c>
      <c r="F539" s="607" t="s">
        <v>1787</v>
      </c>
      <c r="G539" s="607" t="s">
        <v>1019</v>
      </c>
      <c r="H539" s="607" t="s">
        <v>1019</v>
      </c>
      <c r="I539" s="607" t="s">
        <v>1020</v>
      </c>
      <c r="J539" s="608" t="str">
        <f t="shared" si="17"/>
        <v>Paper And Forest Products</v>
      </c>
      <c r="N539" s="822">
        <v>315240</v>
      </c>
      <c r="O539" s="822" t="s">
        <v>1746</v>
      </c>
      <c r="P539" s="823">
        <v>2342</v>
      </c>
      <c r="Q539" s="823" t="s">
        <v>1704</v>
      </c>
    </row>
    <row r="540" spans="2:17" s="608" customFormat="1" x14ac:dyDescent="0.25">
      <c r="B540" s="605" t="s">
        <v>1840</v>
      </c>
      <c r="C540" s="606">
        <f t="shared" si="16"/>
        <v>321999</v>
      </c>
      <c r="D540" s="607" t="s">
        <v>1841</v>
      </c>
      <c r="E540" s="607" t="s">
        <v>1790</v>
      </c>
      <c r="F540" s="607" t="s">
        <v>1791</v>
      </c>
      <c r="G540" s="607" t="s">
        <v>1019</v>
      </c>
      <c r="H540" s="607" t="s">
        <v>1019</v>
      </c>
      <c r="I540" s="607" t="s">
        <v>1020</v>
      </c>
      <c r="J540" s="608" t="str">
        <f t="shared" si="17"/>
        <v>Paper And Forest Products</v>
      </c>
      <c r="N540" s="822">
        <v>315240</v>
      </c>
      <c r="O540" s="822" t="s">
        <v>1746</v>
      </c>
      <c r="P540" s="823">
        <v>2361</v>
      </c>
      <c r="Q540" s="823" t="s">
        <v>1708</v>
      </c>
    </row>
    <row r="541" spans="2:17" s="608" customFormat="1" x14ac:dyDescent="0.25">
      <c r="B541" s="605" t="s">
        <v>1840</v>
      </c>
      <c r="C541" s="606">
        <f t="shared" si="16"/>
        <v>321999</v>
      </c>
      <c r="D541" s="607" t="s">
        <v>1841</v>
      </c>
      <c r="E541" s="607" t="s">
        <v>1830</v>
      </c>
      <c r="F541" s="607" t="s">
        <v>1831</v>
      </c>
      <c r="G541" s="607" t="s">
        <v>1019</v>
      </c>
      <c r="H541" s="607" t="s">
        <v>1019</v>
      </c>
      <c r="I541" s="607" t="s">
        <v>1020</v>
      </c>
      <c r="J541" s="608" t="str">
        <f t="shared" si="17"/>
        <v>Paper And Forest Products</v>
      </c>
      <c r="N541" s="822">
        <v>315240</v>
      </c>
      <c r="O541" s="822" t="s">
        <v>1746</v>
      </c>
      <c r="P541" s="823">
        <v>2369</v>
      </c>
      <c r="Q541" s="823" t="s">
        <v>1710</v>
      </c>
    </row>
    <row r="542" spans="2:17" s="608" customFormat="1" x14ac:dyDescent="0.25">
      <c r="B542" s="605" t="s">
        <v>1840</v>
      </c>
      <c r="C542" s="606">
        <f t="shared" si="16"/>
        <v>321999</v>
      </c>
      <c r="D542" s="607" t="s">
        <v>1841</v>
      </c>
      <c r="E542" s="607" t="s">
        <v>1842</v>
      </c>
      <c r="F542" s="607" t="s">
        <v>1843</v>
      </c>
      <c r="G542" s="607" t="s">
        <v>1019</v>
      </c>
      <c r="H542" s="607" t="s">
        <v>1019</v>
      </c>
      <c r="I542" s="607" t="s">
        <v>1020</v>
      </c>
      <c r="J542" s="608" t="str">
        <f t="shared" si="17"/>
        <v>Paper And Forest Products</v>
      </c>
      <c r="N542" s="822">
        <v>315240</v>
      </c>
      <c r="O542" s="822" t="s">
        <v>1746</v>
      </c>
      <c r="P542" s="823">
        <v>2384</v>
      </c>
      <c r="Q542" s="823" t="s">
        <v>1716</v>
      </c>
    </row>
    <row r="543" spans="2:17" s="608" customFormat="1" x14ac:dyDescent="0.25">
      <c r="B543" s="605" t="s">
        <v>1840</v>
      </c>
      <c r="C543" s="606">
        <f t="shared" si="16"/>
        <v>321999</v>
      </c>
      <c r="D543" s="607" t="s">
        <v>1841</v>
      </c>
      <c r="E543" s="607" t="s">
        <v>1776</v>
      </c>
      <c r="F543" s="607" t="s">
        <v>1777</v>
      </c>
      <c r="G543" s="607" t="s">
        <v>1019</v>
      </c>
      <c r="H543" s="607" t="s">
        <v>1019</v>
      </c>
      <c r="I543" s="607" t="s">
        <v>1020</v>
      </c>
      <c r="J543" s="608" t="str">
        <f t="shared" si="17"/>
        <v>Paper And Forest Products</v>
      </c>
      <c r="N543" s="822">
        <v>315240</v>
      </c>
      <c r="O543" s="822" t="s">
        <v>1746</v>
      </c>
      <c r="P543" s="823">
        <v>2385</v>
      </c>
      <c r="Q543" s="823" t="s">
        <v>1718</v>
      </c>
    </row>
    <row r="544" spans="2:17" s="608" customFormat="1" x14ac:dyDescent="0.25">
      <c r="B544" s="605" t="s">
        <v>1840</v>
      </c>
      <c r="C544" s="606">
        <f t="shared" si="16"/>
        <v>321999</v>
      </c>
      <c r="D544" s="607" t="s">
        <v>1841</v>
      </c>
      <c r="E544" s="607" t="s">
        <v>1756</v>
      </c>
      <c r="F544" s="607" t="s">
        <v>1757</v>
      </c>
      <c r="G544" s="607" t="s">
        <v>1019</v>
      </c>
      <c r="H544" s="607" t="s">
        <v>1019</v>
      </c>
      <c r="I544" s="607" t="s">
        <v>1020</v>
      </c>
      <c r="J544" s="608" t="str">
        <f t="shared" si="17"/>
        <v>Paper And Forest Products</v>
      </c>
      <c r="N544" s="822">
        <v>315240</v>
      </c>
      <c r="O544" s="822" t="s">
        <v>1746</v>
      </c>
      <c r="P544" s="823">
        <v>2389</v>
      </c>
      <c r="Q544" s="823" t="s">
        <v>1724</v>
      </c>
    </row>
    <row r="545" spans="2:17" s="608" customFormat="1" x14ac:dyDescent="0.25">
      <c r="B545" s="605" t="s">
        <v>1844</v>
      </c>
      <c r="C545" s="606">
        <f t="shared" si="16"/>
        <v>322110</v>
      </c>
      <c r="D545" s="607" t="s">
        <v>1845</v>
      </c>
      <c r="E545" s="607" t="s">
        <v>1846</v>
      </c>
      <c r="F545" s="607" t="s">
        <v>1845</v>
      </c>
      <c r="G545" s="607" t="s">
        <v>1019</v>
      </c>
      <c r="H545" s="607" t="s">
        <v>1019</v>
      </c>
      <c r="I545" s="607" t="s">
        <v>1020</v>
      </c>
      <c r="J545" s="608" t="str">
        <f t="shared" si="17"/>
        <v>Paper And Forest Products</v>
      </c>
      <c r="N545" s="822">
        <v>315240</v>
      </c>
      <c r="O545" s="822" t="s">
        <v>1746</v>
      </c>
      <c r="P545" s="823">
        <v>5699</v>
      </c>
      <c r="Q545" s="823" t="s">
        <v>1744</v>
      </c>
    </row>
    <row r="546" spans="2:17" s="608" customFormat="1" x14ac:dyDescent="0.25">
      <c r="B546" s="605" t="s">
        <v>1847</v>
      </c>
      <c r="C546" s="606">
        <f t="shared" si="16"/>
        <v>322121</v>
      </c>
      <c r="D546" s="607" t="s">
        <v>1848</v>
      </c>
      <c r="E546" s="607" t="s">
        <v>1846</v>
      </c>
      <c r="F546" s="607" t="s">
        <v>1845</v>
      </c>
      <c r="G546" s="607" t="s">
        <v>1019</v>
      </c>
      <c r="H546" s="607" t="s">
        <v>1019</v>
      </c>
      <c r="I546" s="607" t="s">
        <v>1020</v>
      </c>
      <c r="J546" s="608" t="str">
        <f t="shared" si="17"/>
        <v>Paper And Forest Products</v>
      </c>
      <c r="N546" s="822">
        <v>315280</v>
      </c>
      <c r="O546" s="822" t="s">
        <v>1748</v>
      </c>
      <c r="P546" s="823">
        <v>2329</v>
      </c>
      <c r="Q546" s="823" t="s">
        <v>1692</v>
      </c>
    </row>
    <row r="547" spans="2:17" s="608" customFormat="1" x14ac:dyDescent="0.25">
      <c r="B547" s="605" t="s">
        <v>1847</v>
      </c>
      <c r="C547" s="606">
        <f t="shared" si="16"/>
        <v>322121</v>
      </c>
      <c r="D547" s="607" t="s">
        <v>1848</v>
      </c>
      <c r="E547" s="607" t="s">
        <v>1849</v>
      </c>
      <c r="F547" s="607" t="s">
        <v>1850</v>
      </c>
      <c r="G547" s="607" t="s">
        <v>1019</v>
      </c>
      <c r="H547" s="607" t="s">
        <v>1019</v>
      </c>
      <c r="I547" s="607" t="s">
        <v>1020</v>
      </c>
      <c r="J547" s="608" t="str">
        <f t="shared" si="17"/>
        <v>Paper And Forest Products</v>
      </c>
      <c r="N547" s="822">
        <v>315280</v>
      </c>
      <c r="O547" s="822" t="s">
        <v>1748</v>
      </c>
      <c r="P547" s="823">
        <v>2339</v>
      </c>
      <c r="Q547" s="823" t="s">
        <v>1700</v>
      </c>
    </row>
    <row r="548" spans="2:17" s="608" customFormat="1" x14ac:dyDescent="0.25">
      <c r="B548" s="605" t="s">
        <v>1851</v>
      </c>
      <c r="C548" s="606">
        <f t="shared" si="16"/>
        <v>322122</v>
      </c>
      <c r="D548" s="607" t="s">
        <v>1852</v>
      </c>
      <c r="E548" s="607" t="s">
        <v>1846</v>
      </c>
      <c r="F548" s="607" t="s">
        <v>1845</v>
      </c>
      <c r="G548" s="607" t="s">
        <v>1019</v>
      </c>
      <c r="H548" s="607" t="s">
        <v>1019</v>
      </c>
      <c r="I548" s="607" t="s">
        <v>1020</v>
      </c>
      <c r="J548" s="608" t="str">
        <f t="shared" si="17"/>
        <v>Paper And Forest Products</v>
      </c>
      <c r="N548" s="822">
        <v>315280</v>
      </c>
      <c r="O548" s="822" t="s">
        <v>1748</v>
      </c>
      <c r="P548" s="823">
        <v>2371</v>
      </c>
      <c r="Q548" s="823" t="s">
        <v>1712</v>
      </c>
    </row>
    <row r="549" spans="2:17" s="608" customFormat="1" x14ac:dyDescent="0.25">
      <c r="B549" s="605" t="s">
        <v>1851</v>
      </c>
      <c r="C549" s="606">
        <f t="shared" si="16"/>
        <v>322122</v>
      </c>
      <c r="D549" s="607" t="s">
        <v>1852</v>
      </c>
      <c r="E549" s="607" t="s">
        <v>1849</v>
      </c>
      <c r="F549" s="607" t="s">
        <v>1850</v>
      </c>
      <c r="G549" s="607" t="s">
        <v>1019</v>
      </c>
      <c r="H549" s="607" t="s">
        <v>1019</v>
      </c>
      <c r="I549" s="607" t="s">
        <v>1020</v>
      </c>
      <c r="J549" s="608" t="str">
        <f t="shared" si="17"/>
        <v>Paper And Forest Products</v>
      </c>
      <c r="N549" s="822">
        <v>315280</v>
      </c>
      <c r="O549" s="822" t="s">
        <v>1748</v>
      </c>
      <c r="P549" s="823">
        <v>2385</v>
      </c>
      <c r="Q549" s="823" t="s">
        <v>1718</v>
      </c>
    </row>
    <row r="550" spans="2:17" s="608" customFormat="1" x14ac:dyDescent="0.25">
      <c r="B550" s="605" t="s">
        <v>1853</v>
      </c>
      <c r="C550" s="606">
        <f t="shared" si="16"/>
        <v>322130</v>
      </c>
      <c r="D550" s="607" t="s">
        <v>1854</v>
      </c>
      <c r="E550" s="607" t="s">
        <v>1846</v>
      </c>
      <c r="F550" s="607" t="s">
        <v>1845</v>
      </c>
      <c r="G550" s="607" t="s">
        <v>1019</v>
      </c>
      <c r="H550" s="607" t="s">
        <v>1019</v>
      </c>
      <c r="I550" s="607" t="s">
        <v>1020</v>
      </c>
      <c r="J550" s="608" t="str">
        <f t="shared" si="17"/>
        <v>Paper And Forest Products</v>
      </c>
      <c r="N550" s="822">
        <v>315280</v>
      </c>
      <c r="O550" s="822" t="s">
        <v>1748</v>
      </c>
      <c r="P550" s="823">
        <v>2386</v>
      </c>
      <c r="Q550" s="823" t="s">
        <v>1720</v>
      </c>
    </row>
    <row r="551" spans="2:17" s="608" customFormat="1" x14ac:dyDescent="0.25">
      <c r="B551" s="605" t="s">
        <v>1853</v>
      </c>
      <c r="C551" s="606">
        <f t="shared" si="16"/>
        <v>322130</v>
      </c>
      <c r="D551" s="607" t="s">
        <v>1854</v>
      </c>
      <c r="E551" s="607" t="s">
        <v>1855</v>
      </c>
      <c r="F551" s="607" t="s">
        <v>1854</v>
      </c>
      <c r="G551" s="607" t="s">
        <v>1019</v>
      </c>
      <c r="H551" s="607" t="s">
        <v>1019</v>
      </c>
      <c r="I551" s="607" t="s">
        <v>1020</v>
      </c>
      <c r="J551" s="608" t="str">
        <f t="shared" si="17"/>
        <v>Paper And Forest Products</v>
      </c>
      <c r="N551" s="822">
        <v>315280</v>
      </c>
      <c r="O551" s="822" t="s">
        <v>1748</v>
      </c>
      <c r="P551" s="823">
        <v>2389</v>
      </c>
      <c r="Q551" s="823" t="s">
        <v>1724</v>
      </c>
    </row>
    <row r="552" spans="2:17" s="608" customFormat="1" x14ac:dyDescent="0.25">
      <c r="B552" s="605" t="s">
        <v>1856</v>
      </c>
      <c r="C552" s="606">
        <f t="shared" si="16"/>
        <v>322211</v>
      </c>
      <c r="D552" s="607" t="s">
        <v>1857</v>
      </c>
      <c r="E552" s="607" t="s">
        <v>1858</v>
      </c>
      <c r="F552" s="607" t="s">
        <v>1859</v>
      </c>
      <c r="G552" s="607" t="s">
        <v>1019</v>
      </c>
      <c r="H552" s="607" t="s">
        <v>1019</v>
      </c>
      <c r="I552" s="607" t="s">
        <v>1020</v>
      </c>
      <c r="J552" s="608" t="str">
        <f t="shared" si="17"/>
        <v>Paper And Forest Products</v>
      </c>
      <c r="N552" s="822">
        <v>315280</v>
      </c>
      <c r="O552" s="822" t="s">
        <v>1748</v>
      </c>
      <c r="P552" s="823">
        <v>3069</v>
      </c>
      <c r="Q552" s="823" t="s">
        <v>1654</v>
      </c>
    </row>
    <row r="553" spans="2:17" s="608" customFormat="1" x14ac:dyDescent="0.25">
      <c r="B553" s="605" t="s">
        <v>1856</v>
      </c>
      <c r="C553" s="606">
        <f t="shared" si="16"/>
        <v>322211</v>
      </c>
      <c r="D553" s="607" t="s">
        <v>1857</v>
      </c>
      <c r="E553" s="607" t="s">
        <v>1860</v>
      </c>
      <c r="F553" s="607" t="s">
        <v>1861</v>
      </c>
      <c r="G553" s="607" t="s">
        <v>1019</v>
      </c>
      <c r="H553" s="607" t="s">
        <v>1019</v>
      </c>
      <c r="I553" s="607" t="s">
        <v>1020</v>
      </c>
      <c r="J553" s="608" t="str">
        <f t="shared" si="17"/>
        <v>Paper And Forest Products</v>
      </c>
      <c r="N553" s="822">
        <v>315291</v>
      </c>
      <c r="O553" s="822" t="s">
        <v>5868</v>
      </c>
      <c r="P553" s="823"/>
      <c r="Q553" s="823" t="s">
        <v>958</v>
      </c>
    </row>
    <row r="554" spans="2:17" s="608" customFormat="1" x14ac:dyDescent="0.25">
      <c r="B554" s="605" t="s">
        <v>1862</v>
      </c>
      <c r="C554" s="606">
        <f t="shared" si="16"/>
        <v>322212</v>
      </c>
      <c r="D554" s="607" t="s">
        <v>1863</v>
      </c>
      <c r="E554" s="607" t="s">
        <v>1864</v>
      </c>
      <c r="F554" s="607" t="s">
        <v>1865</v>
      </c>
      <c r="G554" s="607" t="s">
        <v>1019</v>
      </c>
      <c r="H554" s="607" t="s">
        <v>1019</v>
      </c>
      <c r="I554" s="607" t="s">
        <v>1020</v>
      </c>
      <c r="J554" s="608" t="str">
        <f t="shared" si="17"/>
        <v>Paper And Forest Products</v>
      </c>
      <c r="N554" s="823">
        <v>315292</v>
      </c>
      <c r="O554" s="823" t="s">
        <v>5869</v>
      </c>
      <c r="P554" s="823"/>
      <c r="Q554" s="823" t="s">
        <v>958</v>
      </c>
    </row>
    <row r="555" spans="2:17" s="608" customFormat="1" x14ac:dyDescent="0.25">
      <c r="B555" s="605" t="s">
        <v>1866</v>
      </c>
      <c r="C555" s="606">
        <f t="shared" si="16"/>
        <v>322219</v>
      </c>
      <c r="D555" s="607" t="s">
        <v>1867</v>
      </c>
      <c r="E555" s="607" t="s">
        <v>1868</v>
      </c>
      <c r="F555" s="607" t="s">
        <v>1869</v>
      </c>
      <c r="G555" s="607" t="s">
        <v>1019</v>
      </c>
      <c r="H555" s="607" t="s">
        <v>1019</v>
      </c>
      <c r="I555" s="607" t="s">
        <v>1020</v>
      </c>
      <c r="J555" s="608" t="str">
        <f t="shared" si="17"/>
        <v>Paper And Forest Products</v>
      </c>
      <c r="N555" s="823">
        <v>315299</v>
      </c>
      <c r="O555" s="823" t="s">
        <v>5870</v>
      </c>
      <c r="P555" s="823"/>
      <c r="Q555" s="823" t="s">
        <v>958</v>
      </c>
    </row>
    <row r="556" spans="2:17" s="608" customFormat="1" x14ac:dyDescent="0.25">
      <c r="B556" s="605" t="s">
        <v>1866</v>
      </c>
      <c r="C556" s="606">
        <f t="shared" si="16"/>
        <v>322219</v>
      </c>
      <c r="D556" s="607" t="s">
        <v>1867</v>
      </c>
      <c r="E556" s="607" t="s">
        <v>1870</v>
      </c>
      <c r="F556" s="607" t="s">
        <v>1871</v>
      </c>
      <c r="G556" s="607" t="s">
        <v>1019</v>
      </c>
      <c r="H556" s="607" t="s">
        <v>1019</v>
      </c>
      <c r="I556" s="607" t="s">
        <v>1020</v>
      </c>
      <c r="J556" s="608" t="str">
        <f t="shared" si="17"/>
        <v>Paper And Forest Products</v>
      </c>
      <c r="N556" s="822">
        <v>315990</v>
      </c>
      <c r="O556" s="822" t="s">
        <v>1750</v>
      </c>
      <c r="P556" s="823">
        <v>2323</v>
      </c>
      <c r="Q556" s="823" t="s">
        <v>1686</v>
      </c>
    </row>
    <row r="557" spans="2:17" s="608" customFormat="1" x14ac:dyDescent="0.25">
      <c r="B557" s="605" t="s">
        <v>1866</v>
      </c>
      <c r="C557" s="606">
        <f t="shared" si="16"/>
        <v>322219</v>
      </c>
      <c r="D557" s="607" t="s">
        <v>1867</v>
      </c>
      <c r="E557" s="607" t="s">
        <v>1872</v>
      </c>
      <c r="F557" s="607" t="s">
        <v>1873</v>
      </c>
      <c r="G557" s="607" t="s">
        <v>1019</v>
      </c>
      <c r="H557" s="607" t="s">
        <v>1019</v>
      </c>
      <c r="I557" s="607" t="s">
        <v>1020</v>
      </c>
      <c r="J557" s="608" t="str">
        <f t="shared" si="17"/>
        <v>Paper And Forest Products</v>
      </c>
      <c r="N557" s="822">
        <v>315990</v>
      </c>
      <c r="O557" s="822" t="s">
        <v>1750</v>
      </c>
      <c r="P557" s="823">
        <v>2339</v>
      </c>
      <c r="Q557" s="823" t="s">
        <v>1700</v>
      </c>
    </row>
    <row r="558" spans="2:17" s="608" customFormat="1" x14ac:dyDescent="0.25">
      <c r="B558" s="605" t="s">
        <v>1874</v>
      </c>
      <c r="C558" s="606">
        <f t="shared" si="16"/>
        <v>322220</v>
      </c>
      <c r="D558" s="607" t="s">
        <v>1875</v>
      </c>
      <c r="E558" s="607" t="s">
        <v>1876</v>
      </c>
      <c r="F558" s="607" t="s">
        <v>1877</v>
      </c>
      <c r="G558" s="607" t="s">
        <v>1019</v>
      </c>
      <c r="H558" s="607" t="s">
        <v>1019</v>
      </c>
      <c r="I558" s="607" t="s">
        <v>1020</v>
      </c>
      <c r="J558" s="608" t="str">
        <f t="shared" si="17"/>
        <v>Paper And Forest Products</v>
      </c>
      <c r="N558" s="822">
        <v>315990</v>
      </c>
      <c r="O558" s="822" t="s">
        <v>1750</v>
      </c>
      <c r="P558" s="823">
        <v>2353</v>
      </c>
      <c r="Q558" s="823" t="s">
        <v>1706</v>
      </c>
    </row>
    <row r="559" spans="2:17" s="608" customFormat="1" x14ac:dyDescent="0.25">
      <c r="B559" s="605" t="s">
        <v>1874</v>
      </c>
      <c r="C559" s="606">
        <f t="shared" si="16"/>
        <v>322220</v>
      </c>
      <c r="D559" s="607" t="s">
        <v>1875</v>
      </c>
      <c r="E559" s="607" t="s">
        <v>1878</v>
      </c>
      <c r="F559" s="607" t="s">
        <v>1879</v>
      </c>
      <c r="G559" s="607" t="s">
        <v>1019</v>
      </c>
      <c r="H559" s="607" t="s">
        <v>1019</v>
      </c>
      <c r="I559" s="607" t="s">
        <v>1020</v>
      </c>
      <c r="J559" s="608" t="str">
        <f t="shared" si="17"/>
        <v>Paper And Forest Products</v>
      </c>
      <c r="N559" s="822">
        <v>315990</v>
      </c>
      <c r="O559" s="822" t="s">
        <v>1750</v>
      </c>
      <c r="P559" s="823">
        <v>2381</v>
      </c>
      <c r="Q559" s="823" t="s">
        <v>1714</v>
      </c>
    </row>
    <row r="560" spans="2:17" s="608" customFormat="1" x14ac:dyDescent="0.25">
      <c r="B560" s="605" t="s">
        <v>1874</v>
      </c>
      <c r="C560" s="606">
        <f t="shared" si="16"/>
        <v>322220</v>
      </c>
      <c r="D560" s="607" t="s">
        <v>1875</v>
      </c>
      <c r="E560" s="607" t="s">
        <v>1880</v>
      </c>
      <c r="F560" s="607" t="s">
        <v>1881</v>
      </c>
      <c r="G560" s="607" t="s">
        <v>1019</v>
      </c>
      <c r="H560" s="607" t="s">
        <v>1019</v>
      </c>
      <c r="I560" s="607" t="s">
        <v>1020</v>
      </c>
      <c r="J560" s="608" t="str">
        <f t="shared" si="17"/>
        <v>Paper And Forest Products</v>
      </c>
      <c r="N560" s="822">
        <v>315990</v>
      </c>
      <c r="O560" s="822" t="s">
        <v>1750</v>
      </c>
      <c r="P560" s="823">
        <v>2385</v>
      </c>
      <c r="Q560" s="823" t="s">
        <v>1718</v>
      </c>
    </row>
    <row r="561" spans="2:17" s="608" customFormat="1" x14ac:dyDescent="0.25">
      <c r="B561" s="605" t="s">
        <v>1874</v>
      </c>
      <c r="C561" s="606">
        <f t="shared" si="16"/>
        <v>322220</v>
      </c>
      <c r="D561" s="607" t="s">
        <v>1875</v>
      </c>
      <c r="E561" s="607" t="s">
        <v>1882</v>
      </c>
      <c r="F561" s="607" t="s">
        <v>1883</v>
      </c>
      <c r="G561" s="607" t="s">
        <v>1019</v>
      </c>
      <c r="H561" s="607" t="s">
        <v>1019</v>
      </c>
      <c r="I561" s="607" t="s">
        <v>1020</v>
      </c>
      <c r="J561" s="608" t="str">
        <f t="shared" si="17"/>
        <v>Paper And Forest Products</v>
      </c>
      <c r="N561" s="822">
        <v>315990</v>
      </c>
      <c r="O561" s="822" t="s">
        <v>1750</v>
      </c>
      <c r="P561" s="823">
        <v>2387</v>
      </c>
      <c r="Q561" s="823" t="s">
        <v>1722</v>
      </c>
    </row>
    <row r="562" spans="2:17" s="608" customFormat="1" x14ac:dyDescent="0.25">
      <c r="B562" s="605" t="s">
        <v>1874</v>
      </c>
      <c r="C562" s="606">
        <f t="shared" si="16"/>
        <v>322220</v>
      </c>
      <c r="D562" s="607" t="s">
        <v>1875</v>
      </c>
      <c r="E562" s="607" t="s">
        <v>1884</v>
      </c>
      <c r="F562" s="607" t="s">
        <v>1885</v>
      </c>
      <c r="G562" s="607" t="s">
        <v>1019</v>
      </c>
      <c r="H562" s="607" t="s">
        <v>1019</v>
      </c>
      <c r="I562" s="607" t="s">
        <v>1020</v>
      </c>
      <c r="J562" s="608" t="str">
        <f t="shared" si="17"/>
        <v>Paper And Forest Products</v>
      </c>
      <c r="N562" s="822">
        <v>315990</v>
      </c>
      <c r="O562" s="822" t="s">
        <v>1750</v>
      </c>
      <c r="P562" s="823">
        <v>2389</v>
      </c>
      <c r="Q562" s="823" t="s">
        <v>1724</v>
      </c>
    </row>
    <row r="563" spans="2:17" s="608" customFormat="1" x14ac:dyDescent="0.25">
      <c r="B563" s="605" t="s">
        <v>1874</v>
      </c>
      <c r="C563" s="606">
        <f t="shared" si="16"/>
        <v>322220</v>
      </c>
      <c r="D563" s="607" t="s">
        <v>1875</v>
      </c>
      <c r="E563" s="607" t="s">
        <v>1860</v>
      </c>
      <c r="F563" s="607" t="s">
        <v>1861</v>
      </c>
      <c r="G563" s="607" t="s">
        <v>1019</v>
      </c>
      <c r="H563" s="607" t="s">
        <v>1019</v>
      </c>
      <c r="I563" s="607" t="s">
        <v>1020</v>
      </c>
      <c r="J563" s="608" t="str">
        <f t="shared" si="17"/>
        <v>Paper And Forest Products</v>
      </c>
      <c r="N563" s="822">
        <v>315990</v>
      </c>
      <c r="O563" s="822" t="s">
        <v>1750</v>
      </c>
      <c r="P563" s="823">
        <v>2396</v>
      </c>
      <c r="Q563" s="823" t="s">
        <v>1728</v>
      </c>
    </row>
    <row r="564" spans="2:17" s="608" customFormat="1" x14ac:dyDescent="0.25">
      <c r="B564" s="605" t="s">
        <v>1874</v>
      </c>
      <c r="C564" s="606">
        <f t="shared" si="16"/>
        <v>322220</v>
      </c>
      <c r="D564" s="607" t="s">
        <v>1875</v>
      </c>
      <c r="E564" s="607" t="s">
        <v>1886</v>
      </c>
      <c r="F564" s="607" t="s">
        <v>1887</v>
      </c>
      <c r="G564" s="607" t="s">
        <v>1100</v>
      </c>
      <c r="H564" s="607" t="s">
        <v>1100</v>
      </c>
      <c r="I564" s="607" t="s">
        <v>1101</v>
      </c>
      <c r="J564" s="608" t="str">
        <f t="shared" si="17"/>
        <v>Metals And Mining</v>
      </c>
      <c r="N564" s="822">
        <v>315990</v>
      </c>
      <c r="O564" s="822" t="s">
        <v>1750</v>
      </c>
      <c r="P564" s="823">
        <v>2399</v>
      </c>
      <c r="Q564" s="823" t="s">
        <v>1730</v>
      </c>
    </row>
    <row r="565" spans="2:17" s="608" customFormat="1" x14ac:dyDescent="0.25">
      <c r="B565" s="605" t="s">
        <v>1888</v>
      </c>
      <c r="C565" s="606">
        <f t="shared" si="16"/>
        <v>322230</v>
      </c>
      <c r="D565" s="607" t="s">
        <v>1889</v>
      </c>
      <c r="E565" s="607" t="s">
        <v>1884</v>
      </c>
      <c r="F565" s="607" t="s">
        <v>1885</v>
      </c>
      <c r="G565" s="607" t="s">
        <v>1019</v>
      </c>
      <c r="H565" s="607" t="s">
        <v>1019</v>
      </c>
      <c r="I565" s="607" t="s">
        <v>1020</v>
      </c>
      <c r="J565" s="608" t="str">
        <f t="shared" si="17"/>
        <v>Paper And Forest Products</v>
      </c>
      <c r="N565" s="822">
        <v>315990</v>
      </c>
      <c r="O565" s="822" t="s">
        <v>1750</v>
      </c>
      <c r="P565" s="823">
        <v>3069</v>
      </c>
      <c r="Q565" s="823" t="s">
        <v>1654</v>
      </c>
    </row>
    <row r="566" spans="2:17" s="608" customFormat="1" x14ac:dyDescent="0.25">
      <c r="B566" s="605" t="s">
        <v>1888</v>
      </c>
      <c r="C566" s="606">
        <f t="shared" si="16"/>
        <v>322230</v>
      </c>
      <c r="D566" s="607" t="s">
        <v>1889</v>
      </c>
      <c r="E566" s="607" t="s">
        <v>1890</v>
      </c>
      <c r="F566" s="607" t="s">
        <v>1891</v>
      </c>
      <c r="G566" s="607" t="s">
        <v>1019</v>
      </c>
      <c r="H566" s="607" t="s">
        <v>1019</v>
      </c>
      <c r="I566" s="607" t="s">
        <v>1020</v>
      </c>
      <c r="J566" s="608" t="str">
        <f t="shared" si="17"/>
        <v>Paper And Forest Products</v>
      </c>
      <c r="N566" s="822">
        <v>315990</v>
      </c>
      <c r="O566" s="822" t="s">
        <v>1750</v>
      </c>
      <c r="P566" s="823">
        <v>3151</v>
      </c>
      <c r="Q566" s="823" t="s">
        <v>1732</v>
      </c>
    </row>
    <row r="567" spans="2:17" s="608" customFormat="1" x14ac:dyDescent="0.25">
      <c r="B567" s="605" t="s">
        <v>1888</v>
      </c>
      <c r="C567" s="606">
        <f t="shared" si="16"/>
        <v>322230</v>
      </c>
      <c r="D567" s="607" t="s">
        <v>1889</v>
      </c>
      <c r="E567" s="607" t="s">
        <v>1892</v>
      </c>
      <c r="F567" s="607" t="s">
        <v>1893</v>
      </c>
      <c r="G567" s="607" t="s">
        <v>1019</v>
      </c>
      <c r="H567" s="607" t="s">
        <v>1019</v>
      </c>
      <c r="I567" s="607" t="s">
        <v>1020</v>
      </c>
      <c r="J567" s="608" t="str">
        <f t="shared" si="17"/>
        <v>Paper And Forest Products</v>
      </c>
      <c r="N567" s="823">
        <v>315991</v>
      </c>
      <c r="O567" s="823" t="s">
        <v>5871</v>
      </c>
      <c r="P567" s="823"/>
      <c r="Q567" s="823" t="s">
        <v>958</v>
      </c>
    </row>
    <row r="568" spans="2:17" s="608" customFormat="1" x14ac:dyDescent="0.25">
      <c r="B568" s="605" t="s">
        <v>1888</v>
      </c>
      <c r="C568" s="606">
        <f t="shared" si="16"/>
        <v>322230</v>
      </c>
      <c r="D568" s="607" t="s">
        <v>1889</v>
      </c>
      <c r="E568" s="607" t="s">
        <v>1860</v>
      </c>
      <c r="F568" s="607" t="s">
        <v>1861</v>
      </c>
      <c r="G568" s="607" t="s">
        <v>1019</v>
      </c>
      <c r="H568" s="607" t="s">
        <v>1019</v>
      </c>
      <c r="I568" s="607" t="s">
        <v>1020</v>
      </c>
      <c r="J568" s="608" t="str">
        <f t="shared" si="17"/>
        <v>Paper And Forest Products</v>
      </c>
      <c r="N568" s="823">
        <v>315992</v>
      </c>
      <c r="O568" s="823" t="s">
        <v>5872</v>
      </c>
      <c r="P568" s="823"/>
      <c r="Q568" s="823" t="s">
        <v>958</v>
      </c>
    </row>
    <row r="569" spans="2:17" s="608" customFormat="1" x14ac:dyDescent="0.25">
      <c r="B569" s="605" t="s">
        <v>1894</v>
      </c>
      <c r="C569" s="606">
        <f t="shared" si="16"/>
        <v>322291</v>
      </c>
      <c r="D569" s="607" t="s">
        <v>1895</v>
      </c>
      <c r="E569" s="607" t="s">
        <v>1896</v>
      </c>
      <c r="F569" s="607" t="s">
        <v>1897</v>
      </c>
      <c r="G569" s="607" t="s">
        <v>1019</v>
      </c>
      <c r="H569" s="607" t="s">
        <v>1019</v>
      </c>
      <c r="I569" s="607" t="s">
        <v>1020</v>
      </c>
      <c r="J569" s="608" t="str">
        <f t="shared" si="17"/>
        <v>Paper And Forest Products</v>
      </c>
      <c r="N569" s="823">
        <v>315993</v>
      </c>
      <c r="O569" s="823" t="s">
        <v>5873</v>
      </c>
      <c r="P569" s="823"/>
      <c r="Q569" s="823" t="s">
        <v>958</v>
      </c>
    </row>
    <row r="570" spans="2:17" s="608" customFormat="1" x14ac:dyDescent="0.25">
      <c r="B570" s="605" t="s">
        <v>1894</v>
      </c>
      <c r="C570" s="606">
        <f t="shared" si="16"/>
        <v>322291</v>
      </c>
      <c r="D570" s="607" t="s">
        <v>1895</v>
      </c>
      <c r="E570" s="607" t="s">
        <v>1898</v>
      </c>
      <c r="F570" s="607" t="s">
        <v>1899</v>
      </c>
      <c r="G570" s="607" t="s">
        <v>837</v>
      </c>
      <c r="H570" s="607" t="s">
        <v>837</v>
      </c>
      <c r="I570" s="607" t="s">
        <v>838</v>
      </c>
      <c r="J570" s="608" t="str">
        <f t="shared" si="17"/>
        <v>Food</v>
      </c>
      <c r="N570" s="823">
        <v>315999</v>
      </c>
      <c r="O570" s="823" t="s">
        <v>5874</v>
      </c>
      <c r="P570" s="823"/>
      <c r="Q570" s="823" t="s">
        <v>958</v>
      </c>
    </row>
    <row r="571" spans="2:17" s="608" customFormat="1" x14ac:dyDescent="0.25">
      <c r="B571" s="605" t="s">
        <v>1900</v>
      </c>
      <c r="C571" s="606">
        <f t="shared" si="16"/>
        <v>322299</v>
      </c>
      <c r="D571" s="607" t="s">
        <v>1901</v>
      </c>
      <c r="E571" s="607" t="s">
        <v>1884</v>
      </c>
      <c r="F571" s="607" t="s">
        <v>1885</v>
      </c>
      <c r="G571" s="607" t="s">
        <v>1019</v>
      </c>
      <c r="H571" s="607" t="s">
        <v>1019</v>
      </c>
      <c r="I571" s="607" t="s">
        <v>1020</v>
      </c>
      <c r="J571" s="608" t="str">
        <f t="shared" si="17"/>
        <v>Paper And Forest Products</v>
      </c>
      <c r="N571" s="822">
        <v>316110</v>
      </c>
      <c r="O571" s="822" t="s">
        <v>1752</v>
      </c>
      <c r="P571" s="823">
        <v>3111</v>
      </c>
      <c r="Q571" s="823" t="s">
        <v>1754</v>
      </c>
    </row>
    <row r="572" spans="2:17" s="608" customFormat="1" x14ac:dyDescent="0.25">
      <c r="B572" s="605" t="s">
        <v>1900</v>
      </c>
      <c r="C572" s="606">
        <f t="shared" si="16"/>
        <v>322299</v>
      </c>
      <c r="D572" s="607" t="s">
        <v>1901</v>
      </c>
      <c r="E572" s="607" t="s">
        <v>1860</v>
      </c>
      <c r="F572" s="607" t="s">
        <v>1861</v>
      </c>
      <c r="G572" s="607" t="s">
        <v>1019</v>
      </c>
      <c r="H572" s="607" t="s">
        <v>1019</v>
      </c>
      <c r="I572" s="607" t="s">
        <v>1020</v>
      </c>
      <c r="J572" s="608" t="str">
        <f t="shared" si="17"/>
        <v>Paper And Forest Products</v>
      </c>
      <c r="N572" s="822">
        <v>316110</v>
      </c>
      <c r="O572" s="822" t="s">
        <v>1752</v>
      </c>
      <c r="P572" s="823">
        <v>3999</v>
      </c>
      <c r="Q572" s="823" t="s">
        <v>1757</v>
      </c>
    </row>
    <row r="573" spans="2:17" s="608" customFormat="1" x14ac:dyDescent="0.25">
      <c r="B573" s="605" t="s">
        <v>1902</v>
      </c>
      <c r="C573" s="606">
        <f t="shared" si="16"/>
        <v>323111</v>
      </c>
      <c r="D573" s="607" t="s">
        <v>1903</v>
      </c>
      <c r="E573" s="607" t="s">
        <v>1904</v>
      </c>
      <c r="F573" s="607" t="s">
        <v>1905</v>
      </c>
      <c r="G573" s="607" t="s">
        <v>1019</v>
      </c>
      <c r="H573" s="607" t="s">
        <v>1019</v>
      </c>
      <c r="I573" s="607" t="s">
        <v>1906</v>
      </c>
      <c r="J573" s="608" t="str">
        <f t="shared" si="17"/>
        <v>Media</v>
      </c>
      <c r="N573" s="822">
        <v>316210</v>
      </c>
      <c r="O573" s="822" t="s">
        <v>1759</v>
      </c>
      <c r="P573" s="823">
        <v>3021</v>
      </c>
      <c r="Q573" s="823" t="s">
        <v>1761</v>
      </c>
    </row>
    <row r="574" spans="2:17" s="608" customFormat="1" x14ac:dyDescent="0.25">
      <c r="B574" s="605" t="s">
        <v>1902</v>
      </c>
      <c r="C574" s="606">
        <f t="shared" si="16"/>
        <v>323111</v>
      </c>
      <c r="D574" s="607" t="s">
        <v>1903</v>
      </c>
      <c r="E574" s="607" t="s">
        <v>1907</v>
      </c>
      <c r="F574" s="607" t="s">
        <v>1908</v>
      </c>
      <c r="G574" s="607" t="s">
        <v>1019</v>
      </c>
      <c r="H574" s="607" t="s">
        <v>1019</v>
      </c>
      <c r="I574" s="607" t="s">
        <v>1906</v>
      </c>
      <c r="J574" s="608" t="str">
        <f t="shared" si="17"/>
        <v>Media</v>
      </c>
      <c r="N574" s="822">
        <v>316210</v>
      </c>
      <c r="O574" s="822" t="s">
        <v>1759</v>
      </c>
      <c r="P574" s="823">
        <v>3142</v>
      </c>
      <c r="Q574" s="823" t="s">
        <v>1763</v>
      </c>
    </row>
    <row r="575" spans="2:17" s="608" customFormat="1" x14ac:dyDescent="0.25">
      <c r="B575" s="605" t="s">
        <v>1902</v>
      </c>
      <c r="C575" s="606">
        <f t="shared" si="16"/>
        <v>323111</v>
      </c>
      <c r="D575" s="607" t="s">
        <v>1903</v>
      </c>
      <c r="E575" s="607" t="s">
        <v>1909</v>
      </c>
      <c r="F575" s="607" t="s">
        <v>1910</v>
      </c>
      <c r="G575" s="607" t="s">
        <v>1019</v>
      </c>
      <c r="H575" s="607" t="s">
        <v>1019</v>
      </c>
      <c r="I575" s="607" t="s">
        <v>1906</v>
      </c>
      <c r="J575" s="608" t="str">
        <f t="shared" si="17"/>
        <v>Media</v>
      </c>
      <c r="N575" s="822">
        <v>316210</v>
      </c>
      <c r="O575" s="822" t="s">
        <v>1759</v>
      </c>
      <c r="P575" s="823">
        <v>3143</v>
      </c>
      <c r="Q575" s="823" t="s">
        <v>1765</v>
      </c>
    </row>
    <row r="576" spans="2:17" s="608" customFormat="1" x14ac:dyDescent="0.25">
      <c r="B576" s="605" t="s">
        <v>1902</v>
      </c>
      <c r="C576" s="606">
        <f t="shared" si="16"/>
        <v>323111</v>
      </c>
      <c r="D576" s="607" t="s">
        <v>1903</v>
      </c>
      <c r="E576" s="607" t="s">
        <v>1911</v>
      </c>
      <c r="F576" s="607" t="s">
        <v>1912</v>
      </c>
      <c r="G576" s="607" t="s">
        <v>1019</v>
      </c>
      <c r="H576" s="607" t="s">
        <v>1019</v>
      </c>
      <c r="I576" s="607" t="s">
        <v>1906</v>
      </c>
      <c r="J576" s="608" t="str">
        <f t="shared" si="17"/>
        <v>Media</v>
      </c>
      <c r="N576" s="822">
        <v>316210</v>
      </c>
      <c r="O576" s="822" t="s">
        <v>1759</v>
      </c>
      <c r="P576" s="823">
        <v>3144</v>
      </c>
      <c r="Q576" s="823" t="s">
        <v>1767</v>
      </c>
    </row>
    <row r="577" spans="2:17" s="608" customFormat="1" x14ac:dyDescent="0.25">
      <c r="B577" s="605" t="s">
        <v>1902</v>
      </c>
      <c r="C577" s="606">
        <f t="shared" si="16"/>
        <v>323111</v>
      </c>
      <c r="D577" s="607" t="s">
        <v>1903</v>
      </c>
      <c r="E577" s="607" t="s">
        <v>1913</v>
      </c>
      <c r="F577" s="607" t="s">
        <v>1914</v>
      </c>
      <c r="G577" s="607" t="s">
        <v>1019</v>
      </c>
      <c r="H577" s="607" t="s">
        <v>1019</v>
      </c>
      <c r="I577" s="607" t="s">
        <v>1906</v>
      </c>
      <c r="J577" s="608" t="str">
        <f t="shared" si="17"/>
        <v>Media</v>
      </c>
      <c r="N577" s="822">
        <v>316210</v>
      </c>
      <c r="O577" s="822" t="s">
        <v>1759</v>
      </c>
      <c r="P577" s="823">
        <v>3149</v>
      </c>
      <c r="Q577" s="823" t="s">
        <v>1769</v>
      </c>
    </row>
    <row r="578" spans="2:17" s="608" customFormat="1" x14ac:dyDescent="0.25">
      <c r="B578" s="605" t="s">
        <v>1902</v>
      </c>
      <c r="C578" s="606">
        <f t="shared" ref="C578:C641" si="18">B578+0</f>
        <v>323111</v>
      </c>
      <c r="D578" s="607" t="s">
        <v>1903</v>
      </c>
      <c r="E578" s="607" t="s">
        <v>1915</v>
      </c>
      <c r="F578" s="607" t="s">
        <v>1916</v>
      </c>
      <c r="G578" s="607" t="s">
        <v>1019</v>
      </c>
      <c r="H578" s="607" t="s">
        <v>1019</v>
      </c>
      <c r="I578" s="607" t="s">
        <v>1906</v>
      </c>
      <c r="J578" s="608" t="str">
        <f t="shared" ref="J578:J641" si="19">PROPER(I578)</f>
        <v>Media</v>
      </c>
      <c r="N578" s="823">
        <v>316211</v>
      </c>
      <c r="O578" s="823" t="s">
        <v>5875</v>
      </c>
      <c r="P578" s="823"/>
      <c r="Q578" s="823" t="s">
        <v>958</v>
      </c>
    </row>
    <row r="579" spans="2:17" s="608" customFormat="1" x14ac:dyDescent="0.25">
      <c r="B579" s="605" t="s">
        <v>1902</v>
      </c>
      <c r="C579" s="606">
        <f t="shared" si="18"/>
        <v>323111</v>
      </c>
      <c r="D579" s="607" t="s">
        <v>1903</v>
      </c>
      <c r="E579" s="607" t="s">
        <v>1917</v>
      </c>
      <c r="F579" s="607" t="s">
        <v>1918</v>
      </c>
      <c r="G579" s="607" t="s">
        <v>1019</v>
      </c>
      <c r="H579" s="607" t="s">
        <v>1019</v>
      </c>
      <c r="I579" s="607" t="s">
        <v>1906</v>
      </c>
      <c r="J579" s="608" t="str">
        <f t="shared" si="19"/>
        <v>Media</v>
      </c>
      <c r="N579" s="823">
        <v>316212</v>
      </c>
      <c r="O579" s="823" t="s">
        <v>5876</v>
      </c>
      <c r="P579" s="823"/>
      <c r="Q579" s="823" t="s">
        <v>958</v>
      </c>
    </row>
    <row r="580" spans="2:17" s="608" customFormat="1" x14ac:dyDescent="0.25">
      <c r="B580" s="605" t="s">
        <v>1919</v>
      </c>
      <c r="C580" s="606">
        <f t="shared" si="18"/>
        <v>323113</v>
      </c>
      <c r="D580" s="607" t="s">
        <v>1920</v>
      </c>
      <c r="E580" s="607" t="s">
        <v>1727</v>
      </c>
      <c r="F580" s="607" t="s">
        <v>1728</v>
      </c>
      <c r="G580" s="607" t="s">
        <v>1019</v>
      </c>
      <c r="H580" s="607" t="s">
        <v>1019</v>
      </c>
      <c r="I580" s="607" t="s">
        <v>1921</v>
      </c>
      <c r="J580" s="608" t="str">
        <f t="shared" si="19"/>
        <v>Commercial &amp; Professional Services</v>
      </c>
      <c r="N580" s="823">
        <v>316213</v>
      </c>
      <c r="O580" s="823" t="s">
        <v>5877</v>
      </c>
      <c r="P580" s="823"/>
      <c r="Q580" s="823" t="s">
        <v>958</v>
      </c>
    </row>
    <row r="581" spans="2:17" s="608" customFormat="1" x14ac:dyDescent="0.25">
      <c r="B581" s="605" t="s">
        <v>1919</v>
      </c>
      <c r="C581" s="606">
        <f t="shared" si="18"/>
        <v>323113</v>
      </c>
      <c r="D581" s="607" t="s">
        <v>1920</v>
      </c>
      <c r="E581" s="607" t="s">
        <v>1909</v>
      </c>
      <c r="F581" s="607" t="s">
        <v>1910</v>
      </c>
      <c r="G581" s="607" t="s">
        <v>1019</v>
      </c>
      <c r="H581" s="607" t="s">
        <v>1019</v>
      </c>
      <c r="I581" s="607" t="s">
        <v>1921</v>
      </c>
      <c r="J581" s="608" t="str">
        <f t="shared" si="19"/>
        <v>Commercial &amp; Professional Services</v>
      </c>
      <c r="N581" s="823">
        <v>316214</v>
      </c>
      <c r="O581" s="823" t="s">
        <v>5878</v>
      </c>
      <c r="P581" s="823"/>
      <c r="Q581" s="823" t="s">
        <v>958</v>
      </c>
    </row>
    <row r="582" spans="2:17" s="608" customFormat="1" x14ac:dyDescent="0.25">
      <c r="B582" s="605" t="s">
        <v>1919</v>
      </c>
      <c r="C582" s="606">
        <f t="shared" si="18"/>
        <v>323113</v>
      </c>
      <c r="D582" s="607" t="s">
        <v>1920</v>
      </c>
      <c r="E582" s="607" t="s">
        <v>1913</v>
      </c>
      <c r="F582" s="607" t="s">
        <v>1914</v>
      </c>
      <c r="G582" s="607" t="s">
        <v>1019</v>
      </c>
      <c r="H582" s="607" t="s">
        <v>1019</v>
      </c>
      <c r="I582" s="607" t="s">
        <v>1921</v>
      </c>
      <c r="J582" s="608" t="str">
        <f t="shared" si="19"/>
        <v>Commercial &amp; Professional Services</v>
      </c>
      <c r="N582" s="823">
        <v>316219</v>
      </c>
      <c r="O582" s="823" t="s">
        <v>5879</v>
      </c>
      <c r="P582" s="823"/>
      <c r="Q582" s="823" t="s">
        <v>958</v>
      </c>
    </row>
    <row r="583" spans="2:17" s="608" customFormat="1" x14ac:dyDescent="0.25">
      <c r="B583" s="605" t="s">
        <v>1919</v>
      </c>
      <c r="C583" s="606">
        <f t="shared" si="18"/>
        <v>323113</v>
      </c>
      <c r="D583" s="607" t="s">
        <v>1920</v>
      </c>
      <c r="E583" s="607" t="s">
        <v>1922</v>
      </c>
      <c r="F583" s="607" t="s">
        <v>1923</v>
      </c>
      <c r="G583" s="607" t="s">
        <v>1019</v>
      </c>
      <c r="H583" s="607" t="s">
        <v>1019</v>
      </c>
      <c r="I583" s="607" t="s">
        <v>1921</v>
      </c>
      <c r="J583" s="608" t="str">
        <f t="shared" si="19"/>
        <v>Commercial &amp; Professional Services</v>
      </c>
      <c r="N583" s="823">
        <v>316991</v>
      </c>
      <c r="O583" s="823" t="s">
        <v>5880</v>
      </c>
      <c r="P583" s="823"/>
      <c r="Q583" s="823" t="s">
        <v>958</v>
      </c>
    </row>
    <row r="584" spans="2:17" s="608" customFormat="1" x14ac:dyDescent="0.25">
      <c r="B584" s="605" t="s">
        <v>1924</v>
      </c>
      <c r="C584" s="606">
        <f t="shared" si="18"/>
        <v>323117</v>
      </c>
      <c r="D584" s="607" t="s">
        <v>1925</v>
      </c>
      <c r="E584" s="607" t="s">
        <v>1926</v>
      </c>
      <c r="F584" s="607" t="s">
        <v>1927</v>
      </c>
      <c r="G584" s="607" t="s">
        <v>1019</v>
      </c>
      <c r="H584" s="607" t="s">
        <v>1019</v>
      </c>
      <c r="I584" s="607" t="s">
        <v>1921</v>
      </c>
      <c r="J584" s="608" t="str">
        <f t="shared" si="19"/>
        <v>Commercial &amp; Professional Services</v>
      </c>
      <c r="N584" s="822">
        <v>316992</v>
      </c>
      <c r="O584" s="822" t="s">
        <v>1771</v>
      </c>
      <c r="P584" s="823">
        <v>3171</v>
      </c>
      <c r="Q584" s="823" t="s">
        <v>1773</v>
      </c>
    </row>
    <row r="585" spans="2:17" s="608" customFormat="1" x14ac:dyDescent="0.25">
      <c r="B585" s="605" t="s">
        <v>1928</v>
      </c>
      <c r="C585" s="606">
        <f t="shared" si="18"/>
        <v>323120</v>
      </c>
      <c r="D585" s="607" t="s">
        <v>1929</v>
      </c>
      <c r="E585" s="607" t="s">
        <v>1930</v>
      </c>
      <c r="F585" s="607" t="s">
        <v>1931</v>
      </c>
      <c r="G585" s="607" t="s">
        <v>1019</v>
      </c>
      <c r="H585" s="607" t="s">
        <v>1019</v>
      </c>
      <c r="I585" s="607" t="s">
        <v>1906</v>
      </c>
      <c r="J585" s="608" t="str">
        <f t="shared" si="19"/>
        <v>Media</v>
      </c>
      <c r="N585" s="823">
        <v>316993</v>
      </c>
      <c r="O585" s="823" t="s">
        <v>5881</v>
      </c>
      <c r="P585" s="823"/>
      <c r="Q585" s="823" t="s">
        <v>958</v>
      </c>
    </row>
    <row r="586" spans="2:17" s="608" customFormat="1" x14ac:dyDescent="0.25">
      <c r="B586" s="605" t="s">
        <v>1928</v>
      </c>
      <c r="C586" s="606">
        <f t="shared" si="18"/>
        <v>323120</v>
      </c>
      <c r="D586" s="607" t="s">
        <v>1929</v>
      </c>
      <c r="E586" s="607" t="s">
        <v>1932</v>
      </c>
      <c r="F586" s="607" t="s">
        <v>1933</v>
      </c>
      <c r="G586" s="607" t="s">
        <v>1019</v>
      </c>
      <c r="H586" s="607" t="s">
        <v>1019</v>
      </c>
      <c r="I586" s="607" t="s">
        <v>1906</v>
      </c>
      <c r="J586" s="608" t="str">
        <f t="shared" si="19"/>
        <v>Media</v>
      </c>
      <c r="N586" s="822">
        <v>316998</v>
      </c>
      <c r="O586" s="822" t="s">
        <v>1775</v>
      </c>
      <c r="P586" s="823">
        <v>3131</v>
      </c>
      <c r="Q586" s="823" t="s">
        <v>1777</v>
      </c>
    </row>
    <row r="587" spans="2:17" s="608" customFormat="1" x14ac:dyDescent="0.25">
      <c r="B587" s="605" t="s">
        <v>1928</v>
      </c>
      <c r="C587" s="606">
        <f t="shared" si="18"/>
        <v>323120</v>
      </c>
      <c r="D587" s="607" t="s">
        <v>1929</v>
      </c>
      <c r="E587" s="607" t="s">
        <v>1934</v>
      </c>
      <c r="F587" s="607" t="s">
        <v>1935</v>
      </c>
      <c r="G587" s="607" t="s">
        <v>1019</v>
      </c>
      <c r="H587" s="607" t="s">
        <v>1019</v>
      </c>
      <c r="I587" s="607" t="s">
        <v>1906</v>
      </c>
      <c r="J587" s="608" t="str">
        <f t="shared" si="19"/>
        <v>Media</v>
      </c>
      <c r="N587" s="822">
        <v>316998</v>
      </c>
      <c r="O587" s="822" t="s">
        <v>1775</v>
      </c>
      <c r="P587" s="823">
        <v>3161</v>
      </c>
      <c r="Q587" s="823" t="s">
        <v>1779</v>
      </c>
    </row>
    <row r="588" spans="2:17" s="608" customFormat="1" x14ac:dyDescent="0.25">
      <c r="B588" s="605" t="s">
        <v>1936</v>
      </c>
      <c r="C588" s="606">
        <f t="shared" si="18"/>
        <v>324110</v>
      </c>
      <c r="D588" s="607" t="s">
        <v>1937</v>
      </c>
      <c r="E588" s="607" t="s">
        <v>1938</v>
      </c>
      <c r="F588" s="607" t="s">
        <v>1939</v>
      </c>
      <c r="G588" s="607" t="s">
        <v>1080</v>
      </c>
      <c r="H588" s="607" t="s">
        <v>1080</v>
      </c>
      <c r="I588" s="608" t="s">
        <v>1081</v>
      </c>
      <c r="J588" s="608" t="str">
        <f t="shared" si="19"/>
        <v>Oil And Gas</v>
      </c>
      <c r="N588" s="822">
        <v>316998</v>
      </c>
      <c r="O588" s="822" t="s">
        <v>1775</v>
      </c>
      <c r="P588" s="823">
        <v>3172</v>
      </c>
      <c r="Q588" s="823" t="s">
        <v>1781</v>
      </c>
    </row>
    <row r="589" spans="2:17" s="608" customFormat="1" x14ac:dyDescent="0.25">
      <c r="B589" s="605" t="s">
        <v>1940</v>
      </c>
      <c r="C589" s="606">
        <f t="shared" si="18"/>
        <v>324121</v>
      </c>
      <c r="D589" s="607" t="s">
        <v>1941</v>
      </c>
      <c r="E589" s="605" t="s">
        <v>1942</v>
      </c>
      <c r="F589" s="607" t="s">
        <v>1943</v>
      </c>
      <c r="G589" s="607" t="s">
        <v>1019</v>
      </c>
      <c r="H589" s="607" t="s">
        <v>1019</v>
      </c>
      <c r="I589" s="607" t="s">
        <v>1755</v>
      </c>
      <c r="J589" s="608" t="str">
        <f t="shared" si="19"/>
        <v>Manufacturing</v>
      </c>
      <c r="N589" s="822">
        <v>316998</v>
      </c>
      <c r="O589" s="822" t="s">
        <v>1775</v>
      </c>
      <c r="P589" s="823">
        <v>3199</v>
      </c>
      <c r="Q589" s="823" t="s">
        <v>1783</v>
      </c>
    </row>
    <row r="590" spans="2:17" s="608" customFormat="1" x14ac:dyDescent="0.25">
      <c r="B590" s="605" t="s">
        <v>1944</v>
      </c>
      <c r="C590" s="606">
        <f t="shared" si="18"/>
        <v>324122</v>
      </c>
      <c r="D590" s="607" t="s">
        <v>1945</v>
      </c>
      <c r="E590" s="605" t="s">
        <v>1946</v>
      </c>
      <c r="F590" s="607" t="s">
        <v>1947</v>
      </c>
      <c r="G590" s="607" t="s">
        <v>1019</v>
      </c>
      <c r="H590" s="607" t="s">
        <v>1019</v>
      </c>
      <c r="I590" s="607" t="s">
        <v>1755</v>
      </c>
      <c r="J590" s="608" t="str">
        <f t="shared" si="19"/>
        <v>Manufacturing</v>
      </c>
      <c r="N590" s="823">
        <v>316999</v>
      </c>
      <c r="O590" s="823" t="s">
        <v>1775</v>
      </c>
      <c r="P590" s="823"/>
      <c r="Q590" s="823" t="s">
        <v>958</v>
      </c>
    </row>
    <row r="591" spans="2:17" s="608" customFormat="1" x14ac:dyDescent="0.25">
      <c r="B591" s="605" t="s">
        <v>1948</v>
      </c>
      <c r="C591" s="606">
        <f t="shared" si="18"/>
        <v>324191</v>
      </c>
      <c r="D591" s="607" t="s">
        <v>1949</v>
      </c>
      <c r="E591" s="605" t="s">
        <v>1950</v>
      </c>
      <c r="F591" s="607" t="s">
        <v>1951</v>
      </c>
      <c r="G591" s="607" t="s">
        <v>1019</v>
      </c>
      <c r="H591" s="607" t="s">
        <v>1019</v>
      </c>
      <c r="I591" s="607" t="s">
        <v>1755</v>
      </c>
      <c r="J591" s="608" t="str">
        <f t="shared" si="19"/>
        <v>Manufacturing</v>
      </c>
      <c r="N591" s="822">
        <v>321113</v>
      </c>
      <c r="O591" s="822" t="s">
        <v>1785</v>
      </c>
      <c r="P591" s="823">
        <v>2421</v>
      </c>
      <c r="Q591" s="823" t="s">
        <v>1787</v>
      </c>
    </row>
    <row r="592" spans="2:17" s="608" customFormat="1" x14ac:dyDescent="0.25">
      <c r="B592" s="605" t="s">
        <v>1952</v>
      </c>
      <c r="C592" s="606">
        <f t="shared" si="18"/>
        <v>324199</v>
      </c>
      <c r="D592" s="607" t="s">
        <v>1953</v>
      </c>
      <c r="E592" s="607" t="s">
        <v>1954</v>
      </c>
      <c r="F592" s="607" t="s">
        <v>1955</v>
      </c>
      <c r="G592" s="607" t="s">
        <v>1080</v>
      </c>
      <c r="H592" s="607" t="s">
        <v>1080</v>
      </c>
      <c r="I592" s="607" t="s">
        <v>1080</v>
      </c>
      <c r="J592" s="608" t="str">
        <f t="shared" si="19"/>
        <v>Energy</v>
      </c>
      <c r="N592" s="822">
        <v>321113</v>
      </c>
      <c r="O592" s="822" t="s">
        <v>1785</v>
      </c>
      <c r="P592" s="823">
        <v>2426</v>
      </c>
      <c r="Q592" s="823" t="s">
        <v>1789</v>
      </c>
    </row>
    <row r="593" spans="2:17" s="608" customFormat="1" x14ac:dyDescent="0.25">
      <c r="B593" s="605" t="s">
        <v>1952</v>
      </c>
      <c r="C593" s="606">
        <f t="shared" si="18"/>
        <v>324199</v>
      </c>
      <c r="D593" s="607" t="s">
        <v>1953</v>
      </c>
      <c r="E593" s="607" t="s">
        <v>1956</v>
      </c>
      <c r="F593" s="607" t="s">
        <v>1957</v>
      </c>
      <c r="G593" s="607" t="s">
        <v>1080</v>
      </c>
      <c r="H593" s="607" t="s">
        <v>1080</v>
      </c>
      <c r="I593" s="607" t="s">
        <v>1080</v>
      </c>
      <c r="J593" s="608" t="str">
        <f t="shared" si="19"/>
        <v>Energy</v>
      </c>
      <c r="N593" s="822">
        <v>321113</v>
      </c>
      <c r="O593" s="822" t="s">
        <v>1785</v>
      </c>
      <c r="P593" s="823">
        <v>2429</v>
      </c>
      <c r="Q593" s="823" t="s">
        <v>1791</v>
      </c>
    </row>
    <row r="594" spans="2:17" s="608" customFormat="1" x14ac:dyDescent="0.25">
      <c r="B594" s="605" t="s">
        <v>1958</v>
      </c>
      <c r="C594" s="606">
        <f t="shared" si="18"/>
        <v>325110</v>
      </c>
      <c r="D594" s="607" t="s">
        <v>1959</v>
      </c>
      <c r="E594" s="607" t="s">
        <v>1960</v>
      </c>
      <c r="F594" s="607" t="s">
        <v>1961</v>
      </c>
      <c r="G594" s="607" t="s">
        <v>1100</v>
      </c>
      <c r="H594" s="607" t="s">
        <v>1100</v>
      </c>
      <c r="I594" s="607" t="s">
        <v>1962</v>
      </c>
      <c r="J594" s="608" t="str">
        <f t="shared" si="19"/>
        <v>Chemicals</v>
      </c>
      <c r="N594" s="822">
        <v>321114</v>
      </c>
      <c r="O594" s="822" t="s">
        <v>1793</v>
      </c>
      <c r="P594" s="823">
        <v>2491</v>
      </c>
      <c r="Q594" s="823" t="s">
        <v>1795</v>
      </c>
    </row>
    <row r="595" spans="2:17" s="608" customFormat="1" x14ac:dyDescent="0.25">
      <c r="B595" s="605" t="s">
        <v>1958</v>
      </c>
      <c r="C595" s="606">
        <f t="shared" si="18"/>
        <v>325110</v>
      </c>
      <c r="D595" s="607" t="s">
        <v>1959</v>
      </c>
      <c r="E595" s="607" t="s">
        <v>1963</v>
      </c>
      <c r="F595" s="607" t="s">
        <v>1964</v>
      </c>
      <c r="G595" s="607" t="s">
        <v>1100</v>
      </c>
      <c r="H595" s="607" t="s">
        <v>1100</v>
      </c>
      <c r="I595" s="607" t="s">
        <v>1962</v>
      </c>
      <c r="J595" s="608" t="str">
        <f t="shared" si="19"/>
        <v>Chemicals</v>
      </c>
      <c r="N595" s="822">
        <v>321211</v>
      </c>
      <c r="O595" s="822" t="s">
        <v>1797</v>
      </c>
      <c r="P595" s="823">
        <v>2435</v>
      </c>
      <c r="Q595" s="823" t="s">
        <v>1799</v>
      </c>
    </row>
    <row r="596" spans="2:17" s="608" customFormat="1" x14ac:dyDescent="0.25">
      <c r="B596" s="605" t="s">
        <v>1965</v>
      </c>
      <c r="C596" s="606">
        <f t="shared" si="18"/>
        <v>325120</v>
      </c>
      <c r="D596" s="607" t="s">
        <v>1966</v>
      </c>
      <c r="E596" s="607" t="s">
        <v>1967</v>
      </c>
      <c r="F596" s="607" t="s">
        <v>1968</v>
      </c>
      <c r="G596" s="607" t="s">
        <v>1100</v>
      </c>
      <c r="H596" s="607" t="s">
        <v>1100</v>
      </c>
      <c r="I596" s="607" t="s">
        <v>1962</v>
      </c>
      <c r="J596" s="608" t="str">
        <f t="shared" si="19"/>
        <v>Chemicals</v>
      </c>
      <c r="N596" s="822">
        <v>321212</v>
      </c>
      <c r="O596" s="822" t="s">
        <v>1801</v>
      </c>
      <c r="P596" s="823">
        <v>2436</v>
      </c>
      <c r="Q596" s="823" t="s">
        <v>1803</v>
      </c>
    </row>
    <row r="597" spans="2:17" s="608" customFormat="1" x14ac:dyDescent="0.25">
      <c r="B597" s="605" t="s">
        <v>1965</v>
      </c>
      <c r="C597" s="606">
        <f t="shared" si="18"/>
        <v>325120</v>
      </c>
      <c r="D597" s="607" t="s">
        <v>1966</v>
      </c>
      <c r="E597" s="607" t="s">
        <v>1963</v>
      </c>
      <c r="F597" s="607" t="s">
        <v>1964</v>
      </c>
      <c r="G597" s="607" t="s">
        <v>1100</v>
      </c>
      <c r="H597" s="607" t="s">
        <v>1100</v>
      </c>
      <c r="I597" s="607" t="s">
        <v>1962</v>
      </c>
      <c r="J597" s="608" t="str">
        <f t="shared" si="19"/>
        <v>Chemicals</v>
      </c>
      <c r="N597" s="822">
        <v>321213</v>
      </c>
      <c r="O597" s="822" t="s">
        <v>1805</v>
      </c>
      <c r="P597" s="823">
        <v>2439</v>
      </c>
      <c r="Q597" s="823" t="s">
        <v>1807</v>
      </c>
    </row>
    <row r="598" spans="2:17" s="608" customFormat="1" x14ac:dyDescent="0.25">
      <c r="B598" s="605" t="s">
        <v>1969</v>
      </c>
      <c r="C598" s="606">
        <f t="shared" si="18"/>
        <v>325130</v>
      </c>
      <c r="D598" s="607" t="s">
        <v>1970</v>
      </c>
      <c r="E598" s="607" t="s">
        <v>1971</v>
      </c>
      <c r="F598" s="607" t="s">
        <v>1972</v>
      </c>
      <c r="G598" s="607" t="s">
        <v>1100</v>
      </c>
      <c r="H598" s="607" t="s">
        <v>1100</v>
      </c>
      <c r="I598" s="607" t="s">
        <v>1962</v>
      </c>
      <c r="J598" s="608" t="str">
        <f t="shared" si="19"/>
        <v>Chemicals</v>
      </c>
      <c r="N598" s="822">
        <v>321214</v>
      </c>
      <c r="O598" s="822" t="s">
        <v>1809</v>
      </c>
      <c r="P598" s="823">
        <v>2439</v>
      </c>
      <c r="Q598" s="823" t="s">
        <v>1807</v>
      </c>
    </row>
    <row r="599" spans="2:17" s="608" customFormat="1" x14ac:dyDescent="0.25">
      <c r="B599" s="605" t="s">
        <v>1969</v>
      </c>
      <c r="C599" s="606">
        <f t="shared" si="18"/>
        <v>325130</v>
      </c>
      <c r="D599" s="607" t="s">
        <v>1970</v>
      </c>
      <c r="E599" s="607" t="s">
        <v>1086</v>
      </c>
      <c r="F599" s="607" t="s">
        <v>1087</v>
      </c>
      <c r="G599" s="607" t="s">
        <v>1100</v>
      </c>
      <c r="H599" s="607" t="s">
        <v>1100</v>
      </c>
      <c r="I599" s="607" t="s">
        <v>1962</v>
      </c>
      <c r="J599" s="608" t="str">
        <f t="shared" si="19"/>
        <v>Chemicals</v>
      </c>
      <c r="N599" s="822">
        <v>321219</v>
      </c>
      <c r="O599" s="822" t="s">
        <v>1811</v>
      </c>
      <c r="P599" s="823">
        <v>2493</v>
      </c>
      <c r="Q599" s="823" t="s">
        <v>1813</v>
      </c>
    </row>
    <row r="600" spans="2:17" s="608" customFormat="1" ht="18" x14ac:dyDescent="0.3">
      <c r="B600" s="605" t="s">
        <v>1969</v>
      </c>
      <c r="C600" s="606">
        <f t="shared" si="18"/>
        <v>325130</v>
      </c>
      <c r="D600" s="607" t="s">
        <v>1970</v>
      </c>
      <c r="E600" s="607" t="s">
        <v>1960</v>
      </c>
      <c r="F600" s="607" t="s">
        <v>1961</v>
      </c>
      <c r="G600" s="607" t="s">
        <v>1100</v>
      </c>
      <c r="H600" s="607" t="s">
        <v>1100</v>
      </c>
      <c r="I600" s="607" t="s">
        <v>1962</v>
      </c>
      <c r="J600" s="608" t="str">
        <f t="shared" si="19"/>
        <v>Chemicals</v>
      </c>
      <c r="N600" s="822">
        <v>321900</v>
      </c>
      <c r="O600" s="824" t="s">
        <v>5882</v>
      </c>
      <c r="P600" s="823"/>
      <c r="Q600" s="823" t="s">
        <v>958</v>
      </c>
    </row>
    <row r="601" spans="2:17" s="608" customFormat="1" x14ac:dyDescent="0.25">
      <c r="B601" s="605" t="s">
        <v>1973</v>
      </c>
      <c r="C601" s="606">
        <f t="shared" si="18"/>
        <v>325180</v>
      </c>
      <c r="D601" s="607" t="s">
        <v>1974</v>
      </c>
      <c r="E601" s="607" t="s">
        <v>1975</v>
      </c>
      <c r="F601" s="607" t="s">
        <v>1976</v>
      </c>
      <c r="G601" s="607" t="s">
        <v>1100</v>
      </c>
      <c r="H601" s="607" t="s">
        <v>1100</v>
      </c>
      <c r="I601" s="607" t="s">
        <v>1962</v>
      </c>
      <c r="J601" s="608" t="str">
        <f t="shared" si="19"/>
        <v>Chemicals</v>
      </c>
      <c r="N601" s="822">
        <v>321911</v>
      </c>
      <c r="O601" s="822" t="s">
        <v>1815</v>
      </c>
      <c r="P601" s="823">
        <v>2431</v>
      </c>
      <c r="Q601" s="823" t="s">
        <v>1817</v>
      </c>
    </row>
    <row r="602" spans="2:17" s="608" customFormat="1" x14ac:dyDescent="0.25">
      <c r="B602" s="605" t="s">
        <v>1973</v>
      </c>
      <c r="C602" s="606">
        <f t="shared" si="18"/>
        <v>325180</v>
      </c>
      <c r="D602" s="607" t="s">
        <v>1974</v>
      </c>
      <c r="E602" s="607" t="s">
        <v>1971</v>
      </c>
      <c r="F602" s="607" t="s">
        <v>1972</v>
      </c>
      <c r="G602" s="607" t="s">
        <v>1100</v>
      </c>
      <c r="H602" s="607" t="s">
        <v>1100</v>
      </c>
      <c r="I602" s="607" t="s">
        <v>1962</v>
      </c>
      <c r="J602" s="608" t="str">
        <f t="shared" si="19"/>
        <v>Chemicals</v>
      </c>
      <c r="N602" s="822">
        <v>321912</v>
      </c>
      <c r="O602" s="822" t="s">
        <v>1819</v>
      </c>
      <c r="P602" s="823">
        <v>2421</v>
      </c>
      <c r="Q602" s="823" t="s">
        <v>1787</v>
      </c>
    </row>
    <row r="603" spans="2:17" s="608" customFormat="1" x14ac:dyDescent="0.25">
      <c r="B603" s="605" t="s">
        <v>1973</v>
      </c>
      <c r="C603" s="606">
        <f t="shared" si="18"/>
        <v>325180</v>
      </c>
      <c r="D603" s="607" t="s">
        <v>1974</v>
      </c>
      <c r="E603" s="607" t="s">
        <v>1086</v>
      </c>
      <c r="F603" s="607" t="s">
        <v>1087</v>
      </c>
      <c r="G603" s="607" t="s">
        <v>1100</v>
      </c>
      <c r="H603" s="607" t="s">
        <v>1100</v>
      </c>
      <c r="I603" s="607" t="s">
        <v>1962</v>
      </c>
      <c r="J603" s="608" t="str">
        <f t="shared" si="19"/>
        <v>Chemicals</v>
      </c>
      <c r="N603" s="822">
        <v>321912</v>
      </c>
      <c r="O603" s="822" t="s">
        <v>1819</v>
      </c>
      <c r="P603" s="823">
        <v>2426</v>
      </c>
      <c r="Q603" s="823" t="s">
        <v>1789</v>
      </c>
    </row>
    <row r="604" spans="2:17" s="608" customFormat="1" x14ac:dyDescent="0.25">
      <c r="B604" s="605" t="s">
        <v>1973</v>
      </c>
      <c r="C604" s="606">
        <f t="shared" si="18"/>
        <v>325180</v>
      </c>
      <c r="D604" s="607" t="s">
        <v>1974</v>
      </c>
      <c r="E604" s="607" t="s">
        <v>1963</v>
      </c>
      <c r="F604" s="607" t="s">
        <v>1964</v>
      </c>
      <c r="G604" s="607" t="s">
        <v>1100</v>
      </c>
      <c r="H604" s="607" t="s">
        <v>1100</v>
      </c>
      <c r="I604" s="607" t="s">
        <v>1962</v>
      </c>
      <c r="J604" s="608" t="str">
        <f t="shared" si="19"/>
        <v>Chemicals</v>
      </c>
      <c r="N604" s="822">
        <v>321918</v>
      </c>
      <c r="O604" s="822" t="s">
        <v>1821</v>
      </c>
      <c r="P604" s="823">
        <v>2421</v>
      </c>
      <c r="Q604" s="823" t="s">
        <v>1787</v>
      </c>
    </row>
    <row r="605" spans="2:17" s="608" customFormat="1" x14ac:dyDescent="0.25">
      <c r="B605" s="605" t="s">
        <v>1973</v>
      </c>
      <c r="C605" s="606">
        <f t="shared" si="18"/>
        <v>325180</v>
      </c>
      <c r="D605" s="607" t="s">
        <v>1974</v>
      </c>
      <c r="E605" s="607" t="s">
        <v>1977</v>
      </c>
      <c r="F605" s="607" t="s">
        <v>1978</v>
      </c>
      <c r="G605" s="607" t="s">
        <v>1100</v>
      </c>
      <c r="H605" s="607" t="s">
        <v>1100</v>
      </c>
      <c r="I605" s="607" t="s">
        <v>1962</v>
      </c>
      <c r="J605" s="608" t="str">
        <f t="shared" si="19"/>
        <v>Chemicals</v>
      </c>
      <c r="N605" s="822">
        <v>321918</v>
      </c>
      <c r="O605" s="822" t="s">
        <v>1821</v>
      </c>
      <c r="P605" s="823">
        <v>2426</v>
      </c>
      <c r="Q605" s="823" t="s">
        <v>1789</v>
      </c>
    </row>
    <row r="606" spans="2:17" s="608" customFormat="1" x14ac:dyDescent="0.25">
      <c r="B606" s="605" t="s">
        <v>1979</v>
      </c>
      <c r="C606" s="606">
        <f t="shared" si="18"/>
        <v>325193</v>
      </c>
      <c r="D606" s="607" t="s">
        <v>1980</v>
      </c>
      <c r="E606" s="607" t="s">
        <v>1963</v>
      </c>
      <c r="F606" s="607" t="s">
        <v>1964</v>
      </c>
      <c r="G606" s="607" t="s">
        <v>1100</v>
      </c>
      <c r="H606" s="607" t="s">
        <v>1100</v>
      </c>
      <c r="I606" s="607" t="s">
        <v>1962</v>
      </c>
      <c r="J606" s="608" t="str">
        <f t="shared" si="19"/>
        <v>Chemicals</v>
      </c>
      <c r="N606" s="822">
        <v>321918</v>
      </c>
      <c r="O606" s="822" t="s">
        <v>1821</v>
      </c>
      <c r="P606" s="823">
        <v>2431</v>
      </c>
      <c r="Q606" s="823" t="s">
        <v>1817</v>
      </c>
    </row>
    <row r="607" spans="2:17" s="608" customFormat="1" x14ac:dyDescent="0.25">
      <c r="B607" s="605" t="s">
        <v>1981</v>
      </c>
      <c r="C607" s="606">
        <f t="shared" si="18"/>
        <v>325194</v>
      </c>
      <c r="D607" s="607" t="s">
        <v>1982</v>
      </c>
      <c r="E607" s="607" t="s">
        <v>1983</v>
      </c>
      <c r="F607" s="607" t="s">
        <v>1984</v>
      </c>
      <c r="G607" s="607" t="s">
        <v>1100</v>
      </c>
      <c r="H607" s="607" t="s">
        <v>1100</v>
      </c>
      <c r="I607" s="607" t="s">
        <v>1962</v>
      </c>
      <c r="J607" s="608" t="str">
        <f t="shared" si="19"/>
        <v>Chemicals</v>
      </c>
      <c r="N607" s="822">
        <v>321920</v>
      </c>
      <c r="O607" s="822" t="s">
        <v>1823</v>
      </c>
      <c r="P607" s="823">
        <v>2421</v>
      </c>
      <c r="Q607" s="823" t="s">
        <v>1787</v>
      </c>
    </row>
    <row r="608" spans="2:17" s="608" customFormat="1" x14ac:dyDescent="0.25">
      <c r="B608" s="605" t="s">
        <v>1981</v>
      </c>
      <c r="C608" s="606">
        <f t="shared" si="18"/>
        <v>325194</v>
      </c>
      <c r="D608" s="607" t="s">
        <v>1982</v>
      </c>
      <c r="E608" s="607" t="s">
        <v>1960</v>
      </c>
      <c r="F608" s="607" t="s">
        <v>1961</v>
      </c>
      <c r="G608" s="607" t="s">
        <v>1100</v>
      </c>
      <c r="H608" s="607" t="s">
        <v>1100</v>
      </c>
      <c r="I608" s="607" t="s">
        <v>1962</v>
      </c>
      <c r="J608" s="608" t="str">
        <f t="shared" si="19"/>
        <v>Chemicals</v>
      </c>
      <c r="N608" s="822">
        <v>321920</v>
      </c>
      <c r="O608" s="822" t="s">
        <v>1823</v>
      </c>
      <c r="P608" s="823">
        <v>2429</v>
      </c>
      <c r="Q608" s="823" t="s">
        <v>1791</v>
      </c>
    </row>
    <row r="609" spans="2:17" s="608" customFormat="1" x14ac:dyDescent="0.25">
      <c r="B609" s="605" t="s">
        <v>1981</v>
      </c>
      <c r="C609" s="606">
        <f t="shared" si="18"/>
        <v>325194</v>
      </c>
      <c r="D609" s="607" t="s">
        <v>1982</v>
      </c>
      <c r="E609" s="607" t="s">
        <v>1963</v>
      </c>
      <c r="F609" s="607" t="s">
        <v>1964</v>
      </c>
      <c r="G609" s="607" t="s">
        <v>1100</v>
      </c>
      <c r="H609" s="607" t="s">
        <v>1100</v>
      </c>
      <c r="I609" s="607" t="s">
        <v>1962</v>
      </c>
      <c r="J609" s="608" t="str">
        <f t="shared" si="19"/>
        <v>Chemicals</v>
      </c>
      <c r="N609" s="822">
        <v>321920</v>
      </c>
      <c r="O609" s="822" t="s">
        <v>1823</v>
      </c>
      <c r="P609" s="823">
        <v>2441</v>
      </c>
      <c r="Q609" s="823" t="s">
        <v>1825</v>
      </c>
    </row>
    <row r="610" spans="2:17" s="608" customFormat="1" x14ac:dyDescent="0.25">
      <c r="B610" s="605" t="s">
        <v>1985</v>
      </c>
      <c r="C610" s="606">
        <f t="shared" si="18"/>
        <v>325199</v>
      </c>
      <c r="D610" s="607" t="s">
        <v>1986</v>
      </c>
      <c r="E610" s="607" t="s">
        <v>1963</v>
      </c>
      <c r="F610" s="607" t="s">
        <v>1964</v>
      </c>
      <c r="G610" s="607" t="s">
        <v>1100</v>
      </c>
      <c r="H610" s="607" t="s">
        <v>1100</v>
      </c>
      <c r="I610" s="607" t="s">
        <v>1962</v>
      </c>
      <c r="J610" s="608" t="str">
        <f t="shared" si="19"/>
        <v>Chemicals</v>
      </c>
      <c r="N610" s="822">
        <v>321920</v>
      </c>
      <c r="O610" s="822" t="s">
        <v>1823</v>
      </c>
      <c r="P610" s="823">
        <v>2448</v>
      </c>
      <c r="Q610" s="823" t="s">
        <v>1827</v>
      </c>
    </row>
    <row r="611" spans="2:17" s="608" customFormat="1" x14ac:dyDescent="0.25">
      <c r="B611" s="605" t="s">
        <v>1985</v>
      </c>
      <c r="C611" s="606">
        <f t="shared" si="18"/>
        <v>325199</v>
      </c>
      <c r="D611" s="607" t="s">
        <v>1986</v>
      </c>
      <c r="E611" s="607" t="s">
        <v>1550</v>
      </c>
      <c r="F611" s="607" t="s">
        <v>1551</v>
      </c>
      <c r="G611" s="607" t="s">
        <v>1100</v>
      </c>
      <c r="H611" s="607" t="s">
        <v>1100</v>
      </c>
      <c r="I611" s="607" t="s">
        <v>1962</v>
      </c>
      <c r="J611" s="608" t="str">
        <f t="shared" si="19"/>
        <v>Chemicals</v>
      </c>
      <c r="N611" s="822">
        <v>321920</v>
      </c>
      <c r="O611" s="822" t="s">
        <v>1823</v>
      </c>
      <c r="P611" s="823">
        <v>2449</v>
      </c>
      <c r="Q611" s="823" t="s">
        <v>1829</v>
      </c>
    </row>
    <row r="612" spans="2:17" s="608" customFormat="1" x14ac:dyDescent="0.25">
      <c r="B612" s="605" t="s">
        <v>1987</v>
      </c>
      <c r="C612" s="606">
        <f t="shared" si="18"/>
        <v>325211</v>
      </c>
      <c r="D612" s="607" t="s">
        <v>1988</v>
      </c>
      <c r="E612" s="607" t="s">
        <v>1989</v>
      </c>
      <c r="F612" s="607" t="s">
        <v>1990</v>
      </c>
      <c r="G612" s="607" t="s">
        <v>1100</v>
      </c>
      <c r="H612" s="607" t="s">
        <v>1100</v>
      </c>
      <c r="I612" s="607" t="s">
        <v>1962</v>
      </c>
      <c r="J612" s="608" t="str">
        <f t="shared" si="19"/>
        <v>Chemicals</v>
      </c>
      <c r="N612" s="822">
        <v>321920</v>
      </c>
      <c r="O612" s="822" t="s">
        <v>1823</v>
      </c>
      <c r="P612" s="823">
        <v>2499</v>
      </c>
      <c r="Q612" s="823" t="s">
        <v>1831</v>
      </c>
    </row>
    <row r="613" spans="2:17" s="608" customFormat="1" x14ac:dyDescent="0.25">
      <c r="B613" s="605" t="s">
        <v>1991</v>
      </c>
      <c r="C613" s="606">
        <f t="shared" si="18"/>
        <v>325212</v>
      </c>
      <c r="D613" s="607" t="s">
        <v>1992</v>
      </c>
      <c r="E613" s="607" t="s">
        <v>1993</v>
      </c>
      <c r="F613" s="607" t="s">
        <v>1994</v>
      </c>
      <c r="G613" s="607" t="s">
        <v>1100</v>
      </c>
      <c r="H613" s="607" t="s">
        <v>1100</v>
      </c>
      <c r="I613" s="607" t="s">
        <v>1962</v>
      </c>
      <c r="J613" s="608" t="str">
        <f t="shared" si="19"/>
        <v>Chemicals</v>
      </c>
      <c r="N613" s="822">
        <v>321991</v>
      </c>
      <c r="O613" s="822" t="s">
        <v>1833</v>
      </c>
      <c r="P613" s="823">
        <v>2451</v>
      </c>
      <c r="Q613" s="823" t="s">
        <v>1835</v>
      </c>
    </row>
    <row r="614" spans="2:17" s="608" customFormat="1" x14ac:dyDescent="0.25">
      <c r="B614" s="605" t="s">
        <v>1995</v>
      </c>
      <c r="C614" s="606">
        <f t="shared" si="18"/>
        <v>325220</v>
      </c>
      <c r="D614" s="607" t="s">
        <v>1996</v>
      </c>
      <c r="E614" s="607" t="s">
        <v>1997</v>
      </c>
      <c r="F614" s="607" t="s">
        <v>1998</v>
      </c>
      <c r="G614" s="607" t="s">
        <v>1100</v>
      </c>
      <c r="H614" s="607" t="s">
        <v>1100</v>
      </c>
      <c r="I614" s="607" t="s">
        <v>1962</v>
      </c>
      <c r="J614" s="608" t="str">
        <f t="shared" si="19"/>
        <v>Chemicals</v>
      </c>
      <c r="N614" s="822">
        <v>321992</v>
      </c>
      <c r="O614" s="822" t="s">
        <v>1837</v>
      </c>
      <c r="P614" s="823">
        <v>2452</v>
      </c>
      <c r="Q614" s="823" t="s">
        <v>1839</v>
      </c>
    </row>
    <row r="615" spans="2:17" s="608" customFormat="1" x14ac:dyDescent="0.25">
      <c r="B615" s="605" t="s">
        <v>1995</v>
      </c>
      <c r="C615" s="606">
        <f t="shared" si="18"/>
        <v>325220</v>
      </c>
      <c r="D615" s="607" t="s">
        <v>1996</v>
      </c>
      <c r="E615" s="607" t="s">
        <v>1999</v>
      </c>
      <c r="F615" s="607" t="s">
        <v>2000</v>
      </c>
      <c r="G615" s="607" t="s">
        <v>1100</v>
      </c>
      <c r="H615" s="607" t="s">
        <v>1100</v>
      </c>
      <c r="I615" s="607" t="s">
        <v>1962</v>
      </c>
      <c r="J615" s="608" t="str">
        <f t="shared" si="19"/>
        <v>Chemicals</v>
      </c>
      <c r="N615" s="822">
        <v>321999</v>
      </c>
      <c r="O615" s="822" t="s">
        <v>1841</v>
      </c>
      <c r="P615" s="823">
        <v>2421</v>
      </c>
      <c r="Q615" s="823" t="s">
        <v>1787</v>
      </c>
    </row>
    <row r="616" spans="2:17" s="608" customFormat="1" x14ac:dyDescent="0.25">
      <c r="B616" s="605" t="s">
        <v>2001</v>
      </c>
      <c r="C616" s="606">
        <f t="shared" si="18"/>
        <v>325311</v>
      </c>
      <c r="D616" s="607" t="s">
        <v>2002</v>
      </c>
      <c r="E616" s="607" t="s">
        <v>2003</v>
      </c>
      <c r="F616" s="607" t="s">
        <v>2004</v>
      </c>
      <c r="G616" s="607" t="s">
        <v>1100</v>
      </c>
      <c r="H616" s="607" t="s">
        <v>1100</v>
      </c>
      <c r="I616" s="607" t="s">
        <v>1962</v>
      </c>
      <c r="J616" s="608" t="str">
        <f t="shared" si="19"/>
        <v>Chemicals</v>
      </c>
      <c r="N616" s="822">
        <v>321999</v>
      </c>
      <c r="O616" s="822" t="s">
        <v>1841</v>
      </c>
      <c r="P616" s="823">
        <v>2429</v>
      </c>
      <c r="Q616" s="823" t="s">
        <v>1791</v>
      </c>
    </row>
    <row r="617" spans="2:17" s="608" customFormat="1" x14ac:dyDescent="0.25">
      <c r="B617" s="605" t="s">
        <v>2005</v>
      </c>
      <c r="C617" s="606">
        <f t="shared" si="18"/>
        <v>325312</v>
      </c>
      <c r="D617" s="607" t="s">
        <v>2006</v>
      </c>
      <c r="E617" s="607" t="s">
        <v>2007</v>
      </c>
      <c r="F617" s="607" t="s">
        <v>2008</v>
      </c>
      <c r="G617" s="607" t="s">
        <v>1100</v>
      </c>
      <c r="H617" s="607" t="s">
        <v>1100</v>
      </c>
      <c r="I617" s="607" t="s">
        <v>1962</v>
      </c>
      <c r="J617" s="608" t="str">
        <f t="shared" si="19"/>
        <v>Chemicals</v>
      </c>
      <c r="N617" s="822">
        <v>321999</v>
      </c>
      <c r="O617" s="822" t="s">
        <v>1841</v>
      </c>
      <c r="P617" s="823">
        <v>2499</v>
      </c>
      <c r="Q617" s="823" t="s">
        <v>1831</v>
      </c>
    </row>
    <row r="618" spans="2:17" s="608" customFormat="1" x14ac:dyDescent="0.25">
      <c r="B618" s="605" t="s">
        <v>2009</v>
      </c>
      <c r="C618" s="606">
        <f t="shared" si="18"/>
        <v>325314</v>
      </c>
      <c r="D618" s="607" t="s">
        <v>2010</v>
      </c>
      <c r="E618" s="607" t="s">
        <v>2011</v>
      </c>
      <c r="F618" s="607" t="s">
        <v>2012</v>
      </c>
      <c r="G618" s="607" t="s">
        <v>1100</v>
      </c>
      <c r="H618" s="607" t="s">
        <v>1100</v>
      </c>
      <c r="I618" s="607" t="s">
        <v>1962</v>
      </c>
      <c r="J618" s="608" t="str">
        <f t="shared" si="19"/>
        <v>Chemicals</v>
      </c>
      <c r="N618" s="822">
        <v>321999</v>
      </c>
      <c r="O618" s="822" t="s">
        <v>1841</v>
      </c>
      <c r="P618" s="823">
        <v>2517</v>
      </c>
      <c r="Q618" s="823" t="s">
        <v>1843</v>
      </c>
    </row>
    <row r="619" spans="2:17" s="608" customFormat="1" x14ac:dyDescent="0.25">
      <c r="B619" s="605" t="s">
        <v>2013</v>
      </c>
      <c r="C619" s="606">
        <f t="shared" si="18"/>
        <v>325320</v>
      </c>
      <c r="D619" s="607" t="s">
        <v>2014</v>
      </c>
      <c r="E619" s="607" t="s">
        <v>2015</v>
      </c>
      <c r="F619" s="607" t="s">
        <v>2016</v>
      </c>
      <c r="G619" s="607" t="s">
        <v>1100</v>
      </c>
      <c r="H619" s="607" t="s">
        <v>1100</v>
      </c>
      <c r="I619" s="607" t="s">
        <v>1962</v>
      </c>
      <c r="J619" s="608" t="str">
        <f t="shared" si="19"/>
        <v>Chemicals</v>
      </c>
      <c r="N619" s="822">
        <v>321999</v>
      </c>
      <c r="O619" s="822" t="s">
        <v>1841</v>
      </c>
      <c r="P619" s="823">
        <v>3131</v>
      </c>
      <c r="Q619" s="823" t="s">
        <v>1777</v>
      </c>
    </row>
    <row r="620" spans="2:17" s="608" customFormat="1" x14ac:dyDescent="0.25">
      <c r="B620" s="605" t="s">
        <v>2017</v>
      </c>
      <c r="C620" s="606">
        <f t="shared" si="18"/>
        <v>325411</v>
      </c>
      <c r="D620" s="607" t="s">
        <v>2018</v>
      </c>
      <c r="E620" s="607" t="s">
        <v>2019</v>
      </c>
      <c r="F620" s="607" t="s">
        <v>2020</v>
      </c>
      <c r="G620" s="607" t="s">
        <v>2021</v>
      </c>
      <c r="H620" s="607" t="s">
        <v>2021</v>
      </c>
      <c r="I620" s="607" t="s">
        <v>2022</v>
      </c>
      <c r="J620" s="608" t="str">
        <f t="shared" si="19"/>
        <v>Pharmaceuticals</v>
      </c>
      <c r="N620" s="822">
        <v>321999</v>
      </c>
      <c r="O620" s="822" t="s">
        <v>1841</v>
      </c>
      <c r="P620" s="823">
        <v>3999</v>
      </c>
      <c r="Q620" s="823" t="s">
        <v>1757</v>
      </c>
    </row>
    <row r="621" spans="2:17" s="608" customFormat="1" x14ac:dyDescent="0.25">
      <c r="B621" s="605" t="s">
        <v>2023</v>
      </c>
      <c r="C621" s="606">
        <f t="shared" si="18"/>
        <v>325412</v>
      </c>
      <c r="D621" s="607" t="s">
        <v>2024</v>
      </c>
      <c r="E621" s="607" t="s">
        <v>2025</v>
      </c>
      <c r="F621" s="607" t="s">
        <v>2026</v>
      </c>
      <c r="G621" s="607" t="s">
        <v>2021</v>
      </c>
      <c r="H621" s="607" t="s">
        <v>2021</v>
      </c>
      <c r="I621" s="607" t="s">
        <v>2022</v>
      </c>
      <c r="J621" s="608" t="str">
        <f t="shared" si="19"/>
        <v>Pharmaceuticals</v>
      </c>
      <c r="N621" s="822">
        <v>322110</v>
      </c>
      <c r="O621" s="822" t="s">
        <v>1845</v>
      </c>
      <c r="P621" s="823">
        <v>2611</v>
      </c>
      <c r="Q621" s="823" t="s">
        <v>1845</v>
      </c>
    </row>
    <row r="622" spans="2:17" s="608" customFormat="1" x14ac:dyDescent="0.25">
      <c r="B622" s="605" t="s">
        <v>2023</v>
      </c>
      <c r="C622" s="606">
        <f t="shared" si="18"/>
        <v>325412</v>
      </c>
      <c r="D622" s="607" t="s">
        <v>2024</v>
      </c>
      <c r="E622" s="607" t="s">
        <v>2027</v>
      </c>
      <c r="F622" s="607" t="s">
        <v>2028</v>
      </c>
      <c r="G622" s="607" t="s">
        <v>2021</v>
      </c>
      <c r="H622" s="607" t="s">
        <v>2021</v>
      </c>
      <c r="I622" s="607" t="s">
        <v>2022</v>
      </c>
      <c r="J622" s="608" t="str">
        <f t="shared" si="19"/>
        <v>Pharmaceuticals</v>
      </c>
      <c r="N622" s="822">
        <v>322121</v>
      </c>
      <c r="O622" s="822" t="s">
        <v>1848</v>
      </c>
      <c r="P622" s="823">
        <v>2611</v>
      </c>
      <c r="Q622" s="823" t="s">
        <v>1845</v>
      </c>
    </row>
    <row r="623" spans="2:17" s="608" customFormat="1" x14ac:dyDescent="0.25">
      <c r="B623" s="605" t="s">
        <v>2029</v>
      </c>
      <c r="C623" s="606">
        <f t="shared" si="18"/>
        <v>325413</v>
      </c>
      <c r="D623" s="607" t="s">
        <v>2030</v>
      </c>
      <c r="E623" s="607" t="s">
        <v>2027</v>
      </c>
      <c r="F623" s="607" t="s">
        <v>2028</v>
      </c>
      <c r="G623" s="607" t="s">
        <v>2021</v>
      </c>
      <c r="H623" s="607" t="s">
        <v>2021</v>
      </c>
      <c r="I623" s="607" t="s">
        <v>2022</v>
      </c>
      <c r="J623" s="608" t="str">
        <f t="shared" si="19"/>
        <v>Pharmaceuticals</v>
      </c>
      <c r="N623" s="822">
        <v>322121</v>
      </c>
      <c r="O623" s="822" t="s">
        <v>1848</v>
      </c>
      <c r="P623" s="823">
        <v>2621</v>
      </c>
      <c r="Q623" s="823" t="s">
        <v>1850</v>
      </c>
    </row>
    <row r="624" spans="2:17" s="608" customFormat="1" x14ac:dyDescent="0.25">
      <c r="B624" s="605" t="s">
        <v>2031</v>
      </c>
      <c r="C624" s="606">
        <f t="shared" si="18"/>
        <v>325414</v>
      </c>
      <c r="D624" s="607" t="s">
        <v>2032</v>
      </c>
      <c r="E624" s="607" t="s">
        <v>2033</v>
      </c>
      <c r="F624" s="607" t="s">
        <v>2034</v>
      </c>
      <c r="G624" s="607" t="s">
        <v>2021</v>
      </c>
      <c r="H624" s="607" t="s">
        <v>2021</v>
      </c>
      <c r="I624" s="607" t="s">
        <v>2022</v>
      </c>
      <c r="J624" s="608" t="str">
        <f t="shared" si="19"/>
        <v>Pharmaceuticals</v>
      </c>
      <c r="N624" s="822">
        <v>322122</v>
      </c>
      <c r="O624" s="822" t="s">
        <v>1852</v>
      </c>
      <c r="P624" s="823">
        <v>2611</v>
      </c>
      <c r="Q624" s="823" t="s">
        <v>1845</v>
      </c>
    </row>
    <row r="625" spans="2:17" s="608" customFormat="1" x14ac:dyDescent="0.25">
      <c r="B625" s="605" t="s">
        <v>2035</v>
      </c>
      <c r="C625" s="606">
        <f t="shared" si="18"/>
        <v>325510</v>
      </c>
      <c r="D625" s="607" t="s">
        <v>2036</v>
      </c>
      <c r="E625" s="607" t="s">
        <v>2037</v>
      </c>
      <c r="F625" s="607" t="s">
        <v>2038</v>
      </c>
      <c r="G625" s="607" t="s">
        <v>1100</v>
      </c>
      <c r="H625" s="607" t="s">
        <v>1100</v>
      </c>
      <c r="I625" s="607" t="s">
        <v>1962</v>
      </c>
      <c r="J625" s="608" t="str">
        <f t="shared" si="19"/>
        <v>Chemicals</v>
      </c>
      <c r="N625" s="822">
        <v>322122</v>
      </c>
      <c r="O625" s="822" t="s">
        <v>1852</v>
      </c>
      <c r="P625" s="823">
        <v>2621</v>
      </c>
      <c r="Q625" s="823" t="s">
        <v>1850</v>
      </c>
    </row>
    <row r="626" spans="2:17" s="608" customFormat="1" x14ac:dyDescent="0.25">
      <c r="B626" s="605" t="s">
        <v>2035</v>
      </c>
      <c r="C626" s="606">
        <f t="shared" si="18"/>
        <v>325510</v>
      </c>
      <c r="D626" s="607" t="s">
        <v>2036</v>
      </c>
      <c r="E626" s="607" t="s">
        <v>1550</v>
      </c>
      <c r="F626" s="607" t="s">
        <v>1551</v>
      </c>
      <c r="G626" s="607" t="s">
        <v>1100</v>
      </c>
      <c r="H626" s="607" t="s">
        <v>1100</v>
      </c>
      <c r="I626" s="607" t="s">
        <v>1962</v>
      </c>
      <c r="J626" s="608" t="str">
        <f t="shared" si="19"/>
        <v>Chemicals</v>
      </c>
      <c r="N626" s="822">
        <v>322130</v>
      </c>
      <c r="O626" s="822" t="s">
        <v>1854</v>
      </c>
      <c r="P626" s="823">
        <v>2611</v>
      </c>
      <c r="Q626" s="823" t="s">
        <v>1845</v>
      </c>
    </row>
    <row r="627" spans="2:17" s="608" customFormat="1" x14ac:dyDescent="0.25">
      <c r="B627" s="605" t="s">
        <v>2039</v>
      </c>
      <c r="C627" s="606">
        <f t="shared" si="18"/>
        <v>325520</v>
      </c>
      <c r="D627" s="607" t="s">
        <v>2040</v>
      </c>
      <c r="E627" s="607" t="s">
        <v>2041</v>
      </c>
      <c r="F627" s="607" t="s">
        <v>2042</v>
      </c>
      <c r="G627" s="607" t="s">
        <v>1100</v>
      </c>
      <c r="H627" s="607" t="s">
        <v>1100</v>
      </c>
      <c r="I627" s="607" t="s">
        <v>1962</v>
      </c>
      <c r="J627" s="608" t="str">
        <f t="shared" si="19"/>
        <v>Chemicals</v>
      </c>
      <c r="N627" s="822">
        <v>322130</v>
      </c>
      <c r="O627" s="822" t="s">
        <v>1854</v>
      </c>
      <c r="P627" s="823">
        <v>2631</v>
      </c>
      <c r="Q627" s="823" t="s">
        <v>1854</v>
      </c>
    </row>
    <row r="628" spans="2:17" s="608" customFormat="1" x14ac:dyDescent="0.25">
      <c r="B628" s="605" t="s">
        <v>2043</v>
      </c>
      <c r="C628" s="606">
        <f t="shared" si="18"/>
        <v>325611</v>
      </c>
      <c r="D628" s="607" t="s">
        <v>2044</v>
      </c>
      <c r="E628" s="607" t="s">
        <v>2045</v>
      </c>
      <c r="F628" s="607" t="s">
        <v>2046</v>
      </c>
      <c r="G628" s="607" t="s">
        <v>1100</v>
      </c>
      <c r="H628" s="607" t="s">
        <v>1100</v>
      </c>
      <c r="I628" s="607" t="s">
        <v>1962</v>
      </c>
      <c r="J628" s="608" t="str">
        <f t="shared" si="19"/>
        <v>Chemicals</v>
      </c>
      <c r="N628" s="822">
        <v>322211</v>
      </c>
      <c r="O628" s="822" t="s">
        <v>1857</v>
      </c>
      <c r="P628" s="823">
        <v>2653</v>
      </c>
      <c r="Q628" s="823" t="s">
        <v>1859</v>
      </c>
    </row>
    <row r="629" spans="2:17" s="608" customFormat="1" x14ac:dyDescent="0.25">
      <c r="B629" s="605" t="s">
        <v>2043</v>
      </c>
      <c r="C629" s="606">
        <f t="shared" si="18"/>
        <v>325611</v>
      </c>
      <c r="D629" s="607" t="s">
        <v>2044</v>
      </c>
      <c r="E629" s="607" t="s">
        <v>2047</v>
      </c>
      <c r="F629" s="607" t="s">
        <v>2048</v>
      </c>
      <c r="G629" s="607" t="s">
        <v>837</v>
      </c>
      <c r="H629" s="607" t="s">
        <v>837</v>
      </c>
      <c r="I629" s="607" t="s">
        <v>838</v>
      </c>
      <c r="J629" s="608" t="str">
        <f t="shared" si="19"/>
        <v>Food</v>
      </c>
      <c r="N629" s="822">
        <v>322211</v>
      </c>
      <c r="O629" s="822" t="s">
        <v>1857</v>
      </c>
      <c r="P629" s="823">
        <v>2679</v>
      </c>
      <c r="Q629" s="823" t="s">
        <v>1861</v>
      </c>
    </row>
    <row r="630" spans="2:17" s="608" customFormat="1" x14ac:dyDescent="0.25">
      <c r="B630" s="605" t="s">
        <v>2049</v>
      </c>
      <c r="C630" s="606">
        <f t="shared" si="18"/>
        <v>325612</v>
      </c>
      <c r="D630" s="607" t="s">
        <v>2050</v>
      </c>
      <c r="E630" s="607" t="s">
        <v>2051</v>
      </c>
      <c r="F630" s="607" t="s">
        <v>2052</v>
      </c>
      <c r="G630" s="607" t="s">
        <v>1100</v>
      </c>
      <c r="H630" s="607" t="s">
        <v>1100</v>
      </c>
      <c r="I630" s="607" t="s">
        <v>1962</v>
      </c>
      <c r="J630" s="608" t="str">
        <f t="shared" si="19"/>
        <v>Chemicals</v>
      </c>
      <c r="N630" s="822">
        <v>322212</v>
      </c>
      <c r="O630" s="822" t="s">
        <v>1863</v>
      </c>
      <c r="P630" s="823">
        <v>2657</v>
      </c>
      <c r="Q630" s="823" t="s">
        <v>1865</v>
      </c>
    </row>
    <row r="631" spans="2:17" s="608" customFormat="1" x14ac:dyDescent="0.25">
      <c r="B631" s="605" t="s">
        <v>2053</v>
      </c>
      <c r="C631" s="606">
        <f t="shared" si="18"/>
        <v>325613</v>
      </c>
      <c r="D631" s="607" t="s">
        <v>2054</v>
      </c>
      <c r="E631" s="607" t="s">
        <v>2055</v>
      </c>
      <c r="F631" s="607" t="s">
        <v>2056</v>
      </c>
      <c r="G631" s="607" t="s">
        <v>1100</v>
      </c>
      <c r="H631" s="607" t="s">
        <v>1100</v>
      </c>
      <c r="I631" s="607" t="s">
        <v>1962</v>
      </c>
      <c r="J631" s="608" t="str">
        <f t="shared" si="19"/>
        <v>Chemicals</v>
      </c>
      <c r="N631" s="823">
        <v>322213</v>
      </c>
      <c r="O631" s="823" t="s">
        <v>5883</v>
      </c>
      <c r="P631" s="823"/>
      <c r="Q631" s="823" t="s">
        <v>958</v>
      </c>
    </row>
    <row r="632" spans="2:17" s="608" customFormat="1" x14ac:dyDescent="0.25">
      <c r="B632" s="605" t="s">
        <v>2057</v>
      </c>
      <c r="C632" s="606">
        <f t="shared" si="18"/>
        <v>325620</v>
      </c>
      <c r="D632" s="607" t="s">
        <v>2058</v>
      </c>
      <c r="E632" s="607" t="s">
        <v>2047</v>
      </c>
      <c r="F632" s="607" t="s">
        <v>2048</v>
      </c>
      <c r="G632" s="607" t="s">
        <v>1100</v>
      </c>
      <c r="H632" s="607" t="s">
        <v>1100</v>
      </c>
      <c r="I632" s="607" t="s">
        <v>1962</v>
      </c>
      <c r="J632" s="608" t="str">
        <f t="shared" si="19"/>
        <v>Chemicals</v>
      </c>
      <c r="N632" s="823">
        <v>322214</v>
      </c>
      <c r="O632" s="823" t="s">
        <v>5884</v>
      </c>
      <c r="P632" s="823"/>
      <c r="Q632" s="823" t="s">
        <v>958</v>
      </c>
    </row>
    <row r="633" spans="2:17" s="608" customFormat="1" x14ac:dyDescent="0.25">
      <c r="B633" s="605" t="s">
        <v>2059</v>
      </c>
      <c r="C633" s="606">
        <f t="shared" si="18"/>
        <v>325910</v>
      </c>
      <c r="D633" s="607" t="s">
        <v>2060</v>
      </c>
      <c r="E633" s="607" t="s">
        <v>2061</v>
      </c>
      <c r="F633" s="607" t="s">
        <v>2062</v>
      </c>
      <c r="G633" s="607" t="s">
        <v>1100</v>
      </c>
      <c r="H633" s="607" t="s">
        <v>1100</v>
      </c>
      <c r="I633" s="607" t="s">
        <v>1962</v>
      </c>
      <c r="J633" s="608" t="str">
        <f t="shared" si="19"/>
        <v>Chemicals</v>
      </c>
      <c r="N633" s="823">
        <v>322215</v>
      </c>
      <c r="O633" s="823" t="s">
        <v>5885</v>
      </c>
      <c r="P633" s="823"/>
      <c r="Q633" s="823" t="s">
        <v>958</v>
      </c>
    </row>
    <row r="634" spans="2:17" s="608" customFormat="1" x14ac:dyDescent="0.25">
      <c r="B634" s="605" t="s">
        <v>2063</v>
      </c>
      <c r="C634" s="606">
        <f t="shared" si="18"/>
        <v>325920</v>
      </c>
      <c r="D634" s="607" t="s">
        <v>2064</v>
      </c>
      <c r="E634" s="607" t="s">
        <v>2065</v>
      </c>
      <c r="F634" s="607" t="s">
        <v>2066</v>
      </c>
      <c r="G634" s="607" t="s">
        <v>1100</v>
      </c>
      <c r="H634" s="607" t="s">
        <v>1100</v>
      </c>
      <c r="I634" s="607" t="s">
        <v>1962</v>
      </c>
      <c r="J634" s="608" t="str">
        <f t="shared" si="19"/>
        <v>Chemicals</v>
      </c>
      <c r="N634" s="822">
        <v>322219</v>
      </c>
      <c r="O634" s="822" t="s">
        <v>1867</v>
      </c>
      <c r="P634" s="823">
        <v>2652</v>
      </c>
      <c r="Q634" s="823" t="s">
        <v>1869</v>
      </c>
    </row>
    <row r="635" spans="2:17" s="608" customFormat="1" x14ac:dyDescent="0.25">
      <c r="B635" s="605" t="s">
        <v>2067</v>
      </c>
      <c r="C635" s="606">
        <f t="shared" si="18"/>
        <v>325991</v>
      </c>
      <c r="D635" s="607" t="s">
        <v>2068</v>
      </c>
      <c r="E635" s="607" t="s">
        <v>2069</v>
      </c>
      <c r="F635" s="607" t="s">
        <v>2070</v>
      </c>
      <c r="G635" s="607" t="s">
        <v>1100</v>
      </c>
      <c r="H635" s="607" t="s">
        <v>1100</v>
      </c>
      <c r="I635" s="607" t="s">
        <v>1962</v>
      </c>
      <c r="J635" s="608" t="str">
        <f t="shared" si="19"/>
        <v>Chemicals</v>
      </c>
      <c r="N635" s="822">
        <v>322219</v>
      </c>
      <c r="O635" s="822" t="s">
        <v>1867</v>
      </c>
      <c r="P635" s="823">
        <v>2655</v>
      </c>
      <c r="Q635" s="823" t="s">
        <v>1871</v>
      </c>
    </row>
    <row r="636" spans="2:17" s="608" customFormat="1" x14ac:dyDescent="0.25">
      <c r="B636" s="605" t="s">
        <v>2071</v>
      </c>
      <c r="C636" s="606">
        <f t="shared" si="18"/>
        <v>325992</v>
      </c>
      <c r="D636" s="607" t="s">
        <v>2072</v>
      </c>
      <c r="E636" s="607" t="s">
        <v>2073</v>
      </c>
      <c r="F636" s="607" t="s">
        <v>2074</v>
      </c>
      <c r="G636" s="607" t="s">
        <v>1100</v>
      </c>
      <c r="H636" s="607" t="s">
        <v>1100</v>
      </c>
      <c r="I636" s="607" t="s">
        <v>1962</v>
      </c>
      <c r="J636" s="608" t="str">
        <f t="shared" si="19"/>
        <v>Chemicals</v>
      </c>
      <c r="N636" s="822">
        <v>322219</v>
      </c>
      <c r="O636" s="822" t="s">
        <v>1867</v>
      </c>
      <c r="P636" s="823">
        <v>2656</v>
      </c>
      <c r="Q636" s="823" t="s">
        <v>1873</v>
      </c>
    </row>
    <row r="637" spans="2:17" s="608" customFormat="1" x14ac:dyDescent="0.25">
      <c r="B637" s="605" t="s">
        <v>2075</v>
      </c>
      <c r="C637" s="606">
        <f t="shared" si="18"/>
        <v>325998</v>
      </c>
      <c r="D637" s="607" t="s">
        <v>2076</v>
      </c>
      <c r="E637" s="607" t="s">
        <v>1086</v>
      </c>
      <c r="F637" s="607" t="s">
        <v>1087</v>
      </c>
      <c r="G637" s="607" t="s">
        <v>1100</v>
      </c>
      <c r="H637" s="607" t="s">
        <v>1100</v>
      </c>
      <c r="I637" s="607" t="s">
        <v>1962</v>
      </c>
      <c r="J637" s="608" t="str">
        <f t="shared" si="19"/>
        <v>Chemicals</v>
      </c>
      <c r="N637" s="822">
        <v>322220</v>
      </c>
      <c r="O637" s="822" t="s">
        <v>1875</v>
      </c>
      <c r="P637" s="823">
        <v>2671</v>
      </c>
      <c r="Q637" s="823" t="s">
        <v>1877</v>
      </c>
    </row>
    <row r="638" spans="2:17" s="608" customFormat="1" x14ac:dyDescent="0.25">
      <c r="B638" s="605" t="s">
        <v>2075</v>
      </c>
      <c r="C638" s="606">
        <f t="shared" si="18"/>
        <v>325998</v>
      </c>
      <c r="D638" s="607" t="s">
        <v>2076</v>
      </c>
      <c r="E638" s="607" t="s">
        <v>1963</v>
      </c>
      <c r="F638" s="607" t="s">
        <v>1964</v>
      </c>
      <c r="G638" s="607" t="s">
        <v>1100</v>
      </c>
      <c r="H638" s="607" t="s">
        <v>1100</v>
      </c>
      <c r="I638" s="607" t="s">
        <v>1962</v>
      </c>
      <c r="J638" s="608" t="str">
        <f t="shared" si="19"/>
        <v>Chemicals</v>
      </c>
      <c r="N638" s="822">
        <v>322220</v>
      </c>
      <c r="O638" s="822" t="s">
        <v>1875</v>
      </c>
      <c r="P638" s="823">
        <v>2672</v>
      </c>
      <c r="Q638" s="823" t="s">
        <v>1879</v>
      </c>
    </row>
    <row r="639" spans="2:17" s="608" customFormat="1" x14ac:dyDescent="0.25">
      <c r="B639" s="605" t="s">
        <v>2075</v>
      </c>
      <c r="C639" s="606">
        <f t="shared" si="18"/>
        <v>325998</v>
      </c>
      <c r="D639" s="607" t="s">
        <v>2076</v>
      </c>
      <c r="E639" s="607" t="s">
        <v>1550</v>
      </c>
      <c r="F639" s="607" t="s">
        <v>1551</v>
      </c>
      <c r="G639" s="607" t="s">
        <v>1100</v>
      </c>
      <c r="H639" s="607" t="s">
        <v>1100</v>
      </c>
      <c r="I639" s="607" t="s">
        <v>1962</v>
      </c>
      <c r="J639" s="608" t="str">
        <f t="shared" si="19"/>
        <v>Chemicals</v>
      </c>
      <c r="N639" s="822">
        <v>322220</v>
      </c>
      <c r="O639" s="822" t="s">
        <v>1875</v>
      </c>
      <c r="P639" s="823">
        <v>2673</v>
      </c>
      <c r="Q639" s="823" t="s">
        <v>1881</v>
      </c>
    </row>
    <row r="640" spans="2:17" s="608" customFormat="1" x14ac:dyDescent="0.25">
      <c r="B640" s="605" t="s">
        <v>2075</v>
      </c>
      <c r="C640" s="606">
        <f t="shared" si="18"/>
        <v>325998</v>
      </c>
      <c r="D640" s="607" t="s">
        <v>2076</v>
      </c>
      <c r="E640" s="607" t="s">
        <v>2077</v>
      </c>
      <c r="F640" s="607" t="s">
        <v>2078</v>
      </c>
      <c r="G640" s="607" t="s">
        <v>1100</v>
      </c>
      <c r="H640" s="607" t="s">
        <v>1100</v>
      </c>
      <c r="I640" s="607" t="s">
        <v>1962</v>
      </c>
      <c r="J640" s="608" t="str">
        <f t="shared" si="19"/>
        <v>Chemicals</v>
      </c>
      <c r="N640" s="822">
        <v>322220</v>
      </c>
      <c r="O640" s="822" t="s">
        <v>1875</v>
      </c>
      <c r="P640" s="823">
        <v>2674</v>
      </c>
      <c r="Q640" s="823" t="s">
        <v>1883</v>
      </c>
    </row>
    <row r="641" spans="2:17" s="608" customFormat="1" x14ac:dyDescent="0.25">
      <c r="B641" s="605" t="s">
        <v>2075</v>
      </c>
      <c r="C641" s="606">
        <f t="shared" si="18"/>
        <v>325998</v>
      </c>
      <c r="D641" s="607" t="s">
        <v>2076</v>
      </c>
      <c r="E641" s="607" t="s">
        <v>1756</v>
      </c>
      <c r="F641" s="607" t="s">
        <v>1757</v>
      </c>
      <c r="G641" s="607" t="s">
        <v>1100</v>
      </c>
      <c r="H641" s="607" t="s">
        <v>1100</v>
      </c>
      <c r="I641" s="607" t="s">
        <v>1962</v>
      </c>
      <c r="J641" s="608" t="str">
        <f t="shared" si="19"/>
        <v>Chemicals</v>
      </c>
      <c r="N641" s="822">
        <v>322220</v>
      </c>
      <c r="O641" s="822" t="s">
        <v>1875</v>
      </c>
      <c r="P641" s="823">
        <v>2675</v>
      </c>
      <c r="Q641" s="823" t="s">
        <v>1885</v>
      </c>
    </row>
    <row r="642" spans="2:17" s="608" customFormat="1" x14ac:dyDescent="0.25">
      <c r="B642" s="605" t="s">
        <v>2075</v>
      </c>
      <c r="C642" s="606">
        <f t="shared" ref="C642:C705" si="20">B642+0</f>
        <v>325998</v>
      </c>
      <c r="D642" s="607" t="s">
        <v>2076</v>
      </c>
      <c r="E642" s="607" t="s">
        <v>1588</v>
      </c>
      <c r="F642" s="607" t="s">
        <v>1589</v>
      </c>
      <c r="G642" s="607" t="s">
        <v>1100</v>
      </c>
      <c r="H642" s="607" t="s">
        <v>1100</v>
      </c>
      <c r="I642" s="607" t="s">
        <v>1962</v>
      </c>
      <c r="J642" s="608" t="str">
        <f t="shared" ref="J642:J705" si="21">PROPER(I642)</f>
        <v>Chemicals</v>
      </c>
      <c r="N642" s="822">
        <v>322220</v>
      </c>
      <c r="O642" s="822" t="s">
        <v>1875</v>
      </c>
      <c r="P642" s="823">
        <v>2679</v>
      </c>
      <c r="Q642" s="823" t="s">
        <v>1861</v>
      </c>
    </row>
    <row r="643" spans="2:17" s="608" customFormat="1" x14ac:dyDescent="0.25">
      <c r="B643" s="605" t="s">
        <v>2079</v>
      </c>
      <c r="C643" s="606">
        <f t="shared" si="20"/>
        <v>326111</v>
      </c>
      <c r="D643" s="607" t="s">
        <v>2080</v>
      </c>
      <c r="E643" s="607" t="s">
        <v>1880</v>
      </c>
      <c r="F643" s="607" t="s">
        <v>1881</v>
      </c>
      <c r="G643" s="607" t="s">
        <v>1100</v>
      </c>
      <c r="H643" s="607" t="s">
        <v>1100</v>
      </c>
      <c r="I643" s="607" t="s">
        <v>1962</v>
      </c>
      <c r="J643" s="608" t="str">
        <f t="shared" si="21"/>
        <v>Chemicals</v>
      </c>
      <c r="N643" s="822">
        <v>322220</v>
      </c>
      <c r="O643" s="822" t="s">
        <v>1875</v>
      </c>
      <c r="P643" s="823">
        <v>3497</v>
      </c>
      <c r="Q643" s="823" t="s">
        <v>1887</v>
      </c>
    </row>
    <row r="644" spans="2:17" s="608" customFormat="1" ht="18" x14ac:dyDescent="0.3">
      <c r="B644" s="605" t="s">
        <v>2081</v>
      </c>
      <c r="C644" s="606">
        <f t="shared" si="20"/>
        <v>326112</v>
      </c>
      <c r="D644" s="607" t="s">
        <v>2082</v>
      </c>
      <c r="E644" s="607" t="s">
        <v>1876</v>
      </c>
      <c r="F644" s="607" t="s">
        <v>1877</v>
      </c>
      <c r="G644" s="607" t="s">
        <v>1019</v>
      </c>
      <c r="H644" s="607" t="s">
        <v>1019</v>
      </c>
      <c r="I644" s="607" t="s">
        <v>1755</v>
      </c>
      <c r="J644" s="608" t="str">
        <f t="shared" si="21"/>
        <v>Manufacturing</v>
      </c>
      <c r="N644" s="822">
        <v>322221</v>
      </c>
      <c r="O644" s="824" t="s">
        <v>1875</v>
      </c>
      <c r="P644" s="823"/>
      <c r="Q644" s="823" t="s">
        <v>958</v>
      </c>
    </row>
    <row r="645" spans="2:17" s="608" customFormat="1" x14ac:dyDescent="0.25">
      <c r="B645" s="605" t="s">
        <v>2083</v>
      </c>
      <c r="C645" s="606">
        <f t="shared" si="20"/>
        <v>326113</v>
      </c>
      <c r="D645" s="607" t="s">
        <v>2084</v>
      </c>
      <c r="E645" s="607" t="s">
        <v>2085</v>
      </c>
      <c r="F645" s="607" t="s">
        <v>2086</v>
      </c>
      <c r="G645" s="607" t="s">
        <v>1100</v>
      </c>
      <c r="H645" s="607" t="s">
        <v>1100</v>
      </c>
      <c r="I645" s="607" t="s">
        <v>1962</v>
      </c>
      <c r="J645" s="608" t="str">
        <f t="shared" si="21"/>
        <v>Chemicals</v>
      </c>
      <c r="N645" s="823">
        <v>322222</v>
      </c>
      <c r="O645" s="823" t="s">
        <v>5886</v>
      </c>
      <c r="P645" s="823"/>
      <c r="Q645" s="823" t="s">
        <v>958</v>
      </c>
    </row>
    <row r="646" spans="2:17" s="608" customFormat="1" x14ac:dyDescent="0.25">
      <c r="B646" s="605" t="s">
        <v>2087</v>
      </c>
      <c r="C646" s="606">
        <f t="shared" si="20"/>
        <v>326121</v>
      </c>
      <c r="D646" s="607" t="s">
        <v>2088</v>
      </c>
      <c r="E646" s="607" t="s">
        <v>2089</v>
      </c>
      <c r="F646" s="607" t="s">
        <v>2090</v>
      </c>
      <c r="G646" s="607" t="s">
        <v>1100</v>
      </c>
      <c r="H646" s="607" t="s">
        <v>1100</v>
      </c>
      <c r="I646" s="607" t="s">
        <v>1962</v>
      </c>
      <c r="J646" s="608" t="str">
        <f t="shared" si="21"/>
        <v>Chemicals</v>
      </c>
      <c r="N646" s="823">
        <v>322223</v>
      </c>
      <c r="O646" s="823" t="s">
        <v>5887</v>
      </c>
      <c r="P646" s="823"/>
      <c r="Q646" s="823" t="s">
        <v>958</v>
      </c>
    </row>
    <row r="647" spans="2:17" s="608" customFormat="1" x14ac:dyDescent="0.25">
      <c r="B647" s="605" t="s">
        <v>2087</v>
      </c>
      <c r="C647" s="606">
        <f t="shared" si="20"/>
        <v>326121</v>
      </c>
      <c r="D647" s="607" t="s">
        <v>2088</v>
      </c>
      <c r="E647" s="607" t="s">
        <v>2091</v>
      </c>
      <c r="F647" s="607" t="s">
        <v>2092</v>
      </c>
      <c r="G647" s="607" t="s">
        <v>1100</v>
      </c>
      <c r="H647" s="607" t="s">
        <v>1100</v>
      </c>
      <c r="I647" s="607" t="s">
        <v>1962</v>
      </c>
      <c r="J647" s="608" t="str">
        <f t="shared" si="21"/>
        <v>Chemicals</v>
      </c>
      <c r="N647" s="823">
        <v>322224</v>
      </c>
      <c r="O647" s="823" t="s">
        <v>5888</v>
      </c>
      <c r="P647" s="823"/>
      <c r="Q647" s="823" t="s">
        <v>958</v>
      </c>
    </row>
    <row r="648" spans="2:17" s="608" customFormat="1" x14ac:dyDescent="0.25">
      <c r="B648" s="605" t="s">
        <v>2093</v>
      </c>
      <c r="C648" s="606">
        <f t="shared" si="20"/>
        <v>326122</v>
      </c>
      <c r="D648" s="607" t="s">
        <v>2094</v>
      </c>
      <c r="E648" s="607" t="s">
        <v>2095</v>
      </c>
      <c r="F648" s="607" t="s">
        <v>2096</v>
      </c>
      <c r="G648" s="607" t="s">
        <v>1100</v>
      </c>
      <c r="H648" s="607" t="s">
        <v>1100</v>
      </c>
      <c r="I648" s="607" t="s">
        <v>1962</v>
      </c>
      <c r="J648" s="608" t="str">
        <f t="shared" si="21"/>
        <v>Chemicals</v>
      </c>
      <c r="N648" s="823">
        <v>322225</v>
      </c>
      <c r="O648" s="823" t="s">
        <v>5889</v>
      </c>
      <c r="P648" s="823"/>
      <c r="Q648" s="823" t="s">
        <v>958</v>
      </c>
    </row>
    <row r="649" spans="2:17" s="608" customFormat="1" x14ac:dyDescent="0.25">
      <c r="B649" s="605" t="s">
        <v>2093</v>
      </c>
      <c r="C649" s="606">
        <f t="shared" si="20"/>
        <v>326122</v>
      </c>
      <c r="D649" s="607" t="s">
        <v>2094</v>
      </c>
      <c r="E649" s="607" t="s">
        <v>2091</v>
      </c>
      <c r="F649" s="607" t="s">
        <v>2092</v>
      </c>
      <c r="G649" s="607" t="s">
        <v>1100</v>
      </c>
      <c r="H649" s="607" t="s">
        <v>1100</v>
      </c>
      <c r="I649" s="607" t="s">
        <v>1962</v>
      </c>
      <c r="J649" s="608" t="str">
        <f t="shared" si="21"/>
        <v>Chemicals</v>
      </c>
      <c r="N649" s="823">
        <v>322226</v>
      </c>
      <c r="O649" s="823" t="s">
        <v>5890</v>
      </c>
      <c r="P649" s="823"/>
      <c r="Q649" s="823" t="s">
        <v>958</v>
      </c>
    </row>
    <row r="650" spans="2:17" s="608" customFormat="1" x14ac:dyDescent="0.25">
      <c r="B650" s="605" t="s">
        <v>2097</v>
      </c>
      <c r="C650" s="606">
        <f t="shared" si="20"/>
        <v>326130</v>
      </c>
      <c r="D650" s="607" t="s">
        <v>2098</v>
      </c>
      <c r="E650" s="607" t="s">
        <v>2099</v>
      </c>
      <c r="F650" s="607" t="s">
        <v>2100</v>
      </c>
      <c r="G650" s="607" t="s">
        <v>1100</v>
      </c>
      <c r="H650" s="607" t="s">
        <v>1100</v>
      </c>
      <c r="I650" s="607" t="s">
        <v>1962</v>
      </c>
      <c r="J650" s="608" t="str">
        <f t="shared" si="21"/>
        <v>Chemicals</v>
      </c>
      <c r="N650" s="822">
        <v>322230</v>
      </c>
      <c r="O650" s="822" t="s">
        <v>1889</v>
      </c>
      <c r="P650" s="823">
        <v>2675</v>
      </c>
      <c r="Q650" s="823" t="s">
        <v>1885</v>
      </c>
    </row>
    <row r="651" spans="2:17" s="608" customFormat="1" x14ac:dyDescent="0.25">
      <c r="B651" s="605" t="s">
        <v>2101</v>
      </c>
      <c r="C651" s="606">
        <f t="shared" si="20"/>
        <v>326140</v>
      </c>
      <c r="D651" s="607" t="s">
        <v>2102</v>
      </c>
      <c r="E651" s="607" t="s">
        <v>2103</v>
      </c>
      <c r="F651" s="607" t="s">
        <v>2104</v>
      </c>
      <c r="G651" s="607" t="s">
        <v>1100</v>
      </c>
      <c r="H651" s="607" t="s">
        <v>1100</v>
      </c>
      <c r="I651" s="607" t="s">
        <v>1962</v>
      </c>
      <c r="J651" s="608" t="str">
        <f t="shared" si="21"/>
        <v>Chemicals</v>
      </c>
      <c r="N651" s="822">
        <v>322230</v>
      </c>
      <c r="O651" s="822" t="s">
        <v>1889</v>
      </c>
      <c r="P651" s="823">
        <v>2677</v>
      </c>
      <c r="Q651" s="823" t="s">
        <v>1891</v>
      </c>
    </row>
    <row r="652" spans="2:17" s="608" customFormat="1" x14ac:dyDescent="0.25">
      <c r="B652" s="605" t="s">
        <v>2105</v>
      </c>
      <c r="C652" s="606">
        <f t="shared" si="20"/>
        <v>326150</v>
      </c>
      <c r="D652" s="607" t="s">
        <v>2106</v>
      </c>
      <c r="E652" s="607" t="s">
        <v>2103</v>
      </c>
      <c r="F652" s="607" t="s">
        <v>2104</v>
      </c>
      <c r="G652" s="607" t="s">
        <v>1100</v>
      </c>
      <c r="H652" s="607" t="s">
        <v>1100</v>
      </c>
      <c r="I652" s="607" t="s">
        <v>1962</v>
      </c>
      <c r="J652" s="608" t="str">
        <f t="shared" si="21"/>
        <v>Chemicals</v>
      </c>
      <c r="N652" s="822">
        <v>322230</v>
      </c>
      <c r="O652" s="822" t="s">
        <v>1889</v>
      </c>
      <c r="P652" s="823">
        <v>2678</v>
      </c>
      <c r="Q652" s="823" t="s">
        <v>1893</v>
      </c>
    </row>
    <row r="653" spans="2:17" s="608" customFormat="1" x14ac:dyDescent="0.25">
      <c r="B653" s="605" t="s">
        <v>2107</v>
      </c>
      <c r="C653" s="606">
        <f t="shared" si="20"/>
        <v>326160</v>
      </c>
      <c r="D653" s="607" t="s">
        <v>2108</v>
      </c>
      <c r="E653" s="607" t="s">
        <v>2109</v>
      </c>
      <c r="F653" s="607" t="s">
        <v>2110</v>
      </c>
      <c r="G653" s="607" t="s">
        <v>1100</v>
      </c>
      <c r="H653" s="607" t="s">
        <v>1100</v>
      </c>
      <c r="I653" s="607" t="s">
        <v>1962</v>
      </c>
      <c r="J653" s="608" t="str">
        <f t="shared" si="21"/>
        <v>Chemicals</v>
      </c>
      <c r="N653" s="822">
        <v>322230</v>
      </c>
      <c r="O653" s="822" t="s">
        <v>1889</v>
      </c>
      <c r="P653" s="823">
        <v>2679</v>
      </c>
      <c r="Q653" s="823" t="s">
        <v>1861</v>
      </c>
    </row>
    <row r="654" spans="2:17" s="608" customFormat="1" x14ac:dyDescent="0.25">
      <c r="B654" s="605" t="s">
        <v>2111</v>
      </c>
      <c r="C654" s="606">
        <f t="shared" si="20"/>
        <v>326191</v>
      </c>
      <c r="D654" s="607" t="s">
        <v>2112</v>
      </c>
      <c r="E654" s="607" t="s">
        <v>2113</v>
      </c>
      <c r="F654" s="607" t="s">
        <v>2114</v>
      </c>
      <c r="G654" s="607" t="s">
        <v>1019</v>
      </c>
      <c r="H654" s="607" t="s">
        <v>1019</v>
      </c>
      <c r="I654" s="607" t="s">
        <v>1255</v>
      </c>
      <c r="J654" s="608" t="str">
        <f t="shared" si="21"/>
        <v>Construction</v>
      </c>
      <c r="N654" s="823">
        <v>322231</v>
      </c>
      <c r="O654" s="823" t="s">
        <v>5891</v>
      </c>
      <c r="P654" s="823"/>
      <c r="Q654" s="823" t="s">
        <v>958</v>
      </c>
    </row>
    <row r="655" spans="2:17" s="608" customFormat="1" x14ac:dyDescent="0.25">
      <c r="B655" s="605" t="s">
        <v>2115</v>
      </c>
      <c r="C655" s="606">
        <f t="shared" si="20"/>
        <v>326199</v>
      </c>
      <c r="D655" s="607" t="s">
        <v>2116</v>
      </c>
      <c r="E655" s="607" t="s">
        <v>1653</v>
      </c>
      <c r="F655" s="607" t="s">
        <v>1654</v>
      </c>
      <c r="G655" s="607" t="s">
        <v>1100</v>
      </c>
      <c r="H655" s="607" t="s">
        <v>1100</v>
      </c>
      <c r="I655" s="607" t="s">
        <v>1962</v>
      </c>
      <c r="J655" s="608" t="str">
        <f t="shared" si="21"/>
        <v>Chemicals</v>
      </c>
      <c r="N655" s="823">
        <v>322232</v>
      </c>
      <c r="O655" s="823" t="s">
        <v>5892</v>
      </c>
      <c r="P655" s="823"/>
      <c r="Q655" s="823" t="s">
        <v>958</v>
      </c>
    </row>
    <row r="656" spans="2:17" s="608" customFormat="1" x14ac:dyDescent="0.25">
      <c r="B656" s="605" t="s">
        <v>2115</v>
      </c>
      <c r="C656" s="606">
        <f t="shared" si="20"/>
        <v>326199</v>
      </c>
      <c r="D656" s="607" t="s">
        <v>2116</v>
      </c>
      <c r="E656" s="607" t="s">
        <v>2091</v>
      </c>
      <c r="F656" s="607" t="s">
        <v>2092</v>
      </c>
      <c r="G656" s="607" t="s">
        <v>1100</v>
      </c>
      <c r="H656" s="607" t="s">
        <v>1100</v>
      </c>
      <c r="I656" s="607" t="s">
        <v>1962</v>
      </c>
      <c r="J656" s="608" t="str">
        <f t="shared" si="21"/>
        <v>Chemicals</v>
      </c>
      <c r="N656" s="823">
        <v>322233</v>
      </c>
      <c r="O656" s="823" t="s">
        <v>5893</v>
      </c>
      <c r="P656" s="823"/>
      <c r="Q656" s="823" t="s">
        <v>958</v>
      </c>
    </row>
    <row r="657" spans="2:17" s="608" customFormat="1" x14ac:dyDescent="0.25">
      <c r="B657" s="605" t="s">
        <v>2115</v>
      </c>
      <c r="C657" s="606">
        <f t="shared" si="20"/>
        <v>326199</v>
      </c>
      <c r="D657" s="607" t="s">
        <v>2116</v>
      </c>
      <c r="E657" s="607" t="s">
        <v>2117</v>
      </c>
      <c r="F657" s="607" t="s">
        <v>2118</v>
      </c>
      <c r="G657" s="607" t="s">
        <v>1100</v>
      </c>
      <c r="H657" s="607" t="s">
        <v>1100</v>
      </c>
      <c r="I657" s="607" t="s">
        <v>1962</v>
      </c>
      <c r="J657" s="608" t="str">
        <f t="shared" si="21"/>
        <v>Chemicals</v>
      </c>
      <c r="N657" s="822">
        <v>322291</v>
      </c>
      <c r="O657" s="822" t="s">
        <v>1895</v>
      </c>
      <c r="P657" s="823">
        <v>2676</v>
      </c>
      <c r="Q657" s="823" t="s">
        <v>1897</v>
      </c>
    </row>
    <row r="658" spans="2:17" s="608" customFormat="1" x14ac:dyDescent="0.25">
      <c r="B658" s="605" t="s">
        <v>2115</v>
      </c>
      <c r="C658" s="606">
        <f t="shared" si="20"/>
        <v>326199</v>
      </c>
      <c r="D658" s="607" t="s">
        <v>2116</v>
      </c>
      <c r="E658" s="607" t="s">
        <v>1756</v>
      </c>
      <c r="F658" s="607" t="s">
        <v>1757</v>
      </c>
      <c r="G658" s="607" t="s">
        <v>1019</v>
      </c>
      <c r="H658" s="607" t="s">
        <v>1019</v>
      </c>
      <c r="I658" s="607" t="s">
        <v>1755</v>
      </c>
      <c r="J658" s="608" t="str">
        <f t="shared" si="21"/>
        <v>Manufacturing</v>
      </c>
      <c r="N658" s="822">
        <v>322291</v>
      </c>
      <c r="O658" s="822" t="s">
        <v>1895</v>
      </c>
      <c r="P658" s="823">
        <v>3842</v>
      </c>
      <c r="Q658" s="823" t="s">
        <v>1899</v>
      </c>
    </row>
    <row r="659" spans="2:17" s="608" customFormat="1" x14ac:dyDescent="0.25">
      <c r="B659" s="605" t="s">
        <v>2119</v>
      </c>
      <c r="C659" s="606">
        <f t="shared" si="20"/>
        <v>326211</v>
      </c>
      <c r="D659" s="607" t="s">
        <v>2120</v>
      </c>
      <c r="E659" s="607" t="s">
        <v>2121</v>
      </c>
      <c r="F659" s="607" t="s">
        <v>2122</v>
      </c>
      <c r="G659" s="607" t="s">
        <v>1019</v>
      </c>
      <c r="H659" s="607" t="s">
        <v>1019</v>
      </c>
      <c r="I659" s="607" t="s">
        <v>2123</v>
      </c>
      <c r="J659" s="608" t="str">
        <f t="shared" si="21"/>
        <v>Automobile &amp; Components</v>
      </c>
      <c r="N659" s="822">
        <v>322299</v>
      </c>
      <c r="O659" s="822" t="s">
        <v>1901</v>
      </c>
      <c r="P659" s="823">
        <v>2675</v>
      </c>
      <c r="Q659" s="823" t="s">
        <v>1885</v>
      </c>
    </row>
    <row r="660" spans="2:17" s="608" customFormat="1" x14ac:dyDescent="0.25">
      <c r="B660" s="605" t="s">
        <v>2124</v>
      </c>
      <c r="C660" s="606">
        <f t="shared" si="20"/>
        <v>326212</v>
      </c>
      <c r="D660" s="607" t="s">
        <v>2125</v>
      </c>
      <c r="E660" s="605" t="s">
        <v>2126</v>
      </c>
      <c r="F660" s="607" t="s">
        <v>2127</v>
      </c>
      <c r="G660" s="607" t="s">
        <v>1019</v>
      </c>
      <c r="H660" s="607" t="s">
        <v>1019</v>
      </c>
      <c r="I660" s="607" t="s">
        <v>1755</v>
      </c>
      <c r="J660" s="608" t="str">
        <f t="shared" si="21"/>
        <v>Manufacturing</v>
      </c>
      <c r="N660" s="822">
        <v>322299</v>
      </c>
      <c r="O660" s="822" t="s">
        <v>1901</v>
      </c>
      <c r="P660" s="823">
        <v>2679</v>
      </c>
      <c r="Q660" s="823" t="s">
        <v>1861</v>
      </c>
    </row>
    <row r="661" spans="2:17" s="608" customFormat="1" x14ac:dyDescent="0.25">
      <c r="B661" s="605" t="s">
        <v>2128</v>
      </c>
      <c r="C661" s="606">
        <f t="shared" si="20"/>
        <v>326220</v>
      </c>
      <c r="D661" s="607" t="s">
        <v>2129</v>
      </c>
      <c r="E661" s="607" t="s">
        <v>2130</v>
      </c>
      <c r="F661" s="607" t="s">
        <v>2131</v>
      </c>
      <c r="G661" s="609" t="s">
        <v>1100</v>
      </c>
      <c r="H661" s="607" t="s">
        <v>1100</v>
      </c>
      <c r="I661" s="607" t="s">
        <v>1962</v>
      </c>
      <c r="J661" s="608" t="str">
        <f t="shared" si="21"/>
        <v>Chemicals</v>
      </c>
      <c r="N661" s="823">
        <v>323110</v>
      </c>
      <c r="O661" s="823" t="s">
        <v>5894</v>
      </c>
      <c r="P661" s="823"/>
      <c r="Q661" s="823" t="s">
        <v>958</v>
      </c>
    </row>
    <row r="662" spans="2:17" s="608" customFormat="1" x14ac:dyDescent="0.25">
      <c r="B662" s="605" t="s">
        <v>2132</v>
      </c>
      <c r="C662" s="606">
        <f t="shared" si="20"/>
        <v>326291</v>
      </c>
      <c r="D662" s="607" t="s">
        <v>2133</v>
      </c>
      <c r="E662" s="607" t="s">
        <v>2134</v>
      </c>
      <c r="F662" s="607" t="s">
        <v>2135</v>
      </c>
      <c r="G662" s="607" t="s">
        <v>1019</v>
      </c>
      <c r="H662" s="607" t="s">
        <v>1019</v>
      </c>
      <c r="I662" s="607" t="s">
        <v>2123</v>
      </c>
      <c r="J662" s="608" t="str">
        <f t="shared" si="21"/>
        <v>Automobile &amp; Components</v>
      </c>
      <c r="N662" s="822">
        <v>323111</v>
      </c>
      <c r="O662" s="822" t="s">
        <v>1903</v>
      </c>
      <c r="P662" s="823">
        <v>2752</v>
      </c>
      <c r="Q662" s="823" t="s">
        <v>1905</v>
      </c>
    </row>
    <row r="663" spans="2:17" s="608" customFormat="1" x14ac:dyDescent="0.25">
      <c r="B663" s="605" t="s">
        <v>2136</v>
      </c>
      <c r="C663" s="606">
        <f t="shared" si="20"/>
        <v>326299</v>
      </c>
      <c r="D663" s="607" t="s">
        <v>2137</v>
      </c>
      <c r="E663" s="607" t="s">
        <v>2134</v>
      </c>
      <c r="F663" s="607" t="s">
        <v>2135</v>
      </c>
      <c r="G663" s="607" t="s">
        <v>1019</v>
      </c>
      <c r="H663" s="607" t="s">
        <v>1019</v>
      </c>
      <c r="I663" s="607" t="s">
        <v>2123</v>
      </c>
      <c r="J663" s="608" t="str">
        <f t="shared" si="21"/>
        <v>Automobile &amp; Components</v>
      </c>
      <c r="N663" s="822">
        <v>323111</v>
      </c>
      <c r="O663" s="822" t="s">
        <v>1903</v>
      </c>
      <c r="P663" s="823">
        <v>2754</v>
      </c>
      <c r="Q663" s="823" t="s">
        <v>1908</v>
      </c>
    </row>
    <row r="664" spans="2:17" s="608" customFormat="1" x14ac:dyDescent="0.25">
      <c r="B664" s="605" t="s">
        <v>2136</v>
      </c>
      <c r="C664" s="606">
        <f t="shared" si="20"/>
        <v>326299</v>
      </c>
      <c r="D664" s="607" t="s">
        <v>2137</v>
      </c>
      <c r="E664" s="607" t="s">
        <v>1653</v>
      </c>
      <c r="F664" s="607" t="s">
        <v>1654</v>
      </c>
      <c r="G664" s="607" t="s">
        <v>1019</v>
      </c>
      <c r="H664" s="607" t="s">
        <v>1019</v>
      </c>
      <c r="I664" s="607" t="s">
        <v>2123</v>
      </c>
      <c r="J664" s="608" t="str">
        <f t="shared" si="21"/>
        <v>Automobile &amp; Components</v>
      </c>
      <c r="N664" s="822">
        <v>323111</v>
      </c>
      <c r="O664" s="822" t="s">
        <v>1903</v>
      </c>
      <c r="P664" s="823">
        <v>2759</v>
      </c>
      <c r="Q664" s="823" t="s">
        <v>1910</v>
      </c>
    </row>
    <row r="665" spans="2:17" s="608" customFormat="1" x14ac:dyDescent="0.25">
      <c r="B665" s="605" t="s">
        <v>2138</v>
      </c>
      <c r="C665" s="606">
        <f t="shared" si="20"/>
        <v>327110</v>
      </c>
      <c r="D665" s="607" t="s">
        <v>2139</v>
      </c>
      <c r="E665" s="607" t="s">
        <v>2140</v>
      </c>
      <c r="F665" s="607" t="s">
        <v>2141</v>
      </c>
      <c r="G665" s="607" t="s">
        <v>1019</v>
      </c>
      <c r="H665" s="607" t="s">
        <v>1019</v>
      </c>
      <c r="I665" s="607" t="s">
        <v>1255</v>
      </c>
      <c r="J665" s="608" t="str">
        <f t="shared" si="21"/>
        <v>Construction</v>
      </c>
      <c r="N665" s="822">
        <v>323111</v>
      </c>
      <c r="O665" s="822" t="s">
        <v>1903</v>
      </c>
      <c r="P665" s="823">
        <v>2761</v>
      </c>
      <c r="Q665" s="823" t="s">
        <v>1912</v>
      </c>
    </row>
    <row r="666" spans="2:17" s="608" customFormat="1" x14ac:dyDescent="0.25">
      <c r="B666" s="605" t="s">
        <v>2138</v>
      </c>
      <c r="C666" s="606">
        <f t="shared" si="20"/>
        <v>327110</v>
      </c>
      <c r="D666" s="607" t="s">
        <v>2139</v>
      </c>
      <c r="E666" s="607" t="s">
        <v>2142</v>
      </c>
      <c r="F666" s="607" t="s">
        <v>2143</v>
      </c>
      <c r="G666" s="607" t="s">
        <v>1019</v>
      </c>
      <c r="H666" s="607" t="s">
        <v>1019</v>
      </c>
      <c r="I666" s="607" t="s">
        <v>1255</v>
      </c>
      <c r="J666" s="608" t="str">
        <f t="shared" si="21"/>
        <v>Construction</v>
      </c>
      <c r="N666" s="822">
        <v>323111</v>
      </c>
      <c r="O666" s="822" t="s">
        <v>1903</v>
      </c>
      <c r="P666" s="823">
        <v>2771</v>
      </c>
      <c r="Q666" s="823" t="s">
        <v>1914</v>
      </c>
    </row>
    <row r="667" spans="2:17" s="608" customFormat="1" x14ac:dyDescent="0.25">
      <c r="B667" s="605" t="s">
        <v>2138</v>
      </c>
      <c r="C667" s="606">
        <f t="shared" si="20"/>
        <v>327110</v>
      </c>
      <c r="D667" s="607" t="s">
        <v>2139</v>
      </c>
      <c r="E667" s="607" t="s">
        <v>2144</v>
      </c>
      <c r="F667" s="607" t="s">
        <v>2145</v>
      </c>
      <c r="G667" s="607" t="s">
        <v>1019</v>
      </c>
      <c r="H667" s="607" t="s">
        <v>1019</v>
      </c>
      <c r="I667" s="607" t="s">
        <v>1255</v>
      </c>
      <c r="J667" s="608" t="str">
        <f t="shared" si="21"/>
        <v>Construction</v>
      </c>
      <c r="N667" s="822">
        <v>323111</v>
      </c>
      <c r="O667" s="822" t="s">
        <v>1903</v>
      </c>
      <c r="P667" s="823">
        <v>2782</v>
      </c>
      <c r="Q667" s="823" t="s">
        <v>1916</v>
      </c>
    </row>
    <row r="668" spans="2:17" s="608" customFormat="1" x14ac:dyDescent="0.25">
      <c r="B668" s="605" t="s">
        <v>2138</v>
      </c>
      <c r="C668" s="606">
        <f t="shared" si="20"/>
        <v>327110</v>
      </c>
      <c r="D668" s="607" t="s">
        <v>2139</v>
      </c>
      <c r="E668" s="607" t="s">
        <v>2146</v>
      </c>
      <c r="F668" s="607" t="s">
        <v>2147</v>
      </c>
      <c r="G668" s="607" t="s">
        <v>1019</v>
      </c>
      <c r="H668" s="607" t="s">
        <v>1019</v>
      </c>
      <c r="I668" s="607" t="s">
        <v>1255</v>
      </c>
      <c r="J668" s="608" t="str">
        <f t="shared" si="21"/>
        <v>Construction</v>
      </c>
      <c r="N668" s="822">
        <v>323111</v>
      </c>
      <c r="O668" s="822" t="s">
        <v>1903</v>
      </c>
      <c r="P668" s="823">
        <v>7334</v>
      </c>
      <c r="Q668" s="823" t="s">
        <v>1918</v>
      </c>
    </row>
    <row r="669" spans="2:17" s="608" customFormat="1" x14ac:dyDescent="0.25">
      <c r="B669" s="605" t="s">
        <v>2138</v>
      </c>
      <c r="C669" s="606">
        <f t="shared" si="20"/>
        <v>327110</v>
      </c>
      <c r="D669" s="607" t="s">
        <v>2139</v>
      </c>
      <c r="E669" s="607" t="s">
        <v>2148</v>
      </c>
      <c r="F669" s="607" t="s">
        <v>2149</v>
      </c>
      <c r="G669" s="607" t="s">
        <v>1019</v>
      </c>
      <c r="H669" s="607" t="s">
        <v>1019</v>
      </c>
      <c r="I669" s="607" t="s">
        <v>1255</v>
      </c>
      <c r="J669" s="608" t="str">
        <f t="shared" si="21"/>
        <v>Construction</v>
      </c>
      <c r="N669" s="823">
        <v>323112</v>
      </c>
      <c r="O669" s="823" t="s">
        <v>5895</v>
      </c>
      <c r="P669" s="823"/>
      <c r="Q669" s="823" t="s">
        <v>958</v>
      </c>
    </row>
    <row r="670" spans="2:17" s="608" customFormat="1" x14ac:dyDescent="0.25">
      <c r="B670" s="605" t="s">
        <v>2138</v>
      </c>
      <c r="C670" s="606">
        <f t="shared" si="20"/>
        <v>327110</v>
      </c>
      <c r="D670" s="607" t="s">
        <v>2139</v>
      </c>
      <c r="E670" s="607" t="s">
        <v>2150</v>
      </c>
      <c r="F670" s="607" t="s">
        <v>2151</v>
      </c>
      <c r="G670" s="607" t="s">
        <v>1019</v>
      </c>
      <c r="H670" s="607" t="s">
        <v>1019</v>
      </c>
      <c r="I670" s="607" t="s">
        <v>1255</v>
      </c>
      <c r="J670" s="608" t="str">
        <f t="shared" si="21"/>
        <v>Construction</v>
      </c>
      <c r="N670" s="822">
        <v>323113</v>
      </c>
      <c r="O670" s="822" t="s">
        <v>1920</v>
      </c>
      <c r="P670" s="823">
        <v>2396</v>
      </c>
      <c r="Q670" s="823" t="s">
        <v>1728</v>
      </c>
    </row>
    <row r="671" spans="2:17" s="608" customFormat="1" x14ac:dyDescent="0.25">
      <c r="B671" s="605" t="s">
        <v>2138</v>
      </c>
      <c r="C671" s="606">
        <f t="shared" si="20"/>
        <v>327110</v>
      </c>
      <c r="D671" s="607" t="s">
        <v>2139</v>
      </c>
      <c r="E671" s="607" t="s">
        <v>2152</v>
      </c>
      <c r="F671" s="607" t="s">
        <v>2153</v>
      </c>
      <c r="G671" s="607" t="s">
        <v>1019</v>
      </c>
      <c r="H671" s="607" t="s">
        <v>1019</v>
      </c>
      <c r="I671" s="607" t="s">
        <v>1255</v>
      </c>
      <c r="J671" s="608" t="str">
        <f t="shared" si="21"/>
        <v>Construction</v>
      </c>
      <c r="N671" s="822">
        <v>323113</v>
      </c>
      <c r="O671" s="822" t="s">
        <v>1920</v>
      </c>
      <c r="P671" s="823">
        <v>2759</v>
      </c>
      <c r="Q671" s="823" t="s">
        <v>1910</v>
      </c>
    </row>
    <row r="672" spans="2:17" s="608" customFormat="1" x14ac:dyDescent="0.25">
      <c r="B672" s="605" t="s">
        <v>2154</v>
      </c>
      <c r="C672" s="606">
        <f t="shared" si="20"/>
        <v>327120</v>
      </c>
      <c r="D672" s="607" t="s">
        <v>2155</v>
      </c>
      <c r="E672" s="607" t="s">
        <v>2156</v>
      </c>
      <c r="F672" s="607" t="s">
        <v>2157</v>
      </c>
      <c r="G672" s="607" t="s">
        <v>1019</v>
      </c>
      <c r="H672" s="607" t="s">
        <v>1019</v>
      </c>
      <c r="I672" s="607" t="s">
        <v>1255</v>
      </c>
      <c r="J672" s="608" t="str">
        <f t="shared" si="21"/>
        <v>Construction</v>
      </c>
      <c r="N672" s="822">
        <v>323113</v>
      </c>
      <c r="O672" s="822" t="s">
        <v>1920</v>
      </c>
      <c r="P672" s="823">
        <v>2771</v>
      </c>
      <c r="Q672" s="823" t="s">
        <v>1914</v>
      </c>
    </row>
    <row r="673" spans="2:17" s="608" customFormat="1" x14ac:dyDescent="0.25">
      <c r="B673" s="605" t="s">
        <v>2154</v>
      </c>
      <c r="C673" s="606">
        <f t="shared" si="20"/>
        <v>327120</v>
      </c>
      <c r="D673" s="607" t="s">
        <v>2155</v>
      </c>
      <c r="E673" s="607" t="s">
        <v>2158</v>
      </c>
      <c r="F673" s="607" t="s">
        <v>2159</v>
      </c>
      <c r="G673" s="607" t="s">
        <v>1019</v>
      </c>
      <c r="H673" s="607" t="s">
        <v>1019</v>
      </c>
      <c r="I673" s="607" t="s">
        <v>1255</v>
      </c>
      <c r="J673" s="608" t="str">
        <f t="shared" si="21"/>
        <v>Construction</v>
      </c>
      <c r="N673" s="822">
        <v>323113</v>
      </c>
      <c r="O673" s="822" t="s">
        <v>1920</v>
      </c>
      <c r="P673" s="823">
        <v>3993</v>
      </c>
      <c r="Q673" s="823" t="s">
        <v>1923</v>
      </c>
    </row>
    <row r="674" spans="2:17" s="608" customFormat="1" x14ac:dyDescent="0.25">
      <c r="B674" s="605" t="s">
        <v>2154</v>
      </c>
      <c r="C674" s="606">
        <f t="shared" si="20"/>
        <v>327120</v>
      </c>
      <c r="D674" s="607" t="s">
        <v>2155</v>
      </c>
      <c r="E674" s="607" t="s">
        <v>2160</v>
      </c>
      <c r="F674" s="607" t="s">
        <v>2161</v>
      </c>
      <c r="G674" s="607" t="s">
        <v>1019</v>
      </c>
      <c r="H674" s="607" t="s">
        <v>1019</v>
      </c>
      <c r="I674" s="607" t="s">
        <v>1255</v>
      </c>
      <c r="J674" s="608" t="str">
        <f t="shared" si="21"/>
        <v>Construction</v>
      </c>
      <c r="N674" s="823">
        <v>323114</v>
      </c>
      <c r="O674" s="823" t="s">
        <v>5896</v>
      </c>
      <c r="P674" s="823"/>
      <c r="Q674" s="823" t="s">
        <v>958</v>
      </c>
    </row>
    <row r="675" spans="2:17" s="608" customFormat="1" x14ac:dyDescent="0.25">
      <c r="B675" s="605" t="s">
        <v>2154</v>
      </c>
      <c r="C675" s="606">
        <f t="shared" si="20"/>
        <v>327120</v>
      </c>
      <c r="D675" s="607" t="s">
        <v>2155</v>
      </c>
      <c r="E675" s="607" t="s">
        <v>2162</v>
      </c>
      <c r="F675" s="607" t="s">
        <v>2163</v>
      </c>
      <c r="G675" s="607" t="s">
        <v>1019</v>
      </c>
      <c r="H675" s="607" t="s">
        <v>1019</v>
      </c>
      <c r="I675" s="607" t="s">
        <v>1255</v>
      </c>
      <c r="J675" s="608" t="str">
        <f t="shared" si="21"/>
        <v>Construction</v>
      </c>
      <c r="N675" s="823">
        <v>323115</v>
      </c>
      <c r="O675" s="823" t="s">
        <v>5897</v>
      </c>
      <c r="P675" s="823"/>
      <c r="Q675" s="823" t="s">
        <v>958</v>
      </c>
    </row>
    <row r="676" spans="2:17" s="608" customFormat="1" x14ac:dyDescent="0.25">
      <c r="B676" s="605" t="s">
        <v>2154</v>
      </c>
      <c r="C676" s="606">
        <f t="shared" si="20"/>
        <v>327120</v>
      </c>
      <c r="D676" s="607" t="s">
        <v>2155</v>
      </c>
      <c r="E676" s="607" t="s">
        <v>2164</v>
      </c>
      <c r="F676" s="607" t="s">
        <v>2165</v>
      </c>
      <c r="G676" s="607" t="s">
        <v>1019</v>
      </c>
      <c r="H676" s="607" t="s">
        <v>1019</v>
      </c>
      <c r="I676" s="607" t="s">
        <v>1255</v>
      </c>
      <c r="J676" s="608" t="str">
        <f t="shared" si="21"/>
        <v>Construction</v>
      </c>
      <c r="N676" s="823">
        <v>323116</v>
      </c>
      <c r="O676" s="823" t="s">
        <v>5898</v>
      </c>
      <c r="P676" s="823"/>
      <c r="Q676" s="823" t="s">
        <v>958</v>
      </c>
    </row>
    <row r="677" spans="2:17" s="608" customFormat="1" x14ac:dyDescent="0.25">
      <c r="B677" s="605" t="s">
        <v>2166</v>
      </c>
      <c r="C677" s="606">
        <f t="shared" si="20"/>
        <v>327211</v>
      </c>
      <c r="D677" s="607" t="s">
        <v>2167</v>
      </c>
      <c r="E677" s="605" t="s">
        <v>2168</v>
      </c>
      <c r="F677" s="607" t="s">
        <v>2169</v>
      </c>
      <c r="G677" s="607" t="s">
        <v>1019</v>
      </c>
      <c r="H677" s="607" t="s">
        <v>1019</v>
      </c>
      <c r="I677" s="607" t="s">
        <v>1755</v>
      </c>
      <c r="J677" s="608" t="str">
        <f t="shared" si="21"/>
        <v>Manufacturing</v>
      </c>
      <c r="N677" s="822">
        <v>323117</v>
      </c>
      <c r="O677" s="822" t="s">
        <v>1925</v>
      </c>
      <c r="P677" s="823">
        <v>2732</v>
      </c>
      <c r="Q677" s="823" t="s">
        <v>1927</v>
      </c>
    </row>
    <row r="678" spans="2:17" s="608" customFormat="1" x14ac:dyDescent="0.25">
      <c r="B678" s="605" t="s">
        <v>2170</v>
      </c>
      <c r="C678" s="606">
        <f t="shared" si="20"/>
        <v>327212</v>
      </c>
      <c r="D678" s="607" t="s">
        <v>2171</v>
      </c>
      <c r="E678" s="607" t="s">
        <v>2172</v>
      </c>
      <c r="F678" s="607" t="s">
        <v>2173</v>
      </c>
      <c r="G678" s="607" t="s">
        <v>1019</v>
      </c>
      <c r="H678" s="607" t="s">
        <v>1019</v>
      </c>
      <c r="I678" s="607" t="s">
        <v>1755</v>
      </c>
      <c r="J678" s="608" t="str">
        <f t="shared" si="21"/>
        <v>Manufacturing</v>
      </c>
      <c r="N678" s="823">
        <v>323118</v>
      </c>
      <c r="O678" s="823" t="s">
        <v>5899</v>
      </c>
      <c r="P678" s="823"/>
      <c r="Q678" s="823" t="s">
        <v>958</v>
      </c>
    </row>
    <row r="679" spans="2:17" s="608" customFormat="1" x14ac:dyDescent="0.25">
      <c r="B679" s="605" t="s">
        <v>2174</v>
      </c>
      <c r="C679" s="606">
        <f t="shared" si="20"/>
        <v>327213</v>
      </c>
      <c r="D679" s="607" t="s">
        <v>2175</v>
      </c>
      <c r="E679" s="607" t="s">
        <v>2176</v>
      </c>
      <c r="F679" s="607" t="s">
        <v>2177</v>
      </c>
      <c r="G679" s="607" t="s">
        <v>1019</v>
      </c>
      <c r="H679" s="607" t="s">
        <v>1019</v>
      </c>
      <c r="I679" s="607" t="s">
        <v>1755</v>
      </c>
      <c r="J679" s="608" t="str">
        <f t="shared" si="21"/>
        <v>Manufacturing</v>
      </c>
      <c r="N679" s="823">
        <v>323119</v>
      </c>
      <c r="O679" s="823" t="s">
        <v>5900</v>
      </c>
      <c r="P679" s="823"/>
      <c r="Q679" s="823" t="s">
        <v>958</v>
      </c>
    </row>
    <row r="680" spans="2:17" s="608" customFormat="1" x14ac:dyDescent="0.25">
      <c r="B680" s="605" t="s">
        <v>2178</v>
      </c>
      <c r="C680" s="606">
        <f t="shared" si="20"/>
        <v>327215</v>
      </c>
      <c r="D680" s="607" t="s">
        <v>2179</v>
      </c>
      <c r="E680" s="605" t="s">
        <v>2180</v>
      </c>
      <c r="F680" s="607" t="s">
        <v>2181</v>
      </c>
      <c r="G680" s="607" t="s">
        <v>1019</v>
      </c>
      <c r="H680" s="607" t="s">
        <v>1019</v>
      </c>
      <c r="I680" s="607" t="s">
        <v>1755</v>
      </c>
      <c r="J680" s="608" t="str">
        <f t="shared" si="21"/>
        <v>Manufacturing</v>
      </c>
      <c r="N680" s="822">
        <v>323120</v>
      </c>
      <c r="O680" s="822" t="s">
        <v>1929</v>
      </c>
      <c r="P680" s="823">
        <v>2789</v>
      </c>
      <c r="Q680" s="823" t="s">
        <v>1931</v>
      </c>
    </row>
    <row r="681" spans="2:17" s="608" customFormat="1" x14ac:dyDescent="0.25">
      <c r="B681" s="605" t="s">
        <v>2182</v>
      </c>
      <c r="C681" s="606">
        <f t="shared" si="20"/>
        <v>327310</v>
      </c>
      <c r="D681" s="607" t="s">
        <v>2183</v>
      </c>
      <c r="E681" s="607" t="s">
        <v>2184</v>
      </c>
      <c r="F681" s="607" t="s">
        <v>2185</v>
      </c>
      <c r="G681" s="607" t="s">
        <v>1019</v>
      </c>
      <c r="H681" s="607" t="s">
        <v>1019</v>
      </c>
      <c r="I681" s="607" t="s">
        <v>1755</v>
      </c>
      <c r="J681" s="608" t="str">
        <f t="shared" si="21"/>
        <v>Manufacturing</v>
      </c>
      <c r="N681" s="822">
        <v>323120</v>
      </c>
      <c r="O681" s="822" t="s">
        <v>1929</v>
      </c>
      <c r="P681" s="823">
        <v>2791</v>
      </c>
      <c r="Q681" s="823" t="s">
        <v>1933</v>
      </c>
    </row>
    <row r="682" spans="2:17" s="608" customFormat="1" x14ac:dyDescent="0.25">
      <c r="B682" s="605" t="s">
        <v>2186</v>
      </c>
      <c r="C682" s="606">
        <f t="shared" si="20"/>
        <v>327320</v>
      </c>
      <c r="D682" s="607" t="s">
        <v>2187</v>
      </c>
      <c r="E682" s="607" t="s">
        <v>2188</v>
      </c>
      <c r="F682" s="607" t="s">
        <v>2189</v>
      </c>
      <c r="G682" s="607" t="s">
        <v>1019</v>
      </c>
      <c r="H682" s="607" t="s">
        <v>1019</v>
      </c>
      <c r="I682" s="607" t="s">
        <v>1755</v>
      </c>
      <c r="J682" s="608" t="str">
        <f t="shared" si="21"/>
        <v>Manufacturing</v>
      </c>
      <c r="N682" s="822">
        <v>323120</v>
      </c>
      <c r="O682" s="822" t="s">
        <v>1929</v>
      </c>
      <c r="P682" s="823">
        <v>2796</v>
      </c>
      <c r="Q682" s="823" t="s">
        <v>1935</v>
      </c>
    </row>
    <row r="683" spans="2:17" s="608" customFormat="1" x14ac:dyDescent="0.25">
      <c r="B683" s="605" t="s">
        <v>2190</v>
      </c>
      <c r="C683" s="606">
        <f t="shared" si="20"/>
        <v>327331</v>
      </c>
      <c r="D683" s="607" t="s">
        <v>2191</v>
      </c>
      <c r="E683" s="607" t="s">
        <v>2156</v>
      </c>
      <c r="F683" s="607" t="s">
        <v>2157</v>
      </c>
      <c r="G683" s="607" t="s">
        <v>1019</v>
      </c>
      <c r="H683" s="607" t="s">
        <v>1019</v>
      </c>
      <c r="I683" s="607" t="s">
        <v>1755</v>
      </c>
      <c r="J683" s="608" t="str">
        <f t="shared" si="21"/>
        <v>Manufacturing</v>
      </c>
      <c r="N683" s="823">
        <v>323121</v>
      </c>
      <c r="O683" s="823" t="s">
        <v>5901</v>
      </c>
      <c r="P683" s="823"/>
      <c r="Q683" s="823" t="s">
        <v>958</v>
      </c>
    </row>
    <row r="684" spans="2:17" s="608" customFormat="1" x14ac:dyDescent="0.25">
      <c r="B684" s="605" t="s">
        <v>2190</v>
      </c>
      <c r="C684" s="606">
        <f t="shared" si="20"/>
        <v>327331</v>
      </c>
      <c r="D684" s="607" t="s">
        <v>2191</v>
      </c>
      <c r="E684" s="607" t="s">
        <v>2192</v>
      </c>
      <c r="F684" s="607" t="s">
        <v>2193</v>
      </c>
      <c r="G684" s="607" t="s">
        <v>1019</v>
      </c>
      <c r="H684" s="607" t="s">
        <v>1019</v>
      </c>
      <c r="I684" s="607" t="s">
        <v>1755</v>
      </c>
      <c r="J684" s="608" t="str">
        <f t="shared" si="21"/>
        <v>Manufacturing</v>
      </c>
      <c r="N684" s="823">
        <v>323122</v>
      </c>
      <c r="O684" s="823" t="s">
        <v>5902</v>
      </c>
      <c r="P684" s="823"/>
      <c r="Q684" s="823" t="s">
        <v>958</v>
      </c>
    </row>
    <row r="685" spans="2:17" s="608" customFormat="1" x14ac:dyDescent="0.25">
      <c r="B685" s="605" t="s">
        <v>2194</v>
      </c>
      <c r="C685" s="606">
        <f t="shared" si="20"/>
        <v>327332</v>
      </c>
      <c r="D685" s="607" t="s">
        <v>2195</v>
      </c>
      <c r="E685" s="607" t="s">
        <v>2196</v>
      </c>
      <c r="F685" s="607" t="s">
        <v>2197</v>
      </c>
      <c r="G685" s="607" t="s">
        <v>1019</v>
      </c>
      <c r="H685" s="607" t="s">
        <v>1019</v>
      </c>
      <c r="I685" s="607" t="s">
        <v>1755</v>
      </c>
      <c r="J685" s="608" t="str">
        <f t="shared" si="21"/>
        <v>Manufacturing</v>
      </c>
      <c r="N685" s="822">
        <v>324110</v>
      </c>
      <c r="O685" s="822" t="s">
        <v>1937</v>
      </c>
      <c r="P685" s="823">
        <v>2911</v>
      </c>
      <c r="Q685" s="823" t="s">
        <v>1939</v>
      </c>
    </row>
    <row r="686" spans="2:17" s="608" customFormat="1" x14ac:dyDescent="0.25">
      <c r="B686" s="605" t="s">
        <v>2198</v>
      </c>
      <c r="C686" s="606">
        <f t="shared" si="20"/>
        <v>327390</v>
      </c>
      <c r="D686" s="607" t="s">
        <v>2199</v>
      </c>
      <c r="E686" s="607" t="s">
        <v>2196</v>
      </c>
      <c r="F686" s="607" t="s">
        <v>2197</v>
      </c>
      <c r="G686" s="607" t="s">
        <v>1019</v>
      </c>
      <c r="H686" s="607" t="s">
        <v>1019</v>
      </c>
      <c r="I686" s="607" t="s">
        <v>1755</v>
      </c>
      <c r="J686" s="608" t="str">
        <f t="shared" si="21"/>
        <v>Manufacturing</v>
      </c>
      <c r="N686" s="822">
        <v>324121</v>
      </c>
      <c r="O686" s="822" t="s">
        <v>1941</v>
      </c>
      <c r="P686" s="823">
        <v>2951</v>
      </c>
      <c r="Q686" s="823" t="s">
        <v>1943</v>
      </c>
    </row>
    <row r="687" spans="2:17" s="608" customFormat="1" x14ac:dyDescent="0.25">
      <c r="B687" s="605" t="s">
        <v>2200</v>
      </c>
      <c r="C687" s="606">
        <f t="shared" si="20"/>
        <v>327410</v>
      </c>
      <c r="D687" s="607" t="s">
        <v>2201</v>
      </c>
      <c r="E687" s="605" t="s">
        <v>2202</v>
      </c>
      <c r="F687" s="607" t="s">
        <v>2203</v>
      </c>
      <c r="G687" s="607" t="s">
        <v>1019</v>
      </c>
      <c r="H687" s="607" t="s">
        <v>1019</v>
      </c>
      <c r="I687" s="607" t="s">
        <v>1755</v>
      </c>
      <c r="J687" s="608" t="str">
        <f t="shared" si="21"/>
        <v>Manufacturing</v>
      </c>
      <c r="N687" s="822">
        <v>324122</v>
      </c>
      <c r="O687" s="822" t="s">
        <v>1945</v>
      </c>
      <c r="P687" s="823">
        <v>2952</v>
      </c>
      <c r="Q687" s="823" t="s">
        <v>1947</v>
      </c>
    </row>
    <row r="688" spans="2:17" s="608" customFormat="1" x14ac:dyDescent="0.25">
      <c r="B688" s="605" t="s">
        <v>2204</v>
      </c>
      <c r="C688" s="606">
        <f t="shared" si="20"/>
        <v>327420</v>
      </c>
      <c r="D688" s="607" t="s">
        <v>2205</v>
      </c>
      <c r="E688" s="605" t="s">
        <v>2206</v>
      </c>
      <c r="F688" s="607" t="s">
        <v>2207</v>
      </c>
      <c r="G688" s="607" t="s">
        <v>1019</v>
      </c>
      <c r="H688" s="607" t="s">
        <v>1019</v>
      </c>
      <c r="I688" s="607" t="s">
        <v>1755</v>
      </c>
      <c r="J688" s="608" t="str">
        <f t="shared" si="21"/>
        <v>Manufacturing</v>
      </c>
      <c r="N688" s="822">
        <v>324191</v>
      </c>
      <c r="O688" s="822" t="s">
        <v>1949</v>
      </c>
      <c r="P688" s="823">
        <v>2992</v>
      </c>
      <c r="Q688" s="823" t="s">
        <v>1951</v>
      </c>
    </row>
    <row r="689" spans="2:17" s="608" customFormat="1" x14ac:dyDescent="0.25">
      <c r="B689" s="605" t="s">
        <v>2204</v>
      </c>
      <c r="C689" s="606">
        <f t="shared" si="20"/>
        <v>327420</v>
      </c>
      <c r="D689" s="607" t="s">
        <v>2205</v>
      </c>
      <c r="E689" s="607" t="s">
        <v>2150</v>
      </c>
      <c r="F689" s="607" t="s">
        <v>2151</v>
      </c>
      <c r="G689" s="609" t="s">
        <v>1100</v>
      </c>
      <c r="H689" s="609" t="s">
        <v>1100</v>
      </c>
      <c r="I689" s="607" t="s">
        <v>1101</v>
      </c>
      <c r="J689" s="608" t="str">
        <f t="shared" si="21"/>
        <v>Metals And Mining</v>
      </c>
      <c r="N689" s="822">
        <v>324199</v>
      </c>
      <c r="O689" s="822" t="s">
        <v>1953</v>
      </c>
      <c r="P689" s="823">
        <v>2999</v>
      </c>
      <c r="Q689" s="823" t="s">
        <v>1955</v>
      </c>
    </row>
    <row r="690" spans="2:17" s="608" customFormat="1" x14ac:dyDescent="0.25">
      <c r="B690" s="605" t="s">
        <v>2208</v>
      </c>
      <c r="C690" s="606">
        <f t="shared" si="20"/>
        <v>327910</v>
      </c>
      <c r="D690" s="607" t="s">
        <v>2209</v>
      </c>
      <c r="E690" s="605" t="s">
        <v>2210</v>
      </c>
      <c r="F690" s="607" t="s">
        <v>2211</v>
      </c>
      <c r="G690" s="609" t="s">
        <v>1100</v>
      </c>
      <c r="H690" s="607" t="s">
        <v>1100</v>
      </c>
      <c r="I690" s="607" t="s">
        <v>1101</v>
      </c>
      <c r="J690" s="608" t="str">
        <f t="shared" si="21"/>
        <v>Metals And Mining</v>
      </c>
      <c r="N690" s="822">
        <v>324199</v>
      </c>
      <c r="O690" s="822" t="s">
        <v>1953</v>
      </c>
      <c r="P690" s="823">
        <v>3312</v>
      </c>
      <c r="Q690" s="823" t="s">
        <v>1957</v>
      </c>
    </row>
    <row r="691" spans="2:17" s="608" customFormat="1" x14ac:dyDescent="0.25">
      <c r="B691" s="605" t="s">
        <v>2212</v>
      </c>
      <c r="C691" s="606">
        <f t="shared" si="20"/>
        <v>327991</v>
      </c>
      <c r="D691" s="607" t="s">
        <v>2213</v>
      </c>
      <c r="E691" s="605" t="s">
        <v>2214</v>
      </c>
      <c r="F691" s="607" t="s">
        <v>2215</v>
      </c>
      <c r="G691" s="607" t="s">
        <v>1100</v>
      </c>
      <c r="H691" s="607" t="s">
        <v>1100</v>
      </c>
      <c r="I691" s="607" t="s">
        <v>1101</v>
      </c>
      <c r="J691" s="608" t="str">
        <f t="shared" si="21"/>
        <v>Metals And Mining</v>
      </c>
      <c r="N691" s="822">
        <v>325110</v>
      </c>
      <c r="O691" s="822" t="s">
        <v>1959</v>
      </c>
      <c r="P691" s="823">
        <v>2865</v>
      </c>
      <c r="Q691" s="823" t="s">
        <v>1961</v>
      </c>
    </row>
    <row r="692" spans="2:17" s="608" customFormat="1" x14ac:dyDescent="0.25">
      <c r="B692" s="605" t="s">
        <v>2216</v>
      </c>
      <c r="C692" s="606">
        <f t="shared" si="20"/>
        <v>327992</v>
      </c>
      <c r="D692" s="607" t="s">
        <v>2217</v>
      </c>
      <c r="E692" s="607" t="s">
        <v>1160</v>
      </c>
      <c r="F692" s="607" t="s">
        <v>1161</v>
      </c>
      <c r="G692" s="609" t="s">
        <v>1100</v>
      </c>
      <c r="H692" s="609" t="s">
        <v>1100</v>
      </c>
      <c r="I692" s="607" t="s">
        <v>1101</v>
      </c>
      <c r="J692" s="608" t="str">
        <f t="shared" si="21"/>
        <v>Metals And Mining</v>
      </c>
      <c r="N692" s="822">
        <v>325110</v>
      </c>
      <c r="O692" s="822" t="s">
        <v>1959</v>
      </c>
      <c r="P692" s="823">
        <v>2869</v>
      </c>
      <c r="Q692" s="823" t="s">
        <v>1964</v>
      </c>
    </row>
    <row r="693" spans="2:17" s="608" customFormat="1" x14ac:dyDescent="0.25">
      <c r="B693" s="605" t="s">
        <v>2218</v>
      </c>
      <c r="C693" s="606">
        <f t="shared" si="20"/>
        <v>327993</v>
      </c>
      <c r="D693" s="607" t="s">
        <v>2219</v>
      </c>
      <c r="E693" s="607" t="s">
        <v>2220</v>
      </c>
      <c r="F693" s="607" t="s">
        <v>2221</v>
      </c>
      <c r="G693" s="609" t="s">
        <v>1100</v>
      </c>
      <c r="H693" s="609" t="s">
        <v>1100</v>
      </c>
      <c r="I693" s="607" t="s">
        <v>1101</v>
      </c>
      <c r="J693" s="608" t="str">
        <f t="shared" si="21"/>
        <v>Metals And Mining</v>
      </c>
      <c r="N693" s="822">
        <v>325120</v>
      </c>
      <c r="O693" s="822" t="s">
        <v>1966</v>
      </c>
      <c r="P693" s="823">
        <v>2813</v>
      </c>
      <c r="Q693" s="823" t="s">
        <v>1968</v>
      </c>
    </row>
    <row r="694" spans="2:17" s="608" customFormat="1" x14ac:dyDescent="0.25">
      <c r="B694" s="605" t="s">
        <v>2222</v>
      </c>
      <c r="C694" s="606">
        <f t="shared" si="20"/>
        <v>327999</v>
      </c>
      <c r="D694" s="607" t="s">
        <v>2223</v>
      </c>
      <c r="E694" s="605" t="s">
        <v>2196</v>
      </c>
      <c r="F694" s="607" t="s">
        <v>2197</v>
      </c>
      <c r="G694" s="607" t="s">
        <v>1100</v>
      </c>
      <c r="H694" s="607" t="s">
        <v>1100</v>
      </c>
      <c r="I694" s="607" t="s">
        <v>1101</v>
      </c>
      <c r="J694" s="608" t="str">
        <f t="shared" si="21"/>
        <v>Metals And Mining</v>
      </c>
      <c r="N694" s="822">
        <v>325120</v>
      </c>
      <c r="O694" s="822" t="s">
        <v>1966</v>
      </c>
      <c r="P694" s="823">
        <v>2869</v>
      </c>
      <c r="Q694" s="823" t="s">
        <v>1964</v>
      </c>
    </row>
    <row r="695" spans="2:17" s="608" customFormat="1" x14ac:dyDescent="0.25">
      <c r="B695" s="605" t="s">
        <v>2222</v>
      </c>
      <c r="C695" s="606">
        <f t="shared" si="20"/>
        <v>327999</v>
      </c>
      <c r="D695" s="607" t="s">
        <v>2223</v>
      </c>
      <c r="E695" s="605" t="s">
        <v>2224</v>
      </c>
      <c r="F695" s="607" t="s">
        <v>2225</v>
      </c>
      <c r="G695" s="607" t="s">
        <v>1100</v>
      </c>
      <c r="H695" s="607" t="s">
        <v>1100</v>
      </c>
      <c r="I695" s="607" t="s">
        <v>1101</v>
      </c>
      <c r="J695" s="608" t="str">
        <f t="shared" si="21"/>
        <v>Metals And Mining</v>
      </c>
      <c r="N695" s="822">
        <v>325130</v>
      </c>
      <c r="O695" s="822" t="s">
        <v>1970</v>
      </c>
      <c r="P695" s="823">
        <v>2816</v>
      </c>
      <c r="Q695" s="823" t="s">
        <v>1972</v>
      </c>
    </row>
    <row r="696" spans="2:17" s="608" customFormat="1" x14ac:dyDescent="0.25">
      <c r="B696" s="605" t="s">
        <v>2222</v>
      </c>
      <c r="C696" s="606">
        <f t="shared" si="20"/>
        <v>327999</v>
      </c>
      <c r="D696" s="607" t="s">
        <v>2223</v>
      </c>
      <c r="E696" s="607" t="s">
        <v>2150</v>
      </c>
      <c r="F696" s="607" t="s">
        <v>2151</v>
      </c>
      <c r="G696" s="609" t="s">
        <v>1100</v>
      </c>
      <c r="H696" s="609" t="s">
        <v>1100</v>
      </c>
      <c r="I696" s="607" t="s">
        <v>1101</v>
      </c>
      <c r="J696" s="608" t="str">
        <f t="shared" si="21"/>
        <v>Metals And Mining</v>
      </c>
      <c r="N696" s="822">
        <v>325130</v>
      </c>
      <c r="O696" s="822" t="s">
        <v>1970</v>
      </c>
      <c r="P696" s="823">
        <v>2819</v>
      </c>
      <c r="Q696" s="823" t="s">
        <v>1087</v>
      </c>
    </row>
    <row r="697" spans="2:17" s="608" customFormat="1" x14ac:dyDescent="0.25">
      <c r="B697" s="605" t="s">
        <v>2226</v>
      </c>
      <c r="C697" s="606">
        <f t="shared" si="20"/>
        <v>331110</v>
      </c>
      <c r="D697" s="607" t="s">
        <v>2227</v>
      </c>
      <c r="E697" s="607" t="s">
        <v>1956</v>
      </c>
      <c r="F697" s="607" t="s">
        <v>1957</v>
      </c>
      <c r="G697" s="607" t="s">
        <v>1100</v>
      </c>
      <c r="H697" s="607" t="s">
        <v>1100</v>
      </c>
      <c r="I697" s="607" t="s">
        <v>1101</v>
      </c>
      <c r="J697" s="608" t="str">
        <f t="shared" si="21"/>
        <v>Metals And Mining</v>
      </c>
      <c r="N697" s="822">
        <v>325130</v>
      </c>
      <c r="O697" s="822" t="s">
        <v>1970</v>
      </c>
      <c r="P697" s="823">
        <v>2865</v>
      </c>
      <c r="Q697" s="823" t="s">
        <v>1961</v>
      </c>
    </row>
    <row r="698" spans="2:17" s="608" customFormat="1" x14ac:dyDescent="0.25">
      <c r="B698" s="605" t="s">
        <v>2226</v>
      </c>
      <c r="C698" s="606">
        <f t="shared" si="20"/>
        <v>331110</v>
      </c>
      <c r="D698" s="607" t="s">
        <v>2227</v>
      </c>
      <c r="E698" s="607" t="s">
        <v>2228</v>
      </c>
      <c r="F698" s="607" t="s">
        <v>2229</v>
      </c>
      <c r="G698" s="607" t="s">
        <v>1100</v>
      </c>
      <c r="H698" s="607" t="s">
        <v>1100</v>
      </c>
      <c r="I698" s="607" t="s">
        <v>1101</v>
      </c>
      <c r="J698" s="608" t="str">
        <f t="shared" si="21"/>
        <v>Metals And Mining</v>
      </c>
      <c r="N698" s="823">
        <v>325131</v>
      </c>
      <c r="O698" s="823" t="s">
        <v>5903</v>
      </c>
      <c r="P698" s="823"/>
      <c r="Q698" s="823" t="s">
        <v>958</v>
      </c>
    </row>
    <row r="699" spans="2:17" s="608" customFormat="1" x14ac:dyDescent="0.25">
      <c r="B699" s="605" t="s">
        <v>2226</v>
      </c>
      <c r="C699" s="606">
        <f t="shared" si="20"/>
        <v>331110</v>
      </c>
      <c r="D699" s="607" t="s">
        <v>2227</v>
      </c>
      <c r="E699" s="607" t="s">
        <v>2230</v>
      </c>
      <c r="F699" s="607" t="s">
        <v>2231</v>
      </c>
      <c r="G699" s="607" t="s">
        <v>1100</v>
      </c>
      <c r="H699" s="607" t="s">
        <v>1100</v>
      </c>
      <c r="I699" s="607" t="s">
        <v>1101</v>
      </c>
      <c r="J699" s="608" t="str">
        <f t="shared" si="21"/>
        <v>Metals And Mining</v>
      </c>
      <c r="N699" s="823">
        <v>325132</v>
      </c>
      <c r="O699" s="823" t="s">
        <v>5904</v>
      </c>
      <c r="P699" s="823"/>
      <c r="Q699" s="823" t="s">
        <v>958</v>
      </c>
    </row>
    <row r="700" spans="2:17" s="608" customFormat="1" x14ac:dyDescent="0.25">
      <c r="B700" s="605" t="s">
        <v>2232</v>
      </c>
      <c r="C700" s="606">
        <f t="shared" si="20"/>
        <v>331210</v>
      </c>
      <c r="D700" s="607" t="s">
        <v>2233</v>
      </c>
      <c r="E700" s="607" t="s">
        <v>2234</v>
      </c>
      <c r="F700" s="607" t="s">
        <v>2235</v>
      </c>
      <c r="G700" s="607" t="s">
        <v>1100</v>
      </c>
      <c r="H700" s="607" t="s">
        <v>1100</v>
      </c>
      <c r="I700" s="607" t="s">
        <v>1101</v>
      </c>
      <c r="J700" s="608" t="str">
        <f t="shared" si="21"/>
        <v>Metals And Mining</v>
      </c>
      <c r="N700" s="822">
        <v>325180</v>
      </c>
      <c r="O700" s="822" t="s">
        <v>1974</v>
      </c>
      <c r="P700" s="823">
        <v>2812</v>
      </c>
      <c r="Q700" s="823" t="s">
        <v>1976</v>
      </c>
    </row>
    <row r="701" spans="2:17" s="608" customFormat="1" x14ac:dyDescent="0.25">
      <c r="B701" s="605" t="s">
        <v>2236</v>
      </c>
      <c r="C701" s="606">
        <f t="shared" si="20"/>
        <v>331221</v>
      </c>
      <c r="D701" s="607" t="s">
        <v>2237</v>
      </c>
      <c r="E701" s="607" t="s">
        <v>1956</v>
      </c>
      <c r="F701" s="607" t="s">
        <v>1957</v>
      </c>
      <c r="G701" s="607" t="s">
        <v>1100</v>
      </c>
      <c r="H701" s="607" t="s">
        <v>1100</v>
      </c>
      <c r="I701" s="607" t="s">
        <v>1101</v>
      </c>
      <c r="J701" s="608" t="str">
        <f t="shared" si="21"/>
        <v>Metals And Mining</v>
      </c>
      <c r="N701" s="822">
        <v>325180</v>
      </c>
      <c r="O701" s="822" t="s">
        <v>1974</v>
      </c>
      <c r="P701" s="823">
        <v>2816</v>
      </c>
      <c r="Q701" s="823" t="s">
        <v>1972</v>
      </c>
    </row>
    <row r="702" spans="2:17" s="608" customFormat="1" x14ac:dyDescent="0.25">
      <c r="B702" s="605" t="s">
        <v>2236</v>
      </c>
      <c r="C702" s="606">
        <f t="shared" si="20"/>
        <v>331221</v>
      </c>
      <c r="D702" s="607" t="s">
        <v>2237</v>
      </c>
      <c r="E702" s="607" t="s">
        <v>2238</v>
      </c>
      <c r="F702" s="607" t="s">
        <v>2239</v>
      </c>
      <c r="G702" s="607" t="s">
        <v>1100</v>
      </c>
      <c r="H702" s="607" t="s">
        <v>1100</v>
      </c>
      <c r="I702" s="607" t="s">
        <v>1101</v>
      </c>
      <c r="J702" s="608" t="str">
        <f t="shared" si="21"/>
        <v>Metals And Mining</v>
      </c>
      <c r="N702" s="822">
        <v>325180</v>
      </c>
      <c r="O702" s="822" t="s">
        <v>1974</v>
      </c>
      <c r="P702" s="823">
        <v>2819</v>
      </c>
      <c r="Q702" s="823" t="s">
        <v>1087</v>
      </c>
    </row>
    <row r="703" spans="2:17" s="608" customFormat="1" x14ac:dyDescent="0.25">
      <c r="B703" s="605" t="s">
        <v>2236</v>
      </c>
      <c r="C703" s="606">
        <f t="shared" si="20"/>
        <v>331221</v>
      </c>
      <c r="D703" s="607" t="s">
        <v>2237</v>
      </c>
      <c r="E703" s="607" t="s">
        <v>2230</v>
      </c>
      <c r="F703" s="607" t="s">
        <v>2231</v>
      </c>
      <c r="G703" s="607" t="s">
        <v>1100</v>
      </c>
      <c r="H703" s="607" t="s">
        <v>1100</v>
      </c>
      <c r="I703" s="607" t="s">
        <v>1101</v>
      </c>
      <c r="J703" s="608" t="str">
        <f t="shared" si="21"/>
        <v>Metals And Mining</v>
      </c>
      <c r="N703" s="822">
        <v>325180</v>
      </c>
      <c r="O703" s="822" t="s">
        <v>1974</v>
      </c>
      <c r="P703" s="823">
        <v>2869</v>
      </c>
      <c r="Q703" s="823" t="s">
        <v>1964</v>
      </c>
    </row>
    <row r="704" spans="2:17" s="608" customFormat="1" x14ac:dyDescent="0.25">
      <c r="B704" s="605" t="s">
        <v>2240</v>
      </c>
      <c r="C704" s="606">
        <f t="shared" si="20"/>
        <v>331222</v>
      </c>
      <c r="D704" s="607" t="s">
        <v>2241</v>
      </c>
      <c r="E704" s="607" t="s">
        <v>2242</v>
      </c>
      <c r="F704" s="607" t="s">
        <v>2243</v>
      </c>
      <c r="G704" s="607" t="s">
        <v>1100</v>
      </c>
      <c r="H704" s="607" t="s">
        <v>1100</v>
      </c>
      <c r="I704" s="607" t="s">
        <v>1101</v>
      </c>
      <c r="J704" s="608" t="str">
        <f t="shared" si="21"/>
        <v>Metals And Mining</v>
      </c>
      <c r="N704" s="822">
        <v>325180</v>
      </c>
      <c r="O704" s="822" t="s">
        <v>1974</v>
      </c>
      <c r="P704" s="823">
        <v>2895</v>
      </c>
      <c r="Q704" s="823" t="s">
        <v>1978</v>
      </c>
    </row>
    <row r="705" spans="2:17" s="608" customFormat="1" x14ac:dyDescent="0.25">
      <c r="B705" s="605" t="s">
        <v>2244</v>
      </c>
      <c r="C705" s="606">
        <f t="shared" si="20"/>
        <v>331313</v>
      </c>
      <c r="D705" s="607" t="s">
        <v>2245</v>
      </c>
      <c r="E705" s="607" t="s">
        <v>1086</v>
      </c>
      <c r="F705" s="607" t="s">
        <v>1087</v>
      </c>
      <c r="G705" s="607" t="s">
        <v>1100</v>
      </c>
      <c r="H705" s="607" t="s">
        <v>1100</v>
      </c>
      <c r="I705" s="607" t="s">
        <v>1101</v>
      </c>
      <c r="J705" s="608" t="str">
        <f t="shared" si="21"/>
        <v>Metals And Mining</v>
      </c>
      <c r="N705" s="823">
        <v>325181</v>
      </c>
      <c r="O705" s="823" t="s">
        <v>5905</v>
      </c>
      <c r="P705" s="823"/>
      <c r="Q705" s="823" t="s">
        <v>958</v>
      </c>
    </row>
    <row r="706" spans="2:17" s="608" customFormat="1" ht="18" x14ac:dyDescent="0.3">
      <c r="B706" s="605" t="s">
        <v>2244</v>
      </c>
      <c r="C706" s="606">
        <f t="shared" ref="C706:C769" si="22">B706+0</f>
        <v>331313</v>
      </c>
      <c r="D706" s="607" t="s">
        <v>2245</v>
      </c>
      <c r="E706" s="607" t="s">
        <v>2246</v>
      </c>
      <c r="F706" s="607" t="s">
        <v>2247</v>
      </c>
      <c r="G706" s="607" t="s">
        <v>1100</v>
      </c>
      <c r="H706" s="607" t="s">
        <v>1100</v>
      </c>
      <c r="I706" s="607" t="s">
        <v>1101</v>
      </c>
      <c r="J706" s="608" t="str">
        <f t="shared" ref="J706:J769" si="23">PROPER(I706)</f>
        <v>Metals And Mining</v>
      </c>
      <c r="N706" s="822">
        <v>325182</v>
      </c>
      <c r="O706" s="824" t="s">
        <v>1974</v>
      </c>
      <c r="P706" s="823"/>
      <c r="Q706" s="823" t="s">
        <v>958</v>
      </c>
    </row>
    <row r="707" spans="2:17" s="608" customFormat="1" x14ac:dyDescent="0.25">
      <c r="B707" s="605" t="s">
        <v>2248</v>
      </c>
      <c r="C707" s="606">
        <f t="shared" si="22"/>
        <v>331314</v>
      </c>
      <c r="D707" s="607" t="s">
        <v>2249</v>
      </c>
      <c r="E707" s="607" t="s">
        <v>2250</v>
      </c>
      <c r="F707" s="607" t="s">
        <v>2251</v>
      </c>
      <c r="G707" s="607" t="s">
        <v>1100</v>
      </c>
      <c r="H707" s="607" t="s">
        <v>1100</v>
      </c>
      <c r="I707" s="607" t="s">
        <v>1101</v>
      </c>
      <c r="J707" s="608" t="str">
        <f t="shared" si="23"/>
        <v>Metals And Mining</v>
      </c>
      <c r="N707" s="823">
        <v>325188</v>
      </c>
      <c r="O707" s="823" t="s">
        <v>5906</v>
      </c>
      <c r="P707" s="823"/>
      <c r="Q707" s="823" t="s">
        <v>958</v>
      </c>
    </row>
    <row r="708" spans="2:17" s="608" customFormat="1" x14ac:dyDescent="0.25">
      <c r="B708" s="605" t="s">
        <v>2248</v>
      </c>
      <c r="C708" s="606">
        <f t="shared" si="22"/>
        <v>331314</v>
      </c>
      <c r="D708" s="607" t="s">
        <v>2249</v>
      </c>
      <c r="E708" s="607" t="s">
        <v>2230</v>
      </c>
      <c r="F708" s="607" t="s">
        <v>2231</v>
      </c>
      <c r="G708" s="607" t="s">
        <v>1100</v>
      </c>
      <c r="H708" s="607" t="s">
        <v>1100</v>
      </c>
      <c r="I708" s="607" t="s">
        <v>1101</v>
      </c>
      <c r="J708" s="608" t="str">
        <f t="shared" si="23"/>
        <v>Metals And Mining</v>
      </c>
      <c r="N708" s="823">
        <v>325191</v>
      </c>
      <c r="O708" s="823" t="s">
        <v>5907</v>
      </c>
      <c r="P708" s="823"/>
      <c r="Q708" s="823" t="s">
        <v>958</v>
      </c>
    </row>
    <row r="709" spans="2:17" s="608" customFormat="1" x14ac:dyDescent="0.25">
      <c r="B709" s="605" t="s">
        <v>2252</v>
      </c>
      <c r="C709" s="606">
        <f t="shared" si="22"/>
        <v>331315</v>
      </c>
      <c r="D709" s="607" t="s">
        <v>2253</v>
      </c>
      <c r="E709" s="607" t="s">
        <v>2254</v>
      </c>
      <c r="F709" s="607" t="s">
        <v>2255</v>
      </c>
      <c r="G709" s="607" t="s">
        <v>1100</v>
      </c>
      <c r="H709" s="607" t="s">
        <v>1100</v>
      </c>
      <c r="I709" s="607" t="s">
        <v>1101</v>
      </c>
      <c r="J709" s="608" t="str">
        <f t="shared" si="23"/>
        <v>Metals And Mining</v>
      </c>
      <c r="N709" s="823">
        <v>325192</v>
      </c>
      <c r="O709" s="823" t="s">
        <v>5908</v>
      </c>
      <c r="P709" s="823"/>
      <c r="Q709" s="823" t="s">
        <v>958</v>
      </c>
    </row>
    <row r="710" spans="2:17" s="608" customFormat="1" x14ac:dyDescent="0.25">
      <c r="B710" s="605" t="s">
        <v>2256</v>
      </c>
      <c r="C710" s="606">
        <f t="shared" si="22"/>
        <v>331318</v>
      </c>
      <c r="D710" s="607" t="s">
        <v>2257</v>
      </c>
      <c r="E710" s="607" t="s">
        <v>2258</v>
      </c>
      <c r="F710" s="607" t="s">
        <v>2259</v>
      </c>
      <c r="G710" s="607" t="s">
        <v>1100</v>
      </c>
      <c r="H710" s="607" t="s">
        <v>1100</v>
      </c>
      <c r="I710" s="607" t="s">
        <v>1101</v>
      </c>
      <c r="J710" s="608" t="str">
        <f t="shared" si="23"/>
        <v>Metals And Mining</v>
      </c>
      <c r="N710" s="822">
        <v>325193</v>
      </c>
      <c r="O710" s="822" t="s">
        <v>1980</v>
      </c>
      <c r="P710" s="823">
        <v>2869</v>
      </c>
      <c r="Q710" s="823" t="s">
        <v>1964</v>
      </c>
    </row>
    <row r="711" spans="2:17" s="608" customFormat="1" x14ac:dyDescent="0.25">
      <c r="B711" s="605" t="s">
        <v>2256</v>
      </c>
      <c r="C711" s="606">
        <f t="shared" si="22"/>
        <v>331318</v>
      </c>
      <c r="D711" s="607" t="s">
        <v>2257</v>
      </c>
      <c r="E711" s="607" t="s">
        <v>2260</v>
      </c>
      <c r="F711" s="607" t="s">
        <v>2261</v>
      </c>
      <c r="G711" s="607" t="s">
        <v>1100</v>
      </c>
      <c r="H711" s="607" t="s">
        <v>1100</v>
      </c>
      <c r="I711" s="607" t="s">
        <v>1101</v>
      </c>
      <c r="J711" s="608" t="str">
        <f t="shared" si="23"/>
        <v>Metals And Mining</v>
      </c>
      <c r="N711" s="822">
        <v>325194</v>
      </c>
      <c r="O711" s="822" t="s">
        <v>1982</v>
      </c>
      <c r="P711" s="823">
        <v>2861</v>
      </c>
      <c r="Q711" s="823" t="s">
        <v>1984</v>
      </c>
    </row>
    <row r="712" spans="2:17" s="608" customFormat="1" x14ac:dyDescent="0.25">
      <c r="B712" s="605" t="s">
        <v>2256</v>
      </c>
      <c r="C712" s="606">
        <f t="shared" si="22"/>
        <v>331318</v>
      </c>
      <c r="D712" s="607" t="s">
        <v>2257</v>
      </c>
      <c r="E712" s="607" t="s">
        <v>2262</v>
      </c>
      <c r="F712" s="607" t="s">
        <v>2263</v>
      </c>
      <c r="G712" s="607" t="s">
        <v>1100</v>
      </c>
      <c r="H712" s="607" t="s">
        <v>1100</v>
      </c>
      <c r="I712" s="607" t="s">
        <v>1101</v>
      </c>
      <c r="J712" s="608" t="str">
        <f t="shared" si="23"/>
        <v>Metals And Mining</v>
      </c>
      <c r="N712" s="822">
        <v>325194</v>
      </c>
      <c r="O712" s="822" t="s">
        <v>1982</v>
      </c>
      <c r="P712" s="823">
        <v>2865</v>
      </c>
      <c r="Q712" s="823" t="s">
        <v>1961</v>
      </c>
    </row>
    <row r="713" spans="2:17" s="608" customFormat="1" x14ac:dyDescent="0.25">
      <c r="B713" s="605" t="s">
        <v>2264</v>
      </c>
      <c r="C713" s="606">
        <f t="shared" si="22"/>
        <v>331410</v>
      </c>
      <c r="D713" s="607" t="s">
        <v>2265</v>
      </c>
      <c r="E713" s="607" t="s">
        <v>2266</v>
      </c>
      <c r="F713" s="607" t="s">
        <v>2267</v>
      </c>
      <c r="G713" s="607" t="s">
        <v>1100</v>
      </c>
      <c r="H713" s="607" t="s">
        <v>1100</v>
      </c>
      <c r="I713" s="607" t="s">
        <v>1101</v>
      </c>
      <c r="J713" s="608" t="str">
        <f t="shared" si="23"/>
        <v>Metals And Mining</v>
      </c>
      <c r="N713" s="822">
        <v>325194</v>
      </c>
      <c r="O713" s="822" t="s">
        <v>1982</v>
      </c>
      <c r="P713" s="823">
        <v>2869</v>
      </c>
      <c r="Q713" s="823" t="s">
        <v>1964</v>
      </c>
    </row>
    <row r="714" spans="2:17" s="608" customFormat="1" x14ac:dyDescent="0.25">
      <c r="B714" s="605" t="s">
        <v>2264</v>
      </c>
      <c r="C714" s="606">
        <f t="shared" si="22"/>
        <v>331410</v>
      </c>
      <c r="D714" s="607" t="s">
        <v>2265</v>
      </c>
      <c r="E714" s="607" t="s">
        <v>2268</v>
      </c>
      <c r="F714" s="607" t="s">
        <v>2269</v>
      </c>
      <c r="G714" s="607" t="s">
        <v>1100</v>
      </c>
      <c r="H714" s="607" t="s">
        <v>1100</v>
      </c>
      <c r="I714" s="607" t="s">
        <v>1101</v>
      </c>
      <c r="J714" s="608" t="str">
        <f t="shared" si="23"/>
        <v>Metals And Mining</v>
      </c>
      <c r="N714" s="822">
        <v>325199</v>
      </c>
      <c r="O714" s="822" t="s">
        <v>1986</v>
      </c>
      <c r="P714" s="823">
        <v>2869</v>
      </c>
      <c r="Q714" s="823" t="s">
        <v>1964</v>
      </c>
    </row>
    <row r="715" spans="2:17" s="608" customFormat="1" x14ac:dyDescent="0.25">
      <c r="B715" s="605" t="s">
        <v>2270</v>
      </c>
      <c r="C715" s="606">
        <f t="shared" si="22"/>
        <v>331420</v>
      </c>
      <c r="D715" s="607" t="s">
        <v>2271</v>
      </c>
      <c r="E715" s="607" t="s">
        <v>2250</v>
      </c>
      <c r="F715" s="607" t="s">
        <v>2251</v>
      </c>
      <c r="G715" s="607" t="s">
        <v>1100</v>
      </c>
      <c r="H715" s="607" t="s">
        <v>1100</v>
      </c>
      <c r="I715" s="607" t="s">
        <v>1101</v>
      </c>
      <c r="J715" s="608" t="str">
        <f t="shared" si="23"/>
        <v>Metals And Mining</v>
      </c>
      <c r="N715" s="822">
        <v>325199</v>
      </c>
      <c r="O715" s="822" t="s">
        <v>1986</v>
      </c>
      <c r="P715" s="823">
        <v>2899</v>
      </c>
      <c r="Q715" s="823" t="s">
        <v>1551</v>
      </c>
    </row>
    <row r="716" spans="2:17" s="608" customFormat="1" x14ac:dyDescent="0.25">
      <c r="B716" s="605" t="s">
        <v>2270</v>
      </c>
      <c r="C716" s="606">
        <f t="shared" si="22"/>
        <v>331420</v>
      </c>
      <c r="D716" s="607" t="s">
        <v>2271</v>
      </c>
      <c r="E716" s="607" t="s">
        <v>2272</v>
      </c>
      <c r="F716" s="607" t="s">
        <v>2273</v>
      </c>
      <c r="G716" s="607" t="s">
        <v>1100</v>
      </c>
      <c r="H716" s="607" t="s">
        <v>1100</v>
      </c>
      <c r="I716" s="607" t="s">
        <v>1101</v>
      </c>
      <c r="J716" s="608" t="str">
        <f t="shared" si="23"/>
        <v>Metals And Mining</v>
      </c>
      <c r="N716" s="822">
        <v>325211</v>
      </c>
      <c r="O716" s="822" t="s">
        <v>1988</v>
      </c>
      <c r="P716" s="823">
        <v>2821</v>
      </c>
      <c r="Q716" s="823" t="s">
        <v>1990</v>
      </c>
    </row>
    <row r="717" spans="2:17" s="608" customFormat="1" x14ac:dyDescent="0.25">
      <c r="B717" s="605" t="s">
        <v>2270</v>
      </c>
      <c r="C717" s="606">
        <f t="shared" si="22"/>
        <v>331420</v>
      </c>
      <c r="D717" s="607" t="s">
        <v>2271</v>
      </c>
      <c r="E717" s="607" t="s">
        <v>2262</v>
      </c>
      <c r="F717" s="607" t="s">
        <v>2263</v>
      </c>
      <c r="G717" s="607" t="s">
        <v>1100</v>
      </c>
      <c r="H717" s="607" t="s">
        <v>1100</v>
      </c>
      <c r="I717" s="607" t="s">
        <v>1101</v>
      </c>
      <c r="J717" s="608" t="str">
        <f t="shared" si="23"/>
        <v>Metals And Mining</v>
      </c>
      <c r="N717" s="822">
        <v>325212</v>
      </c>
      <c r="O717" s="822" t="s">
        <v>1992</v>
      </c>
      <c r="P717" s="823">
        <v>2822</v>
      </c>
      <c r="Q717" s="823" t="s">
        <v>1994</v>
      </c>
    </row>
    <row r="718" spans="2:17" s="608" customFormat="1" x14ac:dyDescent="0.25">
      <c r="B718" s="605" t="s">
        <v>2270</v>
      </c>
      <c r="C718" s="606">
        <f t="shared" si="22"/>
        <v>331420</v>
      </c>
      <c r="D718" s="607" t="s">
        <v>2271</v>
      </c>
      <c r="E718" s="607" t="s">
        <v>2230</v>
      </c>
      <c r="F718" s="607" t="s">
        <v>2231</v>
      </c>
      <c r="G718" s="607" t="s">
        <v>1100</v>
      </c>
      <c r="H718" s="607" t="s">
        <v>1100</v>
      </c>
      <c r="I718" s="607" t="s">
        <v>1101</v>
      </c>
      <c r="J718" s="608" t="str">
        <f t="shared" si="23"/>
        <v>Metals And Mining</v>
      </c>
      <c r="N718" s="822">
        <v>325220</v>
      </c>
      <c r="O718" s="822" t="s">
        <v>1996</v>
      </c>
      <c r="P718" s="823">
        <v>2823</v>
      </c>
      <c r="Q718" s="823" t="s">
        <v>1998</v>
      </c>
    </row>
    <row r="719" spans="2:17" s="608" customFormat="1" x14ac:dyDescent="0.25">
      <c r="B719" s="605" t="s">
        <v>2274</v>
      </c>
      <c r="C719" s="606">
        <f t="shared" si="22"/>
        <v>331491</v>
      </c>
      <c r="D719" s="607" t="s">
        <v>2275</v>
      </c>
      <c r="E719" s="607" t="s">
        <v>2276</v>
      </c>
      <c r="F719" s="607" t="s">
        <v>2277</v>
      </c>
      <c r="G719" s="607" t="s">
        <v>1100</v>
      </c>
      <c r="H719" s="607" t="s">
        <v>1100</v>
      </c>
      <c r="I719" s="607" t="s">
        <v>1101</v>
      </c>
      <c r="J719" s="608" t="str">
        <f t="shared" si="23"/>
        <v>Metals And Mining</v>
      </c>
      <c r="N719" s="822">
        <v>325220</v>
      </c>
      <c r="O719" s="822" t="s">
        <v>1996</v>
      </c>
      <c r="P719" s="823">
        <v>2824</v>
      </c>
      <c r="Q719" s="823" t="s">
        <v>2000</v>
      </c>
    </row>
    <row r="720" spans="2:17" s="608" customFormat="1" x14ac:dyDescent="0.25">
      <c r="B720" s="605" t="s">
        <v>2274</v>
      </c>
      <c r="C720" s="606">
        <f t="shared" si="22"/>
        <v>331491</v>
      </c>
      <c r="D720" s="607" t="s">
        <v>2275</v>
      </c>
      <c r="E720" s="607" t="s">
        <v>2262</v>
      </c>
      <c r="F720" s="607" t="s">
        <v>2263</v>
      </c>
      <c r="G720" s="607" t="s">
        <v>1100</v>
      </c>
      <c r="H720" s="607" t="s">
        <v>1100</v>
      </c>
      <c r="I720" s="607" t="s">
        <v>1101</v>
      </c>
      <c r="J720" s="608" t="str">
        <f t="shared" si="23"/>
        <v>Metals And Mining</v>
      </c>
      <c r="N720" s="823">
        <v>325221</v>
      </c>
      <c r="O720" s="823" t="s">
        <v>5909</v>
      </c>
      <c r="P720" s="823"/>
      <c r="Q720" s="823" t="s">
        <v>958</v>
      </c>
    </row>
    <row r="721" spans="2:17" s="608" customFormat="1" x14ac:dyDescent="0.25">
      <c r="B721" s="605" t="s">
        <v>2278</v>
      </c>
      <c r="C721" s="606">
        <f t="shared" si="22"/>
        <v>331492</v>
      </c>
      <c r="D721" s="607" t="s">
        <v>2279</v>
      </c>
      <c r="E721" s="607" t="s">
        <v>2250</v>
      </c>
      <c r="F721" s="607" t="s">
        <v>2251</v>
      </c>
      <c r="G721" s="607" t="s">
        <v>1100</v>
      </c>
      <c r="H721" s="607" t="s">
        <v>1100</v>
      </c>
      <c r="I721" s="607" t="s">
        <v>1101</v>
      </c>
      <c r="J721" s="608" t="str">
        <f t="shared" si="23"/>
        <v>Metals And Mining</v>
      </c>
      <c r="N721" s="823">
        <v>325222</v>
      </c>
      <c r="O721" s="823" t="s">
        <v>5910</v>
      </c>
      <c r="P721" s="823"/>
      <c r="Q721" s="823" t="s">
        <v>958</v>
      </c>
    </row>
    <row r="722" spans="2:17" s="608" customFormat="1" x14ac:dyDescent="0.25">
      <c r="B722" s="605" t="s">
        <v>2278</v>
      </c>
      <c r="C722" s="606">
        <f t="shared" si="22"/>
        <v>331492</v>
      </c>
      <c r="D722" s="607" t="s">
        <v>2279</v>
      </c>
      <c r="E722" s="607" t="s">
        <v>2230</v>
      </c>
      <c r="F722" s="607" t="s">
        <v>2231</v>
      </c>
      <c r="G722" s="607" t="s">
        <v>1100</v>
      </c>
      <c r="H722" s="607" t="s">
        <v>1100</v>
      </c>
      <c r="I722" s="607" t="s">
        <v>1101</v>
      </c>
      <c r="J722" s="608" t="str">
        <f t="shared" si="23"/>
        <v>Metals And Mining</v>
      </c>
      <c r="N722" s="822">
        <v>325311</v>
      </c>
      <c r="O722" s="822" t="s">
        <v>2002</v>
      </c>
      <c r="P722" s="823">
        <v>2873</v>
      </c>
      <c r="Q722" s="823" t="s">
        <v>2004</v>
      </c>
    </row>
    <row r="723" spans="2:17" s="608" customFormat="1" x14ac:dyDescent="0.25">
      <c r="B723" s="605" t="s">
        <v>2280</v>
      </c>
      <c r="C723" s="606">
        <f t="shared" si="22"/>
        <v>331511</v>
      </c>
      <c r="D723" s="607" t="s">
        <v>2281</v>
      </c>
      <c r="E723" s="607" t="s">
        <v>2282</v>
      </c>
      <c r="F723" s="607" t="s">
        <v>2283</v>
      </c>
      <c r="G723" s="607" t="s">
        <v>1100</v>
      </c>
      <c r="H723" s="607" t="s">
        <v>1100</v>
      </c>
      <c r="I723" s="607" t="s">
        <v>1101</v>
      </c>
      <c r="J723" s="608" t="str">
        <f t="shared" si="23"/>
        <v>Metals And Mining</v>
      </c>
      <c r="N723" s="822">
        <v>325312</v>
      </c>
      <c r="O723" s="822" t="s">
        <v>2006</v>
      </c>
      <c r="P723" s="823">
        <v>2874</v>
      </c>
      <c r="Q723" s="823" t="s">
        <v>2008</v>
      </c>
    </row>
    <row r="724" spans="2:17" s="608" customFormat="1" x14ac:dyDescent="0.25">
      <c r="B724" s="605" t="s">
        <v>2280</v>
      </c>
      <c r="C724" s="606">
        <f t="shared" si="22"/>
        <v>331511</v>
      </c>
      <c r="D724" s="607" t="s">
        <v>2281</v>
      </c>
      <c r="E724" s="607" t="s">
        <v>2284</v>
      </c>
      <c r="F724" s="607" t="s">
        <v>2285</v>
      </c>
      <c r="G724" s="607" t="s">
        <v>1100</v>
      </c>
      <c r="H724" s="607" t="s">
        <v>1100</v>
      </c>
      <c r="I724" s="607" t="s">
        <v>1101</v>
      </c>
      <c r="J724" s="608" t="str">
        <f t="shared" si="23"/>
        <v>Metals And Mining</v>
      </c>
      <c r="N724" s="822">
        <v>325314</v>
      </c>
      <c r="O724" s="822" t="s">
        <v>2010</v>
      </c>
      <c r="P724" s="823">
        <v>2875</v>
      </c>
      <c r="Q724" s="823" t="s">
        <v>2012</v>
      </c>
    </row>
    <row r="725" spans="2:17" s="608" customFormat="1" x14ac:dyDescent="0.25">
      <c r="B725" s="605" t="s">
        <v>2286</v>
      </c>
      <c r="C725" s="606">
        <f t="shared" si="22"/>
        <v>331512</v>
      </c>
      <c r="D725" s="607" t="s">
        <v>2287</v>
      </c>
      <c r="E725" s="607" t="s">
        <v>2288</v>
      </c>
      <c r="F725" s="607" t="s">
        <v>2287</v>
      </c>
      <c r="G725" s="607" t="s">
        <v>1100</v>
      </c>
      <c r="H725" s="607" t="s">
        <v>1100</v>
      </c>
      <c r="I725" s="607" t="s">
        <v>1101</v>
      </c>
      <c r="J725" s="608" t="str">
        <f t="shared" si="23"/>
        <v>Metals And Mining</v>
      </c>
      <c r="N725" s="822">
        <v>325320</v>
      </c>
      <c r="O725" s="822" t="s">
        <v>2014</v>
      </c>
      <c r="P725" s="823">
        <v>2879</v>
      </c>
      <c r="Q725" s="823" t="s">
        <v>2016</v>
      </c>
    </row>
    <row r="726" spans="2:17" s="608" customFormat="1" x14ac:dyDescent="0.25">
      <c r="B726" s="605" t="s">
        <v>2289</v>
      </c>
      <c r="C726" s="606">
        <f t="shared" si="22"/>
        <v>331513</v>
      </c>
      <c r="D726" s="607" t="s">
        <v>2290</v>
      </c>
      <c r="E726" s="607" t="s">
        <v>2291</v>
      </c>
      <c r="F726" s="607" t="s">
        <v>2292</v>
      </c>
      <c r="G726" s="607" t="s">
        <v>1100</v>
      </c>
      <c r="H726" s="607" t="s">
        <v>1100</v>
      </c>
      <c r="I726" s="607" t="s">
        <v>1101</v>
      </c>
      <c r="J726" s="608" t="str">
        <f t="shared" si="23"/>
        <v>Metals And Mining</v>
      </c>
      <c r="N726" s="822">
        <v>325411</v>
      </c>
      <c r="O726" s="822" t="s">
        <v>2018</v>
      </c>
      <c r="P726" s="823">
        <v>2833</v>
      </c>
      <c r="Q726" s="823" t="s">
        <v>2020</v>
      </c>
    </row>
    <row r="727" spans="2:17" s="608" customFormat="1" x14ac:dyDescent="0.25">
      <c r="B727" s="605" t="s">
        <v>2293</v>
      </c>
      <c r="C727" s="606">
        <f t="shared" si="22"/>
        <v>331523</v>
      </c>
      <c r="D727" s="607" t="s">
        <v>2294</v>
      </c>
      <c r="E727" s="607" t="s">
        <v>2295</v>
      </c>
      <c r="F727" s="607" t="s">
        <v>2296</v>
      </c>
      <c r="G727" s="607" t="s">
        <v>1100</v>
      </c>
      <c r="H727" s="607" t="s">
        <v>1100</v>
      </c>
      <c r="I727" s="607" t="s">
        <v>1101</v>
      </c>
      <c r="J727" s="608" t="str">
        <f t="shared" si="23"/>
        <v>Metals And Mining</v>
      </c>
      <c r="N727" s="822">
        <v>325412</v>
      </c>
      <c r="O727" s="822" t="s">
        <v>2024</v>
      </c>
      <c r="P727" s="823">
        <v>2834</v>
      </c>
      <c r="Q727" s="823" t="s">
        <v>2026</v>
      </c>
    </row>
    <row r="728" spans="2:17" s="608" customFormat="1" x14ac:dyDescent="0.25">
      <c r="B728" s="605" t="s">
        <v>2293</v>
      </c>
      <c r="C728" s="606">
        <f t="shared" si="22"/>
        <v>331523</v>
      </c>
      <c r="D728" s="607" t="s">
        <v>2294</v>
      </c>
      <c r="E728" s="607" t="s">
        <v>2297</v>
      </c>
      <c r="F728" s="607" t="s">
        <v>2298</v>
      </c>
      <c r="G728" s="607" t="s">
        <v>1100</v>
      </c>
      <c r="H728" s="607" t="s">
        <v>1100</v>
      </c>
      <c r="I728" s="607" t="s">
        <v>1101</v>
      </c>
      <c r="J728" s="608" t="str">
        <f t="shared" si="23"/>
        <v>Metals And Mining</v>
      </c>
      <c r="N728" s="822">
        <v>325412</v>
      </c>
      <c r="O728" s="822" t="s">
        <v>2024</v>
      </c>
      <c r="P728" s="823">
        <v>2835</v>
      </c>
      <c r="Q728" s="823" t="s">
        <v>2028</v>
      </c>
    </row>
    <row r="729" spans="2:17" s="608" customFormat="1" x14ac:dyDescent="0.25">
      <c r="B729" s="605" t="s">
        <v>2299</v>
      </c>
      <c r="C729" s="606">
        <f t="shared" si="22"/>
        <v>331524</v>
      </c>
      <c r="D729" s="607" t="s">
        <v>2300</v>
      </c>
      <c r="E729" s="607" t="s">
        <v>2301</v>
      </c>
      <c r="F729" s="607" t="s">
        <v>2302</v>
      </c>
      <c r="G729" s="607" t="s">
        <v>1100</v>
      </c>
      <c r="H729" s="607" t="s">
        <v>1100</v>
      </c>
      <c r="I729" s="607" t="s">
        <v>1101</v>
      </c>
      <c r="J729" s="608" t="str">
        <f t="shared" si="23"/>
        <v>Metals And Mining</v>
      </c>
      <c r="N729" s="822">
        <v>325413</v>
      </c>
      <c r="O729" s="822" t="s">
        <v>2030</v>
      </c>
      <c r="P729" s="823">
        <v>2835</v>
      </c>
      <c r="Q729" s="823" t="s">
        <v>2028</v>
      </c>
    </row>
    <row r="730" spans="2:17" s="608" customFormat="1" x14ac:dyDescent="0.25">
      <c r="B730" s="605" t="s">
        <v>2303</v>
      </c>
      <c r="C730" s="606">
        <f t="shared" si="22"/>
        <v>331529</v>
      </c>
      <c r="D730" s="607" t="s">
        <v>2304</v>
      </c>
      <c r="E730" s="607" t="s">
        <v>2305</v>
      </c>
      <c r="F730" s="607" t="s">
        <v>2306</v>
      </c>
      <c r="G730" s="607" t="s">
        <v>1100</v>
      </c>
      <c r="H730" s="607" t="s">
        <v>1100</v>
      </c>
      <c r="I730" s="607" t="s">
        <v>1101</v>
      </c>
      <c r="J730" s="608" t="str">
        <f t="shared" si="23"/>
        <v>Metals And Mining</v>
      </c>
      <c r="N730" s="822">
        <v>325414</v>
      </c>
      <c r="O730" s="822" t="s">
        <v>2032</v>
      </c>
      <c r="P730" s="823">
        <v>2836</v>
      </c>
      <c r="Q730" s="823" t="s">
        <v>2034</v>
      </c>
    </row>
    <row r="731" spans="2:17" s="608" customFormat="1" x14ac:dyDescent="0.25">
      <c r="B731" s="605" t="s">
        <v>2303</v>
      </c>
      <c r="C731" s="606">
        <f t="shared" si="22"/>
        <v>331529</v>
      </c>
      <c r="D731" s="607" t="s">
        <v>2304</v>
      </c>
      <c r="E731" s="607" t="s">
        <v>2307</v>
      </c>
      <c r="F731" s="607" t="s">
        <v>2308</v>
      </c>
      <c r="G731" s="607" t="s">
        <v>1100</v>
      </c>
      <c r="H731" s="607" t="s">
        <v>1100</v>
      </c>
      <c r="I731" s="607" t="s">
        <v>1101</v>
      </c>
      <c r="J731" s="608" t="str">
        <f t="shared" si="23"/>
        <v>Metals And Mining</v>
      </c>
      <c r="N731" s="822">
        <v>325500</v>
      </c>
      <c r="O731" s="822" t="s">
        <v>5911</v>
      </c>
      <c r="P731" s="823"/>
      <c r="Q731" s="823" t="s">
        <v>958</v>
      </c>
    </row>
    <row r="732" spans="2:17" s="608" customFormat="1" x14ac:dyDescent="0.25">
      <c r="B732" s="605" t="s">
        <v>2309</v>
      </c>
      <c r="C732" s="606">
        <f t="shared" si="22"/>
        <v>332111</v>
      </c>
      <c r="D732" s="607" t="s">
        <v>2310</v>
      </c>
      <c r="E732" s="607" t="s">
        <v>2311</v>
      </c>
      <c r="F732" s="607" t="s">
        <v>2312</v>
      </c>
      <c r="G732" s="607" t="s">
        <v>1100</v>
      </c>
      <c r="H732" s="607" t="s">
        <v>1100</v>
      </c>
      <c r="I732" s="607" t="s">
        <v>1101</v>
      </c>
      <c r="J732" s="608" t="str">
        <f t="shared" si="23"/>
        <v>Metals And Mining</v>
      </c>
      <c r="N732" s="822">
        <v>325510</v>
      </c>
      <c r="O732" s="822" t="s">
        <v>2036</v>
      </c>
      <c r="P732" s="823">
        <v>2851</v>
      </c>
      <c r="Q732" s="823" t="s">
        <v>2038</v>
      </c>
    </row>
    <row r="733" spans="2:17" s="608" customFormat="1" x14ac:dyDescent="0.25">
      <c r="B733" s="605" t="s">
        <v>2313</v>
      </c>
      <c r="C733" s="606">
        <f t="shared" si="22"/>
        <v>332112</v>
      </c>
      <c r="D733" s="607" t="s">
        <v>2314</v>
      </c>
      <c r="E733" s="607" t="s">
        <v>2315</v>
      </c>
      <c r="F733" s="607" t="s">
        <v>2316</v>
      </c>
      <c r="G733" s="607" t="s">
        <v>1100</v>
      </c>
      <c r="H733" s="607" t="s">
        <v>1100</v>
      </c>
      <c r="I733" s="607" t="s">
        <v>1101</v>
      </c>
      <c r="J733" s="608" t="str">
        <f t="shared" si="23"/>
        <v>Metals And Mining</v>
      </c>
      <c r="N733" s="822">
        <v>325510</v>
      </c>
      <c r="O733" s="822" t="s">
        <v>2036</v>
      </c>
      <c r="P733" s="823">
        <v>2899</v>
      </c>
      <c r="Q733" s="823" t="s">
        <v>1551</v>
      </c>
    </row>
    <row r="734" spans="2:17" s="608" customFormat="1" x14ac:dyDescent="0.25">
      <c r="B734" s="605" t="s">
        <v>2317</v>
      </c>
      <c r="C734" s="606">
        <f t="shared" si="22"/>
        <v>332114</v>
      </c>
      <c r="D734" s="607" t="s">
        <v>2318</v>
      </c>
      <c r="E734" s="607" t="s">
        <v>2319</v>
      </c>
      <c r="F734" s="607" t="s">
        <v>2320</v>
      </c>
      <c r="G734" s="607" t="s">
        <v>1100</v>
      </c>
      <c r="H734" s="607" t="s">
        <v>1100</v>
      </c>
      <c r="I734" s="607" t="s">
        <v>1101</v>
      </c>
      <c r="J734" s="608" t="str">
        <f t="shared" si="23"/>
        <v>Metals And Mining</v>
      </c>
      <c r="N734" s="822">
        <v>325520</v>
      </c>
      <c r="O734" s="822" t="s">
        <v>2040</v>
      </c>
      <c r="P734" s="823">
        <v>2891</v>
      </c>
      <c r="Q734" s="823" t="s">
        <v>2042</v>
      </c>
    </row>
    <row r="735" spans="2:17" s="608" customFormat="1" x14ac:dyDescent="0.25">
      <c r="B735" s="605" t="s">
        <v>2321</v>
      </c>
      <c r="C735" s="606">
        <f t="shared" si="22"/>
        <v>332117</v>
      </c>
      <c r="D735" s="607" t="s">
        <v>2322</v>
      </c>
      <c r="E735" s="607" t="s">
        <v>2323</v>
      </c>
      <c r="F735" s="607" t="s">
        <v>2324</v>
      </c>
      <c r="G735" s="607" t="s">
        <v>1100</v>
      </c>
      <c r="H735" s="607" t="s">
        <v>1100</v>
      </c>
      <c r="I735" s="607" t="s">
        <v>1101</v>
      </c>
      <c r="J735" s="608" t="str">
        <f t="shared" si="23"/>
        <v>Metals And Mining</v>
      </c>
      <c r="N735" s="822">
        <v>325611</v>
      </c>
      <c r="O735" s="822" t="s">
        <v>2044</v>
      </c>
      <c r="P735" s="823">
        <v>2841</v>
      </c>
      <c r="Q735" s="823" t="s">
        <v>2046</v>
      </c>
    </row>
    <row r="736" spans="2:17" s="608" customFormat="1" x14ac:dyDescent="0.25">
      <c r="B736" s="605" t="s">
        <v>2325</v>
      </c>
      <c r="C736" s="606">
        <f t="shared" si="22"/>
        <v>332119</v>
      </c>
      <c r="D736" s="607" t="s">
        <v>2326</v>
      </c>
      <c r="E736" s="607" t="s">
        <v>2327</v>
      </c>
      <c r="F736" s="607" t="s">
        <v>2328</v>
      </c>
      <c r="G736" s="607" t="s">
        <v>1100</v>
      </c>
      <c r="H736" s="607" t="s">
        <v>1100</v>
      </c>
      <c r="I736" s="607" t="s">
        <v>1101</v>
      </c>
      <c r="J736" s="608" t="str">
        <f t="shared" si="23"/>
        <v>Metals And Mining</v>
      </c>
      <c r="N736" s="822">
        <v>325611</v>
      </c>
      <c r="O736" s="822" t="s">
        <v>2044</v>
      </c>
      <c r="P736" s="823">
        <v>2844</v>
      </c>
      <c r="Q736" s="823" t="s">
        <v>2048</v>
      </c>
    </row>
    <row r="737" spans="2:17" s="608" customFormat="1" x14ac:dyDescent="0.25">
      <c r="B737" s="605" t="s">
        <v>2325</v>
      </c>
      <c r="C737" s="606">
        <f t="shared" si="22"/>
        <v>332119</v>
      </c>
      <c r="D737" s="607" t="s">
        <v>2326</v>
      </c>
      <c r="E737" s="607" t="s">
        <v>2329</v>
      </c>
      <c r="F737" s="607" t="s">
        <v>2330</v>
      </c>
      <c r="G737" s="607" t="s">
        <v>1100</v>
      </c>
      <c r="H737" s="607" t="s">
        <v>1100</v>
      </c>
      <c r="I737" s="607" t="s">
        <v>1101</v>
      </c>
      <c r="J737" s="608" t="str">
        <f t="shared" si="23"/>
        <v>Metals And Mining</v>
      </c>
      <c r="N737" s="822">
        <v>325612</v>
      </c>
      <c r="O737" s="822" t="s">
        <v>2050</v>
      </c>
      <c r="P737" s="823">
        <v>2842</v>
      </c>
      <c r="Q737" s="823" t="s">
        <v>2052</v>
      </c>
    </row>
    <row r="738" spans="2:17" s="608" customFormat="1" x14ac:dyDescent="0.25">
      <c r="B738" s="605" t="s">
        <v>2331</v>
      </c>
      <c r="C738" s="606">
        <f t="shared" si="22"/>
        <v>332215</v>
      </c>
      <c r="D738" s="607" t="s">
        <v>2332</v>
      </c>
      <c r="E738" s="607" t="s">
        <v>2333</v>
      </c>
      <c r="F738" s="607" t="s">
        <v>2334</v>
      </c>
      <c r="G738" s="607" t="s">
        <v>1594</v>
      </c>
      <c r="H738" s="607" t="s">
        <v>1594</v>
      </c>
      <c r="I738" s="607" t="s">
        <v>1595</v>
      </c>
      <c r="J738" s="608" t="str">
        <f t="shared" si="23"/>
        <v>Home Furnishings</v>
      </c>
      <c r="N738" s="822">
        <v>325613</v>
      </c>
      <c r="O738" s="822" t="s">
        <v>2054</v>
      </c>
      <c r="P738" s="823">
        <v>2843</v>
      </c>
      <c r="Q738" s="823" t="s">
        <v>2056</v>
      </c>
    </row>
    <row r="739" spans="2:17" s="608" customFormat="1" x14ac:dyDescent="0.25">
      <c r="B739" s="605" t="s">
        <v>2331</v>
      </c>
      <c r="C739" s="606">
        <f t="shared" si="22"/>
        <v>332215</v>
      </c>
      <c r="D739" s="607" t="s">
        <v>2332</v>
      </c>
      <c r="E739" s="607" t="s">
        <v>2329</v>
      </c>
      <c r="F739" s="607" t="s">
        <v>2330</v>
      </c>
      <c r="G739" s="607" t="s">
        <v>1594</v>
      </c>
      <c r="H739" s="607" t="s">
        <v>1594</v>
      </c>
      <c r="I739" s="607" t="s">
        <v>1595</v>
      </c>
      <c r="J739" s="608" t="str">
        <f t="shared" si="23"/>
        <v>Home Furnishings</v>
      </c>
      <c r="N739" s="822">
        <v>325620</v>
      </c>
      <c r="O739" s="822" t="s">
        <v>2058</v>
      </c>
      <c r="P739" s="823">
        <v>2844</v>
      </c>
      <c r="Q739" s="823" t="s">
        <v>2048</v>
      </c>
    </row>
    <row r="740" spans="2:17" s="608" customFormat="1" x14ac:dyDescent="0.25">
      <c r="B740" s="605" t="s">
        <v>2331</v>
      </c>
      <c r="C740" s="606">
        <f t="shared" si="22"/>
        <v>332215</v>
      </c>
      <c r="D740" s="607" t="s">
        <v>2332</v>
      </c>
      <c r="E740" s="607" t="s">
        <v>2335</v>
      </c>
      <c r="F740" s="607" t="s">
        <v>2336</v>
      </c>
      <c r="G740" s="607" t="s">
        <v>1594</v>
      </c>
      <c r="H740" s="607" t="s">
        <v>1594</v>
      </c>
      <c r="I740" s="607" t="s">
        <v>1595</v>
      </c>
      <c r="J740" s="608" t="str">
        <f t="shared" si="23"/>
        <v>Home Furnishings</v>
      </c>
      <c r="N740" s="822">
        <v>325910</v>
      </c>
      <c r="O740" s="822" t="s">
        <v>2060</v>
      </c>
      <c r="P740" s="823">
        <v>2893</v>
      </c>
      <c r="Q740" s="823" t="s">
        <v>2062</v>
      </c>
    </row>
    <row r="741" spans="2:17" s="608" customFormat="1" x14ac:dyDescent="0.25">
      <c r="B741" s="605" t="s">
        <v>2331</v>
      </c>
      <c r="C741" s="606">
        <f t="shared" si="22"/>
        <v>332215</v>
      </c>
      <c r="D741" s="607" t="s">
        <v>2332</v>
      </c>
      <c r="E741" s="607" t="s">
        <v>2337</v>
      </c>
      <c r="F741" s="607" t="s">
        <v>2338</v>
      </c>
      <c r="G741" s="607" t="s">
        <v>1594</v>
      </c>
      <c r="H741" s="607" t="s">
        <v>1594</v>
      </c>
      <c r="I741" s="607" t="s">
        <v>1595</v>
      </c>
      <c r="J741" s="608" t="str">
        <f t="shared" si="23"/>
        <v>Home Furnishings</v>
      </c>
      <c r="N741" s="822">
        <v>325920</v>
      </c>
      <c r="O741" s="822" t="s">
        <v>2064</v>
      </c>
      <c r="P741" s="823">
        <v>2892</v>
      </c>
      <c r="Q741" s="823" t="s">
        <v>2066</v>
      </c>
    </row>
    <row r="742" spans="2:17" s="608" customFormat="1" x14ac:dyDescent="0.25">
      <c r="B742" s="605" t="s">
        <v>2331</v>
      </c>
      <c r="C742" s="606">
        <f t="shared" si="22"/>
        <v>332215</v>
      </c>
      <c r="D742" s="607" t="s">
        <v>2332</v>
      </c>
      <c r="E742" s="607" t="s">
        <v>1756</v>
      </c>
      <c r="F742" s="607" t="s">
        <v>1757</v>
      </c>
      <c r="G742" s="607" t="s">
        <v>1594</v>
      </c>
      <c r="H742" s="607" t="s">
        <v>1594</v>
      </c>
      <c r="I742" s="607" t="s">
        <v>1595</v>
      </c>
      <c r="J742" s="608" t="str">
        <f t="shared" si="23"/>
        <v>Home Furnishings</v>
      </c>
      <c r="N742" s="822">
        <v>325991</v>
      </c>
      <c r="O742" s="822" t="s">
        <v>2068</v>
      </c>
      <c r="P742" s="823">
        <v>3087</v>
      </c>
      <c r="Q742" s="823" t="s">
        <v>2070</v>
      </c>
    </row>
    <row r="743" spans="2:17" s="608" customFormat="1" x14ac:dyDescent="0.25">
      <c r="B743" s="605" t="s">
        <v>2339</v>
      </c>
      <c r="C743" s="606">
        <f t="shared" si="22"/>
        <v>332216</v>
      </c>
      <c r="D743" s="607" t="s">
        <v>2340</v>
      </c>
      <c r="E743" s="607" t="s">
        <v>2333</v>
      </c>
      <c r="F743" s="607" t="s">
        <v>2334</v>
      </c>
      <c r="G743" s="607" t="s">
        <v>1019</v>
      </c>
      <c r="H743" s="607" t="s">
        <v>1019</v>
      </c>
      <c r="I743" s="607" t="s">
        <v>1755</v>
      </c>
      <c r="J743" s="608" t="str">
        <f t="shared" si="23"/>
        <v>Manufacturing</v>
      </c>
      <c r="N743" s="822">
        <v>325992</v>
      </c>
      <c r="O743" s="822" t="s">
        <v>2072</v>
      </c>
      <c r="P743" s="823">
        <v>3861</v>
      </c>
      <c r="Q743" s="823" t="s">
        <v>2074</v>
      </c>
    </row>
    <row r="744" spans="2:17" s="608" customFormat="1" x14ac:dyDescent="0.25">
      <c r="B744" s="605" t="s">
        <v>2339</v>
      </c>
      <c r="C744" s="606">
        <f t="shared" si="22"/>
        <v>332216</v>
      </c>
      <c r="D744" s="607" t="s">
        <v>2340</v>
      </c>
      <c r="E744" s="607" t="s">
        <v>2341</v>
      </c>
      <c r="F744" s="607" t="s">
        <v>2342</v>
      </c>
      <c r="G744" s="607" t="s">
        <v>1019</v>
      </c>
      <c r="H744" s="607" t="s">
        <v>1019</v>
      </c>
      <c r="I744" s="607" t="s">
        <v>1755</v>
      </c>
      <c r="J744" s="608" t="str">
        <f t="shared" si="23"/>
        <v>Manufacturing</v>
      </c>
      <c r="N744" s="822">
        <v>325998</v>
      </c>
      <c r="O744" s="822" t="s">
        <v>2076</v>
      </c>
      <c r="P744" s="823">
        <v>2819</v>
      </c>
      <c r="Q744" s="823" t="s">
        <v>1087</v>
      </c>
    </row>
    <row r="745" spans="2:17" s="608" customFormat="1" x14ac:dyDescent="0.25">
      <c r="B745" s="605" t="s">
        <v>2339</v>
      </c>
      <c r="C745" s="606">
        <f t="shared" si="22"/>
        <v>332216</v>
      </c>
      <c r="D745" s="607" t="s">
        <v>2340</v>
      </c>
      <c r="E745" s="607" t="s">
        <v>2343</v>
      </c>
      <c r="F745" s="607" t="s">
        <v>2344</v>
      </c>
      <c r="G745" s="607" t="s">
        <v>1019</v>
      </c>
      <c r="H745" s="607" t="s">
        <v>1019</v>
      </c>
      <c r="I745" s="607" t="s">
        <v>1755</v>
      </c>
      <c r="J745" s="608" t="str">
        <f t="shared" si="23"/>
        <v>Manufacturing</v>
      </c>
      <c r="N745" s="822">
        <v>325998</v>
      </c>
      <c r="O745" s="822" t="s">
        <v>2076</v>
      </c>
      <c r="P745" s="823">
        <v>2869</v>
      </c>
      <c r="Q745" s="823" t="s">
        <v>1964</v>
      </c>
    </row>
    <row r="746" spans="2:17" s="608" customFormat="1" x14ac:dyDescent="0.25">
      <c r="B746" s="605" t="s">
        <v>2339</v>
      </c>
      <c r="C746" s="606">
        <f t="shared" si="22"/>
        <v>332216</v>
      </c>
      <c r="D746" s="607" t="s">
        <v>2340</v>
      </c>
      <c r="E746" s="607" t="s">
        <v>2345</v>
      </c>
      <c r="F746" s="607" t="s">
        <v>2346</v>
      </c>
      <c r="G746" s="607" t="s">
        <v>1019</v>
      </c>
      <c r="H746" s="607" t="s">
        <v>1019</v>
      </c>
      <c r="I746" s="607" t="s">
        <v>1755</v>
      </c>
      <c r="J746" s="608" t="str">
        <f t="shared" si="23"/>
        <v>Manufacturing</v>
      </c>
      <c r="N746" s="822">
        <v>325998</v>
      </c>
      <c r="O746" s="822" t="s">
        <v>2076</v>
      </c>
      <c r="P746" s="823">
        <v>2899</v>
      </c>
      <c r="Q746" s="823" t="s">
        <v>1551</v>
      </c>
    </row>
    <row r="747" spans="2:17" s="608" customFormat="1" x14ac:dyDescent="0.25">
      <c r="B747" s="605" t="s">
        <v>2339</v>
      </c>
      <c r="C747" s="606">
        <f t="shared" si="22"/>
        <v>332216</v>
      </c>
      <c r="D747" s="607" t="s">
        <v>2340</v>
      </c>
      <c r="E747" s="607" t="s">
        <v>2347</v>
      </c>
      <c r="F747" s="607" t="s">
        <v>2348</v>
      </c>
      <c r="G747" s="607" t="s">
        <v>1019</v>
      </c>
      <c r="H747" s="607" t="s">
        <v>1019</v>
      </c>
      <c r="I747" s="607" t="s">
        <v>1755</v>
      </c>
      <c r="J747" s="608" t="str">
        <f t="shared" si="23"/>
        <v>Manufacturing</v>
      </c>
      <c r="N747" s="822">
        <v>325998</v>
      </c>
      <c r="O747" s="822" t="s">
        <v>2076</v>
      </c>
      <c r="P747" s="823">
        <v>3952</v>
      </c>
      <c r="Q747" s="823" t="s">
        <v>2078</v>
      </c>
    </row>
    <row r="748" spans="2:17" s="608" customFormat="1" x14ac:dyDescent="0.25">
      <c r="B748" s="605" t="s">
        <v>2339</v>
      </c>
      <c r="C748" s="606">
        <f t="shared" si="22"/>
        <v>332216</v>
      </c>
      <c r="D748" s="607" t="s">
        <v>2340</v>
      </c>
      <c r="E748" s="607" t="s">
        <v>2349</v>
      </c>
      <c r="F748" s="607" t="s">
        <v>2350</v>
      </c>
      <c r="G748" s="607" t="s">
        <v>1019</v>
      </c>
      <c r="H748" s="607" t="s">
        <v>1019</v>
      </c>
      <c r="I748" s="607" t="s">
        <v>1755</v>
      </c>
      <c r="J748" s="608" t="str">
        <f t="shared" si="23"/>
        <v>Manufacturing</v>
      </c>
      <c r="N748" s="822">
        <v>325998</v>
      </c>
      <c r="O748" s="822" t="s">
        <v>2076</v>
      </c>
      <c r="P748" s="823">
        <v>3999</v>
      </c>
      <c r="Q748" s="823" t="s">
        <v>1757</v>
      </c>
    </row>
    <row r="749" spans="2:17" s="608" customFormat="1" x14ac:dyDescent="0.25">
      <c r="B749" s="605" t="s">
        <v>2339</v>
      </c>
      <c r="C749" s="606">
        <f t="shared" si="22"/>
        <v>332216</v>
      </c>
      <c r="D749" s="607" t="s">
        <v>2340</v>
      </c>
      <c r="E749" s="607" t="s">
        <v>2351</v>
      </c>
      <c r="F749" s="607" t="s">
        <v>2352</v>
      </c>
      <c r="G749" s="607" t="s">
        <v>1019</v>
      </c>
      <c r="H749" s="607" t="s">
        <v>1019</v>
      </c>
      <c r="I749" s="607" t="s">
        <v>1755</v>
      </c>
      <c r="J749" s="608" t="str">
        <f t="shared" si="23"/>
        <v>Manufacturing</v>
      </c>
      <c r="N749" s="822">
        <v>325998</v>
      </c>
      <c r="O749" s="822" t="s">
        <v>2076</v>
      </c>
      <c r="P749" s="823">
        <v>7389</v>
      </c>
      <c r="Q749" s="823" t="s">
        <v>1589</v>
      </c>
    </row>
    <row r="750" spans="2:17" s="608" customFormat="1" x14ac:dyDescent="0.25">
      <c r="B750" s="605" t="s">
        <v>2339</v>
      </c>
      <c r="C750" s="606">
        <f t="shared" si="22"/>
        <v>332216</v>
      </c>
      <c r="D750" s="607" t="s">
        <v>2340</v>
      </c>
      <c r="E750" s="607" t="s">
        <v>1756</v>
      </c>
      <c r="F750" s="607" t="s">
        <v>1757</v>
      </c>
      <c r="G750" s="607" t="s">
        <v>1019</v>
      </c>
      <c r="H750" s="607" t="s">
        <v>1019</v>
      </c>
      <c r="I750" s="607" t="s">
        <v>1755</v>
      </c>
      <c r="J750" s="608" t="str">
        <f t="shared" si="23"/>
        <v>Manufacturing</v>
      </c>
      <c r="N750" s="822">
        <v>326111</v>
      </c>
      <c r="O750" s="822" t="s">
        <v>2080</v>
      </c>
      <c r="P750" s="823">
        <v>2673</v>
      </c>
      <c r="Q750" s="823" t="s">
        <v>1881</v>
      </c>
    </row>
    <row r="751" spans="2:17" s="608" customFormat="1" x14ac:dyDescent="0.25">
      <c r="B751" s="605" t="s">
        <v>2353</v>
      </c>
      <c r="C751" s="606">
        <f t="shared" si="22"/>
        <v>332311</v>
      </c>
      <c r="D751" s="607" t="s">
        <v>2354</v>
      </c>
      <c r="E751" s="607" t="s">
        <v>2355</v>
      </c>
      <c r="F751" s="607" t="s">
        <v>2356</v>
      </c>
      <c r="G751" s="607" t="s">
        <v>1019</v>
      </c>
      <c r="H751" s="607" t="s">
        <v>1019</v>
      </c>
      <c r="I751" s="607" t="s">
        <v>1755</v>
      </c>
      <c r="J751" s="608" t="str">
        <f t="shared" si="23"/>
        <v>Manufacturing</v>
      </c>
      <c r="N751" s="822">
        <v>326112</v>
      </c>
      <c r="O751" s="822" t="s">
        <v>2082</v>
      </c>
      <c r="P751" s="823">
        <v>2671</v>
      </c>
      <c r="Q751" s="823" t="s">
        <v>1877</v>
      </c>
    </row>
    <row r="752" spans="2:17" s="608" customFormat="1" x14ac:dyDescent="0.25">
      <c r="B752" s="605" t="s">
        <v>2357</v>
      </c>
      <c r="C752" s="606">
        <f t="shared" si="22"/>
        <v>332312</v>
      </c>
      <c r="D752" s="607" t="s">
        <v>2358</v>
      </c>
      <c r="E752" s="607" t="s">
        <v>2359</v>
      </c>
      <c r="F752" s="607" t="s">
        <v>2360</v>
      </c>
      <c r="G752" s="607" t="s">
        <v>1100</v>
      </c>
      <c r="H752" s="607" t="s">
        <v>1100</v>
      </c>
      <c r="I752" s="607" t="s">
        <v>1101</v>
      </c>
      <c r="J752" s="608" t="str">
        <f t="shared" si="23"/>
        <v>Metals And Mining</v>
      </c>
      <c r="N752" s="822">
        <v>326113</v>
      </c>
      <c r="O752" s="822" t="s">
        <v>2084</v>
      </c>
      <c r="P752" s="823">
        <v>3081</v>
      </c>
      <c r="Q752" s="823" t="s">
        <v>2086</v>
      </c>
    </row>
    <row r="753" spans="2:17" s="608" customFormat="1" x14ac:dyDescent="0.25">
      <c r="B753" s="605" t="s">
        <v>2357</v>
      </c>
      <c r="C753" s="606">
        <f t="shared" si="22"/>
        <v>332312</v>
      </c>
      <c r="D753" s="607" t="s">
        <v>2358</v>
      </c>
      <c r="E753" s="607" t="s">
        <v>2319</v>
      </c>
      <c r="F753" s="607" t="s">
        <v>2320</v>
      </c>
      <c r="G753" s="607" t="s">
        <v>1100</v>
      </c>
      <c r="H753" s="607" t="s">
        <v>1100</v>
      </c>
      <c r="I753" s="607" t="s">
        <v>1101</v>
      </c>
      <c r="J753" s="608" t="str">
        <f t="shared" si="23"/>
        <v>Metals And Mining</v>
      </c>
      <c r="N753" s="822">
        <v>326121</v>
      </c>
      <c r="O753" s="822" t="s">
        <v>2088</v>
      </c>
      <c r="P753" s="823">
        <v>3082</v>
      </c>
      <c r="Q753" s="823" t="s">
        <v>2090</v>
      </c>
    </row>
    <row r="754" spans="2:17" s="608" customFormat="1" x14ac:dyDescent="0.25">
      <c r="B754" s="605" t="s">
        <v>2361</v>
      </c>
      <c r="C754" s="606">
        <f t="shared" si="22"/>
        <v>332313</v>
      </c>
      <c r="D754" s="607" t="s">
        <v>2362</v>
      </c>
      <c r="E754" s="607" t="s">
        <v>2363</v>
      </c>
      <c r="F754" s="607" t="s">
        <v>2364</v>
      </c>
      <c r="G754" s="607" t="s">
        <v>1100</v>
      </c>
      <c r="H754" s="607" t="s">
        <v>1100</v>
      </c>
      <c r="I754" s="607" t="s">
        <v>1101</v>
      </c>
      <c r="J754" s="608" t="str">
        <f t="shared" si="23"/>
        <v>Metals And Mining</v>
      </c>
      <c r="N754" s="822">
        <v>326121</v>
      </c>
      <c r="O754" s="822" t="s">
        <v>2088</v>
      </c>
      <c r="P754" s="823">
        <v>3089</v>
      </c>
      <c r="Q754" s="823" t="s">
        <v>2092</v>
      </c>
    </row>
    <row r="755" spans="2:17" s="608" customFormat="1" x14ac:dyDescent="0.25">
      <c r="B755" s="605" t="s">
        <v>2365</v>
      </c>
      <c r="C755" s="606">
        <f t="shared" si="22"/>
        <v>332321</v>
      </c>
      <c r="D755" s="607" t="s">
        <v>2366</v>
      </c>
      <c r="E755" s="607" t="s">
        <v>2367</v>
      </c>
      <c r="F755" s="607" t="s">
        <v>2368</v>
      </c>
      <c r="G755" s="607" t="s">
        <v>1100</v>
      </c>
      <c r="H755" s="607" t="s">
        <v>1100</v>
      </c>
      <c r="I755" s="607" t="s">
        <v>1101</v>
      </c>
      <c r="J755" s="608" t="str">
        <f t="shared" si="23"/>
        <v>Metals And Mining</v>
      </c>
      <c r="N755" s="822">
        <v>326122</v>
      </c>
      <c r="O755" s="822" t="s">
        <v>2094</v>
      </c>
      <c r="P755" s="823">
        <v>3084</v>
      </c>
      <c r="Q755" s="823" t="s">
        <v>2096</v>
      </c>
    </row>
    <row r="756" spans="2:17" s="608" customFormat="1" x14ac:dyDescent="0.25">
      <c r="B756" s="605" t="s">
        <v>2365</v>
      </c>
      <c r="C756" s="606">
        <f t="shared" si="22"/>
        <v>332321</v>
      </c>
      <c r="D756" s="607" t="s">
        <v>2366</v>
      </c>
      <c r="E756" s="607" t="s">
        <v>2369</v>
      </c>
      <c r="F756" s="607" t="s">
        <v>2370</v>
      </c>
      <c r="G756" s="607" t="s">
        <v>1100</v>
      </c>
      <c r="H756" s="607" t="s">
        <v>1100</v>
      </c>
      <c r="I756" s="607" t="s">
        <v>1101</v>
      </c>
      <c r="J756" s="608" t="str">
        <f t="shared" si="23"/>
        <v>Metals And Mining</v>
      </c>
      <c r="N756" s="822">
        <v>326122</v>
      </c>
      <c r="O756" s="822" t="s">
        <v>2094</v>
      </c>
      <c r="P756" s="823">
        <v>3089</v>
      </c>
      <c r="Q756" s="823" t="s">
        <v>2092</v>
      </c>
    </row>
    <row r="757" spans="2:17" s="608" customFormat="1" x14ac:dyDescent="0.25">
      <c r="B757" s="605" t="s">
        <v>2371</v>
      </c>
      <c r="C757" s="606">
        <f t="shared" si="22"/>
        <v>332322</v>
      </c>
      <c r="D757" s="607" t="s">
        <v>2372</v>
      </c>
      <c r="E757" s="607" t="s">
        <v>2369</v>
      </c>
      <c r="F757" s="607" t="s">
        <v>2370</v>
      </c>
      <c r="G757" s="607" t="s">
        <v>1100</v>
      </c>
      <c r="H757" s="607" t="s">
        <v>1100</v>
      </c>
      <c r="I757" s="607" t="s">
        <v>1101</v>
      </c>
      <c r="J757" s="608" t="str">
        <f t="shared" si="23"/>
        <v>Metals And Mining</v>
      </c>
      <c r="N757" s="822">
        <v>326130</v>
      </c>
      <c r="O757" s="822" t="s">
        <v>2098</v>
      </c>
      <c r="P757" s="823">
        <v>3083</v>
      </c>
      <c r="Q757" s="823" t="s">
        <v>2100</v>
      </c>
    </row>
    <row r="758" spans="2:17" s="608" customFormat="1" x14ac:dyDescent="0.25">
      <c r="B758" s="605" t="s">
        <v>2373</v>
      </c>
      <c r="C758" s="606">
        <f t="shared" si="22"/>
        <v>332323</v>
      </c>
      <c r="D758" s="607" t="s">
        <v>2374</v>
      </c>
      <c r="E758" s="607" t="s">
        <v>2375</v>
      </c>
      <c r="F758" s="607" t="s">
        <v>2376</v>
      </c>
      <c r="G758" s="607" t="s">
        <v>1100</v>
      </c>
      <c r="H758" s="607" t="s">
        <v>1100</v>
      </c>
      <c r="I758" s="607" t="s">
        <v>1101</v>
      </c>
      <c r="J758" s="608" t="str">
        <f t="shared" si="23"/>
        <v>Metals And Mining</v>
      </c>
      <c r="N758" s="822">
        <v>326140</v>
      </c>
      <c r="O758" s="822" t="s">
        <v>2102</v>
      </c>
      <c r="P758" s="823">
        <v>3086</v>
      </c>
      <c r="Q758" s="823" t="s">
        <v>2104</v>
      </c>
    </row>
    <row r="759" spans="2:17" s="608" customFormat="1" x14ac:dyDescent="0.25">
      <c r="B759" s="605" t="s">
        <v>2373</v>
      </c>
      <c r="C759" s="606">
        <f t="shared" si="22"/>
        <v>332323</v>
      </c>
      <c r="D759" s="607" t="s">
        <v>2374</v>
      </c>
      <c r="E759" s="607" t="s">
        <v>2319</v>
      </c>
      <c r="F759" s="607" t="s">
        <v>2320</v>
      </c>
      <c r="G759" s="607" t="s">
        <v>1100</v>
      </c>
      <c r="H759" s="607" t="s">
        <v>1100</v>
      </c>
      <c r="I759" s="607" t="s">
        <v>1101</v>
      </c>
      <c r="J759" s="608" t="str">
        <f t="shared" si="23"/>
        <v>Metals And Mining</v>
      </c>
      <c r="N759" s="822">
        <v>326150</v>
      </c>
      <c r="O759" s="822" t="s">
        <v>2106</v>
      </c>
      <c r="P759" s="823">
        <v>3086</v>
      </c>
      <c r="Q759" s="823" t="s">
        <v>2104</v>
      </c>
    </row>
    <row r="760" spans="2:17" s="608" customFormat="1" x14ac:dyDescent="0.25">
      <c r="B760" s="605" t="s">
        <v>2373</v>
      </c>
      <c r="C760" s="606">
        <f t="shared" si="22"/>
        <v>332323</v>
      </c>
      <c r="D760" s="607" t="s">
        <v>2374</v>
      </c>
      <c r="E760" s="607" t="s">
        <v>2345</v>
      </c>
      <c r="F760" s="607" t="s">
        <v>2346</v>
      </c>
      <c r="G760" s="607" t="s">
        <v>1019</v>
      </c>
      <c r="H760" s="607" t="s">
        <v>1019</v>
      </c>
      <c r="I760" s="607" t="s">
        <v>1755</v>
      </c>
      <c r="J760" s="608" t="str">
        <f t="shared" si="23"/>
        <v>Manufacturing</v>
      </c>
      <c r="N760" s="822">
        <v>326160</v>
      </c>
      <c r="O760" s="822" t="s">
        <v>2108</v>
      </c>
      <c r="P760" s="823">
        <v>3085</v>
      </c>
      <c r="Q760" s="823" t="s">
        <v>2110</v>
      </c>
    </row>
    <row r="761" spans="2:17" s="608" customFormat="1" x14ac:dyDescent="0.25">
      <c r="B761" s="605" t="s">
        <v>2377</v>
      </c>
      <c r="C761" s="606">
        <f t="shared" si="22"/>
        <v>332410</v>
      </c>
      <c r="D761" s="607" t="s">
        <v>2378</v>
      </c>
      <c r="E761" s="607" t="s">
        <v>2363</v>
      </c>
      <c r="F761" s="607" t="s">
        <v>2364</v>
      </c>
      <c r="G761" s="607" t="s">
        <v>1100</v>
      </c>
      <c r="H761" s="607" t="s">
        <v>1100</v>
      </c>
      <c r="I761" s="607" t="s">
        <v>1101</v>
      </c>
      <c r="J761" s="608" t="str">
        <f t="shared" si="23"/>
        <v>Metals And Mining</v>
      </c>
      <c r="N761" s="822">
        <v>326191</v>
      </c>
      <c r="O761" s="822" t="s">
        <v>2112</v>
      </c>
      <c r="P761" s="823">
        <v>3088</v>
      </c>
      <c r="Q761" s="823" t="s">
        <v>2114</v>
      </c>
    </row>
    <row r="762" spans="2:17" s="608" customFormat="1" x14ac:dyDescent="0.25">
      <c r="B762" s="605" t="s">
        <v>2377</v>
      </c>
      <c r="C762" s="606">
        <f t="shared" si="22"/>
        <v>332410</v>
      </c>
      <c r="D762" s="607" t="s">
        <v>2378</v>
      </c>
      <c r="E762" s="605" t="s">
        <v>2379</v>
      </c>
      <c r="F762" s="607" t="s">
        <v>2380</v>
      </c>
      <c r="G762" s="607" t="s">
        <v>1019</v>
      </c>
      <c r="H762" s="607" t="s">
        <v>1019</v>
      </c>
      <c r="I762" s="607" t="s">
        <v>1755</v>
      </c>
      <c r="J762" s="608" t="str">
        <f t="shared" si="23"/>
        <v>Manufacturing</v>
      </c>
      <c r="N762" s="823">
        <v>326192</v>
      </c>
      <c r="O762" s="823" t="s">
        <v>5912</v>
      </c>
      <c r="P762" s="823"/>
      <c r="Q762" s="823" t="s">
        <v>958</v>
      </c>
    </row>
    <row r="763" spans="2:17" s="608" customFormat="1" x14ac:dyDescent="0.25">
      <c r="B763" s="605" t="s">
        <v>2381</v>
      </c>
      <c r="C763" s="606">
        <f t="shared" si="22"/>
        <v>332420</v>
      </c>
      <c r="D763" s="607" t="s">
        <v>2382</v>
      </c>
      <c r="E763" s="607" t="s">
        <v>2363</v>
      </c>
      <c r="F763" s="607" t="s">
        <v>2364</v>
      </c>
      <c r="G763" s="607" t="s">
        <v>1100</v>
      </c>
      <c r="H763" s="607" t="s">
        <v>1100</v>
      </c>
      <c r="I763" s="607" t="s">
        <v>1101</v>
      </c>
      <c r="J763" s="608" t="str">
        <f t="shared" si="23"/>
        <v>Metals And Mining</v>
      </c>
      <c r="N763" s="822">
        <v>326199</v>
      </c>
      <c r="O763" s="822" t="s">
        <v>2116</v>
      </c>
      <c r="P763" s="823">
        <v>3069</v>
      </c>
      <c r="Q763" s="823" t="s">
        <v>1654</v>
      </c>
    </row>
    <row r="764" spans="2:17" s="608" customFormat="1" x14ac:dyDescent="0.25">
      <c r="B764" s="605" t="s">
        <v>2383</v>
      </c>
      <c r="C764" s="606">
        <f t="shared" si="22"/>
        <v>332431</v>
      </c>
      <c r="D764" s="607" t="s">
        <v>2384</v>
      </c>
      <c r="E764" s="607" t="s">
        <v>2385</v>
      </c>
      <c r="F764" s="607" t="s">
        <v>2386</v>
      </c>
      <c r="G764" s="607" t="s">
        <v>1100</v>
      </c>
      <c r="H764" s="607" t="s">
        <v>1100</v>
      </c>
      <c r="I764" s="607" t="s">
        <v>1101</v>
      </c>
      <c r="J764" s="608" t="str">
        <f t="shared" si="23"/>
        <v>Metals And Mining</v>
      </c>
      <c r="N764" s="822">
        <v>326199</v>
      </c>
      <c r="O764" s="822" t="s">
        <v>2116</v>
      </c>
      <c r="P764" s="823">
        <v>3089</v>
      </c>
      <c r="Q764" s="823" t="s">
        <v>2092</v>
      </c>
    </row>
    <row r="765" spans="2:17" s="608" customFormat="1" x14ac:dyDescent="0.25">
      <c r="B765" s="605" t="s">
        <v>2387</v>
      </c>
      <c r="C765" s="606">
        <f t="shared" si="22"/>
        <v>332439</v>
      </c>
      <c r="D765" s="607" t="s">
        <v>2388</v>
      </c>
      <c r="E765" s="607" t="s">
        <v>2389</v>
      </c>
      <c r="F765" s="607" t="s">
        <v>2390</v>
      </c>
      <c r="G765" s="607" t="s">
        <v>1019</v>
      </c>
      <c r="H765" s="607" t="s">
        <v>1019</v>
      </c>
      <c r="I765" s="607" t="s">
        <v>1755</v>
      </c>
      <c r="J765" s="608" t="str">
        <f t="shared" si="23"/>
        <v>Manufacturing</v>
      </c>
      <c r="N765" s="822">
        <v>326199</v>
      </c>
      <c r="O765" s="822" t="s">
        <v>2116</v>
      </c>
      <c r="P765" s="823">
        <v>3996</v>
      </c>
      <c r="Q765" s="823" t="s">
        <v>2118</v>
      </c>
    </row>
    <row r="766" spans="2:17" s="608" customFormat="1" x14ac:dyDescent="0.25">
      <c r="B766" s="605" t="s">
        <v>2387</v>
      </c>
      <c r="C766" s="606">
        <f t="shared" si="22"/>
        <v>332439</v>
      </c>
      <c r="D766" s="607" t="s">
        <v>2388</v>
      </c>
      <c r="E766" s="607" t="s">
        <v>2391</v>
      </c>
      <c r="F766" s="607" t="s">
        <v>2392</v>
      </c>
      <c r="G766" s="607" t="s">
        <v>1019</v>
      </c>
      <c r="H766" s="607" t="s">
        <v>1019</v>
      </c>
      <c r="I766" s="607" t="s">
        <v>1755</v>
      </c>
      <c r="J766" s="608" t="str">
        <f t="shared" si="23"/>
        <v>Manufacturing</v>
      </c>
      <c r="N766" s="822">
        <v>326199</v>
      </c>
      <c r="O766" s="822" t="s">
        <v>2116</v>
      </c>
      <c r="P766" s="823">
        <v>3999</v>
      </c>
      <c r="Q766" s="823" t="s">
        <v>1757</v>
      </c>
    </row>
    <row r="767" spans="2:17" s="608" customFormat="1" x14ac:dyDescent="0.25">
      <c r="B767" s="605" t="s">
        <v>2387</v>
      </c>
      <c r="C767" s="606">
        <f t="shared" si="22"/>
        <v>332439</v>
      </c>
      <c r="D767" s="607" t="s">
        <v>2388</v>
      </c>
      <c r="E767" s="607" t="s">
        <v>2369</v>
      </c>
      <c r="F767" s="607" t="s">
        <v>2370</v>
      </c>
      <c r="G767" s="607" t="s">
        <v>1019</v>
      </c>
      <c r="H767" s="607" t="s">
        <v>1019</v>
      </c>
      <c r="I767" s="607" t="s">
        <v>1755</v>
      </c>
      <c r="J767" s="608" t="str">
        <f t="shared" si="23"/>
        <v>Manufacturing</v>
      </c>
      <c r="N767" s="822">
        <v>326211</v>
      </c>
      <c r="O767" s="822" t="s">
        <v>2120</v>
      </c>
      <c r="P767" s="823">
        <v>3011</v>
      </c>
      <c r="Q767" s="823" t="s">
        <v>2122</v>
      </c>
    </row>
    <row r="768" spans="2:17" s="608" customFormat="1" x14ac:dyDescent="0.25">
      <c r="B768" s="605" t="s">
        <v>2387</v>
      </c>
      <c r="C768" s="606">
        <f t="shared" si="22"/>
        <v>332439</v>
      </c>
      <c r="D768" s="607" t="s">
        <v>2388</v>
      </c>
      <c r="E768" s="607" t="s">
        <v>2329</v>
      </c>
      <c r="F768" s="607" t="s">
        <v>2330</v>
      </c>
      <c r="G768" s="607" t="s">
        <v>1019</v>
      </c>
      <c r="H768" s="607" t="s">
        <v>1019</v>
      </c>
      <c r="I768" s="607" t="s">
        <v>1755</v>
      </c>
      <c r="J768" s="608" t="str">
        <f t="shared" si="23"/>
        <v>Manufacturing</v>
      </c>
      <c r="N768" s="822">
        <v>326212</v>
      </c>
      <c r="O768" s="822" t="s">
        <v>2125</v>
      </c>
      <c r="P768" s="823">
        <v>7534</v>
      </c>
      <c r="Q768" s="823" t="s">
        <v>2127</v>
      </c>
    </row>
    <row r="769" spans="2:17" s="608" customFormat="1" x14ac:dyDescent="0.25">
      <c r="B769" s="605" t="s">
        <v>2387</v>
      </c>
      <c r="C769" s="606">
        <f t="shared" si="22"/>
        <v>332439</v>
      </c>
      <c r="D769" s="607" t="s">
        <v>2388</v>
      </c>
      <c r="E769" s="607" t="s">
        <v>2323</v>
      </c>
      <c r="F769" s="607" t="s">
        <v>2324</v>
      </c>
      <c r="G769" s="607" t="s">
        <v>1019</v>
      </c>
      <c r="H769" s="607" t="s">
        <v>1019</v>
      </c>
      <c r="I769" s="607" t="s">
        <v>1755</v>
      </c>
      <c r="J769" s="608" t="str">
        <f t="shared" si="23"/>
        <v>Manufacturing</v>
      </c>
      <c r="N769" s="822">
        <v>326220</v>
      </c>
      <c r="O769" s="822" t="s">
        <v>2129</v>
      </c>
      <c r="P769" s="823">
        <v>3052</v>
      </c>
      <c r="Q769" s="823" t="s">
        <v>2131</v>
      </c>
    </row>
    <row r="770" spans="2:17" s="608" customFormat="1" x14ac:dyDescent="0.25">
      <c r="B770" s="605" t="s">
        <v>2387</v>
      </c>
      <c r="C770" s="606">
        <f t="shared" ref="C770:C833" si="24">B770+0</f>
        <v>332439</v>
      </c>
      <c r="D770" s="607" t="s">
        <v>2388</v>
      </c>
      <c r="E770" s="607" t="s">
        <v>2393</v>
      </c>
      <c r="F770" s="607" t="s">
        <v>2394</v>
      </c>
      <c r="G770" s="607" t="s">
        <v>1019</v>
      </c>
      <c r="H770" s="607" t="s">
        <v>1019</v>
      </c>
      <c r="I770" s="607" t="s">
        <v>1755</v>
      </c>
      <c r="J770" s="608" t="str">
        <f t="shared" ref="J770:J833" si="25">PROPER(I770)</f>
        <v>Manufacturing</v>
      </c>
      <c r="N770" s="822">
        <v>326291</v>
      </c>
      <c r="O770" s="822" t="s">
        <v>2133</v>
      </c>
      <c r="P770" s="823">
        <v>3061</v>
      </c>
      <c r="Q770" s="823" t="s">
        <v>2135</v>
      </c>
    </row>
    <row r="771" spans="2:17" s="608" customFormat="1" x14ac:dyDescent="0.25">
      <c r="B771" s="605" t="s">
        <v>2395</v>
      </c>
      <c r="C771" s="606">
        <f t="shared" si="24"/>
        <v>332510</v>
      </c>
      <c r="D771" s="607" t="s">
        <v>2396</v>
      </c>
      <c r="E771" s="607" t="s">
        <v>2391</v>
      </c>
      <c r="F771" s="607" t="s">
        <v>2392</v>
      </c>
      <c r="G771" s="607" t="s">
        <v>1100</v>
      </c>
      <c r="H771" s="607" t="s">
        <v>1100</v>
      </c>
      <c r="I771" s="607" t="s">
        <v>1101</v>
      </c>
      <c r="J771" s="608" t="str">
        <f t="shared" si="25"/>
        <v>Metals And Mining</v>
      </c>
      <c r="N771" s="822">
        <v>326299</v>
      </c>
      <c r="O771" s="822" t="s">
        <v>2137</v>
      </c>
      <c r="P771" s="823">
        <v>3061</v>
      </c>
      <c r="Q771" s="823" t="s">
        <v>2135</v>
      </c>
    </row>
    <row r="772" spans="2:17" s="608" customFormat="1" x14ac:dyDescent="0.25">
      <c r="B772" s="605" t="s">
        <v>2395</v>
      </c>
      <c r="C772" s="606">
        <f t="shared" si="24"/>
        <v>332510</v>
      </c>
      <c r="D772" s="607" t="s">
        <v>2396</v>
      </c>
      <c r="E772" s="607" t="s">
        <v>2323</v>
      </c>
      <c r="F772" s="607" t="s">
        <v>2324</v>
      </c>
      <c r="G772" s="607" t="s">
        <v>1100</v>
      </c>
      <c r="H772" s="607" t="s">
        <v>1100</v>
      </c>
      <c r="I772" s="607" t="s">
        <v>1101</v>
      </c>
      <c r="J772" s="608" t="str">
        <f t="shared" si="25"/>
        <v>Metals And Mining</v>
      </c>
      <c r="N772" s="822">
        <v>326299</v>
      </c>
      <c r="O772" s="822" t="s">
        <v>2137</v>
      </c>
      <c r="P772" s="823">
        <v>3069</v>
      </c>
      <c r="Q772" s="823" t="s">
        <v>1654</v>
      </c>
    </row>
    <row r="773" spans="2:17" s="608" customFormat="1" x14ac:dyDescent="0.25">
      <c r="B773" s="605" t="s">
        <v>2397</v>
      </c>
      <c r="C773" s="606">
        <f t="shared" si="24"/>
        <v>332613</v>
      </c>
      <c r="D773" s="607" t="s">
        <v>2398</v>
      </c>
      <c r="E773" s="607" t="s">
        <v>2399</v>
      </c>
      <c r="F773" s="607" t="s">
        <v>2400</v>
      </c>
      <c r="G773" s="607" t="s">
        <v>1100</v>
      </c>
      <c r="H773" s="607" t="s">
        <v>1100</v>
      </c>
      <c r="I773" s="607" t="s">
        <v>1101</v>
      </c>
      <c r="J773" s="608" t="str">
        <f t="shared" si="25"/>
        <v>Metals And Mining</v>
      </c>
      <c r="N773" s="822">
        <v>327110</v>
      </c>
      <c r="O773" s="822" t="s">
        <v>2139</v>
      </c>
      <c r="P773" s="823">
        <v>3261</v>
      </c>
      <c r="Q773" s="823" t="s">
        <v>2141</v>
      </c>
    </row>
    <row r="774" spans="2:17" s="608" customFormat="1" x14ac:dyDescent="0.25">
      <c r="B774" s="605" t="s">
        <v>2397</v>
      </c>
      <c r="C774" s="606">
        <f t="shared" si="24"/>
        <v>332613</v>
      </c>
      <c r="D774" s="607" t="s">
        <v>2398</v>
      </c>
      <c r="E774" s="607" t="s">
        <v>2401</v>
      </c>
      <c r="F774" s="607" t="s">
        <v>2402</v>
      </c>
      <c r="G774" s="607" t="s">
        <v>1100</v>
      </c>
      <c r="H774" s="607" t="s">
        <v>1100</v>
      </c>
      <c r="I774" s="607" t="s">
        <v>1101</v>
      </c>
      <c r="J774" s="608" t="str">
        <f t="shared" si="25"/>
        <v>Metals And Mining</v>
      </c>
      <c r="N774" s="822">
        <v>327110</v>
      </c>
      <c r="O774" s="822" t="s">
        <v>2139</v>
      </c>
      <c r="P774" s="823">
        <v>3262</v>
      </c>
      <c r="Q774" s="823" t="s">
        <v>2143</v>
      </c>
    </row>
    <row r="775" spans="2:17" s="608" customFormat="1" x14ac:dyDescent="0.25">
      <c r="B775" s="605" t="s">
        <v>2403</v>
      </c>
      <c r="C775" s="606">
        <f t="shared" si="24"/>
        <v>332618</v>
      </c>
      <c r="D775" s="607" t="s">
        <v>2404</v>
      </c>
      <c r="E775" s="607" t="s">
        <v>2242</v>
      </c>
      <c r="F775" s="607" t="s">
        <v>2243</v>
      </c>
      <c r="G775" s="607" t="s">
        <v>1100</v>
      </c>
      <c r="H775" s="607" t="s">
        <v>1100</v>
      </c>
      <c r="I775" s="607" t="s">
        <v>1101</v>
      </c>
      <c r="J775" s="608" t="str">
        <f t="shared" si="25"/>
        <v>Metals And Mining</v>
      </c>
      <c r="N775" s="822">
        <v>327110</v>
      </c>
      <c r="O775" s="822" t="s">
        <v>2139</v>
      </c>
      <c r="P775" s="823">
        <v>3263</v>
      </c>
      <c r="Q775" s="823" t="s">
        <v>2145</v>
      </c>
    </row>
    <row r="776" spans="2:17" s="608" customFormat="1" x14ac:dyDescent="0.25">
      <c r="B776" s="605" t="s">
        <v>2403</v>
      </c>
      <c r="C776" s="606">
        <f t="shared" si="24"/>
        <v>332618</v>
      </c>
      <c r="D776" s="607" t="s">
        <v>2404</v>
      </c>
      <c r="E776" s="607" t="s">
        <v>2230</v>
      </c>
      <c r="F776" s="607" t="s">
        <v>2231</v>
      </c>
      <c r="G776" s="607" t="s">
        <v>1100</v>
      </c>
      <c r="H776" s="607" t="s">
        <v>1100</v>
      </c>
      <c r="I776" s="607" t="s">
        <v>1101</v>
      </c>
      <c r="J776" s="608" t="str">
        <f t="shared" si="25"/>
        <v>Metals And Mining</v>
      </c>
      <c r="N776" s="822">
        <v>327110</v>
      </c>
      <c r="O776" s="822" t="s">
        <v>2139</v>
      </c>
      <c r="P776" s="823">
        <v>3264</v>
      </c>
      <c r="Q776" s="823" t="s">
        <v>2147</v>
      </c>
    </row>
    <row r="777" spans="2:17" s="608" customFormat="1" x14ac:dyDescent="0.25">
      <c r="B777" s="605" t="s">
        <v>2403</v>
      </c>
      <c r="C777" s="606">
        <f t="shared" si="24"/>
        <v>332618</v>
      </c>
      <c r="D777" s="607" t="s">
        <v>2404</v>
      </c>
      <c r="E777" s="607" t="s">
        <v>2335</v>
      </c>
      <c r="F777" s="607" t="s">
        <v>2336</v>
      </c>
      <c r="G777" s="607" t="s">
        <v>1100</v>
      </c>
      <c r="H777" s="607" t="s">
        <v>1100</v>
      </c>
      <c r="I777" s="607" t="s">
        <v>1101</v>
      </c>
      <c r="J777" s="608" t="str">
        <f t="shared" si="25"/>
        <v>Metals And Mining</v>
      </c>
      <c r="N777" s="822">
        <v>327110</v>
      </c>
      <c r="O777" s="822" t="s">
        <v>2139</v>
      </c>
      <c r="P777" s="823">
        <v>3269</v>
      </c>
      <c r="Q777" s="823" t="s">
        <v>2149</v>
      </c>
    </row>
    <row r="778" spans="2:17" s="608" customFormat="1" x14ac:dyDescent="0.25">
      <c r="B778" s="605" t="s">
        <v>2405</v>
      </c>
      <c r="C778" s="606">
        <f t="shared" si="24"/>
        <v>332710</v>
      </c>
      <c r="D778" s="607" t="s">
        <v>2406</v>
      </c>
      <c r="E778" s="607" t="s">
        <v>2407</v>
      </c>
      <c r="F778" s="607" t="s">
        <v>2408</v>
      </c>
      <c r="G778" s="607" t="s">
        <v>1019</v>
      </c>
      <c r="H778" s="607" t="s">
        <v>1019</v>
      </c>
      <c r="I778" s="607" t="s">
        <v>1755</v>
      </c>
      <c r="J778" s="608" t="str">
        <f t="shared" si="25"/>
        <v>Manufacturing</v>
      </c>
      <c r="N778" s="822">
        <v>327110</v>
      </c>
      <c r="O778" s="822" t="s">
        <v>2139</v>
      </c>
      <c r="P778" s="823">
        <v>3299</v>
      </c>
      <c r="Q778" s="823" t="s">
        <v>2151</v>
      </c>
    </row>
    <row r="779" spans="2:17" s="608" customFormat="1" x14ac:dyDescent="0.25">
      <c r="B779" s="605" t="s">
        <v>2409</v>
      </c>
      <c r="C779" s="606">
        <f t="shared" si="24"/>
        <v>332721</v>
      </c>
      <c r="D779" s="607" t="s">
        <v>2410</v>
      </c>
      <c r="E779" s="607" t="s">
        <v>2411</v>
      </c>
      <c r="F779" s="607" t="s">
        <v>2412</v>
      </c>
      <c r="G779" s="607" t="s">
        <v>1019</v>
      </c>
      <c r="H779" s="607" t="s">
        <v>1019</v>
      </c>
      <c r="I779" s="607" t="s">
        <v>1755</v>
      </c>
      <c r="J779" s="608" t="str">
        <f t="shared" si="25"/>
        <v>Manufacturing</v>
      </c>
      <c r="N779" s="822">
        <v>327110</v>
      </c>
      <c r="O779" s="822" t="s">
        <v>2139</v>
      </c>
      <c r="P779" s="823">
        <v>5719</v>
      </c>
      <c r="Q779" s="823" t="s">
        <v>2153</v>
      </c>
    </row>
    <row r="780" spans="2:17" s="608" customFormat="1" x14ac:dyDescent="0.25">
      <c r="B780" s="605" t="s">
        <v>2413</v>
      </c>
      <c r="C780" s="606">
        <f t="shared" si="24"/>
        <v>332722</v>
      </c>
      <c r="D780" s="607" t="s">
        <v>2414</v>
      </c>
      <c r="E780" s="607" t="s">
        <v>2391</v>
      </c>
      <c r="F780" s="607" t="s">
        <v>2392</v>
      </c>
      <c r="G780" s="607" t="s">
        <v>1019</v>
      </c>
      <c r="H780" s="607" t="s">
        <v>1019</v>
      </c>
      <c r="I780" s="607" t="s">
        <v>1755</v>
      </c>
      <c r="J780" s="608" t="str">
        <f t="shared" si="25"/>
        <v>Manufacturing</v>
      </c>
      <c r="N780" s="823">
        <v>327111</v>
      </c>
      <c r="O780" s="823" t="s">
        <v>5913</v>
      </c>
      <c r="P780" s="823"/>
      <c r="Q780" s="823" t="s">
        <v>958</v>
      </c>
    </row>
    <row r="781" spans="2:17" s="608" customFormat="1" x14ac:dyDescent="0.25">
      <c r="B781" s="605" t="s">
        <v>2413</v>
      </c>
      <c r="C781" s="606">
        <f t="shared" si="24"/>
        <v>332722</v>
      </c>
      <c r="D781" s="607" t="s">
        <v>2414</v>
      </c>
      <c r="E781" s="607" t="s">
        <v>2415</v>
      </c>
      <c r="F781" s="607" t="s">
        <v>2416</v>
      </c>
      <c r="G781" s="607" t="s">
        <v>1019</v>
      </c>
      <c r="H781" s="607" t="s">
        <v>1019</v>
      </c>
      <c r="I781" s="607" t="s">
        <v>1755</v>
      </c>
      <c r="J781" s="608" t="str">
        <f t="shared" si="25"/>
        <v>Manufacturing</v>
      </c>
      <c r="N781" s="823">
        <v>327112</v>
      </c>
      <c r="O781" s="823" t="s">
        <v>5914</v>
      </c>
      <c r="P781" s="823"/>
      <c r="Q781" s="823" t="s">
        <v>958</v>
      </c>
    </row>
    <row r="782" spans="2:17" s="608" customFormat="1" x14ac:dyDescent="0.25">
      <c r="B782" s="605" t="s">
        <v>2417</v>
      </c>
      <c r="C782" s="606">
        <f t="shared" si="24"/>
        <v>332811</v>
      </c>
      <c r="D782" s="607" t="s">
        <v>2418</v>
      </c>
      <c r="E782" s="607" t="s">
        <v>2419</v>
      </c>
      <c r="F782" s="607" t="s">
        <v>2418</v>
      </c>
      <c r="G782" s="607" t="s">
        <v>1100</v>
      </c>
      <c r="H782" s="607" t="s">
        <v>1100</v>
      </c>
      <c r="I782" s="607" t="s">
        <v>1101</v>
      </c>
      <c r="J782" s="608" t="str">
        <f t="shared" si="25"/>
        <v>Metals And Mining</v>
      </c>
      <c r="N782" s="823">
        <v>327113</v>
      </c>
      <c r="O782" s="823" t="s">
        <v>5915</v>
      </c>
      <c r="P782" s="823"/>
      <c r="Q782" s="823" t="s">
        <v>958</v>
      </c>
    </row>
    <row r="783" spans="2:17" s="608" customFormat="1" x14ac:dyDescent="0.25">
      <c r="B783" s="605" t="s">
        <v>2420</v>
      </c>
      <c r="C783" s="606">
        <f t="shared" si="24"/>
        <v>332812</v>
      </c>
      <c r="D783" s="607" t="s">
        <v>2421</v>
      </c>
      <c r="E783" s="607" t="s">
        <v>2422</v>
      </c>
      <c r="F783" s="607" t="s">
        <v>2423</v>
      </c>
      <c r="G783" s="607" t="s">
        <v>1100</v>
      </c>
      <c r="H783" s="607" t="s">
        <v>1100</v>
      </c>
      <c r="I783" s="607" t="s">
        <v>1101</v>
      </c>
      <c r="J783" s="608" t="str">
        <f t="shared" si="25"/>
        <v>Metals And Mining</v>
      </c>
      <c r="N783" s="822">
        <v>327120</v>
      </c>
      <c r="O783" s="822" t="s">
        <v>2155</v>
      </c>
      <c r="P783" s="823">
        <v>3251</v>
      </c>
      <c r="Q783" s="823" t="s">
        <v>2157</v>
      </c>
    </row>
    <row r="784" spans="2:17" s="608" customFormat="1" x14ac:dyDescent="0.25">
      <c r="B784" s="605" t="s">
        <v>2420</v>
      </c>
      <c r="C784" s="606">
        <f t="shared" si="24"/>
        <v>332812</v>
      </c>
      <c r="D784" s="607" t="s">
        <v>2421</v>
      </c>
      <c r="E784" s="607" t="s">
        <v>1756</v>
      </c>
      <c r="F784" s="607" t="s">
        <v>1757</v>
      </c>
      <c r="G784" s="607" t="s">
        <v>1100</v>
      </c>
      <c r="H784" s="607" t="s">
        <v>1100</v>
      </c>
      <c r="I784" s="607" t="s">
        <v>1101</v>
      </c>
      <c r="J784" s="608" t="str">
        <f t="shared" si="25"/>
        <v>Metals And Mining</v>
      </c>
      <c r="N784" s="822">
        <v>327120</v>
      </c>
      <c r="O784" s="822" t="s">
        <v>2155</v>
      </c>
      <c r="P784" s="823">
        <v>3253</v>
      </c>
      <c r="Q784" s="823" t="s">
        <v>2159</v>
      </c>
    </row>
    <row r="785" spans="2:17" s="608" customFormat="1" x14ac:dyDescent="0.25">
      <c r="B785" s="605" t="s">
        <v>2424</v>
      </c>
      <c r="C785" s="606">
        <f t="shared" si="24"/>
        <v>332813</v>
      </c>
      <c r="D785" s="607" t="s">
        <v>2425</v>
      </c>
      <c r="E785" s="607" t="s">
        <v>2230</v>
      </c>
      <c r="F785" s="607" t="s">
        <v>2231</v>
      </c>
      <c r="G785" s="607" t="s">
        <v>1100</v>
      </c>
      <c r="H785" s="607" t="s">
        <v>1100</v>
      </c>
      <c r="I785" s="607" t="s">
        <v>1101</v>
      </c>
      <c r="J785" s="608" t="str">
        <f t="shared" si="25"/>
        <v>Metals And Mining</v>
      </c>
      <c r="N785" s="822">
        <v>327120</v>
      </c>
      <c r="O785" s="822" t="s">
        <v>2155</v>
      </c>
      <c r="P785" s="823">
        <v>3255</v>
      </c>
      <c r="Q785" s="823" t="s">
        <v>2161</v>
      </c>
    </row>
    <row r="786" spans="2:17" s="608" customFormat="1" x14ac:dyDescent="0.25">
      <c r="B786" s="605" t="s">
        <v>2424</v>
      </c>
      <c r="C786" s="606">
        <f t="shared" si="24"/>
        <v>332813</v>
      </c>
      <c r="D786" s="607" t="s">
        <v>2425</v>
      </c>
      <c r="E786" s="607" t="s">
        <v>2426</v>
      </c>
      <c r="F786" s="607" t="s">
        <v>2427</v>
      </c>
      <c r="G786" s="607" t="s">
        <v>1100</v>
      </c>
      <c r="H786" s="607" t="s">
        <v>1100</v>
      </c>
      <c r="I786" s="607" t="s">
        <v>1101</v>
      </c>
      <c r="J786" s="608" t="str">
        <f t="shared" si="25"/>
        <v>Metals And Mining</v>
      </c>
      <c r="N786" s="822">
        <v>327120</v>
      </c>
      <c r="O786" s="822" t="s">
        <v>2155</v>
      </c>
      <c r="P786" s="823">
        <v>3259</v>
      </c>
      <c r="Q786" s="823" t="s">
        <v>2163</v>
      </c>
    </row>
    <row r="787" spans="2:17" s="608" customFormat="1" x14ac:dyDescent="0.25">
      <c r="B787" s="605" t="s">
        <v>2424</v>
      </c>
      <c r="C787" s="606">
        <f t="shared" si="24"/>
        <v>332813</v>
      </c>
      <c r="D787" s="607" t="s">
        <v>2425</v>
      </c>
      <c r="E787" s="605" t="s">
        <v>2407</v>
      </c>
      <c r="F787" s="607" t="s">
        <v>2408</v>
      </c>
      <c r="G787" s="607" t="s">
        <v>1019</v>
      </c>
      <c r="H787" s="607" t="s">
        <v>1019</v>
      </c>
      <c r="I787" s="607" t="s">
        <v>1755</v>
      </c>
      <c r="J787" s="608" t="str">
        <f t="shared" si="25"/>
        <v>Manufacturing</v>
      </c>
      <c r="N787" s="822">
        <v>327120</v>
      </c>
      <c r="O787" s="822" t="s">
        <v>2155</v>
      </c>
      <c r="P787" s="823">
        <v>3297</v>
      </c>
      <c r="Q787" s="823" t="s">
        <v>2165</v>
      </c>
    </row>
    <row r="788" spans="2:17" s="608" customFormat="1" x14ac:dyDescent="0.25">
      <c r="B788" s="605" t="s">
        <v>2428</v>
      </c>
      <c r="C788" s="606">
        <f t="shared" si="24"/>
        <v>332911</v>
      </c>
      <c r="D788" s="607" t="s">
        <v>2429</v>
      </c>
      <c r="E788" s="607" t="s">
        <v>2430</v>
      </c>
      <c r="F788" s="607" t="s">
        <v>2431</v>
      </c>
      <c r="G788" s="607" t="s">
        <v>1100</v>
      </c>
      <c r="H788" s="607" t="s">
        <v>1100</v>
      </c>
      <c r="I788" s="607" t="s">
        <v>1101</v>
      </c>
      <c r="J788" s="608" t="str">
        <f t="shared" si="25"/>
        <v>Metals And Mining</v>
      </c>
      <c r="N788" s="823">
        <v>327121</v>
      </c>
      <c r="O788" s="823" t="s">
        <v>5916</v>
      </c>
      <c r="P788" s="823"/>
      <c r="Q788" s="823" t="s">
        <v>958</v>
      </c>
    </row>
    <row r="789" spans="2:17" s="608" customFormat="1" x14ac:dyDescent="0.25">
      <c r="B789" s="605" t="s">
        <v>2432</v>
      </c>
      <c r="C789" s="606">
        <f t="shared" si="24"/>
        <v>332912</v>
      </c>
      <c r="D789" s="607" t="s">
        <v>2433</v>
      </c>
      <c r="E789" s="607" t="s">
        <v>2434</v>
      </c>
      <c r="F789" s="607" t="s">
        <v>2435</v>
      </c>
      <c r="G789" s="607" t="s">
        <v>1100</v>
      </c>
      <c r="H789" s="607" t="s">
        <v>1100</v>
      </c>
      <c r="I789" s="607" t="s">
        <v>1101</v>
      </c>
      <c r="J789" s="608" t="str">
        <f t="shared" si="25"/>
        <v>Metals And Mining</v>
      </c>
      <c r="N789" s="823">
        <v>327122</v>
      </c>
      <c r="O789" s="823" t="s">
        <v>5917</v>
      </c>
      <c r="P789" s="823"/>
      <c r="Q789" s="823" t="s">
        <v>958</v>
      </c>
    </row>
    <row r="790" spans="2:17" s="608" customFormat="1" x14ac:dyDescent="0.25">
      <c r="B790" s="605" t="s">
        <v>2432</v>
      </c>
      <c r="C790" s="606">
        <f t="shared" si="24"/>
        <v>332912</v>
      </c>
      <c r="D790" s="607" t="s">
        <v>2433</v>
      </c>
      <c r="E790" s="607" t="s">
        <v>2436</v>
      </c>
      <c r="F790" s="607" t="s">
        <v>2437</v>
      </c>
      <c r="G790" s="607" t="s">
        <v>1100</v>
      </c>
      <c r="H790" s="607" t="s">
        <v>1100</v>
      </c>
      <c r="I790" s="607" t="s">
        <v>1101</v>
      </c>
      <c r="J790" s="608" t="str">
        <f t="shared" si="25"/>
        <v>Metals And Mining</v>
      </c>
      <c r="N790" s="823">
        <v>327123</v>
      </c>
      <c r="O790" s="823" t="s">
        <v>5918</v>
      </c>
      <c r="P790" s="823"/>
      <c r="Q790" s="823" t="s">
        <v>958</v>
      </c>
    </row>
    <row r="791" spans="2:17" s="608" customFormat="1" x14ac:dyDescent="0.25">
      <c r="B791" s="605" t="s">
        <v>2438</v>
      </c>
      <c r="C791" s="606">
        <f t="shared" si="24"/>
        <v>332913</v>
      </c>
      <c r="D791" s="607" t="s">
        <v>2439</v>
      </c>
      <c r="E791" s="607" t="s">
        <v>2440</v>
      </c>
      <c r="F791" s="607" t="s">
        <v>2441</v>
      </c>
      <c r="G791" s="607" t="s">
        <v>1019</v>
      </c>
      <c r="H791" s="607" t="s">
        <v>1019</v>
      </c>
      <c r="I791" s="607" t="s">
        <v>1255</v>
      </c>
      <c r="J791" s="608" t="str">
        <f t="shared" si="25"/>
        <v>Construction</v>
      </c>
      <c r="N791" s="823">
        <v>327124</v>
      </c>
      <c r="O791" s="823" t="s">
        <v>5919</v>
      </c>
      <c r="P791" s="823"/>
      <c r="Q791" s="823" t="s">
        <v>958</v>
      </c>
    </row>
    <row r="792" spans="2:17" s="608" customFormat="1" x14ac:dyDescent="0.25">
      <c r="B792" s="605" t="s">
        <v>2442</v>
      </c>
      <c r="C792" s="606">
        <f t="shared" si="24"/>
        <v>332919</v>
      </c>
      <c r="D792" s="607" t="s">
        <v>2443</v>
      </c>
      <c r="E792" s="607" t="s">
        <v>2391</v>
      </c>
      <c r="F792" s="607" t="s">
        <v>2392</v>
      </c>
      <c r="G792" s="607" t="s">
        <v>1100</v>
      </c>
      <c r="H792" s="607" t="s">
        <v>1100</v>
      </c>
      <c r="I792" s="607" t="s">
        <v>1101</v>
      </c>
      <c r="J792" s="608" t="str">
        <f t="shared" si="25"/>
        <v>Metals And Mining</v>
      </c>
      <c r="N792" s="823">
        <v>327125</v>
      </c>
      <c r="O792" s="823" t="s">
        <v>5920</v>
      </c>
      <c r="P792" s="823"/>
      <c r="Q792" s="823" t="s">
        <v>958</v>
      </c>
    </row>
    <row r="793" spans="2:17" s="608" customFormat="1" x14ac:dyDescent="0.25">
      <c r="B793" s="605" t="s">
        <v>2442</v>
      </c>
      <c r="C793" s="606">
        <f t="shared" si="24"/>
        <v>332919</v>
      </c>
      <c r="D793" s="607" t="s">
        <v>2443</v>
      </c>
      <c r="E793" s="607" t="s">
        <v>2440</v>
      </c>
      <c r="F793" s="607" t="s">
        <v>2441</v>
      </c>
      <c r="G793" s="607" t="s">
        <v>1100</v>
      </c>
      <c r="H793" s="607" t="s">
        <v>1100</v>
      </c>
      <c r="I793" s="607" t="s">
        <v>1101</v>
      </c>
      <c r="J793" s="608" t="str">
        <f t="shared" si="25"/>
        <v>Metals And Mining</v>
      </c>
      <c r="N793" s="822">
        <v>327211</v>
      </c>
      <c r="O793" s="822" t="s">
        <v>2167</v>
      </c>
      <c r="P793" s="823">
        <v>3211</v>
      </c>
      <c r="Q793" s="823" t="s">
        <v>2169</v>
      </c>
    </row>
    <row r="794" spans="2:17" s="608" customFormat="1" x14ac:dyDescent="0.25">
      <c r="B794" s="605" t="s">
        <v>2442</v>
      </c>
      <c r="C794" s="606">
        <f t="shared" si="24"/>
        <v>332919</v>
      </c>
      <c r="D794" s="607" t="s">
        <v>2443</v>
      </c>
      <c r="E794" s="607" t="s">
        <v>2444</v>
      </c>
      <c r="F794" s="607" t="s">
        <v>2445</v>
      </c>
      <c r="G794" s="607" t="s">
        <v>1100</v>
      </c>
      <c r="H794" s="607" t="s">
        <v>1100</v>
      </c>
      <c r="I794" s="607" t="s">
        <v>1101</v>
      </c>
      <c r="J794" s="608" t="str">
        <f t="shared" si="25"/>
        <v>Metals And Mining</v>
      </c>
      <c r="N794" s="822">
        <v>327212</v>
      </c>
      <c r="O794" s="822" t="s">
        <v>2171</v>
      </c>
      <c r="P794" s="823">
        <v>3229</v>
      </c>
      <c r="Q794" s="823" t="s">
        <v>2173</v>
      </c>
    </row>
    <row r="795" spans="2:17" s="608" customFormat="1" x14ac:dyDescent="0.25">
      <c r="B795" s="605" t="s">
        <v>2442</v>
      </c>
      <c r="C795" s="606">
        <f t="shared" si="24"/>
        <v>332919</v>
      </c>
      <c r="D795" s="607" t="s">
        <v>2443</v>
      </c>
      <c r="E795" s="607" t="s">
        <v>2323</v>
      </c>
      <c r="F795" s="607" t="s">
        <v>2324</v>
      </c>
      <c r="G795" s="607" t="s">
        <v>1100</v>
      </c>
      <c r="H795" s="607" t="s">
        <v>1100</v>
      </c>
      <c r="I795" s="607" t="s">
        <v>1101</v>
      </c>
      <c r="J795" s="608" t="str">
        <f t="shared" si="25"/>
        <v>Metals And Mining</v>
      </c>
      <c r="N795" s="822">
        <v>327213</v>
      </c>
      <c r="O795" s="822" t="s">
        <v>2175</v>
      </c>
      <c r="P795" s="823">
        <v>3221</v>
      </c>
      <c r="Q795" s="823" t="s">
        <v>2177</v>
      </c>
    </row>
    <row r="796" spans="2:17" s="608" customFormat="1" x14ac:dyDescent="0.25">
      <c r="B796" s="605" t="s">
        <v>2446</v>
      </c>
      <c r="C796" s="606">
        <f t="shared" si="24"/>
        <v>332991</v>
      </c>
      <c r="D796" s="607" t="s">
        <v>2447</v>
      </c>
      <c r="E796" s="607" t="s">
        <v>2448</v>
      </c>
      <c r="F796" s="607" t="s">
        <v>2449</v>
      </c>
      <c r="G796" s="607" t="s">
        <v>1100</v>
      </c>
      <c r="H796" s="607" t="s">
        <v>1100</v>
      </c>
      <c r="I796" s="607" t="s">
        <v>1101</v>
      </c>
      <c r="J796" s="608" t="str">
        <f t="shared" si="25"/>
        <v>Metals And Mining</v>
      </c>
      <c r="N796" s="822">
        <v>327215</v>
      </c>
      <c r="O796" s="822" t="s">
        <v>2179</v>
      </c>
      <c r="P796" s="823">
        <v>3231</v>
      </c>
      <c r="Q796" s="823" t="s">
        <v>2181</v>
      </c>
    </row>
    <row r="797" spans="2:17" s="608" customFormat="1" x14ac:dyDescent="0.25">
      <c r="B797" s="605" t="s">
        <v>2450</v>
      </c>
      <c r="C797" s="606">
        <f t="shared" si="24"/>
        <v>332992</v>
      </c>
      <c r="D797" s="607" t="s">
        <v>2451</v>
      </c>
      <c r="E797" s="607" t="s">
        <v>2452</v>
      </c>
      <c r="F797" s="607" t="s">
        <v>2453</v>
      </c>
      <c r="G797" s="607" t="s">
        <v>1100</v>
      </c>
      <c r="H797" s="607" t="s">
        <v>1100</v>
      </c>
      <c r="I797" s="607" t="s">
        <v>1101</v>
      </c>
      <c r="J797" s="608" t="str">
        <f t="shared" si="25"/>
        <v>Metals And Mining</v>
      </c>
      <c r="N797" s="822">
        <v>327310</v>
      </c>
      <c r="O797" s="822" t="s">
        <v>2183</v>
      </c>
      <c r="P797" s="823">
        <v>3241</v>
      </c>
      <c r="Q797" s="823" t="s">
        <v>2185</v>
      </c>
    </row>
    <row r="798" spans="2:17" s="608" customFormat="1" x14ac:dyDescent="0.25">
      <c r="B798" s="605" t="s">
        <v>2454</v>
      </c>
      <c r="C798" s="606">
        <f t="shared" si="24"/>
        <v>332993</v>
      </c>
      <c r="D798" s="607" t="s">
        <v>2455</v>
      </c>
      <c r="E798" s="607" t="s">
        <v>2456</v>
      </c>
      <c r="F798" s="607" t="s">
        <v>2457</v>
      </c>
      <c r="G798" s="607" t="s">
        <v>1100</v>
      </c>
      <c r="H798" s="607" t="s">
        <v>1100</v>
      </c>
      <c r="I798" s="607" t="s">
        <v>1101</v>
      </c>
      <c r="J798" s="608" t="str">
        <f t="shared" si="25"/>
        <v>Metals And Mining</v>
      </c>
      <c r="N798" s="822">
        <v>327320</v>
      </c>
      <c r="O798" s="822" t="s">
        <v>2187</v>
      </c>
      <c r="P798" s="823">
        <v>3273</v>
      </c>
      <c r="Q798" s="823" t="s">
        <v>2189</v>
      </c>
    </row>
    <row r="799" spans="2:17" s="608" customFormat="1" x14ac:dyDescent="0.25">
      <c r="B799" s="605" t="s">
        <v>2458</v>
      </c>
      <c r="C799" s="606">
        <f t="shared" si="24"/>
        <v>332994</v>
      </c>
      <c r="D799" s="607" t="s">
        <v>2459</v>
      </c>
      <c r="E799" s="607" t="s">
        <v>2460</v>
      </c>
      <c r="F799" s="607" t="s">
        <v>2461</v>
      </c>
      <c r="G799" s="607" t="s">
        <v>1100</v>
      </c>
      <c r="H799" s="607" t="s">
        <v>1100</v>
      </c>
      <c r="I799" s="607" t="s">
        <v>1101</v>
      </c>
      <c r="J799" s="608" t="str">
        <f t="shared" si="25"/>
        <v>Metals And Mining</v>
      </c>
      <c r="N799" s="822">
        <v>327331</v>
      </c>
      <c r="O799" s="822" t="s">
        <v>2191</v>
      </c>
      <c r="P799" s="823">
        <v>3251</v>
      </c>
      <c r="Q799" s="823" t="s">
        <v>2157</v>
      </c>
    </row>
    <row r="800" spans="2:17" s="608" customFormat="1" x14ac:dyDescent="0.25">
      <c r="B800" s="605" t="s">
        <v>2458</v>
      </c>
      <c r="C800" s="606">
        <f t="shared" si="24"/>
        <v>332994</v>
      </c>
      <c r="D800" s="607" t="s">
        <v>2459</v>
      </c>
      <c r="E800" s="607" t="s">
        <v>2462</v>
      </c>
      <c r="F800" s="607" t="s">
        <v>2463</v>
      </c>
      <c r="G800" s="607" t="s">
        <v>1100</v>
      </c>
      <c r="H800" s="607" t="s">
        <v>1100</v>
      </c>
      <c r="I800" s="607" t="s">
        <v>1101</v>
      </c>
      <c r="J800" s="608" t="str">
        <f t="shared" si="25"/>
        <v>Metals And Mining</v>
      </c>
      <c r="N800" s="822">
        <v>327331</v>
      </c>
      <c r="O800" s="822" t="s">
        <v>2191</v>
      </c>
      <c r="P800" s="823">
        <v>3271</v>
      </c>
      <c r="Q800" s="823" t="s">
        <v>2193</v>
      </c>
    </row>
    <row r="801" spans="2:17" s="608" customFormat="1" x14ac:dyDescent="0.25">
      <c r="B801" s="605" t="s">
        <v>2458</v>
      </c>
      <c r="C801" s="606">
        <f t="shared" si="24"/>
        <v>332994</v>
      </c>
      <c r="D801" s="607" t="s">
        <v>2459</v>
      </c>
      <c r="E801" s="607" t="s">
        <v>2464</v>
      </c>
      <c r="F801" s="607" t="s">
        <v>2465</v>
      </c>
      <c r="G801" s="607" t="s">
        <v>1100</v>
      </c>
      <c r="H801" s="607" t="s">
        <v>1100</v>
      </c>
      <c r="I801" s="607" t="s">
        <v>1101</v>
      </c>
      <c r="J801" s="608" t="str">
        <f t="shared" si="25"/>
        <v>Metals And Mining</v>
      </c>
      <c r="N801" s="822">
        <v>327332</v>
      </c>
      <c r="O801" s="822" t="s">
        <v>2195</v>
      </c>
      <c r="P801" s="823">
        <v>3272</v>
      </c>
      <c r="Q801" s="823" t="s">
        <v>2197</v>
      </c>
    </row>
    <row r="802" spans="2:17" s="608" customFormat="1" x14ac:dyDescent="0.25">
      <c r="B802" s="605" t="s">
        <v>2466</v>
      </c>
      <c r="C802" s="606">
        <f t="shared" si="24"/>
        <v>332996</v>
      </c>
      <c r="D802" s="607" t="s">
        <v>2467</v>
      </c>
      <c r="E802" s="607" t="s">
        <v>2468</v>
      </c>
      <c r="F802" s="607" t="s">
        <v>2469</v>
      </c>
      <c r="G802" s="607" t="s">
        <v>1100</v>
      </c>
      <c r="H802" s="607" t="s">
        <v>1100</v>
      </c>
      <c r="I802" s="607" t="s">
        <v>1101</v>
      </c>
      <c r="J802" s="608" t="str">
        <f t="shared" si="25"/>
        <v>Metals And Mining</v>
      </c>
      <c r="N802" s="822">
        <v>327390</v>
      </c>
      <c r="O802" s="822" t="s">
        <v>2199</v>
      </c>
      <c r="P802" s="823">
        <v>3272</v>
      </c>
      <c r="Q802" s="823" t="s">
        <v>2197</v>
      </c>
    </row>
    <row r="803" spans="2:17" s="608" customFormat="1" x14ac:dyDescent="0.25">
      <c r="B803" s="605" t="s">
        <v>2470</v>
      </c>
      <c r="C803" s="606">
        <f t="shared" si="24"/>
        <v>332999</v>
      </c>
      <c r="D803" s="607" t="s">
        <v>2471</v>
      </c>
      <c r="E803" s="607" t="s">
        <v>2210</v>
      </c>
      <c r="F803" s="607" t="s">
        <v>2211</v>
      </c>
      <c r="G803" s="607" t="s">
        <v>1100</v>
      </c>
      <c r="H803" s="607" t="s">
        <v>1100</v>
      </c>
      <c r="I803" s="607" t="s">
        <v>1101</v>
      </c>
      <c r="J803" s="608" t="str">
        <f t="shared" si="25"/>
        <v>Metals And Mining</v>
      </c>
      <c r="N803" s="822">
        <v>327410</v>
      </c>
      <c r="O803" s="822" t="s">
        <v>2201</v>
      </c>
      <c r="P803" s="823">
        <v>3274</v>
      </c>
      <c r="Q803" s="823" t="s">
        <v>2203</v>
      </c>
    </row>
    <row r="804" spans="2:17" s="608" customFormat="1" x14ac:dyDescent="0.25">
      <c r="B804" s="605" t="s">
        <v>2470</v>
      </c>
      <c r="C804" s="606">
        <f t="shared" si="24"/>
        <v>332999</v>
      </c>
      <c r="D804" s="607" t="s">
        <v>2471</v>
      </c>
      <c r="E804" s="607" t="s">
        <v>2391</v>
      </c>
      <c r="F804" s="607" t="s">
        <v>2392</v>
      </c>
      <c r="G804" s="607" t="s">
        <v>1100</v>
      </c>
      <c r="H804" s="607" t="s">
        <v>1100</v>
      </c>
      <c r="I804" s="607" t="s">
        <v>1101</v>
      </c>
      <c r="J804" s="608" t="str">
        <f t="shared" si="25"/>
        <v>Metals And Mining</v>
      </c>
      <c r="N804" s="822">
        <v>327420</v>
      </c>
      <c r="O804" s="822" t="s">
        <v>2205</v>
      </c>
      <c r="P804" s="823">
        <v>3275</v>
      </c>
      <c r="Q804" s="823" t="s">
        <v>2207</v>
      </c>
    </row>
    <row r="805" spans="2:17" s="608" customFormat="1" x14ac:dyDescent="0.25">
      <c r="B805" s="605" t="s">
        <v>2470</v>
      </c>
      <c r="C805" s="606">
        <f t="shared" si="24"/>
        <v>332999</v>
      </c>
      <c r="D805" s="607" t="s">
        <v>2471</v>
      </c>
      <c r="E805" s="607" t="s">
        <v>2472</v>
      </c>
      <c r="F805" s="607" t="s">
        <v>2473</v>
      </c>
      <c r="G805" s="607" t="s">
        <v>1100</v>
      </c>
      <c r="H805" s="607" t="s">
        <v>1100</v>
      </c>
      <c r="I805" s="607" t="s">
        <v>1101</v>
      </c>
      <c r="J805" s="608" t="str">
        <f t="shared" si="25"/>
        <v>Metals And Mining</v>
      </c>
      <c r="N805" s="822">
        <v>327420</v>
      </c>
      <c r="O805" s="822" t="s">
        <v>2205</v>
      </c>
      <c r="P805" s="823">
        <v>3299</v>
      </c>
      <c r="Q805" s="823" t="s">
        <v>2151</v>
      </c>
    </row>
    <row r="806" spans="2:17" s="608" customFormat="1" x14ac:dyDescent="0.25">
      <c r="B806" s="605" t="s">
        <v>2470</v>
      </c>
      <c r="C806" s="606">
        <f t="shared" si="24"/>
        <v>332999</v>
      </c>
      <c r="D806" s="607" t="s">
        <v>2471</v>
      </c>
      <c r="E806" s="607" t="s">
        <v>2440</v>
      </c>
      <c r="F806" s="607" t="s">
        <v>2441</v>
      </c>
      <c r="G806" s="607" t="s">
        <v>1100</v>
      </c>
      <c r="H806" s="607" t="s">
        <v>1100</v>
      </c>
      <c r="I806" s="607" t="s">
        <v>1101</v>
      </c>
      <c r="J806" s="608" t="str">
        <f t="shared" si="25"/>
        <v>Metals And Mining</v>
      </c>
      <c r="N806" s="822">
        <v>327910</v>
      </c>
      <c r="O806" s="822" t="s">
        <v>2209</v>
      </c>
      <c r="P806" s="823">
        <v>3291</v>
      </c>
      <c r="Q806" s="823" t="s">
        <v>2211</v>
      </c>
    </row>
    <row r="807" spans="2:17" s="608" customFormat="1" x14ac:dyDescent="0.25">
      <c r="B807" s="605" t="s">
        <v>2470</v>
      </c>
      <c r="C807" s="606">
        <f t="shared" si="24"/>
        <v>332999</v>
      </c>
      <c r="D807" s="607" t="s">
        <v>2471</v>
      </c>
      <c r="E807" s="607" t="s">
        <v>2444</v>
      </c>
      <c r="F807" s="607" t="s">
        <v>2445</v>
      </c>
      <c r="G807" s="607" t="s">
        <v>1100</v>
      </c>
      <c r="H807" s="607" t="s">
        <v>1100</v>
      </c>
      <c r="I807" s="607" t="s">
        <v>1101</v>
      </c>
      <c r="J807" s="608" t="str">
        <f t="shared" si="25"/>
        <v>Metals And Mining</v>
      </c>
      <c r="N807" s="822">
        <v>327991</v>
      </c>
      <c r="O807" s="822" t="s">
        <v>2213</v>
      </c>
      <c r="P807" s="823">
        <v>3281</v>
      </c>
      <c r="Q807" s="823" t="s">
        <v>2215</v>
      </c>
    </row>
    <row r="808" spans="2:17" s="608" customFormat="1" x14ac:dyDescent="0.25">
      <c r="B808" s="605" t="s">
        <v>2470</v>
      </c>
      <c r="C808" s="606">
        <f t="shared" si="24"/>
        <v>332999</v>
      </c>
      <c r="D808" s="607" t="s">
        <v>2471</v>
      </c>
      <c r="E808" s="607" t="s">
        <v>1886</v>
      </c>
      <c r="F808" s="607" t="s">
        <v>1887</v>
      </c>
      <c r="G808" s="607" t="s">
        <v>1100</v>
      </c>
      <c r="H808" s="607" t="s">
        <v>1100</v>
      </c>
      <c r="I808" s="607" t="s">
        <v>1101</v>
      </c>
      <c r="J808" s="608" t="str">
        <f t="shared" si="25"/>
        <v>Metals And Mining</v>
      </c>
      <c r="N808" s="822">
        <v>327992</v>
      </c>
      <c r="O808" s="822" t="s">
        <v>2217</v>
      </c>
      <c r="P808" s="823">
        <v>3295</v>
      </c>
      <c r="Q808" s="823" t="s">
        <v>1161</v>
      </c>
    </row>
    <row r="809" spans="2:17" s="608" customFormat="1" x14ac:dyDescent="0.25">
      <c r="B809" s="605" t="s">
        <v>2470</v>
      </c>
      <c r="C809" s="606">
        <f t="shared" si="24"/>
        <v>332999</v>
      </c>
      <c r="D809" s="607" t="s">
        <v>2471</v>
      </c>
      <c r="E809" s="607" t="s">
        <v>2323</v>
      </c>
      <c r="F809" s="607" t="s">
        <v>2324</v>
      </c>
      <c r="G809" s="607" t="s">
        <v>1100</v>
      </c>
      <c r="H809" s="607" t="s">
        <v>1100</v>
      </c>
      <c r="I809" s="607" t="s">
        <v>1101</v>
      </c>
      <c r="J809" s="608" t="str">
        <f t="shared" si="25"/>
        <v>Metals And Mining</v>
      </c>
      <c r="N809" s="822">
        <v>327993</v>
      </c>
      <c r="O809" s="822" t="s">
        <v>2219</v>
      </c>
      <c r="P809" s="823">
        <v>3296</v>
      </c>
      <c r="Q809" s="823" t="s">
        <v>2221</v>
      </c>
    </row>
    <row r="810" spans="2:17" s="608" customFormat="1" x14ac:dyDescent="0.25">
      <c r="B810" s="605" t="s">
        <v>2470</v>
      </c>
      <c r="C810" s="606">
        <f t="shared" si="24"/>
        <v>332999</v>
      </c>
      <c r="D810" s="607" t="s">
        <v>2471</v>
      </c>
      <c r="E810" s="607" t="s">
        <v>2393</v>
      </c>
      <c r="F810" s="607" t="s">
        <v>2394</v>
      </c>
      <c r="G810" s="607" t="s">
        <v>1100</v>
      </c>
      <c r="H810" s="607" t="s">
        <v>1100</v>
      </c>
      <c r="I810" s="607" t="s">
        <v>1101</v>
      </c>
      <c r="J810" s="608" t="str">
        <f t="shared" si="25"/>
        <v>Metals And Mining</v>
      </c>
      <c r="N810" s="822">
        <v>327999</v>
      </c>
      <c r="O810" s="822" t="s">
        <v>2223</v>
      </c>
      <c r="P810" s="823">
        <v>3272</v>
      </c>
      <c r="Q810" s="823" t="s">
        <v>2197</v>
      </c>
    </row>
    <row r="811" spans="2:17" s="608" customFormat="1" x14ac:dyDescent="0.25">
      <c r="B811" s="605" t="s">
        <v>2470</v>
      </c>
      <c r="C811" s="606">
        <f t="shared" si="24"/>
        <v>332999</v>
      </c>
      <c r="D811" s="607" t="s">
        <v>2471</v>
      </c>
      <c r="E811" s="607" t="s">
        <v>2474</v>
      </c>
      <c r="F811" s="607" t="s">
        <v>2475</v>
      </c>
      <c r="G811" s="607" t="s">
        <v>1100</v>
      </c>
      <c r="H811" s="607" t="s">
        <v>1100</v>
      </c>
      <c r="I811" s="607" t="s">
        <v>1101</v>
      </c>
      <c r="J811" s="608" t="str">
        <f t="shared" si="25"/>
        <v>Metals And Mining</v>
      </c>
      <c r="N811" s="822">
        <v>327999</v>
      </c>
      <c r="O811" s="822" t="s">
        <v>2223</v>
      </c>
      <c r="P811" s="823">
        <v>3292</v>
      </c>
      <c r="Q811" s="823" t="s">
        <v>2225</v>
      </c>
    </row>
    <row r="812" spans="2:17" s="608" customFormat="1" x14ac:dyDescent="0.25">
      <c r="B812" s="605" t="s">
        <v>2470</v>
      </c>
      <c r="C812" s="606">
        <f t="shared" si="24"/>
        <v>332999</v>
      </c>
      <c r="D812" s="607" t="s">
        <v>2471</v>
      </c>
      <c r="E812" s="607" t="s">
        <v>2407</v>
      </c>
      <c r="F812" s="607" t="s">
        <v>2408</v>
      </c>
      <c r="G812" s="607" t="s">
        <v>1100</v>
      </c>
      <c r="H812" s="607" t="s">
        <v>1100</v>
      </c>
      <c r="I812" s="607" t="s">
        <v>1101</v>
      </c>
      <c r="J812" s="608" t="str">
        <f t="shared" si="25"/>
        <v>Metals And Mining</v>
      </c>
      <c r="N812" s="822">
        <v>327999</v>
      </c>
      <c r="O812" s="822" t="s">
        <v>2223</v>
      </c>
      <c r="P812" s="823">
        <v>3299</v>
      </c>
      <c r="Q812" s="823" t="s">
        <v>2151</v>
      </c>
    </row>
    <row r="813" spans="2:17" s="608" customFormat="1" x14ac:dyDescent="0.25">
      <c r="B813" s="605" t="s">
        <v>2470</v>
      </c>
      <c r="C813" s="606">
        <f t="shared" si="24"/>
        <v>332999</v>
      </c>
      <c r="D813" s="607" t="s">
        <v>2471</v>
      </c>
      <c r="E813" s="607" t="s">
        <v>2337</v>
      </c>
      <c r="F813" s="607" t="s">
        <v>2338</v>
      </c>
      <c r="G813" s="607" t="s">
        <v>1100</v>
      </c>
      <c r="H813" s="607" t="s">
        <v>1100</v>
      </c>
      <c r="I813" s="607" t="s">
        <v>1101</v>
      </c>
      <c r="J813" s="608" t="str">
        <f t="shared" si="25"/>
        <v>Metals And Mining</v>
      </c>
      <c r="N813" s="822">
        <v>331110</v>
      </c>
      <c r="O813" s="822" t="s">
        <v>2227</v>
      </c>
      <c r="P813" s="823">
        <v>3312</v>
      </c>
      <c r="Q813" s="823" t="s">
        <v>1957</v>
      </c>
    </row>
    <row r="814" spans="2:17" s="608" customFormat="1" x14ac:dyDescent="0.25">
      <c r="B814" s="605" t="s">
        <v>2470</v>
      </c>
      <c r="C814" s="606">
        <f t="shared" si="24"/>
        <v>332999</v>
      </c>
      <c r="D814" s="607" t="s">
        <v>2471</v>
      </c>
      <c r="E814" s="607" t="s">
        <v>1756</v>
      </c>
      <c r="F814" s="607" t="s">
        <v>1757</v>
      </c>
      <c r="G814" s="607" t="s">
        <v>1019</v>
      </c>
      <c r="H814" s="607" t="s">
        <v>1019</v>
      </c>
      <c r="I814" s="607" t="s">
        <v>2476</v>
      </c>
      <c r="J814" s="608" t="str">
        <f t="shared" si="25"/>
        <v>Machinery</v>
      </c>
      <c r="N814" s="822">
        <v>331110</v>
      </c>
      <c r="O814" s="822" t="s">
        <v>2227</v>
      </c>
      <c r="P814" s="823">
        <v>3313</v>
      </c>
      <c r="Q814" s="823" t="s">
        <v>2229</v>
      </c>
    </row>
    <row r="815" spans="2:17" s="608" customFormat="1" x14ac:dyDescent="0.25">
      <c r="B815" s="605" t="s">
        <v>2477</v>
      </c>
      <c r="C815" s="606">
        <f t="shared" si="24"/>
        <v>333111</v>
      </c>
      <c r="D815" s="607" t="s">
        <v>2478</v>
      </c>
      <c r="E815" s="607" t="s">
        <v>2345</v>
      </c>
      <c r="F815" s="607" t="s">
        <v>2346</v>
      </c>
      <c r="G815" s="607" t="s">
        <v>1019</v>
      </c>
      <c r="H815" s="607" t="s">
        <v>1019</v>
      </c>
      <c r="I815" s="607" t="s">
        <v>2476</v>
      </c>
      <c r="J815" s="608" t="str">
        <f t="shared" si="25"/>
        <v>Machinery</v>
      </c>
      <c r="N815" s="822">
        <v>331110</v>
      </c>
      <c r="O815" s="822" t="s">
        <v>2227</v>
      </c>
      <c r="P815" s="823">
        <v>3399</v>
      </c>
      <c r="Q815" s="823" t="s">
        <v>2231</v>
      </c>
    </row>
    <row r="816" spans="2:17" s="608" customFormat="1" x14ac:dyDescent="0.25">
      <c r="B816" s="605" t="s">
        <v>2477</v>
      </c>
      <c r="C816" s="606">
        <f t="shared" si="24"/>
        <v>333111</v>
      </c>
      <c r="D816" s="607" t="s">
        <v>2478</v>
      </c>
      <c r="E816" s="607" t="s">
        <v>2379</v>
      </c>
      <c r="F816" s="607" t="s">
        <v>2380</v>
      </c>
      <c r="G816" s="607" t="s">
        <v>1019</v>
      </c>
      <c r="H816" s="607" t="s">
        <v>1019</v>
      </c>
      <c r="I816" s="607" t="s">
        <v>2476</v>
      </c>
      <c r="J816" s="608" t="str">
        <f t="shared" si="25"/>
        <v>Machinery</v>
      </c>
      <c r="N816" s="823">
        <v>331111</v>
      </c>
      <c r="O816" s="823" t="s">
        <v>5921</v>
      </c>
      <c r="P816" s="823"/>
      <c r="Q816" s="823" t="s">
        <v>958</v>
      </c>
    </row>
    <row r="817" spans="2:17" s="608" customFormat="1" x14ac:dyDescent="0.25">
      <c r="B817" s="605" t="s">
        <v>2479</v>
      </c>
      <c r="C817" s="606">
        <f t="shared" si="24"/>
        <v>333112</v>
      </c>
      <c r="D817" s="607" t="s">
        <v>2480</v>
      </c>
      <c r="E817" s="607" t="s">
        <v>2347</v>
      </c>
      <c r="F817" s="607" t="s">
        <v>2348</v>
      </c>
      <c r="G817" s="607" t="s">
        <v>1019</v>
      </c>
      <c r="H817" s="607" t="s">
        <v>1019</v>
      </c>
      <c r="I817" s="607" t="s">
        <v>2476</v>
      </c>
      <c r="J817" s="608" t="str">
        <f t="shared" si="25"/>
        <v>Machinery</v>
      </c>
      <c r="N817" s="823">
        <v>331112</v>
      </c>
      <c r="O817" s="823" t="s">
        <v>5922</v>
      </c>
      <c r="P817" s="823"/>
      <c r="Q817" s="823" t="s">
        <v>958</v>
      </c>
    </row>
    <row r="818" spans="2:17" s="608" customFormat="1" x14ac:dyDescent="0.25">
      <c r="B818" s="605" t="s">
        <v>2481</v>
      </c>
      <c r="C818" s="606">
        <f t="shared" si="24"/>
        <v>333120</v>
      </c>
      <c r="D818" s="607" t="s">
        <v>2482</v>
      </c>
      <c r="E818" s="607" t="s">
        <v>2483</v>
      </c>
      <c r="F818" s="607" t="s">
        <v>2484</v>
      </c>
      <c r="G818" s="607" t="s">
        <v>1019</v>
      </c>
      <c r="H818" s="607" t="s">
        <v>1019</v>
      </c>
      <c r="I818" s="607" t="s">
        <v>2476</v>
      </c>
      <c r="J818" s="608" t="str">
        <f t="shared" si="25"/>
        <v>Machinery</v>
      </c>
      <c r="N818" s="822">
        <v>331210</v>
      </c>
      <c r="O818" s="822" t="s">
        <v>2233</v>
      </c>
      <c r="P818" s="823">
        <v>3317</v>
      </c>
      <c r="Q818" s="823" t="s">
        <v>2235</v>
      </c>
    </row>
    <row r="819" spans="2:17" s="608" customFormat="1" x14ac:dyDescent="0.25">
      <c r="B819" s="605" t="s">
        <v>2485</v>
      </c>
      <c r="C819" s="606">
        <f t="shared" si="24"/>
        <v>333131</v>
      </c>
      <c r="D819" s="607" t="s">
        <v>2486</v>
      </c>
      <c r="E819" s="607" t="s">
        <v>2487</v>
      </c>
      <c r="F819" s="607" t="s">
        <v>2488</v>
      </c>
      <c r="G819" s="607" t="s">
        <v>1019</v>
      </c>
      <c r="H819" s="607" t="s">
        <v>1019</v>
      </c>
      <c r="I819" s="607" t="s">
        <v>2476</v>
      </c>
      <c r="J819" s="608" t="str">
        <f t="shared" si="25"/>
        <v>Machinery</v>
      </c>
      <c r="N819" s="822">
        <v>331221</v>
      </c>
      <c r="O819" s="822" t="s">
        <v>2237</v>
      </c>
      <c r="P819" s="823">
        <v>3312</v>
      </c>
      <c r="Q819" s="823" t="s">
        <v>1957</v>
      </c>
    </row>
    <row r="820" spans="2:17" s="608" customFormat="1" x14ac:dyDescent="0.25">
      <c r="B820" s="605" t="s">
        <v>2489</v>
      </c>
      <c r="C820" s="606">
        <f t="shared" si="24"/>
        <v>333132</v>
      </c>
      <c r="D820" s="607" t="s">
        <v>2490</v>
      </c>
      <c r="E820" s="607" t="s">
        <v>2491</v>
      </c>
      <c r="F820" s="607" t="s">
        <v>2492</v>
      </c>
      <c r="G820" s="607" t="s">
        <v>1080</v>
      </c>
      <c r="H820" s="607" t="s">
        <v>1080</v>
      </c>
      <c r="I820" s="607" t="s">
        <v>1081</v>
      </c>
      <c r="J820" s="608" t="str">
        <f t="shared" si="25"/>
        <v>Oil And Gas</v>
      </c>
      <c r="N820" s="822">
        <v>331221</v>
      </c>
      <c r="O820" s="822" t="s">
        <v>2237</v>
      </c>
      <c r="P820" s="823">
        <v>3316</v>
      </c>
      <c r="Q820" s="823" t="s">
        <v>2239</v>
      </c>
    </row>
    <row r="821" spans="2:17" s="608" customFormat="1" x14ac:dyDescent="0.25">
      <c r="B821" s="605" t="s">
        <v>2493</v>
      </c>
      <c r="C821" s="606">
        <f t="shared" si="24"/>
        <v>333241</v>
      </c>
      <c r="D821" s="607" t="s">
        <v>2494</v>
      </c>
      <c r="E821" s="607" t="s">
        <v>2495</v>
      </c>
      <c r="F821" s="607" t="s">
        <v>2496</v>
      </c>
      <c r="G821" s="607" t="s">
        <v>1019</v>
      </c>
      <c r="H821" s="607" t="s">
        <v>1019</v>
      </c>
      <c r="I821" s="607" t="s">
        <v>2476</v>
      </c>
      <c r="J821" s="608" t="str">
        <f t="shared" si="25"/>
        <v>Machinery</v>
      </c>
      <c r="N821" s="822">
        <v>331221</v>
      </c>
      <c r="O821" s="822" t="s">
        <v>2237</v>
      </c>
      <c r="P821" s="823">
        <v>3399</v>
      </c>
      <c r="Q821" s="823" t="s">
        <v>2231</v>
      </c>
    </row>
    <row r="822" spans="2:17" s="608" customFormat="1" x14ac:dyDescent="0.25">
      <c r="B822" s="605" t="s">
        <v>2497</v>
      </c>
      <c r="C822" s="606">
        <f t="shared" si="24"/>
        <v>333242</v>
      </c>
      <c r="D822" s="607" t="s">
        <v>2498</v>
      </c>
      <c r="E822" s="607" t="s">
        <v>2379</v>
      </c>
      <c r="F822" s="607" t="s">
        <v>2380</v>
      </c>
      <c r="G822" s="607" t="s">
        <v>1019</v>
      </c>
      <c r="H822" s="607" t="s">
        <v>1019</v>
      </c>
      <c r="I822" s="607" t="s">
        <v>2476</v>
      </c>
      <c r="J822" s="608" t="str">
        <f t="shared" si="25"/>
        <v>Machinery</v>
      </c>
      <c r="N822" s="822">
        <v>331222</v>
      </c>
      <c r="O822" s="822" t="s">
        <v>2241</v>
      </c>
      <c r="P822" s="823">
        <v>3315</v>
      </c>
      <c r="Q822" s="823" t="s">
        <v>2243</v>
      </c>
    </row>
    <row r="823" spans="2:17" s="608" customFormat="1" x14ac:dyDescent="0.25">
      <c r="B823" s="605" t="s">
        <v>2499</v>
      </c>
      <c r="C823" s="606">
        <f t="shared" si="24"/>
        <v>333243</v>
      </c>
      <c r="D823" s="607" t="s">
        <v>2500</v>
      </c>
      <c r="E823" s="607" t="s">
        <v>2501</v>
      </c>
      <c r="F823" s="607" t="s">
        <v>2502</v>
      </c>
      <c r="G823" s="607" t="s">
        <v>1019</v>
      </c>
      <c r="H823" s="607" t="s">
        <v>1019</v>
      </c>
      <c r="I823" s="607" t="s">
        <v>1020</v>
      </c>
      <c r="J823" s="608" t="str">
        <f t="shared" si="25"/>
        <v>Paper And Forest Products</v>
      </c>
      <c r="N823" s="823">
        <v>331311</v>
      </c>
      <c r="O823" s="823" t="s">
        <v>5923</v>
      </c>
      <c r="P823" s="823"/>
      <c r="Q823" s="823" t="s">
        <v>958</v>
      </c>
    </row>
    <row r="824" spans="2:17" s="608" customFormat="1" x14ac:dyDescent="0.25">
      <c r="B824" s="605" t="s">
        <v>2499</v>
      </c>
      <c r="C824" s="606">
        <f t="shared" si="24"/>
        <v>333243</v>
      </c>
      <c r="D824" s="607" t="s">
        <v>2500</v>
      </c>
      <c r="E824" s="607" t="s">
        <v>2503</v>
      </c>
      <c r="F824" s="607" t="s">
        <v>2504</v>
      </c>
      <c r="G824" s="607" t="s">
        <v>1019</v>
      </c>
      <c r="H824" s="607" t="s">
        <v>1019</v>
      </c>
      <c r="I824" s="607" t="s">
        <v>1020</v>
      </c>
      <c r="J824" s="608" t="str">
        <f t="shared" si="25"/>
        <v>Paper And Forest Products</v>
      </c>
      <c r="N824" s="823">
        <v>331312</v>
      </c>
      <c r="O824" s="823" t="s">
        <v>5924</v>
      </c>
      <c r="P824" s="823"/>
      <c r="Q824" s="823" t="s">
        <v>958</v>
      </c>
    </row>
    <row r="825" spans="2:17" s="608" customFormat="1" ht="30" x14ac:dyDescent="0.25">
      <c r="B825" s="605" t="s">
        <v>2505</v>
      </c>
      <c r="C825" s="606">
        <f t="shared" si="24"/>
        <v>333244</v>
      </c>
      <c r="D825" s="607" t="s">
        <v>2506</v>
      </c>
      <c r="E825" s="607" t="s">
        <v>2507</v>
      </c>
      <c r="F825" s="607" t="s">
        <v>2508</v>
      </c>
      <c r="G825" s="607" t="s">
        <v>2509</v>
      </c>
      <c r="H825" s="607" t="s">
        <v>2509</v>
      </c>
      <c r="I825" s="607" t="s">
        <v>2510</v>
      </c>
      <c r="J825" s="608" t="str">
        <f t="shared" si="25"/>
        <v>Technology Hardwr Equip</v>
      </c>
      <c r="N825" s="822">
        <v>331313</v>
      </c>
      <c r="O825" s="822" t="s">
        <v>2245</v>
      </c>
      <c r="P825" s="823">
        <v>2819</v>
      </c>
      <c r="Q825" s="823" t="s">
        <v>1087</v>
      </c>
    </row>
    <row r="826" spans="2:17" s="608" customFormat="1" x14ac:dyDescent="0.25">
      <c r="B826" s="605" t="s">
        <v>2511</v>
      </c>
      <c r="C826" s="606">
        <f t="shared" si="24"/>
        <v>333249</v>
      </c>
      <c r="D826" s="607" t="s">
        <v>2512</v>
      </c>
      <c r="E826" s="607" t="s">
        <v>2513</v>
      </c>
      <c r="F826" s="607" t="s">
        <v>2514</v>
      </c>
      <c r="G826" s="609" t="s">
        <v>1594</v>
      </c>
      <c r="H826" s="609" t="s">
        <v>1594</v>
      </c>
      <c r="I826" s="609" t="s">
        <v>1595</v>
      </c>
      <c r="J826" s="608" t="str">
        <f t="shared" si="25"/>
        <v>Home Furnishings</v>
      </c>
      <c r="N826" s="822">
        <v>331313</v>
      </c>
      <c r="O826" s="822" t="s">
        <v>2245</v>
      </c>
      <c r="P826" s="823">
        <v>3334</v>
      </c>
      <c r="Q826" s="823" t="s">
        <v>2247</v>
      </c>
    </row>
    <row r="827" spans="2:17" s="608" customFormat="1" x14ac:dyDescent="0.25">
      <c r="B827" s="605" t="s">
        <v>2511</v>
      </c>
      <c r="C827" s="606">
        <f t="shared" si="24"/>
        <v>333249</v>
      </c>
      <c r="D827" s="607" t="s">
        <v>2512</v>
      </c>
      <c r="E827" s="607" t="s">
        <v>2515</v>
      </c>
      <c r="F827" s="607" t="s">
        <v>2516</v>
      </c>
      <c r="G827" s="607" t="s">
        <v>1019</v>
      </c>
      <c r="H827" s="607" t="s">
        <v>1019</v>
      </c>
      <c r="I827" s="607" t="s">
        <v>2476</v>
      </c>
      <c r="J827" s="608" t="str">
        <f t="shared" si="25"/>
        <v>Machinery</v>
      </c>
      <c r="N827" s="822">
        <v>331314</v>
      </c>
      <c r="O827" s="822" t="s">
        <v>2249</v>
      </c>
      <c r="P827" s="823">
        <v>3341</v>
      </c>
      <c r="Q827" s="823" t="s">
        <v>2251</v>
      </c>
    </row>
    <row r="828" spans="2:17" s="608" customFormat="1" x14ac:dyDescent="0.25">
      <c r="B828" s="605" t="s">
        <v>2511</v>
      </c>
      <c r="C828" s="606">
        <f t="shared" si="24"/>
        <v>333249</v>
      </c>
      <c r="D828" s="607" t="s">
        <v>2512</v>
      </c>
      <c r="E828" s="607" t="s">
        <v>2379</v>
      </c>
      <c r="F828" s="607" t="s">
        <v>2380</v>
      </c>
      <c r="G828" s="607" t="s">
        <v>1019</v>
      </c>
      <c r="H828" s="607" t="s">
        <v>1019</v>
      </c>
      <c r="I828" s="607" t="s">
        <v>2476</v>
      </c>
      <c r="J828" s="608" t="str">
        <f t="shared" si="25"/>
        <v>Machinery</v>
      </c>
      <c r="N828" s="822">
        <v>331314</v>
      </c>
      <c r="O828" s="822" t="s">
        <v>2249</v>
      </c>
      <c r="P828" s="823">
        <v>3399</v>
      </c>
      <c r="Q828" s="823" t="s">
        <v>2231</v>
      </c>
    </row>
    <row r="829" spans="2:17" s="608" customFormat="1" x14ac:dyDescent="0.25">
      <c r="B829" s="605" t="s">
        <v>2511</v>
      </c>
      <c r="C829" s="606">
        <f t="shared" si="24"/>
        <v>333249</v>
      </c>
      <c r="D829" s="607" t="s">
        <v>2512</v>
      </c>
      <c r="E829" s="607" t="s">
        <v>2517</v>
      </c>
      <c r="F829" s="607" t="s">
        <v>2518</v>
      </c>
      <c r="G829" s="607" t="s">
        <v>1019</v>
      </c>
      <c r="H829" s="607" t="s">
        <v>1019</v>
      </c>
      <c r="I829" s="607" t="s">
        <v>2476</v>
      </c>
      <c r="J829" s="608" t="str">
        <f t="shared" si="25"/>
        <v>Machinery</v>
      </c>
      <c r="N829" s="822">
        <v>331315</v>
      </c>
      <c r="O829" s="822" t="s">
        <v>2253</v>
      </c>
      <c r="P829" s="823">
        <v>3353</v>
      </c>
      <c r="Q829" s="823" t="s">
        <v>2255</v>
      </c>
    </row>
    <row r="830" spans="2:17" s="608" customFormat="1" x14ac:dyDescent="0.25">
      <c r="B830" s="605" t="s">
        <v>2511</v>
      </c>
      <c r="C830" s="606">
        <f t="shared" si="24"/>
        <v>333249</v>
      </c>
      <c r="D830" s="607" t="s">
        <v>2512</v>
      </c>
      <c r="E830" s="607" t="s">
        <v>2519</v>
      </c>
      <c r="F830" s="607" t="s">
        <v>2520</v>
      </c>
      <c r="G830" s="607" t="s">
        <v>1019</v>
      </c>
      <c r="H830" s="607" t="s">
        <v>1019</v>
      </c>
      <c r="I830" s="607" t="s">
        <v>2476</v>
      </c>
      <c r="J830" s="608" t="str">
        <f t="shared" si="25"/>
        <v>Machinery</v>
      </c>
      <c r="N830" s="823">
        <v>331316</v>
      </c>
      <c r="O830" s="823" t="s">
        <v>5925</v>
      </c>
      <c r="P830" s="823"/>
      <c r="Q830" s="823" t="s">
        <v>958</v>
      </c>
    </row>
    <row r="831" spans="2:17" s="608" customFormat="1" x14ac:dyDescent="0.25">
      <c r="B831" s="605" t="s">
        <v>2511</v>
      </c>
      <c r="C831" s="606">
        <f t="shared" si="24"/>
        <v>333249</v>
      </c>
      <c r="D831" s="607" t="s">
        <v>2512</v>
      </c>
      <c r="E831" s="607" t="s">
        <v>2464</v>
      </c>
      <c r="F831" s="607" t="s">
        <v>2465</v>
      </c>
      <c r="G831" s="607" t="s">
        <v>1019</v>
      </c>
      <c r="H831" s="607" t="s">
        <v>1019</v>
      </c>
      <c r="I831" s="607" t="s">
        <v>2476</v>
      </c>
      <c r="J831" s="608" t="str">
        <f t="shared" si="25"/>
        <v>Machinery</v>
      </c>
      <c r="N831" s="822">
        <v>331318</v>
      </c>
      <c r="O831" s="822" t="s">
        <v>2257</v>
      </c>
      <c r="P831" s="823">
        <v>3354</v>
      </c>
      <c r="Q831" s="823" t="s">
        <v>2259</v>
      </c>
    </row>
    <row r="832" spans="2:17" s="608" customFormat="1" x14ac:dyDescent="0.25">
      <c r="B832" s="605" t="s">
        <v>2521</v>
      </c>
      <c r="C832" s="606">
        <f t="shared" si="24"/>
        <v>333314</v>
      </c>
      <c r="D832" s="607" t="s">
        <v>2522</v>
      </c>
      <c r="E832" s="607" t="s">
        <v>2523</v>
      </c>
      <c r="F832" s="607" t="s">
        <v>2524</v>
      </c>
      <c r="G832" s="607" t="s">
        <v>1019</v>
      </c>
      <c r="H832" s="607" t="s">
        <v>1019</v>
      </c>
      <c r="I832" s="607" t="s">
        <v>2476</v>
      </c>
      <c r="J832" s="608" t="str">
        <f t="shared" si="25"/>
        <v>Machinery</v>
      </c>
      <c r="N832" s="822">
        <v>331318</v>
      </c>
      <c r="O832" s="822" t="s">
        <v>2257</v>
      </c>
      <c r="P832" s="823">
        <v>3355</v>
      </c>
      <c r="Q832" s="823" t="s">
        <v>2261</v>
      </c>
    </row>
    <row r="833" spans="2:17" s="608" customFormat="1" x14ac:dyDescent="0.25">
      <c r="B833" s="605" t="s">
        <v>2525</v>
      </c>
      <c r="C833" s="606">
        <f t="shared" si="24"/>
        <v>333316</v>
      </c>
      <c r="D833" s="607" t="s">
        <v>2526</v>
      </c>
      <c r="E833" s="607" t="s">
        <v>2527</v>
      </c>
      <c r="F833" s="607" t="s">
        <v>2528</v>
      </c>
      <c r="G833" s="609" t="s">
        <v>1594</v>
      </c>
      <c r="H833" s="609" t="s">
        <v>1594</v>
      </c>
      <c r="I833" s="609" t="s">
        <v>2529</v>
      </c>
      <c r="J833" s="608" t="str">
        <f t="shared" si="25"/>
        <v>Consumer Electronics</v>
      </c>
      <c r="N833" s="822">
        <v>331318</v>
      </c>
      <c r="O833" s="822" t="s">
        <v>2257</v>
      </c>
      <c r="P833" s="823">
        <v>3357</v>
      </c>
      <c r="Q833" s="823" t="s">
        <v>2263</v>
      </c>
    </row>
    <row r="834" spans="2:17" s="608" customFormat="1" x14ac:dyDescent="0.25">
      <c r="B834" s="605" t="s">
        <v>2525</v>
      </c>
      <c r="C834" s="606">
        <f t="shared" ref="C834:C897" si="26">B834+0</f>
        <v>333316</v>
      </c>
      <c r="D834" s="607" t="s">
        <v>2526</v>
      </c>
      <c r="E834" s="607" t="s">
        <v>2530</v>
      </c>
      <c r="F834" s="607" t="s">
        <v>2531</v>
      </c>
      <c r="G834" s="609" t="s">
        <v>1594</v>
      </c>
      <c r="H834" s="609" t="s">
        <v>1594</v>
      </c>
      <c r="I834" s="609" t="s">
        <v>2529</v>
      </c>
      <c r="J834" s="608" t="str">
        <f t="shared" ref="J834:J897" si="27">PROPER(I834)</f>
        <v>Consumer Electronics</v>
      </c>
      <c r="N834" s="823">
        <v>331319</v>
      </c>
      <c r="O834" s="823" t="s">
        <v>5926</v>
      </c>
      <c r="P834" s="823"/>
      <c r="Q834" s="823" t="s">
        <v>958</v>
      </c>
    </row>
    <row r="835" spans="2:17" s="608" customFormat="1" x14ac:dyDescent="0.25">
      <c r="B835" s="605" t="s">
        <v>2525</v>
      </c>
      <c r="C835" s="606">
        <f t="shared" si="26"/>
        <v>333316</v>
      </c>
      <c r="D835" s="607" t="s">
        <v>2526</v>
      </c>
      <c r="E835" s="607" t="s">
        <v>2073</v>
      </c>
      <c r="F835" s="607" t="s">
        <v>2074</v>
      </c>
      <c r="G835" s="607" t="s">
        <v>1019</v>
      </c>
      <c r="H835" s="607" t="s">
        <v>1019</v>
      </c>
      <c r="I835" s="607" t="s">
        <v>2476</v>
      </c>
      <c r="J835" s="608" t="str">
        <f t="shared" si="27"/>
        <v>Machinery</v>
      </c>
      <c r="N835" s="822">
        <v>331410</v>
      </c>
      <c r="O835" s="822" t="s">
        <v>2265</v>
      </c>
      <c r="P835" s="823">
        <v>3331</v>
      </c>
      <c r="Q835" s="823" t="s">
        <v>2267</v>
      </c>
    </row>
    <row r="836" spans="2:17" s="608" customFormat="1" x14ac:dyDescent="0.25">
      <c r="B836" s="605" t="s">
        <v>2532</v>
      </c>
      <c r="C836" s="606">
        <f t="shared" si="26"/>
        <v>333318</v>
      </c>
      <c r="D836" s="607" t="s">
        <v>2533</v>
      </c>
      <c r="E836" s="607" t="s">
        <v>2379</v>
      </c>
      <c r="F836" s="607" t="s">
        <v>2380</v>
      </c>
      <c r="G836" s="607" t="s">
        <v>1019</v>
      </c>
      <c r="H836" s="607" t="s">
        <v>1019</v>
      </c>
      <c r="I836" s="607" t="s">
        <v>2476</v>
      </c>
      <c r="J836" s="608" t="str">
        <f t="shared" si="27"/>
        <v>Machinery</v>
      </c>
      <c r="N836" s="822">
        <v>331410</v>
      </c>
      <c r="O836" s="822" t="s">
        <v>2265</v>
      </c>
      <c r="P836" s="823">
        <v>3339</v>
      </c>
      <c r="Q836" s="823" t="s">
        <v>2269</v>
      </c>
    </row>
    <row r="837" spans="2:17" s="608" customFormat="1" x14ac:dyDescent="0.25">
      <c r="B837" s="605" t="s">
        <v>2532</v>
      </c>
      <c r="C837" s="606">
        <f t="shared" si="26"/>
        <v>333318</v>
      </c>
      <c r="D837" s="607" t="s">
        <v>2533</v>
      </c>
      <c r="E837" s="607" t="s">
        <v>2530</v>
      </c>
      <c r="F837" s="607" t="s">
        <v>2531</v>
      </c>
      <c r="G837" s="609" t="s">
        <v>1594</v>
      </c>
      <c r="H837" s="609" t="s">
        <v>1594</v>
      </c>
      <c r="I837" s="609" t="s">
        <v>2529</v>
      </c>
      <c r="J837" s="608" t="str">
        <f t="shared" si="27"/>
        <v>Consumer Electronics</v>
      </c>
      <c r="N837" s="823">
        <v>331411</v>
      </c>
      <c r="O837" s="823" t="s">
        <v>5927</v>
      </c>
      <c r="P837" s="823"/>
      <c r="Q837" s="823" t="s">
        <v>958</v>
      </c>
    </row>
    <row r="838" spans="2:17" s="608" customFormat="1" x14ac:dyDescent="0.25">
      <c r="B838" s="605" t="s">
        <v>2532</v>
      </c>
      <c r="C838" s="606">
        <f t="shared" si="26"/>
        <v>333318</v>
      </c>
      <c r="D838" s="607" t="s">
        <v>2533</v>
      </c>
      <c r="E838" s="607" t="s">
        <v>2534</v>
      </c>
      <c r="F838" s="607" t="s">
        <v>2535</v>
      </c>
      <c r="G838" s="609" t="s">
        <v>1594</v>
      </c>
      <c r="H838" s="609" t="s">
        <v>1594</v>
      </c>
      <c r="I838" s="609" t="s">
        <v>2529</v>
      </c>
      <c r="J838" s="608" t="str">
        <f t="shared" si="27"/>
        <v>Consumer Electronics</v>
      </c>
      <c r="N838" s="823">
        <v>331419</v>
      </c>
      <c r="O838" s="823" t="s">
        <v>5928</v>
      </c>
      <c r="P838" s="823"/>
      <c r="Q838" s="823" t="s">
        <v>958</v>
      </c>
    </row>
    <row r="839" spans="2:17" s="608" customFormat="1" x14ac:dyDescent="0.25">
      <c r="B839" s="605" t="s">
        <v>2532</v>
      </c>
      <c r="C839" s="606">
        <f t="shared" si="26"/>
        <v>333318</v>
      </c>
      <c r="D839" s="607" t="s">
        <v>2533</v>
      </c>
      <c r="E839" s="607" t="s">
        <v>2536</v>
      </c>
      <c r="F839" s="607" t="s">
        <v>2537</v>
      </c>
      <c r="G839" s="607" t="s">
        <v>1019</v>
      </c>
      <c r="H839" s="607" t="s">
        <v>1019</v>
      </c>
      <c r="I839" s="607" t="s">
        <v>2476</v>
      </c>
      <c r="J839" s="608" t="str">
        <f t="shared" si="27"/>
        <v>Machinery</v>
      </c>
      <c r="N839" s="822">
        <v>331420</v>
      </c>
      <c r="O839" s="822" t="s">
        <v>2271</v>
      </c>
      <c r="P839" s="823">
        <v>3341</v>
      </c>
      <c r="Q839" s="823" t="s">
        <v>2251</v>
      </c>
    </row>
    <row r="840" spans="2:17" s="608" customFormat="1" x14ac:dyDescent="0.25">
      <c r="B840" s="605" t="s">
        <v>2532</v>
      </c>
      <c r="C840" s="606">
        <f t="shared" si="26"/>
        <v>333318</v>
      </c>
      <c r="D840" s="607" t="s">
        <v>2533</v>
      </c>
      <c r="E840" s="607" t="s">
        <v>2538</v>
      </c>
      <c r="F840" s="607" t="s">
        <v>2539</v>
      </c>
      <c r="G840" s="607" t="s">
        <v>1019</v>
      </c>
      <c r="H840" s="607" t="s">
        <v>1019</v>
      </c>
      <c r="I840" s="607" t="s">
        <v>2476</v>
      </c>
      <c r="J840" s="608" t="str">
        <f t="shared" si="27"/>
        <v>Machinery</v>
      </c>
      <c r="N840" s="822">
        <v>331420</v>
      </c>
      <c r="O840" s="822" t="s">
        <v>2271</v>
      </c>
      <c r="P840" s="823">
        <v>3351</v>
      </c>
      <c r="Q840" s="823" t="s">
        <v>2273</v>
      </c>
    </row>
    <row r="841" spans="2:17" s="608" customFormat="1" x14ac:dyDescent="0.25">
      <c r="B841" s="605" t="s">
        <v>2532</v>
      </c>
      <c r="C841" s="606">
        <f t="shared" si="26"/>
        <v>333318</v>
      </c>
      <c r="D841" s="607" t="s">
        <v>2533</v>
      </c>
      <c r="E841" s="607" t="s">
        <v>2540</v>
      </c>
      <c r="F841" s="607" t="s">
        <v>2541</v>
      </c>
      <c r="G841" s="607" t="s">
        <v>1019</v>
      </c>
      <c r="H841" s="607" t="s">
        <v>1019</v>
      </c>
      <c r="I841" s="607" t="s">
        <v>2476</v>
      </c>
      <c r="J841" s="608" t="str">
        <f t="shared" si="27"/>
        <v>Machinery</v>
      </c>
      <c r="N841" s="822">
        <v>331420</v>
      </c>
      <c r="O841" s="822" t="s">
        <v>2271</v>
      </c>
      <c r="P841" s="823">
        <v>3357</v>
      </c>
      <c r="Q841" s="823" t="s">
        <v>2263</v>
      </c>
    </row>
    <row r="842" spans="2:17" s="608" customFormat="1" x14ac:dyDescent="0.25">
      <c r="B842" s="605" t="s">
        <v>2532</v>
      </c>
      <c r="C842" s="606">
        <f t="shared" si="26"/>
        <v>333318</v>
      </c>
      <c r="D842" s="607" t="s">
        <v>2533</v>
      </c>
      <c r="E842" s="607" t="s">
        <v>2407</v>
      </c>
      <c r="F842" s="607" t="s">
        <v>2408</v>
      </c>
      <c r="G842" s="607" t="s">
        <v>1019</v>
      </c>
      <c r="H842" s="607" t="s">
        <v>1019</v>
      </c>
      <c r="I842" s="607" t="s">
        <v>2476</v>
      </c>
      <c r="J842" s="608" t="str">
        <f t="shared" si="27"/>
        <v>Machinery</v>
      </c>
      <c r="N842" s="822">
        <v>331420</v>
      </c>
      <c r="O842" s="822" t="s">
        <v>2271</v>
      </c>
      <c r="P842" s="823">
        <v>3399</v>
      </c>
      <c r="Q842" s="823" t="s">
        <v>2231</v>
      </c>
    </row>
    <row r="843" spans="2:17" s="608" customFormat="1" x14ac:dyDescent="0.25">
      <c r="B843" s="605" t="s">
        <v>2532</v>
      </c>
      <c r="C843" s="606">
        <f t="shared" si="26"/>
        <v>333318</v>
      </c>
      <c r="D843" s="607" t="s">
        <v>2533</v>
      </c>
      <c r="E843" s="607" t="s">
        <v>2542</v>
      </c>
      <c r="F843" s="607" t="s">
        <v>2543</v>
      </c>
      <c r="G843" s="607" t="s">
        <v>1019</v>
      </c>
      <c r="H843" s="607" t="s">
        <v>1019</v>
      </c>
      <c r="I843" s="607" t="s">
        <v>2476</v>
      </c>
      <c r="J843" s="608" t="str">
        <f t="shared" si="27"/>
        <v>Machinery</v>
      </c>
      <c r="N843" s="823">
        <v>331421</v>
      </c>
      <c r="O843" s="823" t="s">
        <v>5929</v>
      </c>
      <c r="P843" s="823"/>
      <c r="Q843" s="823" t="s">
        <v>958</v>
      </c>
    </row>
    <row r="844" spans="2:17" s="608" customFormat="1" ht="18" x14ac:dyDescent="0.3">
      <c r="B844" s="605" t="s">
        <v>2532</v>
      </c>
      <c r="C844" s="606">
        <f t="shared" si="26"/>
        <v>333318</v>
      </c>
      <c r="D844" s="607" t="s">
        <v>2533</v>
      </c>
      <c r="E844" s="607" t="s">
        <v>1756</v>
      </c>
      <c r="F844" s="607" t="s">
        <v>1757</v>
      </c>
      <c r="G844" s="607" t="s">
        <v>1019</v>
      </c>
      <c r="H844" s="607" t="s">
        <v>1019</v>
      </c>
      <c r="I844" s="607" t="s">
        <v>2476</v>
      </c>
      <c r="J844" s="608" t="str">
        <f t="shared" si="27"/>
        <v>Machinery</v>
      </c>
      <c r="N844" s="822">
        <v>331422</v>
      </c>
      <c r="O844" s="824" t="s">
        <v>2271</v>
      </c>
      <c r="P844" s="823"/>
      <c r="Q844" s="823" t="s">
        <v>958</v>
      </c>
    </row>
    <row r="845" spans="2:17" s="608" customFormat="1" x14ac:dyDescent="0.25">
      <c r="B845" s="605" t="s">
        <v>2544</v>
      </c>
      <c r="C845" s="606">
        <f t="shared" si="26"/>
        <v>333413</v>
      </c>
      <c r="D845" s="607" t="s">
        <v>2545</v>
      </c>
      <c r="E845" s="607" t="s">
        <v>2546</v>
      </c>
      <c r="F845" s="607" t="s">
        <v>2547</v>
      </c>
      <c r="G845" s="607" t="s">
        <v>1019</v>
      </c>
      <c r="H845" s="607" t="s">
        <v>1019</v>
      </c>
      <c r="I845" s="607" t="s">
        <v>2476</v>
      </c>
      <c r="J845" s="608" t="str">
        <f t="shared" si="27"/>
        <v>Machinery</v>
      </c>
      <c r="N845" s="823">
        <v>331423</v>
      </c>
      <c r="O845" s="823" t="s">
        <v>5930</v>
      </c>
      <c r="P845" s="823"/>
      <c r="Q845" s="823" t="s">
        <v>958</v>
      </c>
    </row>
    <row r="846" spans="2:17" s="608" customFormat="1" x14ac:dyDescent="0.25">
      <c r="B846" s="605" t="s">
        <v>2548</v>
      </c>
      <c r="C846" s="606">
        <f t="shared" si="26"/>
        <v>333414</v>
      </c>
      <c r="D846" s="607" t="s">
        <v>2549</v>
      </c>
      <c r="E846" s="607" t="s">
        <v>2550</v>
      </c>
      <c r="F846" s="607" t="s">
        <v>2551</v>
      </c>
      <c r="G846" s="607" t="s">
        <v>1100</v>
      </c>
      <c r="H846" s="607" t="s">
        <v>1100</v>
      </c>
      <c r="I846" s="607" t="s">
        <v>1101</v>
      </c>
      <c r="J846" s="608" t="str">
        <f t="shared" si="27"/>
        <v>Metals And Mining</v>
      </c>
      <c r="N846" s="822">
        <v>331491</v>
      </c>
      <c r="O846" s="822" t="s">
        <v>2275</v>
      </c>
      <c r="P846" s="823">
        <v>3356</v>
      </c>
      <c r="Q846" s="823" t="s">
        <v>2277</v>
      </c>
    </row>
    <row r="847" spans="2:17" s="608" customFormat="1" x14ac:dyDescent="0.25">
      <c r="B847" s="605" t="s">
        <v>2548</v>
      </c>
      <c r="C847" s="606">
        <f t="shared" si="26"/>
        <v>333414</v>
      </c>
      <c r="D847" s="607" t="s">
        <v>2549</v>
      </c>
      <c r="E847" s="607" t="s">
        <v>1733</v>
      </c>
      <c r="F847" s="607" t="s">
        <v>1734</v>
      </c>
      <c r="G847" s="607" t="s">
        <v>1019</v>
      </c>
      <c r="H847" s="607" t="s">
        <v>1019</v>
      </c>
      <c r="I847" s="607" t="s">
        <v>2476</v>
      </c>
      <c r="J847" s="608" t="str">
        <f t="shared" si="27"/>
        <v>Machinery</v>
      </c>
      <c r="N847" s="822">
        <v>331491</v>
      </c>
      <c r="O847" s="822" t="s">
        <v>2275</v>
      </c>
      <c r="P847" s="823">
        <v>3357</v>
      </c>
      <c r="Q847" s="823" t="s">
        <v>2263</v>
      </c>
    </row>
    <row r="848" spans="2:17" s="608" customFormat="1" x14ac:dyDescent="0.25">
      <c r="B848" s="605" t="s">
        <v>2548</v>
      </c>
      <c r="C848" s="606">
        <f t="shared" si="26"/>
        <v>333414</v>
      </c>
      <c r="D848" s="607" t="s">
        <v>2549</v>
      </c>
      <c r="E848" s="607" t="s">
        <v>2552</v>
      </c>
      <c r="F848" s="607" t="s">
        <v>2553</v>
      </c>
      <c r="G848" s="609" t="s">
        <v>1019</v>
      </c>
      <c r="H848" s="607" t="s">
        <v>1019</v>
      </c>
      <c r="I848" s="607" t="s">
        <v>2476</v>
      </c>
      <c r="J848" s="608" t="str">
        <f t="shared" si="27"/>
        <v>Machinery</v>
      </c>
      <c r="N848" s="822">
        <v>331492</v>
      </c>
      <c r="O848" s="822" t="s">
        <v>2279</v>
      </c>
      <c r="P848" s="823">
        <v>3341</v>
      </c>
      <c r="Q848" s="823" t="s">
        <v>2251</v>
      </c>
    </row>
    <row r="849" spans="2:17" s="608" customFormat="1" ht="30" x14ac:dyDescent="0.25">
      <c r="B849" s="605" t="s">
        <v>2554</v>
      </c>
      <c r="C849" s="606">
        <f t="shared" si="26"/>
        <v>333415</v>
      </c>
      <c r="D849" s="607" t="s">
        <v>2555</v>
      </c>
      <c r="E849" s="607" t="s">
        <v>1830</v>
      </c>
      <c r="F849" s="607" t="s">
        <v>1831</v>
      </c>
      <c r="G849" s="609" t="s">
        <v>1019</v>
      </c>
      <c r="H849" s="607" t="s">
        <v>1019</v>
      </c>
      <c r="I849" s="607" t="s">
        <v>2476</v>
      </c>
      <c r="J849" s="608" t="str">
        <f t="shared" si="27"/>
        <v>Machinery</v>
      </c>
      <c r="N849" s="822">
        <v>331492</v>
      </c>
      <c r="O849" s="822" t="s">
        <v>2279</v>
      </c>
      <c r="P849" s="823">
        <v>3399</v>
      </c>
      <c r="Q849" s="823" t="s">
        <v>2231</v>
      </c>
    </row>
    <row r="850" spans="2:17" s="608" customFormat="1" ht="30" x14ac:dyDescent="0.25">
      <c r="B850" s="605" t="s">
        <v>2554</v>
      </c>
      <c r="C850" s="606">
        <f t="shared" si="26"/>
        <v>333415</v>
      </c>
      <c r="D850" s="607" t="s">
        <v>2555</v>
      </c>
      <c r="E850" s="607" t="s">
        <v>2513</v>
      </c>
      <c r="F850" s="607" t="s">
        <v>2514</v>
      </c>
      <c r="G850" s="609" t="s">
        <v>1594</v>
      </c>
      <c r="H850" s="609" t="s">
        <v>1594</v>
      </c>
      <c r="I850" s="609" t="s">
        <v>1595</v>
      </c>
      <c r="J850" s="608" t="str">
        <f t="shared" si="27"/>
        <v>Home Furnishings</v>
      </c>
      <c r="N850" s="822">
        <v>331511</v>
      </c>
      <c r="O850" s="822" t="s">
        <v>2281</v>
      </c>
      <c r="P850" s="823">
        <v>3321</v>
      </c>
      <c r="Q850" s="823" t="s">
        <v>2283</v>
      </c>
    </row>
    <row r="851" spans="2:17" s="608" customFormat="1" ht="30" x14ac:dyDescent="0.25">
      <c r="B851" s="605" t="s">
        <v>2554</v>
      </c>
      <c r="C851" s="606">
        <f t="shared" si="26"/>
        <v>333415</v>
      </c>
      <c r="D851" s="607" t="s">
        <v>2555</v>
      </c>
      <c r="E851" s="607" t="s">
        <v>2363</v>
      </c>
      <c r="F851" s="607" t="s">
        <v>2364</v>
      </c>
      <c r="G851" s="607" t="s">
        <v>1019</v>
      </c>
      <c r="H851" s="607" t="s">
        <v>1019</v>
      </c>
      <c r="I851" s="607" t="s">
        <v>2476</v>
      </c>
      <c r="J851" s="608" t="str">
        <f t="shared" si="27"/>
        <v>Machinery</v>
      </c>
      <c r="N851" s="822">
        <v>331511</v>
      </c>
      <c r="O851" s="822" t="s">
        <v>2281</v>
      </c>
      <c r="P851" s="823">
        <v>3322</v>
      </c>
      <c r="Q851" s="823" t="s">
        <v>2285</v>
      </c>
    </row>
    <row r="852" spans="2:17" s="608" customFormat="1" ht="30" x14ac:dyDescent="0.25">
      <c r="B852" s="605" t="s">
        <v>2554</v>
      </c>
      <c r="C852" s="606">
        <f t="shared" si="26"/>
        <v>333415</v>
      </c>
      <c r="D852" s="607" t="s">
        <v>2555</v>
      </c>
      <c r="E852" s="607" t="s">
        <v>2369</v>
      </c>
      <c r="F852" s="607" t="s">
        <v>2370</v>
      </c>
      <c r="G852" s="607" t="s">
        <v>1019</v>
      </c>
      <c r="H852" s="607" t="s">
        <v>1019</v>
      </c>
      <c r="I852" s="607" t="s">
        <v>2476</v>
      </c>
      <c r="J852" s="608" t="str">
        <f t="shared" si="27"/>
        <v>Machinery</v>
      </c>
      <c r="N852" s="822">
        <v>331512</v>
      </c>
      <c r="O852" s="822" t="s">
        <v>2287</v>
      </c>
      <c r="P852" s="823">
        <v>3324</v>
      </c>
      <c r="Q852" s="823" t="s">
        <v>2287</v>
      </c>
    </row>
    <row r="853" spans="2:17" s="608" customFormat="1" ht="30" x14ac:dyDescent="0.25">
      <c r="B853" s="605" t="s">
        <v>2554</v>
      </c>
      <c r="C853" s="606">
        <f t="shared" si="26"/>
        <v>333415</v>
      </c>
      <c r="D853" s="607" t="s">
        <v>2555</v>
      </c>
      <c r="E853" s="607" t="s">
        <v>2556</v>
      </c>
      <c r="F853" s="607" t="s">
        <v>2557</v>
      </c>
      <c r="G853" s="607" t="s">
        <v>1019</v>
      </c>
      <c r="H853" s="607" t="s">
        <v>1019</v>
      </c>
      <c r="I853" s="607" t="s">
        <v>2476</v>
      </c>
      <c r="J853" s="608" t="str">
        <f t="shared" si="27"/>
        <v>Machinery</v>
      </c>
      <c r="N853" s="822">
        <v>331513</v>
      </c>
      <c r="O853" s="822" t="s">
        <v>2290</v>
      </c>
      <c r="P853" s="823">
        <v>3325</v>
      </c>
      <c r="Q853" s="823" t="s">
        <v>2292</v>
      </c>
    </row>
    <row r="854" spans="2:17" s="608" customFormat="1" ht="30" x14ac:dyDescent="0.25">
      <c r="B854" s="605" t="s">
        <v>2554</v>
      </c>
      <c r="C854" s="606">
        <f t="shared" si="26"/>
        <v>333415</v>
      </c>
      <c r="D854" s="607" t="s">
        <v>2555</v>
      </c>
      <c r="E854" s="607" t="s">
        <v>2519</v>
      </c>
      <c r="F854" s="607" t="s">
        <v>2520</v>
      </c>
      <c r="G854" s="609" t="s">
        <v>1019</v>
      </c>
      <c r="H854" s="607" t="s">
        <v>1019</v>
      </c>
      <c r="I854" s="607" t="s">
        <v>2476</v>
      </c>
      <c r="J854" s="608" t="str">
        <f t="shared" si="27"/>
        <v>Machinery</v>
      </c>
      <c r="N854" s="823">
        <v>331521</v>
      </c>
      <c r="O854" s="823" t="s">
        <v>5931</v>
      </c>
      <c r="P854" s="823"/>
      <c r="Q854" s="823" t="s">
        <v>958</v>
      </c>
    </row>
    <row r="855" spans="2:17" s="608" customFormat="1" ht="30" x14ac:dyDescent="0.25">
      <c r="B855" s="605" t="s">
        <v>2554</v>
      </c>
      <c r="C855" s="606">
        <f t="shared" si="26"/>
        <v>333415</v>
      </c>
      <c r="D855" s="607" t="s">
        <v>2555</v>
      </c>
      <c r="E855" s="607" t="s">
        <v>2464</v>
      </c>
      <c r="F855" s="607" t="s">
        <v>2465</v>
      </c>
      <c r="G855" s="609" t="s">
        <v>1019</v>
      </c>
      <c r="H855" s="607" t="s">
        <v>1019</v>
      </c>
      <c r="I855" s="607" t="s">
        <v>2476</v>
      </c>
      <c r="J855" s="608" t="str">
        <f t="shared" si="27"/>
        <v>Machinery</v>
      </c>
      <c r="N855" s="823">
        <v>331522</v>
      </c>
      <c r="O855" s="823" t="s">
        <v>5932</v>
      </c>
      <c r="P855" s="823"/>
      <c r="Q855" s="823" t="s">
        <v>958</v>
      </c>
    </row>
    <row r="856" spans="2:17" s="608" customFormat="1" x14ac:dyDescent="0.25">
      <c r="B856" s="605" t="s">
        <v>2558</v>
      </c>
      <c r="C856" s="606">
        <f t="shared" si="26"/>
        <v>333511</v>
      </c>
      <c r="D856" s="607" t="s">
        <v>2559</v>
      </c>
      <c r="E856" s="607" t="s">
        <v>2560</v>
      </c>
      <c r="F856" s="607" t="s">
        <v>2561</v>
      </c>
      <c r="G856" s="607" t="s">
        <v>1019</v>
      </c>
      <c r="H856" s="607" t="s">
        <v>1019</v>
      </c>
      <c r="I856" s="607" t="s">
        <v>2476</v>
      </c>
      <c r="J856" s="608" t="str">
        <f t="shared" si="27"/>
        <v>Machinery</v>
      </c>
      <c r="N856" s="822">
        <v>331523</v>
      </c>
      <c r="O856" s="822" t="s">
        <v>2294</v>
      </c>
      <c r="P856" s="823">
        <v>3363</v>
      </c>
      <c r="Q856" s="823" t="s">
        <v>2296</v>
      </c>
    </row>
    <row r="857" spans="2:17" s="608" customFormat="1" x14ac:dyDescent="0.25">
      <c r="B857" s="605" t="s">
        <v>2562</v>
      </c>
      <c r="C857" s="606">
        <f t="shared" si="26"/>
        <v>333514</v>
      </c>
      <c r="D857" s="607" t="s">
        <v>2563</v>
      </c>
      <c r="E857" s="607" t="s">
        <v>2560</v>
      </c>
      <c r="F857" s="607" t="s">
        <v>2561</v>
      </c>
      <c r="G857" s="607" t="s">
        <v>1019</v>
      </c>
      <c r="H857" s="607" t="s">
        <v>1019</v>
      </c>
      <c r="I857" s="607" t="s">
        <v>2476</v>
      </c>
      <c r="J857" s="608" t="str">
        <f t="shared" si="27"/>
        <v>Machinery</v>
      </c>
      <c r="N857" s="822">
        <v>331523</v>
      </c>
      <c r="O857" s="822" t="s">
        <v>2294</v>
      </c>
      <c r="P857" s="823">
        <v>3364</v>
      </c>
      <c r="Q857" s="823" t="s">
        <v>2298</v>
      </c>
    </row>
    <row r="858" spans="2:17" s="608" customFormat="1" x14ac:dyDescent="0.25">
      <c r="B858" s="605" t="s">
        <v>2564</v>
      </c>
      <c r="C858" s="606">
        <f t="shared" si="26"/>
        <v>333515</v>
      </c>
      <c r="D858" s="607" t="s">
        <v>2565</v>
      </c>
      <c r="E858" s="607" t="s">
        <v>2349</v>
      </c>
      <c r="F858" s="607" t="s">
        <v>2350</v>
      </c>
      <c r="G858" s="607" t="s">
        <v>1019</v>
      </c>
      <c r="H858" s="607" t="s">
        <v>1019</v>
      </c>
      <c r="I858" s="607" t="s">
        <v>2476</v>
      </c>
      <c r="J858" s="608" t="str">
        <f t="shared" si="27"/>
        <v>Machinery</v>
      </c>
      <c r="N858" s="822">
        <v>331524</v>
      </c>
      <c r="O858" s="822" t="s">
        <v>2300</v>
      </c>
      <c r="P858" s="823">
        <v>3365</v>
      </c>
      <c r="Q858" s="823" t="s">
        <v>2302</v>
      </c>
    </row>
    <row r="859" spans="2:17" s="608" customFormat="1" ht="18" x14ac:dyDescent="0.3">
      <c r="B859" s="605" t="s">
        <v>2566</v>
      </c>
      <c r="C859" s="606">
        <f t="shared" si="26"/>
        <v>333517</v>
      </c>
      <c r="D859" s="607" t="s">
        <v>2567</v>
      </c>
      <c r="E859" s="607" t="s">
        <v>2568</v>
      </c>
      <c r="F859" s="607" t="s">
        <v>2569</v>
      </c>
      <c r="G859" s="607" t="s">
        <v>1019</v>
      </c>
      <c r="H859" s="607" t="s">
        <v>1019</v>
      </c>
      <c r="I859" s="607" t="s">
        <v>2476</v>
      </c>
      <c r="J859" s="608" t="str">
        <f t="shared" si="27"/>
        <v>Machinery</v>
      </c>
      <c r="N859" s="822">
        <v>331525</v>
      </c>
      <c r="O859" s="824" t="s">
        <v>2304</v>
      </c>
      <c r="P859" s="823"/>
      <c r="Q859" s="823" t="s">
        <v>958</v>
      </c>
    </row>
    <row r="860" spans="2:17" s="608" customFormat="1" ht="18" x14ac:dyDescent="0.3">
      <c r="B860" s="605" t="s">
        <v>2566</v>
      </c>
      <c r="C860" s="606">
        <f t="shared" si="26"/>
        <v>333517</v>
      </c>
      <c r="D860" s="607" t="s">
        <v>2567</v>
      </c>
      <c r="E860" s="607" t="s">
        <v>2570</v>
      </c>
      <c r="F860" s="607" t="s">
        <v>2571</v>
      </c>
      <c r="G860" s="607" t="s">
        <v>1019</v>
      </c>
      <c r="H860" s="607" t="s">
        <v>1019</v>
      </c>
      <c r="I860" s="607" t="s">
        <v>2476</v>
      </c>
      <c r="J860" s="608" t="str">
        <f t="shared" si="27"/>
        <v>Machinery</v>
      </c>
      <c r="N860" s="822">
        <v>331528</v>
      </c>
      <c r="O860" s="824" t="s">
        <v>2304</v>
      </c>
      <c r="P860" s="823"/>
      <c r="Q860" s="823" t="s">
        <v>958</v>
      </c>
    </row>
    <row r="861" spans="2:17" s="608" customFormat="1" x14ac:dyDescent="0.25">
      <c r="B861" s="605" t="s">
        <v>2572</v>
      </c>
      <c r="C861" s="606">
        <f t="shared" si="26"/>
        <v>333519</v>
      </c>
      <c r="D861" s="607" t="s">
        <v>2573</v>
      </c>
      <c r="E861" s="607" t="s">
        <v>2574</v>
      </c>
      <c r="F861" s="607" t="s">
        <v>2575</v>
      </c>
      <c r="G861" s="607" t="s">
        <v>1019</v>
      </c>
      <c r="H861" s="607" t="s">
        <v>1019</v>
      </c>
      <c r="I861" s="607" t="s">
        <v>2476</v>
      </c>
      <c r="J861" s="608" t="str">
        <f t="shared" si="27"/>
        <v>Machinery</v>
      </c>
      <c r="N861" s="822">
        <v>331529</v>
      </c>
      <c r="O861" s="822" t="s">
        <v>2304</v>
      </c>
      <c r="P861" s="823">
        <v>3366</v>
      </c>
      <c r="Q861" s="823" t="s">
        <v>2306</v>
      </c>
    </row>
    <row r="862" spans="2:17" s="608" customFormat="1" x14ac:dyDescent="0.25">
      <c r="B862" s="605" t="s">
        <v>2572</v>
      </c>
      <c r="C862" s="606">
        <f t="shared" si="26"/>
        <v>333519</v>
      </c>
      <c r="D862" s="607" t="s">
        <v>2573</v>
      </c>
      <c r="E862" s="607" t="s">
        <v>2576</v>
      </c>
      <c r="F862" s="607" t="s">
        <v>2577</v>
      </c>
      <c r="G862" s="607" t="s">
        <v>1019</v>
      </c>
      <c r="H862" s="607" t="s">
        <v>1019</v>
      </c>
      <c r="I862" s="607" t="s">
        <v>2476</v>
      </c>
      <c r="J862" s="608" t="str">
        <f t="shared" si="27"/>
        <v>Machinery</v>
      </c>
      <c r="N862" s="822">
        <v>331529</v>
      </c>
      <c r="O862" s="822" t="s">
        <v>2304</v>
      </c>
      <c r="P862" s="823">
        <v>3369</v>
      </c>
      <c r="Q862" s="823" t="s">
        <v>2308</v>
      </c>
    </row>
    <row r="863" spans="2:17" s="608" customFormat="1" ht="18" x14ac:dyDescent="0.3">
      <c r="B863" s="605" t="s">
        <v>2578</v>
      </c>
      <c r="C863" s="606">
        <f t="shared" si="26"/>
        <v>333611</v>
      </c>
      <c r="D863" s="607" t="s">
        <v>2579</v>
      </c>
      <c r="E863" s="607" t="s">
        <v>2580</v>
      </c>
      <c r="F863" s="607" t="s">
        <v>2581</v>
      </c>
      <c r="G863" s="607" t="s">
        <v>1019</v>
      </c>
      <c r="H863" s="607" t="s">
        <v>1019</v>
      </c>
      <c r="I863" s="607" t="s">
        <v>2476</v>
      </c>
      <c r="J863" s="608" t="str">
        <f t="shared" si="27"/>
        <v>Machinery</v>
      </c>
      <c r="N863" s="822">
        <v>332110</v>
      </c>
      <c r="O863" s="824" t="s">
        <v>5933</v>
      </c>
      <c r="P863" s="823"/>
      <c r="Q863" s="823" t="s">
        <v>958</v>
      </c>
    </row>
    <row r="864" spans="2:17" s="608" customFormat="1" x14ac:dyDescent="0.25">
      <c r="B864" s="605" t="s">
        <v>2582</v>
      </c>
      <c r="C864" s="606">
        <f t="shared" si="26"/>
        <v>333612</v>
      </c>
      <c r="D864" s="607" t="s">
        <v>2583</v>
      </c>
      <c r="E864" s="607" t="s">
        <v>2584</v>
      </c>
      <c r="F864" s="607" t="s">
        <v>2585</v>
      </c>
      <c r="G864" s="607" t="s">
        <v>1019</v>
      </c>
      <c r="H864" s="607" t="s">
        <v>1019</v>
      </c>
      <c r="I864" s="607" t="s">
        <v>2476</v>
      </c>
      <c r="J864" s="608" t="str">
        <f t="shared" si="27"/>
        <v>Machinery</v>
      </c>
      <c r="N864" s="822">
        <v>332111</v>
      </c>
      <c r="O864" s="822" t="s">
        <v>2310</v>
      </c>
      <c r="P864" s="823">
        <v>3462</v>
      </c>
      <c r="Q864" s="823" t="s">
        <v>2312</v>
      </c>
    </row>
    <row r="865" spans="2:17" s="608" customFormat="1" x14ac:dyDescent="0.25">
      <c r="B865" s="605" t="s">
        <v>2586</v>
      </c>
      <c r="C865" s="606">
        <f t="shared" si="26"/>
        <v>333613</v>
      </c>
      <c r="D865" s="607" t="s">
        <v>2587</v>
      </c>
      <c r="E865" s="607" t="s">
        <v>2588</v>
      </c>
      <c r="F865" s="607" t="s">
        <v>2589</v>
      </c>
      <c r="G865" s="607" t="s">
        <v>1019</v>
      </c>
      <c r="H865" s="607" t="s">
        <v>1019</v>
      </c>
      <c r="I865" s="607" t="s">
        <v>2476</v>
      </c>
      <c r="J865" s="608" t="str">
        <f t="shared" si="27"/>
        <v>Machinery</v>
      </c>
      <c r="N865" s="822">
        <v>332112</v>
      </c>
      <c r="O865" s="822" t="s">
        <v>2314</v>
      </c>
      <c r="P865" s="823">
        <v>3463</v>
      </c>
      <c r="Q865" s="823" t="s">
        <v>2316</v>
      </c>
    </row>
    <row r="866" spans="2:17" s="608" customFormat="1" x14ac:dyDescent="0.25">
      <c r="B866" s="605" t="s">
        <v>2590</v>
      </c>
      <c r="C866" s="606">
        <f t="shared" si="26"/>
        <v>333618</v>
      </c>
      <c r="D866" s="607" t="s">
        <v>2591</v>
      </c>
      <c r="E866" s="607" t="s">
        <v>2592</v>
      </c>
      <c r="F866" s="607" t="s">
        <v>2593</v>
      </c>
      <c r="G866" s="607" t="s">
        <v>1019</v>
      </c>
      <c r="H866" s="607" t="s">
        <v>1019</v>
      </c>
      <c r="I866" s="607" t="s">
        <v>2476</v>
      </c>
      <c r="J866" s="608" t="str">
        <f t="shared" si="27"/>
        <v>Machinery</v>
      </c>
      <c r="N866" s="822">
        <v>332114</v>
      </c>
      <c r="O866" s="822" t="s">
        <v>2318</v>
      </c>
      <c r="P866" s="823">
        <v>3449</v>
      </c>
      <c r="Q866" s="823" t="s">
        <v>2320</v>
      </c>
    </row>
    <row r="867" spans="2:17" s="608" customFormat="1" x14ac:dyDescent="0.25">
      <c r="B867" s="605" t="s">
        <v>2590</v>
      </c>
      <c r="C867" s="606">
        <f t="shared" si="26"/>
        <v>333618</v>
      </c>
      <c r="D867" s="607" t="s">
        <v>2591</v>
      </c>
      <c r="E867" s="607" t="s">
        <v>2542</v>
      </c>
      <c r="F867" s="607" t="s">
        <v>2543</v>
      </c>
      <c r="G867" s="607" t="s">
        <v>1019</v>
      </c>
      <c r="H867" s="607" t="s">
        <v>1019</v>
      </c>
      <c r="I867" s="607" t="s">
        <v>2476</v>
      </c>
      <c r="J867" s="608" t="str">
        <f t="shared" si="27"/>
        <v>Machinery</v>
      </c>
      <c r="N867" s="823">
        <v>332115</v>
      </c>
      <c r="O867" s="823" t="s">
        <v>5934</v>
      </c>
      <c r="P867" s="823"/>
      <c r="Q867" s="823" t="s">
        <v>958</v>
      </c>
    </row>
    <row r="868" spans="2:17" s="608" customFormat="1" x14ac:dyDescent="0.25">
      <c r="B868" s="605" t="s">
        <v>2594</v>
      </c>
      <c r="C868" s="606">
        <f t="shared" si="26"/>
        <v>333912</v>
      </c>
      <c r="D868" s="607" t="s">
        <v>2595</v>
      </c>
      <c r="E868" s="607" t="s">
        <v>2596</v>
      </c>
      <c r="F868" s="607" t="s">
        <v>2597</v>
      </c>
      <c r="G868" s="607" t="s">
        <v>1019</v>
      </c>
      <c r="H868" s="607" t="s">
        <v>1019</v>
      </c>
      <c r="I868" s="607" t="s">
        <v>2476</v>
      </c>
      <c r="J868" s="608" t="str">
        <f t="shared" si="27"/>
        <v>Machinery</v>
      </c>
      <c r="N868" s="823">
        <v>332116</v>
      </c>
      <c r="O868" s="823" t="s">
        <v>5935</v>
      </c>
      <c r="P868" s="823"/>
      <c r="Q868" s="823" t="s">
        <v>958</v>
      </c>
    </row>
    <row r="869" spans="2:17" s="608" customFormat="1" x14ac:dyDescent="0.25">
      <c r="B869" s="605" t="s">
        <v>2598</v>
      </c>
      <c r="C869" s="606">
        <f t="shared" si="26"/>
        <v>333914</v>
      </c>
      <c r="D869" s="607" t="s">
        <v>2599</v>
      </c>
      <c r="E869" s="607" t="s">
        <v>2600</v>
      </c>
      <c r="F869" s="607" t="s">
        <v>2601</v>
      </c>
      <c r="G869" s="607" t="s">
        <v>1019</v>
      </c>
      <c r="H869" s="607" t="s">
        <v>1019</v>
      </c>
      <c r="I869" s="607" t="s">
        <v>2476</v>
      </c>
      <c r="J869" s="608" t="str">
        <f t="shared" si="27"/>
        <v>Machinery</v>
      </c>
      <c r="N869" s="822">
        <v>332117</v>
      </c>
      <c r="O869" s="822" t="s">
        <v>2322</v>
      </c>
      <c r="P869" s="823">
        <v>3499</v>
      </c>
      <c r="Q869" s="823" t="s">
        <v>2324</v>
      </c>
    </row>
    <row r="870" spans="2:17" s="608" customFormat="1" x14ac:dyDescent="0.25">
      <c r="B870" s="605" t="s">
        <v>2598</v>
      </c>
      <c r="C870" s="606">
        <f t="shared" si="26"/>
        <v>333914</v>
      </c>
      <c r="D870" s="607" t="s">
        <v>2599</v>
      </c>
      <c r="E870" s="607" t="s">
        <v>2602</v>
      </c>
      <c r="F870" s="607" t="s">
        <v>2603</v>
      </c>
      <c r="G870" s="607" t="s">
        <v>1019</v>
      </c>
      <c r="H870" s="607" t="s">
        <v>1019</v>
      </c>
      <c r="I870" s="607" t="s">
        <v>2476</v>
      </c>
      <c r="J870" s="608" t="str">
        <f t="shared" si="27"/>
        <v>Machinery</v>
      </c>
      <c r="N870" s="822">
        <v>332119</v>
      </c>
      <c r="O870" s="822" t="s">
        <v>2326</v>
      </c>
      <c r="P870" s="823">
        <v>3466</v>
      </c>
      <c r="Q870" s="823" t="s">
        <v>2328</v>
      </c>
    </row>
    <row r="871" spans="2:17" s="608" customFormat="1" x14ac:dyDescent="0.25">
      <c r="B871" s="605" t="s">
        <v>2598</v>
      </c>
      <c r="C871" s="606">
        <f t="shared" si="26"/>
        <v>333914</v>
      </c>
      <c r="D871" s="607" t="s">
        <v>2599</v>
      </c>
      <c r="E871" s="607" t="s">
        <v>2604</v>
      </c>
      <c r="F871" s="607" t="s">
        <v>2605</v>
      </c>
      <c r="G871" s="607" t="s">
        <v>1019</v>
      </c>
      <c r="H871" s="607" t="s">
        <v>1019</v>
      </c>
      <c r="I871" s="607" t="s">
        <v>2606</v>
      </c>
      <c r="J871" s="608" t="str">
        <f t="shared" si="27"/>
        <v>Railroads</v>
      </c>
      <c r="N871" s="822">
        <v>332119</v>
      </c>
      <c r="O871" s="822" t="s">
        <v>2326</v>
      </c>
      <c r="P871" s="823">
        <v>3469</v>
      </c>
      <c r="Q871" s="823" t="s">
        <v>2330</v>
      </c>
    </row>
    <row r="872" spans="2:17" s="608" customFormat="1" x14ac:dyDescent="0.25">
      <c r="B872" s="605" t="s">
        <v>2607</v>
      </c>
      <c r="C872" s="606">
        <f t="shared" si="26"/>
        <v>333921</v>
      </c>
      <c r="D872" s="607" t="s">
        <v>2608</v>
      </c>
      <c r="E872" s="607" t="s">
        <v>2609</v>
      </c>
      <c r="F872" s="607" t="s">
        <v>2610</v>
      </c>
      <c r="G872" s="607" t="s">
        <v>1019</v>
      </c>
      <c r="H872" s="607" t="s">
        <v>1019</v>
      </c>
      <c r="I872" s="607" t="s">
        <v>2476</v>
      </c>
      <c r="J872" s="608" t="str">
        <f t="shared" si="27"/>
        <v>Machinery</v>
      </c>
      <c r="N872" s="822">
        <v>332211</v>
      </c>
      <c r="O872" s="822" t="s">
        <v>2310</v>
      </c>
      <c r="P872" s="823"/>
      <c r="Q872" s="823" t="s">
        <v>958</v>
      </c>
    </row>
    <row r="873" spans="2:17" s="608" customFormat="1" x14ac:dyDescent="0.25">
      <c r="B873" s="605" t="s">
        <v>2611</v>
      </c>
      <c r="C873" s="606">
        <f t="shared" si="26"/>
        <v>333922</v>
      </c>
      <c r="D873" s="607" t="s">
        <v>2612</v>
      </c>
      <c r="E873" s="607" t="s">
        <v>2345</v>
      </c>
      <c r="F873" s="607" t="s">
        <v>2346</v>
      </c>
      <c r="G873" s="607" t="s">
        <v>1019</v>
      </c>
      <c r="H873" s="607" t="s">
        <v>1019</v>
      </c>
      <c r="I873" s="607" t="s">
        <v>2476</v>
      </c>
      <c r="J873" s="608" t="str">
        <f t="shared" si="27"/>
        <v>Machinery</v>
      </c>
      <c r="N873" s="823">
        <v>332212</v>
      </c>
      <c r="O873" s="823" t="s">
        <v>5936</v>
      </c>
      <c r="P873" s="823"/>
      <c r="Q873" s="823" t="s">
        <v>958</v>
      </c>
    </row>
    <row r="874" spans="2:17" s="608" customFormat="1" x14ac:dyDescent="0.25">
      <c r="B874" s="605" t="s">
        <v>2611</v>
      </c>
      <c r="C874" s="606">
        <f t="shared" si="26"/>
        <v>333922</v>
      </c>
      <c r="D874" s="607" t="s">
        <v>2612</v>
      </c>
      <c r="E874" s="607" t="s">
        <v>2613</v>
      </c>
      <c r="F874" s="607" t="s">
        <v>2614</v>
      </c>
      <c r="G874" s="607" t="s">
        <v>1019</v>
      </c>
      <c r="H874" s="607" t="s">
        <v>1019</v>
      </c>
      <c r="I874" s="607" t="s">
        <v>2476</v>
      </c>
      <c r="J874" s="608" t="str">
        <f t="shared" si="27"/>
        <v>Machinery</v>
      </c>
      <c r="N874" s="823">
        <v>332213</v>
      </c>
      <c r="O874" s="823" t="s">
        <v>5937</v>
      </c>
      <c r="P874" s="823"/>
      <c r="Q874" s="823" t="s">
        <v>958</v>
      </c>
    </row>
    <row r="875" spans="2:17" s="608" customFormat="1" x14ac:dyDescent="0.25">
      <c r="B875" s="605" t="s">
        <v>2615</v>
      </c>
      <c r="C875" s="606">
        <f t="shared" si="26"/>
        <v>333923</v>
      </c>
      <c r="D875" s="607" t="s">
        <v>2616</v>
      </c>
      <c r="E875" s="607" t="s">
        <v>2391</v>
      </c>
      <c r="F875" s="607" t="s">
        <v>2392</v>
      </c>
      <c r="G875" s="607" t="s">
        <v>1100</v>
      </c>
      <c r="H875" s="607" t="s">
        <v>1100</v>
      </c>
      <c r="I875" s="607" t="s">
        <v>1101</v>
      </c>
      <c r="J875" s="608" t="str">
        <f t="shared" si="27"/>
        <v>Metals And Mining</v>
      </c>
      <c r="N875" s="823">
        <v>332214</v>
      </c>
      <c r="O875" s="823" t="s">
        <v>5938</v>
      </c>
      <c r="P875" s="823"/>
      <c r="Q875" s="823" t="s">
        <v>958</v>
      </c>
    </row>
    <row r="876" spans="2:17" s="608" customFormat="1" x14ac:dyDescent="0.25">
      <c r="B876" s="605" t="s">
        <v>2615</v>
      </c>
      <c r="C876" s="606">
        <f t="shared" si="26"/>
        <v>333923</v>
      </c>
      <c r="D876" s="607" t="s">
        <v>2616</v>
      </c>
      <c r="E876" s="607" t="s">
        <v>2483</v>
      </c>
      <c r="F876" s="607" t="s">
        <v>2484</v>
      </c>
      <c r="G876" s="607" t="s">
        <v>1019</v>
      </c>
      <c r="H876" s="607" t="s">
        <v>1019</v>
      </c>
      <c r="I876" s="607" t="s">
        <v>2476</v>
      </c>
      <c r="J876" s="608" t="str">
        <f t="shared" si="27"/>
        <v>Machinery</v>
      </c>
      <c r="N876" s="822">
        <v>332215</v>
      </c>
      <c r="O876" s="822" t="s">
        <v>2332</v>
      </c>
      <c r="P876" s="823">
        <v>3421</v>
      </c>
      <c r="Q876" s="823" t="s">
        <v>2334</v>
      </c>
    </row>
    <row r="877" spans="2:17" s="608" customFormat="1" x14ac:dyDescent="0.25">
      <c r="B877" s="605" t="s">
        <v>2615</v>
      </c>
      <c r="C877" s="606">
        <f t="shared" si="26"/>
        <v>333923</v>
      </c>
      <c r="D877" s="607" t="s">
        <v>2616</v>
      </c>
      <c r="E877" s="607" t="s">
        <v>2617</v>
      </c>
      <c r="F877" s="607" t="s">
        <v>2618</v>
      </c>
      <c r="G877" s="607" t="s">
        <v>1019</v>
      </c>
      <c r="H877" s="607" t="s">
        <v>1019</v>
      </c>
      <c r="I877" s="607" t="s">
        <v>2476</v>
      </c>
      <c r="J877" s="608" t="str">
        <f t="shared" si="27"/>
        <v>Machinery</v>
      </c>
      <c r="N877" s="822">
        <v>332215</v>
      </c>
      <c r="O877" s="822" t="s">
        <v>2332</v>
      </c>
      <c r="P877" s="823">
        <v>3469</v>
      </c>
      <c r="Q877" s="823" t="s">
        <v>2330</v>
      </c>
    </row>
    <row r="878" spans="2:17" s="608" customFormat="1" x14ac:dyDescent="0.25">
      <c r="B878" s="605" t="s">
        <v>2619</v>
      </c>
      <c r="C878" s="606">
        <f t="shared" si="26"/>
        <v>333924</v>
      </c>
      <c r="D878" s="607" t="s">
        <v>2620</v>
      </c>
      <c r="E878" s="607" t="s">
        <v>2335</v>
      </c>
      <c r="F878" s="607" t="s">
        <v>2336</v>
      </c>
      <c r="G878" s="607" t="s">
        <v>1100</v>
      </c>
      <c r="H878" s="607" t="s">
        <v>1100</v>
      </c>
      <c r="I878" s="607" t="s">
        <v>1101</v>
      </c>
      <c r="J878" s="608" t="str">
        <f t="shared" si="27"/>
        <v>Metals And Mining</v>
      </c>
      <c r="N878" s="822">
        <v>332215</v>
      </c>
      <c r="O878" s="822" t="s">
        <v>2332</v>
      </c>
      <c r="P878" s="823">
        <v>3496</v>
      </c>
      <c r="Q878" s="823" t="s">
        <v>2336</v>
      </c>
    </row>
    <row r="879" spans="2:17" s="608" customFormat="1" x14ac:dyDescent="0.25">
      <c r="B879" s="605" t="s">
        <v>2619</v>
      </c>
      <c r="C879" s="606">
        <f t="shared" si="26"/>
        <v>333924</v>
      </c>
      <c r="D879" s="607" t="s">
        <v>2620</v>
      </c>
      <c r="E879" s="607" t="s">
        <v>2393</v>
      </c>
      <c r="F879" s="607" t="s">
        <v>2394</v>
      </c>
      <c r="G879" s="607" t="s">
        <v>1019</v>
      </c>
      <c r="H879" s="607" t="s">
        <v>1019</v>
      </c>
      <c r="I879" s="607" t="s">
        <v>2476</v>
      </c>
      <c r="J879" s="608" t="str">
        <f t="shared" si="27"/>
        <v>Machinery</v>
      </c>
      <c r="N879" s="822">
        <v>332215</v>
      </c>
      <c r="O879" s="822" t="s">
        <v>2332</v>
      </c>
      <c r="P879" s="823">
        <v>3914</v>
      </c>
      <c r="Q879" s="823" t="s">
        <v>2338</v>
      </c>
    </row>
    <row r="880" spans="2:17" s="608" customFormat="1" x14ac:dyDescent="0.25">
      <c r="B880" s="605" t="s">
        <v>2619</v>
      </c>
      <c r="C880" s="606">
        <f t="shared" si="26"/>
        <v>333924</v>
      </c>
      <c r="D880" s="607" t="s">
        <v>2620</v>
      </c>
      <c r="E880" s="607" t="s">
        <v>2621</v>
      </c>
      <c r="F880" s="607" t="s">
        <v>2622</v>
      </c>
      <c r="G880" s="609" t="s">
        <v>1019</v>
      </c>
      <c r="H880" s="607" t="s">
        <v>1019</v>
      </c>
      <c r="I880" s="607" t="s">
        <v>2476</v>
      </c>
      <c r="J880" s="608" t="str">
        <f t="shared" si="27"/>
        <v>Machinery</v>
      </c>
      <c r="N880" s="822">
        <v>332215</v>
      </c>
      <c r="O880" s="822" t="s">
        <v>2332</v>
      </c>
      <c r="P880" s="823">
        <v>3999</v>
      </c>
      <c r="Q880" s="823" t="s">
        <v>1757</v>
      </c>
    </row>
    <row r="881" spans="2:17" s="608" customFormat="1" x14ac:dyDescent="0.25">
      <c r="B881" s="605" t="s">
        <v>2623</v>
      </c>
      <c r="C881" s="606">
        <f t="shared" si="26"/>
        <v>333991</v>
      </c>
      <c r="D881" s="607" t="s">
        <v>2624</v>
      </c>
      <c r="E881" s="607" t="s">
        <v>2625</v>
      </c>
      <c r="F881" s="607" t="s">
        <v>2626</v>
      </c>
      <c r="G881" s="607" t="s">
        <v>1019</v>
      </c>
      <c r="H881" s="607" t="s">
        <v>1019</v>
      </c>
      <c r="I881" s="607" t="s">
        <v>2476</v>
      </c>
      <c r="J881" s="608" t="str">
        <f t="shared" si="27"/>
        <v>Machinery</v>
      </c>
      <c r="N881" s="822">
        <v>332216</v>
      </c>
      <c r="O881" s="822" t="s">
        <v>2340</v>
      </c>
      <c r="P881" s="823">
        <v>3421</v>
      </c>
      <c r="Q881" s="823" t="s">
        <v>2334</v>
      </c>
    </row>
    <row r="882" spans="2:17" s="608" customFormat="1" x14ac:dyDescent="0.25">
      <c r="B882" s="605" t="s">
        <v>2627</v>
      </c>
      <c r="C882" s="606">
        <f t="shared" si="26"/>
        <v>333992</v>
      </c>
      <c r="D882" s="607" t="s">
        <v>2628</v>
      </c>
      <c r="E882" s="607" t="s">
        <v>2629</v>
      </c>
      <c r="F882" s="607" t="s">
        <v>2630</v>
      </c>
      <c r="G882" s="607" t="s">
        <v>1019</v>
      </c>
      <c r="H882" s="607" t="s">
        <v>1019</v>
      </c>
      <c r="I882" s="607" t="s">
        <v>2476</v>
      </c>
      <c r="J882" s="608" t="str">
        <f t="shared" si="27"/>
        <v>Machinery</v>
      </c>
      <c r="N882" s="822">
        <v>332216</v>
      </c>
      <c r="O882" s="822" t="s">
        <v>2340</v>
      </c>
      <c r="P882" s="823">
        <v>3423</v>
      </c>
      <c r="Q882" s="823" t="s">
        <v>2342</v>
      </c>
    </row>
    <row r="883" spans="2:17" s="608" customFormat="1" x14ac:dyDescent="0.25">
      <c r="B883" s="605" t="s">
        <v>2627</v>
      </c>
      <c r="C883" s="606">
        <f t="shared" si="26"/>
        <v>333992</v>
      </c>
      <c r="D883" s="607" t="s">
        <v>2628</v>
      </c>
      <c r="E883" s="607" t="s">
        <v>2542</v>
      </c>
      <c r="F883" s="607" t="s">
        <v>2543</v>
      </c>
      <c r="G883" s="607" t="s">
        <v>1019</v>
      </c>
      <c r="H883" s="607" t="s">
        <v>1019</v>
      </c>
      <c r="I883" s="607" t="s">
        <v>2476</v>
      </c>
      <c r="J883" s="608" t="str">
        <f t="shared" si="27"/>
        <v>Machinery</v>
      </c>
      <c r="N883" s="822">
        <v>332216</v>
      </c>
      <c r="O883" s="822" t="s">
        <v>2340</v>
      </c>
      <c r="P883" s="823">
        <v>3425</v>
      </c>
      <c r="Q883" s="823" t="s">
        <v>2344</v>
      </c>
    </row>
    <row r="884" spans="2:17" s="608" customFormat="1" x14ac:dyDescent="0.25">
      <c r="B884" s="605" t="s">
        <v>2631</v>
      </c>
      <c r="C884" s="606">
        <f t="shared" si="26"/>
        <v>333993</v>
      </c>
      <c r="D884" s="607" t="s">
        <v>2632</v>
      </c>
      <c r="E884" s="607" t="s">
        <v>2633</v>
      </c>
      <c r="F884" s="607" t="s">
        <v>2634</v>
      </c>
      <c r="G884" s="607" t="s">
        <v>1019</v>
      </c>
      <c r="H884" s="607" t="s">
        <v>1019</v>
      </c>
      <c r="I884" s="607" t="s">
        <v>2476</v>
      </c>
      <c r="J884" s="608" t="str">
        <f t="shared" si="27"/>
        <v>Machinery</v>
      </c>
      <c r="N884" s="822">
        <v>332216</v>
      </c>
      <c r="O884" s="822" t="s">
        <v>2340</v>
      </c>
      <c r="P884" s="823">
        <v>3523</v>
      </c>
      <c r="Q884" s="823" t="s">
        <v>2346</v>
      </c>
    </row>
    <row r="885" spans="2:17" s="608" customFormat="1" x14ac:dyDescent="0.25">
      <c r="B885" s="605" t="s">
        <v>2635</v>
      </c>
      <c r="C885" s="606">
        <f t="shared" si="26"/>
        <v>333994</v>
      </c>
      <c r="D885" s="607" t="s">
        <v>2636</v>
      </c>
      <c r="E885" s="607" t="s">
        <v>2513</v>
      </c>
      <c r="F885" s="607" t="s">
        <v>2514</v>
      </c>
      <c r="G885" s="609" t="s">
        <v>1594</v>
      </c>
      <c r="H885" s="609" t="s">
        <v>1594</v>
      </c>
      <c r="I885" s="609" t="s">
        <v>1595</v>
      </c>
      <c r="J885" s="608" t="str">
        <f t="shared" si="27"/>
        <v>Home Furnishings</v>
      </c>
      <c r="N885" s="822">
        <v>332216</v>
      </c>
      <c r="O885" s="822" t="s">
        <v>2340</v>
      </c>
      <c r="P885" s="823">
        <v>3524</v>
      </c>
      <c r="Q885" s="823" t="s">
        <v>2348</v>
      </c>
    </row>
    <row r="886" spans="2:17" s="608" customFormat="1" x14ac:dyDescent="0.25">
      <c r="B886" s="605" t="s">
        <v>2635</v>
      </c>
      <c r="C886" s="606">
        <f t="shared" si="26"/>
        <v>333994</v>
      </c>
      <c r="D886" s="607" t="s">
        <v>2636</v>
      </c>
      <c r="E886" s="607" t="s">
        <v>2637</v>
      </c>
      <c r="F886" s="607" t="s">
        <v>2638</v>
      </c>
      <c r="G886" s="607" t="s">
        <v>1019</v>
      </c>
      <c r="H886" s="607" t="s">
        <v>1019</v>
      </c>
      <c r="I886" s="607" t="s">
        <v>2476</v>
      </c>
      <c r="J886" s="608" t="str">
        <f t="shared" si="27"/>
        <v>Machinery</v>
      </c>
      <c r="N886" s="822">
        <v>332216</v>
      </c>
      <c r="O886" s="822" t="s">
        <v>2340</v>
      </c>
      <c r="P886" s="823">
        <v>3545</v>
      </c>
      <c r="Q886" s="823" t="s">
        <v>2350</v>
      </c>
    </row>
    <row r="887" spans="2:17" s="608" customFormat="1" x14ac:dyDescent="0.25">
      <c r="B887" s="605" t="s">
        <v>2635</v>
      </c>
      <c r="C887" s="606">
        <f t="shared" si="26"/>
        <v>333994</v>
      </c>
      <c r="D887" s="607" t="s">
        <v>2636</v>
      </c>
      <c r="E887" s="607" t="s">
        <v>2519</v>
      </c>
      <c r="F887" s="607" t="s">
        <v>2520</v>
      </c>
      <c r="G887" s="609" t="s">
        <v>1019</v>
      </c>
      <c r="H887" s="607" t="s">
        <v>1019</v>
      </c>
      <c r="I887" s="607" t="s">
        <v>2476</v>
      </c>
      <c r="J887" s="608" t="str">
        <f t="shared" si="27"/>
        <v>Machinery</v>
      </c>
      <c r="N887" s="822">
        <v>332216</v>
      </c>
      <c r="O887" s="822" t="s">
        <v>2340</v>
      </c>
      <c r="P887" s="823">
        <v>3644</v>
      </c>
      <c r="Q887" s="823" t="s">
        <v>2352</v>
      </c>
    </row>
    <row r="888" spans="2:17" s="608" customFormat="1" x14ac:dyDescent="0.25">
      <c r="B888" s="605" t="s">
        <v>2635</v>
      </c>
      <c r="C888" s="606">
        <f t="shared" si="26"/>
        <v>333994</v>
      </c>
      <c r="D888" s="607" t="s">
        <v>2636</v>
      </c>
      <c r="E888" s="607" t="s">
        <v>2464</v>
      </c>
      <c r="F888" s="607" t="s">
        <v>2465</v>
      </c>
      <c r="G888" s="609" t="s">
        <v>1019</v>
      </c>
      <c r="H888" s="607" t="s">
        <v>1019</v>
      </c>
      <c r="I888" s="607" t="s">
        <v>2476</v>
      </c>
      <c r="J888" s="608" t="str">
        <f t="shared" si="27"/>
        <v>Machinery</v>
      </c>
      <c r="N888" s="822">
        <v>332216</v>
      </c>
      <c r="O888" s="822" t="s">
        <v>2340</v>
      </c>
      <c r="P888" s="823">
        <v>3999</v>
      </c>
      <c r="Q888" s="823" t="s">
        <v>1757</v>
      </c>
    </row>
    <row r="889" spans="2:17" s="608" customFormat="1" x14ac:dyDescent="0.25">
      <c r="B889" s="605" t="s">
        <v>2639</v>
      </c>
      <c r="C889" s="606">
        <f t="shared" si="26"/>
        <v>333995</v>
      </c>
      <c r="D889" s="607" t="s">
        <v>2640</v>
      </c>
      <c r="E889" s="607" t="s">
        <v>2641</v>
      </c>
      <c r="F889" s="607" t="s">
        <v>2642</v>
      </c>
      <c r="G889" s="607" t="s">
        <v>1019</v>
      </c>
      <c r="H889" s="607" t="s">
        <v>1019</v>
      </c>
      <c r="I889" s="607" t="s">
        <v>2476</v>
      </c>
      <c r="J889" s="608" t="str">
        <f t="shared" si="27"/>
        <v>Machinery</v>
      </c>
      <c r="N889" s="822">
        <v>332311</v>
      </c>
      <c r="O889" s="822" t="s">
        <v>2354</v>
      </c>
      <c r="P889" s="823">
        <v>3448</v>
      </c>
      <c r="Q889" s="823" t="s">
        <v>2356</v>
      </c>
    </row>
    <row r="890" spans="2:17" s="608" customFormat="1" x14ac:dyDescent="0.25">
      <c r="B890" s="605" t="s">
        <v>2643</v>
      </c>
      <c r="C890" s="606">
        <f t="shared" si="26"/>
        <v>333996</v>
      </c>
      <c r="D890" s="607" t="s">
        <v>2644</v>
      </c>
      <c r="E890" s="607" t="s">
        <v>2645</v>
      </c>
      <c r="F890" s="607" t="s">
        <v>2646</v>
      </c>
      <c r="G890" s="607" t="s">
        <v>1019</v>
      </c>
      <c r="H890" s="607" t="s">
        <v>1019</v>
      </c>
      <c r="I890" s="607" t="s">
        <v>2476</v>
      </c>
      <c r="J890" s="608" t="str">
        <f t="shared" si="27"/>
        <v>Machinery</v>
      </c>
      <c r="N890" s="822">
        <v>332312</v>
      </c>
      <c r="O890" s="822" t="s">
        <v>2358</v>
      </c>
      <c r="P890" s="823">
        <v>3441</v>
      </c>
      <c r="Q890" s="823" t="s">
        <v>2360</v>
      </c>
    </row>
    <row r="891" spans="2:17" s="608" customFormat="1" x14ac:dyDescent="0.25">
      <c r="B891" s="605" t="s">
        <v>2647</v>
      </c>
      <c r="C891" s="606">
        <f t="shared" si="26"/>
        <v>333997</v>
      </c>
      <c r="D891" s="607" t="s">
        <v>2648</v>
      </c>
      <c r="E891" s="607" t="s">
        <v>2513</v>
      </c>
      <c r="F891" s="607" t="s">
        <v>2514</v>
      </c>
      <c r="G891" s="609" t="s">
        <v>1594</v>
      </c>
      <c r="H891" s="609" t="s">
        <v>1594</v>
      </c>
      <c r="I891" s="609" t="s">
        <v>1595</v>
      </c>
      <c r="J891" s="608" t="str">
        <f t="shared" si="27"/>
        <v>Home Furnishings</v>
      </c>
      <c r="N891" s="822">
        <v>332312</v>
      </c>
      <c r="O891" s="822" t="s">
        <v>2358</v>
      </c>
      <c r="P891" s="823">
        <v>3449</v>
      </c>
      <c r="Q891" s="823" t="s">
        <v>2320</v>
      </c>
    </row>
    <row r="892" spans="2:17" s="608" customFormat="1" x14ac:dyDescent="0.25">
      <c r="B892" s="605" t="s">
        <v>2647</v>
      </c>
      <c r="C892" s="606">
        <f t="shared" si="26"/>
        <v>333997</v>
      </c>
      <c r="D892" s="607" t="s">
        <v>2648</v>
      </c>
      <c r="E892" s="607" t="s">
        <v>2649</v>
      </c>
      <c r="F892" s="607" t="s">
        <v>2650</v>
      </c>
      <c r="G892" s="607" t="s">
        <v>1019</v>
      </c>
      <c r="H892" s="607" t="s">
        <v>1019</v>
      </c>
      <c r="I892" s="607" t="s">
        <v>2476</v>
      </c>
      <c r="J892" s="608" t="str">
        <f t="shared" si="27"/>
        <v>Machinery</v>
      </c>
      <c r="N892" s="822">
        <v>332313</v>
      </c>
      <c r="O892" s="822" t="s">
        <v>2362</v>
      </c>
      <c r="P892" s="823">
        <v>3443</v>
      </c>
      <c r="Q892" s="823" t="s">
        <v>2364</v>
      </c>
    </row>
    <row r="893" spans="2:17" s="608" customFormat="1" x14ac:dyDescent="0.25">
      <c r="B893" s="605" t="s">
        <v>2647</v>
      </c>
      <c r="C893" s="606">
        <f t="shared" si="26"/>
        <v>333997</v>
      </c>
      <c r="D893" s="607" t="s">
        <v>2648</v>
      </c>
      <c r="E893" s="607" t="s">
        <v>2519</v>
      </c>
      <c r="F893" s="607" t="s">
        <v>2520</v>
      </c>
      <c r="G893" s="609" t="s">
        <v>1019</v>
      </c>
      <c r="H893" s="607" t="s">
        <v>1019</v>
      </c>
      <c r="I893" s="607" t="s">
        <v>2476</v>
      </c>
      <c r="J893" s="608" t="str">
        <f t="shared" si="27"/>
        <v>Machinery</v>
      </c>
      <c r="N893" s="822">
        <v>332321</v>
      </c>
      <c r="O893" s="822" t="s">
        <v>2366</v>
      </c>
      <c r="P893" s="823">
        <v>3442</v>
      </c>
      <c r="Q893" s="823" t="s">
        <v>2368</v>
      </c>
    </row>
    <row r="894" spans="2:17" s="608" customFormat="1" x14ac:dyDescent="0.25">
      <c r="B894" s="605" t="s">
        <v>2647</v>
      </c>
      <c r="C894" s="606">
        <f t="shared" si="26"/>
        <v>333997</v>
      </c>
      <c r="D894" s="607" t="s">
        <v>2648</v>
      </c>
      <c r="E894" s="607" t="s">
        <v>2464</v>
      </c>
      <c r="F894" s="607" t="s">
        <v>2465</v>
      </c>
      <c r="G894" s="609" t="s">
        <v>1019</v>
      </c>
      <c r="H894" s="607" t="s">
        <v>1019</v>
      </c>
      <c r="I894" s="607" t="s">
        <v>2476</v>
      </c>
      <c r="J894" s="608" t="str">
        <f t="shared" si="27"/>
        <v>Machinery</v>
      </c>
      <c r="N894" s="822">
        <v>332321</v>
      </c>
      <c r="O894" s="822" t="s">
        <v>2366</v>
      </c>
      <c r="P894" s="823">
        <v>3444</v>
      </c>
      <c r="Q894" s="823" t="s">
        <v>2370</v>
      </c>
    </row>
    <row r="895" spans="2:17" s="608" customFormat="1" x14ac:dyDescent="0.25">
      <c r="B895" s="605" t="s">
        <v>2651</v>
      </c>
      <c r="C895" s="606">
        <f t="shared" si="26"/>
        <v>333999</v>
      </c>
      <c r="D895" s="607" t="s">
        <v>2652</v>
      </c>
      <c r="E895" s="607" t="s">
        <v>2513</v>
      </c>
      <c r="F895" s="607" t="s">
        <v>2514</v>
      </c>
      <c r="G895" s="609" t="s">
        <v>1594</v>
      </c>
      <c r="H895" s="609" t="s">
        <v>1594</v>
      </c>
      <c r="I895" s="609" t="s">
        <v>1595</v>
      </c>
      <c r="J895" s="608" t="str">
        <f t="shared" si="27"/>
        <v>Home Furnishings</v>
      </c>
      <c r="N895" s="822">
        <v>332322</v>
      </c>
      <c r="O895" s="822" t="s">
        <v>2372</v>
      </c>
      <c r="P895" s="823">
        <v>3444</v>
      </c>
      <c r="Q895" s="823" t="s">
        <v>2370</v>
      </c>
    </row>
    <row r="896" spans="2:17" s="608" customFormat="1" x14ac:dyDescent="0.25">
      <c r="B896" s="605" t="s">
        <v>2651</v>
      </c>
      <c r="C896" s="606">
        <f t="shared" si="26"/>
        <v>333999</v>
      </c>
      <c r="D896" s="607" t="s">
        <v>2652</v>
      </c>
      <c r="E896" s="607" t="s">
        <v>1733</v>
      </c>
      <c r="F896" s="607" t="s">
        <v>1734</v>
      </c>
      <c r="G896" s="607" t="s">
        <v>1019</v>
      </c>
      <c r="H896" s="607" t="s">
        <v>1019</v>
      </c>
      <c r="I896" s="607" t="s">
        <v>2476</v>
      </c>
      <c r="J896" s="608" t="str">
        <f t="shared" si="27"/>
        <v>Machinery</v>
      </c>
      <c r="N896" s="822">
        <v>332323</v>
      </c>
      <c r="O896" s="822" t="s">
        <v>2374</v>
      </c>
      <c r="P896" s="823">
        <v>3446</v>
      </c>
      <c r="Q896" s="823" t="s">
        <v>2376</v>
      </c>
    </row>
    <row r="897" spans="2:17" s="608" customFormat="1" x14ac:dyDescent="0.25">
      <c r="B897" s="605" t="s">
        <v>2651</v>
      </c>
      <c r="C897" s="606">
        <f t="shared" si="26"/>
        <v>333999</v>
      </c>
      <c r="D897" s="607" t="s">
        <v>2652</v>
      </c>
      <c r="E897" s="607" t="s">
        <v>2407</v>
      </c>
      <c r="F897" s="607" t="s">
        <v>2408</v>
      </c>
      <c r="G897" s="607" t="s">
        <v>1019</v>
      </c>
      <c r="H897" s="607" t="s">
        <v>1019</v>
      </c>
      <c r="I897" s="607" t="s">
        <v>2476</v>
      </c>
      <c r="J897" s="608" t="str">
        <f t="shared" si="27"/>
        <v>Machinery</v>
      </c>
      <c r="N897" s="822">
        <v>332323</v>
      </c>
      <c r="O897" s="822" t="s">
        <v>2374</v>
      </c>
      <c r="P897" s="823">
        <v>3449</v>
      </c>
      <c r="Q897" s="823" t="s">
        <v>2320</v>
      </c>
    </row>
    <row r="898" spans="2:17" s="608" customFormat="1" x14ac:dyDescent="0.25">
      <c r="B898" s="605" t="s">
        <v>2651</v>
      </c>
      <c r="C898" s="606">
        <f t="shared" ref="C898:C961" si="28">B898+0</f>
        <v>333999</v>
      </c>
      <c r="D898" s="607" t="s">
        <v>2652</v>
      </c>
      <c r="E898" s="607" t="s">
        <v>2519</v>
      </c>
      <c r="F898" s="607" t="s">
        <v>2520</v>
      </c>
      <c r="G898" s="609" t="s">
        <v>1019</v>
      </c>
      <c r="H898" s="607" t="s">
        <v>1019</v>
      </c>
      <c r="I898" s="607" t="s">
        <v>2476</v>
      </c>
      <c r="J898" s="608" t="str">
        <f t="shared" ref="J898:J961" si="29">PROPER(I898)</f>
        <v>Machinery</v>
      </c>
      <c r="N898" s="822">
        <v>332323</v>
      </c>
      <c r="O898" s="822" t="s">
        <v>2374</v>
      </c>
      <c r="P898" s="823">
        <v>3523</v>
      </c>
      <c r="Q898" s="823" t="s">
        <v>2346</v>
      </c>
    </row>
    <row r="899" spans="2:17" s="608" customFormat="1" x14ac:dyDescent="0.25">
      <c r="B899" s="605" t="s">
        <v>2651</v>
      </c>
      <c r="C899" s="606">
        <f t="shared" si="28"/>
        <v>333999</v>
      </c>
      <c r="D899" s="607" t="s">
        <v>2652</v>
      </c>
      <c r="E899" s="607" t="s">
        <v>2464</v>
      </c>
      <c r="F899" s="607" t="s">
        <v>2465</v>
      </c>
      <c r="G899" s="609" t="s">
        <v>1019</v>
      </c>
      <c r="H899" s="607" t="s">
        <v>1019</v>
      </c>
      <c r="I899" s="607" t="s">
        <v>2476</v>
      </c>
      <c r="J899" s="608" t="str">
        <f t="shared" si="29"/>
        <v>Machinery</v>
      </c>
      <c r="N899" s="822">
        <v>332410</v>
      </c>
      <c r="O899" s="822" t="s">
        <v>2378</v>
      </c>
      <c r="P899" s="823">
        <v>3443</v>
      </c>
      <c r="Q899" s="823" t="s">
        <v>2364</v>
      </c>
    </row>
    <row r="900" spans="2:17" s="608" customFormat="1" ht="30" x14ac:dyDescent="0.25">
      <c r="B900" s="605" t="s">
        <v>2653</v>
      </c>
      <c r="C900" s="606">
        <f t="shared" si="28"/>
        <v>334111</v>
      </c>
      <c r="D900" s="607" t="s">
        <v>2654</v>
      </c>
      <c r="E900" s="607" t="s">
        <v>2655</v>
      </c>
      <c r="F900" s="607" t="s">
        <v>2656</v>
      </c>
      <c r="G900" s="607" t="s">
        <v>2509</v>
      </c>
      <c r="H900" s="607" t="s">
        <v>2509</v>
      </c>
      <c r="I900" s="607" t="s">
        <v>2510</v>
      </c>
      <c r="J900" s="608" t="str">
        <f t="shared" si="29"/>
        <v>Technology Hardwr Equip</v>
      </c>
      <c r="N900" s="822">
        <v>332410</v>
      </c>
      <c r="O900" s="822" t="s">
        <v>2378</v>
      </c>
      <c r="P900" s="823">
        <v>3559</v>
      </c>
      <c r="Q900" s="823" t="s">
        <v>2380</v>
      </c>
    </row>
    <row r="901" spans="2:17" s="608" customFormat="1" ht="30" x14ac:dyDescent="0.25">
      <c r="B901" s="605" t="s">
        <v>2657</v>
      </c>
      <c r="C901" s="606">
        <f t="shared" si="28"/>
        <v>334112</v>
      </c>
      <c r="D901" s="607" t="s">
        <v>2658</v>
      </c>
      <c r="E901" s="607" t="s">
        <v>2659</v>
      </c>
      <c r="F901" s="607" t="s">
        <v>2660</v>
      </c>
      <c r="G901" s="607" t="s">
        <v>2509</v>
      </c>
      <c r="H901" s="607" t="s">
        <v>2509</v>
      </c>
      <c r="I901" s="607" t="s">
        <v>2510</v>
      </c>
      <c r="J901" s="608" t="str">
        <f t="shared" si="29"/>
        <v>Technology Hardwr Equip</v>
      </c>
      <c r="N901" s="822">
        <v>332420</v>
      </c>
      <c r="O901" s="822" t="s">
        <v>2382</v>
      </c>
      <c r="P901" s="823">
        <v>3443</v>
      </c>
      <c r="Q901" s="823" t="s">
        <v>2364</v>
      </c>
    </row>
    <row r="902" spans="2:17" s="608" customFormat="1" ht="30" x14ac:dyDescent="0.25">
      <c r="B902" s="605" t="s">
        <v>2661</v>
      </c>
      <c r="C902" s="606">
        <f t="shared" si="28"/>
        <v>334118</v>
      </c>
      <c r="D902" s="607" t="s">
        <v>2662</v>
      </c>
      <c r="E902" s="607" t="s">
        <v>2663</v>
      </c>
      <c r="F902" s="607" t="s">
        <v>2664</v>
      </c>
      <c r="G902" s="607" t="s">
        <v>2509</v>
      </c>
      <c r="H902" s="607" t="s">
        <v>2509</v>
      </c>
      <c r="I902" s="607" t="s">
        <v>2510</v>
      </c>
      <c r="J902" s="608" t="str">
        <f t="shared" si="29"/>
        <v>Technology Hardwr Equip</v>
      </c>
      <c r="N902" s="822">
        <v>332431</v>
      </c>
      <c r="O902" s="822" t="s">
        <v>2384</v>
      </c>
      <c r="P902" s="823">
        <v>3411</v>
      </c>
      <c r="Q902" s="823" t="s">
        <v>2386</v>
      </c>
    </row>
    <row r="903" spans="2:17" s="608" customFormat="1" ht="30" x14ac:dyDescent="0.25">
      <c r="B903" s="605" t="s">
        <v>2661</v>
      </c>
      <c r="C903" s="606">
        <f t="shared" si="28"/>
        <v>334118</v>
      </c>
      <c r="D903" s="607" t="s">
        <v>2662</v>
      </c>
      <c r="E903" s="607" t="s">
        <v>2527</v>
      </c>
      <c r="F903" s="607" t="s">
        <v>2528</v>
      </c>
      <c r="G903" s="607" t="s">
        <v>2509</v>
      </c>
      <c r="H903" s="607" t="s">
        <v>2509</v>
      </c>
      <c r="I903" s="607" t="s">
        <v>2510</v>
      </c>
      <c r="J903" s="608" t="str">
        <f t="shared" si="29"/>
        <v>Technology Hardwr Equip</v>
      </c>
      <c r="N903" s="822">
        <v>332439</v>
      </c>
      <c r="O903" s="822" t="s">
        <v>2388</v>
      </c>
      <c r="P903" s="823">
        <v>3412</v>
      </c>
      <c r="Q903" s="823" t="s">
        <v>2390</v>
      </c>
    </row>
    <row r="904" spans="2:17" s="608" customFormat="1" ht="30" x14ac:dyDescent="0.25">
      <c r="B904" s="605" t="s">
        <v>2661</v>
      </c>
      <c r="C904" s="606">
        <f t="shared" si="28"/>
        <v>334118</v>
      </c>
      <c r="D904" s="607" t="s">
        <v>2662</v>
      </c>
      <c r="E904" s="607" t="s">
        <v>2530</v>
      </c>
      <c r="F904" s="607" t="s">
        <v>2531</v>
      </c>
      <c r="G904" s="607" t="s">
        <v>2509</v>
      </c>
      <c r="H904" s="607" t="s">
        <v>2509</v>
      </c>
      <c r="I904" s="607" t="s">
        <v>2510</v>
      </c>
      <c r="J904" s="608" t="str">
        <f t="shared" si="29"/>
        <v>Technology Hardwr Equip</v>
      </c>
      <c r="N904" s="822">
        <v>332439</v>
      </c>
      <c r="O904" s="822" t="s">
        <v>2388</v>
      </c>
      <c r="P904" s="823">
        <v>3429</v>
      </c>
      <c r="Q904" s="823" t="s">
        <v>2392</v>
      </c>
    </row>
    <row r="905" spans="2:17" s="608" customFormat="1" x14ac:dyDescent="0.25">
      <c r="B905" s="605" t="s">
        <v>2665</v>
      </c>
      <c r="C905" s="606">
        <f t="shared" si="28"/>
        <v>334210</v>
      </c>
      <c r="D905" s="607" t="s">
        <v>2666</v>
      </c>
      <c r="E905" s="607" t="s">
        <v>2667</v>
      </c>
      <c r="F905" s="607" t="s">
        <v>2668</v>
      </c>
      <c r="G905" s="607" t="s">
        <v>1019</v>
      </c>
      <c r="H905" s="607" t="s">
        <v>1019</v>
      </c>
      <c r="I905" s="607" t="s">
        <v>1755</v>
      </c>
      <c r="J905" s="608" t="str">
        <f t="shared" si="29"/>
        <v>Manufacturing</v>
      </c>
      <c r="N905" s="822">
        <v>332439</v>
      </c>
      <c r="O905" s="822" t="s">
        <v>2388</v>
      </c>
      <c r="P905" s="823">
        <v>3444</v>
      </c>
      <c r="Q905" s="823" t="s">
        <v>2370</v>
      </c>
    </row>
    <row r="906" spans="2:17" s="608" customFormat="1" x14ac:dyDescent="0.25">
      <c r="B906" s="605" t="s">
        <v>2669</v>
      </c>
      <c r="C906" s="606">
        <f t="shared" si="28"/>
        <v>334220</v>
      </c>
      <c r="D906" s="607" t="s">
        <v>2670</v>
      </c>
      <c r="E906" s="607" t="s">
        <v>2671</v>
      </c>
      <c r="F906" s="607" t="s">
        <v>2672</v>
      </c>
      <c r="G906" s="609" t="s">
        <v>1594</v>
      </c>
      <c r="H906" s="609" t="s">
        <v>1594</v>
      </c>
      <c r="I906" s="610" t="s">
        <v>2673</v>
      </c>
      <c r="J906" s="608" t="str">
        <f t="shared" si="29"/>
        <v>Household Appliances</v>
      </c>
      <c r="N906" s="822">
        <v>332439</v>
      </c>
      <c r="O906" s="822" t="s">
        <v>2388</v>
      </c>
      <c r="P906" s="823">
        <v>3469</v>
      </c>
      <c r="Q906" s="823" t="s">
        <v>2330</v>
      </c>
    </row>
    <row r="907" spans="2:17" s="608" customFormat="1" x14ac:dyDescent="0.25">
      <c r="B907" s="605" t="s">
        <v>2669</v>
      </c>
      <c r="C907" s="606">
        <f t="shared" si="28"/>
        <v>334220</v>
      </c>
      <c r="D907" s="607" t="s">
        <v>2670</v>
      </c>
      <c r="E907" s="607" t="s">
        <v>2674</v>
      </c>
      <c r="F907" s="607" t="s">
        <v>2675</v>
      </c>
      <c r="G907" s="607" t="s">
        <v>1019</v>
      </c>
      <c r="H907" s="607" t="s">
        <v>1019</v>
      </c>
      <c r="I907" s="607" t="s">
        <v>1755</v>
      </c>
      <c r="J907" s="608" t="str">
        <f t="shared" si="29"/>
        <v>Manufacturing</v>
      </c>
      <c r="N907" s="822">
        <v>332439</v>
      </c>
      <c r="O907" s="822" t="s">
        <v>2388</v>
      </c>
      <c r="P907" s="823">
        <v>3499</v>
      </c>
      <c r="Q907" s="823" t="s">
        <v>2324</v>
      </c>
    </row>
    <row r="908" spans="2:17" s="608" customFormat="1" ht="30" x14ac:dyDescent="0.25">
      <c r="B908" s="605" t="s">
        <v>2676</v>
      </c>
      <c r="C908" s="606">
        <f t="shared" si="28"/>
        <v>334290</v>
      </c>
      <c r="D908" s="607" t="s">
        <v>2677</v>
      </c>
      <c r="E908" s="607" t="s">
        <v>2678</v>
      </c>
      <c r="F908" s="607" t="s">
        <v>2679</v>
      </c>
      <c r="G908" s="607" t="s">
        <v>2509</v>
      </c>
      <c r="H908" s="607" t="s">
        <v>2509</v>
      </c>
      <c r="I908" s="607" t="s">
        <v>2510</v>
      </c>
      <c r="J908" s="608" t="str">
        <f t="shared" si="29"/>
        <v>Technology Hardwr Equip</v>
      </c>
      <c r="N908" s="822">
        <v>332439</v>
      </c>
      <c r="O908" s="822" t="s">
        <v>2388</v>
      </c>
      <c r="P908" s="823">
        <v>3537</v>
      </c>
      <c r="Q908" s="823" t="s">
        <v>2394</v>
      </c>
    </row>
    <row r="909" spans="2:17" s="608" customFormat="1" x14ac:dyDescent="0.25">
      <c r="B909" s="605" t="s">
        <v>2680</v>
      </c>
      <c r="C909" s="606">
        <f t="shared" si="28"/>
        <v>334310</v>
      </c>
      <c r="D909" s="607" t="s">
        <v>2681</v>
      </c>
      <c r="E909" s="607" t="s">
        <v>2682</v>
      </c>
      <c r="F909" s="607" t="s">
        <v>2683</v>
      </c>
      <c r="G909" s="609" t="s">
        <v>1594</v>
      </c>
      <c r="H909" s="609" t="s">
        <v>1594</v>
      </c>
      <c r="I909" s="607" t="s">
        <v>2529</v>
      </c>
      <c r="J909" s="608" t="str">
        <f t="shared" si="29"/>
        <v>Consumer Electronics</v>
      </c>
      <c r="N909" s="822">
        <v>332510</v>
      </c>
      <c r="O909" s="822" t="s">
        <v>2396</v>
      </c>
      <c r="P909" s="823">
        <v>3429</v>
      </c>
      <c r="Q909" s="823" t="s">
        <v>2392</v>
      </c>
    </row>
    <row r="910" spans="2:17" s="608" customFormat="1" x14ac:dyDescent="0.25">
      <c r="B910" s="605" t="s">
        <v>2680</v>
      </c>
      <c r="C910" s="606">
        <f t="shared" si="28"/>
        <v>334310</v>
      </c>
      <c r="D910" s="607" t="s">
        <v>2681</v>
      </c>
      <c r="E910" s="607" t="s">
        <v>2674</v>
      </c>
      <c r="F910" s="607" t="s">
        <v>2675</v>
      </c>
      <c r="G910" s="609" t="s">
        <v>1594</v>
      </c>
      <c r="H910" s="609" t="s">
        <v>1594</v>
      </c>
      <c r="I910" s="607" t="s">
        <v>2529</v>
      </c>
      <c r="J910" s="608" t="str">
        <f t="shared" si="29"/>
        <v>Consumer Electronics</v>
      </c>
      <c r="N910" s="822">
        <v>332510</v>
      </c>
      <c r="O910" s="822" t="s">
        <v>2396</v>
      </c>
      <c r="P910" s="823">
        <v>3499</v>
      </c>
      <c r="Q910" s="823" t="s">
        <v>2324</v>
      </c>
    </row>
    <row r="911" spans="2:17" s="608" customFormat="1" ht="30" x14ac:dyDescent="0.25">
      <c r="B911" s="605" t="s">
        <v>2684</v>
      </c>
      <c r="C911" s="606">
        <f t="shared" si="28"/>
        <v>334412</v>
      </c>
      <c r="D911" s="607" t="s">
        <v>2685</v>
      </c>
      <c r="E911" s="607" t="s">
        <v>2686</v>
      </c>
      <c r="F911" s="607" t="s">
        <v>2687</v>
      </c>
      <c r="G911" s="607" t="s">
        <v>2509</v>
      </c>
      <c r="H911" s="607" t="s">
        <v>2509</v>
      </c>
      <c r="I911" s="607" t="s">
        <v>2688</v>
      </c>
      <c r="J911" s="608" t="str">
        <f t="shared" si="29"/>
        <v>Semiconductors</v>
      </c>
      <c r="N911" s="823">
        <v>332611</v>
      </c>
      <c r="O911" s="823" t="s">
        <v>5939</v>
      </c>
      <c r="P911" s="823"/>
      <c r="Q911" s="823" t="s">
        <v>958</v>
      </c>
    </row>
    <row r="912" spans="2:17" s="608" customFormat="1" ht="30" x14ac:dyDescent="0.25">
      <c r="B912" s="605" t="s">
        <v>2689</v>
      </c>
      <c r="C912" s="606">
        <f t="shared" si="28"/>
        <v>334413</v>
      </c>
      <c r="D912" s="607" t="s">
        <v>2690</v>
      </c>
      <c r="E912" s="607" t="s">
        <v>2691</v>
      </c>
      <c r="F912" s="607" t="s">
        <v>2692</v>
      </c>
      <c r="G912" s="609" t="s">
        <v>2509</v>
      </c>
      <c r="H912" s="607" t="s">
        <v>2509</v>
      </c>
      <c r="I912" s="611" t="s">
        <v>2688</v>
      </c>
      <c r="J912" s="608" t="str">
        <f t="shared" si="29"/>
        <v>Semiconductors</v>
      </c>
      <c r="N912" s="823">
        <v>332612</v>
      </c>
      <c r="O912" s="823" t="s">
        <v>5940</v>
      </c>
      <c r="P912" s="823"/>
      <c r="Q912" s="823" t="s">
        <v>958</v>
      </c>
    </row>
    <row r="913" spans="2:17" s="608" customFormat="1" ht="30" x14ac:dyDescent="0.25">
      <c r="B913" s="605" t="s">
        <v>2693</v>
      </c>
      <c r="C913" s="606">
        <f t="shared" si="28"/>
        <v>334416</v>
      </c>
      <c r="D913" s="607" t="s">
        <v>2694</v>
      </c>
      <c r="E913" s="607" t="s">
        <v>2695</v>
      </c>
      <c r="F913" s="607" t="s">
        <v>2696</v>
      </c>
      <c r="G913" s="609" t="s">
        <v>2509</v>
      </c>
      <c r="H913" s="607" t="s">
        <v>2509</v>
      </c>
      <c r="I913" s="611" t="s">
        <v>2688</v>
      </c>
      <c r="J913" s="608" t="str">
        <f t="shared" si="29"/>
        <v>Semiconductors</v>
      </c>
      <c r="N913" s="822">
        <v>332613</v>
      </c>
      <c r="O913" s="822" t="s">
        <v>2398</v>
      </c>
      <c r="P913" s="823">
        <v>3493</v>
      </c>
      <c r="Q913" s="823" t="s">
        <v>2400</v>
      </c>
    </row>
    <row r="914" spans="2:17" s="608" customFormat="1" ht="30" x14ac:dyDescent="0.25">
      <c r="B914" s="605" t="s">
        <v>2693</v>
      </c>
      <c r="C914" s="606">
        <f t="shared" si="28"/>
        <v>334416</v>
      </c>
      <c r="D914" s="607" t="s">
        <v>2694</v>
      </c>
      <c r="E914" s="607" t="s">
        <v>2697</v>
      </c>
      <c r="F914" s="607" t="s">
        <v>2698</v>
      </c>
      <c r="G914" s="609" t="s">
        <v>2509</v>
      </c>
      <c r="H914" s="607" t="s">
        <v>2509</v>
      </c>
      <c r="I914" s="611" t="s">
        <v>2688</v>
      </c>
      <c r="J914" s="608" t="str">
        <f t="shared" si="29"/>
        <v>Semiconductors</v>
      </c>
      <c r="N914" s="822">
        <v>332613</v>
      </c>
      <c r="O914" s="822" t="s">
        <v>2398</v>
      </c>
      <c r="P914" s="823">
        <v>3495</v>
      </c>
      <c r="Q914" s="823" t="s">
        <v>2402</v>
      </c>
    </row>
    <row r="915" spans="2:17" s="608" customFormat="1" ht="30" x14ac:dyDescent="0.25">
      <c r="B915" s="605" t="s">
        <v>2693</v>
      </c>
      <c r="C915" s="606">
        <f t="shared" si="28"/>
        <v>334416</v>
      </c>
      <c r="D915" s="607" t="s">
        <v>2694</v>
      </c>
      <c r="E915" s="607" t="s">
        <v>2699</v>
      </c>
      <c r="F915" s="607" t="s">
        <v>2700</v>
      </c>
      <c r="G915" s="609" t="s">
        <v>2509</v>
      </c>
      <c r="H915" s="607" t="s">
        <v>2509</v>
      </c>
      <c r="I915" s="611" t="s">
        <v>2688</v>
      </c>
      <c r="J915" s="608" t="str">
        <f t="shared" si="29"/>
        <v>Semiconductors</v>
      </c>
      <c r="N915" s="822">
        <v>332618</v>
      </c>
      <c r="O915" s="822" t="s">
        <v>2404</v>
      </c>
      <c r="P915" s="823">
        <v>3315</v>
      </c>
      <c r="Q915" s="823" t="s">
        <v>2243</v>
      </c>
    </row>
    <row r="916" spans="2:17" s="608" customFormat="1" ht="30" x14ac:dyDescent="0.25">
      <c r="B916" s="605" t="s">
        <v>2701</v>
      </c>
      <c r="C916" s="606">
        <f t="shared" si="28"/>
        <v>334417</v>
      </c>
      <c r="D916" s="607" t="s">
        <v>2702</v>
      </c>
      <c r="E916" s="607" t="s">
        <v>2703</v>
      </c>
      <c r="F916" s="607" t="s">
        <v>2704</v>
      </c>
      <c r="G916" s="609" t="s">
        <v>2509</v>
      </c>
      <c r="H916" s="607" t="s">
        <v>2509</v>
      </c>
      <c r="I916" s="611" t="s">
        <v>2688</v>
      </c>
      <c r="J916" s="608" t="str">
        <f t="shared" si="29"/>
        <v>Semiconductors</v>
      </c>
      <c r="N916" s="822">
        <v>332618</v>
      </c>
      <c r="O916" s="822" t="s">
        <v>2404</v>
      </c>
      <c r="P916" s="823">
        <v>3399</v>
      </c>
      <c r="Q916" s="823" t="s">
        <v>2231</v>
      </c>
    </row>
    <row r="917" spans="2:17" s="608" customFormat="1" ht="30" x14ac:dyDescent="0.25">
      <c r="B917" s="605" t="s">
        <v>2705</v>
      </c>
      <c r="C917" s="606">
        <f t="shared" si="28"/>
        <v>334418</v>
      </c>
      <c r="D917" s="607" t="s">
        <v>2706</v>
      </c>
      <c r="E917" s="607" t="s">
        <v>2527</v>
      </c>
      <c r="F917" s="607" t="s">
        <v>2528</v>
      </c>
      <c r="G917" s="607" t="s">
        <v>2509</v>
      </c>
      <c r="H917" s="607" t="s">
        <v>2509</v>
      </c>
      <c r="I917" s="607" t="s">
        <v>2688</v>
      </c>
      <c r="J917" s="608" t="str">
        <f t="shared" si="29"/>
        <v>Semiconductors</v>
      </c>
      <c r="N917" s="822">
        <v>332618</v>
      </c>
      <c r="O917" s="822" t="s">
        <v>2404</v>
      </c>
      <c r="P917" s="823">
        <v>3496</v>
      </c>
      <c r="Q917" s="823" t="s">
        <v>2336</v>
      </c>
    </row>
    <row r="918" spans="2:17" s="608" customFormat="1" ht="30" x14ac:dyDescent="0.25">
      <c r="B918" s="605" t="s">
        <v>2705</v>
      </c>
      <c r="C918" s="606">
        <f t="shared" si="28"/>
        <v>334418</v>
      </c>
      <c r="D918" s="607" t="s">
        <v>2706</v>
      </c>
      <c r="E918" s="607" t="s">
        <v>2667</v>
      </c>
      <c r="F918" s="607" t="s">
        <v>2668</v>
      </c>
      <c r="G918" s="609" t="s">
        <v>2509</v>
      </c>
      <c r="H918" s="607" t="s">
        <v>2509</v>
      </c>
      <c r="I918" s="611" t="s">
        <v>2688</v>
      </c>
      <c r="J918" s="608" t="str">
        <f t="shared" si="29"/>
        <v>Semiconductors</v>
      </c>
      <c r="N918" s="822">
        <v>332710</v>
      </c>
      <c r="O918" s="822" t="s">
        <v>2406</v>
      </c>
      <c r="P918" s="823">
        <v>3599</v>
      </c>
      <c r="Q918" s="823" t="s">
        <v>2408</v>
      </c>
    </row>
    <row r="919" spans="2:17" s="608" customFormat="1" ht="30" x14ac:dyDescent="0.25">
      <c r="B919" s="605" t="s">
        <v>2705</v>
      </c>
      <c r="C919" s="606">
        <f t="shared" si="28"/>
        <v>334418</v>
      </c>
      <c r="D919" s="607" t="s">
        <v>2706</v>
      </c>
      <c r="E919" s="607" t="s">
        <v>2674</v>
      </c>
      <c r="F919" s="607" t="s">
        <v>2675</v>
      </c>
      <c r="G919" s="609" t="s">
        <v>2509</v>
      </c>
      <c r="H919" s="607" t="s">
        <v>2509</v>
      </c>
      <c r="I919" s="611" t="s">
        <v>2688</v>
      </c>
      <c r="J919" s="608" t="str">
        <f t="shared" si="29"/>
        <v>Semiconductors</v>
      </c>
      <c r="N919" s="822">
        <v>332721</v>
      </c>
      <c r="O919" s="822" t="s">
        <v>2410</v>
      </c>
      <c r="P919" s="823">
        <v>3451</v>
      </c>
      <c r="Q919" s="823" t="s">
        <v>2412</v>
      </c>
    </row>
    <row r="920" spans="2:17" s="608" customFormat="1" ht="30" x14ac:dyDescent="0.25">
      <c r="B920" s="605" t="s">
        <v>2707</v>
      </c>
      <c r="C920" s="606">
        <f t="shared" si="28"/>
        <v>334419</v>
      </c>
      <c r="D920" s="607" t="s">
        <v>2708</v>
      </c>
      <c r="E920" s="607" t="s">
        <v>2709</v>
      </c>
      <c r="F920" s="607" t="s">
        <v>2710</v>
      </c>
      <c r="G920" s="609" t="s">
        <v>2509</v>
      </c>
      <c r="H920" s="607" t="s">
        <v>2509</v>
      </c>
      <c r="I920" s="611" t="s">
        <v>2688</v>
      </c>
      <c r="J920" s="608" t="str">
        <f t="shared" si="29"/>
        <v>Semiconductors</v>
      </c>
      <c r="N920" s="822">
        <v>332722</v>
      </c>
      <c r="O920" s="822" t="s">
        <v>2414</v>
      </c>
      <c r="P920" s="823">
        <v>3429</v>
      </c>
      <c r="Q920" s="823" t="s">
        <v>2392</v>
      </c>
    </row>
    <row r="921" spans="2:17" s="608" customFormat="1" ht="30" x14ac:dyDescent="0.25">
      <c r="B921" s="605" t="s">
        <v>2707</v>
      </c>
      <c r="C921" s="606">
        <f t="shared" si="28"/>
        <v>334419</v>
      </c>
      <c r="D921" s="607" t="s">
        <v>2708</v>
      </c>
      <c r="E921" s="607" t="s">
        <v>2674</v>
      </c>
      <c r="F921" s="607" t="s">
        <v>2675</v>
      </c>
      <c r="G921" s="609" t="s">
        <v>2509</v>
      </c>
      <c r="H921" s="607" t="s">
        <v>2509</v>
      </c>
      <c r="I921" s="611" t="s">
        <v>2688</v>
      </c>
      <c r="J921" s="608" t="str">
        <f t="shared" si="29"/>
        <v>Semiconductors</v>
      </c>
      <c r="N921" s="822">
        <v>332722</v>
      </c>
      <c r="O921" s="822" t="s">
        <v>2414</v>
      </c>
      <c r="P921" s="823">
        <v>3452</v>
      </c>
      <c r="Q921" s="823" t="s">
        <v>2416</v>
      </c>
    </row>
    <row r="922" spans="2:17" s="608" customFormat="1" x14ac:dyDescent="0.25">
      <c r="B922" s="605" t="s">
        <v>2711</v>
      </c>
      <c r="C922" s="606">
        <f t="shared" si="28"/>
        <v>334510</v>
      </c>
      <c r="D922" s="607" t="s">
        <v>2712</v>
      </c>
      <c r="E922" s="607" t="s">
        <v>1898</v>
      </c>
      <c r="F922" s="607" t="s">
        <v>1899</v>
      </c>
      <c r="G922" s="607" t="s">
        <v>2021</v>
      </c>
      <c r="H922" s="607" t="s">
        <v>2021</v>
      </c>
      <c r="I922" s="607" t="s">
        <v>2713</v>
      </c>
      <c r="J922" s="608" t="str">
        <f t="shared" si="29"/>
        <v>Healthcare Provdr And Svs</v>
      </c>
      <c r="N922" s="822">
        <v>332811</v>
      </c>
      <c r="O922" s="822" t="s">
        <v>2418</v>
      </c>
      <c r="P922" s="823">
        <v>3398</v>
      </c>
      <c r="Q922" s="823" t="s">
        <v>2418</v>
      </c>
    </row>
    <row r="923" spans="2:17" s="608" customFormat="1" x14ac:dyDescent="0.25">
      <c r="B923" s="605" t="s">
        <v>2711</v>
      </c>
      <c r="C923" s="606">
        <f t="shared" si="28"/>
        <v>334510</v>
      </c>
      <c r="D923" s="607" t="s">
        <v>2712</v>
      </c>
      <c r="E923" s="607" t="s">
        <v>2714</v>
      </c>
      <c r="F923" s="607" t="s">
        <v>2715</v>
      </c>
      <c r="G923" s="607" t="s">
        <v>2021</v>
      </c>
      <c r="H923" s="607" t="s">
        <v>2021</v>
      </c>
      <c r="I923" s="607" t="s">
        <v>2713</v>
      </c>
      <c r="J923" s="608" t="str">
        <f t="shared" si="29"/>
        <v>Healthcare Provdr And Svs</v>
      </c>
      <c r="N923" s="822">
        <v>332812</v>
      </c>
      <c r="O923" s="822" t="s">
        <v>2421</v>
      </c>
      <c r="P923" s="823">
        <v>3479</v>
      </c>
      <c r="Q923" s="823" t="s">
        <v>2423</v>
      </c>
    </row>
    <row r="924" spans="2:17" s="608" customFormat="1" ht="30" x14ac:dyDescent="0.25">
      <c r="B924" s="605" t="s">
        <v>2716</v>
      </c>
      <c r="C924" s="606">
        <f t="shared" si="28"/>
        <v>334511</v>
      </c>
      <c r="D924" s="607" t="s">
        <v>2717</v>
      </c>
      <c r="E924" s="605" t="s">
        <v>2718</v>
      </c>
      <c r="F924" s="607" t="s">
        <v>2719</v>
      </c>
      <c r="G924" s="607" t="s">
        <v>1019</v>
      </c>
      <c r="H924" s="607" t="s">
        <v>1019</v>
      </c>
      <c r="I924" s="607" t="s">
        <v>1755</v>
      </c>
      <c r="J924" s="608" t="str">
        <f t="shared" si="29"/>
        <v>Manufacturing</v>
      </c>
      <c r="N924" s="822">
        <v>332812</v>
      </c>
      <c r="O924" s="822" t="s">
        <v>2421</v>
      </c>
      <c r="P924" s="823">
        <v>3999</v>
      </c>
      <c r="Q924" s="823" t="s">
        <v>1757</v>
      </c>
    </row>
    <row r="925" spans="2:17" s="608" customFormat="1" x14ac:dyDescent="0.25">
      <c r="B925" s="605" t="s">
        <v>2720</v>
      </c>
      <c r="C925" s="606">
        <f t="shared" si="28"/>
        <v>334512</v>
      </c>
      <c r="D925" s="607" t="s">
        <v>2721</v>
      </c>
      <c r="E925" s="605" t="s">
        <v>2722</v>
      </c>
      <c r="F925" s="607" t="s">
        <v>2723</v>
      </c>
      <c r="G925" s="607" t="s">
        <v>1019</v>
      </c>
      <c r="H925" s="607" t="s">
        <v>1019</v>
      </c>
      <c r="I925" s="607" t="s">
        <v>1755</v>
      </c>
      <c r="J925" s="608" t="str">
        <f t="shared" si="29"/>
        <v>Manufacturing</v>
      </c>
      <c r="N925" s="822">
        <v>332813</v>
      </c>
      <c r="O925" s="822" t="s">
        <v>2425</v>
      </c>
      <c r="P925" s="823">
        <v>3399</v>
      </c>
      <c r="Q925" s="823" t="s">
        <v>2231</v>
      </c>
    </row>
    <row r="926" spans="2:17" s="608" customFormat="1" ht="30" x14ac:dyDescent="0.25">
      <c r="B926" s="605" t="s">
        <v>2724</v>
      </c>
      <c r="C926" s="606">
        <f t="shared" si="28"/>
        <v>334513</v>
      </c>
      <c r="D926" s="607" t="s">
        <v>2725</v>
      </c>
      <c r="E926" s="605" t="s">
        <v>2726</v>
      </c>
      <c r="F926" s="607" t="s">
        <v>2727</v>
      </c>
      <c r="G926" s="607" t="s">
        <v>1019</v>
      </c>
      <c r="H926" s="607" t="s">
        <v>1019</v>
      </c>
      <c r="I926" s="607" t="s">
        <v>1755</v>
      </c>
      <c r="J926" s="608" t="str">
        <f t="shared" si="29"/>
        <v>Manufacturing</v>
      </c>
      <c r="N926" s="822">
        <v>332813</v>
      </c>
      <c r="O926" s="822" t="s">
        <v>2425</v>
      </c>
      <c r="P926" s="823">
        <v>3471</v>
      </c>
      <c r="Q926" s="823" t="s">
        <v>2427</v>
      </c>
    </row>
    <row r="927" spans="2:17" s="608" customFormat="1" x14ac:dyDescent="0.25">
      <c r="B927" s="605" t="s">
        <v>2728</v>
      </c>
      <c r="C927" s="606">
        <f t="shared" si="28"/>
        <v>334514</v>
      </c>
      <c r="D927" s="607" t="s">
        <v>2729</v>
      </c>
      <c r="E927" s="605" t="s">
        <v>2730</v>
      </c>
      <c r="F927" s="607" t="s">
        <v>2731</v>
      </c>
      <c r="G927" s="607" t="s">
        <v>1019</v>
      </c>
      <c r="H927" s="607" t="s">
        <v>1019</v>
      </c>
      <c r="I927" s="607" t="s">
        <v>1755</v>
      </c>
      <c r="J927" s="608" t="str">
        <f t="shared" si="29"/>
        <v>Manufacturing</v>
      </c>
      <c r="N927" s="822">
        <v>332813</v>
      </c>
      <c r="O927" s="822" t="s">
        <v>2425</v>
      </c>
      <c r="P927" s="823">
        <v>3599</v>
      </c>
      <c r="Q927" s="823" t="s">
        <v>2408</v>
      </c>
    </row>
    <row r="928" spans="2:17" s="608" customFormat="1" x14ac:dyDescent="0.25">
      <c r="B928" s="605" t="s">
        <v>2728</v>
      </c>
      <c r="C928" s="606">
        <f t="shared" si="28"/>
        <v>334514</v>
      </c>
      <c r="D928" s="607" t="s">
        <v>2729</v>
      </c>
      <c r="E928" s="605" t="s">
        <v>2732</v>
      </c>
      <c r="F928" s="607" t="s">
        <v>2733</v>
      </c>
      <c r="G928" s="607" t="s">
        <v>1019</v>
      </c>
      <c r="H928" s="607" t="s">
        <v>1019</v>
      </c>
      <c r="I928" s="607" t="s">
        <v>1755</v>
      </c>
      <c r="J928" s="608" t="str">
        <f t="shared" si="29"/>
        <v>Manufacturing</v>
      </c>
      <c r="N928" s="822">
        <v>332911</v>
      </c>
      <c r="O928" s="822" t="s">
        <v>2429</v>
      </c>
      <c r="P928" s="823">
        <v>3491</v>
      </c>
      <c r="Q928" s="823" t="s">
        <v>2431</v>
      </c>
    </row>
    <row r="929" spans="2:17" s="608" customFormat="1" x14ac:dyDescent="0.25">
      <c r="B929" s="605" t="s">
        <v>2728</v>
      </c>
      <c r="C929" s="606">
        <f t="shared" si="28"/>
        <v>334514</v>
      </c>
      <c r="D929" s="607" t="s">
        <v>2729</v>
      </c>
      <c r="E929" s="605" t="s">
        <v>2734</v>
      </c>
      <c r="F929" s="607" t="s">
        <v>2735</v>
      </c>
      <c r="G929" s="607" t="s">
        <v>1019</v>
      </c>
      <c r="H929" s="607" t="s">
        <v>1019</v>
      </c>
      <c r="I929" s="607" t="s">
        <v>1755</v>
      </c>
      <c r="J929" s="608" t="str">
        <f t="shared" si="29"/>
        <v>Manufacturing</v>
      </c>
      <c r="N929" s="822">
        <v>332912</v>
      </c>
      <c r="O929" s="822" t="s">
        <v>2433</v>
      </c>
      <c r="P929" s="823">
        <v>3492</v>
      </c>
      <c r="Q929" s="823" t="s">
        <v>2435</v>
      </c>
    </row>
    <row r="930" spans="2:17" s="608" customFormat="1" x14ac:dyDescent="0.25">
      <c r="B930" s="605" t="s">
        <v>2736</v>
      </c>
      <c r="C930" s="606">
        <f t="shared" si="28"/>
        <v>334515</v>
      </c>
      <c r="D930" s="607" t="s">
        <v>2737</v>
      </c>
      <c r="E930" s="605" t="s">
        <v>2671</v>
      </c>
      <c r="F930" s="607" t="s">
        <v>2672</v>
      </c>
      <c r="G930" s="607" t="s">
        <v>1019</v>
      </c>
      <c r="H930" s="607" t="s">
        <v>1019</v>
      </c>
      <c r="I930" s="607" t="s">
        <v>1755</v>
      </c>
      <c r="J930" s="608" t="str">
        <f t="shared" si="29"/>
        <v>Manufacturing</v>
      </c>
      <c r="N930" s="822">
        <v>332912</v>
      </c>
      <c r="O930" s="822" t="s">
        <v>2433</v>
      </c>
      <c r="P930" s="823">
        <v>3728</v>
      </c>
      <c r="Q930" s="823" t="s">
        <v>2437</v>
      </c>
    </row>
    <row r="931" spans="2:17" s="608" customFormat="1" x14ac:dyDescent="0.25">
      <c r="B931" s="605" t="s">
        <v>2736</v>
      </c>
      <c r="C931" s="606">
        <f t="shared" si="28"/>
        <v>334515</v>
      </c>
      <c r="D931" s="607" t="s">
        <v>2737</v>
      </c>
      <c r="E931" s="605" t="s">
        <v>2674</v>
      </c>
      <c r="F931" s="607" t="s">
        <v>2675</v>
      </c>
      <c r="G931" s="607" t="s">
        <v>1019</v>
      </c>
      <c r="H931" s="607" t="s">
        <v>1019</v>
      </c>
      <c r="I931" s="607" t="s">
        <v>1755</v>
      </c>
      <c r="J931" s="608" t="str">
        <f t="shared" si="29"/>
        <v>Manufacturing</v>
      </c>
      <c r="N931" s="822">
        <v>332913</v>
      </c>
      <c r="O931" s="822" t="s">
        <v>2439</v>
      </c>
      <c r="P931" s="823">
        <v>3432</v>
      </c>
      <c r="Q931" s="823" t="s">
        <v>2441</v>
      </c>
    </row>
    <row r="932" spans="2:17" s="608" customFormat="1" x14ac:dyDescent="0.25">
      <c r="B932" s="605" t="s">
        <v>2736</v>
      </c>
      <c r="C932" s="606">
        <f t="shared" si="28"/>
        <v>334515</v>
      </c>
      <c r="D932" s="607" t="s">
        <v>2737</v>
      </c>
      <c r="E932" s="605" t="s">
        <v>2732</v>
      </c>
      <c r="F932" s="607" t="s">
        <v>2733</v>
      </c>
      <c r="G932" s="607" t="s">
        <v>1019</v>
      </c>
      <c r="H932" s="607" t="s">
        <v>1019</v>
      </c>
      <c r="I932" s="607" t="s">
        <v>1755</v>
      </c>
      <c r="J932" s="608" t="str">
        <f t="shared" si="29"/>
        <v>Manufacturing</v>
      </c>
      <c r="N932" s="822">
        <v>332919</v>
      </c>
      <c r="O932" s="822" t="s">
        <v>2443</v>
      </c>
      <c r="P932" s="823">
        <v>3429</v>
      </c>
      <c r="Q932" s="823" t="s">
        <v>2392</v>
      </c>
    </row>
    <row r="933" spans="2:17" s="608" customFormat="1" x14ac:dyDescent="0.25">
      <c r="B933" s="605" t="s">
        <v>2738</v>
      </c>
      <c r="C933" s="606">
        <f t="shared" si="28"/>
        <v>334516</v>
      </c>
      <c r="D933" s="607" t="s">
        <v>2739</v>
      </c>
      <c r="E933" s="605" t="s">
        <v>2740</v>
      </c>
      <c r="F933" s="607" t="s">
        <v>2741</v>
      </c>
      <c r="G933" s="607" t="s">
        <v>1019</v>
      </c>
      <c r="H933" s="607" t="s">
        <v>1019</v>
      </c>
      <c r="I933" s="607" t="s">
        <v>1755</v>
      </c>
      <c r="J933" s="608" t="str">
        <f t="shared" si="29"/>
        <v>Manufacturing</v>
      </c>
      <c r="N933" s="822">
        <v>332919</v>
      </c>
      <c r="O933" s="822" t="s">
        <v>2443</v>
      </c>
      <c r="P933" s="823">
        <v>3432</v>
      </c>
      <c r="Q933" s="823" t="s">
        <v>2441</v>
      </c>
    </row>
    <row r="934" spans="2:17" s="608" customFormat="1" x14ac:dyDescent="0.25">
      <c r="B934" s="605" t="s">
        <v>2742</v>
      </c>
      <c r="C934" s="606">
        <f t="shared" si="28"/>
        <v>334517</v>
      </c>
      <c r="D934" s="607" t="s">
        <v>2743</v>
      </c>
      <c r="E934" s="605" t="s">
        <v>2744</v>
      </c>
      <c r="F934" s="607" t="s">
        <v>2745</v>
      </c>
      <c r="G934" s="607" t="s">
        <v>1019</v>
      </c>
      <c r="H934" s="607" t="s">
        <v>1019</v>
      </c>
      <c r="I934" s="607" t="s">
        <v>1755</v>
      </c>
      <c r="J934" s="608" t="str">
        <f t="shared" si="29"/>
        <v>Manufacturing</v>
      </c>
      <c r="N934" s="822">
        <v>332919</v>
      </c>
      <c r="O934" s="822" t="s">
        <v>2443</v>
      </c>
      <c r="P934" s="823">
        <v>3494</v>
      </c>
      <c r="Q934" s="823" t="s">
        <v>2445</v>
      </c>
    </row>
    <row r="935" spans="2:17" s="608" customFormat="1" x14ac:dyDescent="0.25">
      <c r="B935" s="605" t="s">
        <v>2742</v>
      </c>
      <c r="C935" s="606">
        <f t="shared" si="28"/>
        <v>334517</v>
      </c>
      <c r="D935" s="607" t="s">
        <v>2743</v>
      </c>
      <c r="E935" s="605" t="s">
        <v>2714</v>
      </c>
      <c r="F935" s="607" t="s">
        <v>2715</v>
      </c>
      <c r="G935" s="607" t="s">
        <v>1019</v>
      </c>
      <c r="H935" s="607" t="s">
        <v>1019</v>
      </c>
      <c r="I935" s="607" t="s">
        <v>1755</v>
      </c>
      <c r="J935" s="608" t="str">
        <f t="shared" si="29"/>
        <v>Manufacturing</v>
      </c>
      <c r="N935" s="822">
        <v>332919</v>
      </c>
      <c r="O935" s="822" t="s">
        <v>2443</v>
      </c>
      <c r="P935" s="823">
        <v>3499</v>
      </c>
      <c r="Q935" s="823" t="s">
        <v>2324</v>
      </c>
    </row>
    <row r="936" spans="2:17" s="608" customFormat="1" x14ac:dyDescent="0.25">
      <c r="B936" s="605" t="s">
        <v>2746</v>
      </c>
      <c r="C936" s="606">
        <f t="shared" si="28"/>
        <v>334519</v>
      </c>
      <c r="D936" s="607" t="s">
        <v>2747</v>
      </c>
      <c r="E936" s="607" t="s">
        <v>2391</v>
      </c>
      <c r="F936" s="607" t="s">
        <v>2392</v>
      </c>
      <c r="G936" s="607" t="s">
        <v>1100</v>
      </c>
      <c r="H936" s="607" t="s">
        <v>1100</v>
      </c>
      <c r="I936" s="607" t="s">
        <v>1101</v>
      </c>
      <c r="J936" s="608" t="str">
        <f t="shared" si="29"/>
        <v>Metals And Mining</v>
      </c>
      <c r="N936" s="822">
        <v>332991</v>
      </c>
      <c r="O936" s="822" t="s">
        <v>2447</v>
      </c>
      <c r="P936" s="823">
        <v>3562</v>
      </c>
      <c r="Q936" s="823" t="s">
        <v>2449</v>
      </c>
    </row>
    <row r="937" spans="2:17" s="608" customFormat="1" x14ac:dyDescent="0.25">
      <c r="B937" s="605" t="s">
        <v>2746</v>
      </c>
      <c r="C937" s="606">
        <f t="shared" si="28"/>
        <v>334519</v>
      </c>
      <c r="D937" s="607" t="s">
        <v>2747</v>
      </c>
      <c r="E937" s="607" t="s">
        <v>2401</v>
      </c>
      <c r="F937" s="607" t="s">
        <v>2402</v>
      </c>
      <c r="G937" s="607" t="s">
        <v>1100</v>
      </c>
      <c r="H937" s="607" t="s">
        <v>1100</v>
      </c>
      <c r="I937" s="607" t="s">
        <v>1101</v>
      </c>
      <c r="J937" s="608" t="str">
        <f t="shared" si="29"/>
        <v>Metals And Mining</v>
      </c>
      <c r="N937" s="822">
        <v>332992</v>
      </c>
      <c r="O937" s="822" t="s">
        <v>2451</v>
      </c>
      <c r="P937" s="823">
        <v>3482</v>
      </c>
      <c r="Q937" s="823" t="s">
        <v>2453</v>
      </c>
    </row>
    <row r="938" spans="2:17" s="608" customFormat="1" ht="30" x14ac:dyDescent="0.25">
      <c r="B938" s="605" t="s">
        <v>2746</v>
      </c>
      <c r="C938" s="606">
        <f t="shared" si="28"/>
        <v>334519</v>
      </c>
      <c r="D938" s="607" t="s">
        <v>2747</v>
      </c>
      <c r="E938" s="607" t="s">
        <v>2534</v>
      </c>
      <c r="F938" s="607" t="s">
        <v>2535</v>
      </c>
      <c r="G938" s="607" t="s">
        <v>2509</v>
      </c>
      <c r="H938" s="607" t="s">
        <v>2509</v>
      </c>
      <c r="I938" s="607" t="s">
        <v>2510</v>
      </c>
      <c r="J938" s="608" t="str">
        <f t="shared" si="29"/>
        <v>Technology Hardwr Equip</v>
      </c>
      <c r="N938" s="822">
        <v>332993</v>
      </c>
      <c r="O938" s="822" t="s">
        <v>2455</v>
      </c>
      <c r="P938" s="823">
        <v>3483</v>
      </c>
      <c r="Q938" s="823" t="s">
        <v>2457</v>
      </c>
    </row>
    <row r="939" spans="2:17" s="608" customFormat="1" x14ac:dyDescent="0.25">
      <c r="B939" s="605" t="s">
        <v>2746</v>
      </c>
      <c r="C939" s="606">
        <f t="shared" si="28"/>
        <v>334519</v>
      </c>
      <c r="D939" s="607" t="s">
        <v>2747</v>
      </c>
      <c r="E939" s="605" t="s">
        <v>2407</v>
      </c>
      <c r="F939" s="607" t="s">
        <v>2408</v>
      </c>
      <c r="G939" s="607" t="s">
        <v>1019</v>
      </c>
      <c r="H939" s="607" t="s">
        <v>1019</v>
      </c>
      <c r="I939" s="607" t="s">
        <v>1755</v>
      </c>
      <c r="J939" s="608" t="str">
        <f t="shared" si="29"/>
        <v>Manufacturing</v>
      </c>
      <c r="N939" s="822">
        <v>332994</v>
      </c>
      <c r="O939" s="822" t="s">
        <v>2459</v>
      </c>
      <c r="P939" s="823">
        <v>3484</v>
      </c>
      <c r="Q939" s="823" t="s">
        <v>2461</v>
      </c>
    </row>
    <row r="940" spans="2:17" s="608" customFormat="1" x14ac:dyDescent="0.25">
      <c r="B940" s="605" t="s">
        <v>2746</v>
      </c>
      <c r="C940" s="606">
        <f t="shared" si="28"/>
        <v>334519</v>
      </c>
      <c r="D940" s="607" t="s">
        <v>2747</v>
      </c>
      <c r="E940" s="605" t="s">
        <v>2734</v>
      </c>
      <c r="F940" s="607" t="s">
        <v>2735</v>
      </c>
      <c r="G940" s="607" t="s">
        <v>1019</v>
      </c>
      <c r="H940" s="607" t="s">
        <v>1019</v>
      </c>
      <c r="I940" s="607" t="s">
        <v>1755</v>
      </c>
      <c r="J940" s="608" t="str">
        <f t="shared" si="29"/>
        <v>Manufacturing</v>
      </c>
      <c r="N940" s="822">
        <v>332994</v>
      </c>
      <c r="O940" s="822" t="s">
        <v>2459</v>
      </c>
      <c r="P940" s="823">
        <v>3489</v>
      </c>
      <c r="Q940" s="823" t="s">
        <v>2463</v>
      </c>
    </row>
    <row r="941" spans="2:17" s="608" customFormat="1" x14ac:dyDescent="0.25">
      <c r="B941" s="605" t="s">
        <v>2746</v>
      </c>
      <c r="C941" s="606">
        <f t="shared" si="28"/>
        <v>334519</v>
      </c>
      <c r="D941" s="607" t="s">
        <v>2747</v>
      </c>
      <c r="E941" s="605" t="s">
        <v>2748</v>
      </c>
      <c r="F941" s="607" t="s">
        <v>2749</v>
      </c>
      <c r="G941" s="607" t="s">
        <v>1019</v>
      </c>
      <c r="H941" s="607" t="s">
        <v>1019</v>
      </c>
      <c r="I941" s="607" t="s">
        <v>1755</v>
      </c>
      <c r="J941" s="608" t="str">
        <f t="shared" si="29"/>
        <v>Manufacturing</v>
      </c>
      <c r="N941" s="822">
        <v>332994</v>
      </c>
      <c r="O941" s="822" t="s">
        <v>2459</v>
      </c>
      <c r="P941" s="823">
        <v>3841</v>
      </c>
      <c r="Q941" s="823" t="s">
        <v>2465</v>
      </c>
    </row>
    <row r="942" spans="2:17" s="608" customFormat="1" x14ac:dyDescent="0.25">
      <c r="B942" s="605" t="s">
        <v>2746</v>
      </c>
      <c r="C942" s="606">
        <f t="shared" si="28"/>
        <v>334519</v>
      </c>
      <c r="D942" s="607" t="s">
        <v>2747</v>
      </c>
      <c r="E942" s="605" t="s">
        <v>2750</v>
      </c>
      <c r="F942" s="607" t="s">
        <v>2751</v>
      </c>
      <c r="G942" s="607" t="s">
        <v>1019</v>
      </c>
      <c r="H942" s="607" t="s">
        <v>1019</v>
      </c>
      <c r="I942" s="607" t="s">
        <v>1755</v>
      </c>
      <c r="J942" s="608" t="str">
        <f t="shared" si="29"/>
        <v>Manufacturing</v>
      </c>
      <c r="N942" s="823">
        <v>332995</v>
      </c>
      <c r="O942" s="823" t="s">
        <v>5941</v>
      </c>
      <c r="P942" s="823"/>
      <c r="Q942" s="823" t="s">
        <v>958</v>
      </c>
    </row>
    <row r="943" spans="2:17" s="608" customFormat="1" x14ac:dyDescent="0.25">
      <c r="B943" s="605" t="s">
        <v>2752</v>
      </c>
      <c r="C943" s="606">
        <f t="shared" si="28"/>
        <v>334613</v>
      </c>
      <c r="D943" s="607" t="s">
        <v>2753</v>
      </c>
      <c r="E943" s="605" t="s">
        <v>2527</v>
      </c>
      <c r="F943" s="607" t="s">
        <v>2528</v>
      </c>
      <c r="G943" s="607" t="s">
        <v>1019</v>
      </c>
      <c r="H943" s="607" t="s">
        <v>1019</v>
      </c>
      <c r="I943" s="607" t="s">
        <v>1755</v>
      </c>
      <c r="J943" s="608" t="str">
        <f t="shared" si="29"/>
        <v>Manufacturing</v>
      </c>
      <c r="N943" s="822">
        <v>332996</v>
      </c>
      <c r="O943" s="822" t="s">
        <v>2467</v>
      </c>
      <c r="P943" s="823">
        <v>3498</v>
      </c>
      <c r="Q943" s="823" t="s">
        <v>2469</v>
      </c>
    </row>
    <row r="944" spans="2:17" s="608" customFormat="1" ht="30" x14ac:dyDescent="0.25">
      <c r="B944" s="605" t="s">
        <v>2752</v>
      </c>
      <c r="C944" s="606">
        <f t="shared" si="28"/>
        <v>334613</v>
      </c>
      <c r="D944" s="607" t="s">
        <v>2753</v>
      </c>
      <c r="E944" s="607" t="s">
        <v>2754</v>
      </c>
      <c r="F944" s="607" t="s">
        <v>2755</v>
      </c>
      <c r="G944" s="607" t="s">
        <v>2509</v>
      </c>
      <c r="H944" s="607" t="s">
        <v>2509</v>
      </c>
      <c r="I944" s="607" t="s">
        <v>2510</v>
      </c>
      <c r="J944" s="608" t="str">
        <f t="shared" si="29"/>
        <v>Technology Hardwr Equip</v>
      </c>
      <c r="N944" s="823">
        <v>332997</v>
      </c>
      <c r="O944" s="823" t="s">
        <v>5942</v>
      </c>
      <c r="P944" s="823"/>
      <c r="Q944" s="823" t="s">
        <v>958</v>
      </c>
    </row>
    <row r="945" spans="2:17" s="608" customFormat="1" x14ac:dyDescent="0.25">
      <c r="B945" s="605" t="s">
        <v>2756</v>
      </c>
      <c r="C945" s="606">
        <f t="shared" si="28"/>
        <v>334614</v>
      </c>
      <c r="D945" s="607" t="s">
        <v>2757</v>
      </c>
      <c r="E945" s="607" t="s">
        <v>2758</v>
      </c>
      <c r="F945" s="607" t="s">
        <v>2759</v>
      </c>
      <c r="G945" s="607" t="s">
        <v>1019</v>
      </c>
      <c r="H945" s="607" t="s">
        <v>1019</v>
      </c>
      <c r="I945" s="607" t="s">
        <v>1755</v>
      </c>
      <c r="J945" s="608" t="str">
        <f t="shared" si="29"/>
        <v>Manufacturing</v>
      </c>
      <c r="N945" s="823">
        <v>332998</v>
      </c>
      <c r="O945" s="823" t="s">
        <v>5943</v>
      </c>
      <c r="P945" s="823"/>
      <c r="Q945" s="823" t="s">
        <v>958</v>
      </c>
    </row>
    <row r="946" spans="2:17" s="608" customFormat="1" x14ac:dyDescent="0.25">
      <c r="B946" s="605" t="s">
        <v>2756</v>
      </c>
      <c r="C946" s="606">
        <f t="shared" si="28"/>
        <v>334614</v>
      </c>
      <c r="D946" s="607" t="s">
        <v>2757</v>
      </c>
      <c r="E946" s="607" t="s">
        <v>2760</v>
      </c>
      <c r="F946" s="607" t="s">
        <v>2761</v>
      </c>
      <c r="G946" s="607" t="s">
        <v>1019</v>
      </c>
      <c r="H946" s="607" t="s">
        <v>1019</v>
      </c>
      <c r="I946" s="607" t="s">
        <v>1906</v>
      </c>
      <c r="J946" s="608" t="str">
        <f t="shared" si="29"/>
        <v>Media</v>
      </c>
      <c r="N946" s="822">
        <v>332999</v>
      </c>
      <c r="O946" s="822" t="s">
        <v>2471</v>
      </c>
      <c r="P946" s="823">
        <v>3291</v>
      </c>
      <c r="Q946" s="823" t="s">
        <v>2211</v>
      </c>
    </row>
    <row r="947" spans="2:17" s="608" customFormat="1" x14ac:dyDescent="0.25">
      <c r="B947" s="605" t="s">
        <v>2756</v>
      </c>
      <c r="C947" s="606">
        <f t="shared" si="28"/>
        <v>334614</v>
      </c>
      <c r="D947" s="607" t="s">
        <v>2757</v>
      </c>
      <c r="E947" s="607" t="s">
        <v>2762</v>
      </c>
      <c r="F947" s="607" t="s">
        <v>2763</v>
      </c>
      <c r="G947" s="607" t="s">
        <v>1019</v>
      </c>
      <c r="H947" s="607" t="s">
        <v>1019</v>
      </c>
      <c r="I947" s="607" t="s">
        <v>1906</v>
      </c>
      <c r="J947" s="608" t="str">
        <f t="shared" si="29"/>
        <v>Media</v>
      </c>
      <c r="N947" s="822">
        <v>332999</v>
      </c>
      <c r="O947" s="822" t="s">
        <v>2471</v>
      </c>
      <c r="P947" s="823">
        <v>3429</v>
      </c>
      <c r="Q947" s="823" t="s">
        <v>2392</v>
      </c>
    </row>
    <row r="948" spans="2:17" s="608" customFormat="1" x14ac:dyDescent="0.25">
      <c r="B948" s="605" t="s">
        <v>2764</v>
      </c>
      <c r="C948" s="606">
        <f t="shared" si="28"/>
        <v>335110</v>
      </c>
      <c r="D948" s="607" t="s">
        <v>2765</v>
      </c>
      <c r="E948" s="607" t="s">
        <v>2766</v>
      </c>
      <c r="F948" s="607" t="s">
        <v>2767</v>
      </c>
      <c r="G948" s="609" t="s">
        <v>1019</v>
      </c>
      <c r="H948" s="607" t="s">
        <v>1019</v>
      </c>
      <c r="I948" s="607" t="s">
        <v>1755</v>
      </c>
      <c r="J948" s="608" t="str">
        <f t="shared" si="29"/>
        <v>Manufacturing</v>
      </c>
      <c r="N948" s="822">
        <v>332999</v>
      </c>
      <c r="O948" s="822" t="s">
        <v>2471</v>
      </c>
      <c r="P948" s="823">
        <v>3431</v>
      </c>
      <c r="Q948" s="823" t="s">
        <v>2473</v>
      </c>
    </row>
    <row r="949" spans="2:17" s="608" customFormat="1" x14ac:dyDescent="0.25">
      <c r="B949" s="605" t="s">
        <v>2768</v>
      </c>
      <c r="C949" s="606">
        <f t="shared" si="28"/>
        <v>335121</v>
      </c>
      <c r="D949" s="607" t="s">
        <v>2769</v>
      </c>
      <c r="E949" s="607" t="s">
        <v>2770</v>
      </c>
      <c r="F949" s="607" t="s">
        <v>2771</v>
      </c>
      <c r="G949" s="609" t="s">
        <v>1019</v>
      </c>
      <c r="H949" s="607" t="s">
        <v>1019</v>
      </c>
      <c r="I949" s="607" t="s">
        <v>1755</v>
      </c>
      <c r="J949" s="608" t="str">
        <f t="shared" si="29"/>
        <v>Manufacturing</v>
      </c>
      <c r="N949" s="822">
        <v>332999</v>
      </c>
      <c r="O949" s="822" t="s">
        <v>2471</v>
      </c>
      <c r="P949" s="823">
        <v>3432</v>
      </c>
      <c r="Q949" s="823" t="s">
        <v>2441</v>
      </c>
    </row>
    <row r="950" spans="2:17" s="608" customFormat="1" x14ac:dyDescent="0.25">
      <c r="B950" s="605" t="s">
        <v>2768</v>
      </c>
      <c r="C950" s="606">
        <f t="shared" si="28"/>
        <v>335121</v>
      </c>
      <c r="D950" s="607" t="s">
        <v>2769</v>
      </c>
      <c r="E950" s="607" t="s">
        <v>1756</v>
      </c>
      <c r="F950" s="607" t="s">
        <v>1757</v>
      </c>
      <c r="G950" s="609" t="s">
        <v>1019</v>
      </c>
      <c r="H950" s="607" t="s">
        <v>1019</v>
      </c>
      <c r="I950" s="607" t="s">
        <v>1755</v>
      </c>
      <c r="J950" s="608" t="str">
        <f t="shared" si="29"/>
        <v>Manufacturing</v>
      </c>
      <c r="N950" s="822">
        <v>332999</v>
      </c>
      <c r="O950" s="822" t="s">
        <v>2471</v>
      </c>
      <c r="P950" s="823">
        <v>3494</v>
      </c>
      <c r="Q950" s="823" t="s">
        <v>2445</v>
      </c>
    </row>
    <row r="951" spans="2:17" s="608" customFormat="1" x14ac:dyDescent="0.25">
      <c r="B951" s="605" t="s">
        <v>2772</v>
      </c>
      <c r="C951" s="606">
        <f t="shared" si="28"/>
        <v>335122</v>
      </c>
      <c r="D951" s="607" t="s">
        <v>2773</v>
      </c>
      <c r="E951" s="607" t="s">
        <v>2774</v>
      </c>
      <c r="F951" s="607" t="s">
        <v>2775</v>
      </c>
      <c r="G951" s="609" t="s">
        <v>1019</v>
      </c>
      <c r="H951" s="607" t="s">
        <v>1019</v>
      </c>
      <c r="I951" s="607" t="s">
        <v>1755</v>
      </c>
      <c r="J951" s="608" t="str">
        <f t="shared" si="29"/>
        <v>Manufacturing</v>
      </c>
      <c r="N951" s="822">
        <v>332999</v>
      </c>
      <c r="O951" s="822" t="s">
        <v>2471</v>
      </c>
      <c r="P951" s="823">
        <v>3497</v>
      </c>
      <c r="Q951" s="823" t="s">
        <v>1887</v>
      </c>
    </row>
    <row r="952" spans="2:17" s="608" customFormat="1" x14ac:dyDescent="0.25">
      <c r="B952" s="605" t="s">
        <v>2776</v>
      </c>
      <c r="C952" s="606">
        <f t="shared" si="28"/>
        <v>335129</v>
      </c>
      <c r="D952" s="607" t="s">
        <v>2777</v>
      </c>
      <c r="E952" s="607" t="s">
        <v>2778</v>
      </c>
      <c r="F952" s="607" t="s">
        <v>2779</v>
      </c>
      <c r="G952" s="609" t="s">
        <v>1019</v>
      </c>
      <c r="H952" s="607" t="s">
        <v>1019</v>
      </c>
      <c r="I952" s="607" t="s">
        <v>1755</v>
      </c>
      <c r="J952" s="608" t="str">
        <f t="shared" si="29"/>
        <v>Manufacturing</v>
      </c>
      <c r="N952" s="822">
        <v>332999</v>
      </c>
      <c r="O952" s="822" t="s">
        <v>2471</v>
      </c>
      <c r="P952" s="823">
        <v>3499</v>
      </c>
      <c r="Q952" s="823" t="s">
        <v>2324</v>
      </c>
    </row>
    <row r="953" spans="2:17" s="608" customFormat="1" x14ac:dyDescent="0.25">
      <c r="B953" s="605" t="s">
        <v>2776</v>
      </c>
      <c r="C953" s="606">
        <f t="shared" si="28"/>
        <v>335129</v>
      </c>
      <c r="D953" s="607" t="s">
        <v>2777</v>
      </c>
      <c r="E953" s="607" t="s">
        <v>2542</v>
      </c>
      <c r="F953" s="607" t="s">
        <v>2543</v>
      </c>
      <c r="G953" s="607" t="s">
        <v>1019</v>
      </c>
      <c r="H953" s="607" t="s">
        <v>1019</v>
      </c>
      <c r="I953" s="607" t="s">
        <v>1755</v>
      </c>
      <c r="J953" s="608" t="str">
        <f t="shared" si="29"/>
        <v>Manufacturing</v>
      </c>
      <c r="N953" s="822">
        <v>332999</v>
      </c>
      <c r="O953" s="822" t="s">
        <v>2471</v>
      </c>
      <c r="P953" s="823">
        <v>3537</v>
      </c>
      <c r="Q953" s="823" t="s">
        <v>2394</v>
      </c>
    </row>
    <row r="954" spans="2:17" s="608" customFormat="1" x14ac:dyDescent="0.25">
      <c r="B954" s="605" t="s">
        <v>2780</v>
      </c>
      <c r="C954" s="606">
        <f t="shared" si="28"/>
        <v>335210</v>
      </c>
      <c r="D954" s="607" t="s">
        <v>2781</v>
      </c>
      <c r="E954" s="607" t="s">
        <v>2552</v>
      </c>
      <c r="F954" s="607" t="s">
        <v>2553</v>
      </c>
      <c r="G954" s="607" t="s">
        <v>1594</v>
      </c>
      <c r="H954" s="607" t="s">
        <v>1594</v>
      </c>
      <c r="I954" s="611" t="s">
        <v>2673</v>
      </c>
      <c r="J954" s="608" t="str">
        <f t="shared" si="29"/>
        <v>Household Appliances</v>
      </c>
      <c r="N954" s="822">
        <v>332999</v>
      </c>
      <c r="O954" s="822" t="s">
        <v>2471</v>
      </c>
      <c r="P954" s="823">
        <v>3543</v>
      </c>
      <c r="Q954" s="823" t="s">
        <v>2475</v>
      </c>
    </row>
    <row r="955" spans="2:17" s="608" customFormat="1" x14ac:dyDescent="0.25">
      <c r="B955" s="605" t="s">
        <v>2780</v>
      </c>
      <c r="C955" s="606">
        <f t="shared" si="28"/>
        <v>335210</v>
      </c>
      <c r="D955" s="607" t="s">
        <v>2781</v>
      </c>
      <c r="E955" s="607" t="s">
        <v>2782</v>
      </c>
      <c r="F955" s="607" t="s">
        <v>2783</v>
      </c>
      <c r="G955" s="607" t="s">
        <v>1594</v>
      </c>
      <c r="H955" s="607" t="s">
        <v>1594</v>
      </c>
      <c r="I955" s="611" t="s">
        <v>2673</v>
      </c>
      <c r="J955" s="608" t="str">
        <f t="shared" si="29"/>
        <v>Household Appliances</v>
      </c>
      <c r="N955" s="822">
        <v>332999</v>
      </c>
      <c r="O955" s="822" t="s">
        <v>2471</v>
      </c>
      <c r="P955" s="823">
        <v>3599</v>
      </c>
      <c r="Q955" s="823" t="s">
        <v>2408</v>
      </c>
    </row>
    <row r="956" spans="2:17" s="608" customFormat="1" x14ac:dyDescent="0.25">
      <c r="B956" s="605" t="s">
        <v>2780</v>
      </c>
      <c r="C956" s="606">
        <f t="shared" si="28"/>
        <v>335210</v>
      </c>
      <c r="D956" s="607" t="s">
        <v>2781</v>
      </c>
      <c r="E956" s="607" t="s">
        <v>2517</v>
      </c>
      <c r="F956" s="607" t="s">
        <v>2518</v>
      </c>
      <c r="G956" s="607" t="s">
        <v>1594</v>
      </c>
      <c r="H956" s="607" t="s">
        <v>1594</v>
      </c>
      <c r="I956" s="611" t="s">
        <v>2673</v>
      </c>
      <c r="J956" s="608" t="str">
        <f t="shared" si="29"/>
        <v>Household Appliances</v>
      </c>
      <c r="N956" s="822">
        <v>332999</v>
      </c>
      <c r="O956" s="822" t="s">
        <v>2471</v>
      </c>
      <c r="P956" s="823">
        <v>3914</v>
      </c>
      <c r="Q956" s="823" t="s">
        <v>2338</v>
      </c>
    </row>
    <row r="957" spans="2:17" s="608" customFormat="1" x14ac:dyDescent="0.25">
      <c r="B957" s="605" t="s">
        <v>2780</v>
      </c>
      <c r="C957" s="606">
        <f t="shared" si="28"/>
        <v>335210</v>
      </c>
      <c r="D957" s="607" t="s">
        <v>2781</v>
      </c>
      <c r="E957" s="607" t="s">
        <v>1756</v>
      </c>
      <c r="F957" s="607" t="s">
        <v>1757</v>
      </c>
      <c r="G957" s="607" t="s">
        <v>1594</v>
      </c>
      <c r="H957" s="607" t="s">
        <v>1594</v>
      </c>
      <c r="I957" s="611" t="s">
        <v>2673</v>
      </c>
      <c r="J957" s="608" t="str">
        <f t="shared" si="29"/>
        <v>Household Appliances</v>
      </c>
      <c r="N957" s="822">
        <v>332999</v>
      </c>
      <c r="O957" s="822" t="s">
        <v>2471</v>
      </c>
      <c r="P957" s="823">
        <v>3999</v>
      </c>
      <c r="Q957" s="823" t="s">
        <v>1757</v>
      </c>
    </row>
    <row r="958" spans="2:17" s="608" customFormat="1" x14ac:dyDescent="0.25">
      <c r="B958" s="605" t="s">
        <v>2784</v>
      </c>
      <c r="C958" s="606">
        <f t="shared" si="28"/>
        <v>335220</v>
      </c>
      <c r="D958" s="607" t="s">
        <v>2785</v>
      </c>
      <c r="E958" s="607" t="s">
        <v>2786</v>
      </c>
      <c r="F958" s="607" t="s">
        <v>2787</v>
      </c>
      <c r="G958" s="607" t="s">
        <v>1594</v>
      </c>
      <c r="H958" s="607" t="s">
        <v>1594</v>
      </c>
      <c r="I958" s="607" t="s">
        <v>2673</v>
      </c>
      <c r="J958" s="608" t="str">
        <f t="shared" si="29"/>
        <v>Household Appliances</v>
      </c>
      <c r="N958" s="822">
        <v>333111</v>
      </c>
      <c r="O958" s="822" t="s">
        <v>2478</v>
      </c>
      <c r="P958" s="823">
        <v>3523</v>
      </c>
      <c r="Q958" s="823" t="s">
        <v>2346</v>
      </c>
    </row>
    <row r="959" spans="2:17" s="608" customFormat="1" x14ac:dyDescent="0.25">
      <c r="B959" s="605" t="s">
        <v>2784</v>
      </c>
      <c r="C959" s="606">
        <f t="shared" si="28"/>
        <v>335220</v>
      </c>
      <c r="D959" s="607" t="s">
        <v>2785</v>
      </c>
      <c r="E959" s="607" t="s">
        <v>2788</v>
      </c>
      <c r="F959" s="607" t="s">
        <v>2789</v>
      </c>
      <c r="G959" s="607" t="s">
        <v>1594</v>
      </c>
      <c r="H959" s="607" t="s">
        <v>1594</v>
      </c>
      <c r="I959" s="607" t="s">
        <v>2673</v>
      </c>
      <c r="J959" s="608" t="str">
        <f t="shared" si="29"/>
        <v>Household Appliances</v>
      </c>
      <c r="N959" s="822">
        <v>333111</v>
      </c>
      <c r="O959" s="822" t="s">
        <v>2478</v>
      </c>
      <c r="P959" s="823">
        <v>3559</v>
      </c>
      <c r="Q959" s="823" t="s">
        <v>2380</v>
      </c>
    </row>
    <row r="960" spans="2:17" s="608" customFormat="1" x14ac:dyDescent="0.25">
      <c r="B960" s="605" t="s">
        <v>2784</v>
      </c>
      <c r="C960" s="606">
        <f t="shared" si="28"/>
        <v>335220</v>
      </c>
      <c r="D960" s="607" t="s">
        <v>2785</v>
      </c>
      <c r="E960" s="607" t="s">
        <v>2790</v>
      </c>
      <c r="F960" s="607" t="s">
        <v>2791</v>
      </c>
      <c r="G960" s="607" t="s">
        <v>1594</v>
      </c>
      <c r="H960" s="607" t="s">
        <v>1594</v>
      </c>
      <c r="I960" s="607" t="s">
        <v>2673</v>
      </c>
      <c r="J960" s="608" t="str">
        <f t="shared" si="29"/>
        <v>Household Appliances</v>
      </c>
      <c r="N960" s="822">
        <v>333112</v>
      </c>
      <c r="O960" s="822" t="s">
        <v>2480</v>
      </c>
      <c r="P960" s="823">
        <v>3524</v>
      </c>
      <c r="Q960" s="823" t="s">
        <v>2348</v>
      </c>
    </row>
    <row r="961" spans="2:17" s="608" customFormat="1" x14ac:dyDescent="0.25">
      <c r="B961" s="605" t="s">
        <v>2784</v>
      </c>
      <c r="C961" s="606">
        <f t="shared" si="28"/>
        <v>335220</v>
      </c>
      <c r="D961" s="607" t="s">
        <v>2785</v>
      </c>
      <c r="E961" s="607" t="s">
        <v>2517</v>
      </c>
      <c r="F961" s="607" t="s">
        <v>2518</v>
      </c>
      <c r="G961" s="607" t="s">
        <v>1594</v>
      </c>
      <c r="H961" s="607" t="s">
        <v>1594</v>
      </c>
      <c r="I961" s="607" t="s">
        <v>2673</v>
      </c>
      <c r="J961" s="608" t="str">
        <f t="shared" si="29"/>
        <v>Household Appliances</v>
      </c>
      <c r="N961" s="822">
        <v>333120</v>
      </c>
      <c r="O961" s="822" t="s">
        <v>2482</v>
      </c>
      <c r="P961" s="823">
        <v>3531</v>
      </c>
      <c r="Q961" s="823" t="s">
        <v>2484</v>
      </c>
    </row>
    <row r="962" spans="2:17" s="608" customFormat="1" x14ac:dyDescent="0.25">
      <c r="B962" s="605" t="s">
        <v>2792</v>
      </c>
      <c r="C962" s="606">
        <f t="shared" ref="C962:C1025" si="30">B962+0</f>
        <v>335311</v>
      </c>
      <c r="D962" s="607" t="s">
        <v>2793</v>
      </c>
      <c r="E962" s="607" t="s">
        <v>2629</v>
      </c>
      <c r="F962" s="607" t="s">
        <v>2630</v>
      </c>
      <c r="G962" s="609" t="s">
        <v>1019</v>
      </c>
      <c r="H962" s="607" t="s">
        <v>1019</v>
      </c>
      <c r="I962" s="607" t="s">
        <v>1755</v>
      </c>
      <c r="J962" s="608" t="str">
        <f t="shared" ref="J962:J1025" si="31">PROPER(I962)</f>
        <v>Manufacturing</v>
      </c>
      <c r="N962" s="822">
        <v>333131</v>
      </c>
      <c r="O962" s="822" t="s">
        <v>2486</v>
      </c>
      <c r="P962" s="823">
        <v>3532</v>
      </c>
      <c r="Q962" s="823" t="s">
        <v>2488</v>
      </c>
    </row>
    <row r="963" spans="2:17" s="608" customFormat="1" x14ac:dyDescent="0.25">
      <c r="B963" s="605" t="s">
        <v>2792</v>
      </c>
      <c r="C963" s="606">
        <f t="shared" si="30"/>
        <v>335311</v>
      </c>
      <c r="D963" s="607" t="s">
        <v>2793</v>
      </c>
      <c r="E963" s="607" t="s">
        <v>2794</v>
      </c>
      <c r="F963" s="607" t="s">
        <v>2795</v>
      </c>
      <c r="G963" s="609" t="s">
        <v>1019</v>
      </c>
      <c r="H963" s="607" t="s">
        <v>1019</v>
      </c>
      <c r="I963" s="607" t="s">
        <v>1755</v>
      </c>
      <c r="J963" s="608" t="str">
        <f t="shared" si="31"/>
        <v>Manufacturing</v>
      </c>
      <c r="N963" s="822">
        <v>333132</v>
      </c>
      <c r="O963" s="822" t="s">
        <v>2490</v>
      </c>
      <c r="P963" s="823">
        <v>3533</v>
      </c>
      <c r="Q963" s="823" t="s">
        <v>2492</v>
      </c>
    </row>
    <row r="964" spans="2:17" s="608" customFormat="1" x14ac:dyDescent="0.25">
      <c r="B964" s="605" t="s">
        <v>2796</v>
      </c>
      <c r="C964" s="606">
        <f t="shared" si="30"/>
        <v>335312</v>
      </c>
      <c r="D964" s="607" t="s">
        <v>2797</v>
      </c>
      <c r="E964" s="607" t="s">
        <v>2798</v>
      </c>
      <c r="F964" s="607" t="s">
        <v>2799</v>
      </c>
      <c r="G964" s="609" t="s">
        <v>1019</v>
      </c>
      <c r="H964" s="607" t="s">
        <v>1019</v>
      </c>
      <c r="I964" s="607" t="s">
        <v>1755</v>
      </c>
      <c r="J964" s="608" t="str">
        <f t="shared" si="31"/>
        <v>Manufacturing</v>
      </c>
      <c r="N964" s="823">
        <v>333210</v>
      </c>
      <c r="O964" s="823" t="s">
        <v>5944</v>
      </c>
      <c r="P964" s="823"/>
      <c r="Q964" s="823" t="s">
        <v>958</v>
      </c>
    </row>
    <row r="965" spans="2:17" s="608" customFormat="1" x14ac:dyDescent="0.25">
      <c r="B965" s="605" t="s">
        <v>2796</v>
      </c>
      <c r="C965" s="606">
        <f t="shared" si="30"/>
        <v>335312</v>
      </c>
      <c r="D965" s="607" t="s">
        <v>2797</v>
      </c>
      <c r="E965" s="605" t="s">
        <v>2800</v>
      </c>
      <c r="F965" s="607" t="s">
        <v>2801</v>
      </c>
      <c r="G965" s="607" t="s">
        <v>1019</v>
      </c>
      <c r="H965" s="607" t="s">
        <v>1019</v>
      </c>
      <c r="I965" s="607" t="s">
        <v>1755</v>
      </c>
      <c r="J965" s="608" t="str">
        <f t="shared" si="31"/>
        <v>Manufacturing</v>
      </c>
      <c r="N965" s="823">
        <v>333220</v>
      </c>
      <c r="O965" s="823" t="s">
        <v>5945</v>
      </c>
      <c r="P965" s="823"/>
      <c r="Q965" s="823" t="s">
        <v>958</v>
      </c>
    </row>
    <row r="966" spans="2:17" s="608" customFormat="1" x14ac:dyDescent="0.25">
      <c r="B966" s="605" t="s">
        <v>2802</v>
      </c>
      <c r="C966" s="606">
        <f t="shared" si="30"/>
        <v>335313</v>
      </c>
      <c r="D966" s="607" t="s">
        <v>2803</v>
      </c>
      <c r="E966" s="607" t="s">
        <v>2804</v>
      </c>
      <c r="F966" s="607" t="s">
        <v>2805</v>
      </c>
      <c r="G966" s="609" t="s">
        <v>1019</v>
      </c>
      <c r="H966" s="607" t="s">
        <v>1019</v>
      </c>
      <c r="I966" s="607" t="s">
        <v>1755</v>
      </c>
      <c r="J966" s="608" t="str">
        <f t="shared" si="31"/>
        <v>Manufacturing</v>
      </c>
      <c r="N966" s="822">
        <v>333241</v>
      </c>
      <c r="O966" s="822" t="s">
        <v>2494</v>
      </c>
      <c r="P966" s="823">
        <v>3556</v>
      </c>
      <c r="Q966" s="823" t="s">
        <v>2496</v>
      </c>
    </row>
    <row r="967" spans="2:17" s="608" customFormat="1" x14ac:dyDescent="0.25">
      <c r="B967" s="605" t="s">
        <v>2806</v>
      </c>
      <c r="C967" s="606">
        <f t="shared" si="30"/>
        <v>335314</v>
      </c>
      <c r="D967" s="607" t="s">
        <v>2807</v>
      </c>
      <c r="E967" s="607" t="s">
        <v>2808</v>
      </c>
      <c r="F967" s="607" t="s">
        <v>2809</v>
      </c>
      <c r="G967" s="609" t="s">
        <v>1019</v>
      </c>
      <c r="H967" s="607" t="s">
        <v>1019</v>
      </c>
      <c r="I967" s="607" t="s">
        <v>1755</v>
      </c>
      <c r="J967" s="608" t="str">
        <f t="shared" si="31"/>
        <v>Manufacturing</v>
      </c>
      <c r="N967" s="822">
        <v>333242</v>
      </c>
      <c r="O967" s="822" t="s">
        <v>2498</v>
      </c>
      <c r="P967" s="823">
        <v>3559</v>
      </c>
      <c r="Q967" s="823" t="s">
        <v>2380</v>
      </c>
    </row>
    <row r="968" spans="2:17" s="608" customFormat="1" x14ac:dyDescent="0.25">
      <c r="B968" s="605" t="s">
        <v>2810</v>
      </c>
      <c r="C968" s="606">
        <f t="shared" si="30"/>
        <v>335911</v>
      </c>
      <c r="D968" s="607" t="s">
        <v>2811</v>
      </c>
      <c r="E968" s="607" t="s">
        <v>2812</v>
      </c>
      <c r="F968" s="607" t="s">
        <v>2813</v>
      </c>
      <c r="G968" s="607" t="s">
        <v>1019</v>
      </c>
      <c r="H968" s="607" t="s">
        <v>1019</v>
      </c>
      <c r="I968" s="607" t="s">
        <v>1755</v>
      </c>
      <c r="J968" s="608" t="str">
        <f t="shared" si="31"/>
        <v>Manufacturing</v>
      </c>
      <c r="N968" s="822">
        <v>333243</v>
      </c>
      <c r="O968" s="822" t="s">
        <v>2500</v>
      </c>
      <c r="P968" s="823">
        <v>3553</v>
      </c>
      <c r="Q968" s="823" t="s">
        <v>2502</v>
      </c>
    </row>
    <row r="969" spans="2:17" s="608" customFormat="1" x14ac:dyDescent="0.25">
      <c r="B969" s="605" t="s">
        <v>2814</v>
      </c>
      <c r="C969" s="606">
        <f t="shared" si="30"/>
        <v>335912</v>
      </c>
      <c r="D969" s="607" t="s">
        <v>2815</v>
      </c>
      <c r="E969" s="607" t="s">
        <v>2816</v>
      </c>
      <c r="F969" s="607" t="s">
        <v>2817</v>
      </c>
      <c r="G969" s="607" t="s">
        <v>1019</v>
      </c>
      <c r="H969" s="607" t="s">
        <v>1019</v>
      </c>
      <c r="I969" s="607" t="s">
        <v>1755</v>
      </c>
      <c r="J969" s="608" t="str">
        <f t="shared" si="31"/>
        <v>Manufacturing</v>
      </c>
      <c r="N969" s="822">
        <v>333243</v>
      </c>
      <c r="O969" s="822" t="s">
        <v>2500</v>
      </c>
      <c r="P969" s="823">
        <v>3554</v>
      </c>
      <c r="Q969" s="823" t="s">
        <v>2504</v>
      </c>
    </row>
    <row r="970" spans="2:17" s="608" customFormat="1" x14ac:dyDescent="0.25">
      <c r="B970" s="605" t="s">
        <v>2818</v>
      </c>
      <c r="C970" s="606">
        <f t="shared" si="30"/>
        <v>335921</v>
      </c>
      <c r="D970" s="607" t="s">
        <v>2819</v>
      </c>
      <c r="E970" s="607" t="s">
        <v>2262</v>
      </c>
      <c r="F970" s="607" t="s">
        <v>2263</v>
      </c>
      <c r="G970" s="607" t="s">
        <v>1100</v>
      </c>
      <c r="H970" s="607" t="s">
        <v>1100</v>
      </c>
      <c r="I970" s="607" t="s">
        <v>1101</v>
      </c>
      <c r="J970" s="608" t="str">
        <f t="shared" si="31"/>
        <v>Metals And Mining</v>
      </c>
      <c r="N970" s="822">
        <v>333244</v>
      </c>
      <c r="O970" s="822" t="s">
        <v>2506</v>
      </c>
      <c r="P970" s="823">
        <v>3555</v>
      </c>
      <c r="Q970" s="823" t="s">
        <v>2508</v>
      </c>
    </row>
    <row r="971" spans="2:17" s="608" customFormat="1" ht="30" x14ac:dyDescent="0.25">
      <c r="B971" s="605" t="s">
        <v>2820</v>
      </c>
      <c r="C971" s="606">
        <f t="shared" si="30"/>
        <v>335929</v>
      </c>
      <c r="D971" s="607" t="s">
        <v>2821</v>
      </c>
      <c r="E971" s="607" t="s">
        <v>2262</v>
      </c>
      <c r="F971" s="607" t="s">
        <v>2263</v>
      </c>
      <c r="G971" s="607" t="s">
        <v>2509</v>
      </c>
      <c r="H971" s="607" t="s">
        <v>2509</v>
      </c>
      <c r="I971" s="607" t="s">
        <v>2510</v>
      </c>
      <c r="J971" s="608" t="str">
        <f t="shared" si="31"/>
        <v>Technology Hardwr Equip</v>
      </c>
      <c r="N971" s="822">
        <v>333249</v>
      </c>
      <c r="O971" s="822" t="s">
        <v>2512</v>
      </c>
      <c r="P971" s="823">
        <v>2599</v>
      </c>
      <c r="Q971" s="823" t="s">
        <v>2514</v>
      </c>
    </row>
    <row r="972" spans="2:17" s="608" customFormat="1" x14ac:dyDescent="0.25">
      <c r="B972" s="605" t="s">
        <v>2822</v>
      </c>
      <c r="C972" s="606">
        <f t="shared" si="30"/>
        <v>335931</v>
      </c>
      <c r="D972" s="607" t="s">
        <v>2823</v>
      </c>
      <c r="E972" s="607" t="s">
        <v>2824</v>
      </c>
      <c r="F972" s="607" t="s">
        <v>2825</v>
      </c>
      <c r="G972" s="609" t="s">
        <v>1019</v>
      </c>
      <c r="H972" s="607" t="s">
        <v>1019</v>
      </c>
      <c r="I972" s="607" t="s">
        <v>1755</v>
      </c>
      <c r="J972" s="608" t="str">
        <f t="shared" si="31"/>
        <v>Manufacturing</v>
      </c>
      <c r="N972" s="822">
        <v>333249</v>
      </c>
      <c r="O972" s="822" t="s">
        <v>2512</v>
      </c>
      <c r="P972" s="823">
        <v>3552</v>
      </c>
      <c r="Q972" s="823" t="s">
        <v>2516</v>
      </c>
    </row>
    <row r="973" spans="2:17" s="608" customFormat="1" x14ac:dyDescent="0.25">
      <c r="B973" s="605" t="s">
        <v>2826</v>
      </c>
      <c r="C973" s="606">
        <f t="shared" si="30"/>
        <v>335932</v>
      </c>
      <c r="D973" s="607" t="s">
        <v>2827</v>
      </c>
      <c r="E973" s="607" t="s">
        <v>2351</v>
      </c>
      <c r="F973" s="607" t="s">
        <v>2352</v>
      </c>
      <c r="G973" s="609" t="s">
        <v>1019</v>
      </c>
      <c r="H973" s="607" t="s">
        <v>1019</v>
      </c>
      <c r="I973" s="607" t="s">
        <v>1755</v>
      </c>
      <c r="J973" s="608" t="str">
        <f t="shared" si="31"/>
        <v>Manufacturing</v>
      </c>
      <c r="N973" s="822">
        <v>333249</v>
      </c>
      <c r="O973" s="822" t="s">
        <v>2512</v>
      </c>
      <c r="P973" s="823">
        <v>3559</v>
      </c>
      <c r="Q973" s="823" t="s">
        <v>2380</v>
      </c>
    </row>
    <row r="974" spans="2:17" s="608" customFormat="1" x14ac:dyDescent="0.25">
      <c r="B974" s="605" t="s">
        <v>2828</v>
      </c>
      <c r="C974" s="606">
        <f t="shared" si="30"/>
        <v>335991</v>
      </c>
      <c r="D974" s="607" t="s">
        <v>2829</v>
      </c>
      <c r="E974" s="607" t="s">
        <v>2830</v>
      </c>
      <c r="F974" s="607" t="s">
        <v>2831</v>
      </c>
      <c r="G974" s="609" t="s">
        <v>1019</v>
      </c>
      <c r="H974" s="607" t="s">
        <v>1019</v>
      </c>
      <c r="I974" s="607" t="s">
        <v>1755</v>
      </c>
      <c r="J974" s="608" t="str">
        <f t="shared" si="31"/>
        <v>Manufacturing</v>
      </c>
      <c r="N974" s="822">
        <v>333249</v>
      </c>
      <c r="O974" s="822" t="s">
        <v>2512</v>
      </c>
      <c r="P974" s="823">
        <v>3639</v>
      </c>
      <c r="Q974" s="823" t="s">
        <v>2518</v>
      </c>
    </row>
    <row r="975" spans="2:17" s="608" customFormat="1" x14ac:dyDescent="0.25">
      <c r="B975" s="605" t="s">
        <v>2832</v>
      </c>
      <c r="C975" s="606">
        <f t="shared" si="30"/>
        <v>335999</v>
      </c>
      <c r="D975" s="607" t="s">
        <v>2833</v>
      </c>
      <c r="E975" s="607" t="s">
        <v>2834</v>
      </c>
      <c r="F975" s="607" t="s">
        <v>2835</v>
      </c>
      <c r="G975" s="609" t="s">
        <v>1019</v>
      </c>
      <c r="H975" s="607" t="s">
        <v>1019</v>
      </c>
      <c r="I975" s="607" t="s">
        <v>1755</v>
      </c>
      <c r="J975" s="608" t="str">
        <f t="shared" si="31"/>
        <v>Manufacturing</v>
      </c>
      <c r="N975" s="822">
        <v>333249</v>
      </c>
      <c r="O975" s="822" t="s">
        <v>2512</v>
      </c>
      <c r="P975" s="823">
        <v>3821</v>
      </c>
      <c r="Q975" s="823" t="s">
        <v>2520</v>
      </c>
    </row>
    <row r="976" spans="2:17" s="608" customFormat="1" x14ac:dyDescent="0.25">
      <c r="B976" s="605" t="s">
        <v>2832</v>
      </c>
      <c r="C976" s="606">
        <f t="shared" si="30"/>
        <v>335999</v>
      </c>
      <c r="D976" s="607" t="s">
        <v>2833</v>
      </c>
      <c r="E976" s="607" t="s">
        <v>2542</v>
      </c>
      <c r="F976" s="607" t="s">
        <v>2543</v>
      </c>
      <c r="G976" s="607" t="s">
        <v>1019</v>
      </c>
      <c r="H976" s="607" t="s">
        <v>1019</v>
      </c>
      <c r="I976" s="607" t="s">
        <v>1755</v>
      </c>
      <c r="J976" s="608" t="str">
        <f t="shared" si="31"/>
        <v>Manufacturing</v>
      </c>
      <c r="N976" s="822">
        <v>333249</v>
      </c>
      <c r="O976" s="822" t="s">
        <v>2512</v>
      </c>
      <c r="P976" s="823">
        <v>3841</v>
      </c>
      <c r="Q976" s="823" t="s">
        <v>2465</v>
      </c>
    </row>
    <row r="977" spans="2:17" s="608" customFormat="1" x14ac:dyDescent="0.25">
      <c r="B977" s="605" t="s">
        <v>2836</v>
      </c>
      <c r="C977" s="606">
        <f t="shared" si="30"/>
        <v>336111</v>
      </c>
      <c r="D977" s="607" t="s">
        <v>2837</v>
      </c>
      <c r="E977" s="607" t="s">
        <v>2838</v>
      </c>
      <c r="F977" s="607" t="s">
        <v>2839</v>
      </c>
      <c r="G977" s="607" t="s">
        <v>1019</v>
      </c>
      <c r="H977" s="607" t="s">
        <v>1019</v>
      </c>
      <c r="I977" s="607" t="s">
        <v>2123</v>
      </c>
      <c r="J977" s="608" t="str">
        <f t="shared" si="31"/>
        <v>Automobile &amp; Components</v>
      </c>
      <c r="N977" s="823">
        <v>333291</v>
      </c>
      <c r="O977" s="823" t="s">
        <v>5946</v>
      </c>
      <c r="P977" s="823"/>
      <c r="Q977" s="823" t="s">
        <v>958</v>
      </c>
    </row>
    <row r="978" spans="2:17" s="608" customFormat="1" x14ac:dyDescent="0.25">
      <c r="B978" s="605" t="s">
        <v>2840</v>
      </c>
      <c r="C978" s="606">
        <f t="shared" si="30"/>
        <v>336112</v>
      </c>
      <c r="D978" s="607" t="s">
        <v>2841</v>
      </c>
      <c r="E978" s="607" t="s">
        <v>2838</v>
      </c>
      <c r="F978" s="607" t="s">
        <v>2839</v>
      </c>
      <c r="G978" s="609" t="s">
        <v>1594</v>
      </c>
      <c r="H978" s="609" t="s">
        <v>1594</v>
      </c>
      <c r="I978" s="607" t="s">
        <v>2842</v>
      </c>
      <c r="J978" s="608" t="str">
        <f t="shared" si="31"/>
        <v>Automobile</v>
      </c>
      <c r="N978" s="823">
        <v>333292</v>
      </c>
      <c r="O978" s="823" t="s">
        <v>5947</v>
      </c>
      <c r="P978" s="823"/>
      <c r="Q978" s="823" t="s">
        <v>958</v>
      </c>
    </row>
    <row r="979" spans="2:17" s="608" customFormat="1" x14ac:dyDescent="0.25">
      <c r="B979" s="605" t="s">
        <v>2843</v>
      </c>
      <c r="C979" s="606">
        <f t="shared" si="30"/>
        <v>336120</v>
      </c>
      <c r="D979" s="607" t="s">
        <v>2844</v>
      </c>
      <c r="E979" s="607" t="s">
        <v>2838</v>
      </c>
      <c r="F979" s="607" t="s">
        <v>2839</v>
      </c>
      <c r="G979" s="607" t="s">
        <v>1019</v>
      </c>
      <c r="H979" s="607" t="s">
        <v>1019</v>
      </c>
      <c r="I979" s="607" t="s">
        <v>2476</v>
      </c>
      <c r="J979" s="608" t="str">
        <f t="shared" si="31"/>
        <v>Machinery</v>
      </c>
      <c r="N979" s="823">
        <v>333293</v>
      </c>
      <c r="O979" s="823" t="s">
        <v>2506</v>
      </c>
      <c r="P979" s="823"/>
      <c r="Q979" s="823" t="s">
        <v>958</v>
      </c>
    </row>
    <row r="980" spans="2:17" s="608" customFormat="1" x14ac:dyDescent="0.25">
      <c r="B980" s="605" t="s">
        <v>2845</v>
      </c>
      <c r="C980" s="606">
        <f t="shared" si="30"/>
        <v>336211</v>
      </c>
      <c r="D980" s="607" t="s">
        <v>2846</v>
      </c>
      <c r="E980" s="607" t="s">
        <v>2838</v>
      </c>
      <c r="F980" s="607" t="s">
        <v>2839</v>
      </c>
      <c r="G980" s="607" t="s">
        <v>1594</v>
      </c>
      <c r="H980" s="607" t="s">
        <v>1594</v>
      </c>
      <c r="I980" s="607" t="s">
        <v>2842</v>
      </c>
      <c r="J980" s="608" t="str">
        <f t="shared" si="31"/>
        <v>Automobile</v>
      </c>
      <c r="N980" s="823">
        <v>333294</v>
      </c>
      <c r="O980" s="823" t="s">
        <v>2494</v>
      </c>
      <c r="P980" s="823"/>
      <c r="Q980" s="823" t="s">
        <v>958</v>
      </c>
    </row>
    <row r="981" spans="2:17" s="608" customFormat="1" x14ac:dyDescent="0.25">
      <c r="B981" s="605" t="s">
        <v>2845</v>
      </c>
      <c r="C981" s="606">
        <f t="shared" si="30"/>
        <v>336211</v>
      </c>
      <c r="D981" s="607" t="s">
        <v>2846</v>
      </c>
      <c r="E981" s="607" t="s">
        <v>2847</v>
      </c>
      <c r="F981" s="607" t="s">
        <v>2848</v>
      </c>
      <c r="G981" s="607" t="s">
        <v>1594</v>
      </c>
      <c r="H981" s="607" t="s">
        <v>1594</v>
      </c>
      <c r="I981" s="607" t="s">
        <v>2842</v>
      </c>
      <c r="J981" s="608" t="str">
        <f t="shared" si="31"/>
        <v>Automobile</v>
      </c>
      <c r="N981" s="823">
        <v>333295</v>
      </c>
      <c r="O981" s="823" t="s">
        <v>2498</v>
      </c>
      <c r="P981" s="823"/>
      <c r="Q981" s="823" t="s">
        <v>958</v>
      </c>
    </row>
    <row r="982" spans="2:17" s="608" customFormat="1" x14ac:dyDescent="0.25">
      <c r="B982" s="605" t="s">
        <v>2845</v>
      </c>
      <c r="C982" s="606">
        <f t="shared" si="30"/>
        <v>336211</v>
      </c>
      <c r="D982" s="607" t="s">
        <v>2846</v>
      </c>
      <c r="E982" s="607" t="s">
        <v>2849</v>
      </c>
      <c r="F982" s="607" t="s">
        <v>2850</v>
      </c>
      <c r="G982" s="607" t="s">
        <v>1594</v>
      </c>
      <c r="H982" s="607" t="s">
        <v>1594</v>
      </c>
      <c r="I982" s="607" t="s">
        <v>2842</v>
      </c>
      <c r="J982" s="608" t="str">
        <f t="shared" si="31"/>
        <v>Automobile</v>
      </c>
      <c r="N982" s="823">
        <v>333298</v>
      </c>
      <c r="O982" s="823" t="s">
        <v>5948</v>
      </c>
      <c r="P982" s="823"/>
      <c r="Q982" s="823" t="s">
        <v>958</v>
      </c>
    </row>
    <row r="983" spans="2:17" s="608" customFormat="1" x14ac:dyDescent="0.25">
      <c r="B983" s="605" t="s">
        <v>2851</v>
      </c>
      <c r="C983" s="606">
        <f t="shared" si="30"/>
        <v>336212</v>
      </c>
      <c r="D983" s="607" t="s">
        <v>2852</v>
      </c>
      <c r="E983" s="607" t="s">
        <v>2853</v>
      </c>
      <c r="F983" s="607" t="s">
        <v>2854</v>
      </c>
      <c r="G983" s="609" t="s">
        <v>1594</v>
      </c>
      <c r="H983" s="609" t="s">
        <v>1594</v>
      </c>
      <c r="I983" s="607" t="s">
        <v>2842</v>
      </c>
      <c r="J983" s="608" t="str">
        <f t="shared" si="31"/>
        <v>Automobile</v>
      </c>
      <c r="N983" s="823">
        <v>333311</v>
      </c>
      <c r="O983" s="823" t="s">
        <v>5949</v>
      </c>
      <c r="P983" s="823"/>
      <c r="Q983" s="823" t="s">
        <v>958</v>
      </c>
    </row>
    <row r="984" spans="2:17" s="608" customFormat="1" x14ac:dyDescent="0.25">
      <c r="B984" s="605" t="s">
        <v>2855</v>
      </c>
      <c r="C984" s="606">
        <f t="shared" si="30"/>
        <v>336213</v>
      </c>
      <c r="D984" s="607" t="s">
        <v>2856</v>
      </c>
      <c r="E984" s="607" t="s">
        <v>2857</v>
      </c>
      <c r="F984" s="607" t="s">
        <v>2858</v>
      </c>
      <c r="G984" s="609" t="s">
        <v>1594</v>
      </c>
      <c r="H984" s="609" t="s">
        <v>1594</v>
      </c>
      <c r="I984" s="607" t="s">
        <v>2842</v>
      </c>
      <c r="J984" s="608" t="str">
        <f t="shared" si="31"/>
        <v>Automobile</v>
      </c>
      <c r="N984" s="823">
        <v>333312</v>
      </c>
      <c r="O984" s="823" t="s">
        <v>5950</v>
      </c>
      <c r="P984" s="823"/>
      <c r="Q984" s="823" t="s">
        <v>958</v>
      </c>
    </row>
    <row r="985" spans="2:17" s="608" customFormat="1" x14ac:dyDescent="0.25">
      <c r="B985" s="605" t="s">
        <v>2859</v>
      </c>
      <c r="C985" s="606">
        <f t="shared" si="30"/>
        <v>336214</v>
      </c>
      <c r="D985" s="607" t="s">
        <v>2860</v>
      </c>
      <c r="E985" s="607" t="s">
        <v>2861</v>
      </c>
      <c r="F985" s="607" t="s">
        <v>2862</v>
      </c>
      <c r="G985" s="609" t="s">
        <v>1594</v>
      </c>
      <c r="H985" s="609" t="s">
        <v>1594</v>
      </c>
      <c r="I985" s="607" t="s">
        <v>2842</v>
      </c>
      <c r="J985" s="608" t="str">
        <f t="shared" si="31"/>
        <v>Automobile</v>
      </c>
      <c r="N985" s="823">
        <v>333313</v>
      </c>
      <c r="O985" s="823" t="s">
        <v>5951</v>
      </c>
      <c r="P985" s="823"/>
      <c r="Q985" s="823" t="s">
        <v>958</v>
      </c>
    </row>
    <row r="986" spans="2:17" s="608" customFormat="1" x14ac:dyDescent="0.25">
      <c r="B986" s="605" t="s">
        <v>2859</v>
      </c>
      <c r="C986" s="606">
        <f t="shared" si="30"/>
        <v>336214</v>
      </c>
      <c r="D986" s="607" t="s">
        <v>2860</v>
      </c>
      <c r="E986" s="607" t="s">
        <v>2621</v>
      </c>
      <c r="F986" s="607" t="s">
        <v>2622</v>
      </c>
      <c r="G986" s="609" t="s">
        <v>1594</v>
      </c>
      <c r="H986" s="609" t="s">
        <v>1594</v>
      </c>
      <c r="I986" s="607" t="s">
        <v>2842</v>
      </c>
      <c r="J986" s="608" t="str">
        <f t="shared" si="31"/>
        <v>Automobile</v>
      </c>
      <c r="N986" s="822">
        <v>333314</v>
      </c>
      <c r="O986" s="822" t="s">
        <v>2522</v>
      </c>
      <c r="P986" s="823">
        <v>3827</v>
      </c>
      <c r="Q986" s="823" t="s">
        <v>2524</v>
      </c>
    </row>
    <row r="987" spans="2:17" s="608" customFormat="1" x14ac:dyDescent="0.25">
      <c r="B987" s="605" t="s">
        <v>2863</v>
      </c>
      <c r="C987" s="606">
        <f t="shared" si="30"/>
        <v>336310</v>
      </c>
      <c r="D987" s="607" t="s">
        <v>2864</v>
      </c>
      <c r="E987" s="607" t="s">
        <v>2865</v>
      </c>
      <c r="F987" s="607" t="s">
        <v>2866</v>
      </c>
      <c r="G987" s="607" t="s">
        <v>1594</v>
      </c>
      <c r="H987" s="607" t="s">
        <v>1594</v>
      </c>
      <c r="I987" s="607" t="s">
        <v>2842</v>
      </c>
      <c r="J987" s="608" t="str">
        <f t="shared" si="31"/>
        <v>Automobile</v>
      </c>
      <c r="N987" s="823">
        <v>333315</v>
      </c>
      <c r="O987" s="823" t="s">
        <v>2526</v>
      </c>
      <c r="P987" s="823"/>
      <c r="Q987" s="823" t="s">
        <v>958</v>
      </c>
    </row>
    <row r="988" spans="2:17" s="608" customFormat="1" x14ac:dyDescent="0.25">
      <c r="B988" s="605" t="s">
        <v>2863</v>
      </c>
      <c r="C988" s="606">
        <f t="shared" si="30"/>
        <v>336310</v>
      </c>
      <c r="D988" s="607" t="s">
        <v>2864</v>
      </c>
      <c r="E988" s="607" t="s">
        <v>2849</v>
      </c>
      <c r="F988" s="607" t="s">
        <v>2850</v>
      </c>
      <c r="G988" s="607" t="s">
        <v>1594</v>
      </c>
      <c r="H988" s="607" t="s">
        <v>1594</v>
      </c>
      <c r="I988" s="607" t="s">
        <v>2842</v>
      </c>
      <c r="J988" s="608" t="str">
        <f t="shared" si="31"/>
        <v>Automobile</v>
      </c>
      <c r="N988" s="822">
        <v>333316</v>
      </c>
      <c r="O988" s="822" t="s">
        <v>2526</v>
      </c>
      <c r="P988" s="823">
        <v>3577</v>
      </c>
      <c r="Q988" s="823" t="s">
        <v>2528</v>
      </c>
    </row>
    <row r="989" spans="2:17" s="608" customFormat="1" x14ac:dyDescent="0.25">
      <c r="B989" s="605" t="s">
        <v>2867</v>
      </c>
      <c r="C989" s="606">
        <f t="shared" si="30"/>
        <v>336320</v>
      </c>
      <c r="D989" s="607" t="s">
        <v>2868</v>
      </c>
      <c r="E989" s="607" t="s">
        <v>2869</v>
      </c>
      <c r="F989" s="607" t="s">
        <v>2870</v>
      </c>
      <c r="G989" s="607" t="s">
        <v>1594</v>
      </c>
      <c r="H989" s="607" t="s">
        <v>1594</v>
      </c>
      <c r="I989" s="607" t="s">
        <v>2842</v>
      </c>
      <c r="J989" s="608" t="str">
        <f t="shared" si="31"/>
        <v>Automobile</v>
      </c>
      <c r="N989" s="822">
        <v>333316</v>
      </c>
      <c r="O989" s="822" t="s">
        <v>2526</v>
      </c>
      <c r="P989" s="823">
        <v>3578</v>
      </c>
      <c r="Q989" s="823" t="s">
        <v>2531</v>
      </c>
    </row>
    <row r="990" spans="2:17" s="608" customFormat="1" x14ac:dyDescent="0.25">
      <c r="B990" s="605" t="s">
        <v>2867</v>
      </c>
      <c r="C990" s="606">
        <f t="shared" si="30"/>
        <v>336320</v>
      </c>
      <c r="D990" s="607" t="s">
        <v>2868</v>
      </c>
      <c r="E990" s="607" t="s">
        <v>2871</v>
      </c>
      <c r="F990" s="607" t="s">
        <v>2872</v>
      </c>
      <c r="G990" s="607" t="s">
        <v>1594</v>
      </c>
      <c r="H990" s="607" t="s">
        <v>1594</v>
      </c>
      <c r="I990" s="607" t="s">
        <v>2842</v>
      </c>
      <c r="J990" s="608" t="str">
        <f t="shared" si="31"/>
        <v>Automobile</v>
      </c>
      <c r="N990" s="822">
        <v>333316</v>
      </c>
      <c r="O990" s="822" t="s">
        <v>2526</v>
      </c>
      <c r="P990" s="823">
        <v>3861</v>
      </c>
      <c r="Q990" s="823" t="s">
        <v>2074</v>
      </c>
    </row>
    <row r="991" spans="2:17" s="608" customFormat="1" x14ac:dyDescent="0.25">
      <c r="B991" s="605" t="s">
        <v>2867</v>
      </c>
      <c r="C991" s="606">
        <f t="shared" si="30"/>
        <v>336320</v>
      </c>
      <c r="D991" s="607" t="s">
        <v>2868</v>
      </c>
      <c r="E991" s="607" t="s">
        <v>2849</v>
      </c>
      <c r="F991" s="607" t="s">
        <v>2850</v>
      </c>
      <c r="G991" s="607" t="s">
        <v>1594</v>
      </c>
      <c r="H991" s="607" t="s">
        <v>1594</v>
      </c>
      <c r="I991" s="607" t="s">
        <v>2842</v>
      </c>
      <c r="J991" s="608" t="str">
        <f t="shared" si="31"/>
        <v>Automobile</v>
      </c>
      <c r="N991" s="822">
        <v>333318</v>
      </c>
      <c r="O991" s="822" t="s">
        <v>2533</v>
      </c>
      <c r="P991" s="823">
        <v>3559</v>
      </c>
      <c r="Q991" s="823" t="s">
        <v>2380</v>
      </c>
    </row>
    <row r="992" spans="2:17" s="608" customFormat="1" x14ac:dyDescent="0.25">
      <c r="B992" s="605" t="s">
        <v>2873</v>
      </c>
      <c r="C992" s="606">
        <f t="shared" si="30"/>
        <v>336330</v>
      </c>
      <c r="D992" s="607" t="s">
        <v>2874</v>
      </c>
      <c r="E992" s="607" t="s">
        <v>2849</v>
      </c>
      <c r="F992" s="607" t="s">
        <v>2850</v>
      </c>
      <c r="G992" s="607" t="s">
        <v>1594</v>
      </c>
      <c r="H992" s="607" t="s">
        <v>1594</v>
      </c>
      <c r="I992" s="607" t="s">
        <v>2842</v>
      </c>
      <c r="J992" s="608" t="str">
        <f t="shared" si="31"/>
        <v>Automobile</v>
      </c>
      <c r="N992" s="822">
        <v>333318</v>
      </c>
      <c r="O992" s="822" t="s">
        <v>2533</v>
      </c>
      <c r="P992" s="823">
        <v>3578</v>
      </c>
      <c r="Q992" s="823" t="s">
        <v>2531</v>
      </c>
    </row>
    <row r="993" spans="2:17" s="608" customFormat="1" x14ac:dyDescent="0.25">
      <c r="B993" s="605" t="s">
        <v>2875</v>
      </c>
      <c r="C993" s="606">
        <f t="shared" si="30"/>
        <v>336340</v>
      </c>
      <c r="D993" s="607" t="s">
        <v>2876</v>
      </c>
      <c r="E993" s="607" t="s">
        <v>2224</v>
      </c>
      <c r="F993" s="607" t="s">
        <v>2225</v>
      </c>
      <c r="G993" s="607" t="s">
        <v>1594</v>
      </c>
      <c r="H993" s="607" t="s">
        <v>1594</v>
      </c>
      <c r="I993" s="607" t="s">
        <v>2842</v>
      </c>
      <c r="J993" s="608" t="str">
        <f t="shared" si="31"/>
        <v>Automobile</v>
      </c>
      <c r="N993" s="822">
        <v>333318</v>
      </c>
      <c r="O993" s="822" t="s">
        <v>2533</v>
      </c>
      <c r="P993" s="823">
        <v>3579</v>
      </c>
      <c r="Q993" s="823" t="s">
        <v>2535</v>
      </c>
    </row>
    <row r="994" spans="2:17" s="608" customFormat="1" x14ac:dyDescent="0.25">
      <c r="B994" s="605" t="s">
        <v>2875</v>
      </c>
      <c r="C994" s="606">
        <f t="shared" si="30"/>
        <v>336340</v>
      </c>
      <c r="D994" s="607" t="s">
        <v>2876</v>
      </c>
      <c r="E994" s="607" t="s">
        <v>2849</v>
      </c>
      <c r="F994" s="607" t="s">
        <v>2850</v>
      </c>
      <c r="G994" s="607" t="s">
        <v>1594</v>
      </c>
      <c r="H994" s="607" t="s">
        <v>1594</v>
      </c>
      <c r="I994" s="607" t="s">
        <v>2842</v>
      </c>
      <c r="J994" s="608" t="str">
        <f t="shared" si="31"/>
        <v>Automobile</v>
      </c>
      <c r="N994" s="822">
        <v>333318</v>
      </c>
      <c r="O994" s="822" t="s">
        <v>2533</v>
      </c>
      <c r="P994" s="823">
        <v>3581</v>
      </c>
      <c r="Q994" s="823" t="s">
        <v>2537</v>
      </c>
    </row>
    <row r="995" spans="2:17" s="608" customFormat="1" x14ac:dyDescent="0.25">
      <c r="B995" s="605" t="s">
        <v>2877</v>
      </c>
      <c r="C995" s="606">
        <f t="shared" si="30"/>
        <v>336350</v>
      </c>
      <c r="D995" s="607" t="s">
        <v>2878</v>
      </c>
      <c r="E995" s="607" t="s">
        <v>2224</v>
      </c>
      <c r="F995" s="607" t="s">
        <v>2225</v>
      </c>
      <c r="G995" s="607" t="s">
        <v>1594</v>
      </c>
      <c r="H995" s="607" t="s">
        <v>1594</v>
      </c>
      <c r="I995" s="607" t="s">
        <v>2842</v>
      </c>
      <c r="J995" s="608" t="str">
        <f t="shared" si="31"/>
        <v>Automobile</v>
      </c>
      <c r="N995" s="822">
        <v>333318</v>
      </c>
      <c r="O995" s="822" t="s">
        <v>2533</v>
      </c>
      <c r="P995" s="823">
        <v>3582</v>
      </c>
      <c r="Q995" s="823" t="s">
        <v>2539</v>
      </c>
    </row>
    <row r="996" spans="2:17" s="608" customFormat="1" x14ac:dyDescent="0.25">
      <c r="B996" s="605" t="s">
        <v>2877</v>
      </c>
      <c r="C996" s="606">
        <f t="shared" si="30"/>
        <v>336350</v>
      </c>
      <c r="D996" s="607" t="s">
        <v>2878</v>
      </c>
      <c r="E996" s="607" t="s">
        <v>2849</v>
      </c>
      <c r="F996" s="607" t="s">
        <v>2850</v>
      </c>
      <c r="G996" s="607" t="s">
        <v>1594</v>
      </c>
      <c r="H996" s="607" t="s">
        <v>1594</v>
      </c>
      <c r="I996" s="607" t="s">
        <v>2842</v>
      </c>
      <c r="J996" s="608" t="str">
        <f t="shared" si="31"/>
        <v>Automobile</v>
      </c>
      <c r="N996" s="822">
        <v>333318</v>
      </c>
      <c r="O996" s="822" t="s">
        <v>2533</v>
      </c>
      <c r="P996" s="823">
        <v>3589</v>
      </c>
      <c r="Q996" s="823" t="s">
        <v>2541</v>
      </c>
    </row>
    <row r="997" spans="2:17" s="608" customFormat="1" x14ac:dyDescent="0.25">
      <c r="B997" s="605" t="s">
        <v>2879</v>
      </c>
      <c r="C997" s="606">
        <f t="shared" si="30"/>
        <v>336360</v>
      </c>
      <c r="D997" s="607" t="s">
        <v>2880</v>
      </c>
      <c r="E997" s="607" t="s">
        <v>1727</v>
      </c>
      <c r="F997" s="607" t="s">
        <v>1728</v>
      </c>
      <c r="G997" s="607" t="s">
        <v>1594</v>
      </c>
      <c r="H997" s="607" t="s">
        <v>1594</v>
      </c>
      <c r="I997" s="607" t="s">
        <v>1608</v>
      </c>
      <c r="J997" s="608" t="str">
        <f t="shared" si="31"/>
        <v>Textile Apparel Luxury Goods</v>
      </c>
      <c r="N997" s="822">
        <v>333318</v>
      </c>
      <c r="O997" s="822" t="s">
        <v>2533</v>
      </c>
      <c r="P997" s="823">
        <v>3599</v>
      </c>
      <c r="Q997" s="823" t="s">
        <v>2408</v>
      </c>
    </row>
    <row r="998" spans="2:17" s="608" customFormat="1" x14ac:dyDescent="0.25">
      <c r="B998" s="605" t="s">
        <v>2879</v>
      </c>
      <c r="C998" s="606">
        <f t="shared" si="30"/>
        <v>336360</v>
      </c>
      <c r="D998" s="607" t="s">
        <v>2880</v>
      </c>
      <c r="E998" s="607" t="s">
        <v>1729</v>
      </c>
      <c r="F998" s="607" t="s">
        <v>1730</v>
      </c>
      <c r="G998" s="607" t="s">
        <v>1594</v>
      </c>
      <c r="H998" s="607" t="s">
        <v>1594</v>
      </c>
      <c r="I998" s="607" t="s">
        <v>1608</v>
      </c>
      <c r="J998" s="608" t="str">
        <f t="shared" si="31"/>
        <v>Textile Apparel Luxury Goods</v>
      </c>
      <c r="N998" s="822">
        <v>333318</v>
      </c>
      <c r="O998" s="822" t="s">
        <v>2533</v>
      </c>
      <c r="P998" s="823">
        <v>3699</v>
      </c>
      <c r="Q998" s="823" t="s">
        <v>2543</v>
      </c>
    </row>
    <row r="999" spans="2:17" s="608" customFormat="1" x14ac:dyDescent="0.25">
      <c r="B999" s="605" t="s">
        <v>2879</v>
      </c>
      <c r="C999" s="606">
        <f t="shared" si="30"/>
        <v>336360</v>
      </c>
      <c r="D999" s="607" t="s">
        <v>2880</v>
      </c>
      <c r="E999" s="607" t="s">
        <v>2881</v>
      </c>
      <c r="F999" s="607" t="s">
        <v>2882</v>
      </c>
      <c r="G999" s="607" t="s">
        <v>1019</v>
      </c>
      <c r="H999" s="607" t="s">
        <v>1019</v>
      </c>
      <c r="I999" s="607" t="s">
        <v>2123</v>
      </c>
      <c r="J999" s="608" t="str">
        <f t="shared" si="31"/>
        <v>Automobile &amp; Components</v>
      </c>
      <c r="N999" s="822">
        <v>333318</v>
      </c>
      <c r="O999" s="822" t="s">
        <v>2533</v>
      </c>
      <c r="P999" s="823">
        <v>3999</v>
      </c>
      <c r="Q999" s="823" t="s">
        <v>1757</v>
      </c>
    </row>
    <row r="1000" spans="2:17" s="608" customFormat="1" ht="18" x14ac:dyDescent="0.3">
      <c r="B1000" s="605" t="s">
        <v>2879</v>
      </c>
      <c r="C1000" s="606">
        <f t="shared" si="30"/>
        <v>336360</v>
      </c>
      <c r="D1000" s="607" t="s">
        <v>2880</v>
      </c>
      <c r="E1000" s="607" t="s">
        <v>2323</v>
      </c>
      <c r="F1000" s="607" t="s">
        <v>2324</v>
      </c>
      <c r="G1000" s="607" t="s">
        <v>1019</v>
      </c>
      <c r="H1000" s="607" t="s">
        <v>1019</v>
      </c>
      <c r="I1000" s="607" t="s">
        <v>1755</v>
      </c>
      <c r="J1000" s="608" t="str">
        <f t="shared" si="31"/>
        <v>Manufacturing</v>
      </c>
      <c r="N1000" s="822">
        <v>333319</v>
      </c>
      <c r="O1000" s="824" t="s">
        <v>2533</v>
      </c>
      <c r="P1000" s="823"/>
      <c r="Q1000" s="823" t="s">
        <v>958</v>
      </c>
    </row>
    <row r="1001" spans="2:17" s="608" customFormat="1" x14ac:dyDescent="0.25">
      <c r="B1001" s="605" t="s">
        <v>2883</v>
      </c>
      <c r="C1001" s="606">
        <f t="shared" si="30"/>
        <v>336370</v>
      </c>
      <c r="D1001" s="607" t="s">
        <v>2884</v>
      </c>
      <c r="E1001" s="607" t="s">
        <v>2885</v>
      </c>
      <c r="F1001" s="607" t="s">
        <v>2886</v>
      </c>
      <c r="G1001" s="607" t="s">
        <v>1019</v>
      </c>
      <c r="H1001" s="607" t="s">
        <v>1019</v>
      </c>
      <c r="I1001" s="607" t="s">
        <v>1755</v>
      </c>
      <c r="J1001" s="608" t="str">
        <f t="shared" si="31"/>
        <v>Manufacturing</v>
      </c>
      <c r="N1001" s="823">
        <v>333411</v>
      </c>
      <c r="O1001" s="823" t="s">
        <v>5952</v>
      </c>
      <c r="P1001" s="823"/>
      <c r="Q1001" s="823" t="s">
        <v>958</v>
      </c>
    </row>
    <row r="1002" spans="2:17" s="608" customFormat="1" x14ac:dyDescent="0.25">
      <c r="B1002" s="605" t="s">
        <v>2887</v>
      </c>
      <c r="C1002" s="606">
        <f t="shared" si="30"/>
        <v>336390</v>
      </c>
      <c r="D1002" s="607" t="s">
        <v>2888</v>
      </c>
      <c r="E1002" s="607" t="s">
        <v>2391</v>
      </c>
      <c r="F1002" s="607" t="s">
        <v>2392</v>
      </c>
      <c r="G1002" s="607" t="s">
        <v>1594</v>
      </c>
      <c r="H1002" s="607" t="s">
        <v>1594</v>
      </c>
      <c r="I1002" s="607" t="s">
        <v>2842</v>
      </c>
      <c r="J1002" s="608" t="str">
        <f t="shared" si="31"/>
        <v>Automobile</v>
      </c>
      <c r="N1002" s="823">
        <v>333412</v>
      </c>
      <c r="O1002" s="823" t="s">
        <v>5953</v>
      </c>
      <c r="P1002" s="823"/>
      <c r="Q1002" s="823" t="s">
        <v>958</v>
      </c>
    </row>
    <row r="1003" spans="2:17" s="608" customFormat="1" x14ac:dyDescent="0.25">
      <c r="B1003" s="605" t="s">
        <v>2887</v>
      </c>
      <c r="C1003" s="606">
        <f t="shared" si="30"/>
        <v>336390</v>
      </c>
      <c r="D1003" s="607" t="s">
        <v>2888</v>
      </c>
      <c r="E1003" s="607" t="s">
        <v>2592</v>
      </c>
      <c r="F1003" s="607" t="s">
        <v>2593</v>
      </c>
      <c r="G1003" s="607" t="s">
        <v>1594</v>
      </c>
      <c r="H1003" s="607" t="s">
        <v>1594</v>
      </c>
      <c r="I1003" s="607" t="s">
        <v>2842</v>
      </c>
      <c r="J1003" s="608" t="str">
        <f t="shared" si="31"/>
        <v>Automobile</v>
      </c>
      <c r="N1003" s="822">
        <v>333413</v>
      </c>
      <c r="O1003" s="822" t="s">
        <v>2545</v>
      </c>
      <c r="P1003" s="823">
        <v>3564</v>
      </c>
      <c r="Q1003" s="823" t="s">
        <v>2547</v>
      </c>
    </row>
    <row r="1004" spans="2:17" s="608" customFormat="1" x14ac:dyDescent="0.25">
      <c r="B1004" s="605" t="s">
        <v>2887</v>
      </c>
      <c r="C1004" s="606">
        <f t="shared" si="30"/>
        <v>336390</v>
      </c>
      <c r="D1004" s="607" t="s">
        <v>2888</v>
      </c>
      <c r="E1004" s="607" t="s">
        <v>2556</v>
      </c>
      <c r="F1004" s="607" t="s">
        <v>2557</v>
      </c>
      <c r="G1004" s="607" t="s">
        <v>1594</v>
      </c>
      <c r="H1004" s="607" t="s">
        <v>1594</v>
      </c>
      <c r="I1004" s="607" t="s">
        <v>2842</v>
      </c>
      <c r="J1004" s="608" t="str">
        <f t="shared" si="31"/>
        <v>Automobile</v>
      </c>
      <c r="N1004" s="822">
        <v>333414</v>
      </c>
      <c r="O1004" s="822" t="s">
        <v>2549</v>
      </c>
      <c r="P1004" s="823">
        <v>3433</v>
      </c>
      <c r="Q1004" s="823" t="s">
        <v>2551</v>
      </c>
    </row>
    <row r="1005" spans="2:17" s="608" customFormat="1" x14ac:dyDescent="0.25">
      <c r="B1005" s="605" t="s">
        <v>2887</v>
      </c>
      <c r="C1005" s="606">
        <f t="shared" si="30"/>
        <v>336390</v>
      </c>
      <c r="D1005" s="607" t="s">
        <v>2888</v>
      </c>
      <c r="E1005" s="607" t="s">
        <v>2407</v>
      </c>
      <c r="F1005" s="607" t="s">
        <v>2408</v>
      </c>
      <c r="G1005" s="607" t="s">
        <v>1594</v>
      </c>
      <c r="H1005" s="607" t="s">
        <v>1594</v>
      </c>
      <c r="I1005" s="607" t="s">
        <v>2842</v>
      </c>
      <c r="J1005" s="608" t="str">
        <f t="shared" si="31"/>
        <v>Automobile</v>
      </c>
      <c r="N1005" s="822">
        <v>333414</v>
      </c>
      <c r="O1005" s="822" t="s">
        <v>2549</v>
      </c>
      <c r="P1005" s="823">
        <v>3569</v>
      </c>
      <c r="Q1005" s="823" t="s">
        <v>1734</v>
      </c>
    </row>
    <row r="1006" spans="2:17" s="608" customFormat="1" x14ac:dyDescent="0.25">
      <c r="B1006" s="605" t="s">
        <v>2887</v>
      </c>
      <c r="C1006" s="606">
        <f t="shared" si="30"/>
        <v>336390</v>
      </c>
      <c r="D1006" s="607" t="s">
        <v>2888</v>
      </c>
      <c r="E1006" s="607" t="s">
        <v>2849</v>
      </c>
      <c r="F1006" s="607" t="s">
        <v>2850</v>
      </c>
      <c r="G1006" s="607" t="s">
        <v>1594</v>
      </c>
      <c r="H1006" s="607" t="s">
        <v>1594</v>
      </c>
      <c r="I1006" s="607" t="s">
        <v>2842</v>
      </c>
      <c r="J1006" s="608" t="str">
        <f t="shared" si="31"/>
        <v>Automobile</v>
      </c>
      <c r="N1006" s="822">
        <v>333414</v>
      </c>
      <c r="O1006" s="822" t="s">
        <v>2549</v>
      </c>
      <c r="P1006" s="823">
        <v>3634</v>
      </c>
      <c r="Q1006" s="823" t="s">
        <v>2553</v>
      </c>
    </row>
    <row r="1007" spans="2:17" s="608" customFormat="1" x14ac:dyDescent="0.25">
      <c r="B1007" s="605" t="s">
        <v>2887</v>
      </c>
      <c r="C1007" s="606">
        <f t="shared" si="30"/>
        <v>336390</v>
      </c>
      <c r="D1007" s="607" t="s">
        <v>2888</v>
      </c>
      <c r="E1007" s="607" t="s">
        <v>2621</v>
      </c>
      <c r="F1007" s="607" t="s">
        <v>2622</v>
      </c>
      <c r="G1007" s="607" t="s">
        <v>1594</v>
      </c>
      <c r="H1007" s="607" t="s">
        <v>1594</v>
      </c>
      <c r="I1007" s="607" t="s">
        <v>2842</v>
      </c>
      <c r="J1007" s="608" t="str">
        <f t="shared" si="31"/>
        <v>Automobile</v>
      </c>
      <c r="N1007" s="822">
        <v>333415</v>
      </c>
      <c r="O1007" s="822" t="s">
        <v>2555</v>
      </c>
      <c r="P1007" s="823">
        <v>2499</v>
      </c>
      <c r="Q1007" s="823" t="s">
        <v>1831</v>
      </c>
    </row>
    <row r="1008" spans="2:17" s="608" customFormat="1" x14ac:dyDescent="0.25">
      <c r="B1008" s="605" t="s">
        <v>2889</v>
      </c>
      <c r="C1008" s="606">
        <f t="shared" si="30"/>
        <v>336411</v>
      </c>
      <c r="D1008" s="607" t="s">
        <v>2890</v>
      </c>
      <c r="E1008" s="607" t="s">
        <v>2891</v>
      </c>
      <c r="F1008" s="607" t="s">
        <v>2892</v>
      </c>
      <c r="G1008" s="607" t="s">
        <v>1019</v>
      </c>
      <c r="H1008" s="607" t="s">
        <v>1019</v>
      </c>
      <c r="I1008" s="607" t="s">
        <v>2893</v>
      </c>
      <c r="J1008" s="608" t="str">
        <f t="shared" si="31"/>
        <v>Aerospace &amp; Defense</v>
      </c>
      <c r="N1008" s="822">
        <v>333415</v>
      </c>
      <c r="O1008" s="822" t="s">
        <v>2555</v>
      </c>
      <c r="P1008" s="823">
        <v>2599</v>
      </c>
      <c r="Q1008" s="823" t="s">
        <v>2514</v>
      </c>
    </row>
    <row r="1009" spans="2:17" s="608" customFormat="1" x14ac:dyDescent="0.25">
      <c r="B1009" s="605" t="s">
        <v>2889</v>
      </c>
      <c r="C1009" s="606">
        <f t="shared" si="30"/>
        <v>336411</v>
      </c>
      <c r="D1009" s="607" t="s">
        <v>2890</v>
      </c>
      <c r="E1009" s="607" t="s">
        <v>2436</v>
      </c>
      <c r="F1009" s="607" t="s">
        <v>2437</v>
      </c>
      <c r="G1009" s="607" t="s">
        <v>1019</v>
      </c>
      <c r="H1009" s="607" t="s">
        <v>1019</v>
      </c>
      <c r="I1009" s="607" t="s">
        <v>2893</v>
      </c>
      <c r="J1009" s="608" t="str">
        <f t="shared" si="31"/>
        <v>Aerospace &amp; Defense</v>
      </c>
      <c r="N1009" s="822">
        <v>333415</v>
      </c>
      <c r="O1009" s="822" t="s">
        <v>2555</v>
      </c>
      <c r="P1009" s="823">
        <v>3443</v>
      </c>
      <c r="Q1009" s="823" t="s">
        <v>2364</v>
      </c>
    </row>
    <row r="1010" spans="2:17" s="608" customFormat="1" x14ac:dyDescent="0.25">
      <c r="B1010" s="605" t="s">
        <v>2894</v>
      </c>
      <c r="C1010" s="606">
        <f t="shared" si="30"/>
        <v>336412</v>
      </c>
      <c r="D1010" s="607" t="s">
        <v>2895</v>
      </c>
      <c r="E1010" s="607" t="s">
        <v>2896</v>
      </c>
      <c r="F1010" s="607" t="s">
        <v>2897</v>
      </c>
      <c r="G1010" s="607" t="s">
        <v>1019</v>
      </c>
      <c r="H1010" s="607" t="s">
        <v>1019</v>
      </c>
      <c r="I1010" s="607" t="s">
        <v>2893</v>
      </c>
      <c r="J1010" s="608" t="str">
        <f t="shared" si="31"/>
        <v>Aerospace &amp; Defense</v>
      </c>
      <c r="N1010" s="822">
        <v>333415</v>
      </c>
      <c r="O1010" s="822" t="s">
        <v>2555</v>
      </c>
      <c r="P1010" s="823">
        <v>3444</v>
      </c>
      <c r="Q1010" s="823" t="s">
        <v>2370</v>
      </c>
    </row>
    <row r="1011" spans="2:17" s="608" customFormat="1" x14ac:dyDescent="0.25">
      <c r="B1011" s="605" t="s">
        <v>2898</v>
      </c>
      <c r="C1011" s="606">
        <f t="shared" si="30"/>
        <v>336413</v>
      </c>
      <c r="D1011" s="607" t="s">
        <v>2899</v>
      </c>
      <c r="E1011" s="607" t="s">
        <v>2436</v>
      </c>
      <c r="F1011" s="607" t="s">
        <v>2437</v>
      </c>
      <c r="G1011" s="607" t="s">
        <v>1019</v>
      </c>
      <c r="H1011" s="607" t="s">
        <v>1019</v>
      </c>
      <c r="I1011" s="607" t="s">
        <v>2893</v>
      </c>
      <c r="J1011" s="608" t="str">
        <f t="shared" si="31"/>
        <v>Aerospace &amp; Defense</v>
      </c>
      <c r="N1011" s="822">
        <v>333415</v>
      </c>
      <c r="O1011" s="822" t="s">
        <v>2555</v>
      </c>
      <c r="P1011" s="823">
        <v>3585</v>
      </c>
      <c r="Q1011" s="823" t="s">
        <v>2557</v>
      </c>
    </row>
    <row r="1012" spans="2:17" s="608" customFormat="1" x14ac:dyDescent="0.25">
      <c r="B1012" s="605" t="s">
        <v>2900</v>
      </c>
      <c r="C1012" s="606">
        <f t="shared" si="30"/>
        <v>336414</v>
      </c>
      <c r="D1012" s="607" t="s">
        <v>2901</v>
      </c>
      <c r="E1012" s="607" t="s">
        <v>2902</v>
      </c>
      <c r="F1012" s="607" t="s">
        <v>2903</v>
      </c>
      <c r="G1012" s="607" t="s">
        <v>1019</v>
      </c>
      <c r="H1012" s="607" t="s">
        <v>1019</v>
      </c>
      <c r="I1012" s="607" t="s">
        <v>2893</v>
      </c>
      <c r="J1012" s="608" t="str">
        <f t="shared" si="31"/>
        <v>Aerospace &amp; Defense</v>
      </c>
      <c r="N1012" s="822">
        <v>333415</v>
      </c>
      <c r="O1012" s="822" t="s">
        <v>2555</v>
      </c>
      <c r="P1012" s="823">
        <v>3821</v>
      </c>
      <c r="Q1012" s="823" t="s">
        <v>2520</v>
      </c>
    </row>
    <row r="1013" spans="2:17" s="608" customFormat="1" x14ac:dyDescent="0.25">
      <c r="B1013" s="605" t="s">
        <v>2904</v>
      </c>
      <c r="C1013" s="606">
        <f t="shared" si="30"/>
        <v>336415</v>
      </c>
      <c r="D1013" s="607" t="s">
        <v>2905</v>
      </c>
      <c r="E1013" s="607" t="s">
        <v>2906</v>
      </c>
      <c r="F1013" s="607" t="s">
        <v>2907</v>
      </c>
      <c r="G1013" s="607" t="s">
        <v>1019</v>
      </c>
      <c r="H1013" s="607" t="s">
        <v>1019</v>
      </c>
      <c r="I1013" s="607" t="s">
        <v>2893</v>
      </c>
      <c r="J1013" s="608" t="str">
        <f t="shared" si="31"/>
        <v>Aerospace &amp; Defense</v>
      </c>
      <c r="N1013" s="822">
        <v>333415</v>
      </c>
      <c r="O1013" s="822" t="s">
        <v>2555</v>
      </c>
      <c r="P1013" s="823">
        <v>3841</v>
      </c>
      <c r="Q1013" s="823" t="s">
        <v>2465</v>
      </c>
    </row>
    <row r="1014" spans="2:17" s="608" customFormat="1" x14ac:dyDescent="0.25">
      <c r="B1014" s="605" t="s">
        <v>2908</v>
      </c>
      <c r="C1014" s="606">
        <f t="shared" si="30"/>
        <v>336419</v>
      </c>
      <c r="D1014" s="607" t="s">
        <v>2909</v>
      </c>
      <c r="E1014" s="607" t="s">
        <v>2910</v>
      </c>
      <c r="F1014" s="607" t="s">
        <v>2911</v>
      </c>
      <c r="G1014" s="607" t="s">
        <v>1019</v>
      </c>
      <c r="H1014" s="607" t="s">
        <v>1019</v>
      </c>
      <c r="I1014" s="607" t="s">
        <v>2893</v>
      </c>
      <c r="J1014" s="608" t="str">
        <f t="shared" si="31"/>
        <v>Aerospace &amp; Defense</v>
      </c>
      <c r="N1014" s="822">
        <v>333511</v>
      </c>
      <c r="O1014" s="822" t="s">
        <v>2559</v>
      </c>
      <c r="P1014" s="823">
        <v>3544</v>
      </c>
      <c r="Q1014" s="823" t="s">
        <v>2561</v>
      </c>
    </row>
    <row r="1015" spans="2:17" s="608" customFormat="1" x14ac:dyDescent="0.25">
      <c r="B1015" s="605" t="s">
        <v>2912</v>
      </c>
      <c r="C1015" s="606">
        <f t="shared" si="30"/>
        <v>336510</v>
      </c>
      <c r="D1015" s="607" t="s">
        <v>2913</v>
      </c>
      <c r="E1015" s="607" t="s">
        <v>2483</v>
      </c>
      <c r="F1015" s="607" t="s">
        <v>2484</v>
      </c>
      <c r="G1015" s="607" t="s">
        <v>1019</v>
      </c>
      <c r="H1015" s="607" t="s">
        <v>1019</v>
      </c>
      <c r="I1015" s="609" t="s">
        <v>2606</v>
      </c>
      <c r="J1015" s="608" t="str">
        <f t="shared" si="31"/>
        <v>Railroads</v>
      </c>
      <c r="N1015" s="823">
        <v>333512</v>
      </c>
      <c r="O1015" s="823" t="s">
        <v>5954</v>
      </c>
      <c r="P1015" s="823"/>
      <c r="Q1015" s="823" t="s">
        <v>958</v>
      </c>
    </row>
    <row r="1016" spans="2:17" s="608" customFormat="1" x14ac:dyDescent="0.25">
      <c r="B1016" s="605" t="s">
        <v>2912</v>
      </c>
      <c r="C1016" s="606">
        <f t="shared" si="30"/>
        <v>336510</v>
      </c>
      <c r="D1016" s="607" t="s">
        <v>2913</v>
      </c>
      <c r="E1016" s="607" t="s">
        <v>2604</v>
      </c>
      <c r="F1016" s="607" t="s">
        <v>2605</v>
      </c>
      <c r="G1016" s="607" t="s">
        <v>1019</v>
      </c>
      <c r="H1016" s="607" t="s">
        <v>1019</v>
      </c>
      <c r="I1016" s="607" t="s">
        <v>2606</v>
      </c>
      <c r="J1016" s="608" t="str">
        <f t="shared" si="31"/>
        <v>Railroads</v>
      </c>
      <c r="N1016" s="823">
        <v>333513</v>
      </c>
      <c r="O1016" s="823" t="s">
        <v>5955</v>
      </c>
      <c r="P1016" s="823"/>
      <c r="Q1016" s="823" t="s">
        <v>958</v>
      </c>
    </row>
    <row r="1017" spans="2:17" s="608" customFormat="1" x14ac:dyDescent="0.25">
      <c r="B1017" s="605" t="s">
        <v>2914</v>
      </c>
      <c r="C1017" s="606">
        <f t="shared" si="30"/>
        <v>336611</v>
      </c>
      <c r="D1017" s="607" t="s">
        <v>2915</v>
      </c>
      <c r="E1017" s="607" t="s">
        <v>2916</v>
      </c>
      <c r="F1017" s="607" t="s">
        <v>2917</v>
      </c>
      <c r="G1017" s="607" t="s">
        <v>1019</v>
      </c>
      <c r="H1017" s="607" t="s">
        <v>1019</v>
      </c>
      <c r="I1017" s="607" t="s">
        <v>2476</v>
      </c>
      <c r="J1017" s="608" t="str">
        <f t="shared" si="31"/>
        <v>Machinery</v>
      </c>
      <c r="N1017" s="822">
        <v>333514</v>
      </c>
      <c r="O1017" s="822" t="s">
        <v>2563</v>
      </c>
      <c r="P1017" s="823">
        <v>3544</v>
      </c>
      <c r="Q1017" s="823" t="s">
        <v>2561</v>
      </c>
    </row>
    <row r="1018" spans="2:17" s="608" customFormat="1" x14ac:dyDescent="0.25">
      <c r="B1018" s="605" t="s">
        <v>2918</v>
      </c>
      <c r="C1018" s="606">
        <f t="shared" si="30"/>
        <v>336612</v>
      </c>
      <c r="D1018" s="607" t="s">
        <v>2919</v>
      </c>
      <c r="E1018" s="607" t="s">
        <v>1653</v>
      </c>
      <c r="F1018" s="607" t="s">
        <v>1654</v>
      </c>
      <c r="G1018" s="607" t="s">
        <v>1019</v>
      </c>
      <c r="H1018" s="607" t="s">
        <v>1019</v>
      </c>
      <c r="I1018" s="607" t="s">
        <v>2920</v>
      </c>
      <c r="J1018" s="608" t="str">
        <f t="shared" si="31"/>
        <v>Transportation</v>
      </c>
      <c r="N1018" s="822">
        <v>333515</v>
      </c>
      <c r="O1018" s="822" t="s">
        <v>2565</v>
      </c>
      <c r="P1018" s="823">
        <v>3545</v>
      </c>
      <c r="Q1018" s="823" t="s">
        <v>2350</v>
      </c>
    </row>
    <row r="1019" spans="2:17" s="608" customFormat="1" x14ac:dyDescent="0.25">
      <c r="B1019" s="605" t="s">
        <v>2918</v>
      </c>
      <c r="C1019" s="606">
        <f t="shared" si="30"/>
        <v>336612</v>
      </c>
      <c r="D1019" s="607" t="s">
        <v>2919</v>
      </c>
      <c r="E1019" s="607" t="s">
        <v>2091</v>
      </c>
      <c r="F1019" s="607" t="s">
        <v>2092</v>
      </c>
      <c r="G1019" s="607" t="s">
        <v>1019</v>
      </c>
      <c r="H1019" s="607" t="s">
        <v>1019</v>
      </c>
      <c r="I1019" s="607" t="s">
        <v>2920</v>
      </c>
      <c r="J1019" s="608" t="str">
        <f t="shared" si="31"/>
        <v>Transportation</v>
      </c>
      <c r="N1019" s="823">
        <v>333516</v>
      </c>
      <c r="O1019" s="823" t="s">
        <v>5956</v>
      </c>
      <c r="P1019" s="823"/>
      <c r="Q1019" s="823" t="s">
        <v>958</v>
      </c>
    </row>
    <row r="1020" spans="2:17" s="608" customFormat="1" x14ac:dyDescent="0.25">
      <c r="B1020" s="605" t="s">
        <v>2918</v>
      </c>
      <c r="C1020" s="606">
        <f t="shared" si="30"/>
        <v>336612</v>
      </c>
      <c r="D1020" s="607" t="s">
        <v>2919</v>
      </c>
      <c r="E1020" s="607" t="s">
        <v>2921</v>
      </c>
      <c r="F1020" s="607" t="s">
        <v>2922</v>
      </c>
      <c r="G1020" s="607" t="s">
        <v>1019</v>
      </c>
      <c r="H1020" s="607" t="s">
        <v>1019</v>
      </c>
      <c r="I1020" s="607" t="s">
        <v>2920</v>
      </c>
      <c r="J1020" s="608" t="str">
        <f t="shared" si="31"/>
        <v>Transportation</v>
      </c>
      <c r="N1020" s="822">
        <v>333517</v>
      </c>
      <c r="O1020" s="822" t="s">
        <v>2567</v>
      </c>
      <c r="P1020" s="823">
        <v>3541</v>
      </c>
      <c r="Q1020" s="823" t="s">
        <v>2569</v>
      </c>
    </row>
    <row r="1021" spans="2:17" s="608" customFormat="1" x14ac:dyDescent="0.25">
      <c r="B1021" s="605" t="s">
        <v>2918</v>
      </c>
      <c r="C1021" s="606">
        <f t="shared" si="30"/>
        <v>336612</v>
      </c>
      <c r="D1021" s="607" t="s">
        <v>2919</v>
      </c>
      <c r="E1021" s="607" t="s">
        <v>1756</v>
      </c>
      <c r="F1021" s="607" t="s">
        <v>1757</v>
      </c>
      <c r="G1021" s="607" t="s">
        <v>1019</v>
      </c>
      <c r="H1021" s="607" t="s">
        <v>1019</v>
      </c>
      <c r="I1021" s="607" t="s">
        <v>2920</v>
      </c>
      <c r="J1021" s="608" t="str">
        <f t="shared" si="31"/>
        <v>Transportation</v>
      </c>
      <c r="N1021" s="822">
        <v>333517</v>
      </c>
      <c r="O1021" s="822" t="s">
        <v>2567</v>
      </c>
      <c r="P1021" s="823">
        <v>3542</v>
      </c>
      <c r="Q1021" s="823" t="s">
        <v>2571</v>
      </c>
    </row>
    <row r="1022" spans="2:17" s="608" customFormat="1" x14ac:dyDescent="0.25">
      <c r="B1022" s="605" t="s">
        <v>2923</v>
      </c>
      <c r="C1022" s="606">
        <f t="shared" si="30"/>
        <v>336991</v>
      </c>
      <c r="D1022" s="607" t="s">
        <v>2924</v>
      </c>
      <c r="E1022" s="607" t="s">
        <v>2925</v>
      </c>
      <c r="F1022" s="607" t="s">
        <v>2926</v>
      </c>
      <c r="G1022" s="607" t="s">
        <v>1019</v>
      </c>
      <c r="H1022" s="607" t="s">
        <v>1019</v>
      </c>
      <c r="I1022" s="607" t="s">
        <v>2920</v>
      </c>
      <c r="J1022" s="608" t="str">
        <f t="shared" si="31"/>
        <v>Transportation</v>
      </c>
      <c r="N1022" s="823">
        <v>333518</v>
      </c>
      <c r="O1022" s="823" t="s">
        <v>5957</v>
      </c>
      <c r="P1022" s="823"/>
      <c r="Q1022" s="823" t="s">
        <v>958</v>
      </c>
    </row>
    <row r="1023" spans="2:17" s="608" customFormat="1" x14ac:dyDescent="0.25">
      <c r="B1023" s="605" t="s">
        <v>2923</v>
      </c>
      <c r="C1023" s="606">
        <f t="shared" si="30"/>
        <v>336991</v>
      </c>
      <c r="D1023" s="607" t="s">
        <v>2924</v>
      </c>
      <c r="E1023" s="607" t="s">
        <v>2927</v>
      </c>
      <c r="F1023" s="607" t="s">
        <v>2928</v>
      </c>
      <c r="G1023" s="607" t="s">
        <v>1594</v>
      </c>
      <c r="H1023" s="607" t="s">
        <v>1594</v>
      </c>
      <c r="I1023" s="607" t="s">
        <v>2929</v>
      </c>
      <c r="J1023" s="608" t="str">
        <f t="shared" si="31"/>
        <v>Capital Goods</v>
      </c>
      <c r="N1023" s="822">
        <v>333519</v>
      </c>
      <c r="O1023" s="822" t="s">
        <v>2573</v>
      </c>
      <c r="P1023" s="823">
        <v>3547</v>
      </c>
      <c r="Q1023" s="823" t="s">
        <v>2575</v>
      </c>
    </row>
    <row r="1024" spans="2:17" s="608" customFormat="1" x14ac:dyDescent="0.25">
      <c r="B1024" s="605" t="s">
        <v>2930</v>
      </c>
      <c r="C1024" s="606">
        <f t="shared" si="30"/>
        <v>336992</v>
      </c>
      <c r="D1024" s="607" t="s">
        <v>2931</v>
      </c>
      <c r="E1024" s="607" t="s">
        <v>2838</v>
      </c>
      <c r="F1024" s="607" t="s">
        <v>2839</v>
      </c>
      <c r="G1024" s="607" t="s">
        <v>1019</v>
      </c>
      <c r="H1024" s="607" t="s">
        <v>1019</v>
      </c>
      <c r="I1024" s="607" t="s">
        <v>2123</v>
      </c>
      <c r="J1024" s="608" t="str">
        <f t="shared" si="31"/>
        <v>Automobile &amp; Components</v>
      </c>
      <c r="N1024" s="822">
        <v>333519</v>
      </c>
      <c r="O1024" s="822" t="s">
        <v>2573</v>
      </c>
      <c r="P1024" s="823">
        <v>3549</v>
      </c>
      <c r="Q1024" s="823" t="s">
        <v>2577</v>
      </c>
    </row>
    <row r="1025" spans="2:17" s="608" customFormat="1" x14ac:dyDescent="0.25">
      <c r="B1025" s="605" t="s">
        <v>2930</v>
      </c>
      <c r="C1025" s="606">
        <f t="shared" si="30"/>
        <v>336992</v>
      </c>
      <c r="D1025" s="607" t="s">
        <v>2931</v>
      </c>
      <c r="E1025" s="607" t="s">
        <v>2932</v>
      </c>
      <c r="F1025" s="607" t="s">
        <v>2933</v>
      </c>
      <c r="G1025" s="607" t="s">
        <v>1019</v>
      </c>
      <c r="H1025" s="607" t="s">
        <v>1019</v>
      </c>
      <c r="I1025" s="607" t="s">
        <v>2123</v>
      </c>
      <c r="J1025" s="608" t="str">
        <f t="shared" si="31"/>
        <v>Automobile &amp; Components</v>
      </c>
      <c r="N1025" s="822">
        <v>333611</v>
      </c>
      <c r="O1025" s="822" t="s">
        <v>2579</v>
      </c>
      <c r="P1025" s="823">
        <v>3511</v>
      </c>
      <c r="Q1025" s="823" t="s">
        <v>2581</v>
      </c>
    </row>
    <row r="1026" spans="2:17" s="608" customFormat="1" x14ac:dyDescent="0.25">
      <c r="B1026" s="605" t="s">
        <v>2934</v>
      </c>
      <c r="C1026" s="606">
        <f t="shared" ref="C1026:C1089" si="32">B1026+0</f>
        <v>336999</v>
      </c>
      <c r="D1026" s="607" t="s">
        <v>2935</v>
      </c>
      <c r="E1026" s="607" t="s">
        <v>2621</v>
      </c>
      <c r="F1026" s="607" t="s">
        <v>2622</v>
      </c>
      <c r="G1026" s="607" t="s">
        <v>1019</v>
      </c>
      <c r="H1026" s="607" t="s">
        <v>1019</v>
      </c>
      <c r="I1026" s="607" t="s">
        <v>2476</v>
      </c>
      <c r="J1026" s="608" t="str">
        <f t="shared" ref="J1026:J1037" si="33">PROPER(I1026)</f>
        <v>Machinery</v>
      </c>
      <c r="N1026" s="822">
        <v>333612</v>
      </c>
      <c r="O1026" s="822" t="s">
        <v>2583</v>
      </c>
      <c r="P1026" s="823">
        <v>3566</v>
      </c>
      <c r="Q1026" s="823" t="s">
        <v>2585</v>
      </c>
    </row>
    <row r="1027" spans="2:17" s="608" customFormat="1" x14ac:dyDescent="0.25">
      <c r="B1027" s="605" t="s">
        <v>2936</v>
      </c>
      <c r="C1027" s="606">
        <f t="shared" si="32"/>
        <v>337110</v>
      </c>
      <c r="D1027" s="607" t="s">
        <v>2937</v>
      </c>
      <c r="E1027" s="607" t="s">
        <v>2938</v>
      </c>
      <c r="F1027" s="607" t="s">
        <v>2939</v>
      </c>
      <c r="G1027" s="607" t="s">
        <v>1019</v>
      </c>
      <c r="H1027" s="607" t="s">
        <v>1019</v>
      </c>
      <c r="I1027" s="607" t="s">
        <v>1020</v>
      </c>
      <c r="J1027" s="608" t="str">
        <f t="shared" si="33"/>
        <v>Paper And Forest Products</v>
      </c>
      <c r="N1027" s="822">
        <v>333613</v>
      </c>
      <c r="O1027" s="822" t="s">
        <v>2587</v>
      </c>
      <c r="P1027" s="823">
        <v>3568</v>
      </c>
      <c r="Q1027" s="823" t="s">
        <v>2589</v>
      </c>
    </row>
    <row r="1028" spans="2:17" s="608" customFormat="1" x14ac:dyDescent="0.25">
      <c r="B1028" s="605" t="s">
        <v>2936</v>
      </c>
      <c r="C1028" s="606">
        <f t="shared" si="32"/>
        <v>337110</v>
      </c>
      <c r="D1028" s="607" t="s">
        <v>2937</v>
      </c>
      <c r="E1028" s="607" t="s">
        <v>2940</v>
      </c>
      <c r="F1028" s="607" t="s">
        <v>2941</v>
      </c>
      <c r="G1028" s="607" t="s">
        <v>1019</v>
      </c>
      <c r="H1028" s="607" t="s">
        <v>1019</v>
      </c>
      <c r="I1028" s="607" t="s">
        <v>1020</v>
      </c>
      <c r="J1028" s="608" t="str">
        <f t="shared" si="33"/>
        <v>Paper And Forest Products</v>
      </c>
      <c r="N1028" s="822">
        <v>333618</v>
      </c>
      <c r="O1028" s="822" t="s">
        <v>2591</v>
      </c>
      <c r="P1028" s="823">
        <v>3519</v>
      </c>
      <c r="Q1028" s="823" t="s">
        <v>2593</v>
      </c>
    </row>
    <row r="1029" spans="2:17" s="608" customFormat="1" x14ac:dyDescent="0.25">
      <c r="B1029" s="605" t="s">
        <v>2936</v>
      </c>
      <c r="C1029" s="606">
        <f t="shared" si="32"/>
        <v>337110</v>
      </c>
      <c r="D1029" s="607" t="s">
        <v>2937</v>
      </c>
      <c r="E1029" s="607" t="s">
        <v>2942</v>
      </c>
      <c r="F1029" s="607" t="s">
        <v>2943</v>
      </c>
      <c r="G1029" s="607" t="s">
        <v>1594</v>
      </c>
      <c r="H1029" s="607" t="s">
        <v>1594</v>
      </c>
      <c r="I1029" s="607" t="s">
        <v>2944</v>
      </c>
      <c r="J1029" s="608" t="str">
        <f t="shared" si="33"/>
        <v>Retail Trade</v>
      </c>
      <c r="N1029" s="822">
        <v>333618</v>
      </c>
      <c r="O1029" s="822" t="s">
        <v>2591</v>
      </c>
      <c r="P1029" s="823">
        <v>3699</v>
      </c>
      <c r="Q1029" s="823" t="s">
        <v>2543</v>
      </c>
    </row>
    <row r="1030" spans="2:17" s="608" customFormat="1" x14ac:dyDescent="0.25">
      <c r="B1030" s="605" t="s">
        <v>2945</v>
      </c>
      <c r="C1030" s="606">
        <f t="shared" si="32"/>
        <v>337121</v>
      </c>
      <c r="D1030" s="607" t="s">
        <v>2946</v>
      </c>
      <c r="E1030" s="607" t="s">
        <v>2947</v>
      </c>
      <c r="F1030" s="607" t="s">
        <v>2948</v>
      </c>
      <c r="G1030" s="607" t="s">
        <v>1594</v>
      </c>
      <c r="H1030" s="607" t="s">
        <v>1594</v>
      </c>
      <c r="I1030" s="607" t="s">
        <v>1595</v>
      </c>
      <c r="J1030" s="608" t="str">
        <f t="shared" si="33"/>
        <v>Home Furnishings</v>
      </c>
      <c r="N1030" s="823">
        <v>333911</v>
      </c>
      <c r="O1030" s="823" t="s">
        <v>5958</v>
      </c>
      <c r="P1030" s="823"/>
      <c r="Q1030" s="823" t="s">
        <v>958</v>
      </c>
    </row>
    <row r="1031" spans="2:17" s="608" customFormat="1" x14ac:dyDescent="0.25">
      <c r="B1031" s="605" t="s">
        <v>2945</v>
      </c>
      <c r="C1031" s="606">
        <f t="shared" si="32"/>
        <v>337121</v>
      </c>
      <c r="D1031" s="607" t="s">
        <v>2946</v>
      </c>
      <c r="E1031" s="607" t="s">
        <v>2949</v>
      </c>
      <c r="F1031" s="607" t="s">
        <v>2950</v>
      </c>
      <c r="G1031" s="607" t="s">
        <v>1594</v>
      </c>
      <c r="H1031" s="607" t="s">
        <v>1594</v>
      </c>
      <c r="I1031" s="607" t="s">
        <v>1595</v>
      </c>
      <c r="J1031" s="608" t="str">
        <f t="shared" si="33"/>
        <v>Home Furnishings</v>
      </c>
      <c r="N1031" s="822">
        <v>333912</v>
      </c>
      <c r="O1031" s="822" t="s">
        <v>2595</v>
      </c>
      <c r="P1031" s="823">
        <v>3563</v>
      </c>
      <c r="Q1031" s="823" t="s">
        <v>2597</v>
      </c>
    </row>
    <row r="1032" spans="2:17" s="608" customFormat="1" x14ac:dyDescent="0.25">
      <c r="B1032" s="605" t="s">
        <v>2945</v>
      </c>
      <c r="C1032" s="606">
        <f t="shared" si="32"/>
        <v>337121</v>
      </c>
      <c r="D1032" s="607" t="s">
        <v>2946</v>
      </c>
      <c r="E1032" s="607" t="s">
        <v>2951</v>
      </c>
      <c r="F1032" s="607" t="s">
        <v>2952</v>
      </c>
      <c r="G1032" s="607" t="s">
        <v>1594</v>
      </c>
      <c r="H1032" s="607" t="s">
        <v>1594</v>
      </c>
      <c r="I1032" s="607" t="s">
        <v>1595</v>
      </c>
      <c r="J1032" s="608" t="str">
        <f t="shared" si="33"/>
        <v>Home Furnishings</v>
      </c>
      <c r="N1032" s="823">
        <v>333913</v>
      </c>
      <c r="O1032" s="823" t="s">
        <v>5959</v>
      </c>
      <c r="P1032" s="823"/>
      <c r="Q1032" s="823" t="s">
        <v>958</v>
      </c>
    </row>
    <row r="1033" spans="2:17" s="608" customFormat="1" x14ac:dyDescent="0.25">
      <c r="B1033" s="605" t="s">
        <v>2945</v>
      </c>
      <c r="C1033" s="606">
        <f t="shared" si="32"/>
        <v>337121</v>
      </c>
      <c r="D1033" s="607" t="s">
        <v>2946</v>
      </c>
      <c r="E1033" s="607" t="s">
        <v>2942</v>
      </c>
      <c r="F1033" s="607" t="s">
        <v>2943</v>
      </c>
      <c r="G1033" s="607" t="s">
        <v>1594</v>
      </c>
      <c r="H1033" s="607" t="s">
        <v>1594</v>
      </c>
      <c r="I1033" s="607" t="s">
        <v>1595</v>
      </c>
      <c r="J1033" s="608" t="str">
        <f t="shared" si="33"/>
        <v>Home Furnishings</v>
      </c>
      <c r="N1033" s="822">
        <v>333914</v>
      </c>
      <c r="O1033" s="822" t="s">
        <v>2599</v>
      </c>
      <c r="P1033" s="823">
        <v>3561</v>
      </c>
      <c r="Q1033" s="823" t="s">
        <v>2601</v>
      </c>
    </row>
    <row r="1034" spans="2:17" s="608" customFormat="1" x14ac:dyDescent="0.25">
      <c r="B1034" s="605" t="s">
        <v>2953</v>
      </c>
      <c r="C1034" s="606">
        <f t="shared" si="32"/>
        <v>337122</v>
      </c>
      <c r="D1034" s="607" t="s">
        <v>2954</v>
      </c>
      <c r="E1034" s="607" t="s">
        <v>2955</v>
      </c>
      <c r="F1034" s="607" t="s">
        <v>2956</v>
      </c>
      <c r="G1034" s="607" t="s">
        <v>1594</v>
      </c>
      <c r="H1034" s="607" t="s">
        <v>1594</v>
      </c>
      <c r="I1034" s="607" t="s">
        <v>1595</v>
      </c>
      <c r="J1034" s="608" t="str">
        <f t="shared" si="33"/>
        <v>Home Furnishings</v>
      </c>
      <c r="N1034" s="822">
        <v>333914</v>
      </c>
      <c r="O1034" s="822" t="s">
        <v>2599</v>
      </c>
      <c r="P1034" s="823">
        <v>3586</v>
      </c>
      <c r="Q1034" s="823" t="s">
        <v>2603</v>
      </c>
    </row>
    <row r="1035" spans="2:17" s="608" customFormat="1" x14ac:dyDescent="0.25">
      <c r="B1035" s="605" t="s">
        <v>2953</v>
      </c>
      <c r="C1035" s="606">
        <f t="shared" si="32"/>
        <v>337122</v>
      </c>
      <c r="D1035" s="607" t="s">
        <v>2954</v>
      </c>
      <c r="E1035" s="607" t="s">
        <v>2942</v>
      </c>
      <c r="F1035" s="607" t="s">
        <v>2943</v>
      </c>
      <c r="G1035" s="607" t="s">
        <v>1594</v>
      </c>
      <c r="H1035" s="607" t="s">
        <v>1594</v>
      </c>
      <c r="I1035" s="607" t="s">
        <v>1595</v>
      </c>
      <c r="J1035" s="608" t="str">
        <f t="shared" si="33"/>
        <v>Home Furnishings</v>
      </c>
      <c r="N1035" s="822">
        <v>333914</v>
      </c>
      <c r="O1035" s="822" t="s">
        <v>2599</v>
      </c>
      <c r="P1035" s="823">
        <v>3743</v>
      </c>
      <c r="Q1035" s="823" t="s">
        <v>2605</v>
      </c>
    </row>
    <row r="1036" spans="2:17" s="608" customFormat="1" x14ac:dyDescent="0.25">
      <c r="B1036" s="605" t="s">
        <v>2957</v>
      </c>
      <c r="C1036" s="606">
        <f t="shared" si="32"/>
        <v>337124</v>
      </c>
      <c r="D1036" s="607" t="s">
        <v>2958</v>
      </c>
      <c r="E1036" s="607" t="s">
        <v>2949</v>
      </c>
      <c r="F1036" s="607" t="s">
        <v>2950</v>
      </c>
      <c r="G1036" s="607" t="s">
        <v>1594</v>
      </c>
      <c r="H1036" s="607" t="s">
        <v>1594</v>
      </c>
      <c r="I1036" s="607" t="s">
        <v>1595</v>
      </c>
      <c r="J1036" s="608" t="str">
        <f t="shared" si="33"/>
        <v>Home Furnishings</v>
      </c>
      <c r="N1036" s="822">
        <v>333921</v>
      </c>
      <c r="O1036" s="822" t="s">
        <v>2608</v>
      </c>
      <c r="P1036" s="823">
        <v>3534</v>
      </c>
      <c r="Q1036" s="823" t="s">
        <v>2610</v>
      </c>
    </row>
    <row r="1037" spans="2:17" s="608" customFormat="1" x14ac:dyDescent="0.25">
      <c r="B1037" s="605" t="s">
        <v>2959</v>
      </c>
      <c r="C1037" s="606">
        <f t="shared" si="32"/>
        <v>337125</v>
      </c>
      <c r="D1037" s="607" t="s">
        <v>2960</v>
      </c>
      <c r="E1037" s="607" t="s">
        <v>1830</v>
      </c>
      <c r="F1037" s="607" t="s">
        <v>1831</v>
      </c>
      <c r="G1037" s="607" t="s">
        <v>1594</v>
      </c>
      <c r="H1037" s="607" t="s">
        <v>1594</v>
      </c>
      <c r="I1037" s="607" t="s">
        <v>1595</v>
      </c>
      <c r="J1037" s="608" t="str">
        <f t="shared" si="33"/>
        <v>Home Furnishings</v>
      </c>
      <c r="N1037" s="822">
        <v>333922</v>
      </c>
      <c r="O1037" s="822" t="s">
        <v>2612</v>
      </c>
      <c r="P1037" s="823">
        <v>3523</v>
      </c>
      <c r="Q1037" s="823" t="s">
        <v>2346</v>
      </c>
    </row>
    <row r="1038" spans="2:17" s="608" customFormat="1" ht="45" x14ac:dyDescent="0.25">
      <c r="B1038" s="605" t="s">
        <v>2959</v>
      </c>
      <c r="C1038" s="606">
        <f t="shared" si="32"/>
        <v>337125</v>
      </c>
      <c r="D1038" s="607" t="s">
        <v>2960</v>
      </c>
      <c r="E1038" s="607" t="s">
        <v>2961</v>
      </c>
      <c r="F1038" s="607" t="s">
        <v>2962</v>
      </c>
      <c r="G1038" s="607" t="s">
        <v>1594</v>
      </c>
      <c r="H1038" s="607" t="s">
        <v>1594</v>
      </c>
      <c r="I1038" s="607" t="s">
        <v>1595</v>
      </c>
      <c r="J1038" s="607" t="s">
        <v>2963</v>
      </c>
      <c r="N1038" s="822">
        <v>333922</v>
      </c>
      <c r="O1038" s="822" t="s">
        <v>2612</v>
      </c>
      <c r="P1038" s="823">
        <v>3535</v>
      </c>
      <c r="Q1038" s="823" t="s">
        <v>2614</v>
      </c>
    </row>
    <row r="1039" spans="2:17" s="608" customFormat="1" x14ac:dyDescent="0.25">
      <c r="B1039" s="605" t="s">
        <v>2964</v>
      </c>
      <c r="C1039" s="606">
        <f t="shared" si="32"/>
        <v>337127</v>
      </c>
      <c r="D1039" s="607" t="s">
        <v>2965</v>
      </c>
      <c r="E1039" s="607" t="s">
        <v>2881</v>
      </c>
      <c r="F1039" s="607" t="s">
        <v>2882</v>
      </c>
      <c r="G1039" s="607" t="s">
        <v>1594</v>
      </c>
      <c r="H1039" s="607" t="s">
        <v>1594</v>
      </c>
      <c r="I1039" s="607" t="s">
        <v>1595</v>
      </c>
      <c r="J1039" s="608" t="str">
        <f t="shared" ref="J1039:J1102" si="34">PROPER(I1039)</f>
        <v>Home Furnishings</v>
      </c>
      <c r="N1039" s="822">
        <v>333923</v>
      </c>
      <c r="O1039" s="822" t="s">
        <v>2616</v>
      </c>
      <c r="P1039" s="823">
        <v>3429</v>
      </c>
      <c r="Q1039" s="823" t="s">
        <v>2392</v>
      </c>
    </row>
    <row r="1040" spans="2:17" s="608" customFormat="1" x14ac:dyDescent="0.25">
      <c r="B1040" s="605" t="s">
        <v>2964</v>
      </c>
      <c r="C1040" s="606">
        <f t="shared" si="32"/>
        <v>337127</v>
      </c>
      <c r="D1040" s="607" t="s">
        <v>2965</v>
      </c>
      <c r="E1040" s="607" t="s">
        <v>2940</v>
      </c>
      <c r="F1040" s="607" t="s">
        <v>2941</v>
      </c>
      <c r="G1040" s="607" t="s">
        <v>1594</v>
      </c>
      <c r="H1040" s="607" t="s">
        <v>1594</v>
      </c>
      <c r="I1040" s="607" t="s">
        <v>1595</v>
      </c>
      <c r="J1040" s="608" t="str">
        <f t="shared" si="34"/>
        <v>Home Furnishings</v>
      </c>
      <c r="N1040" s="822">
        <v>333923</v>
      </c>
      <c r="O1040" s="822" t="s">
        <v>2616</v>
      </c>
      <c r="P1040" s="823">
        <v>3531</v>
      </c>
      <c r="Q1040" s="823" t="s">
        <v>2484</v>
      </c>
    </row>
    <row r="1041" spans="2:17" s="608" customFormat="1" x14ac:dyDescent="0.25">
      <c r="B1041" s="605" t="s">
        <v>2964</v>
      </c>
      <c r="C1041" s="606">
        <f t="shared" si="32"/>
        <v>337127</v>
      </c>
      <c r="D1041" s="607" t="s">
        <v>2965</v>
      </c>
      <c r="E1041" s="607" t="s">
        <v>2966</v>
      </c>
      <c r="F1041" s="607" t="s">
        <v>2967</v>
      </c>
      <c r="G1041" s="607" t="s">
        <v>1594</v>
      </c>
      <c r="H1041" s="607" t="s">
        <v>1594</v>
      </c>
      <c r="I1041" s="607" t="s">
        <v>1595</v>
      </c>
      <c r="J1041" s="608" t="str">
        <f t="shared" si="34"/>
        <v>Home Furnishings</v>
      </c>
      <c r="N1041" s="822">
        <v>333923</v>
      </c>
      <c r="O1041" s="822" t="s">
        <v>2616</v>
      </c>
      <c r="P1041" s="823">
        <v>3536</v>
      </c>
      <c r="Q1041" s="823" t="s">
        <v>2618</v>
      </c>
    </row>
    <row r="1042" spans="2:17" s="608" customFormat="1" x14ac:dyDescent="0.25">
      <c r="B1042" s="605" t="s">
        <v>2964</v>
      </c>
      <c r="C1042" s="606">
        <f t="shared" si="32"/>
        <v>337127</v>
      </c>
      <c r="D1042" s="607" t="s">
        <v>2965</v>
      </c>
      <c r="E1042" s="607" t="s">
        <v>2513</v>
      </c>
      <c r="F1042" s="607" t="s">
        <v>2514</v>
      </c>
      <c r="G1042" s="607" t="s">
        <v>1594</v>
      </c>
      <c r="H1042" s="607" t="s">
        <v>1594</v>
      </c>
      <c r="I1042" s="607" t="s">
        <v>1595</v>
      </c>
      <c r="J1042" s="608" t="str">
        <f t="shared" si="34"/>
        <v>Home Furnishings</v>
      </c>
      <c r="N1042" s="822">
        <v>333924</v>
      </c>
      <c r="O1042" s="822" t="s">
        <v>2620</v>
      </c>
      <c r="P1042" s="823">
        <v>3496</v>
      </c>
      <c r="Q1042" s="823" t="s">
        <v>2336</v>
      </c>
    </row>
    <row r="1043" spans="2:17" s="608" customFormat="1" x14ac:dyDescent="0.25">
      <c r="B1043" s="605" t="s">
        <v>2964</v>
      </c>
      <c r="C1043" s="606">
        <f t="shared" si="32"/>
        <v>337127</v>
      </c>
      <c r="D1043" s="607" t="s">
        <v>2965</v>
      </c>
      <c r="E1043" s="607" t="s">
        <v>2519</v>
      </c>
      <c r="F1043" s="607" t="s">
        <v>2520</v>
      </c>
      <c r="G1043" s="607" t="s">
        <v>1594</v>
      </c>
      <c r="H1043" s="607" t="s">
        <v>1594</v>
      </c>
      <c r="I1043" s="607" t="s">
        <v>1595</v>
      </c>
      <c r="J1043" s="608" t="str">
        <f t="shared" si="34"/>
        <v>Home Furnishings</v>
      </c>
      <c r="N1043" s="822">
        <v>333924</v>
      </c>
      <c r="O1043" s="822" t="s">
        <v>2620</v>
      </c>
      <c r="P1043" s="823">
        <v>3537</v>
      </c>
      <c r="Q1043" s="823" t="s">
        <v>2394</v>
      </c>
    </row>
    <row r="1044" spans="2:17" s="608" customFormat="1" x14ac:dyDescent="0.25">
      <c r="B1044" s="605" t="s">
        <v>2964</v>
      </c>
      <c r="C1044" s="606">
        <f t="shared" si="32"/>
        <v>337127</v>
      </c>
      <c r="D1044" s="607" t="s">
        <v>2965</v>
      </c>
      <c r="E1044" s="607" t="s">
        <v>2464</v>
      </c>
      <c r="F1044" s="607" t="s">
        <v>2465</v>
      </c>
      <c r="G1044" s="607" t="s">
        <v>1594</v>
      </c>
      <c r="H1044" s="607" t="s">
        <v>1594</v>
      </c>
      <c r="I1044" s="607" t="s">
        <v>1595</v>
      </c>
      <c r="J1044" s="608" t="str">
        <f t="shared" si="34"/>
        <v>Home Furnishings</v>
      </c>
      <c r="N1044" s="822">
        <v>333924</v>
      </c>
      <c r="O1044" s="822" t="s">
        <v>2620</v>
      </c>
      <c r="P1044" s="823">
        <v>3799</v>
      </c>
      <c r="Q1044" s="823" t="s">
        <v>2622</v>
      </c>
    </row>
    <row r="1045" spans="2:17" s="608" customFormat="1" x14ac:dyDescent="0.25">
      <c r="B1045" s="605" t="s">
        <v>2964</v>
      </c>
      <c r="C1045" s="606">
        <f t="shared" si="32"/>
        <v>337127</v>
      </c>
      <c r="D1045" s="607" t="s">
        <v>2965</v>
      </c>
      <c r="E1045" s="607" t="s">
        <v>2077</v>
      </c>
      <c r="F1045" s="607" t="s">
        <v>2078</v>
      </c>
      <c r="G1045" s="607" t="s">
        <v>1594</v>
      </c>
      <c r="H1045" s="607" t="s">
        <v>1594</v>
      </c>
      <c r="I1045" s="607" t="s">
        <v>1595</v>
      </c>
      <c r="J1045" s="608" t="str">
        <f t="shared" si="34"/>
        <v>Home Furnishings</v>
      </c>
      <c r="N1045" s="822">
        <v>333991</v>
      </c>
      <c r="O1045" s="822" t="s">
        <v>2624</v>
      </c>
      <c r="P1045" s="823">
        <v>3546</v>
      </c>
      <c r="Q1045" s="823" t="s">
        <v>2626</v>
      </c>
    </row>
    <row r="1046" spans="2:17" s="608" customFormat="1" x14ac:dyDescent="0.25">
      <c r="B1046" s="605" t="s">
        <v>2964</v>
      </c>
      <c r="C1046" s="606">
        <f t="shared" si="32"/>
        <v>337127</v>
      </c>
      <c r="D1046" s="607" t="s">
        <v>2965</v>
      </c>
      <c r="E1046" s="607" t="s">
        <v>1756</v>
      </c>
      <c r="F1046" s="607" t="s">
        <v>1757</v>
      </c>
      <c r="G1046" s="607" t="s">
        <v>1594</v>
      </c>
      <c r="H1046" s="607" t="s">
        <v>1594</v>
      </c>
      <c r="I1046" s="607" t="s">
        <v>1595</v>
      </c>
      <c r="J1046" s="608" t="str">
        <f t="shared" si="34"/>
        <v>Home Furnishings</v>
      </c>
      <c r="N1046" s="822">
        <v>333992</v>
      </c>
      <c r="O1046" s="822" t="s">
        <v>2628</v>
      </c>
      <c r="P1046" s="823">
        <v>3548</v>
      </c>
      <c r="Q1046" s="823" t="s">
        <v>2630</v>
      </c>
    </row>
    <row r="1047" spans="2:17" s="608" customFormat="1" x14ac:dyDescent="0.25">
      <c r="B1047" s="605" t="s">
        <v>2968</v>
      </c>
      <c r="C1047" s="606">
        <f t="shared" si="32"/>
        <v>337211</v>
      </c>
      <c r="D1047" s="607" t="s">
        <v>2969</v>
      </c>
      <c r="E1047" s="607" t="s">
        <v>2970</v>
      </c>
      <c r="F1047" s="607" t="s">
        <v>2971</v>
      </c>
      <c r="G1047" s="607" t="s">
        <v>1594</v>
      </c>
      <c r="H1047" s="607" t="s">
        <v>1594</v>
      </c>
      <c r="I1047" s="607" t="s">
        <v>1595</v>
      </c>
      <c r="J1047" s="608" t="str">
        <f t="shared" si="34"/>
        <v>Home Furnishings</v>
      </c>
      <c r="N1047" s="822">
        <v>333992</v>
      </c>
      <c r="O1047" s="822" t="s">
        <v>2628</v>
      </c>
      <c r="P1047" s="823">
        <v>3699</v>
      </c>
      <c r="Q1047" s="823" t="s">
        <v>2543</v>
      </c>
    </row>
    <row r="1048" spans="2:17" s="608" customFormat="1" x14ac:dyDescent="0.25">
      <c r="B1048" s="605" t="s">
        <v>2972</v>
      </c>
      <c r="C1048" s="606">
        <f t="shared" si="32"/>
        <v>337212</v>
      </c>
      <c r="D1048" s="607" t="s">
        <v>2973</v>
      </c>
      <c r="E1048" s="607" t="s">
        <v>2940</v>
      </c>
      <c r="F1048" s="607" t="s">
        <v>2941</v>
      </c>
      <c r="G1048" s="607" t="s">
        <v>1019</v>
      </c>
      <c r="H1048" s="607" t="s">
        <v>1019</v>
      </c>
      <c r="I1048" s="607" t="s">
        <v>1020</v>
      </c>
      <c r="J1048" s="608" t="str">
        <f t="shared" si="34"/>
        <v>Paper And Forest Products</v>
      </c>
      <c r="N1048" s="822">
        <v>333993</v>
      </c>
      <c r="O1048" s="822" t="s">
        <v>2632</v>
      </c>
      <c r="P1048" s="823">
        <v>3565</v>
      </c>
      <c r="Q1048" s="823" t="s">
        <v>2634</v>
      </c>
    </row>
    <row r="1049" spans="2:17" s="608" customFormat="1" x14ac:dyDescent="0.25">
      <c r="B1049" s="605" t="s">
        <v>2974</v>
      </c>
      <c r="C1049" s="606">
        <f t="shared" si="32"/>
        <v>337214</v>
      </c>
      <c r="D1049" s="607" t="s">
        <v>2975</v>
      </c>
      <c r="E1049" s="607" t="s">
        <v>2976</v>
      </c>
      <c r="F1049" s="607" t="s">
        <v>2977</v>
      </c>
      <c r="G1049" s="607" t="s">
        <v>1594</v>
      </c>
      <c r="H1049" s="607" t="s">
        <v>1594</v>
      </c>
      <c r="I1049" s="607" t="s">
        <v>1595</v>
      </c>
      <c r="J1049" s="608" t="str">
        <f t="shared" si="34"/>
        <v>Home Furnishings</v>
      </c>
      <c r="N1049" s="822">
        <v>333994</v>
      </c>
      <c r="O1049" s="822" t="s">
        <v>2636</v>
      </c>
      <c r="P1049" s="823">
        <v>2599</v>
      </c>
      <c r="Q1049" s="823" t="s">
        <v>2514</v>
      </c>
    </row>
    <row r="1050" spans="2:17" s="608" customFormat="1" x14ac:dyDescent="0.25">
      <c r="B1050" s="605" t="s">
        <v>2978</v>
      </c>
      <c r="C1050" s="606">
        <f t="shared" si="32"/>
        <v>337215</v>
      </c>
      <c r="D1050" s="607" t="s">
        <v>2979</v>
      </c>
      <c r="E1050" s="607" t="s">
        <v>1788</v>
      </c>
      <c r="F1050" s="607" t="s">
        <v>1789</v>
      </c>
      <c r="G1050" s="609" t="s">
        <v>1019</v>
      </c>
      <c r="H1050" s="607" t="s">
        <v>1019</v>
      </c>
      <c r="I1050" s="607" t="s">
        <v>1921</v>
      </c>
      <c r="J1050" s="608" t="str">
        <f t="shared" si="34"/>
        <v>Commercial &amp; Professional Services</v>
      </c>
      <c r="N1050" s="822">
        <v>333994</v>
      </c>
      <c r="O1050" s="822" t="s">
        <v>2636</v>
      </c>
      <c r="P1050" s="823">
        <v>3567</v>
      </c>
      <c r="Q1050" s="823" t="s">
        <v>2638</v>
      </c>
    </row>
    <row r="1051" spans="2:17" s="608" customFormat="1" x14ac:dyDescent="0.25">
      <c r="B1051" s="605" t="s">
        <v>2978</v>
      </c>
      <c r="C1051" s="606">
        <f t="shared" si="32"/>
        <v>337215</v>
      </c>
      <c r="D1051" s="607" t="s">
        <v>2979</v>
      </c>
      <c r="E1051" s="607" t="s">
        <v>2955</v>
      </c>
      <c r="F1051" s="607" t="s">
        <v>2956</v>
      </c>
      <c r="G1051" s="607" t="s">
        <v>1594</v>
      </c>
      <c r="H1051" s="607" t="s">
        <v>1594</v>
      </c>
      <c r="I1051" s="607" t="s">
        <v>1595</v>
      </c>
      <c r="J1051" s="608" t="str">
        <f t="shared" si="34"/>
        <v>Home Furnishings</v>
      </c>
      <c r="N1051" s="822">
        <v>333994</v>
      </c>
      <c r="O1051" s="822" t="s">
        <v>2636</v>
      </c>
      <c r="P1051" s="823">
        <v>3821</v>
      </c>
      <c r="Q1051" s="823" t="s">
        <v>2520</v>
      </c>
    </row>
    <row r="1052" spans="2:17" s="608" customFormat="1" x14ac:dyDescent="0.25">
      <c r="B1052" s="605" t="s">
        <v>2978</v>
      </c>
      <c r="C1052" s="606">
        <f t="shared" si="32"/>
        <v>337215</v>
      </c>
      <c r="D1052" s="607" t="s">
        <v>2979</v>
      </c>
      <c r="E1052" s="607" t="s">
        <v>2949</v>
      </c>
      <c r="F1052" s="607" t="s">
        <v>2950</v>
      </c>
      <c r="G1052" s="607" t="s">
        <v>1594</v>
      </c>
      <c r="H1052" s="607" t="s">
        <v>1594</v>
      </c>
      <c r="I1052" s="607" t="s">
        <v>1595</v>
      </c>
      <c r="J1052" s="608" t="str">
        <f t="shared" si="34"/>
        <v>Home Furnishings</v>
      </c>
      <c r="N1052" s="822">
        <v>333994</v>
      </c>
      <c r="O1052" s="822" t="s">
        <v>2636</v>
      </c>
      <c r="P1052" s="823">
        <v>3841</v>
      </c>
      <c r="Q1052" s="823" t="s">
        <v>2465</v>
      </c>
    </row>
    <row r="1053" spans="2:17" s="608" customFormat="1" x14ac:dyDescent="0.25">
      <c r="B1053" s="605" t="s">
        <v>2978</v>
      </c>
      <c r="C1053" s="606">
        <f t="shared" si="32"/>
        <v>337215</v>
      </c>
      <c r="D1053" s="607" t="s">
        <v>2979</v>
      </c>
      <c r="E1053" s="607" t="s">
        <v>2940</v>
      </c>
      <c r="F1053" s="607" t="s">
        <v>2941</v>
      </c>
      <c r="G1053" s="609" t="s">
        <v>1019</v>
      </c>
      <c r="H1053" s="607" t="s">
        <v>1019</v>
      </c>
      <c r="I1053" s="607" t="s">
        <v>1921</v>
      </c>
      <c r="J1053" s="608" t="str">
        <f t="shared" si="34"/>
        <v>Commercial &amp; Professional Services</v>
      </c>
      <c r="N1053" s="822">
        <v>333995</v>
      </c>
      <c r="O1053" s="822" t="s">
        <v>2640</v>
      </c>
      <c r="P1053" s="823">
        <v>3593</v>
      </c>
      <c r="Q1053" s="823" t="s">
        <v>2642</v>
      </c>
    </row>
    <row r="1054" spans="2:17" s="608" customFormat="1" x14ac:dyDescent="0.25">
      <c r="B1054" s="605" t="s">
        <v>2978</v>
      </c>
      <c r="C1054" s="606">
        <f t="shared" si="32"/>
        <v>337215</v>
      </c>
      <c r="D1054" s="607" t="s">
        <v>2979</v>
      </c>
      <c r="E1054" s="607" t="s">
        <v>2966</v>
      </c>
      <c r="F1054" s="607" t="s">
        <v>2967</v>
      </c>
      <c r="G1054" s="609" t="s">
        <v>1019</v>
      </c>
      <c r="H1054" s="607" t="s">
        <v>1019</v>
      </c>
      <c r="I1054" s="607" t="s">
        <v>1921</v>
      </c>
      <c r="J1054" s="608" t="str">
        <f t="shared" si="34"/>
        <v>Commercial &amp; Professional Services</v>
      </c>
      <c r="N1054" s="822">
        <v>333996</v>
      </c>
      <c r="O1054" s="822" t="s">
        <v>2644</v>
      </c>
      <c r="P1054" s="823">
        <v>3594</v>
      </c>
      <c r="Q1054" s="823" t="s">
        <v>2646</v>
      </c>
    </row>
    <row r="1055" spans="2:17" s="608" customFormat="1" x14ac:dyDescent="0.25">
      <c r="B1055" s="605" t="s">
        <v>2978</v>
      </c>
      <c r="C1055" s="606">
        <f t="shared" si="32"/>
        <v>337215</v>
      </c>
      <c r="D1055" s="607" t="s">
        <v>2979</v>
      </c>
      <c r="E1055" s="607" t="s">
        <v>2091</v>
      </c>
      <c r="F1055" s="607" t="s">
        <v>2092</v>
      </c>
      <c r="G1055" s="609" t="s">
        <v>1019</v>
      </c>
      <c r="H1055" s="607" t="s">
        <v>1019</v>
      </c>
      <c r="I1055" s="607" t="s">
        <v>1921</v>
      </c>
      <c r="J1055" s="608" t="str">
        <f t="shared" si="34"/>
        <v>Commercial &amp; Professional Services</v>
      </c>
      <c r="N1055" s="822">
        <v>333997</v>
      </c>
      <c r="O1055" s="822" t="s">
        <v>2648</v>
      </c>
      <c r="P1055" s="823">
        <v>2599</v>
      </c>
      <c r="Q1055" s="823" t="s">
        <v>2514</v>
      </c>
    </row>
    <row r="1056" spans="2:17" s="608" customFormat="1" x14ac:dyDescent="0.25">
      <c r="B1056" s="605" t="s">
        <v>2978</v>
      </c>
      <c r="C1056" s="606">
        <f t="shared" si="32"/>
        <v>337215</v>
      </c>
      <c r="D1056" s="607" t="s">
        <v>2979</v>
      </c>
      <c r="E1056" s="607" t="s">
        <v>2391</v>
      </c>
      <c r="F1056" s="607" t="s">
        <v>2392</v>
      </c>
      <c r="G1056" s="607" t="s">
        <v>1100</v>
      </c>
      <c r="H1056" s="607" t="s">
        <v>1100</v>
      </c>
      <c r="I1056" s="607" t="s">
        <v>1101</v>
      </c>
      <c r="J1056" s="608" t="str">
        <f t="shared" si="34"/>
        <v>Metals And Mining</v>
      </c>
      <c r="N1056" s="822">
        <v>333997</v>
      </c>
      <c r="O1056" s="822" t="s">
        <v>2648</v>
      </c>
      <c r="P1056" s="823">
        <v>3596</v>
      </c>
      <c r="Q1056" s="823" t="s">
        <v>2650</v>
      </c>
    </row>
    <row r="1057" spans="2:17" s="608" customFormat="1" x14ac:dyDescent="0.25">
      <c r="B1057" s="605" t="s">
        <v>2978</v>
      </c>
      <c r="C1057" s="606">
        <f t="shared" si="32"/>
        <v>337215</v>
      </c>
      <c r="D1057" s="607" t="s">
        <v>2979</v>
      </c>
      <c r="E1057" s="607" t="s">
        <v>2323</v>
      </c>
      <c r="F1057" s="607" t="s">
        <v>2324</v>
      </c>
      <c r="G1057" s="607" t="s">
        <v>1100</v>
      </c>
      <c r="H1057" s="607" t="s">
        <v>1100</v>
      </c>
      <c r="I1057" s="607" t="s">
        <v>1101</v>
      </c>
      <c r="J1057" s="608" t="str">
        <f t="shared" si="34"/>
        <v>Metals And Mining</v>
      </c>
      <c r="N1057" s="822">
        <v>333997</v>
      </c>
      <c r="O1057" s="822" t="s">
        <v>2648</v>
      </c>
      <c r="P1057" s="823">
        <v>3821</v>
      </c>
      <c r="Q1057" s="823" t="s">
        <v>2520</v>
      </c>
    </row>
    <row r="1058" spans="2:17" s="608" customFormat="1" x14ac:dyDescent="0.25">
      <c r="B1058" s="605" t="s">
        <v>2980</v>
      </c>
      <c r="C1058" s="606">
        <f t="shared" si="32"/>
        <v>337910</v>
      </c>
      <c r="D1058" s="607" t="s">
        <v>2981</v>
      </c>
      <c r="E1058" s="607" t="s">
        <v>2951</v>
      </c>
      <c r="F1058" s="607" t="s">
        <v>2952</v>
      </c>
      <c r="G1058" s="607" t="s">
        <v>1594</v>
      </c>
      <c r="H1058" s="607" t="s">
        <v>1594</v>
      </c>
      <c r="I1058" s="607" t="s">
        <v>1608</v>
      </c>
      <c r="J1058" s="608" t="str">
        <f t="shared" si="34"/>
        <v>Textile Apparel Luxury Goods</v>
      </c>
      <c r="N1058" s="822">
        <v>333997</v>
      </c>
      <c r="O1058" s="822" t="s">
        <v>2648</v>
      </c>
      <c r="P1058" s="823">
        <v>3841</v>
      </c>
      <c r="Q1058" s="823" t="s">
        <v>2465</v>
      </c>
    </row>
    <row r="1059" spans="2:17" s="608" customFormat="1" x14ac:dyDescent="0.25">
      <c r="B1059" s="605" t="s">
        <v>2982</v>
      </c>
      <c r="C1059" s="606">
        <f t="shared" si="32"/>
        <v>337920</v>
      </c>
      <c r="D1059" s="607" t="s">
        <v>2983</v>
      </c>
      <c r="E1059" s="607" t="s">
        <v>2984</v>
      </c>
      <c r="F1059" s="607" t="s">
        <v>2985</v>
      </c>
      <c r="G1059" s="607" t="s">
        <v>1594</v>
      </c>
      <c r="H1059" s="607" t="s">
        <v>1594</v>
      </c>
      <c r="I1059" s="607" t="s">
        <v>1608</v>
      </c>
      <c r="J1059" s="608" t="str">
        <f t="shared" si="34"/>
        <v>Textile Apparel Luxury Goods</v>
      </c>
      <c r="N1059" s="822">
        <v>333999</v>
      </c>
      <c r="O1059" s="822" t="s">
        <v>2652</v>
      </c>
      <c r="P1059" s="823">
        <v>2599</v>
      </c>
      <c r="Q1059" s="823" t="s">
        <v>2514</v>
      </c>
    </row>
    <row r="1060" spans="2:17" s="608" customFormat="1" x14ac:dyDescent="0.25">
      <c r="B1060" s="605" t="s">
        <v>2986</v>
      </c>
      <c r="C1060" s="606">
        <f t="shared" si="32"/>
        <v>339112</v>
      </c>
      <c r="D1060" s="607" t="s">
        <v>2987</v>
      </c>
      <c r="E1060" s="607" t="s">
        <v>2734</v>
      </c>
      <c r="F1060" s="607" t="s">
        <v>2735</v>
      </c>
      <c r="G1060" s="607" t="s">
        <v>2021</v>
      </c>
      <c r="H1060" s="607" t="s">
        <v>2021</v>
      </c>
      <c r="I1060" s="607" t="s">
        <v>2713</v>
      </c>
      <c r="J1060" s="608" t="str">
        <f t="shared" si="34"/>
        <v>Healthcare Provdr And Svs</v>
      </c>
      <c r="N1060" s="822">
        <v>333999</v>
      </c>
      <c r="O1060" s="822" t="s">
        <v>2652</v>
      </c>
      <c r="P1060" s="823">
        <v>3569</v>
      </c>
      <c r="Q1060" s="823" t="s">
        <v>1734</v>
      </c>
    </row>
    <row r="1061" spans="2:17" s="608" customFormat="1" x14ac:dyDescent="0.25">
      <c r="B1061" s="605" t="s">
        <v>2986</v>
      </c>
      <c r="C1061" s="606">
        <f t="shared" si="32"/>
        <v>339112</v>
      </c>
      <c r="D1061" s="607" t="s">
        <v>2987</v>
      </c>
      <c r="E1061" s="607" t="s">
        <v>2464</v>
      </c>
      <c r="F1061" s="607" t="s">
        <v>2465</v>
      </c>
      <c r="G1061" s="607" t="s">
        <v>2021</v>
      </c>
      <c r="H1061" s="607" t="s">
        <v>2021</v>
      </c>
      <c r="I1061" s="607" t="s">
        <v>2713</v>
      </c>
      <c r="J1061" s="608" t="str">
        <f t="shared" si="34"/>
        <v>Healthcare Provdr And Svs</v>
      </c>
      <c r="N1061" s="822">
        <v>333999</v>
      </c>
      <c r="O1061" s="822" t="s">
        <v>2652</v>
      </c>
      <c r="P1061" s="823">
        <v>3599</v>
      </c>
      <c r="Q1061" s="823" t="s">
        <v>2408</v>
      </c>
    </row>
    <row r="1062" spans="2:17" s="608" customFormat="1" x14ac:dyDescent="0.25">
      <c r="B1062" s="605" t="s">
        <v>2988</v>
      </c>
      <c r="C1062" s="606">
        <f t="shared" si="32"/>
        <v>339113</v>
      </c>
      <c r="D1062" s="607" t="s">
        <v>2989</v>
      </c>
      <c r="E1062" s="607" t="s">
        <v>1830</v>
      </c>
      <c r="F1062" s="607" t="s">
        <v>1831</v>
      </c>
      <c r="G1062" s="607" t="s">
        <v>2021</v>
      </c>
      <c r="H1062" s="607" t="s">
        <v>2021</v>
      </c>
      <c r="I1062" s="607" t="s">
        <v>2713</v>
      </c>
      <c r="J1062" s="608" t="str">
        <f t="shared" si="34"/>
        <v>Healthcare Provdr And Svs</v>
      </c>
      <c r="N1062" s="822">
        <v>333999</v>
      </c>
      <c r="O1062" s="822" t="s">
        <v>2652</v>
      </c>
      <c r="P1062" s="823">
        <v>3821</v>
      </c>
      <c r="Q1062" s="823" t="s">
        <v>2520</v>
      </c>
    </row>
    <row r="1063" spans="2:17" s="608" customFormat="1" x14ac:dyDescent="0.25">
      <c r="B1063" s="605" t="s">
        <v>2988</v>
      </c>
      <c r="C1063" s="606">
        <f t="shared" si="32"/>
        <v>339113</v>
      </c>
      <c r="D1063" s="607" t="s">
        <v>2989</v>
      </c>
      <c r="E1063" s="607" t="s">
        <v>2513</v>
      </c>
      <c r="F1063" s="607" t="s">
        <v>2514</v>
      </c>
      <c r="G1063" s="607" t="s">
        <v>2021</v>
      </c>
      <c r="H1063" s="607" t="s">
        <v>2021</v>
      </c>
      <c r="I1063" s="607" t="s">
        <v>2713</v>
      </c>
      <c r="J1063" s="608" t="str">
        <f t="shared" si="34"/>
        <v>Healthcare Provdr And Svs</v>
      </c>
      <c r="N1063" s="822">
        <v>333999</v>
      </c>
      <c r="O1063" s="822" t="s">
        <v>2652</v>
      </c>
      <c r="P1063" s="823">
        <v>3841</v>
      </c>
      <c r="Q1063" s="823" t="s">
        <v>2465</v>
      </c>
    </row>
    <row r="1064" spans="2:17" s="608" customFormat="1" x14ac:dyDescent="0.25">
      <c r="B1064" s="605" t="s">
        <v>2988</v>
      </c>
      <c r="C1064" s="606">
        <f t="shared" si="32"/>
        <v>339113</v>
      </c>
      <c r="D1064" s="607" t="s">
        <v>2989</v>
      </c>
      <c r="E1064" s="607" t="s">
        <v>1653</v>
      </c>
      <c r="F1064" s="607" t="s">
        <v>1654</v>
      </c>
      <c r="G1064" s="607" t="s">
        <v>2021</v>
      </c>
      <c r="H1064" s="607" t="s">
        <v>2021</v>
      </c>
      <c r="I1064" s="607" t="s">
        <v>2713</v>
      </c>
      <c r="J1064" s="608" t="str">
        <f t="shared" si="34"/>
        <v>Healthcare Provdr And Svs</v>
      </c>
      <c r="N1064" s="822">
        <v>334111</v>
      </c>
      <c r="O1064" s="822" t="s">
        <v>2654</v>
      </c>
      <c r="P1064" s="823">
        <v>3571</v>
      </c>
      <c r="Q1064" s="823" t="s">
        <v>2656</v>
      </c>
    </row>
    <row r="1065" spans="2:17" s="608" customFormat="1" x14ac:dyDescent="0.25">
      <c r="B1065" s="605" t="s">
        <v>2988</v>
      </c>
      <c r="C1065" s="606">
        <f t="shared" si="32"/>
        <v>339113</v>
      </c>
      <c r="D1065" s="607" t="s">
        <v>2989</v>
      </c>
      <c r="E1065" s="607" t="s">
        <v>2091</v>
      </c>
      <c r="F1065" s="607" t="s">
        <v>2092</v>
      </c>
      <c r="G1065" s="607" t="s">
        <v>2021</v>
      </c>
      <c r="H1065" s="607" t="s">
        <v>2021</v>
      </c>
      <c r="I1065" s="607" t="s">
        <v>2713</v>
      </c>
      <c r="J1065" s="608" t="str">
        <f t="shared" si="34"/>
        <v>Healthcare Provdr And Svs</v>
      </c>
      <c r="N1065" s="822">
        <v>334112</v>
      </c>
      <c r="O1065" s="822" t="s">
        <v>2658</v>
      </c>
      <c r="P1065" s="823">
        <v>3572</v>
      </c>
      <c r="Q1065" s="823" t="s">
        <v>2660</v>
      </c>
    </row>
    <row r="1066" spans="2:17" s="608" customFormat="1" ht="18" x14ac:dyDescent="0.3">
      <c r="B1066" s="605" t="s">
        <v>2988</v>
      </c>
      <c r="C1066" s="606">
        <f t="shared" si="32"/>
        <v>339113</v>
      </c>
      <c r="D1066" s="607" t="s">
        <v>2989</v>
      </c>
      <c r="E1066" s="607" t="s">
        <v>2519</v>
      </c>
      <c r="F1066" s="607" t="s">
        <v>2520</v>
      </c>
      <c r="G1066" s="607" t="s">
        <v>2021</v>
      </c>
      <c r="H1066" s="607" t="s">
        <v>2021</v>
      </c>
      <c r="I1066" s="607" t="s">
        <v>2713</v>
      </c>
      <c r="J1066" s="608" t="str">
        <f t="shared" si="34"/>
        <v>Healthcare Provdr And Svs</v>
      </c>
      <c r="N1066" s="822">
        <v>334113</v>
      </c>
      <c r="O1066" s="824" t="s">
        <v>2662</v>
      </c>
      <c r="P1066" s="823"/>
      <c r="Q1066" s="823" t="s">
        <v>958</v>
      </c>
    </row>
    <row r="1067" spans="2:17" s="608" customFormat="1" x14ac:dyDescent="0.25">
      <c r="B1067" s="605" t="s">
        <v>2988</v>
      </c>
      <c r="C1067" s="606">
        <f t="shared" si="32"/>
        <v>339113</v>
      </c>
      <c r="D1067" s="607" t="s">
        <v>2989</v>
      </c>
      <c r="E1067" s="607" t="s">
        <v>2464</v>
      </c>
      <c r="F1067" s="607" t="s">
        <v>2465</v>
      </c>
      <c r="G1067" s="607" t="s">
        <v>2021</v>
      </c>
      <c r="H1067" s="607" t="s">
        <v>2021</v>
      </c>
      <c r="I1067" s="607" t="s">
        <v>2713</v>
      </c>
      <c r="J1067" s="608" t="str">
        <f t="shared" si="34"/>
        <v>Healthcare Provdr And Svs</v>
      </c>
      <c r="N1067" s="822">
        <v>334118</v>
      </c>
      <c r="O1067" s="822" t="s">
        <v>2662</v>
      </c>
      <c r="P1067" s="823">
        <v>3575</v>
      </c>
      <c r="Q1067" s="823" t="s">
        <v>2664</v>
      </c>
    </row>
    <row r="1068" spans="2:17" s="608" customFormat="1" x14ac:dyDescent="0.25">
      <c r="B1068" s="605" t="s">
        <v>2988</v>
      </c>
      <c r="C1068" s="606">
        <f t="shared" si="32"/>
        <v>339113</v>
      </c>
      <c r="D1068" s="607" t="s">
        <v>2989</v>
      </c>
      <c r="E1068" s="607" t="s">
        <v>1898</v>
      </c>
      <c r="F1068" s="607" t="s">
        <v>1899</v>
      </c>
      <c r="G1068" s="607" t="s">
        <v>2021</v>
      </c>
      <c r="H1068" s="607" t="s">
        <v>2021</v>
      </c>
      <c r="I1068" s="607" t="s">
        <v>2713</v>
      </c>
      <c r="J1068" s="608" t="str">
        <f t="shared" si="34"/>
        <v>Healthcare Provdr And Svs</v>
      </c>
      <c r="N1068" s="822">
        <v>334118</v>
      </c>
      <c r="O1068" s="822" t="s">
        <v>2662</v>
      </c>
      <c r="P1068" s="823">
        <v>3577</v>
      </c>
      <c r="Q1068" s="823" t="s">
        <v>2528</v>
      </c>
    </row>
    <row r="1069" spans="2:17" s="608" customFormat="1" x14ac:dyDescent="0.25">
      <c r="B1069" s="605" t="s">
        <v>2988</v>
      </c>
      <c r="C1069" s="606">
        <f t="shared" si="32"/>
        <v>339113</v>
      </c>
      <c r="D1069" s="607" t="s">
        <v>2989</v>
      </c>
      <c r="E1069" s="607" t="s">
        <v>2990</v>
      </c>
      <c r="F1069" s="607" t="s">
        <v>2991</v>
      </c>
      <c r="G1069" s="607" t="s">
        <v>2021</v>
      </c>
      <c r="H1069" s="607" t="s">
        <v>2021</v>
      </c>
      <c r="I1069" s="607" t="s">
        <v>2713</v>
      </c>
      <c r="J1069" s="608" t="str">
        <f t="shared" si="34"/>
        <v>Healthcare Provdr And Svs</v>
      </c>
      <c r="N1069" s="822">
        <v>334118</v>
      </c>
      <c r="O1069" s="822" t="s">
        <v>2662</v>
      </c>
      <c r="P1069" s="823">
        <v>3578</v>
      </c>
      <c r="Q1069" s="823" t="s">
        <v>2531</v>
      </c>
    </row>
    <row r="1070" spans="2:17" s="608" customFormat="1" x14ac:dyDescent="0.25">
      <c r="B1070" s="605" t="s">
        <v>2988</v>
      </c>
      <c r="C1070" s="606">
        <f t="shared" si="32"/>
        <v>339113</v>
      </c>
      <c r="D1070" s="607" t="s">
        <v>2989</v>
      </c>
      <c r="E1070" s="607" t="s">
        <v>2992</v>
      </c>
      <c r="F1070" s="607" t="s">
        <v>2993</v>
      </c>
      <c r="G1070" s="607" t="s">
        <v>2021</v>
      </c>
      <c r="H1070" s="607" t="s">
        <v>2021</v>
      </c>
      <c r="I1070" s="607" t="s">
        <v>2713</v>
      </c>
      <c r="J1070" s="608" t="str">
        <f t="shared" si="34"/>
        <v>Healthcare Provdr And Svs</v>
      </c>
      <c r="N1070" s="823">
        <v>334119</v>
      </c>
      <c r="O1070" s="823" t="s">
        <v>5960</v>
      </c>
      <c r="P1070" s="823"/>
      <c r="Q1070" s="823" t="s">
        <v>958</v>
      </c>
    </row>
    <row r="1071" spans="2:17" s="608" customFormat="1" x14ac:dyDescent="0.25">
      <c r="B1071" s="605" t="s">
        <v>2994</v>
      </c>
      <c r="C1071" s="606">
        <f t="shared" si="32"/>
        <v>339114</v>
      </c>
      <c r="D1071" s="607" t="s">
        <v>2995</v>
      </c>
      <c r="E1071" s="607" t="s">
        <v>2996</v>
      </c>
      <c r="F1071" s="607" t="s">
        <v>2997</v>
      </c>
      <c r="G1071" s="607" t="s">
        <v>2021</v>
      </c>
      <c r="H1071" s="607" t="s">
        <v>2021</v>
      </c>
      <c r="I1071" s="607" t="s">
        <v>2713</v>
      </c>
      <c r="J1071" s="608" t="str">
        <f t="shared" si="34"/>
        <v>Healthcare Provdr And Svs</v>
      </c>
      <c r="N1071" s="823">
        <v>334119</v>
      </c>
      <c r="O1071" s="823" t="s">
        <v>5961</v>
      </c>
      <c r="P1071" s="823"/>
      <c r="Q1071" s="823" t="s">
        <v>958</v>
      </c>
    </row>
    <row r="1072" spans="2:17" s="608" customFormat="1" x14ac:dyDescent="0.25">
      <c r="B1072" s="605" t="s">
        <v>2998</v>
      </c>
      <c r="C1072" s="606">
        <f t="shared" si="32"/>
        <v>339115</v>
      </c>
      <c r="D1072" s="607" t="s">
        <v>2999</v>
      </c>
      <c r="E1072" s="607" t="s">
        <v>2990</v>
      </c>
      <c r="F1072" s="607" t="s">
        <v>2991</v>
      </c>
      <c r="G1072" s="607" t="s">
        <v>2021</v>
      </c>
      <c r="H1072" s="607" t="s">
        <v>2021</v>
      </c>
      <c r="I1072" s="607" t="s">
        <v>2713</v>
      </c>
      <c r="J1072" s="608" t="str">
        <f t="shared" si="34"/>
        <v>Healthcare Provdr And Svs</v>
      </c>
      <c r="N1072" s="822">
        <v>334210</v>
      </c>
      <c r="O1072" s="822" t="s">
        <v>2666</v>
      </c>
      <c r="P1072" s="823">
        <v>3661</v>
      </c>
      <c r="Q1072" s="823" t="s">
        <v>2668</v>
      </c>
    </row>
    <row r="1073" spans="2:17" s="608" customFormat="1" x14ac:dyDescent="0.25">
      <c r="B1073" s="605" t="s">
        <v>2998</v>
      </c>
      <c r="C1073" s="606">
        <f t="shared" si="32"/>
        <v>339115</v>
      </c>
      <c r="D1073" s="607" t="s">
        <v>2999</v>
      </c>
      <c r="E1073" s="607" t="s">
        <v>3000</v>
      </c>
      <c r="F1073" s="607" t="s">
        <v>3001</v>
      </c>
      <c r="G1073" s="607" t="s">
        <v>2021</v>
      </c>
      <c r="H1073" s="607" t="s">
        <v>2021</v>
      </c>
      <c r="I1073" s="607" t="s">
        <v>2713</v>
      </c>
      <c r="J1073" s="608" t="str">
        <f t="shared" si="34"/>
        <v>Healthcare Provdr And Svs</v>
      </c>
      <c r="N1073" s="822">
        <v>334220</v>
      </c>
      <c r="O1073" s="822" t="s">
        <v>2670</v>
      </c>
      <c r="P1073" s="823">
        <v>3663</v>
      </c>
      <c r="Q1073" s="823" t="s">
        <v>2672</v>
      </c>
    </row>
    <row r="1074" spans="2:17" s="608" customFormat="1" x14ac:dyDescent="0.25">
      <c r="B1074" s="605" t="s">
        <v>3002</v>
      </c>
      <c r="C1074" s="606">
        <f t="shared" si="32"/>
        <v>339116</v>
      </c>
      <c r="D1074" s="607" t="s">
        <v>3003</v>
      </c>
      <c r="E1074" s="607" t="s">
        <v>3004</v>
      </c>
      <c r="F1074" s="607" t="s">
        <v>3003</v>
      </c>
      <c r="G1074" s="607" t="s">
        <v>3005</v>
      </c>
      <c r="H1074" s="607" t="s">
        <v>3005</v>
      </c>
      <c r="I1074" s="607" t="s">
        <v>2713</v>
      </c>
      <c r="J1074" s="608" t="str">
        <f t="shared" si="34"/>
        <v>Healthcare Provdr And Svs</v>
      </c>
      <c r="N1074" s="822">
        <v>334220</v>
      </c>
      <c r="O1074" s="822" t="s">
        <v>2670</v>
      </c>
      <c r="P1074" s="823">
        <v>3679</v>
      </c>
      <c r="Q1074" s="823" t="s">
        <v>2675</v>
      </c>
    </row>
    <row r="1075" spans="2:17" s="608" customFormat="1" x14ac:dyDescent="0.25">
      <c r="B1075" s="605" t="s">
        <v>3006</v>
      </c>
      <c r="C1075" s="606">
        <f t="shared" si="32"/>
        <v>339910</v>
      </c>
      <c r="D1075" s="607" t="s">
        <v>3007</v>
      </c>
      <c r="E1075" s="607" t="s">
        <v>1780</v>
      </c>
      <c r="F1075" s="607" t="s">
        <v>1781</v>
      </c>
      <c r="G1075" s="607" t="s">
        <v>1594</v>
      </c>
      <c r="H1075" s="607" t="s">
        <v>1594</v>
      </c>
      <c r="I1075" s="607" t="s">
        <v>1608</v>
      </c>
      <c r="J1075" s="608" t="str">
        <f t="shared" si="34"/>
        <v>Textile Apparel Luxury Goods</v>
      </c>
      <c r="N1075" s="822">
        <v>334290</v>
      </c>
      <c r="O1075" s="822" t="s">
        <v>2677</v>
      </c>
      <c r="P1075" s="823">
        <v>3669</v>
      </c>
      <c r="Q1075" s="823" t="s">
        <v>2679</v>
      </c>
    </row>
    <row r="1076" spans="2:17" s="608" customFormat="1" x14ac:dyDescent="0.25">
      <c r="B1076" s="605" t="s">
        <v>3006</v>
      </c>
      <c r="C1076" s="606">
        <f t="shared" si="32"/>
        <v>339910</v>
      </c>
      <c r="D1076" s="607" t="s">
        <v>3007</v>
      </c>
      <c r="E1076" s="607" t="s">
        <v>2422</v>
      </c>
      <c r="F1076" s="607" t="s">
        <v>2423</v>
      </c>
      <c r="G1076" s="607" t="s">
        <v>1594</v>
      </c>
      <c r="H1076" s="607" t="s">
        <v>1594</v>
      </c>
      <c r="I1076" s="607" t="s">
        <v>1608</v>
      </c>
      <c r="J1076" s="608" t="str">
        <f t="shared" si="34"/>
        <v>Textile Apparel Luxury Goods</v>
      </c>
      <c r="N1076" s="822">
        <v>334310</v>
      </c>
      <c r="O1076" s="822" t="s">
        <v>2681</v>
      </c>
      <c r="P1076" s="823">
        <v>3651</v>
      </c>
      <c r="Q1076" s="823" t="s">
        <v>2683</v>
      </c>
    </row>
    <row r="1077" spans="2:17" s="608" customFormat="1" x14ac:dyDescent="0.25">
      <c r="B1077" s="605" t="s">
        <v>3006</v>
      </c>
      <c r="C1077" s="606">
        <f t="shared" si="32"/>
        <v>339910</v>
      </c>
      <c r="D1077" s="607" t="s">
        <v>3007</v>
      </c>
      <c r="E1077" s="607" t="s">
        <v>3008</v>
      </c>
      <c r="F1077" s="607" t="s">
        <v>3009</v>
      </c>
      <c r="G1077" s="607" t="s">
        <v>1594</v>
      </c>
      <c r="H1077" s="607" t="s">
        <v>1594</v>
      </c>
      <c r="I1077" s="607" t="s">
        <v>1608</v>
      </c>
      <c r="J1077" s="608" t="str">
        <f t="shared" si="34"/>
        <v>Textile Apparel Luxury Goods</v>
      </c>
      <c r="N1077" s="822">
        <v>334310</v>
      </c>
      <c r="O1077" s="822" t="s">
        <v>2681</v>
      </c>
      <c r="P1077" s="823">
        <v>3679</v>
      </c>
      <c r="Q1077" s="823" t="s">
        <v>2675</v>
      </c>
    </row>
    <row r="1078" spans="2:17" s="608" customFormat="1" x14ac:dyDescent="0.25">
      <c r="B1078" s="605" t="s">
        <v>3006</v>
      </c>
      <c r="C1078" s="606">
        <f t="shared" si="32"/>
        <v>339910</v>
      </c>
      <c r="D1078" s="607" t="s">
        <v>3007</v>
      </c>
      <c r="E1078" s="607" t="s">
        <v>2337</v>
      </c>
      <c r="F1078" s="607" t="s">
        <v>2338</v>
      </c>
      <c r="G1078" s="607" t="s">
        <v>1594</v>
      </c>
      <c r="H1078" s="607" t="s">
        <v>1594</v>
      </c>
      <c r="I1078" s="607" t="s">
        <v>1608</v>
      </c>
      <c r="J1078" s="608" t="str">
        <f t="shared" si="34"/>
        <v>Textile Apparel Luxury Goods</v>
      </c>
      <c r="N1078" s="823">
        <v>334411</v>
      </c>
      <c r="O1078" s="823" t="s">
        <v>5962</v>
      </c>
      <c r="P1078" s="823"/>
      <c r="Q1078" s="823" t="s">
        <v>958</v>
      </c>
    </row>
    <row r="1079" spans="2:17" s="608" customFormat="1" x14ac:dyDescent="0.25">
      <c r="B1079" s="605" t="s">
        <v>3006</v>
      </c>
      <c r="C1079" s="606">
        <f t="shared" si="32"/>
        <v>339910</v>
      </c>
      <c r="D1079" s="607" t="s">
        <v>3007</v>
      </c>
      <c r="E1079" s="607" t="s">
        <v>2750</v>
      </c>
      <c r="F1079" s="607" t="s">
        <v>2751</v>
      </c>
      <c r="G1079" s="607" t="s">
        <v>1594</v>
      </c>
      <c r="H1079" s="607" t="s">
        <v>1594</v>
      </c>
      <c r="I1079" s="607" t="s">
        <v>1608</v>
      </c>
      <c r="J1079" s="608" t="str">
        <f t="shared" si="34"/>
        <v>Textile Apparel Luxury Goods</v>
      </c>
      <c r="N1079" s="822">
        <v>334412</v>
      </c>
      <c r="O1079" s="822" t="s">
        <v>2685</v>
      </c>
      <c r="P1079" s="823">
        <v>3672</v>
      </c>
      <c r="Q1079" s="823" t="s">
        <v>2687</v>
      </c>
    </row>
    <row r="1080" spans="2:17" s="608" customFormat="1" x14ac:dyDescent="0.25">
      <c r="B1080" s="605" t="s">
        <v>3006</v>
      </c>
      <c r="C1080" s="606">
        <f t="shared" si="32"/>
        <v>339910</v>
      </c>
      <c r="D1080" s="607" t="s">
        <v>3007</v>
      </c>
      <c r="E1080" s="607" t="s">
        <v>3010</v>
      </c>
      <c r="F1080" s="607" t="s">
        <v>3011</v>
      </c>
      <c r="G1080" s="607" t="s">
        <v>1594</v>
      </c>
      <c r="H1080" s="607" t="s">
        <v>1594</v>
      </c>
      <c r="I1080" s="607" t="s">
        <v>1608</v>
      </c>
      <c r="J1080" s="608" t="str">
        <f t="shared" si="34"/>
        <v>Textile Apparel Luxury Goods</v>
      </c>
      <c r="N1080" s="822">
        <v>334413</v>
      </c>
      <c r="O1080" s="822" t="s">
        <v>2690</v>
      </c>
      <c r="P1080" s="823">
        <v>3674</v>
      </c>
      <c r="Q1080" s="823" t="s">
        <v>2692</v>
      </c>
    </row>
    <row r="1081" spans="2:17" s="608" customFormat="1" x14ac:dyDescent="0.25">
      <c r="B1081" s="605" t="s">
        <v>3012</v>
      </c>
      <c r="C1081" s="606">
        <f t="shared" si="32"/>
        <v>339920</v>
      </c>
      <c r="D1081" s="607" t="s">
        <v>3013</v>
      </c>
      <c r="E1081" s="605" t="s">
        <v>1653</v>
      </c>
      <c r="F1081" s="607" t="s">
        <v>1654</v>
      </c>
      <c r="G1081" s="607" t="s">
        <v>1019</v>
      </c>
      <c r="H1081" s="607" t="s">
        <v>1019</v>
      </c>
      <c r="I1081" s="607" t="s">
        <v>1755</v>
      </c>
      <c r="J1081" s="608" t="str">
        <f t="shared" si="34"/>
        <v>Manufacturing</v>
      </c>
      <c r="N1081" s="823">
        <v>334414</v>
      </c>
      <c r="O1081" s="823" t="s">
        <v>5963</v>
      </c>
      <c r="P1081" s="823"/>
      <c r="Q1081" s="823" t="s">
        <v>958</v>
      </c>
    </row>
    <row r="1082" spans="2:17" s="608" customFormat="1" x14ac:dyDescent="0.25">
      <c r="B1082" s="605" t="s">
        <v>3012</v>
      </c>
      <c r="C1082" s="606">
        <f t="shared" si="32"/>
        <v>339920</v>
      </c>
      <c r="D1082" s="607" t="s">
        <v>3013</v>
      </c>
      <c r="E1082" s="605" t="s">
        <v>3014</v>
      </c>
      <c r="F1082" s="607" t="s">
        <v>3015</v>
      </c>
      <c r="G1082" s="607" t="s">
        <v>1019</v>
      </c>
      <c r="H1082" s="607" t="s">
        <v>1019</v>
      </c>
      <c r="I1082" s="607" t="s">
        <v>1755</v>
      </c>
      <c r="J1082" s="608" t="str">
        <f t="shared" si="34"/>
        <v>Manufacturing</v>
      </c>
      <c r="N1082" s="823">
        <v>334415</v>
      </c>
      <c r="O1082" s="823" t="s">
        <v>5964</v>
      </c>
      <c r="P1082" s="823"/>
      <c r="Q1082" s="823" t="s">
        <v>958</v>
      </c>
    </row>
    <row r="1083" spans="2:17" s="608" customFormat="1" ht="15" customHeight="1" x14ac:dyDescent="0.25">
      <c r="B1083" s="605" t="s">
        <v>3016</v>
      </c>
      <c r="C1083" s="606">
        <f t="shared" si="32"/>
        <v>339930</v>
      </c>
      <c r="D1083" s="607" t="s">
        <v>3017</v>
      </c>
      <c r="E1083" s="607" t="s">
        <v>1653</v>
      </c>
      <c r="F1083" s="607" t="s">
        <v>1654</v>
      </c>
      <c r="G1083" s="609" t="s">
        <v>1594</v>
      </c>
      <c r="H1083" s="609" t="s">
        <v>1594</v>
      </c>
      <c r="I1083" s="607" t="s">
        <v>3018</v>
      </c>
      <c r="J1083" s="608" t="str">
        <f t="shared" si="34"/>
        <v>Leisure Equipment And Products</v>
      </c>
      <c r="N1083" s="822">
        <v>334416</v>
      </c>
      <c r="O1083" s="822" t="s">
        <v>2694</v>
      </c>
      <c r="P1083" s="823">
        <v>3675</v>
      </c>
      <c r="Q1083" s="823" t="s">
        <v>2696</v>
      </c>
    </row>
    <row r="1084" spans="2:17" s="608" customFormat="1" ht="15" customHeight="1" x14ac:dyDescent="0.25">
      <c r="B1084" s="605" t="s">
        <v>3016</v>
      </c>
      <c r="C1084" s="606">
        <f t="shared" si="32"/>
        <v>339930</v>
      </c>
      <c r="D1084" s="607" t="s">
        <v>3017</v>
      </c>
      <c r="E1084" s="607" t="s">
        <v>3019</v>
      </c>
      <c r="F1084" s="607" t="s">
        <v>3020</v>
      </c>
      <c r="G1084" s="609" t="s">
        <v>1594</v>
      </c>
      <c r="H1084" s="609" t="s">
        <v>1594</v>
      </c>
      <c r="I1084" s="607" t="s">
        <v>3018</v>
      </c>
      <c r="J1084" s="608" t="str">
        <f t="shared" si="34"/>
        <v>Leisure Equipment And Products</v>
      </c>
      <c r="N1084" s="822">
        <v>334416</v>
      </c>
      <c r="O1084" s="822" t="s">
        <v>2694</v>
      </c>
      <c r="P1084" s="823">
        <v>3676</v>
      </c>
      <c r="Q1084" s="823" t="s">
        <v>2698</v>
      </c>
    </row>
    <row r="1085" spans="2:17" s="608" customFormat="1" ht="15" customHeight="1" x14ac:dyDescent="0.25">
      <c r="B1085" s="605" t="s">
        <v>3016</v>
      </c>
      <c r="C1085" s="606">
        <f t="shared" si="32"/>
        <v>339930</v>
      </c>
      <c r="D1085" s="607" t="s">
        <v>3017</v>
      </c>
      <c r="E1085" s="607" t="s">
        <v>2927</v>
      </c>
      <c r="F1085" s="607" t="s">
        <v>2928</v>
      </c>
      <c r="G1085" s="609" t="s">
        <v>1594</v>
      </c>
      <c r="H1085" s="609" t="s">
        <v>1594</v>
      </c>
      <c r="I1085" s="607" t="s">
        <v>3018</v>
      </c>
      <c r="J1085" s="608" t="str">
        <f t="shared" si="34"/>
        <v>Leisure Equipment And Products</v>
      </c>
      <c r="N1085" s="822">
        <v>334416</v>
      </c>
      <c r="O1085" s="822" t="s">
        <v>2694</v>
      </c>
      <c r="P1085" s="823">
        <v>3677</v>
      </c>
      <c r="Q1085" s="823" t="s">
        <v>2700</v>
      </c>
    </row>
    <row r="1086" spans="2:17" s="608" customFormat="1" ht="15" customHeight="1" x14ac:dyDescent="0.25">
      <c r="B1086" s="605" t="s">
        <v>3016</v>
      </c>
      <c r="C1086" s="606">
        <f t="shared" si="32"/>
        <v>339930</v>
      </c>
      <c r="D1086" s="607" t="s">
        <v>3017</v>
      </c>
      <c r="E1086" s="607" t="s">
        <v>1756</v>
      </c>
      <c r="F1086" s="607" t="s">
        <v>1757</v>
      </c>
      <c r="G1086" s="609" t="s">
        <v>1594</v>
      </c>
      <c r="H1086" s="609" t="s">
        <v>1594</v>
      </c>
      <c r="I1086" s="607" t="s">
        <v>3018</v>
      </c>
      <c r="J1086" s="608" t="str">
        <f t="shared" si="34"/>
        <v>Leisure Equipment And Products</v>
      </c>
      <c r="N1086" s="822">
        <v>334417</v>
      </c>
      <c r="O1086" s="822" t="s">
        <v>2702</v>
      </c>
      <c r="P1086" s="823">
        <v>3678</v>
      </c>
      <c r="Q1086" s="823" t="s">
        <v>2704</v>
      </c>
    </row>
    <row r="1087" spans="2:17" s="608" customFormat="1" x14ac:dyDescent="0.25">
      <c r="B1087" s="605" t="s">
        <v>3021</v>
      </c>
      <c r="C1087" s="606">
        <f t="shared" si="32"/>
        <v>339940</v>
      </c>
      <c r="D1087" s="607" t="s">
        <v>3022</v>
      </c>
      <c r="E1087" s="605" t="s">
        <v>2881</v>
      </c>
      <c r="F1087" s="607" t="s">
        <v>2882</v>
      </c>
      <c r="G1087" s="607" t="s">
        <v>1019</v>
      </c>
      <c r="H1087" s="607" t="s">
        <v>1019</v>
      </c>
      <c r="I1087" s="607" t="s">
        <v>1755</v>
      </c>
      <c r="J1087" s="608" t="str">
        <f t="shared" si="34"/>
        <v>Manufacturing</v>
      </c>
      <c r="N1087" s="822">
        <v>334418</v>
      </c>
      <c r="O1087" s="822" t="s">
        <v>2706</v>
      </c>
      <c r="P1087" s="823">
        <v>3577</v>
      </c>
      <c r="Q1087" s="823" t="s">
        <v>2528</v>
      </c>
    </row>
    <row r="1088" spans="2:17" s="608" customFormat="1" x14ac:dyDescent="0.25">
      <c r="B1088" s="605" t="s">
        <v>3021</v>
      </c>
      <c r="C1088" s="606">
        <f t="shared" si="32"/>
        <v>339940</v>
      </c>
      <c r="D1088" s="607" t="s">
        <v>3022</v>
      </c>
      <c r="E1088" s="605" t="s">
        <v>2534</v>
      </c>
      <c r="F1088" s="607" t="s">
        <v>2535</v>
      </c>
      <c r="G1088" s="607" t="s">
        <v>1019</v>
      </c>
      <c r="H1088" s="607" t="s">
        <v>1019</v>
      </c>
      <c r="I1088" s="607" t="s">
        <v>1755</v>
      </c>
      <c r="J1088" s="608" t="str">
        <f t="shared" si="34"/>
        <v>Manufacturing</v>
      </c>
      <c r="N1088" s="822">
        <v>334418</v>
      </c>
      <c r="O1088" s="822" t="s">
        <v>2706</v>
      </c>
      <c r="P1088" s="823">
        <v>3661</v>
      </c>
      <c r="Q1088" s="823" t="s">
        <v>2668</v>
      </c>
    </row>
    <row r="1089" spans="2:17" s="608" customFormat="1" x14ac:dyDescent="0.25">
      <c r="B1089" s="605" t="s">
        <v>3021</v>
      </c>
      <c r="C1089" s="606">
        <f t="shared" si="32"/>
        <v>339940</v>
      </c>
      <c r="D1089" s="607" t="s">
        <v>3022</v>
      </c>
      <c r="E1089" s="605" t="s">
        <v>3023</v>
      </c>
      <c r="F1089" s="607" t="s">
        <v>3024</v>
      </c>
      <c r="G1089" s="607" t="s">
        <v>1019</v>
      </c>
      <c r="H1089" s="607" t="s">
        <v>1019</v>
      </c>
      <c r="I1089" s="607" t="s">
        <v>1755</v>
      </c>
      <c r="J1089" s="608" t="str">
        <f t="shared" si="34"/>
        <v>Manufacturing</v>
      </c>
      <c r="N1089" s="822">
        <v>334418</v>
      </c>
      <c r="O1089" s="822" t="s">
        <v>2706</v>
      </c>
      <c r="P1089" s="823">
        <v>3679</v>
      </c>
      <c r="Q1089" s="823" t="s">
        <v>2675</v>
      </c>
    </row>
    <row r="1090" spans="2:17" s="608" customFormat="1" x14ac:dyDescent="0.25">
      <c r="B1090" s="605" t="s">
        <v>3021</v>
      </c>
      <c r="C1090" s="606">
        <f t="shared" ref="C1090:C1153" si="35">B1090+0</f>
        <v>339940</v>
      </c>
      <c r="D1090" s="607" t="s">
        <v>3022</v>
      </c>
      <c r="E1090" s="605" t="s">
        <v>2077</v>
      </c>
      <c r="F1090" s="607" t="s">
        <v>2078</v>
      </c>
      <c r="G1090" s="607" t="s">
        <v>1019</v>
      </c>
      <c r="H1090" s="607" t="s">
        <v>1019</v>
      </c>
      <c r="I1090" s="607" t="s">
        <v>1755</v>
      </c>
      <c r="J1090" s="608" t="str">
        <f t="shared" si="34"/>
        <v>Manufacturing</v>
      </c>
      <c r="N1090" s="822">
        <v>334419</v>
      </c>
      <c r="O1090" s="822" t="s">
        <v>2708</v>
      </c>
      <c r="P1090" s="823">
        <v>3671</v>
      </c>
      <c r="Q1090" s="823" t="s">
        <v>2710</v>
      </c>
    </row>
    <row r="1091" spans="2:17" s="608" customFormat="1" x14ac:dyDescent="0.25">
      <c r="B1091" s="605" t="s">
        <v>3021</v>
      </c>
      <c r="C1091" s="606">
        <f t="shared" si="35"/>
        <v>339940</v>
      </c>
      <c r="D1091" s="607" t="s">
        <v>3022</v>
      </c>
      <c r="E1091" s="605" t="s">
        <v>3025</v>
      </c>
      <c r="F1091" s="607" t="s">
        <v>3026</v>
      </c>
      <c r="G1091" s="607" t="s">
        <v>1019</v>
      </c>
      <c r="H1091" s="607" t="s">
        <v>1019</v>
      </c>
      <c r="I1091" s="607" t="s">
        <v>1755</v>
      </c>
      <c r="J1091" s="608" t="str">
        <f t="shared" si="34"/>
        <v>Manufacturing</v>
      </c>
      <c r="N1091" s="822">
        <v>334419</v>
      </c>
      <c r="O1091" s="822" t="s">
        <v>2708</v>
      </c>
      <c r="P1091" s="823">
        <v>3679</v>
      </c>
      <c r="Q1091" s="823" t="s">
        <v>2675</v>
      </c>
    </row>
    <row r="1092" spans="2:17" s="608" customFormat="1" x14ac:dyDescent="0.25">
      <c r="B1092" s="605" t="s">
        <v>3021</v>
      </c>
      <c r="C1092" s="606">
        <f t="shared" si="35"/>
        <v>339940</v>
      </c>
      <c r="D1092" s="607" t="s">
        <v>3022</v>
      </c>
      <c r="E1092" s="607" t="s">
        <v>3027</v>
      </c>
      <c r="F1092" s="607" t="s">
        <v>3028</v>
      </c>
      <c r="G1092" s="607" t="s">
        <v>1019</v>
      </c>
      <c r="H1092" s="607" t="s">
        <v>1019</v>
      </c>
      <c r="I1092" s="607" t="s">
        <v>1921</v>
      </c>
      <c r="J1092" s="608" t="str">
        <f t="shared" si="34"/>
        <v>Commercial &amp; Professional Services</v>
      </c>
      <c r="N1092" s="822">
        <v>334510</v>
      </c>
      <c r="O1092" s="822" t="s">
        <v>2712</v>
      </c>
      <c r="P1092" s="823">
        <v>3842</v>
      </c>
      <c r="Q1092" s="823" t="s">
        <v>1899</v>
      </c>
    </row>
    <row r="1093" spans="2:17" s="608" customFormat="1" x14ac:dyDescent="0.25">
      <c r="B1093" s="605" t="s">
        <v>3029</v>
      </c>
      <c r="C1093" s="606">
        <f t="shared" si="35"/>
        <v>339950</v>
      </c>
      <c r="D1093" s="607" t="s">
        <v>3030</v>
      </c>
      <c r="E1093" s="605" t="s">
        <v>1922</v>
      </c>
      <c r="F1093" s="607" t="s">
        <v>1923</v>
      </c>
      <c r="G1093" s="607" t="s">
        <v>1019</v>
      </c>
      <c r="H1093" s="607" t="s">
        <v>1019</v>
      </c>
      <c r="I1093" s="607" t="s">
        <v>1755</v>
      </c>
      <c r="J1093" s="608" t="str">
        <f t="shared" si="34"/>
        <v>Manufacturing</v>
      </c>
      <c r="N1093" s="822">
        <v>334510</v>
      </c>
      <c r="O1093" s="822" t="s">
        <v>2712</v>
      </c>
      <c r="P1093" s="823">
        <v>3845</v>
      </c>
      <c r="Q1093" s="823" t="s">
        <v>2715</v>
      </c>
    </row>
    <row r="1094" spans="2:17" s="608" customFormat="1" x14ac:dyDescent="0.25">
      <c r="B1094" s="605" t="s">
        <v>3031</v>
      </c>
      <c r="C1094" s="606">
        <f t="shared" si="35"/>
        <v>339991</v>
      </c>
      <c r="D1094" s="607" t="s">
        <v>3032</v>
      </c>
      <c r="E1094" s="605" t="s">
        <v>3033</v>
      </c>
      <c r="F1094" s="607" t="s">
        <v>3034</v>
      </c>
      <c r="G1094" s="607" t="s">
        <v>1019</v>
      </c>
      <c r="H1094" s="607" t="s">
        <v>1019</v>
      </c>
      <c r="I1094" s="607" t="s">
        <v>1755</v>
      </c>
      <c r="J1094" s="608" t="str">
        <f t="shared" si="34"/>
        <v>Manufacturing</v>
      </c>
      <c r="N1094" s="822">
        <v>334511</v>
      </c>
      <c r="O1094" s="822" t="s">
        <v>2717</v>
      </c>
      <c r="P1094" s="823">
        <v>3812</v>
      </c>
      <c r="Q1094" s="823" t="s">
        <v>2719</v>
      </c>
    </row>
    <row r="1095" spans="2:17" s="608" customFormat="1" x14ac:dyDescent="0.25">
      <c r="B1095" s="605" t="s">
        <v>3035</v>
      </c>
      <c r="C1095" s="606">
        <f t="shared" si="35"/>
        <v>339992</v>
      </c>
      <c r="D1095" s="607" t="s">
        <v>3036</v>
      </c>
      <c r="E1095" s="605" t="s">
        <v>3037</v>
      </c>
      <c r="F1095" s="607" t="s">
        <v>3038</v>
      </c>
      <c r="G1095" s="607" t="s">
        <v>1019</v>
      </c>
      <c r="H1095" s="607" t="s">
        <v>1019</v>
      </c>
      <c r="I1095" s="607" t="s">
        <v>1755</v>
      </c>
      <c r="J1095" s="608" t="str">
        <f t="shared" si="34"/>
        <v>Manufacturing</v>
      </c>
      <c r="N1095" s="822">
        <v>334512</v>
      </c>
      <c r="O1095" s="822" t="s">
        <v>2721</v>
      </c>
      <c r="P1095" s="823">
        <v>3822</v>
      </c>
      <c r="Q1095" s="823" t="s">
        <v>2723</v>
      </c>
    </row>
    <row r="1096" spans="2:17" s="608" customFormat="1" x14ac:dyDescent="0.25">
      <c r="B1096" s="605" t="s">
        <v>3039</v>
      </c>
      <c r="C1096" s="606">
        <f t="shared" si="35"/>
        <v>339993</v>
      </c>
      <c r="D1096" s="607" t="s">
        <v>3040</v>
      </c>
      <c r="E1096" s="605" t="s">
        <v>1776</v>
      </c>
      <c r="F1096" s="607" t="s">
        <v>1777</v>
      </c>
      <c r="G1096" s="607" t="s">
        <v>1019</v>
      </c>
      <c r="H1096" s="607" t="s">
        <v>1019</v>
      </c>
      <c r="I1096" s="607" t="s">
        <v>1755</v>
      </c>
      <c r="J1096" s="608" t="str">
        <f t="shared" si="34"/>
        <v>Manufacturing</v>
      </c>
      <c r="N1096" s="822">
        <v>334513</v>
      </c>
      <c r="O1096" s="822" t="s">
        <v>2725</v>
      </c>
      <c r="P1096" s="823">
        <v>3823</v>
      </c>
      <c r="Q1096" s="823" t="s">
        <v>2727</v>
      </c>
    </row>
    <row r="1097" spans="2:17" s="608" customFormat="1" x14ac:dyDescent="0.25">
      <c r="B1097" s="605" t="s">
        <v>3039</v>
      </c>
      <c r="C1097" s="606">
        <f t="shared" si="35"/>
        <v>339993</v>
      </c>
      <c r="D1097" s="607" t="s">
        <v>3040</v>
      </c>
      <c r="E1097" s="605" t="s">
        <v>3010</v>
      </c>
      <c r="F1097" s="607" t="s">
        <v>3011</v>
      </c>
      <c r="G1097" s="607" t="s">
        <v>1019</v>
      </c>
      <c r="H1097" s="607" t="s">
        <v>1019</v>
      </c>
      <c r="I1097" s="607" t="s">
        <v>1755</v>
      </c>
      <c r="J1097" s="608" t="str">
        <f t="shared" si="34"/>
        <v>Manufacturing</v>
      </c>
      <c r="N1097" s="822">
        <v>334514</v>
      </c>
      <c r="O1097" s="822" t="s">
        <v>2729</v>
      </c>
      <c r="P1097" s="823">
        <v>3824</v>
      </c>
      <c r="Q1097" s="823" t="s">
        <v>2731</v>
      </c>
    </row>
    <row r="1098" spans="2:17" s="608" customFormat="1" x14ac:dyDescent="0.25">
      <c r="B1098" s="605" t="s">
        <v>3039</v>
      </c>
      <c r="C1098" s="606">
        <f t="shared" si="35"/>
        <v>339993</v>
      </c>
      <c r="D1098" s="607" t="s">
        <v>3040</v>
      </c>
      <c r="E1098" s="605" t="s">
        <v>3041</v>
      </c>
      <c r="F1098" s="607" t="s">
        <v>3042</v>
      </c>
      <c r="G1098" s="607" t="s">
        <v>1019</v>
      </c>
      <c r="H1098" s="607" t="s">
        <v>1019</v>
      </c>
      <c r="I1098" s="607" t="s">
        <v>1755</v>
      </c>
      <c r="J1098" s="608" t="str">
        <f t="shared" si="34"/>
        <v>Manufacturing</v>
      </c>
      <c r="N1098" s="822">
        <v>334514</v>
      </c>
      <c r="O1098" s="822" t="s">
        <v>2729</v>
      </c>
      <c r="P1098" s="823">
        <v>3825</v>
      </c>
      <c r="Q1098" s="823" t="s">
        <v>2733</v>
      </c>
    </row>
    <row r="1099" spans="2:17" s="608" customFormat="1" x14ac:dyDescent="0.25">
      <c r="B1099" s="605" t="s">
        <v>3043</v>
      </c>
      <c r="C1099" s="606">
        <f t="shared" si="35"/>
        <v>339994</v>
      </c>
      <c r="D1099" s="607" t="s">
        <v>3044</v>
      </c>
      <c r="E1099" s="607" t="s">
        <v>1663</v>
      </c>
      <c r="F1099" s="607" t="s">
        <v>1664</v>
      </c>
      <c r="G1099" s="607" t="s">
        <v>1594</v>
      </c>
      <c r="H1099" s="607" t="s">
        <v>1594</v>
      </c>
      <c r="I1099" s="607" t="s">
        <v>1608</v>
      </c>
      <c r="J1099" s="608" t="str">
        <f t="shared" si="34"/>
        <v>Textile Apparel Luxury Goods</v>
      </c>
      <c r="N1099" s="822">
        <v>334514</v>
      </c>
      <c r="O1099" s="822" t="s">
        <v>2729</v>
      </c>
      <c r="P1099" s="823">
        <v>3829</v>
      </c>
      <c r="Q1099" s="823" t="s">
        <v>2735</v>
      </c>
    </row>
    <row r="1100" spans="2:17" s="608" customFormat="1" x14ac:dyDescent="0.25">
      <c r="B1100" s="605" t="s">
        <v>3043</v>
      </c>
      <c r="C1100" s="606">
        <f t="shared" si="35"/>
        <v>339994</v>
      </c>
      <c r="D1100" s="607" t="s">
        <v>3044</v>
      </c>
      <c r="E1100" s="605" t="s">
        <v>3045</v>
      </c>
      <c r="F1100" s="607" t="s">
        <v>3046</v>
      </c>
      <c r="G1100" s="607" t="s">
        <v>1019</v>
      </c>
      <c r="H1100" s="607" t="s">
        <v>1019</v>
      </c>
      <c r="I1100" s="607" t="s">
        <v>1755</v>
      </c>
      <c r="J1100" s="608" t="str">
        <f t="shared" si="34"/>
        <v>Manufacturing</v>
      </c>
      <c r="N1100" s="822">
        <v>334515</v>
      </c>
      <c r="O1100" s="822" t="s">
        <v>2737</v>
      </c>
      <c r="P1100" s="823">
        <v>3663</v>
      </c>
      <c r="Q1100" s="823" t="s">
        <v>2672</v>
      </c>
    </row>
    <row r="1101" spans="2:17" s="608" customFormat="1" x14ac:dyDescent="0.25">
      <c r="B1101" s="605" t="s">
        <v>3047</v>
      </c>
      <c r="C1101" s="606">
        <f t="shared" si="35"/>
        <v>339995</v>
      </c>
      <c r="D1101" s="607" t="s">
        <v>3048</v>
      </c>
      <c r="E1101" s="605" t="s">
        <v>3049</v>
      </c>
      <c r="F1101" s="607" t="s">
        <v>3050</v>
      </c>
      <c r="G1101" s="607" t="s">
        <v>1019</v>
      </c>
      <c r="H1101" s="607" t="s">
        <v>1019</v>
      </c>
      <c r="I1101" s="607" t="s">
        <v>1755</v>
      </c>
      <c r="J1101" s="608" t="str">
        <f t="shared" si="34"/>
        <v>Manufacturing</v>
      </c>
      <c r="N1101" s="822">
        <v>334515</v>
      </c>
      <c r="O1101" s="822" t="s">
        <v>2737</v>
      </c>
      <c r="P1101" s="823">
        <v>3679</v>
      </c>
      <c r="Q1101" s="823" t="s">
        <v>2675</v>
      </c>
    </row>
    <row r="1102" spans="2:17" s="608" customFormat="1" x14ac:dyDescent="0.25">
      <c r="B1102" s="605" t="s">
        <v>3051</v>
      </c>
      <c r="C1102" s="606">
        <f t="shared" si="35"/>
        <v>339999</v>
      </c>
      <c r="D1102" s="607" t="s">
        <v>3052</v>
      </c>
      <c r="E1102" s="605" t="s">
        <v>1830</v>
      </c>
      <c r="F1102" s="607" t="s">
        <v>1831</v>
      </c>
      <c r="G1102" s="607" t="s">
        <v>1019</v>
      </c>
      <c r="H1102" s="607" t="s">
        <v>1019</v>
      </c>
      <c r="I1102" s="607" t="s">
        <v>1755</v>
      </c>
      <c r="J1102" s="608" t="str">
        <f t="shared" si="34"/>
        <v>Manufacturing</v>
      </c>
      <c r="N1102" s="822">
        <v>334515</v>
      </c>
      <c r="O1102" s="822" t="s">
        <v>2737</v>
      </c>
      <c r="P1102" s="823">
        <v>3825</v>
      </c>
      <c r="Q1102" s="823" t="s">
        <v>2733</v>
      </c>
    </row>
    <row r="1103" spans="2:17" s="608" customFormat="1" x14ac:dyDescent="0.25">
      <c r="B1103" s="605" t="s">
        <v>3051</v>
      </c>
      <c r="C1103" s="606">
        <f t="shared" si="35"/>
        <v>339999</v>
      </c>
      <c r="D1103" s="607" t="s">
        <v>3052</v>
      </c>
      <c r="E1103" s="605" t="s">
        <v>2552</v>
      </c>
      <c r="F1103" s="607" t="s">
        <v>2553</v>
      </c>
      <c r="G1103" s="607" t="s">
        <v>1019</v>
      </c>
      <c r="H1103" s="607" t="s">
        <v>1019</v>
      </c>
      <c r="I1103" s="607" t="s">
        <v>1755</v>
      </c>
      <c r="J1103" s="608" t="str">
        <f t="shared" ref="J1103:J1166" si="36">PROPER(I1103)</f>
        <v>Manufacturing</v>
      </c>
      <c r="N1103" s="822">
        <v>334516</v>
      </c>
      <c r="O1103" s="822" t="s">
        <v>2739</v>
      </c>
      <c r="P1103" s="823">
        <v>3826</v>
      </c>
      <c r="Q1103" s="823" t="s">
        <v>2741</v>
      </c>
    </row>
    <row r="1104" spans="2:17" s="608" customFormat="1" x14ac:dyDescent="0.25">
      <c r="B1104" s="605" t="s">
        <v>3051</v>
      </c>
      <c r="C1104" s="606">
        <f t="shared" si="35"/>
        <v>339999</v>
      </c>
      <c r="D1104" s="607" t="s">
        <v>3052</v>
      </c>
      <c r="E1104" s="605" t="s">
        <v>1898</v>
      </c>
      <c r="F1104" s="607" t="s">
        <v>1899</v>
      </c>
      <c r="G1104" s="607" t="s">
        <v>1019</v>
      </c>
      <c r="H1104" s="607" t="s">
        <v>1019</v>
      </c>
      <c r="I1104" s="607" t="s">
        <v>1755</v>
      </c>
      <c r="J1104" s="608" t="str">
        <f t="shared" si="36"/>
        <v>Manufacturing</v>
      </c>
      <c r="N1104" s="822">
        <v>334517</v>
      </c>
      <c r="O1104" s="822" t="s">
        <v>2743</v>
      </c>
      <c r="P1104" s="823">
        <v>3844</v>
      </c>
      <c r="Q1104" s="823" t="s">
        <v>2745</v>
      </c>
    </row>
    <row r="1105" spans="2:17" s="608" customFormat="1" x14ac:dyDescent="0.25">
      <c r="B1105" s="605" t="s">
        <v>3051</v>
      </c>
      <c r="C1105" s="606">
        <f t="shared" si="35"/>
        <v>339999</v>
      </c>
      <c r="D1105" s="607" t="s">
        <v>3052</v>
      </c>
      <c r="E1105" s="607" t="s">
        <v>1756</v>
      </c>
      <c r="F1105" s="607" t="s">
        <v>1757</v>
      </c>
      <c r="G1105" s="607" t="s">
        <v>837</v>
      </c>
      <c r="H1105" s="607" t="s">
        <v>837</v>
      </c>
      <c r="I1105" s="607" t="s">
        <v>838</v>
      </c>
      <c r="J1105" s="608" t="str">
        <f t="shared" si="36"/>
        <v>Food</v>
      </c>
      <c r="N1105" s="822">
        <v>334517</v>
      </c>
      <c r="O1105" s="822" t="s">
        <v>2743</v>
      </c>
      <c r="P1105" s="823">
        <v>3845</v>
      </c>
      <c r="Q1105" s="823" t="s">
        <v>2715</v>
      </c>
    </row>
    <row r="1106" spans="2:17" s="608" customFormat="1" x14ac:dyDescent="0.25">
      <c r="B1106" s="605" t="s">
        <v>3053</v>
      </c>
      <c r="C1106" s="606">
        <f t="shared" si="35"/>
        <v>423110</v>
      </c>
      <c r="D1106" s="607" t="s">
        <v>3054</v>
      </c>
      <c r="E1106" s="607" t="s">
        <v>3055</v>
      </c>
      <c r="F1106" s="607" t="s">
        <v>3056</v>
      </c>
      <c r="G1106" s="607" t="s">
        <v>1594</v>
      </c>
      <c r="H1106" s="607" t="s">
        <v>1594</v>
      </c>
      <c r="I1106" s="607" t="s">
        <v>3057</v>
      </c>
      <c r="J1106" s="608" t="str">
        <f t="shared" si="36"/>
        <v>Wholesale Trade</v>
      </c>
      <c r="N1106" s="823">
        <v>334518</v>
      </c>
      <c r="O1106" s="823" t="s">
        <v>5965</v>
      </c>
      <c r="P1106" s="823"/>
      <c r="Q1106" s="823" t="s">
        <v>958</v>
      </c>
    </row>
    <row r="1107" spans="2:17" s="608" customFormat="1" x14ac:dyDescent="0.25">
      <c r="B1107" s="605" t="s">
        <v>3058</v>
      </c>
      <c r="C1107" s="606">
        <f t="shared" si="35"/>
        <v>423120</v>
      </c>
      <c r="D1107" s="607" t="s">
        <v>3059</v>
      </c>
      <c r="E1107" s="607" t="s">
        <v>3060</v>
      </c>
      <c r="F1107" s="607" t="s">
        <v>3061</v>
      </c>
      <c r="G1107" s="607" t="s">
        <v>1594</v>
      </c>
      <c r="H1107" s="607" t="s">
        <v>1594</v>
      </c>
      <c r="I1107" s="607" t="s">
        <v>3057</v>
      </c>
      <c r="J1107" s="608" t="str">
        <f t="shared" si="36"/>
        <v>Wholesale Trade</v>
      </c>
      <c r="N1107" s="822">
        <v>334519</v>
      </c>
      <c r="O1107" s="822" t="s">
        <v>2747</v>
      </c>
      <c r="P1107" s="823">
        <v>3429</v>
      </c>
      <c r="Q1107" s="823" t="s">
        <v>2392</v>
      </c>
    </row>
    <row r="1108" spans="2:17" s="608" customFormat="1" x14ac:dyDescent="0.25">
      <c r="B1108" s="605" t="s">
        <v>3062</v>
      </c>
      <c r="C1108" s="606">
        <f t="shared" si="35"/>
        <v>423130</v>
      </c>
      <c r="D1108" s="607" t="s">
        <v>3063</v>
      </c>
      <c r="E1108" s="605" t="s">
        <v>3064</v>
      </c>
      <c r="F1108" s="607" t="s">
        <v>3065</v>
      </c>
      <c r="G1108" s="607" t="s">
        <v>1594</v>
      </c>
      <c r="H1108" s="607" t="s">
        <v>1594</v>
      </c>
      <c r="I1108" s="607" t="s">
        <v>3057</v>
      </c>
      <c r="J1108" s="608" t="str">
        <f t="shared" si="36"/>
        <v>Wholesale Trade</v>
      </c>
      <c r="N1108" s="822">
        <v>334519</v>
      </c>
      <c r="O1108" s="822" t="s">
        <v>2747</v>
      </c>
      <c r="P1108" s="823">
        <v>3495</v>
      </c>
      <c r="Q1108" s="823" t="s">
        <v>2402</v>
      </c>
    </row>
    <row r="1109" spans="2:17" s="608" customFormat="1" x14ac:dyDescent="0.25">
      <c r="B1109" s="605" t="s">
        <v>3066</v>
      </c>
      <c r="C1109" s="606">
        <f t="shared" si="35"/>
        <v>423140</v>
      </c>
      <c r="D1109" s="607" t="s">
        <v>3067</v>
      </c>
      <c r="E1109" s="607" t="s">
        <v>3068</v>
      </c>
      <c r="F1109" s="607" t="s">
        <v>3069</v>
      </c>
      <c r="G1109" s="607" t="s">
        <v>1594</v>
      </c>
      <c r="H1109" s="607" t="s">
        <v>1594</v>
      </c>
      <c r="I1109" s="607" t="s">
        <v>3057</v>
      </c>
      <c r="J1109" s="608" t="str">
        <f t="shared" si="36"/>
        <v>Wholesale Trade</v>
      </c>
      <c r="N1109" s="822">
        <v>334519</v>
      </c>
      <c r="O1109" s="822" t="s">
        <v>2747</v>
      </c>
      <c r="P1109" s="823">
        <v>3579</v>
      </c>
      <c r="Q1109" s="823" t="s">
        <v>2535</v>
      </c>
    </row>
    <row r="1110" spans="2:17" s="608" customFormat="1" x14ac:dyDescent="0.25">
      <c r="B1110" s="605" t="s">
        <v>3070</v>
      </c>
      <c r="C1110" s="606">
        <f t="shared" si="35"/>
        <v>423210</v>
      </c>
      <c r="D1110" s="607" t="s">
        <v>3071</v>
      </c>
      <c r="E1110" s="607" t="s">
        <v>3072</v>
      </c>
      <c r="F1110" s="607" t="s">
        <v>3073</v>
      </c>
      <c r="G1110" s="607" t="s">
        <v>1594</v>
      </c>
      <c r="H1110" s="607" t="s">
        <v>1594</v>
      </c>
      <c r="I1110" s="607" t="s">
        <v>1595</v>
      </c>
      <c r="J1110" s="608" t="str">
        <f t="shared" si="36"/>
        <v>Home Furnishings</v>
      </c>
      <c r="N1110" s="822">
        <v>334519</v>
      </c>
      <c r="O1110" s="822" t="s">
        <v>2747</v>
      </c>
      <c r="P1110" s="823">
        <v>3599</v>
      </c>
      <c r="Q1110" s="823" t="s">
        <v>2408</v>
      </c>
    </row>
    <row r="1111" spans="2:17" s="608" customFormat="1" x14ac:dyDescent="0.25">
      <c r="B1111" s="605" t="s">
        <v>3074</v>
      </c>
      <c r="C1111" s="606">
        <f t="shared" si="35"/>
        <v>423220</v>
      </c>
      <c r="D1111" s="607" t="s">
        <v>3075</v>
      </c>
      <c r="E1111" s="607" t="s">
        <v>3076</v>
      </c>
      <c r="F1111" s="607" t="s">
        <v>3077</v>
      </c>
      <c r="G1111" s="607" t="s">
        <v>1594</v>
      </c>
      <c r="H1111" s="607" t="s">
        <v>1594</v>
      </c>
      <c r="I1111" s="607" t="s">
        <v>3057</v>
      </c>
      <c r="J1111" s="608" t="str">
        <f t="shared" si="36"/>
        <v>Wholesale Trade</v>
      </c>
      <c r="N1111" s="822">
        <v>334519</v>
      </c>
      <c r="O1111" s="822" t="s">
        <v>2747</v>
      </c>
      <c r="P1111" s="823">
        <v>3829</v>
      </c>
      <c r="Q1111" s="823" t="s">
        <v>2735</v>
      </c>
    </row>
    <row r="1112" spans="2:17" s="608" customFormat="1" x14ac:dyDescent="0.25">
      <c r="B1112" s="605" t="s">
        <v>3078</v>
      </c>
      <c r="C1112" s="606">
        <f t="shared" si="35"/>
        <v>423310</v>
      </c>
      <c r="D1112" s="607" t="s">
        <v>3079</v>
      </c>
      <c r="E1112" s="607" t="s">
        <v>3080</v>
      </c>
      <c r="F1112" s="607" t="s">
        <v>3081</v>
      </c>
      <c r="G1112" s="607" t="s">
        <v>1594</v>
      </c>
      <c r="H1112" s="607" t="s">
        <v>1594</v>
      </c>
      <c r="I1112" s="607" t="s">
        <v>3057</v>
      </c>
      <c r="J1112" s="608" t="str">
        <f t="shared" si="36"/>
        <v>Wholesale Trade</v>
      </c>
      <c r="N1112" s="822">
        <v>334519</v>
      </c>
      <c r="O1112" s="822" t="s">
        <v>2747</v>
      </c>
      <c r="P1112" s="823">
        <v>3873</v>
      </c>
      <c r="Q1112" s="823" t="s">
        <v>2749</v>
      </c>
    </row>
    <row r="1113" spans="2:17" s="608" customFormat="1" x14ac:dyDescent="0.25">
      <c r="B1113" s="605" t="s">
        <v>3078</v>
      </c>
      <c r="C1113" s="606">
        <f t="shared" si="35"/>
        <v>423310</v>
      </c>
      <c r="D1113" s="607" t="s">
        <v>3079</v>
      </c>
      <c r="E1113" s="607" t="s">
        <v>3082</v>
      </c>
      <c r="F1113" s="607" t="s">
        <v>3083</v>
      </c>
      <c r="G1113" s="607" t="s">
        <v>1594</v>
      </c>
      <c r="H1113" s="607" t="s">
        <v>1594</v>
      </c>
      <c r="I1113" s="607" t="s">
        <v>3057</v>
      </c>
      <c r="J1113" s="608" t="str">
        <f t="shared" si="36"/>
        <v>Wholesale Trade</v>
      </c>
      <c r="N1113" s="822">
        <v>334519</v>
      </c>
      <c r="O1113" s="822" t="s">
        <v>2747</v>
      </c>
      <c r="P1113" s="823">
        <v>3915</v>
      </c>
      <c r="Q1113" s="823" t="s">
        <v>2751</v>
      </c>
    </row>
    <row r="1114" spans="2:17" s="608" customFormat="1" x14ac:dyDescent="0.25">
      <c r="B1114" s="605" t="s">
        <v>3084</v>
      </c>
      <c r="C1114" s="606">
        <f t="shared" si="35"/>
        <v>423320</v>
      </c>
      <c r="D1114" s="607" t="s">
        <v>3085</v>
      </c>
      <c r="E1114" s="607" t="s">
        <v>3086</v>
      </c>
      <c r="F1114" s="607" t="s">
        <v>3087</v>
      </c>
      <c r="G1114" s="607" t="s">
        <v>1594</v>
      </c>
      <c r="H1114" s="607" t="s">
        <v>1594</v>
      </c>
      <c r="I1114" s="607" t="s">
        <v>3057</v>
      </c>
      <c r="J1114" s="608" t="str">
        <f t="shared" si="36"/>
        <v>Wholesale Trade</v>
      </c>
      <c r="N1114" s="823">
        <v>334611</v>
      </c>
      <c r="O1114" s="823" t="s">
        <v>5966</v>
      </c>
      <c r="P1114" s="823"/>
      <c r="Q1114" s="823" t="s">
        <v>958</v>
      </c>
    </row>
    <row r="1115" spans="2:17" s="608" customFormat="1" x14ac:dyDescent="0.25">
      <c r="B1115" s="605" t="s">
        <v>3088</v>
      </c>
      <c r="C1115" s="606">
        <f t="shared" si="35"/>
        <v>423330</v>
      </c>
      <c r="D1115" s="607" t="s">
        <v>3089</v>
      </c>
      <c r="E1115" s="607" t="s">
        <v>3090</v>
      </c>
      <c r="F1115" s="607" t="s">
        <v>3091</v>
      </c>
      <c r="G1115" s="607" t="s">
        <v>1594</v>
      </c>
      <c r="H1115" s="607" t="s">
        <v>1594</v>
      </c>
      <c r="I1115" s="607" t="s">
        <v>3057</v>
      </c>
      <c r="J1115" s="608" t="str">
        <f t="shared" si="36"/>
        <v>Wholesale Trade</v>
      </c>
      <c r="N1115" s="823">
        <v>334612</v>
      </c>
      <c r="O1115" s="823" t="s">
        <v>5967</v>
      </c>
      <c r="P1115" s="823"/>
      <c r="Q1115" s="823" t="s">
        <v>958</v>
      </c>
    </row>
    <row r="1116" spans="2:17" s="608" customFormat="1" x14ac:dyDescent="0.25">
      <c r="B1116" s="605" t="s">
        <v>3092</v>
      </c>
      <c r="C1116" s="606">
        <f t="shared" si="35"/>
        <v>423390</v>
      </c>
      <c r="D1116" s="607" t="s">
        <v>3093</v>
      </c>
      <c r="E1116" s="607" t="s">
        <v>3082</v>
      </c>
      <c r="F1116" s="607" t="s">
        <v>3083</v>
      </c>
      <c r="G1116" s="607" t="s">
        <v>1594</v>
      </c>
      <c r="H1116" s="607" t="s">
        <v>1594</v>
      </c>
      <c r="I1116" s="607" t="s">
        <v>3057</v>
      </c>
      <c r="J1116" s="608" t="str">
        <f t="shared" si="36"/>
        <v>Wholesale Trade</v>
      </c>
      <c r="N1116" s="822">
        <v>334613</v>
      </c>
      <c r="O1116" s="822" t="s">
        <v>2753</v>
      </c>
      <c r="P1116" s="823">
        <v>3577</v>
      </c>
      <c r="Q1116" s="823" t="s">
        <v>2528</v>
      </c>
    </row>
    <row r="1117" spans="2:17" s="608" customFormat="1" x14ac:dyDescent="0.25">
      <c r="B1117" s="605" t="s">
        <v>3094</v>
      </c>
      <c r="C1117" s="606">
        <f t="shared" si="35"/>
        <v>423410</v>
      </c>
      <c r="D1117" s="607" t="s">
        <v>3095</v>
      </c>
      <c r="E1117" s="607" t="s">
        <v>3096</v>
      </c>
      <c r="F1117" s="607" t="s">
        <v>2074</v>
      </c>
      <c r="G1117" s="607" t="s">
        <v>1594</v>
      </c>
      <c r="H1117" s="607" t="s">
        <v>1594</v>
      </c>
      <c r="I1117" s="607" t="s">
        <v>3057</v>
      </c>
      <c r="J1117" s="608" t="str">
        <f t="shared" si="36"/>
        <v>Wholesale Trade</v>
      </c>
      <c r="N1117" s="822">
        <v>334613</v>
      </c>
      <c r="O1117" s="822" t="s">
        <v>2753</v>
      </c>
      <c r="P1117" s="823">
        <v>3695</v>
      </c>
      <c r="Q1117" s="823" t="s">
        <v>2755</v>
      </c>
    </row>
    <row r="1118" spans="2:17" s="608" customFormat="1" x14ac:dyDescent="0.25">
      <c r="B1118" s="605" t="s">
        <v>3097</v>
      </c>
      <c r="C1118" s="606">
        <f t="shared" si="35"/>
        <v>423420</v>
      </c>
      <c r="D1118" s="607" t="s">
        <v>3098</v>
      </c>
      <c r="E1118" s="607" t="s">
        <v>3099</v>
      </c>
      <c r="F1118" s="607" t="s">
        <v>3100</v>
      </c>
      <c r="G1118" s="607" t="s">
        <v>1594</v>
      </c>
      <c r="H1118" s="607" t="s">
        <v>1594</v>
      </c>
      <c r="I1118" s="607" t="s">
        <v>3057</v>
      </c>
      <c r="J1118" s="608" t="str">
        <f t="shared" si="36"/>
        <v>Wholesale Trade</v>
      </c>
      <c r="N1118" s="822">
        <v>334614</v>
      </c>
      <c r="O1118" s="822" t="s">
        <v>2757</v>
      </c>
      <c r="P1118" s="823">
        <v>3652</v>
      </c>
      <c r="Q1118" s="823" t="s">
        <v>2759</v>
      </c>
    </row>
    <row r="1119" spans="2:17" s="608" customFormat="1" ht="30" x14ac:dyDescent="0.25">
      <c r="B1119" s="605" t="s">
        <v>3101</v>
      </c>
      <c r="C1119" s="606">
        <f t="shared" si="35"/>
        <v>423430</v>
      </c>
      <c r="D1119" s="607" t="s">
        <v>3102</v>
      </c>
      <c r="E1119" s="607" t="s">
        <v>3103</v>
      </c>
      <c r="F1119" s="607" t="s">
        <v>3104</v>
      </c>
      <c r="G1119" s="607" t="s">
        <v>2509</v>
      </c>
      <c r="H1119" s="607" t="s">
        <v>2509</v>
      </c>
      <c r="I1119" s="607" t="s">
        <v>2510</v>
      </c>
      <c r="J1119" s="608" t="str">
        <f t="shared" si="36"/>
        <v>Technology Hardwr Equip</v>
      </c>
      <c r="N1119" s="822">
        <v>334614</v>
      </c>
      <c r="O1119" s="822" t="s">
        <v>2757</v>
      </c>
      <c r="P1119" s="823">
        <v>7372</v>
      </c>
      <c r="Q1119" s="823" t="s">
        <v>2761</v>
      </c>
    </row>
    <row r="1120" spans="2:17" s="608" customFormat="1" x14ac:dyDescent="0.25">
      <c r="B1120" s="605" t="s">
        <v>3105</v>
      </c>
      <c r="C1120" s="606">
        <f t="shared" si="35"/>
        <v>423440</v>
      </c>
      <c r="D1120" s="607" t="s">
        <v>3106</v>
      </c>
      <c r="E1120" s="607" t="s">
        <v>3107</v>
      </c>
      <c r="F1120" s="607" t="s">
        <v>3108</v>
      </c>
      <c r="G1120" s="607" t="s">
        <v>1594</v>
      </c>
      <c r="H1120" s="607" t="s">
        <v>1594</v>
      </c>
      <c r="I1120" s="607" t="s">
        <v>3057</v>
      </c>
      <c r="J1120" s="608" t="str">
        <f t="shared" si="36"/>
        <v>Wholesale Trade</v>
      </c>
      <c r="N1120" s="822">
        <v>334614</v>
      </c>
      <c r="O1120" s="822" t="s">
        <v>2757</v>
      </c>
      <c r="P1120" s="823">
        <v>7819</v>
      </c>
      <c r="Q1120" s="823" t="s">
        <v>2763</v>
      </c>
    </row>
    <row r="1121" spans="2:17" s="608" customFormat="1" x14ac:dyDescent="0.25">
      <c r="B1121" s="605" t="s">
        <v>3109</v>
      </c>
      <c r="C1121" s="606">
        <f t="shared" si="35"/>
        <v>423450</v>
      </c>
      <c r="D1121" s="607" t="s">
        <v>3110</v>
      </c>
      <c r="E1121" s="607" t="s">
        <v>3111</v>
      </c>
      <c r="F1121" s="607" t="s">
        <v>3112</v>
      </c>
      <c r="G1121" s="607" t="s">
        <v>2021</v>
      </c>
      <c r="H1121" s="607" t="s">
        <v>2021</v>
      </c>
      <c r="I1121" s="607" t="s">
        <v>2713</v>
      </c>
      <c r="J1121" s="608" t="str">
        <f t="shared" si="36"/>
        <v>Healthcare Provdr And Svs</v>
      </c>
      <c r="N1121" s="822">
        <v>335110</v>
      </c>
      <c r="O1121" s="822" t="s">
        <v>2765</v>
      </c>
      <c r="P1121" s="823">
        <v>3641</v>
      </c>
      <c r="Q1121" s="823" t="s">
        <v>2767</v>
      </c>
    </row>
    <row r="1122" spans="2:17" s="608" customFormat="1" x14ac:dyDescent="0.25">
      <c r="B1122" s="605" t="s">
        <v>3113</v>
      </c>
      <c r="C1122" s="606">
        <f t="shared" si="35"/>
        <v>423460</v>
      </c>
      <c r="D1122" s="607" t="s">
        <v>3114</v>
      </c>
      <c r="E1122" s="607" t="s">
        <v>3115</v>
      </c>
      <c r="F1122" s="607" t="s">
        <v>2991</v>
      </c>
      <c r="G1122" s="607" t="s">
        <v>1594</v>
      </c>
      <c r="H1122" s="607" t="s">
        <v>1594</v>
      </c>
      <c r="I1122" s="607" t="s">
        <v>3057</v>
      </c>
      <c r="J1122" s="608" t="str">
        <f t="shared" si="36"/>
        <v>Wholesale Trade</v>
      </c>
      <c r="N1122" s="822">
        <v>335121</v>
      </c>
      <c r="O1122" s="822" t="s">
        <v>2769</v>
      </c>
      <c r="P1122" s="823">
        <v>3645</v>
      </c>
      <c r="Q1122" s="823" t="s">
        <v>2771</v>
      </c>
    </row>
    <row r="1123" spans="2:17" s="608" customFormat="1" x14ac:dyDescent="0.25">
      <c r="B1123" s="605" t="s">
        <v>3116</v>
      </c>
      <c r="C1123" s="606">
        <f t="shared" si="35"/>
        <v>423490</v>
      </c>
      <c r="D1123" s="607" t="s">
        <v>3117</v>
      </c>
      <c r="E1123" s="607" t="s">
        <v>3118</v>
      </c>
      <c r="F1123" s="607" t="s">
        <v>3119</v>
      </c>
      <c r="G1123" s="607" t="s">
        <v>1594</v>
      </c>
      <c r="H1123" s="607" t="s">
        <v>1594</v>
      </c>
      <c r="I1123" s="607" t="s">
        <v>3057</v>
      </c>
      <c r="J1123" s="608" t="str">
        <f t="shared" si="36"/>
        <v>Wholesale Trade</v>
      </c>
      <c r="N1123" s="822">
        <v>335121</v>
      </c>
      <c r="O1123" s="822" t="s">
        <v>2769</v>
      </c>
      <c r="P1123" s="823">
        <v>3999</v>
      </c>
      <c r="Q1123" s="823" t="s">
        <v>1757</v>
      </c>
    </row>
    <row r="1124" spans="2:17" s="608" customFormat="1" x14ac:dyDescent="0.25">
      <c r="B1124" s="605" t="s">
        <v>3120</v>
      </c>
      <c r="C1124" s="606">
        <f t="shared" si="35"/>
        <v>423510</v>
      </c>
      <c r="D1124" s="607" t="s">
        <v>3121</v>
      </c>
      <c r="E1124" s="607" t="s">
        <v>3122</v>
      </c>
      <c r="F1124" s="607" t="s">
        <v>3123</v>
      </c>
      <c r="G1124" s="607" t="s">
        <v>1594</v>
      </c>
      <c r="H1124" s="607" t="s">
        <v>1594</v>
      </c>
      <c r="I1124" s="607" t="s">
        <v>3057</v>
      </c>
      <c r="J1124" s="608" t="str">
        <f t="shared" si="36"/>
        <v>Wholesale Trade</v>
      </c>
      <c r="N1124" s="822">
        <v>335122</v>
      </c>
      <c r="O1124" s="822" t="s">
        <v>2773</v>
      </c>
      <c r="P1124" s="823">
        <v>3646</v>
      </c>
      <c r="Q1124" s="823" t="s">
        <v>2775</v>
      </c>
    </row>
    <row r="1125" spans="2:17" s="608" customFormat="1" x14ac:dyDescent="0.25">
      <c r="B1125" s="605" t="s">
        <v>3124</v>
      </c>
      <c r="C1125" s="606">
        <f t="shared" si="35"/>
        <v>423520</v>
      </c>
      <c r="D1125" s="607" t="s">
        <v>3125</v>
      </c>
      <c r="E1125" s="607" t="s">
        <v>3126</v>
      </c>
      <c r="F1125" s="607" t="s">
        <v>3127</v>
      </c>
      <c r="G1125" s="607" t="s">
        <v>1080</v>
      </c>
      <c r="H1125" s="607" t="s">
        <v>1080</v>
      </c>
      <c r="I1125" s="607" t="s">
        <v>1080</v>
      </c>
      <c r="J1125" s="608" t="str">
        <f t="shared" si="36"/>
        <v>Energy</v>
      </c>
      <c r="N1125" s="822">
        <v>335129</v>
      </c>
      <c r="O1125" s="822" t="s">
        <v>2777</v>
      </c>
      <c r="P1125" s="823">
        <v>3648</v>
      </c>
      <c r="Q1125" s="823" t="s">
        <v>2779</v>
      </c>
    </row>
    <row r="1126" spans="2:17" s="608" customFormat="1" ht="30" x14ac:dyDescent="0.25">
      <c r="B1126" s="605" t="s">
        <v>3128</v>
      </c>
      <c r="C1126" s="606">
        <f t="shared" si="35"/>
        <v>423610</v>
      </c>
      <c r="D1126" s="607" t="s">
        <v>3129</v>
      </c>
      <c r="E1126" s="607" t="s">
        <v>3130</v>
      </c>
      <c r="F1126" s="607" t="s">
        <v>3131</v>
      </c>
      <c r="G1126" s="607" t="s">
        <v>1594</v>
      </c>
      <c r="H1126" s="607" t="s">
        <v>1594</v>
      </c>
      <c r="I1126" s="607" t="s">
        <v>3057</v>
      </c>
      <c r="J1126" s="608" t="str">
        <f t="shared" si="36"/>
        <v>Wholesale Trade</v>
      </c>
      <c r="N1126" s="822">
        <v>335129</v>
      </c>
      <c r="O1126" s="822" t="s">
        <v>2777</v>
      </c>
      <c r="P1126" s="823">
        <v>3699</v>
      </c>
      <c r="Q1126" s="823" t="s">
        <v>2543</v>
      </c>
    </row>
    <row r="1127" spans="2:17" s="608" customFormat="1" x14ac:dyDescent="0.25">
      <c r="B1127" s="605" t="s">
        <v>3132</v>
      </c>
      <c r="C1127" s="606">
        <f t="shared" si="35"/>
        <v>423620</v>
      </c>
      <c r="D1127" s="607" t="s">
        <v>3133</v>
      </c>
      <c r="E1127" s="607" t="s">
        <v>3134</v>
      </c>
      <c r="F1127" s="607" t="s">
        <v>3135</v>
      </c>
      <c r="G1127" s="607" t="s">
        <v>1594</v>
      </c>
      <c r="H1127" s="607" t="s">
        <v>1594</v>
      </c>
      <c r="I1127" s="607" t="s">
        <v>2529</v>
      </c>
      <c r="J1127" s="608" t="str">
        <f t="shared" si="36"/>
        <v>Consumer Electronics</v>
      </c>
      <c r="N1127" s="822">
        <v>335210</v>
      </c>
      <c r="O1127" s="822" t="s">
        <v>2781</v>
      </c>
      <c r="P1127" s="823">
        <v>3634</v>
      </c>
      <c r="Q1127" s="823" t="s">
        <v>2553</v>
      </c>
    </row>
    <row r="1128" spans="2:17" s="608" customFormat="1" x14ac:dyDescent="0.25">
      <c r="B1128" s="605" t="s">
        <v>3132</v>
      </c>
      <c r="C1128" s="606">
        <f t="shared" si="35"/>
        <v>423620</v>
      </c>
      <c r="D1128" s="607" t="s">
        <v>3133</v>
      </c>
      <c r="E1128" s="607" t="s">
        <v>3136</v>
      </c>
      <c r="F1128" s="607" t="s">
        <v>3137</v>
      </c>
      <c r="G1128" s="607" t="s">
        <v>1594</v>
      </c>
      <c r="H1128" s="607" t="s">
        <v>1594</v>
      </c>
      <c r="I1128" s="607" t="s">
        <v>2529</v>
      </c>
      <c r="J1128" s="608" t="str">
        <f t="shared" si="36"/>
        <v>Consumer Electronics</v>
      </c>
      <c r="N1128" s="822">
        <v>335210</v>
      </c>
      <c r="O1128" s="822" t="s">
        <v>2781</v>
      </c>
      <c r="P1128" s="823">
        <v>3635</v>
      </c>
      <c r="Q1128" s="823" t="s">
        <v>2783</v>
      </c>
    </row>
    <row r="1129" spans="2:17" s="608" customFormat="1" x14ac:dyDescent="0.25">
      <c r="B1129" s="605" t="s">
        <v>3138</v>
      </c>
      <c r="C1129" s="606">
        <f t="shared" si="35"/>
        <v>423690</v>
      </c>
      <c r="D1129" s="607" t="s">
        <v>3139</v>
      </c>
      <c r="E1129" s="607" t="s">
        <v>3140</v>
      </c>
      <c r="F1129" s="607" t="s">
        <v>3141</v>
      </c>
      <c r="G1129" s="607" t="s">
        <v>1594</v>
      </c>
      <c r="H1129" s="607" t="s">
        <v>1594</v>
      </c>
      <c r="I1129" s="607" t="s">
        <v>3057</v>
      </c>
      <c r="J1129" s="608" t="str">
        <f t="shared" si="36"/>
        <v>Wholesale Trade</v>
      </c>
      <c r="N1129" s="822">
        <v>335210</v>
      </c>
      <c r="O1129" s="822" t="s">
        <v>2781</v>
      </c>
      <c r="P1129" s="823">
        <v>3639</v>
      </c>
      <c r="Q1129" s="823" t="s">
        <v>2518</v>
      </c>
    </row>
    <row r="1130" spans="2:17" s="608" customFormat="1" x14ac:dyDescent="0.25">
      <c r="B1130" s="605" t="s">
        <v>3142</v>
      </c>
      <c r="C1130" s="606">
        <f t="shared" si="35"/>
        <v>423710</v>
      </c>
      <c r="D1130" s="607" t="s">
        <v>3143</v>
      </c>
      <c r="E1130" s="607" t="s">
        <v>3144</v>
      </c>
      <c r="F1130" s="607" t="s">
        <v>3145</v>
      </c>
      <c r="G1130" s="607" t="s">
        <v>1594</v>
      </c>
      <c r="H1130" s="607" t="s">
        <v>1594</v>
      </c>
      <c r="I1130" s="607" t="s">
        <v>3057</v>
      </c>
      <c r="J1130" s="608" t="str">
        <f t="shared" si="36"/>
        <v>Wholesale Trade</v>
      </c>
      <c r="N1130" s="822">
        <v>335210</v>
      </c>
      <c r="O1130" s="822" t="s">
        <v>2781</v>
      </c>
      <c r="P1130" s="823">
        <v>3999</v>
      </c>
      <c r="Q1130" s="823" t="s">
        <v>1757</v>
      </c>
    </row>
    <row r="1131" spans="2:17" s="608" customFormat="1" x14ac:dyDescent="0.25">
      <c r="B1131" s="605" t="s">
        <v>3146</v>
      </c>
      <c r="C1131" s="606">
        <f t="shared" si="35"/>
        <v>423720</v>
      </c>
      <c r="D1131" s="607" t="s">
        <v>3147</v>
      </c>
      <c r="E1131" s="607" t="s">
        <v>3134</v>
      </c>
      <c r="F1131" s="607" t="s">
        <v>3135</v>
      </c>
      <c r="G1131" s="607" t="s">
        <v>1019</v>
      </c>
      <c r="H1131" s="607" t="s">
        <v>1019</v>
      </c>
      <c r="I1131" s="607" t="s">
        <v>1255</v>
      </c>
      <c r="J1131" s="608" t="str">
        <f t="shared" si="36"/>
        <v>Construction</v>
      </c>
      <c r="N1131" s="823">
        <v>335211</v>
      </c>
      <c r="O1131" s="823" t="s">
        <v>5968</v>
      </c>
      <c r="P1131" s="823"/>
      <c r="Q1131" s="823" t="s">
        <v>958</v>
      </c>
    </row>
    <row r="1132" spans="2:17" s="608" customFormat="1" x14ac:dyDescent="0.25">
      <c r="B1132" s="605" t="s">
        <v>3146</v>
      </c>
      <c r="C1132" s="606">
        <f t="shared" si="35"/>
        <v>423720</v>
      </c>
      <c r="D1132" s="607" t="s">
        <v>3147</v>
      </c>
      <c r="E1132" s="607" t="s">
        <v>3136</v>
      </c>
      <c r="F1132" s="607" t="s">
        <v>3137</v>
      </c>
      <c r="G1132" s="607" t="s">
        <v>1019</v>
      </c>
      <c r="H1132" s="607" t="s">
        <v>1019</v>
      </c>
      <c r="I1132" s="607" t="s">
        <v>1255</v>
      </c>
      <c r="J1132" s="608" t="str">
        <f t="shared" si="36"/>
        <v>Construction</v>
      </c>
      <c r="N1132" s="823">
        <v>335212</v>
      </c>
      <c r="O1132" s="823" t="s">
        <v>5969</v>
      </c>
      <c r="P1132" s="823"/>
      <c r="Q1132" s="823" t="s">
        <v>958</v>
      </c>
    </row>
    <row r="1133" spans="2:17" s="608" customFormat="1" x14ac:dyDescent="0.25">
      <c r="B1133" s="605" t="s">
        <v>3148</v>
      </c>
      <c r="C1133" s="606">
        <f t="shared" si="35"/>
        <v>423730</v>
      </c>
      <c r="D1133" s="607" t="s">
        <v>3149</v>
      </c>
      <c r="E1133" s="607" t="s">
        <v>3150</v>
      </c>
      <c r="F1133" s="607" t="s">
        <v>3151</v>
      </c>
      <c r="G1133" s="607" t="s">
        <v>1594</v>
      </c>
      <c r="H1133" s="607" t="s">
        <v>1594</v>
      </c>
      <c r="I1133" s="607" t="s">
        <v>3057</v>
      </c>
      <c r="J1133" s="608" t="str">
        <f t="shared" si="36"/>
        <v>Wholesale Trade</v>
      </c>
      <c r="N1133" s="822">
        <v>335220</v>
      </c>
      <c r="O1133" s="822" t="s">
        <v>2785</v>
      </c>
      <c r="P1133" s="823">
        <v>3631</v>
      </c>
      <c r="Q1133" s="823" t="s">
        <v>2787</v>
      </c>
    </row>
    <row r="1134" spans="2:17" s="608" customFormat="1" x14ac:dyDescent="0.25">
      <c r="B1134" s="605" t="s">
        <v>3152</v>
      </c>
      <c r="C1134" s="606">
        <f t="shared" si="35"/>
        <v>423740</v>
      </c>
      <c r="D1134" s="607" t="s">
        <v>3153</v>
      </c>
      <c r="E1134" s="607" t="s">
        <v>3154</v>
      </c>
      <c r="F1134" s="607" t="s">
        <v>3155</v>
      </c>
      <c r="G1134" s="607" t="s">
        <v>1594</v>
      </c>
      <c r="H1134" s="607" t="s">
        <v>1594</v>
      </c>
      <c r="I1134" s="607" t="s">
        <v>3057</v>
      </c>
      <c r="J1134" s="608" t="str">
        <f t="shared" si="36"/>
        <v>Wholesale Trade</v>
      </c>
      <c r="N1134" s="822">
        <v>335220</v>
      </c>
      <c r="O1134" s="822" t="s">
        <v>2785</v>
      </c>
      <c r="P1134" s="823">
        <v>3632</v>
      </c>
      <c r="Q1134" s="823" t="s">
        <v>2789</v>
      </c>
    </row>
    <row r="1135" spans="2:17" s="608" customFormat="1" x14ac:dyDescent="0.25">
      <c r="B1135" s="605" t="s">
        <v>3156</v>
      </c>
      <c r="C1135" s="606">
        <f t="shared" si="35"/>
        <v>423810</v>
      </c>
      <c r="D1135" s="607" t="s">
        <v>3157</v>
      </c>
      <c r="E1135" s="607" t="s">
        <v>3158</v>
      </c>
      <c r="F1135" s="607" t="s">
        <v>3159</v>
      </c>
      <c r="G1135" s="607" t="s">
        <v>1594</v>
      </c>
      <c r="H1135" s="607" t="s">
        <v>1594</v>
      </c>
      <c r="I1135" s="607" t="s">
        <v>3057</v>
      </c>
      <c r="J1135" s="608" t="str">
        <f t="shared" si="36"/>
        <v>Wholesale Trade</v>
      </c>
      <c r="N1135" s="822">
        <v>335220</v>
      </c>
      <c r="O1135" s="822" t="s">
        <v>2785</v>
      </c>
      <c r="P1135" s="823">
        <v>3633</v>
      </c>
      <c r="Q1135" s="823" t="s">
        <v>2791</v>
      </c>
    </row>
    <row r="1136" spans="2:17" s="608" customFormat="1" x14ac:dyDescent="0.25">
      <c r="B1136" s="605" t="s">
        <v>3160</v>
      </c>
      <c r="C1136" s="606">
        <f t="shared" si="35"/>
        <v>423820</v>
      </c>
      <c r="D1136" s="607" t="s">
        <v>3161</v>
      </c>
      <c r="E1136" s="607" t="s">
        <v>3162</v>
      </c>
      <c r="F1136" s="607" t="s">
        <v>3163</v>
      </c>
      <c r="G1136" s="607" t="s">
        <v>1594</v>
      </c>
      <c r="H1136" s="607" t="s">
        <v>1594</v>
      </c>
      <c r="I1136" s="607" t="s">
        <v>3057</v>
      </c>
      <c r="J1136" s="608" t="str">
        <f t="shared" si="36"/>
        <v>Wholesale Trade</v>
      </c>
      <c r="N1136" s="822">
        <v>335220</v>
      </c>
      <c r="O1136" s="822" t="s">
        <v>2785</v>
      </c>
      <c r="P1136" s="823">
        <v>3639</v>
      </c>
      <c r="Q1136" s="823" t="s">
        <v>2518</v>
      </c>
    </row>
    <row r="1137" spans="2:17" s="608" customFormat="1" x14ac:dyDescent="0.25">
      <c r="B1137" s="605" t="s">
        <v>3164</v>
      </c>
      <c r="C1137" s="606">
        <f t="shared" si="35"/>
        <v>423830</v>
      </c>
      <c r="D1137" s="607" t="s">
        <v>3165</v>
      </c>
      <c r="E1137" s="607" t="s">
        <v>3166</v>
      </c>
      <c r="F1137" s="607" t="s">
        <v>3167</v>
      </c>
      <c r="G1137" s="607" t="s">
        <v>1594</v>
      </c>
      <c r="H1137" s="607" t="s">
        <v>1594</v>
      </c>
      <c r="I1137" s="607" t="s">
        <v>3057</v>
      </c>
      <c r="J1137" s="608" t="str">
        <f t="shared" si="36"/>
        <v>Wholesale Trade</v>
      </c>
      <c r="N1137" s="823">
        <v>335221</v>
      </c>
      <c r="O1137" s="823" t="s">
        <v>5970</v>
      </c>
      <c r="P1137" s="823"/>
      <c r="Q1137" s="823" t="s">
        <v>958</v>
      </c>
    </row>
    <row r="1138" spans="2:17" s="608" customFormat="1" x14ac:dyDescent="0.25">
      <c r="B1138" s="605" t="s">
        <v>3164</v>
      </c>
      <c r="C1138" s="606">
        <f t="shared" si="35"/>
        <v>423830</v>
      </c>
      <c r="D1138" s="607" t="s">
        <v>3165</v>
      </c>
      <c r="E1138" s="607" t="s">
        <v>3168</v>
      </c>
      <c r="F1138" s="607" t="s">
        <v>3169</v>
      </c>
      <c r="G1138" s="607" t="s">
        <v>1594</v>
      </c>
      <c r="H1138" s="607" t="s">
        <v>1594</v>
      </c>
      <c r="I1138" s="607" t="s">
        <v>3057</v>
      </c>
      <c r="J1138" s="608" t="str">
        <f t="shared" si="36"/>
        <v>Wholesale Trade</v>
      </c>
      <c r="N1138" s="823">
        <v>335222</v>
      </c>
      <c r="O1138" s="823" t="s">
        <v>5971</v>
      </c>
      <c r="P1138" s="823"/>
      <c r="Q1138" s="823" t="s">
        <v>958</v>
      </c>
    </row>
    <row r="1139" spans="2:17" s="608" customFormat="1" x14ac:dyDescent="0.25">
      <c r="B1139" s="605" t="s">
        <v>3170</v>
      </c>
      <c r="C1139" s="606">
        <f t="shared" si="35"/>
        <v>423840</v>
      </c>
      <c r="D1139" s="607" t="s">
        <v>3171</v>
      </c>
      <c r="E1139" s="607" t="s">
        <v>3168</v>
      </c>
      <c r="F1139" s="607" t="s">
        <v>3169</v>
      </c>
      <c r="G1139" s="607" t="s">
        <v>1594</v>
      </c>
      <c r="H1139" s="607" t="s">
        <v>1594</v>
      </c>
      <c r="I1139" s="607" t="s">
        <v>3057</v>
      </c>
      <c r="J1139" s="608" t="str">
        <f t="shared" si="36"/>
        <v>Wholesale Trade</v>
      </c>
      <c r="N1139" s="823">
        <v>335224</v>
      </c>
      <c r="O1139" s="823" t="s">
        <v>5972</v>
      </c>
      <c r="P1139" s="823"/>
      <c r="Q1139" s="823" t="s">
        <v>958</v>
      </c>
    </row>
    <row r="1140" spans="2:17" s="608" customFormat="1" x14ac:dyDescent="0.25">
      <c r="B1140" s="605" t="s">
        <v>3172</v>
      </c>
      <c r="C1140" s="606">
        <f t="shared" si="35"/>
        <v>423850</v>
      </c>
      <c r="D1140" s="607" t="s">
        <v>3173</v>
      </c>
      <c r="E1140" s="607" t="s">
        <v>3174</v>
      </c>
      <c r="F1140" s="607" t="s">
        <v>3175</v>
      </c>
      <c r="G1140" s="607" t="s">
        <v>1594</v>
      </c>
      <c r="H1140" s="607" t="s">
        <v>1594</v>
      </c>
      <c r="I1140" s="607" t="s">
        <v>3057</v>
      </c>
      <c r="J1140" s="608" t="str">
        <f t="shared" si="36"/>
        <v>Wholesale Trade</v>
      </c>
      <c r="N1140" s="823">
        <v>335228</v>
      </c>
      <c r="O1140" s="823" t="s">
        <v>5973</v>
      </c>
      <c r="P1140" s="823"/>
      <c r="Q1140" s="823" t="s">
        <v>958</v>
      </c>
    </row>
    <row r="1141" spans="2:17" s="608" customFormat="1" x14ac:dyDescent="0.25">
      <c r="B1141" s="605" t="s">
        <v>3176</v>
      </c>
      <c r="C1141" s="606">
        <f t="shared" si="35"/>
        <v>423860</v>
      </c>
      <c r="D1141" s="607" t="s">
        <v>3177</v>
      </c>
      <c r="E1141" s="607" t="s">
        <v>3178</v>
      </c>
      <c r="F1141" s="607" t="s">
        <v>3179</v>
      </c>
      <c r="G1141" s="607" t="s">
        <v>1594</v>
      </c>
      <c r="H1141" s="607" t="s">
        <v>1594</v>
      </c>
      <c r="I1141" s="607" t="s">
        <v>3057</v>
      </c>
      <c r="J1141" s="608" t="str">
        <f t="shared" si="36"/>
        <v>Wholesale Trade</v>
      </c>
      <c r="N1141" s="822">
        <v>335311</v>
      </c>
      <c r="O1141" s="822" t="s">
        <v>2793</v>
      </c>
      <c r="P1141" s="823">
        <v>3548</v>
      </c>
      <c r="Q1141" s="823" t="s">
        <v>2630</v>
      </c>
    </row>
    <row r="1142" spans="2:17" s="608" customFormat="1" x14ac:dyDescent="0.25">
      <c r="B1142" s="605" t="s">
        <v>3180</v>
      </c>
      <c r="C1142" s="606">
        <f t="shared" si="35"/>
        <v>423910</v>
      </c>
      <c r="D1142" s="607" t="s">
        <v>3181</v>
      </c>
      <c r="E1142" s="607" t="s">
        <v>3182</v>
      </c>
      <c r="F1142" s="607" t="s">
        <v>3183</v>
      </c>
      <c r="G1142" s="607" t="s">
        <v>1594</v>
      </c>
      <c r="H1142" s="607" t="s">
        <v>1594</v>
      </c>
      <c r="I1142" s="607" t="s">
        <v>3057</v>
      </c>
      <c r="J1142" s="608" t="str">
        <f t="shared" si="36"/>
        <v>Wholesale Trade</v>
      </c>
      <c r="N1142" s="822">
        <v>335311</v>
      </c>
      <c r="O1142" s="822" t="s">
        <v>2793</v>
      </c>
      <c r="P1142" s="823">
        <v>3612</v>
      </c>
      <c r="Q1142" s="823" t="s">
        <v>2795</v>
      </c>
    </row>
    <row r="1143" spans="2:17" s="608" customFormat="1" x14ac:dyDescent="0.25">
      <c r="B1143" s="605" t="s">
        <v>3180</v>
      </c>
      <c r="C1143" s="606">
        <f t="shared" si="35"/>
        <v>423910</v>
      </c>
      <c r="D1143" s="607" t="s">
        <v>3181</v>
      </c>
      <c r="E1143" s="607" t="s">
        <v>3184</v>
      </c>
      <c r="F1143" s="607" t="s">
        <v>3185</v>
      </c>
      <c r="G1143" s="607" t="s">
        <v>1594</v>
      </c>
      <c r="H1143" s="607" t="s">
        <v>1594</v>
      </c>
      <c r="I1143" s="607" t="s">
        <v>1608</v>
      </c>
      <c r="J1143" s="608" t="str">
        <f t="shared" si="36"/>
        <v>Textile Apparel Luxury Goods</v>
      </c>
      <c r="N1143" s="822">
        <v>335312</v>
      </c>
      <c r="O1143" s="822" t="s">
        <v>2797</v>
      </c>
      <c r="P1143" s="823">
        <v>3621</v>
      </c>
      <c r="Q1143" s="823" t="s">
        <v>2799</v>
      </c>
    </row>
    <row r="1144" spans="2:17" s="608" customFormat="1" x14ac:dyDescent="0.25">
      <c r="B1144" s="605" t="s">
        <v>3180</v>
      </c>
      <c r="C1144" s="606">
        <f t="shared" si="35"/>
        <v>423910</v>
      </c>
      <c r="D1144" s="607" t="s">
        <v>3181</v>
      </c>
      <c r="E1144" s="607" t="s">
        <v>3186</v>
      </c>
      <c r="F1144" s="607" t="s">
        <v>3187</v>
      </c>
      <c r="G1144" s="607" t="s">
        <v>1594</v>
      </c>
      <c r="H1144" s="607" t="s">
        <v>1594</v>
      </c>
      <c r="I1144" s="607" t="s">
        <v>1608</v>
      </c>
      <c r="J1144" s="608" t="str">
        <f t="shared" si="36"/>
        <v>Textile Apparel Luxury Goods</v>
      </c>
      <c r="N1144" s="822">
        <v>335312</v>
      </c>
      <c r="O1144" s="822" t="s">
        <v>2797</v>
      </c>
      <c r="P1144" s="823">
        <v>7694</v>
      </c>
      <c r="Q1144" s="823" t="s">
        <v>2801</v>
      </c>
    </row>
    <row r="1145" spans="2:17" s="608" customFormat="1" x14ac:dyDescent="0.25">
      <c r="B1145" s="605" t="s">
        <v>3188</v>
      </c>
      <c r="C1145" s="606">
        <f t="shared" si="35"/>
        <v>423920</v>
      </c>
      <c r="D1145" s="607" t="s">
        <v>3189</v>
      </c>
      <c r="E1145" s="607" t="s">
        <v>3190</v>
      </c>
      <c r="F1145" s="607" t="s">
        <v>3191</v>
      </c>
      <c r="G1145" s="607" t="s">
        <v>1594</v>
      </c>
      <c r="H1145" s="607" t="s">
        <v>1594</v>
      </c>
      <c r="I1145" s="607" t="s">
        <v>3057</v>
      </c>
      <c r="J1145" s="608" t="str">
        <f t="shared" si="36"/>
        <v>Wholesale Trade</v>
      </c>
      <c r="N1145" s="822">
        <v>335313</v>
      </c>
      <c r="O1145" s="822" t="s">
        <v>2803</v>
      </c>
      <c r="P1145" s="823">
        <v>3613</v>
      </c>
      <c r="Q1145" s="823" t="s">
        <v>2805</v>
      </c>
    </row>
    <row r="1146" spans="2:17" s="608" customFormat="1" x14ac:dyDescent="0.25">
      <c r="B1146" s="605" t="s">
        <v>3192</v>
      </c>
      <c r="C1146" s="606">
        <f t="shared" si="35"/>
        <v>423930</v>
      </c>
      <c r="D1146" s="607" t="s">
        <v>3193</v>
      </c>
      <c r="E1146" s="607" t="s">
        <v>3194</v>
      </c>
      <c r="F1146" s="607" t="s">
        <v>3195</v>
      </c>
      <c r="G1146" s="607" t="s">
        <v>1594</v>
      </c>
      <c r="H1146" s="607" t="s">
        <v>1594</v>
      </c>
      <c r="I1146" s="607" t="s">
        <v>3057</v>
      </c>
      <c r="J1146" s="608" t="str">
        <f t="shared" si="36"/>
        <v>Wholesale Trade</v>
      </c>
      <c r="N1146" s="822">
        <v>335314</v>
      </c>
      <c r="O1146" s="822" t="s">
        <v>2807</v>
      </c>
      <c r="P1146" s="823">
        <v>3625</v>
      </c>
      <c r="Q1146" s="823" t="s">
        <v>2809</v>
      </c>
    </row>
    <row r="1147" spans="2:17" s="608" customFormat="1" x14ac:dyDescent="0.25">
      <c r="B1147" s="605" t="s">
        <v>3196</v>
      </c>
      <c r="C1147" s="606">
        <f t="shared" si="35"/>
        <v>423940</v>
      </c>
      <c r="D1147" s="607" t="s">
        <v>3197</v>
      </c>
      <c r="E1147" s="607" t="s">
        <v>3198</v>
      </c>
      <c r="F1147" s="607" t="s">
        <v>3199</v>
      </c>
      <c r="G1147" s="607" t="s">
        <v>1594</v>
      </c>
      <c r="H1147" s="607" t="s">
        <v>1594</v>
      </c>
      <c r="I1147" s="607" t="s">
        <v>1608</v>
      </c>
      <c r="J1147" s="608" t="str">
        <f t="shared" si="36"/>
        <v>Textile Apparel Luxury Goods</v>
      </c>
      <c r="N1147" s="822">
        <v>335911</v>
      </c>
      <c r="O1147" s="822" t="s">
        <v>2811</v>
      </c>
      <c r="P1147" s="823">
        <v>3691</v>
      </c>
      <c r="Q1147" s="823" t="s">
        <v>2813</v>
      </c>
    </row>
    <row r="1148" spans="2:17" s="608" customFormat="1" x14ac:dyDescent="0.25">
      <c r="B1148" s="605" t="s">
        <v>3200</v>
      </c>
      <c r="C1148" s="606">
        <f t="shared" si="35"/>
        <v>423990</v>
      </c>
      <c r="D1148" s="607" t="s">
        <v>3201</v>
      </c>
      <c r="E1148" s="607" t="s">
        <v>3202</v>
      </c>
      <c r="F1148" s="607" t="s">
        <v>3203</v>
      </c>
      <c r="G1148" s="607" t="s">
        <v>1594</v>
      </c>
      <c r="H1148" s="607" t="s">
        <v>1594</v>
      </c>
      <c r="I1148" s="607" t="s">
        <v>3057</v>
      </c>
      <c r="J1148" s="608" t="str">
        <f t="shared" si="36"/>
        <v>Wholesale Trade</v>
      </c>
      <c r="N1148" s="822">
        <v>335912</v>
      </c>
      <c r="O1148" s="822" t="s">
        <v>2815</v>
      </c>
      <c r="P1148" s="823">
        <v>3692</v>
      </c>
      <c r="Q1148" s="823" t="s">
        <v>2817</v>
      </c>
    </row>
    <row r="1149" spans="2:17" s="608" customFormat="1" x14ac:dyDescent="0.25">
      <c r="B1149" s="605" t="s">
        <v>3200</v>
      </c>
      <c r="C1149" s="606">
        <f t="shared" si="35"/>
        <v>423990</v>
      </c>
      <c r="D1149" s="607" t="s">
        <v>3201</v>
      </c>
      <c r="E1149" s="607" t="s">
        <v>3204</v>
      </c>
      <c r="F1149" s="607" t="s">
        <v>3205</v>
      </c>
      <c r="G1149" s="607" t="s">
        <v>1594</v>
      </c>
      <c r="H1149" s="607" t="s">
        <v>1594</v>
      </c>
      <c r="I1149" s="607" t="s">
        <v>2929</v>
      </c>
      <c r="J1149" s="608" t="str">
        <f t="shared" si="36"/>
        <v>Capital Goods</v>
      </c>
      <c r="N1149" s="822">
        <v>335921</v>
      </c>
      <c r="O1149" s="822" t="s">
        <v>2819</v>
      </c>
      <c r="P1149" s="823">
        <v>3357</v>
      </c>
      <c r="Q1149" s="823" t="s">
        <v>2263</v>
      </c>
    </row>
    <row r="1150" spans="2:17" s="608" customFormat="1" x14ac:dyDescent="0.25">
      <c r="B1150" s="605" t="s">
        <v>3206</v>
      </c>
      <c r="C1150" s="606">
        <f t="shared" si="35"/>
        <v>424110</v>
      </c>
      <c r="D1150" s="607" t="s">
        <v>3207</v>
      </c>
      <c r="E1150" s="607" t="s">
        <v>3208</v>
      </c>
      <c r="F1150" s="607" t="s">
        <v>3209</v>
      </c>
      <c r="G1150" s="607" t="s">
        <v>1019</v>
      </c>
      <c r="H1150" s="607" t="s">
        <v>1019</v>
      </c>
      <c r="I1150" s="607" t="s">
        <v>1020</v>
      </c>
      <c r="J1150" s="608" t="str">
        <f t="shared" si="36"/>
        <v>Paper And Forest Products</v>
      </c>
      <c r="N1150" s="822">
        <v>335929</v>
      </c>
      <c r="O1150" s="822" t="s">
        <v>2821</v>
      </c>
      <c r="P1150" s="823">
        <v>3357</v>
      </c>
      <c r="Q1150" s="823" t="s">
        <v>2263</v>
      </c>
    </row>
    <row r="1151" spans="2:17" s="608" customFormat="1" x14ac:dyDescent="0.25">
      <c r="B1151" s="605" t="s">
        <v>3210</v>
      </c>
      <c r="C1151" s="606">
        <f t="shared" si="35"/>
        <v>424120</v>
      </c>
      <c r="D1151" s="607" t="s">
        <v>3211</v>
      </c>
      <c r="E1151" s="605" t="s">
        <v>3212</v>
      </c>
      <c r="F1151" s="607" t="s">
        <v>3213</v>
      </c>
      <c r="G1151" s="607" t="s">
        <v>1594</v>
      </c>
      <c r="H1151" s="607" t="s">
        <v>1594</v>
      </c>
      <c r="I1151" s="607" t="s">
        <v>3057</v>
      </c>
      <c r="J1151" s="608" t="str">
        <f t="shared" si="36"/>
        <v>Wholesale Trade</v>
      </c>
      <c r="N1151" s="822">
        <v>335931</v>
      </c>
      <c r="O1151" s="822" t="s">
        <v>2823</v>
      </c>
      <c r="P1151" s="823">
        <v>3643</v>
      </c>
      <c r="Q1151" s="823" t="s">
        <v>2825</v>
      </c>
    </row>
    <row r="1152" spans="2:17" s="608" customFormat="1" x14ac:dyDescent="0.25">
      <c r="B1152" s="605" t="s">
        <v>3214</v>
      </c>
      <c r="C1152" s="606">
        <f t="shared" si="35"/>
        <v>424130</v>
      </c>
      <c r="D1152" s="607" t="s">
        <v>3215</v>
      </c>
      <c r="E1152" s="607" t="s">
        <v>3216</v>
      </c>
      <c r="F1152" s="607" t="s">
        <v>3217</v>
      </c>
      <c r="G1152" s="607" t="s">
        <v>1019</v>
      </c>
      <c r="H1152" s="607" t="s">
        <v>1019</v>
      </c>
      <c r="I1152" s="607" t="s">
        <v>1020</v>
      </c>
      <c r="J1152" s="608" t="str">
        <f t="shared" si="36"/>
        <v>Paper And Forest Products</v>
      </c>
      <c r="N1152" s="822">
        <v>335932</v>
      </c>
      <c r="O1152" s="822" t="s">
        <v>2827</v>
      </c>
      <c r="P1152" s="823">
        <v>3644</v>
      </c>
      <c r="Q1152" s="823" t="s">
        <v>2352</v>
      </c>
    </row>
    <row r="1153" spans="2:17" s="608" customFormat="1" x14ac:dyDescent="0.25">
      <c r="B1153" s="605" t="s">
        <v>3218</v>
      </c>
      <c r="C1153" s="606">
        <f t="shared" si="35"/>
        <v>424210</v>
      </c>
      <c r="D1153" s="607" t="s">
        <v>3219</v>
      </c>
      <c r="E1153" s="607" t="s">
        <v>3220</v>
      </c>
      <c r="F1153" s="607" t="s">
        <v>3221</v>
      </c>
      <c r="G1153" s="609" t="s">
        <v>2021</v>
      </c>
      <c r="H1153" s="609" t="s">
        <v>2021</v>
      </c>
      <c r="I1153" s="611" t="s">
        <v>2022</v>
      </c>
      <c r="J1153" s="608" t="str">
        <f t="shared" si="36"/>
        <v>Pharmaceuticals</v>
      </c>
      <c r="N1153" s="822">
        <v>335991</v>
      </c>
      <c r="O1153" s="822" t="s">
        <v>2829</v>
      </c>
      <c r="P1153" s="823">
        <v>3624</v>
      </c>
      <c r="Q1153" s="823" t="s">
        <v>2831</v>
      </c>
    </row>
    <row r="1154" spans="2:17" s="608" customFormat="1" x14ac:dyDescent="0.25">
      <c r="B1154" s="605" t="s">
        <v>3222</v>
      </c>
      <c r="C1154" s="606">
        <f t="shared" ref="C1154:C1217" si="37">B1154+0</f>
        <v>424310</v>
      </c>
      <c r="D1154" s="607" t="s">
        <v>3223</v>
      </c>
      <c r="E1154" s="605" t="s">
        <v>1647</v>
      </c>
      <c r="F1154" s="607" t="s">
        <v>1648</v>
      </c>
      <c r="G1154" s="607" t="s">
        <v>1594</v>
      </c>
      <c r="H1154" s="607" t="s">
        <v>1594</v>
      </c>
      <c r="I1154" s="607" t="s">
        <v>3057</v>
      </c>
      <c r="J1154" s="608" t="str">
        <f t="shared" si="36"/>
        <v>Wholesale Trade</v>
      </c>
      <c r="N1154" s="822">
        <v>335999</v>
      </c>
      <c r="O1154" s="822" t="s">
        <v>2833</v>
      </c>
      <c r="P1154" s="823">
        <v>3629</v>
      </c>
      <c r="Q1154" s="823" t="s">
        <v>2835</v>
      </c>
    </row>
    <row r="1155" spans="2:17" s="608" customFormat="1" x14ac:dyDescent="0.25">
      <c r="B1155" s="605" t="s">
        <v>3222</v>
      </c>
      <c r="C1155" s="606">
        <f t="shared" si="37"/>
        <v>424310</v>
      </c>
      <c r="D1155" s="607" t="s">
        <v>3223</v>
      </c>
      <c r="E1155" s="605" t="s">
        <v>3224</v>
      </c>
      <c r="F1155" s="607" t="s">
        <v>3225</v>
      </c>
      <c r="G1155" s="607" t="s">
        <v>1594</v>
      </c>
      <c r="H1155" s="607" t="s">
        <v>1594</v>
      </c>
      <c r="I1155" s="607" t="s">
        <v>3057</v>
      </c>
      <c r="J1155" s="608" t="str">
        <f t="shared" si="36"/>
        <v>Wholesale Trade</v>
      </c>
      <c r="N1155" s="822">
        <v>335999</v>
      </c>
      <c r="O1155" s="822" t="s">
        <v>2833</v>
      </c>
      <c r="P1155" s="823">
        <v>3699</v>
      </c>
      <c r="Q1155" s="823" t="s">
        <v>2543</v>
      </c>
    </row>
    <row r="1156" spans="2:17" s="608" customFormat="1" x14ac:dyDescent="0.25">
      <c r="B1156" s="605" t="s">
        <v>3226</v>
      </c>
      <c r="C1156" s="606">
        <f t="shared" si="37"/>
        <v>424320</v>
      </c>
      <c r="D1156" s="607" t="s">
        <v>3227</v>
      </c>
      <c r="E1156" s="607" t="s">
        <v>3184</v>
      </c>
      <c r="F1156" s="607" t="s">
        <v>3185</v>
      </c>
      <c r="G1156" s="607" t="s">
        <v>1594</v>
      </c>
      <c r="H1156" s="607" t="s">
        <v>1594</v>
      </c>
      <c r="I1156" s="607" t="s">
        <v>1608</v>
      </c>
      <c r="J1156" s="608" t="str">
        <f t="shared" si="36"/>
        <v>Textile Apparel Luxury Goods</v>
      </c>
      <c r="N1156" s="822">
        <v>336111</v>
      </c>
      <c r="O1156" s="822" t="s">
        <v>2837</v>
      </c>
      <c r="P1156" s="823">
        <v>3711</v>
      </c>
      <c r="Q1156" s="823" t="s">
        <v>2839</v>
      </c>
    </row>
    <row r="1157" spans="2:17" s="608" customFormat="1" x14ac:dyDescent="0.25">
      <c r="B1157" s="605" t="s">
        <v>3228</v>
      </c>
      <c r="C1157" s="606">
        <f t="shared" si="37"/>
        <v>424330</v>
      </c>
      <c r="D1157" s="607" t="s">
        <v>3229</v>
      </c>
      <c r="E1157" s="607" t="s">
        <v>3186</v>
      </c>
      <c r="F1157" s="607" t="s">
        <v>3187</v>
      </c>
      <c r="G1157" s="607" t="s">
        <v>1594</v>
      </c>
      <c r="H1157" s="607" t="s">
        <v>1594</v>
      </c>
      <c r="I1157" s="607" t="s">
        <v>1608</v>
      </c>
      <c r="J1157" s="608" t="str">
        <f t="shared" si="36"/>
        <v>Textile Apparel Luxury Goods</v>
      </c>
      <c r="N1157" s="822">
        <v>336112</v>
      </c>
      <c r="O1157" s="822" t="s">
        <v>2841</v>
      </c>
      <c r="P1157" s="823">
        <v>3711</v>
      </c>
      <c r="Q1157" s="823" t="s">
        <v>2839</v>
      </c>
    </row>
    <row r="1158" spans="2:17" s="608" customFormat="1" x14ac:dyDescent="0.25">
      <c r="B1158" s="605" t="s">
        <v>3230</v>
      </c>
      <c r="C1158" s="606">
        <f t="shared" si="37"/>
        <v>424340</v>
      </c>
      <c r="D1158" s="607" t="s">
        <v>3231</v>
      </c>
      <c r="E1158" s="607" t="s">
        <v>3232</v>
      </c>
      <c r="F1158" s="607" t="s">
        <v>3233</v>
      </c>
      <c r="G1158" s="607" t="s">
        <v>1594</v>
      </c>
      <c r="H1158" s="607" t="s">
        <v>1594</v>
      </c>
      <c r="I1158" s="607" t="s">
        <v>1608</v>
      </c>
      <c r="J1158" s="608" t="str">
        <f t="shared" si="36"/>
        <v>Textile Apparel Luxury Goods</v>
      </c>
      <c r="N1158" s="822">
        <v>336120</v>
      </c>
      <c r="O1158" s="822" t="s">
        <v>2844</v>
      </c>
      <c r="P1158" s="823">
        <v>3711</v>
      </c>
      <c r="Q1158" s="823" t="s">
        <v>2839</v>
      </c>
    </row>
    <row r="1159" spans="2:17" s="608" customFormat="1" x14ac:dyDescent="0.25">
      <c r="B1159" s="605" t="s">
        <v>3230</v>
      </c>
      <c r="C1159" s="606">
        <f t="shared" si="37"/>
        <v>424340</v>
      </c>
      <c r="D1159" s="607" t="s">
        <v>3231</v>
      </c>
      <c r="E1159" s="607" t="s">
        <v>3224</v>
      </c>
      <c r="F1159" s="607" t="s">
        <v>3225</v>
      </c>
      <c r="G1159" s="607" t="s">
        <v>1594</v>
      </c>
      <c r="H1159" s="607" t="s">
        <v>1594</v>
      </c>
      <c r="I1159" s="607" t="s">
        <v>1608</v>
      </c>
      <c r="J1159" s="608" t="str">
        <f t="shared" si="36"/>
        <v>Textile Apparel Luxury Goods</v>
      </c>
      <c r="N1159" s="822">
        <v>336211</v>
      </c>
      <c r="O1159" s="822" t="s">
        <v>2846</v>
      </c>
      <c r="P1159" s="823">
        <v>3711</v>
      </c>
      <c r="Q1159" s="823" t="s">
        <v>2839</v>
      </c>
    </row>
    <row r="1160" spans="2:17" s="608" customFormat="1" x14ac:dyDescent="0.25">
      <c r="B1160" s="605" t="s">
        <v>3234</v>
      </c>
      <c r="C1160" s="606">
        <f t="shared" si="37"/>
        <v>424410</v>
      </c>
      <c r="D1160" s="607" t="s">
        <v>3235</v>
      </c>
      <c r="E1160" s="607" t="s">
        <v>3236</v>
      </c>
      <c r="F1160" s="607" t="s">
        <v>3237</v>
      </c>
      <c r="G1160" s="607" t="s">
        <v>837</v>
      </c>
      <c r="H1160" s="607" t="s">
        <v>837</v>
      </c>
      <c r="I1160" s="607" t="s">
        <v>838</v>
      </c>
      <c r="J1160" s="608" t="str">
        <f t="shared" si="36"/>
        <v>Food</v>
      </c>
      <c r="N1160" s="822">
        <v>336211</v>
      </c>
      <c r="O1160" s="822" t="s">
        <v>2846</v>
      </c>
      <c r="P1160" s="823">
        <v>3713</v>
      </c>
      <c r="Q1160" s="823" t="s">
        <v>2848</v>
      </c>
    </row>
    <row r="1161" spans="2:17" s="608" customFormat="1" x14ac:dyDescent="0.25">
      <c r="B1161" s="605" t="s">
        <v>3238</v>
      </c>
      <c r="C1161" s="606">
        <f t="shared" si="37"/>
        <v>424420</v>
      </c>
      <c r="D1161" s="607" t="s">
        <v>3239</v>
      </c>
      <c r="E1161" s="607" t="s">
        <v>3240</v>
      </c>
      <c r="F1161" s="607" t="s">
        <v>3241</v>
      </c>
      <c r="G1161" s="607" t="s">
        <v>837</v>
      </c>
      <c r="H1161" s="607" t="s">
        <v>837</v>
      </c>
      <c r="I1161" s="607" t="s">
        <v>838</v>
      </c>
      <c r="J1161" s="608" t="str">
        <f t="shared" si="36"/>
        <v>Food</v>
      </c>
      <c r="N1161" s="822">
        <v>336211</v>
      </c>
      <c r="O1161" s="822" t="s">
        <v>2846</v>
      </c>
      <c r="P1161" s="823">
        <v>3714</v>
      </c>
      <c r="Q1161" s="823" t="s">
        <v>2850</v>
      </c>
    </row>
    <row r="1162" spans="2:17" s="608" customFormat="1" x14ac:dyDescent="0.25">
      <c r="B1162" s="605" t="s">
        <v>3242</v>
      </c>
      <c r="C1162" s="606">
        <f t="shared" si="37"/>
        <v>424430</v>
      </c>
      <c r="D1162" s="607" t="s">
        <v>3243</v>
      </c>
      <c r="E1162" s="607" t="s">
        <v>3244</v>
      </c>
      <c r="F1162" s="607" t="s">
        <v>3245</v>
      </c>
      <c r="G1162" s="607" t="s">
        <v>837</v>
      </c>
      <c r="H1162" s="607" t="s">
        <v>837</v>
      </c>
      <c r="I1162" s="607" t="s">
        <v>838</v>
      </c>
      <c r="J1162" s="608" t="str">
        <f t="shared" si="36"/>
        <v>Food</v>
      </c>
      <c r="N1162" s="822">
        <v>336212</v>
      </c>
      <c r="O1162" s="822" t="s">
        <v>2852</v>
      </c>
      <c r="P1162" s="823">
        <v>3715</v>
      </c>
      <c r="Q1162" s="823" t="s">
        <v>2854</v>
      </c>
    </row>
    <row r="1163" spans="2:17" s="608" customFormat="1" x14ac:dyDescent="0.25">
      <c r="B1163" s="605" t="s">
        <v>3246</v>
      </c>
      <c r="C1163" s="606">
        <f t="shared" si="37"/>
        <v>424440</v>
      </c>
      <c r="D1163" s="607" t="s">
        <v>3247</v>
      </c>
      <c r="E1163" s="607" t="s">
        <v>3248</v>
      </c>
      <c r="F1163" s="607" t="s">
        <v>3249</v>
      </c>
      <c r="G1163" s="607" t="s">
        <v>837</v>
      </c>
      <c r="H1163" s="607" t="s">
        <v>837</v>
      </c>
      <c r="I1163" s="607" t="s">
        <v>838</v>
      </c>
      <c r="J1163" s="608" t="str">
        <f t="shared" si="36"/>
        <v>Food</v>
      </c>
      <c r="N1163" s="822">
        <v>336213</v>
      </c>
      <c r="O1163" s="822" t="s">
        <v>2856</v>
      </c>
      <c r="P1163" s="823">
        <v>3716</v>
      </c>
      <c r="Q1163" s="823" t="s">
        <v>2858</v>
      </c>
    </row>
    <row r="1164" spans="2:17" s="608" customFormat="1" x14ac:dyDescent="0.25">
      <c r="B1164" s="605" t="s">
        <v>3250</v>
      </c>
      <c r="C1164" s="606">
        <f t="shared" si="37"/>
        <v>424450</v>
      </c>
      <c r="D1164" s="607" t="s">
        <v>3251</v>
      </c>
      <c r="E1164" s="607" t="s">
        <v>3252</v>
      </c>
      <c r="F1164" s="607" t="s">
        <v>3253</v>
      </c>
      <c r="G1164" s="607" t="s">
        <v>837</v>
      </c>
      <c r="H1164" s="607" t="s">
        <v>837</v>
      </c>
      <c r="I1164" s="607" t="s">
        <v>838</v>
      </c>
      <c r="J1164" s="608" t="str">
        <f t="shared" si="36"/>
        <v>Food</v>
      </c>
      <c r="N1164" s="822">
        <v>336214</v>
      </c>
      <c r="O1164" s="822" t="s">
        <v>2860</v>
      </c>
      <c r="P1164" s="823">
        <v>3792</v>
      </c>
      <c r="Q1164" s="823" t="s">
        <v>2862</v>
      </c>
    </row>
    <row r="1165" spans="2:17" s="608" customFormat="1" x14ac:dyDescent="0.25">
      <c r="B1165" s="605" t="s">
        <v>3254</v>
      </c>
      <c r="C1165" s="606">
        <f t="shared" si="37"/>
        <v>424460</v>
      </c>
      <c r="D1165" s="607" t="s">
        <v>3255</v>
      </c>
      <c r="E1165" s="607" t="s">
        <v>3256</v>
      </c>
      <c r="F1165" s="607" t="s">
        <v>3257</v>
      </c>
      <c r="G1165" s="607" t="s">
        <v>837</v>
      </c>
      <c r="H1165" s="607" t="s">
        <v>837</v>
      </c>
      <c r="I1165" s="607" t="s">
        <v>838</v>
      </c>
      <c r="J1165" s="608" t="str">
        <f t="shared" si="36"/>
        <v>Food</v>
      </c>
      <c r="N1165" s="822">
        <v>336214</v>
      </c>
      <c r="O1165" s="822" t="s">
        <v>2860</v>
      </c>
      <c r="P1165" s="823">
        <v>3799</v>
      </c>
      <c r="Q1165" s="823" t="s">
        <v>2622</v>
      </c>
    </row>
    <row r="1166" spans="2:17" s="608" customFormat="1" x14ac:dyDescent="0.25">
      <c r="B1166" s="605" t="s">
        <v>3258</v>
      </c>
      <c r="C1166" s="606">
        <f t="shared" si="37"/>
        <v>424470</v>
      </c>
      <c r="D1166" s="607" t="s">
        <v>3259</v>
      </c>
      <c r="E1166" s="607" t="s">
        <v>1488</v>
      </c>
      <c r="F1166" s="607" t="s">
        <v>1489</v>
      </c>
      <c r="G1166" s="607" t="s">
        <v>837</v>
      </c>
      <c r="H1166" s="607" t="s">
        <v>837</v>
      </c>
      <c r="I1166" s="607" t="s">
        <v>838</v>
      </c>
      <c r="J1166" s="608" t="str">
        <f t="shared" si="36"/>
        <v>Food</v>
      </c>
      <c r="N1166" s="822">
        <v>336310</v>
      </c>
      <c r="O1166" s="822" t="s">
        <v>2864</v>
      </c>
      <c r="P1166" s="823">
        <v>3592</v>
      </c>
      <c r="Q1166" s="823" t="s">
        <v>2866</v>
      </c>
    </row>
    <row r="1167" spans="2:17" s="608" customFormat="1" x14ac:dyDescent="0.25">
      <c r="B1167" s="605" t="s">
        <v>3260</v>
      </c>
      <c r="C1167" s="606">
        <f t="shared" si="37"/>
        <v>424480</v>
      </c>
      <c r="D1167" s="607" t="s">
        <v>3261</v>
      </c>
      <c r="E1167" s="607" t="s">
        <v>3262</v>
      </c>
      <c r="F1167" s="607" t="s">
        <v>3263</v>
      </c>
      <c r="G1167" s="607" t="s">
        <v>837</v>
      </c>
      <c r="H1167" s="607" t="s">
        <v>837</v>
      </c>
      <c r="I1167" s="607" t="s">
        <v>838</v>
      </c>
      <c r="J1167" s="608" t="str">
        <f t="shared" ref="J1167:J1230" si="38">PROPER(I1167)</f>
        <v>Food</v>
      </c>
      <c r="N1167" s="822">
        <v>336310</v>
      </c>
      <c r="O1167" s="822" t="s">
        <v>2864</v>
      </c>
      <c r="P1167" s="823">
        <v>3714</v>
      </c>
      <c r="Q1167" s="823" t="s">
        <v>2850</v>
      </c>
    </row>
    <row r="1168" spans="2:17" s="608" customFormat="1" ht="18" x14ac:dyDescent="0.3">
      <c r="B1168" s="605" t="s">
        <v>3264</v>
      </c>
      <c r="C1168" s="606">
        <f t="shared" si="37"/>
        <v>424490</v>
      </c>
      <c r="D1168" s="607" t="s">
        <v>3265</v>
      </c>
      <c r="E1168" s="607" t="s">
        <v>1562</v>
      </c>
      <c r="F1168" s="607" t="s">
        <v>1563</v>
      </c>
      <c r="G1168" s="607" t="s">
        <v>837</v>
      </c>
      <c r="H1168" s="607" t="s">
        <v>837</v>
      </c>
      <c r="I1168" s="607" t="s">
        <v>838</v>
      </c>
      <c r="J1168" s="608" t="str">
        <f t="shared" si="38"/>
        <v>Food</v>
      </c>
      <c r="N1168" s="822">
        <v>336311</v>
      </c>
      <c r="O1168" s="824" t="s">
        <v>2864</v>
      </c>
      <c r="P1168" s="823"/>
      <c r="Q1168" s="823" t="s">
        <v>958</v>
      </c>
    </row>
    <row r="1169" spans="2:17" s="608" customFormat="1" ht="18" x14ac:dyDescent="0.3">
      <c r="B1169" s="605" t="s">
        <v>3266</v>
      </c>
      <c r="C1169" s="606">
        <f t="shared" si="37"/>
        <v>424510</v>
      </c>
      <c r="D1169" s="607" t="s">
        <v>3267</v>
      </c>
      <c r="E1169" s="607" t="s">
        <v>3268</v>
      </c>
      <c r="F1169" s="607" t="s">
        <v>3269</v>
      </c>
      <c r="G1169" s="607" t="s">
        <v>837</v>
      </c>
      <c r="H1169" s="607" t="s">
        <v>837</v>
      </c>
      <c r="I1169" s="607" t="s">
        <v>838</v>
      </c>
      <c r="J1169" s="608" t="str">
        <f t="shared" si="38"/>
        <v>Food</v>
      </c>
      <c r="N1169" s="822">
        <v>336312</v>
      </c>
      <c r="O1169" s="824" t="s">
        <v>2864</v>
      </c>
      <c r="P1169" s="823"/>
      <c r="Q1169" s="823" t="s">
        <v>958</v>
      </c>
    </row>
    <row r="1170" spans="2:17" s="608" customFormat="1" x14ac:dyDescent="0.25">
      <c r="B1170" s="605" t="s">
        <v>3270</v>
      </c>
      <c r="C1170" s="606">
        <f t="shared" si="37"/>
        <v>424520</v>
      </c>
      <c r="D1170" s="607" t="s">
        <v>3271</v>
      </c>
      <c r="E1170" s="607" t="s">
        <v>3272</v>
      </c>
      <c r="F1170" s="607" t="s">
        <v>3273</v>
      </c>
      <c r="G1170" s="607" t="s">
        <v>837</v>
      </c>
      <c r="H1170" s="607" t="s">
        <v>837</v>
      </c>
      <c r="I1170" s="607" t="s">
        <v>838</v>
      </c>
      <c r="J1170" s="608" t="str">
        <f t="shared" si="38"/>
        <v>Food</v>
      </c>
      <c r="N1170" s="822">
        <v>336320</v>
      </c>
      <c r="O1170" s="822" t="s">
        <v>2868</v>
      </c>
      <c r="P1170" s="823">
        <v>3647</v>
      </c>
      <c r="Q1170" s="823" t="s">
        <v>2870</v>
      </c>
    </row>
    <row r="1171" spans="2:17" s="608" customFormat="1" x14ac:dyDescent="0.25">
      <c r="B1171" s="605" t="s">
        <v>3274</v>
      </c>
      <c r="C1171" s="606">
        <f t="shared" si="37"/>
        <v>424590</v>
      </c>
      <c r="D1171" s="607" t="s">
        <v>3275</v>
      </c>
      <c r="E1171" s="607" t="s">
        <v>3276</v>
      </c>
      <c r="F1171" s="607" t="s">
        <v>3277</v>
      </c>
      <c r="G1171" s="607" t="s">
        <v>837</v>
      </c>
      <c r="H1171" s="607" t="s">
        <v>837</v>
      </c>
      <c r="I1171" s="607" t="s">
        <v>838</v>
      </c>
      <c r="J1171" s="608" t="str">
        <f t="shared" si="38"/>
        <v>Food</v>
      </c>
      <c r="N1171" s="822">
        <v>336320</v>
      </c>
      <c r="O1171" s="822" t="s">
        <v>2868</v>
      </c>
      <c r="P1171" s="823">
        <v>3694</v>
      </c>
      <c r="Q1171" s="823" t="s">
        <v>2872</v>
      </c>
    </row>
    <row r="1172" spans="2:17" s="608" customFormat="1" x14ac:dyDescent="0.25">
      <c r="B1172" s="605" t="s">
        <v>3278</v>
      </c>
      <c r="C1172" s="606">
        <f t="shared" si="37"/>
        <v>424610</v>
      </c>
      <c r="D1172" s="607" t="s">
        <v>3279</v>
      </c>
      <c r="E1172" s="607" t="s">
        <v>3280</v>
      </c>
      <c r="F1172" s="607" t="s">
        <v>3281</v>
      </c>
      <c r="G1172" s="609" t="s">
        <v>1100</v>
      </c>
      <c r="H1172" s="607" t="s">
        <v>1100</v>
      </c>
      <c r="I1172" s="607" t="s">
        <v>1962</v>
      </c>
      <c r="J1172" s="608" t="str">
        <f t="shared" si="38"/>
        <v>Chemicals</v>
      </c>
      <c r="N1172" s="822">
        <v>336320</v>
      </c>
      <c r="O1172" s="822" t="s">
        <v>2868</v>
      </c>
      <c r="P1172" s="823">
        <v>3714</v>
      </c>
      <c r="Q1172" s="823" t="s">
        <v>2850</v>
      </c>
    </row>
    <row r="1173" spans="2:17" s="608" customFormat="1" x14ac:dyDescent="0.25">
      <c r="B1173" s="605" t="s">
        <v>3278</v>
      </c>
      <c r="C1173" s="606">
        <f t="shared" si="37"/>
        <v>424610</v>
      </c>
      <c r="D1173" s="607" t="s">
        <v>3279</v>
      </c>
      <c r="E1173" s="607" t="s">
        <v>3224</v>
      </c>
      <c r="F1173" s="607" t="s">
        <v>3225</v>
      </c>
      <c r="G1173" s="607" t="s">
        <v>1100</v>
      </c>
      <c r="H1173" s="607" t="s">
        <v>1100</v>
      </c>
      <c r="I1173" s="607" t="s">
        <v>1962</v>
      </c>
      <c r="J1173" s="608" t="str">
        <f t="shared" si="38"/>
        <v>Chemicals</v>
      </c>
      <c r="N1173" s="823">
        <v>336321</v>
      </c>
      <c r="O1173" s="823" t="s">
        <v>5974</v>
      </c>
      <c r="P1173" s="823"/>
      <c r="Q1173" s="823" t="s">
        <v>958</v>
      </c>
    </row>
    <row r="1174" spans="2:17" s="608" customFormat="1" x14ac:dyDescent="0.25">
      <c r="B1174" s="605" t="s">
        <v>3282</v>
      </c>
      <c r="C1174" s="606">
        <f t="shared" si="37"/>
        <v>424690</v>
      </c>
      <c r="D1174" s="607" t="s">
        <v>3283</v>
      </c>
      <c r="E1174" s="607" t="s">
        <v>3284</v>
      </c>
      <c r="F1174" s="607" t="s">
        <v>3285</v>
      </c>
      <c r="G1174" s="607" t="s">
        <v>1100</v>
      </c>
      <c r="H1174" s="607" t="s">
        <v>1100</v>
      </c>
      <c r="I1174" s="607" t="s">
        <v>1962</v>
      </c>
      <c r="J1174" s="608" t="str">
        <f t="shared" si="38"/>
        <v>Chemicals</v>
      </c>
      <c r="N1174" s="823">
        <v>336322</v>
      </c>
      <c r="O1174" s="823" t="s">
        <v>5975</v>
      </c>
      <c r="P1174" s="823"/>
      <c r="Q1174" s="823" t="s">
        <v>958</v>
      </c>
    </row>
    <row r="1175" spans="2:17" s="608" customFormat="1" x14ac:dyDescent="0.25">
      <c r="B1175" s="605" t="s">
        <v>3286</v>
      </c>
      <c r="C1175" s="606">
        <f t="shared" si="37"/>
        <v>424710</v>
      </c>
      <c r="D1175" s="607" t="s">
        <v>3287</v>
      </c>
      <c r="E1175" s="605" t="s">
        <v>3288</v>
      </c>
      <c r="F1175" s="607" t="s">
        <v>3287</v>
      </c>
      <c r="G1175" s="607" t="s">
        <v>1594</v>
      </c>
      <c r="H1175" s="607" t="s">
        <v>1594</v>
      </c>
      <c r="I1175" s="607" t="s">
        <v>3057</v>
      </c>
      <c r="J1175" s="608" t="str">
        <f t="shared" si="38"/>
        <v>Wholesale Trade</v>
      </c>
      <c r="N1175" s="822">
        <v>336330</v>
      </c>
      <c r="O1175" s="822" t="s">
        <v>2874</v>
      </c>
      <c r="P1175" s="823">
        <v>3714</v>
      </c>
      <c r="Q1175" s="823" t="s">
        <v>2850</v>
      </c>
    </row>
    <row r="1176" spans="2:17" s="608" customFormat="1" x14ac:dyDescent="0.25">
      <c r="B1176" s="605" t="s">
        <v>3289</v>
      </c>
      <c r="C1176" s="606">
        <f t="shared" si="37"/>
        <v>424720</v>
      </c>
      <c r="D1176" s="607" t="s">
        <v>3290</v>
      </c>
      <c r="E1176" s="605" t="s">
        <v>3291</v>
      </c>
      <c r="F1176" s="607" t="s">
        <v>3292</v>
      </c>
      <c r="G1176" s="607" t="s">
        <v>1594</v>
      </c>
      <c r="H1176" s="607" t="s">
        <v>1594</v>
      </c>
      <c r="I1176" s="607" t="s">
        <v>3057</v>
      </c>
      <c r="J1176" s="608" t="str">
        <f t="shared" si="38"/>
        <v>Wholesale Trade</v>
      </c>
      <c r="N1176" s="822">
        <v>336340</v>
      </c>
      <c r="O1176" s="822" t="s">
        <v>2876</v>
      </c>
      <c r="P1176" s="823">
        <v>3292</v>
      </c>
      <c r="Q1176" s="823" t="s">
        <v>2225</v>
      </c>
    </row>
    <row r="1177" spans="2:17" s="608" customFormat="1" x14ac:dyDescent="0.25">
      <c r="B1177" s="605" t="s">
        <v>3293</v>
      </c>
      <c r="C1177" s="606">
        <f t="shared" si="37"/>
        <v>424810</v>
      </c>
      <c r="D1177" s="607" t="s">
        <v>3294</v>
      </c>
      <c r="E1177" s="607" t="s">
        <v>3295</v>
      </c>
      <c r="F1177" s="607" t="s">
        <v>3296</v>
      </c>
      <c r="G1177" s="609" t="s">
        <v>837</v>
      </c>
      <c r="H1177" s="609" t="s">
        <v>837</v>
      </c>
      <c r="I1177" s="608" t="s">
        <v>1537</v>
      </c>
      <c r="J1177" s="608" t="str">
        <f t="shared" si="38"/>
        <v>Beverage</v>
      </c>
      <c r="N1177" s="822">
        <v>336340</v>
      </c>
      <c r="O1177" s="822" t="s">
        <v>2876</v>
      </c>
      <c r="P1177" s="823">
        <v>3714</v>
      </c>
      <c r="Q1177" s="823" t="s">
        <v>2850</v>
      </c>
    </row>
    <row r="1178" spans="2:17" s="608" customFormat="1" x14ac:dyDescent="0.25">
      <c r="B1178" s="605" t="s">
        <v>3297</v>
      </c>
      <c r="C1178" s="606">
        <f t="shared" si="37"/>
        <v>424820</v>
      </c>
      <c r="D1178" s="607" t="s">
        <v>3298</v>
      </c>
      <c r="E1178" s="607" t="s">
        <v>3299</v>
      </c>
      <c r="F1178" s="607" t="s">
        <v>3300</v>
      </c>
      <c r="G1178" s="609" t="s">
        <v>837</v>
      </c>
      <c r="H1178" s="609" t="s">
        <v>837</v>
      </c>
      <c r="I1178" s="608" t="s">
        <v>1537</v>
      </c>
      <c r="J1178" s="608" t="str">
        <f t="shared" si="38"/>
        <v>Beverage</v>
      </c>
      <c r="N1178" s="822">
        <v>336350</v>
      </c>
      <c r="O1178" s="822" t="s">
        <v>2878</v>
      </c>
      <c r="P1178" s="823">
        <v>3292</v>
      </c>
      <c r="Q1178" s="823" t="s">
        <v>2225</v>
      </c>
    </row>
    <row r="1179" spans="2:17" s="608" customFormat="1" x14ac:dyDescent="0.25">
      <c r="B1179" s="605" t="s">
        <v>3301</v>
      </c>
      <c r="C1179" s="606">
        <f t="shared" si="37"/>
        <v>424910</v>
      </c>
      <c r="D1179" s="607" t="s">
        <v>3302</v>
      </c>
      <c r="E1179" s="607" t="s">
        <v>3303</v>
      </c>
      <c r="F1179" s="607" t="s">
        <v>3304</v>
      </c>
      <c r="G1179" s="607" t="s">
        <v>837</v>
      </c>
      <c r="H1179" s="607" t="s">
        <v>837</v>
      </c>
      <c r="I1179" s="607" t="s">
        <v>1006</v>
      </c>
      <c r="J1179" s="608" t="str">
        <f t="shared" si="38"/>
        <v>Agriculture</v>
      </c>
      <c r="N1179" s="822">
        <v>336350</v>
      </c>
      <c r="O1179" s="822" t="s">
        <v>2878</v>
      </c>
      <c r="P1179" s="823">
        <v>3714</v>
      </c>
      <c r="Q1179" s="823" t="s">
        <v>2850</v>
      </c>
    </row>
    <row r="1180" spans="2:17" s="608" customFormat="1" x14ac:dyDescent="0.25">
      <c r="B1180" s="605" t="s">
        <v>3305</v>
      </c>
      <c r="C1180" s="606">
        <f t="shared" si="37"/>
        <v>424920</v>
      </c>
      <c r="D1180" s="607" t="s">
        <v>3306</v>
      </c>
      <c r="E1180" s="605" t="s">
        <v>3307</v>
      </c>
      <c r="F1180" s="607" t="s">
        <v>3308</v>
      </c>
      <c r="G1180" s="607" t="s">
        <v>1594</v>
      </c>
      <c r="H1180" s="607" t="s">
        <v>1594</v>
      </c>
      <c r="I1180" s="607" t="s">
        <v>3057</v>
      </c>
      <c r="J1180" s="608" t="str">
        <f t="shared" si="38"/>
        <v>Wholesale Trade</v>
      </c>
      <c r="N1180" s="822">
        <v>336360</v>
      </c>
      <c r="O1180" s="822" t="s">
        <v>2880</v>
      </c>
      <c r="P1180" s="823">
        <v>2396</v>
      </c>
      <c r="Q1180" s="823" t="s">
        <v>1728</v>
      </c>
    </row>
    <row r="1181" spans="2:17" s="608" customFormat="1" x14ac:dyDescent="0.25">
      <c r="B1181" s="605" t="s">
        <v>3309</v>
      </c>
      <c r="C1181" s="606">
        <f t="shared" si="37"/>
        <v>424930</v>
      </c>
      <c r="D1181" s="607" t="s">
        <v>3310</v>
      </c>
      <c r="E1181" s="607" t="s">
        <v>3311</v>
      </c>
      <c r="F1181" s="607" t="s">
        <v>3312</v>
      </c>
      <c r="G1181" s="607" t="s">
        <v>837</v>
      </c>
      <c r="H1181" s="607" t="s">
        <v>837</v>
      </c>
      <c r="I1181" s="607" t="s">
        <v>1006</v>
      </c>
      <c r="J1181" s="608" t="str">
        <f t="shared" si="38"/>
        <v>Agriculture</v>
      </c>
      <c r="N1181" s="822">
        <v>336360</v>
      </c>
      <c r="O1181" s="822" t="s">
        <v>2880</v>
      </c>
      <c r="P1181" s="823">
        <v>2399</v>
      </c>
      <c r="Q1181" s="823" t="s">
        <v>1730</v>
      </c>
    </row>
    <row r="1182" spans="2:17" s="608" customFormat="1" x14ac:dyDescent="0.25">
      <c r="B1182" s="605" t="s">
        <v>3313</v>
      </c>
      <c r="C1182" s="606">
        <f t="shared" si="37"/>
        <v>424940</v>
      </c>
      <c r="D1182" s="607" t="s">
        <v>3314</v>
      </c>
      <c r="E1182" s="607" t="s">
        <v>3315</v>
      </c>
      <c r="F1182" s="607" t="s">
        <v>3316</v>
      </c>
      <c r="G1182" s="607" t="s">
        <v>837</v>
      </c>
      <c r="H1182" s="607" t="s">
        <v>837</v>
      </c>
      <c r="I1182" s="607" t="s">
        <v>919</v>
      </c>
      <c r="J1182" s="608" t="str">
        <f t="shared" si="38"/>
        <v>Tobacco</v>
      </c>
      <c r="N1182" s="822">
        <v>336360</v>
      </c>
      <c r="O1182" s="822" t="s">
        <v>2880</v>
      </c>
      <c r="P1182" s="823">
        <v>2531</v>
      </c>
      <c r="Q1182" s="823" t="s">
        <v>2882</v>
      </c>
    </row>
    <row r="1183" spans="2:17" s="608" customFormat="1" x14ac:dyDescent="0.25">
      <c r="B1183" s="605" t="s">
        <v>3317</v>
      </c>
      <c r="C1183" s="606">
        <f t="shared" si="37"/>
        <v>424950</v>
      </c>
      <c r="D1183" s="607" t="s">
        <v>3318</v>
      </c>
      <c r="E1183" s="605" t="s">
        <v>3319</v>
      </c>
      <c r="F1183" s="607" t="s">
        <v>3320</v>
      </c>
      <c r="G1183" s="607" t="s">
        <v>1594</v>
      </c>
      <c r="H1183" s="607" t="s">
        <v>1594</v>
      </c>
      <c r="I1183" s="607" t="s">
        <v>3057</v>
      </c>
      <c r="J1183" s="608" t="str">
        <f t="shared" si="38"/>
        <v>Wholesale Trade</v>
      </c>
      <c r="N1183" s="822">
        <v>336360</v>
      </c>
      <c r="O1183" s="822" t="s">
        <v>2880</v>
      </c>
      <c r="P1183" s="823">
        <v>3499</v>
      </c>
      <c r="Q1183" s="823" t="s">
        <v>2324</v>
      </c>
    </row>
    <row r="1184" spans="2:17" s="608" customFormat="1" x14ac:dyDescent="0.25">
      <c r="B1184" s="605" t="s">
        <v>3321</v>
      </c>
      <c r="C1184" s="606">
        <f t="shared" si="37"/>
        <v>424990</v>
      </c>
      <c r="D1184" s="607" t="s">
        <v>3322</v>
      </c>
      <c r="E1184" s="605" t="s">
        <v>3224</v>
      </c>
      <c r="F1184" s="607" t="s">
        <v>3225</v>
      </c>
      <c r="G1184" s="607" t="s">
        <v>1594</v>
      </c>
      <c r="H1184" s="607" t="s">
        <v>1594</v>
      </c>
      <c r="I1184" s="607" t="s">
        <v>3057</v>
      </c>
      <c r="J1184" s="608" t="str">
        <f t="shared" si="38"/>
        <v>Wholesale Trade</v>
      </c>
      <c r="N1184" s="822">
        <v>336370</v>
      </c>
      <c r="O1184" s="822" t="s">
        <v>2884</v>
      </c>
      <c r="P1184" s="823">
        <v>3465</v>
      </c>
      <c r="Q1184" s="823" t="s">
        <v>2886</v>
      </c>
    </row>
    <row r="1185" spans="2:17" s="608" customFormat="1" x14ac:dyDescent="0.25">
      <c r="B1185" s="605" t="s">
        <v>3323</v>
      </c>
      <c r="C1185" s="606">
        <f t="shared" si="37"/>
        <v>425110</v>
      </c>
      <c r="D1185" s="607" t="s">
        <v>3324</v>
      </c>
      <c r="E1185" s="607" t="s">
        <v>3055</v>
      </c>
      <c r="F1185" s="607" t="s">
        <v>3056</v>
      </c>
      <c r="G1185" s="607" t="s">
        <v>1594</v>
      </c>
      <c r="H1185" s="607" t="s">
        <v>1594</v>
      </c>
      <c r="I1185" s="607" t="s">
        <v>2842</v>
      </c>
      <c r="J1185" s="608" t="str">
        <f t="shared" si="38"/>
        <v>Automobile</v>
      </c>
      <c r="N1185" s="822">
        <v>336390</v>
      </c>
      <c r="O1185" s="822" t="s">
        <v>2888</v>
      </c>
      <c r="P1185" s="823">
        <v>3429</v>
      </c>
      <c r="Q1185" s="823" t="s">
        <v>2392</v>
      </c>
    </row>
    <row r="1186" spans="2:17" s="608" customFormat="1" x14ac:dyDescent="0.25">
      <c r="B1186" s="605" t="s">
        <v>3323</v>
      </c>
      <c r="C1186" s="606">
        <f t="shared" si="37"/>
        <v>425110</v>
      </c>
      <c r="D1186" s="607" t="s">
        <v>3324</v>
      </c>
      <c r="E1186" s="607" t="s">
        <v>3060</v>
      </c>
      <c r="F1186" s="607" t="s">
        <v>3061</v>
      </c>
      <c r="G1186" s="607" t="s">
        <v>1594</v>
      </c>
      <c r="H1186" s="607" t="s">
        <v>1594</v>
      </c>
      <c r="I1186" s="607" t="s">
        <v>2842</v>
      </c>
      <c r="J1186" s="608" t="str">
        <f t="shared" si="38"/>
        <v>Automobile</v>
      </c>
      <c r="N1186" s="822">
        <v>336390</v>
      </c>
      <c r="O1186" s="822" t="s">
        <v>2888</v>
      </c>
      <c r="P1186" s="823">
        <v>3519</v>
      </c>
      <c r="Q1186" s="823" t="s">
        <v>2593</v>
      </c>
    </row>
    <row r="1187" spans="2:17" s="608" customFormat="1" x14ac:dyDescent="0.25">
      <c r="B1187" s="605" t="s">
        <v>3323</v>
      </c>
      <c r="C1187" s="606">
        <f t="shared" si="37"/>
        <v>425110</v>
      </c>
      <c r="D1187" s="607" t="s">
        <v>3324</v>
      </c>
      <c r="E1187" s="605" t="s">
        <v>3064</v>
      </c>
      <c r="F1187" s="607" t="s">
        <v>3065</v>
      </c>
      <c r="G1187" s="607" t="s">
        <v>1594</v>
      </c>
      <c r="H1187" s="607" t="s">
        <v>1594</v>
      </c>
      <c r="I1187" s="607" t="s">
        <v>3057</v>
      </c>
      <c r="J1187" s="608" t="str">
        <f t="shared" si="38"/>
        <v>Wholesale Trade</v>
      </c>
      <c r="N1187" s="822">
        <v>336390</v>
      </c>
      <c r="O1187" s="822" t="s">
        <v>2888</v>
      </c>
      <c r="P1187" s="823">
        <v>3585</v>
      </c>
      <c r="Q1187" s="823" t="s">
        <v>2557</v>
      </c>
    </row>
    <row r="1188" spans="2:17" s="608" customFormat="1" x14ac:dyDescent="0.25">
      <c r="B1188" s="605" t="s">
        <v>3323</v>
      </c>
      <c r="C1188" s="606">
        <f t="shared" si="37"/>
        <v>425110</v>
      </c>
      <c r="D1188" s="607" t="s">
        <v>3324</v>
      </c>
      <c r="E1188" s="607" t="s">
        <v>3068</v>
      </c>
      <c r="F1188" s="607" t="s">
        <v>3069</v>
      </c>
      <c r="G1188" s="607" t="s">
        <v>1594</v>
      </c>
      <c r="H1188" s="607" t="s">
        <v>1594</v>
      </c>
      <c r="I1188" s="607" t="s">
        <v>2842</v>
      </c>
      <c r="J1188" s="608" t="str">
        <f t="shared" si="38"/>
        <v>Automobile</v>
      </c>
      <c r="N1188" s="822">
        <v>336390</v>
      </c>
      <c r="O1188" s="822" t="s">
        <v>2888</v>
      </c>
      <c r="P1188" s="823">
        <v>3599</v>
      </c>
      <c r="Q1188" s="823" t="s">
        <v>2408</v>
      </c>
    </row>
    <row r="1189" spans="2:17" s="608" customFormat="1" x14ac:dyDescent="0.25">
      <c r="B1189" s="605" t="s">
        <v>3323</v>
      </c>
      <c r="C1189" s="606">
        <f t="shared" si="37"/>
        <v>425110</v>
      </c>
      <c r="D1189" s="607" t="s">
        <v>3324</v>
      </c>
      <c r="E1189" s="605" t="s">
        <v>3072</v>
      </c>
      <c r="F1189" s="607" t="s">
        <v>3073</v>
      </c>
      <c r="G1189" s="607" t="s">
        <v>1594</v>
      </c>
      <c r="H1189" s="607" t="s">
        <v>1594</v>
      </c>
      <c r="I1189" s="607" t="s">
        <v>3057</v>
      </c>
      <c r="J1189" s="608" t="str">
        <f t="shared" si="38"/>
        <v>Wholesale Trade</v>
      </c>
      <c r="N1189" s="822">
        <v>336390</v>
      </c>
      <c r="O1189" s="822" t="s">
        <v>2888</v>
      </c>
      <c r="P1189" s="823">
        <v>3714</v>
      </c>
      <c r="Q1189" s="823" t="s">
        <v>2850</v>
      </c>
    </row>
    <row r="1190" spans="2:17" s="608" customFormat="1" x14ac:dyDescent="0.25">
      <c r="B1190" s="605" t="s">
        <v>3323</v>
      </c>
      <c r="C1190" s="606">
        <f t="shared" si="37"/>
        <v>425110</v>
      </c>
      <c r="D1190" s="607" t="s">
        <v>3324</v>
      </c>
      <c r="E1190" s="607" t="s">
        <v>3076</v>
      </c>
      <c r="F1190" s="607" t="s">
        <v>3077</v>
      </c>
      <c r="G1190" s="607" t="s">
        <v>1594</v>
      </c>
      <c r="H1190" s="607" t="s">
        <v>1594</v>
      </c>
      <c r="I1190" s="607" t="s">
        <v>2944</v>
      </c>
      <c r="J1190" s="608" t="str">
        <f t="shared" si="38"/>
        <v>Retail Trade</v>
      </c>
      <c r="N1190" s="822">
        <v>336390</v>
      </c>
      <c r="O1190" s="822" t="s">
        <v>2888</v>
      </c>
      <c r="P1190" s="823">
        <v>3799</v>
      </c>
      <c r="Q1190" s="823" t="s">
        <v>2622</v>
      </c>
    </row>
    <row r="1191" spans="2:17" s="608" customFormat="1" x14ac:dyDescent="0.25">
      <c r="B1191" s="605" t="s">
        <v>3323</v>
      </c>
      <c r="C1191" s="606">
        <f t="shared" si="37"/>
        <v>425110</v>
      </c>
      <c r="D1191" s="607" t="s">
        <v>3324</v>
      </c>
      <c r="E1191" s="607" t="s">
        <v>3080</v>
      </c>
      <c r="F1191" s="607" t="s">
        <v>3081</v>
      </c>
      <c r="G1191" s="607" t="s">
        <v>1594</v>
      </c>
      <c r="H1191" s="607" t="s">
        <v>1594</v>
      </c>
      <c r="I1191" s="607" t="s">
        <v>3057</v>
      </c>
      <c r="J1191" s="608" t="str">
        <f t="shared" si="38"/>
        <v>Wholesale Trade</v>
      </c>
      <c r="N1191" s="823">
        <v>336391</v>
      </c>
      <c r="O1191" s="823" t="s">
        <v>5976</v>
      </c>
      <c r="P1191" s="823"/>
      <c r="Q1191" s="823" t="s">
        <v>958</v>
      </c>
    </row>
    <row r="1192" spans="2:17" s="608" customFormat="1" x14ac:dyDescent="0.25">
      <c r="B1192" s="605" t="s">
        <v>3323</v>
      </c>
      <c r="C1192" s="606">
        <f t="shared" si="37"/>
        <v>425110</v>
      </c>
      <c r="D1192" s="607" t="s">
        <v>3324</v>
      </c>
      <c r="E1192" s="607" t="s">
        <v>3086</v>
      </c>
      <c r="F1192" s="607" t="s">
        <v>3087</v>
      </c>
      <c r="G1192" s="607" t="s">
        <v>1594</v>
      </c>
      <c r="H1192" s="607" t="s">
        <v>1594</v>
      </c>
      <c r="I1192" s="607" t="s">
        <v>3057</v>
      </c>
      <c r="J1192" s="608" t="str">
        <f t="shared" si="38"/>
        <v>Wholesale Trade</v>
      </c>
      <c r="N1192" s="823">
        <v>336399</v>
      </c>
      <c r="O1192" s="823" t="s">
        <v>5977</v>
      </c>
      <c r="P1192" s="823"/>
      <c r="Q1192" s="823" t="s">
        <v>958</v>
      </c>
    </row>
    <row r="1193" spans="2:17" s="608" customFormat="1" x14ac:dyDescent="0.25">
      <c r="B1193" s="605" t="s">
        <v>3323</v>
      </c>
      <c r="C1193" s="606">
        <f t="shared" si="37"/>
        <v>425110</v>
      </c>
      <c r="D1193" s="607" t="s">
        <v>3324</v>
      </c>
      <c r="E1193" s="605" t="s">
        <v>3090</v>
      </c>
      <c r="F1193" s="607" t="s">
        <v>3091</v>
      </c>
      <c r="G1193" s="607" t="s">
        <v>1594</v>
      </c>
      <c r="H1193" s="607" t="s">
        <v>1594</v>
      </c>
      <c r="I1193" s="607" t="s">
        <v>3057</v>
      </c>
      <c r="J1193" s="608" t="str">
        <f t="shared" si="38"/>
        <v>Wholesale Trade</v>
      </c>
      <c r="N1193" s="822">
        <v>336411</v>
      </c>
      <c r="O1193" s="822" t="s">
        <v>2890</v>
      </c>
      <c r="P1193" s="823">
        <v>3721</v>
      </c>
      <c r="Q1193" s="823" t="s">
        <v>2892</v>
      </c>
    </row>
    <row r="1194" spans="2:17" s="608" customFormat="1" x14ac:dyDescent="0.25">
      <c r="B1194" s="605" t="s">
        <v>3323</v>
      </c>
      <c r="C1194" s="606">
        <f t="shared" si="37"/>
        <v>425110</v>
      </c>
      <c r="D1194" s="607" t="s">
        <v>3324</v>
      </c>
      <c r="E1194" s="607" t="s">
        <v>3082</v>
      </c>
      <c r="F1194" s="607" t="s">
        <v>3083</v>
      </c>
      <c r="G1194" s="607" t="s">
        <v>1594</v>
      </c>
      <c r="H1194" s="607" t="s">
        <v>1594</v>
      </c>
      <c r="I1194" s="607" t="s">
        <v>3057</v>
      </c>
      <c r="J1194" s="608" t="str">
        <f t="shared" si="38"/>
        <v>Wholesale Trade</v>
      </c>
      <c r="N1194" s="822">
        <v>336411</v>
      </c>
      <c r="O1194" s="822" t="s">
        <v>2890</v>
      </c>
      <c r="P1194" s="823">
        <v>3728</v>
      </c>
      <c r="Q1194" s="823" t="s">
        <v>2437</v>
      </c>
    </row>
    <row r="1195" spans="2:17" s="608" customFormat="1" x14ac:dyDescent="0.25">
      <c r="B1195" s="605" t="s">
        <v>3323</v>
      </c>
      <c r="C1195" s="606">
        <f t="shared" si="37"/>
        <v>425110</v>
      </c>
      <c r="D1195" s="607" t="s">
        <v>3324</v>
      </c>
      <c r="E1195" s="605" t="s">
        <v>3096</v>
      </c>
      <c r="F1195" s="607" t="s">
        <v>2074</v>
      </c>
      <c r="G1195" s="607" t="s">
        <v>1594</v>
      </c>
      <c r="H1195" s="607" t="s">
        <v>1594</v>
      </c>
      <c r="I1195" s="607" t="s">
        <v>3057</v>
      </c>
      <c r="J1195" s="608" t="str">
        <f t="shared" si="38"/>
        <v>Wholesale Trade</v>
      </c>
      <c r="N1195" s="822">
        <v>336412</v>
      </c>
      <c r="O1195" s="822" t="s">
        <v>2895</v>
      </c>
      <c r="P1195" s="823">
        <v>3724</v>
      </c>
      <c r="Q1195" s="823" t="s">
        <v>2897</v>
      </c>
    </row>
    <row r="1196" spans="2:17" s="608" customFormat="1" x14ac:dyDescent="0.25">
      <c r="B1196" s="605" t="s">
        <v>3323</v>
      </c>
      <c r="C1196" s="606">
        <f t="shared" si="37"/>
        <v>425110</v>
      </c>
      <c r="D1196" s="607" t="s">
        <v>3324</v>
      </c>
      <c r="E1196" s="605" t="s">
        <v>3099</v>
      </c>
      <c r="F1196" s="607" t="s">
        <v>3100</v>
      </c>
      <c r="G1196" s="607" t="s">
        <v>1594</v>
      </c>
      <c r="H1196" s="607" t="s">
        <v>1594</v>
      </c>
      <c r="I1196" s="607" t="s">
        <v>3057</v>
      </c>
      <c r="J1196" s="608" t="str">
        <f t="shared" si="38"/>
        <v>Wholesale Trade</v>
      </c>
      <c r="N1196" s="822">
        <v>336413</v>
      </c>
      <c r="O1196" s="822" t="s">
        <v>2899</v>
      </c>
      <c r="P1196" s="823">
        <v>3728</v>
      </c>
      <c r="Q1196" s="823" t="s">
        <v>2437</v>
      </c>
    </row>
    <row r="1197" spans="2:17" s="608" customFormat="1" x14ac:dyDescent="0.25">
      <c r="B1197" s="605" t="s">
        <v>3323</v>
      </c>
      <c r="C1197" s="606">
        <f t="shared" si="37"/>
        <v>425110</v>
      </c>
      <c r="D1197" s="607" t="s">
        <v>3324</v>
      </c>
      <c r="E1197" s="605" t="s">
        <v>3103</v>
      </c>
      <c r="F1197" s="607" t="s">
        <v>3104</v>
      </c>
      <c r="G1197" s="607" t="s">
        <v>1594</v>
      </c>
      <c r="H1197" s="607" t="s">
        <v>1594</v>
      </c>
      <c r="I1197" s="607" t="s">
        <v>3057</v>
      </c>
      <c r="J1197" s="608" t="str">
        <f t="shared" si="38"/>
        <v>Wholesale Trade</v>
      </c>
      <c r="N1197" s="822">
        <v>336414</v>
      </c>
      <c r="O1197" s="822" t="s">
        <v>2901</v>
      </c>
      <c r="P1197" s="823">
        <v>3761</v>
      </c>
      <c r="Q1197" s="823" t="s">
        <v>2903</v>
      </c>
    </row>
    <row r="1198" spans="2:17" s="608" customFormat="1" x14ac:dyDescent="0.25">
      <c r="B1198" s="605" t="s">
        <v>3323</v>
      </c>
      <c r="C1198" s="606">
        <f t="shared" si="37"/>
        <v>425110</v>
      </c>
      <c r="D1198" s="607" t="s">
        <v>3324</v>
      </c>
      <c r="E1198" s="605" t="s">
        <v>3107</v>
      </c>
      <c r="F1198" s="607" t="s">
        <v>3108</v>
      </c>
      <c r="G1198" s="607" t="s">
        <v>1594</v>
      </c>
      <c r="H1198" s="607" t="s">
        <v>1594</v>
      </c>
      <c r="I1198" s="607" t="s">
        <v>3057</v>
      </c>
      <c r="J1198" s="608" t="str">
        <f t="shared" si="38"/>
        <v>Wholesale Trade</v>
      </c>
      <c r="N1198" s="822">
        <v>336415</v>
      </c>
      <c r="O1198" s="822" t="s">
        <v>2905</v>
      </c>
      <c r="P1198" s="823">
        <v>3764</v>
      </c>
      <c r="Q1198" s="823" t="s">
        <v>2907</v>
      </c>
    </row>
    <row r="1199" spans="2:17" s="608" customFormat="1" x14ac:dyDescent="0.25">
      <c r="B1199" s="605" t="s">
        <v>3323</v>
      </c>
      <c r="C1199" s="606">
        <f t="shared" si="37"/>
        <v>425110</v>
      </c>
      <c r="D1199" s="607" t="s">
        <v>3324</v>
      </c>
      <c r="E1199" s="605" t="s">
        <v>3111</v>
      </c>
      <c r="F1199" s="607" t="s">
        <v>3112</v>
      </c>
      <c r="G1199" s="607" t="s">
        <v>1594</v>
      </c>
      <c r="H1199" s="607" t="s">
        <v>1594</v>
      </c>
      <c r="I1199" s="607" t="s">
        <v>3057</v>
      </c>
      <c r="J1199" s="608" t="str">
        <f t="shared" si="38"/>
        <v>Wholesale Trade</v>
      </c>
      <c r="N1199" s="822">
        <v>336419</v>
      </c>
      <c r="O1199" s="822" t="s">
        <v>2909</v>
      </c>
      <c r="P1199" s="823">
        <v>3769</v>
      </c>
      <c r="Q1199" s="823" t="s">
        <v>2911</v>
      </c>
    </row>
    <row r="1200" spans="2:17" s="608" customFormat="1" x14ac:dyDescent="0.25">
      <c r="B1200" s="605" t="s">
        <v>3323</v>
      </c>
      <c r="C1200" s="606">
        <f t="shared" si="37"/>
        <v>425110</v>
      </c>
      <c r="D1200" s="607" t="s">
        <v>3324</v>
      </c>
      <c r="E1200" s="605" t="s">
        <v>3115</v>
      </c>
      <c r="F1200" s="607" t="s">
        <v>2991</v>
      </c>
      <c r="G1200" s="607" t="s">
        <v>1594</v>
      </c>
      <c r="H1200" s="607" t="s">
        <v>1594</v>
      </c>
      <c r="I1200" s="607" t="s">
        <v>3057</v>
      </c>
      <c r="J1200" s="608" t="str">
        <f t="shared" si="38"/>
        <v>Wholesale Trade</v>
      </c>
      <c r="N1200" s="822">
        <v>336510</v>
      </c>
      <c r="O1200" s="822" t="s">
        <v>2913</v>
      </c>
      <c r="P1200" s="823">
        <v>3531</v>
      </c>
      <c r="Q1200" s="823" t="s">
        <v>2484</v>
      </c>
    </row>
    <row r="1201" spans="2:17" s="608" customFormat="1" x14ac:dyDescent="0.25">
      <c r="B1201" s="605" t="s">
        <v>3323</v>
      </c>
      <c r="C1201" s="606">
        <f t="shared" si="37"/>
        <v>425110</v>
      </c>
      <c r="D1201" s="607" t="s">
        <v>3324</v>
      </c>
      <c r="E1201" s="605" t="s">
        <v>3118</v>
      </c>
      <c r="F1201" s="607" t="s">
        <v>3119</v>
      </c>
      <c r="G1201" s="607" t="s">
        <v>1594</v>
      </c>
      <c r="H1201" s="607" t="s">
        <v>1594</v>
      </c>
      <c r="I1201" s="607" t="s">
        <v>3057</v>
      </c>
      <c r="J1201" s="608" t="str">
        <f t="shared" si="38"/>
        <v>Wholesale Trade</v>
      </c>
      <c r="N1201" s="822">
        <v>336510</v>
      </c>
      <c r="O1201" s="822" t="s">
        <v>2913</v>
      </c>
      <c r="P1201" s="823">
        <v>3743</v>
      </c>
      <c r="Q1201" s="823" t="s">
        <v>2605</v>
      </c>
    </row>
    <row r="1202" spans="2:17" s="608" customFormat="1" x14ac:dyDescent="0.25">
      <c r="B1202" s="605" t="s">
        <v>3323</v>
      </c>
      <c r="C1202" s="606">
        <f t="shared" si="37"/>
        <v>425110</v>
      </c>
      <c r="D1202" s="607" t="s">
        <v>3324</v>
      </c>
      <c r="E1202" s="605" t="s">
        <v>3122</v>
      </c>
      <c r="F1202" s="607" t="s">
        <v>3123</v>
      </c>
      <c r="G1202" s="607" t="s">
        <v>1594</v>
      </c>
      <c r="H1202" s="607" t="s">
        <v>1594</v>
      </c>
      <c r="I1202" s="607" t="s">
        <v>3057</v>
      </c>
      <c r="J1202" s="608" t="str">
        <f t="shared" si="38"/>
        <v>Wholesale Trade</v>
      </c>
      <c r="N1202" s="822">
        <v>336611</v>
      </c>
      <c r="O1202" s="822" t="s">
        <v>2915</v>
      </c>
      <c r="P1202" s="823">
        <v>3731</v>
      </c>
      <c r="Q1202" s="823" t="s">
        <v>2917</v>
      </c>
    </row>
    <row r="1203" spans="2:17" s="608" customFormat="1" x14ac:dyDescent="0.25">
      <c r="B1203" s="605" t="s">
        <v>3323</v>
      </c>
      <c r="C1203" s="606">
        <f t="shared" si="37"/>
        <v>425110</v>
      </c>
      <c r="D1203" s="607" t="s">
        <v>3324</v>
      </c>
      <c r="E1203" s="605" t="s">
        <v>3126</v>
      </c>
      <c r="F1203" s="607" t="s">
        <v>3127</v>
      </c>
      <c r="G1203" s="607" t="s">
        <v>1594</v>
      </c>
      <c r="H1203" s="607" t="s">
        <v>1594</v>
      </c>
      <c r="I1203" s="607" t="s">
        <v>3057</v>
      </c>
      <c r="J1203" s="608" t="str">
        <f t="shared" si="38"/>
        <v>Wholesale Trade</v>
      </c>
      <c r="N1203" s="822">
        <v>336612</v>
      </c>
      <c r="O1203" s="822" t="s">
        <v>2919</v>
      </c>
      <c r="P1203" s="823">
        <v>3069</v>
      </c>
      <c r="Q1203" s="823" t="s">
        <v>1654</v>
      </c>
    </row>
    <row r="1204" spans="2:17" s="608" customFormat="1" x14ac:dyDescent="0.25">
      <c r="B1204" s="605" t="s">
        <v>3323</v>
      </c>
      <c r="C1204" s="606">
        <f t="shared" si="37"/>
        <v>425110</v>
      </c>
      <c r="D1204" s="607" t="s">
        <v>3324</v>
      </c>
      <c r="E1204" s="607" t="s">
        <v>3130</v>
      </c>
      <c r="F1204" s="607" t="s">
        <v>3131</v>
      </c>
      <c r="G1204" s="607" t="s">
        <v>1594</v>
      </c>
      <c r="H1204" s="607" t="s">
        <v>1594</v>
      </c>
      <c r="I1204" s="607" t="s">
        <v>2529</v>
      </c>
      <c r="J1204" s="608" t="str">
        <f t="shared" si="38"/>
        <v>Consumer Electronics</v>
      </c>
      <c r="N1204" s="822">
        <v>336612</v>
      </c>
      <c r="O1204" s="822" t="s">
        <v>2919</v>
      </c>
      <c r="P1204" s="823">
        <v>3089</v>
      </c>
      <c r="Q1204" s="823" t="s">
        <v>2092</v>
      </c>
    </row>
    <row r="1205" spans="2:17" s="608" customFormat="1" x14ac:dyDescent="0.25">
      <c r="B1205" s="605" t="s">
        <v>3323</v>
      </c>
      <c r="C1205" s="606">
        <f t="shared" si="37"/>
        <v>425110</v>
      </c>
      <c r="D1205" s="607" t="s">
        <v>3324</v>
      </c>
      <c r="E1205" s="607" t="s">
        <v>3134</v>
      </c>
      <c r="F1205" s="607" t="s">
        <v>3135</v>
      </c>
      <c r="G1205" s="607" t="s">
        <v>1594</v>
      </c>
      <c r="H1205" s="607" t="s">
        <v>1594</v>
      </c>
      <c r="I1205" s="607" t="s">
        <v>2673</v>
      </c>
      <c r="J1205" s="608" t="str">
        <f t="shared" si="38"/>
        <v>Household Appliances</v>
      </c>
      <c r="N1205" s="822">
        <v>336612</v>
      </c>
      <c r="O1205" s="822" t="s">
        <v>2919</v>
      </c>
      <c r="P1205" s="823">
        <v>3732</v>
      </c>
      <c r="Q1205" s="823" t="s">
        <v>2922</v>
      </c>
    </row>
    <row r="1206" spans="2:17" s="608" customFormat="1" x14ac:dyDescent="0.25">
      <c r="B1206" s="605" t="s">
        <v>3323</v>
      </c>
      <c r="C1206" s="606">
        <f t="shared" si="37"/>
        <v>425110</v>
      </c>
      <c r="D1206" s="607" t="s">
        <v>3324</v>
      </c>
      <c r="E1206" s="607" t="s">
        <v>3140</v>
      </c>
      <c r="F1206" s="607" t="s">
        <v>3141</v>
      </c>
      <c r="G1206" s="607" t="s">
        <v>1594</v>
      </c>
      <c r="H1206" s="607" t="s">
        <v>1594</v>
      </c>
      <c r="I1206" s="607" t="s">
        <v>2529</v>
      </c>
      <c r="J1206" s="608" t="str">
        <f t="shared" si="38"/>
        <v>Consumer Electronics</v>
      </c>
      <c r="N1206" s="822">
        <v>336612</v>
      </c>
      <c r="O1206" s="822" t="s">
        <v>2919</v>
      </c>
      <c r="P1206" s="823">
        <v>3999</v>
      </c>
      <c r="Q1206" s="823" t="s">
        <v>1757</v>
      </c>
    </row>
    <row r="1207" spans="2:17" s="608" customFormat="1" x14ac:dyDescent="0.25">
      <c r="B1207" s="605" t="s">
        <v>3323</v>
      </c>
      <c r="C1207" s="606">
        <f t="shared" si="37"/>
        <v>425110</v>
      </c>
      <c r="D1207" s="607" t="s">
        <v>3324</v>
      </c>
      <c r="E1207" s="605" t="s">
        <v>3144</v>
      </c>
      <c r="F1207" s="607" t="s">
        <v>3145</v>
      </c>
      <c r="G1207" s="607" t="s">
        <v>1594</v>
      </c>
      <c r="H1207" s="607" t="s">
        <v>1594</v>
      </c>
      <c r="I1207" s="607" t="s">
        <v>3057</v>
      </c>
      <c r="J1207" s="608" t="str">
        <f t="shared" si="38"/>
        <v>Wholesale Trade</v>
      </c>
      <c r="N1207" s="822">
        <v>336991</v>
      </c>
      <c r="O1207" s="822" t="s">
        <v>2924</v>
      </c>
      <c r="P1207" s="823">
        <v>3751</v>
      </c>
      <c r="Q1207" s="823" t="s">
        <v>2926</v>
      </c>
    </row>
    <row r="1208" spans="2:17" s="608" customFormat="1" x14ac:dyDescent="0.25">
      <c r="B1208" s="605" t="s">
        <v>3323</v>
      </c>
      <c r="C1208" s="606">
        <f t="shared" si="37"/>
        <v>425110</v>
      </c>
      <c r="D1208" s="607" t="s">
        <v>3324</v>
      </c>
      <c r="E1208" s="605" t="s">
        <v>3136</v>
      </c>
      <c r="F1208" s="607" t="s">
        <v>3137</v>
      </c>
      <c r="G1208" s="607" t="s">
        <v>1594</v>
      </c>
      <c r="H1208" s="607" t="s">
        <v>1594</v>
      </c>
      <c r="I1208" s="607" t="s">
        <v>3057</v>
      </c>
      <c r="J1208" s="608" t="str">
        <f t="shared" si="38"/>
        <v>Wholesale Trade</v>
      </c>
      <c r="N1208" s="822">
        <v>336991</v>
      </c>
      <c r="O1208" s="822" t="s">
        <v>2924</v>
      </c>
      <c r="P1208" s="823">
        <v>3944</v>
      </c>
      <c r="Q1208" s="823" t="s">
        <v>2928</v>
      </c>
    </row>
    <row r="1209" spans="2:17" s="608" customFormat="1" x14ac:dyDescent="0.25">
      <c r="B1209" s="605" t="s">
        <v>3323</v>
      </c>
      <c r="C1209" s="606">
        <f t="shared" si="37"/>
        <v>425110</v>
      </c>
      <c r="D1209" s="607" t="s">
        <v>3324</v>
      </c>
      <c r="E1209" s="605" t="s">
        <v>3150</v>
      </c>
      <c r="F1209" s="607" t="s">
        <v>3151</v>
      </c>
      <c r="G1209" s="607" t="s">
        <v>1594</v>
      </c>
      <c r="H1209" s="607" t="s">
        <v>1594</v>
      </c>
      <c r="I1209" s="607" t="s">
        <v>3057</v>
      </c>
      <c r="J1209" s="608" t="str">
        <f t="shared" si="38"/>
        <v>Wholesale Trade</v>
      </c>
      <c r="N1209" s="822">
        <v>336992</v>
      </c>
      <c r="O1209" s="822" t="s">
        <v>2931</v>
      </c>
      <c r="P1209" s="823">
        <v>3711</v>
      </c>
      <c r="Q1209" s="823" t="s">
        <v>2839</v>
      </c>
    </row>
    <row r="1210" spans="2:17" s="608" customFormat="1" x14ac:dyDescent="0.25">
      <c r="B1210" s="605" t="s">
        <v>3323</v>
      </c>
      <c r="C1210" s="606">
        <f t="shared" si="37"/>
        <v>425110</v>
      </c>
      <c r="D1210" s="607" t="s">
        <v>3324</v>
      </c>
      <c r="E1210" s="605" t="s">
        <v>3154</v>
      </c>
      <c r="F1210" s="607" t="s">
        <v>3155</v>
      </c>
      <c r="G1210" s="607" t="s">
        <v>1594</v>
      </c>
      <c r="H1210" s="607" t="s">
        <v>1594</v>
      </c>
      <c r="I1210" s="607" t="s">
        <v>3057</v>
      </c>
      <c r="J1210" s="608" t="str">
        <f t="shared" si="38"/>
        <v>Wholesale Trade</v>
      </c>
      <c r="N1210" s="822">
        <v>336992</v>
      </c>
      <c r="O1210" s="822" t="s">
        <v>2931</v>
      </c>
      <c r="P1210" s="823">
        <v>3795</v>
      </c>
      <c r="Q1210" s="823" t="s">
        <v>2933</v>
      </c>
    </row>
    <row r="1211" spans="2:17" s="608" customFormat="1" x14ac:dyDescent="0.25">
      <c r="B1211" s="605" t="s">
        <v>3323</v>
      </c>
      <c r="C1211" s="606">
        <f t="shared" si="37"/>
        <v>425110</v>
      </c>
      <c r="D1211" s="607" t="s">
        <v>3324</v>
      </c>
      <c r="E1211" s="607" t="s">
        <v>3158</v>
      </c>
      <c r="F1211" s="607" t="s">
        <v>3159</v>
      </c>
      <c r="G1211" s="607" t="s">
        <v>1594</v>
      </c>
      <c r="H1211" s="607" t="s">
        <v>1594</v>
      </c>
      <c r="I1211" s="607" t="s">
        <v>3057</v>
      </c>
      <c r="J1211" s="608" t="str">
        <f t="shared" si="38"/>
        <v>Wholesale Trade</v>
      </c>
      <c r="N1211" s="822">
        <v>336999</v>
      </c>
      <c r="O1211" s="822" t="s">
        <v>2935</v>
      </c>
      <c r="P1211" s="823">
        <v>3799</v>
      </c>
      <c r="Q1211" s="823" t="s">
        <v>2622</v>
      </c>
    </row>
    <row r="1212" spans="2:17" s="608" customFormat="1" x14ac:dyDescent="0.25">
      <c r="B1212" s="605" t="s">
        <v>3323</v>
      </c>
      <c r="C1212" s="606">
        <f t="shared" si="37"/>
        <v>425110</v>
      </c>
      <c r="D1212" s="607" t="s">
        <v>3324</v>
      </c>
      <c r="E1212" s="605" t="s">
        <v>3162</v>
      </c>
      <c r="F1212" s="607" t="s">
        <v>3163</v>
      </c>
      <c r="G1212" s="607" t="s">
        <v>1594</v>
      </c>
      <c r="H1212" s="607" t="s">
        <v>1594</v>
      </c>
      <c r="I1212" s="607" t="s">
        <v>3057</v>
      </c>
      <c r="J1212" s="608" t="str">
        <f t="shared" si="38"/>
        <v>Wholesale Trade</v>
      </c>
      <c r="N1212" s="822">
        <v>337110</v>
      </c>
      <c r="O1212" s="822" t="s">
        <v>2937</v>
      </c>
      <c r="P1212" s="823">
        <v>2434</v>
      </c>
      <c r="Q1212" s="823" t="s">
        <v>2939</v>
      </c>
    </row>
    <row r="1213" spans="2:17" s="608" customFormat="1" x14ac:dyDescent="0.25">
      <c r="B1213" s="605" t="s">
        <v>3323</v>
      </c>
      <c r="C1213" s="606">
        <f t="shared" si="37"/>
        <v>425110</v>
      </c>
      <c r="D1213" s="607" t="s">
        <v>3324</v>
      </c>
      <c r="E1213" s="605" t="s">
        <v>3166</v>
      </c>
      <c r="F1213" s="607" t="s">
        <v>3167</v>
      </c>
      <c r="G1213" s="607" t="s">
        <v>1594</v>
      </c>
      <c r="H1213" s="607" t="s">
        <v>1594</v>
      </c>
      <c r="I1213" s="607" t="s">
        <v>3057</v>
      </c>
      <c r="J1213" s="608" t="str">
        <f t="shared" si="38"/>
        <v>Wholesale Trade</v>
      </c>
      <c r="N1213" s="822">
        <v>337110</v>
      </c>
      <c r="O1213" s="822" t="s">
        <v>2937</v>
      </c>
      <c r="P1213" s="823">
        <v>2541</v>
      </c>
      <c r="Q1213" s="823" t="s">
        <v>2941</v>
      </c>
    </row>
    <row r="1214" spans="2:17" s="608" customFormat="1" x14ac:dyDescent="0.25">
      <c r="B1214" s="605" t="s">
        <v>3323</v>
      </c>
      <c r="C1214" s="606">
        <f t="shared" si="37"/>
        <v>425110</v>
      </c>
      <c r="D1214" s="607" t="s">
        <v>3324</v>
      </c>
      <c r="E1214" s="605" t="s">
        <v>3168</v>
      </c>
      <c r="F1214" s="607" t="s">
        <v>3169</v>
      </c>
      <c r="G1214" s="607" t="s">
        <v>1594</v>
      </c>
      <c r="H1214" s="607" t="s">
        <v>1594</v>
      </c>
      <c r="I1214" s="607" t="s">
        <v>3057</v>
      </c>
      <c r="J1214" s="608" t="str">
        <f t="shared" si="38"/>
        <v>Wholesale Trade</v>
      </c>
      <c r="N1214" s="822">
        <v>337110</v>
      </c>
      <c r="O1214" s="822" t="s">
        <v>2937</v>
      </c>
      <c r="P1214" s="823">
        <v>5712</v>
      </c>
      <c r="Q1214" s="823" t="s">
        <v>2943</v>
      </c>
    </row>
    <row r="1215" spans="2:17" s="608" customFormat="1" x14ac:dyDescent="0.25">
      <c r="B1215" s="605" t="s">
        <v>3323</v>
      </c>
      <c r="C1215" s="606">
        <f t="shared" si="37"/>
        <v>425110</v>
      </c>
      <c r="D1215" s="607" t="s">
        <v>3324</v>
      </c>
      <c r="E1215" s="605" t="s">
        <v>3174</v>
      </c>
      <c r="F1215" s="607" t="s">
        <v>3175</v>
      </c>
      <c r="G1215" s="607" t="s">
        <v>1594</v>
      </c>
      <c r="H1215" s="607" t="s">
        <v>1594</v>
      </c>
      <c r="I1215" s="607" t="s">
        <v>3057</v>
      </c>
      <c r="J1215" s="608" t="str">
        <f t="shared" si="38"/>
        <v>Wholesale Trade</v>
      </c>
      <c r="N1215" s="822">
        <v>337121</v>
      </c>
      <c r="O1215" s="822" t="s">
        <v>2946</v>
      </c>
      <c r="P1215" s="823">
        <v>2512</v>
      </c>
      <c r="Q1215" s="823" t="s">
        <v>2948</v>
      </c>
    </row>
    <row r="1216" spans="2:17" s="608" customFormat="1" x14ac:dyDescent="0.25">
      <c r="B1216" s="605" t="s">
        <v>3323</v>
      </c>
      <c r="C1216" s="606">
        <f t="shared" si="37"/>
        <v>425110</v>
      </c>
      <c r="D1216" s="607" t="s">
        <v>3324</v>
      </c>
      <c r="E1216" s="607" t="s">
        <v>3178</v>
      </c>
      <c r="F1216" s="607" t="s">
        <v>3179</v>
      </c>
      <c r="G1216" s="607" t="s">
        <v>1594</v>
      </c>
      <c r="H1216" s="607" t="s">
        <v>1594</v>
      </c>
      <c r="I1216" s="607" t="s">
        <v>2842</v>
      </c>
      <c r="J1216" s="608" t="str">
        <f t="shared" si="38"/>
        <v>Automobile</v>
      </c>
      <c r="N1216" s="822">
        <v>337121</v>
      </c>
      <c r="O1216" s="822" t="s">
        <v>2946</v>
      </c>
      <c r="P1216" s="823">
        <v>2514</v>
      </c>
      <c r="Q1216" s="823" t="s">
        <v>2950</v>
      </c>
    </row>
    <row r="1217" spans="2:17" s="608" customFormat="1" x14ac:dyDescent="0.25">
      <c r="B1217" s="605" t="s">
        <v>3323</v>
      </c>
      <c r="C1217" s="606">
        <f t="shared" si="37"/>
        <v>425110</v>
      </c>
      <c r="D1217" s="607" t="s">
        <v>3324</v>
      </c>
      <c r="E1217" s="605" t="s">
        <v>3182</v>
      </c>
      <c r="F1217" s="607" t="s">
        <v>3183</v>
      </c>
      <c r="G1217" s="607" t="s">
        <v>1594</v>
      </c>
      <c r="H1217" s="607" t="s">
        <v>1594</v>
      </c>
      <c r="I1217" s="607" t="s">
        <v>3057</v>
      </c>
      <c r="J1217" s="608" t="str">
        <f t="shared" si="38"/>
        <v>Wholesale Trade</v>
      </c>
      <c r="N1217" s="822">
        <v>337121</v>
      </c>
      <c r="O1217" s="822" t="s">
        <v>2946</v>
      </c>
      <c r="P1217" s="823">
        <v>2515</v>
      </c>
      <c r="Q1217" s="823" t="s">
        <v>2952</v>
      </c>
    </row>
    <row r="1218" spans="2:17" s="608" customFormat="1" x14ac:dyDescent="0.25">
      <c r="B1218" s="605" t="s">
        <v>3323</v>
      </c>
      <c r="C1218" s="606">
        <f t="shared" ref="C1218:C1281" si="39">B1218+0</f>
        <v>425110</v>
      </c>
      <c r="D1218" s="607" t="s">
        <v>3324</v>
      </c>
      <c r="E1218" s="605" t="s">
        <v>3190</v>
      </c>
      <c r="F1218" s="607" t="s">
        <v>3191</v>
      </c>
      <c r="G1218" s="607" t="s">
        <v>1594</v>
      </c>
      <c r="H1218" s="607" t="s">
        <v>1594</v>
      </c>
      <c r="I1218" s="607" t="s">
        <v>3057</v>
      </c>
      <c r="J1218" s="608" t="str">
        <f t="shared" si="38"/>
        <v>Wholesale Trade</v>
      </c>
      <c r="N1218" s="822">
        <v>337121</v>
      </c>
      <c r="O1218" s="822" t="s">
        <v>2946</v>
      </c>
      <c r="P1218" s="823">
        <v>5712</v>
      </c>
      <c r="Q1218" s="823" t="s">
        <v>2943</v>
      </c>
    </row>
    <row r="1219" spans="2:17" s="608" customFormat="1" x14ac:dyDescent="0.25">
      <c r="B1219" s="605" t="s">
        <v>3323</v>
      </c>
      <c r="C1219" s="606">
        <f t="shared" si="39"/>
        <v>425110</v>
      </c>
      <c r="D1219" s="607" t="s">
        <v>3324</v>
      </c>
      <c r="E1219" s="605" t="s">
        <v>3194</v>
      </c>
      <c r="F1219" s="607" t="s">
        <v>3195</v>
      </c>
      <c r="G1219" s="607" t="s">
        <v>1594</v>
      </c>
      <c r="H1219" s="607" t="s">
        <v>1594</v>
      </c>
      <c r="I1219" s="607" t="s">
        <v>3057</v>
      </c>
      <c r="J1219" s="608" t="str">
        <f t="shared" si="38"/>
        <v>Wholesale Trade</v>
      </c>
      <c r="N1219" s="822">
        <v>337122</v>
      </c>
      <c r="O1219" s="822" t="s">
        <v>2954</v>
      </c>
      <c r="P1219" s="823">
        <v>2511</v>
      </c>
      <c r="Q1219" s="823" t="s">
        <v>2956</v>
      </c>
    </row>
    <row r="1220" spans="2:17" s="608" customFormat="1" x14ac:dyDescent="0.25">
      <c r="B1220" s="605" t="s">
        <v>3323</v>
      </c>
      <c r="C1220" s="606">
        <f t="shared" si="39"/>
        <v>425110</v>
      </c>
      <c r="D1220" s="607" t="s">
        <v>3324</v>
      </c>
      <c r="E1220" s="605" t="s">
        <v>3198</v>
      </c>
      <c r="F1220" s="607" t="s">
        <v>3199</v>
      </c>
      <c r="G1220" s="607" t="s">
        <v>1594</v>
      </c>
      <c r="H1220" s="607" t="s">
        <v>1594</v>
      </c>
      <c r="I1220" s="607" t="s">
        <v>3057</v>
      </c>
      <c r="J1220" s="608" t="str">
        <f t="shared" si="38"/>
        <v>Wholesale Trade</v>
      </c>
      <c r="N1220" s="822">
        <v>337122</v>
      </c>
      <c r="O1220" s="822" t="s">
        <v>2954</v>
      </c>
      <c r="P1220" s="823">
        <v>5712</v>
      </c>
      <c r="Q1220" s="823" t="s">
        <v>2943</v>
      </c>
    </row>
    <row r="1221" spans="2:17" s="608" customFormat="1" x14ac:dyDescent="0.25">
      <c r="B1221" s="605" t="s">
        <v>3323</v>
      </c>
      <c r="C1221" s="606">
        <f t="shared" si="39"/>
        <v>425110</v>
      </c>
      <c r="D1221" s="607" t="s">
        <v>3324</v>
      </c>
      <c r="E1221" s="605" t="s">
        <v>3202</v>
      </c>
      <c r="F1221" s="607" t="s">
        <v>3203</v>
      </c>
      <c r="G1221" s="607" t="s">
        <v>1594</v>
      </c>
      <c r="H1221" s="607" t="s">
        <v>1594</v>
      </c>
      <c r="I1221" s="607" t="s">
        <v>3057</v>
      </c>
      <c r="J1221" s="608" t="str">
        <f t="shared" si="38"/>
        <v>Wholesale Trade</v>
      </c>
      <c r="N1221" s="822">
        <v>337124</v>
      </c>
      <c r="O1221" s="822" t="s">
        <v>2958</v>
      </c>
      <c r="P1221" s="823">
        <v>2514</v>
      </c>
      <c r="Q1221" s="823" t="s">
        <v>2950</v>
      </c>
    </row>
    <row r="1222" spans="2:17" s="608" customFormat="1" x14ac:dyDescent="0.25">
      <c r="B1222" s="605" t="s">
        <v>3323</v>
      </c>
      <c r="C1222" s="606">
        <f t="shared" si="39"/>
        <v>425110</v>
      </c>
      <c r="D1222" s="607" t="s">
        <v>3324</v>
      </c>
      <c r="E1222" s="607" t="s">
        <v>3208</v>
      </c>
      <c r="F1222" s="607" t="s">
        <v>3209</v>
      </c>
      <c r="G1222" s="607" t="s">
        <v>1594</v>
      </c>
      <c r="H1222" s="607" t="s">
        <v>1594</v>
      </c>
      <c r="I1222" s="607" t="s">
        <v>2944</v>
      </c>
      <c r="J1222" s="608" t="str">
        <f t="shared" si="38"/>
        <v>Retail Trade</v>
      </c>
      <c r="N1222" s="822">
        <v>337125</v>
      </c>
      <c r="O1222" s="822" t="s">
        <v>2960</v>
      </c>
      <c r="P1222" s="823">
        <v>2499</v>
      </c>
      <c r="Q1222" s="823" t="s">
        <v>1831</v>
      </c>
    </row>
    <row r="1223" spans="2:17" s="608" customFormat="1" x14ac:dyDescent="0.25">
      <c r="B1223" s="605" t="s">
        <v>3323</v>
      </c>
      <c r="C1223" s="606">
        <f t="shared" si="39"/>
        <v>425110</v>
      </c>
      <c r="D1223" s="607" t="s">
        <v>3324</v>
      </c>
      <c r="E1223" s="607" t="s">
        <v>3212</v>
      </c>
      <c r="F1223" s="607" t="s">
        <v>3213</v>
      </c>
      <c r="G1223" s="607" t="s">
        <v>1594</v>
      </c>
      <c r="H1223" s="607" t="s">
        <v>1594</v>
      </c>
      <c r="I1223" s="607" t="s">
        <v>2944</v>
      </c>
      <c r="J1223" s="608" t="str">
        <f t="shared" si="38"/>
        <v>Retail Trade</v>
      </c>
      <c r="N1223" s="822">
        <v>337125</v>
      </c>
      <c r="O1223" s="822" t="s">
        <v>2960</v>
      </c>
      <c r="P1223" s="823">
        <v>2519</v>
      </c>
      <c r="Q1223" s="823" t="s">
        <v>2962</v>
      </c>
    </row>
    <row r="1224" spans="2:17" s="608" customFormat="1" x14ac:dyDescent="0.25">
      <c r="B1224" s="605" t="s">
        <v>3323</v>
      </c>
      <c r="C1224" s="606">
        <f t="shared" si="39"/>
        <v>425110</v>
      </c>
      <c r="D1224" s="607" t="s">
        <v>3324</v>
      </c>
      <c r="E1224" s="607" t="s">
        <v>3216</v>
      </c>
      <c r="F1224" s="607" t="s">
        <v>3217</v>
      </c>
      <c r="G1224" s="607" t="s">
        <v>1594</v>
      </c>
      <c r="H1224" s="607" t="s">
        <v>1594</v>
      </c>
      <c r="I1224" s="607" t="s">
        <v>2944</v>
      </c>
      <c r="J1224" s="608" t="str">
        <f t="shared" si="38"/>
        <v>Retail Trade</v>
      </c>
      <c r="N1224" s="822">
        <v>337127</v>
      </c>
      <c r="O1224" s="822" t="s">
        <v>2965</v>
      </c>
      <c r="P1224" s="823">
        <v>2531</v>
      </c>
      <c r="Q1224" s="823" t="s">
        <v>2882</v>
      </c>
    </row>
    <row r="1225" spans="2:17" s="608" customFormat="1" x14ac:dyDescent="0.25">
      <c r="B1225" s="605" t="s">
        <v>3323</v>
      </c>
      <c r="C1225" s="606">
        <f t="shared" si="39"/>
        <v>425110</v>
      </c>
      <c r="D1225" s="607" t="s">
        <v>3324</v>
      </c>
      <c r="E1225" s="605" t="s">
        <v>3220</v>
      </c>
      <c r="F1225" s="607" t="s">
        <v>3221</v>
      </c>
      <c r="G1225" s="607" t="s">
        <v>1594</v>
      </c>
      <c r="H1225" s="607" t="s">
        <v>1594</v>
      </c>
      <c r="I1225" s="607" t="s">
        <v>2944</v>
      </c>
      <c r="J1225" s="608" t="str">
        <f t="shared" si="38"/>
        <v>Retail Trade</v>
      </c>
      <c r="N1225" s="822">
        <v>337127</v>
      </c>
      <c r="O1225" s="822" t="s">
        <v>2965</v>
      </c>
      <c r="P1225" s="823">
        <v>2541</v>
      </c>
      <c r="Q1225" s="823" t="s">
        <v>2941</v>
      </c>
    </row>
    <row r="1226" spans="2:17" s="608" customFormat="1" x14ac:dyDescent="0.25">
      <c r="B1226" s="605" t="s">
        <v>3323</v>
      </c>
      <c r="C1226" s="606">
        <f t="shared" si="39"/>
        <v>425110</v>
      </c>
      <c r="D1226" s="607" t="s">
        <v>3324</v>
      </c>
      <c r="E1226" s="605" t="s">
        <v>1647</v>
      </c>
      <c r="F1226" s="607" t="s">
        <v>1648</v>
      </c>
      <c r="G1226" s="607" t="s">
        <v>1594</v>
      </c>
      <c r="H1226" s="607" t="s">
        <v>1594</v>
      </c>
      <c r="I1226" s="607" t="s">
        <v>2944</v>
      </c>
      <c r="J1226" s="608" t="str">
        <f t="shared" si="38"/>
        <v>Retail Trade</v>
      </c>
      <c r="N1226" s="822">
        <v>337127</v>
      </c>
      <c r="O1226" s="822" t="s">
        <v>2965</v>
      </c>
      <c r="P1226" s="823">
        <v>2542</v>
      </c>
      <c r="Q1226" s="823" t="s">
        <v>2967</v>
      </c>
    </row>
    <row r="1227" spans="2:17" s="608" customFormat="1" x14ac:dyDescent="0.25">
      <c r="B1227" s="605" t="s">
        <v>3323</v>
      </c>
      <c r="C1227" s="606">
        <f t="shared" si="39"/>
        <v>425110</v>
      </c>
      <c r="D1227" s="607" t="s">
        <v>3324</v>
      </c>
      <c r="E1227" s="607" t="s">
        <v>3184</v>
      </c>
      <c r="F1227" s="607" t="s">
        <v>3185</v>
      </c>
      <c r="G1227" s="607" t="s">
        <v>1594</v>
      </c>
      <c r="H1227" s="607" t="s">
        <v>1594</v>
      </c>
      <c r="I1227" s="607" t="s">
        <v>1608</v>
      </c>
      <c r="J1227" s="608" t="str">
        <f t="shared" si="38"/>
        <v>Textile Apparel Luxury Goods</v>
      </c>
      <c r="N1227" s="822">
        <v>337127</v>
      </c>
      <c r="O1227" s="822" t="s">
        <v>2965</v>
      </c>
      <c r="P1227" s="823">
        <v>2599</v>
      </c>
      <c r="Q1227" s="823" t="s">
        <v>2514</v>
      </c>
    </row>
    <row r="1228" spans="2:17" s="608" customFormat="1" x14ac:dyDescent="0.25">
      <c r="B1228" s="605" t="s">
        <v>3323</v>
      </c>
      <c r="C1228" s="606">
        <f t="shared" si="39"/>
        <v>425110</v>
      </c>
      <c r="D1228" s="607" t="s">
        <v>3324</v>
      </c>
      <c r="E1228" s="607" t="s">
        <v>3186</v>
      </c>
      <c r="F1228" s="607" t="s">
        <v>3187</v>
      </c>
      <c r="G1228" s="607" t="s">
        <v>1594</v>
      </c>
      <c r="H1228" s="607" t="s">
        <v>1594</v>
      </c>
      <c r="I1228" s="607" t="s">
        <v>1608</v>
      </c>
      <c r="J1228" s="608" t="str">
        <f t="shared" si="38"/>
        <v>Textile Apparel Luxury Goods</v>
      </c>
      <c r="N1228" s="822">
        <v>337127</v>
      </c>
      <c r="O1228" s="822" t="s">
        <v>2965</v>
      </c>
      <c r="P1228" s="823">
        <v>3821</v>
      </c>
      <c r="Q1228" s="823" t="s">
        <v>2520</v>
      </c>
    </row>
    <row r="1229" spans="2:17" s="608" customFormat="1" x14ac:dyDescent="0.25">
      <c r="B1229" s="605" t="s">
        <v>3323</v>
      </c>
      <c r="C1229" s="606">
        <f t="shared" si="39"/>
        <v>425110</v>
      </c>
      <c r="D1229" s="607" t="s">
        <v>3324</v>
      </c>
      <c r="E1229" s="607" t="s">
        <v>3232</v>
      </c>
      <c r="F1229" s="607" t="s">
        <v>3233</v>
      </c>
      <c r="G1229" s="607" t="s">
        <v>1594</v>
      </c>
      <c r="H1229" s="607" t="s">
        <v>1594</v>
      </c>
      <c r="I1229" s="607" t="s">
        <v>1608</v>
      </c>
      <c r="J1229" s="608" t="str">
        <f t="shared" si="38"/>
        <v>Textile Apparel Luxury Goods</v>
      </c>
      <c r="N1229" s="822">
        <v>337127</v>
      </c>
      <c r="O1229" s="822" t="s">
        <v>2965</v>
      </c>
      <c r="P1229" s="823">
        <v>3841</v>
      </c>
      <c r="Q1229" s="823" t="s">
        <v>2465</v>
      </c>
    </row>
    <row r="1230" spans="2:17" s="608" customFormat="1" x14ac:dyDescent="0.25">
      <c r="B1230" s="605" t="s">
        <v>3323</v>
      </c>
      <c r="C1230" s="606">
        <f t="shared" si="39"/>
        <v>425110</v>
      </c>
      <c r="D1230" s="607" t="s">
        <v>3324</v>
      </c>
      <c r="E1230" s="607" t="s">
        <v>3236</v>
      </c>
      <c r="F1230" s="607" t="s">
        <v>3237</v>
      </c>
      <c r="G1230" s="607" t="s">
        <v>837</v>
      </c>
      <c r="H1230" s="607" t="s">
        <v>837</v>
      </c>
      <c r="I1230" s="607" t="s">
        <v>838</v>
      </c>
      <c r="J1230" s="608" t="str">
        <f t="shared" si="38"/>
        <v>Food</v>
      </c>
      <c r="N1230" s="822">
        <v>337127</v>
      </c>
      <c r="O1230" s="822" t="s">
        <v>2965</v>
      </c>
      <c r="P1230" s="823">
        <v>3952</v>
      </c>
      <c r="Q1230" s="823" t="s">
        <v>2078</v>
      </c>
    </row>
    <row r="1231" spans="2:17" s="608" customFormat="1" x14ac:dyDescent="0.25">
      <c r="B1231" s="605" t="s">
        <v>3323</v>
      </c>
      <c r="C1231" s="606">
        <f t="shared" si="39"/>
        <v>425110</v>
      </c>
      <c r="D1231" s="607" t="s">
        <v>3324</v>
      </c>
      <c r="E1231" s="607" t="s">
        <v>3240</v>
      </c>
      <c r="F1231" s="607" t="s">
        <v>3241</v>
      </c>
      <c r="G1231" s="607" t="s">
        <v>837</v>
      </c>
      <c r="H1231" s="607" t="s">
        <v>837</v>
      </c>
      <c r="I1231" s="607" t="s">
        <v>838</v>
      </c>
      <c r="J1231" s="608" t="str">
        <f t="shared" ref="J1231:J1294" si="40">PROPER(I1231)</f>
        <v>Food</v>
      </c>
      <c r="N1231" s="822">
        <v>337127</v>
      </c>
      <c r="O1231" s="822" t="s">
        <v>2965</v>
      </c>
      <c r="P1231" s="823">
        <v>3999</v>
      </c>
      <c r="Q1231" s="823" t="s">
        <v>1757</v>
      </c>
    </row>
    <row r="1232" spans="2:17" s="608" customFormat="1" x14ac:dyDescent="0.25">
      <c r="B1232" s="605" t="s">
        <v>3323</v>
      </c>
      <c r="C1232" s="606">
        <f t="shared" si="39"/>
        <v>425110</v>
      </c>
      <c r="D1232" s="607" t="s">
        <v>3324</v>
      </c>
      <c r="E1232" s="607" t="s">
        <v>3244</v>
      </c>
      <c r="F1232" s="607" t="s">
        <v>3245</v>
      </c>
      <c r="G1232" s="607" t="s">
        <v>837</v>
      </c>
      <c r="H1232" s="607" t="s">
        <v>837</v>
      </c>
      <c r="I1232" s="607" t="s">
        <v>838</v>
      </c>
      <c r="J1232" s="608" t="str">
        <f t="shared" si="40"/>
        <v>Food</v>
      </c>
      <c r="N1232" s="823">
        <v>337129</v>
      </c>
      <c r="O1232" s="823" t="s">
        <v>5978</v>
      </c>
      <c r="P1232" s="823"/>
      <c r="Q1232" s="823" t="s">
        <v>958</v>
      </c>
    </row>
    <row r="1233" spans="2:17" s="608" customFormat="1" x14ac:dyDescent="0.25">
      <c r="B1233" s="605" t="s">
        <v>3323</v>
      </c>
      <c r="C1233" s="606">
        <f t="shared" si="39"/>
        <v>425110</v>
      </c>
      <c r="D1233" s="607" t="s">
        <v>3324</v>
      </c>
      <c r="E1233" s="607" t="s">
        <v>3248</v>
      </c>
      <c r="F1233" s="607" t="s">
        <v>3249</v>
      </c>
      <c r="G1233" s="607" t="s">
        <v>837</v>
      </c>
      <c r="H1233" s="607" t="s">
        <v>837</v>
      </c>
      <c r="I1233" s="607" t="s">
        <v>838</v>
      </c>
      <c r="J1233" s="608" t="str">
        <f t="shared" si="40"/>
        <v>Food</v>
      </c>
      <c r="N1233" s="822">
        <v>337211</v>
      </c>
      <c r="O1233" s="822" t="s">
        <v>2969</v>
      </c>
      <c r="P1233" s="823">
        <v>2521</v>
      </c>
      <c r="Q1233" s="823" t="s">
        <v>2971</v>
      </c>
    </row>
    <row r="1234" spans="2:17" s="608" customFormat="1" x14ac:dyDescent="0.25">
      <c r="B1234" s="605" t="s">
        <v>3323</v>
      </c>
      <c r="C1234" s="606">
        <f t="shared" si="39"/>
        <v>425110</v>
      </c>
      <c r="D1234" s="607" t="s">
        <v>3324</v>
      </c>
      <c r="E1234" s="607" t="s">
        <v>3252</v>
      </c>
      <c r="F1234" s="607" t="s">
        <v>3253</v>
      </c>
      <c r="G1234" s="607" t="s">
        <v>837</v>
      </c>
      <c r="H1234" s="607" t="s">
        <v>837</v>
      </c>
      <c r="I1234" s="607" t="s">
        <v>838</v>
      </c>
      <c r="J1234" s="608" t="str">
        <f t="shared" si="40"/>
        <v>Food</v>
      </c>
      <c r="N1234" s="822">
        <v>337212</v>
      </c>
      <c r="O1234" s="822" t="s">
        <v>2973</v>
      </c>
      <c r="P1234" s="823">
        <v>2541</v>
      </c>
      <c r="Q1234" s="823" t="s">
        <v>2941</v>
      </c>
    </row>
    <row r="1235" spans="2:17" s="608" customFormat="1" x14ac:dyDescent="0.25">
      <c r="B1235" s="605" t="s">
        <v>3323</v>
      </c>
      <c r="C1235" s="606">
        <f t="shared" si="39"/>
        <v>425110</v>
      </c>
      <c r="D1235" s="607" t="s">
        <v>3324</v>
      </c>
      <c r="E1235" s="607" t="s">
        <v>3256</v>
      </c>
      <c r="F1235" s="607" t="s">
        <v>3257</v>
      </c>
      <c r="G1235" s="607" t="s">
        <v>837</v>
      </c>
      <c r="H1235" s="607" t="s">
        <v>837</v>
      </c>
      <c r="I1235" s="607" t="s">
        <v>838</v>
      </c>
      <c r="J1235" s="608" t="str">
        <f t="shared" si="40"/>
        <v>Food</v>
      </c>
      <c r="N1235" s="822">
        <v>337214</v>
      </c>
      <c r="O1235" s="822" t="s">
        <v>2975</v>
      </c>
      <c r="P1235" s="823">
        <v>2522</v>
      </c>
      <c r="Q1235" s="823" t="s">
        <v>2977</v>
      </c>
    </row>
    <row r="1236" spans="2:17" s="608" customFormat="1" x14ac:dyDescent="0.25">
      <c r="B1236" s="605" t="s">
        <v>3323</v>
      </c>
      <c r="C1236" s="606">
        <f t="shared" si="39"/>
        <v>425110</v>
      </c>
      <c r="D1236" s="607" t="s">
        <v>3324</v>
      </c>
      <c r="E1236" s="607" t="s">
        <v>1488</v>
      </c>
      <c r="F1236" s="607" t="s">
        <v>1489</v>
      </c>
      <c r="G1236" s="607" t="s">
        <v>837</v>
      </c>
      <c r="H1236" s="607" t="s">
        <v>837</v>
      </c>
      <c r="I1236" s="607" t="s">
        <v>838</v>
      </c>
      <c r="J1236" s="608" t="str">
        <f t="shared" si="40"/>
        <v>Food</v>
      </c>
      <c r="N1236" s="822">
        <v>337215</v>
      </c>
      <c r="O1236" s="822" t="s">
        <v>2979</v>
      </c>
      <c r="P1236" s="823">
        <v>2426</v>
      </c>
      <c r="Q1236" s="823" t="s">
        <v>1789</v>
      </c>
    </row>
    <row r="1237" spans="2:17" s="608" customFormat="1" x14ac:dyDescent="0.25">
      <c r="B1237" s="605" t="s">
        <v>3323</v>
      </c>
      <c r="C1237" s="606">
        <f t="shared" si="39"/>
        <v>425110</v>
      </c>
      <c r="D1237" s="607" t="s">
        <v>3324</v>
      </c>
      <c r="E1237" s="607" t="s">
        <v>3262</v>
      </c>
      <c r="F1237" s="607" t="s">
        <v>3263</v>
      </c>
      <c r="G1237" s="607" t="s">
        <v>837</v>
      </c>
      <c r="H1237" s="607" t="s">
        <v>837</v>
      </c>
      <c r="I1237" s="607" t="s">
        <v>838</v>
      </c>
      <c r="J1237" s="608" t="str">
        <f t="shared" si="40"/>
        <v>Food</v>
      </c>
      <c r="N1237" s="822">
        <v>337215</v>
      </c>
      <c r="O1237" s="822" t="s">
        <v>2979</v>
      </c>
      <c r="P1237" s="823">
        <v>2511</v>
      </c>
      <c r="Q1237" s="823" t="s">
        <v>2956</v>
      </c>
    </row>
    <row r="1238" spans="2:17" s="608" customFormat="1" x14ac:dyDescent="0.25">
      <c r="B1238" s="605" t="s">
        <v>3323</v>
      </c>
      <c r="C1238" s="606">
        <f t="shared" si="39"/>
        <v>425110</v>
      </c>
      <c r="D1238" s="607" t="s">
        <v>3324</v>
      </c>
      <c r="E1238" s="607" t="s">
        <v>1562</v>
      </c>
      <c r="F1238" s="607" t="s">
        <v>1563</v>
      </c>
      <c r="G1238" s="607" t="s">
        <v>837</v>
      </c>
      <c r="H1238" s="607" t="s">
        <v>837</v>
      </c>
      <c r="I1238" s="607" t="s">
        <v>838</v>
      </c>
      <c r="J1238" s="608" t="str">
        <f t="shared" si="40"/>
        <v>Food</v>
      </c>
      <c r="N1238" s="822">
        <v>337215</v>
      </c>
      <c r="O1238" s="822" t="s">
        <v>2979</v>
      </c>
      <c r="P1238" s="823">
        <v>2514</v>
      </c>
      <c r="Q1238" s="823" t="s">
        <v>2950</v>
      </c>
    </row>
    <row r="1239" spans="2:17" s="608" customFormat="1" x14ac:dyDescent="0.25">
      <c r="B1239" s="605" t="s">
        <v>3323</v>
      </c>
      <c r="C1239" s="606">
        <f t="shared" si="39"/>
        <v>425110</v>
      </c>
      <c r="D1239" s="607" t="s">
        <v>3324</v>
      </c>
      <c r="E1239" s="607" t="s">
        <v>3268</v>
      </c>
      <c r="F1239" s="607" t="s">
        <v>3269</v>
      </c>
      <c r="G1239" s="607" t="s">
        <v>837</v>
      </c>
      <c r="H1239" s="607" t="s">
        <v>837</v>
      </c>
      <c r="I1239" s="607" t="s">
        <v>838</v>
      </c>
      <c r="J1239" s="608" t="str">
        <f t="shared" si="40"/>
        <v>Food</v>
      </c>
      <c r="N1239" s="822">
        <v>337215</v>
      </c>
      <c r="O1239" s="822" t="s">
        <v>2979</v>
      </c>
      <c r="P1239" s="823">
        <v>2541</v>
      </c>
      <c r="Q1239" s="823" t="s">
        <v>2941</v>
      </c>
    </row>
    <row r="1240" spans="2:17" s="608" customFormat="1" x14ac:dyDescent="0.25">
      <c r="B1240" s="605" t="s">
        <v>3323</v>
      </c>
      <c r="C1240" s="606">
        <f t="shared" si="39"/>
        <v>425110</v>
      </c>
      <c r="D1240" s="607" t="s">
        <v>3324</v>
      </c>
      <c r="E1240" s="607" t="s">
        <v>3272</v>
      </c>
      <c r="F1240" s="607" t="s">
        <v>3273</v>
      </c>
      <c r="G1240" s="607" t="s">
        <v>837</v>
      </c>
      <c r="H1240" s="607" t="s">
        <v>837</v>
      </c>
      <c r="I1240" s="607" t="s">
        <v>1006</v>
      </c>
      <c r="J1240" s="608" t="str">
        <f t="shared" si="40"/>
        <v>Agriculture</v>
      </c>
      <c r="N1240" s="822">
        <v>337215</v>
      </c>
      <c r="O1240" s="822" t="s">
        <v>2979</v>
      </c>
      <c r="P1240" s="823">
        <v>2542</v>
      </c>
      <c r="Q1240" s="823" t="s">
        <v>2967</v>
      </c>
    </row>
    <row r="1241" spans="2:17" s="608" customFormat="1" x14ac:dyDescent="0.25">
      <c r="B1241" s="605" t="s">
        <v>3323</v>
      </c>
      <c r="C1241" s="606">
        <f t="shared" si="39"/>
        <v>425110</v>
      </c>
      <c r="D1241" s="607" t="s">
        <v>3324</v>
      </c>
      <c r="E1241" s="607" t="s">
        <v>3276</v>
      </c>
      <c r="F1241" s="607" t="s">
        <v>3277</v>
      </c>
      <c r="G1241" s="607" t="s">
        <v>837</v>
      </c>
      <c r="H1241" s="607" t="s">
        <v>837</v>
      </c>
      <c r="I1241" s="607" t="s">
        <v>1006</v>
      </c>
      <c r="J1241" s="608" t="str">
        <f t="shared" si="40"/>
        <v>Agriculture</v>
      </c>
      <c r="N1241" s="822">
        <v>337215</v>
      </c>
      <c r="O1241" s="822" t="s">
        <v>2979</v>
      </c>
      <c r="P1241" s="823">
        <v>3089</v>
      </c>
      <c r="Q1241" s="823" t="s">
        <v>2092</v>
      </c>
    </row>
    <row r="1242" spans="2:17" s="608" customFormat="1" x14ac:dyDescent="0.25">
      <c r="B1242" s="605" t="s">
        <v>3323</v>
      </c>
      <c r="C1242" s="606">
        <f t="shared" si="39"/>
        <v>425110</v>
      </c>
      <c r="D1242" s="607" t="s">
        <v>3324</v>
      </c>
      <c r="E1242" s="607" t="s">
        <v>3280</v>
      </c>
      <c r="F1242" s="607" t="s">
        <v>3281</v>
      </c>
      <c r="G1242" s="609" t="s">
        <v>1100</v>
      </c>
      <c r="H1242" s="607" t="s">
        <v>1100</v>
      </c>
      <c r="I1242" s="607" t="s">
        <v>1962</v>
      </c>
      <c r="J1242" s="608" t="str">
        <f t="shared" si="40"/>
        <v>Chemicals</v>
      </c>
      <c r="N1242" s="822">
        <v>337215</v>
      </c>
      <c r="O1242" s="822" t="s">
        <v>2979</v>
      </c>
      <c r="P1242" s="823">
        <v>3429</v>
      </c>
      <c r="Q1242" s="823" t="s">
        <v>2392</v>
      </c>
    </row>
    <row r="1243" spans="2:17" s="608" customFormat="1" x14ac:dyDescent="0.25">
      <c r="B1243" s="605" t="s">
        <v>3323</v>
      </c>
      <c r="C1243" s="606">
        <f t="shared" si="39"/>
        <v>425110</v>
      </c>
      <c r="D1243" s="607" t="s">
        <v>3324</v>
      </c>
      <c r="E1243" s="607" t="s">
        <v>3284</v>
      </c>
      <c r="F1243" s="607" t="s">
        <v>3285</v>
      </c>
      <c r="G1243" s="607" t="s">
        <v>837</v>
      </c>
      <c r="H1243" s="607" t="s">
        <v>837</v>
      </c>
      <c r="I1243" s="607" t="s">
        <v>1006</v>
      </c>
      <c r="J1243" s="608" t="str">
        <f t="shared" si="40"/>
        <v>Agriculture</v>
      </c>
      <c r="N1243" s="822">
        <v>337215</v>
      </c>
      <c r="O1243" s="822" t="s">
        <v>2979</v>
      </c>
      <c r="P1243" s="823">
        <v>3499</v>
      </c>
      <c r="Q1243" s="823" t="s">
        <v>2324</v>
      </c>
    </row>
    <row r="1244" spans="2:17" s="608" customFormat="1" x14ac:dyDescent="0.25">
      <c r="B1244" s="605" t="s">
        <v>3323</v>
      </c>
      <c r="C1244" s="606">
        <f t="shared" si="39"/>
        <v>425110</v>
      </c>
      <c r="D1244" s="607" t="s">
        <v>3324</v>
      </c>
      <c r="E1244" s="605" t="s">
        <v>3291</v>
      </c>
      <c r="F1244" s="607" t="s">
        <v>3292</v>
      </c>
      <c r="G1244" s="607" t="s">
        <v>1594</v>
      </c>
      <c r="H1244" s="607" t="s">
        <v>1594</v>
      </c>
      <c r="I1244" s="607" t="s">
        <v>2944</v>
      </c>
      <c r="J1244" s="608" t="str">
        <f t="shared" si="40"/>
        <v>Retail Trade</v>
      </c>
      <c r="N1244" s="822">
        <v>337910</v>
      </c>
      <c r="O1244" s="822" t="s">
        <v>2981</v>
      </c>
      <c r="P1244" s="823">
        <v>2515</v>
      </c>
      <c r="Q1244" s="823" t="s">
        <v>2952</v>
      </c>
    </row>
    <row r="1245" spans="2:17" s="608" customFormat="1" x14ac:dyDescent="0.25">
      <c r="B1245" s="605" t="s">
        <v>3323</v>
      </c>
      <c r="C1245" s="606">
        <f t="shared" si="39"/>
        <v>425110</v>
      </c>
      <c r="D1245" s="607" t="s">
        <v>3324</v>
      </c>
      <c r="E1245" s="607" t="s">
        <v>3295</v>
      </c>
      <c r="F1245" s="607" t="s">
        <v>3296</v>
      </c>
      <c r="G1245" s="607" t="s">
        <v>837</v>
      </c>
      <c r="H1245" s="607" t="s">
        <v>837</v>
      </c>
      <c r="I1245" s="607" t="s">
        <v>1537</v>
      </c>
      <c r="J1245" s="608" t="str">
        <f t="shared" si="40"/>
        <v>Beverage</v>
      </c>
      <c r="N1245" s="822">
        <v>337920</v>
      </c>
      <c r="O1245" s="822" t="s">
        <v>2983</v>
      </c>
      <c r="P1245" s="823">
        <v>2591</v>
      </c>
      <c r="Q1245" s="823" t="s">
        <v>2985</v>
      </c>
    </row>
    <row r="1246" spans="2:17" s="608" customFormat="1" x14ac:dyDescent="0.25">
      <c r="B1246" s="605" t="s">
        <v>3323</v>
      </c>
      <c r="C1246" s="606">
        <f t="shared" si="39"/>
        <v>425110</v>
      </c>
      <c r="D1246" s="607" t="s">
        <v>3324</v>
      </c>
      <c r="E1246" s="607" t="s">
        <v>3299</v>
      </c>
      <c r="F1246" s="607" t="s">
        <v>3300</v>
      </c>
      <c r="G1246" s="607" t="s">
        <v>837</v>
      </c>
      <c r="H1246" s="607" t="s">
        <v>837</v>
      </c>
      <c r="I1246" s="607" t="s">
        <v>1537</v>
      </c>
      <c r="J1246" s="608" t="str">
        <f t="shared" si="40"/>
        <v>Beverage</v>
      </c>
      <c r="N1246" s="822">
        <v>339112</v>
      </c>
      <c r="O1246" s="822" t="s">
        <v>2987</v>
      </c>
      <c r="P1246" s="823">
        <v>3829</v>
      </c>
      <c r="Q1246" s="823" t="s">
        <v>2735</v>
      </c>
    </row>
    <row r="1247" spans="2:17" s="608" customFormat="1" x14ac:dyDescent="0.25">
      <c r="B1247" s="605" t="s">
        <v>3323</v>
      </c>
      <c r="C1247" s="606">
        <f t="shared" si="39"/>
        <v>425110</v>
      </c>
      <c r="D1247" s="607" t="s">
        <v>3324</v>
      </c>
      <c r="E1247" s="607" t="s">
        <v>3303</v>
      </c>
      <c r="F1247" s="607" t="s">
        <v>3304</v>
      </c>
      <c r="G1247" s="607" t="s">
        <v>837</v>
      </c>
      <c r="H1247" s="607" t="s">
        <v>837</v>
      </c>
      <c r="I1247" s="607" t="s">
        <v>1006</v>
      </c>
      <c r="J1247" s="608" t="str">
        <f t="shared" si="40"/>
        <v>Agriculture</v>
      </c>
      <c r="N1247" s="822">
        <v>339112</v>
      </c>
      <c r="O1247" s="822" t="s">
        <v>2987</v>
      </c>
      <c r="P1247" s="823">
        <v>3841</v>
      </c>
      <c r="Q1247" s="823" t="s">
        <v>2465</v>
      </c>
    </row>
    <row r="1248" spans="2:17" s="608" customFormat="1" x14ac:dyDescent="0.25">
      <c r="B1248" s="605" t="s">
        <v>3323</v>
      </c>
      <c r="C1248" s="606">
        <f t="shared" si="39"/>
        <v>425110</v>
      </c>
      <c r="D1248" s="607" t="s">
        <v>3324</v>
      </c>
      <c r="E1248" s="605" t="s">
        <v>3307</v>
      </c>
      <c r="F1248" s="607" t="s">
        <v>3308</v>
      </c>
      <c r="G1248" s="607" t="s">
        <v>1594</v>
      </c>
      <c r="H1248" s="607" t="s">
        <v>1594</v>
      </c>
      <c r="I1248" s="607" t="s">
        <v>2944</v>
      </c>
      <c r="J1248" s="608" t="str">
        <f t="shared" si="40"/>
        <v>Retail Trade</v>
      </c>
      <c r="N1248" s="822">
        <v>339113</v>
      </c>
      <c r="O1248" s="822" t="s">
        <v>2989</v>
      </c>
      <c r="P1248" s="823">
        <v>2499</v>
      </c>
      <c r="Q1248" s="823" t="s">
        <v>1831</v>
      </c>
    </row>
    <row r="1249" spans="2:17" s="608" customFormat="1" x14ac:dyDescent="0.25">
      <c r="B1249" s="605" t="s">
        <v>3323</v>
      </c>
      <c r="C1249" s="606">
        <f t="shared" si="39"/>
        <v>425110</v>
      </c>
      <c r="D1249" s="607" t="s">
        <v>3324</v>
      </c>
      <c r="E1249" s="607" t="s">
        <v>3311</v>
      </c>
      <c r="F1249" s="607" t="s">
        <v>3312</v>
      </c>
      <c r="G1249" s="607" t="s">
        <v>837</v>
      </c>
      <c r="H1249" s="607" t="s">
        <v>837</v>
      </c>
      <c r="I1249" s="607" t="s">
        <v>1006</v>
      </c>
      <c r="J1249" s="608" t="str">
        <f t="shared" si="40"/>
        <v>Agriculture</v>
      </c>
      <c r="N1249" s="822">
        <v>339113</v>
      </c>
      <c r="O1249" s="822" t="s">
        <v>2989</v>
      </c>
      <c r="P1249" s="823">
        <v>2599</v>
      </c>
      <c r="Q1249" s="823" t="s">
        <v>2514</v>
      </c>
    </row>
    <row r="1250" spans="2:17" s="608" customFormat="1" x14ac:dyDescent="0.25">
      <c r="B1250" s="605" t="s">
        <v>3323</v>
      </c>
      <c r="C1250" s="606">
        <f t="shared" si="39"/>
        <v>425110</v>
      </c>
      <c r="D1250" s="607" t="s">
        <v>3324</v>
      </c>
      <c r="E1250" s="607" t="s">
        <v>3315</v>
      </c>
      <c r="F1250" s="607" t="s">
        <v>3316</v>
      </c>
      <c r="G1250" s="607" t="s">
        <v>837</v>
      </c>
      <c r="H1250" s="607" t="s">
        <v>837</v>
      </c>
      <c r="I1250" s="607" t="s">
        <v>919</v>
      </c>
      <c r="J1250" s="608" t="str">
        <f t="shared" si="40"/>
        <v>Tobacco</v>
      </c>
      <c r="N1250" s="822">
        <v>339113</v>
      </c>
      <c r="O1250" s="822" t="s">
        <v>2989</v>
      </c>
      <c r="P1250" s="823">
        <v>3069</v>
      </c>
      <c r="Q1250" s="823" t="s">
        <v>1654</v>
      </c>
    </row>
    <row r="1251" spans="2:17" s="608" customFormat="1" x14ac:dyDescent="0.25">
      <c r="B1251" s="605" t="s">
        <v>3323</v>
      </c>
      <c r="C1251" s="606">
        <f t="shared" si="39"/>
        <v>425110</v>
      </c>
      <c r="D1251" s="607" t="s">
        <v>3324</v>
      </c>
      <c r="E1251" s="605" t="s">
        <v>3319</v>
      </c>
      <c r="F1251" s="607" t="s">
        <v>3320</v>
      </c>
      <c r="G1251" s="607" t="s">
        <v>1594</v>
      </c>
      <c r="H1251" s="607" t="s">
        <v>1594</v>
      </c>
      <c r="I1251" s="607" t="s">
        <v>2944</v>
      </c>
      <c r="J1251" s="608" t="str">
        <f t="shared" si="40"/>
        <v>Retail Trade</v>
      </c>
      <c r="N1251" s="822">
        <v>339113</v>
      </c>
      <c r="O1251" s="822" t="s">
        <v>2989</v>
      </c>
      <c r="P1251" s="823">
        <v>3089</v>
      </c>
      <c r="Q1251" s="823" t="s">
        <v>2092</v>
      </c>
    </row>
    <row r="1252" spans="2:17" s="608" customFormat="1" x14ac:dyDescent="0.25">
      <c r="B1252" s="605" t="s">
        <v>3323</v>
      </c>
      <c r="C1252" s="606">
        <f t="shared" si="39"/>
        <v>425110</v>
      </c>
      <c r="D1252" s="607" t="s">
        <v>3324</v>
      </c>
      <c r="E1252" s="605" t="s">
        <v>3224</v>
      </c>
      <c r="F1252" s="607" t="s">
        <v>3225</v>
      </c>
      <c r="G1252" s="607" t="s">
        <v>1594</v>
      </c>
      <c r="H1252" s="607" t="s">
        <v>1594</v>
      </c>
      <c r="I1252" s="607" t="s">
        <v>2944</v>
      </c>
      <c r="J1252" s="608" t="str">
        <f t="shared" si="40"/>
        <v>Retail Trade</v>
      </c>
      <c r="N1252" s="822">
        <v>339113</v>
      </c>
      <c r="O1252" s="822" t="s">
        <v>2989</v>
      </c>
      <c r="P1252" s="823">
        <v>3821</v>
      </c>
      <c r="Q1252" s="823" t="s">
        <v>2520</v>
      </c>
    </row>
    <row r="1253" spans="2:17" s="608" customFormat="1" x14ac:dyDescent="0.25">
      <c r="B1253" s="605" t="s">
        <v>3325</v>
      </c>
      <c r="C1253" s="606">
        <f t="shared" si="39"/>
        <v>425120</v>
      </c>
      <c r="D1253" s="607" t="s">
        <v>3326</v>
      </c>
      <c r="E1253" s="605" t="s">
        <v>3055</v>
      </c>
      <c r="F1253" s="607" t="s">
        <v>3056</v>
      </c>
      <c r="G1253" s="607" t="s">
        <v>1594</v>
      </c>
      <c r="H1253" s="607" t="s">
        <v>1594</v>
      </c>
      <c r="I1253" s="607" t="s">
        <v>3057</v>
      </c>
      <c r="J1253" s="608" t="str">
        <f t="shared" si="40"/>
        <v>Wholesale Trade</v>
      </c>
      <c r="N1253" s="822">
        <v>339113</v>
      </c>
      <c r="O1253" s="822" t="s">
        <v>2989</v>
      </c>
      <c r="P1253" s="823">
        <v>3841</v>
      </c>
      <c r="Q1253" s="823" t="s">
        <v>2465</v>
      </c>
    </row>
    <row r="1254" spans="2:17" s="608" customFormat="1" x14ac:dyDescent="0.25">
      <c r="B1254" s="605" t="s">
        <v>3325</v>
      </c>
      <c r="C1254" s="606">
        <f t="shared" si="39"/>
        <v>425120</v>
      </c>
      <c r="D1254" s="607" t="s">
        <v>3326</v>
      </c>
      <c r="E1254" s="605" t="s">
        <v>3060</v>
      </c>
      <c r="F1254" s="607" t="s">
        <v>3061</v>
      </c>
      <c r="G1254" s="607" t="s">
        <v>1594</v>
      </c>
      <c r="H1254" s="607" t="s">
        <v>1594</v>
      </c>
      <c r="I1254" s="607" t="s">
        <v>3057</v>
      </c>
      <c r="J1254" s="608" t="str">
        <f t="shared" si="40"/>
        <v>Wholesale Trade</v>
      </c>
      <c r="N1254" s="822">
        <v>339113</v>
      </c>
      <c r="O1254" s="822" t="s">
        <v>2989</v>
      </c>
      <c r="P1254" s="823">
        <v>3842</v>
      </c>
      <c r="Q1254" s="823" t="s">
        <v>1899</v>
      </c>
    </row>
    <row r="1255" spans="2:17" s="608" customFormat="1" x14ac:dyDescent="0.25">
      <c r="B1255" s="605" t="s">
        <v>3325</v>
      </c>
      <c r="C1255" s="606">
        <f t="shared" si="39"/>
        <v>425120</v>
      </c>
      <c r="D1255" s="607" t="s">
        <v>3326</v>
      </c>
      <c r="E1255" s="605" t="s">
        <v>3064</v>
      </c>
      <c r="F1255" s="607" t="s">
        <v>3065</v>
      </c>
      <c r="G1255" s="607" t="s">
        <v>1594</v>
      </c>
      <c r="H1255" s="607" t="s">
        <v>1594</v>
      </c>
      <c r="I1255" s="607" t="s">
        <v>3057</v>
      </c>
      <c r="J1255" s="608" t="str">
        <f t="shared" si="40"/>
        <v>Wholesale Trade</v>
      </c>
      <c r="N1255" s="822">
        <v>339113</v>
      </c>
      <c r="O1255" s="822" t="s">
        <v>2989</v>
      </c>
      <c r="P1255" s="823">
        <v>3851</v>
      </c>
      <c r="Q1255" s="823" t="s">
        <v>2991</v>
      </c>
    </row>
    <row r="1256" spans="2:17" s="608" customFormat="1" x14ac:dyDescent="0.25">
      <c r="B1256" s="605" t="s">
        <v>3325</v>
      </c>
      <c r="C1256" s="606">
        <f t="shared" si="39"/>
        <v>425120</v>
      </c>
      <c r="D1256" s="607" t="s">
        <v>3326</v>
      </c>
      <c r="E1256" s="605" t="s">
        <v>3068</v>
      </c>
      <c r="F1256" s="607" t="s">
        <v>3069</v>
      </c>
      <c r="G1256" s="607" t="s">
        <v>1594</v>
      </c>
      <c r="H1256" s="607" t="s">
        <v>1594</v>
      </c>
      <c r="I1256" s="607" t="s">
        <v>3057</v>
      </c>
      <c r="J1256" s="608" t="str">
        <f t="shared" si="40"/>
        <v>Wholesale Trade</v>
      </c>
      <c r="N1256" s="822">
        <v>339113</v>
      </c>
      <c r="O1256" s="822" t="s">
        <v>2989</v>
      </c>
      <c r="P1256" s="823">
        <v>5999</v>
      </c>
      <c r="Q1256" s="823" t="s">
        <v>2993</v>
      </c>
    </row>
    <row r="1257" spans="2:17" s="608" customFormat="1" x14ac:dyDescent="0.25">
      <c r="B1257" s="605" t="s">
        <v>3325</v>
      </c>
      <c r="C1257" s="606">
        <f t="shared" si="39"/>
        <v>425120</v>
      </c>
      <c r="D1257" s="607" t="s">
        <v>3326</v>
      </c>
      <c r="E1257" s="605" t="s">
        <v>3072</v>
      </c>
      <c r="F1257" s="607" t="s">
        <v>3073</v>
      </c>
      <c r="G1257" s="607" t="s">
        <v>1594</v>
      </c>
      <c r="H1257" s="607" t="s">
        <v>1594</v>
      </c>
      <c r="I1257" s="607" t="s">
        <v>3057</v>
      </c>
      <c r="J1257" s="608" t="str">
        <f t="shared" si="40"/>
        <v>Wholesale Trade</v>
      </c>
      <c r="N1257" s="822">
        <v>339114</v>
      </c>
      <c r="O1257" s="822" t="s">
        <v>2995</v>
      </c>
      <c r="P1257" s="823">
        <v>3843</v>
      </c>
      <c r="Q1257" s="823" t="s">
        <v>2997</v>
      </c>
    </row>
    <row r="1258" spans="2:17" s="608" customFormat="1" x14ac:dyDescent="0.25">
      <c r="B1258" s="605" t="s">
        <v>3325</v>
      </c>
      <c r="C1258" s="606">
        <f t="shared" si="39"/>
        <v>425120</v>
      </c>
      <c r="D1258" s="607" t="s">
        <v>3326</v>
      </c>
      <c r="E1258" s="607" t="s">
        <v>3076</v>
      </c>
      <c r="F1258" s="607" t="s">
        <v>3077</v>
      </c>
      <c r="G1258" s="607" t="s">
        <v>1594</v>
      </c>
      <c r="H1258" s="607" t="s">
        <v>1594</v>
      </c>
      <c r="I1258" s="607" t="s">
        <v>2944</v>
      </c>
      <c r="J1258" s="608" t="str">
        <f t="shared" si="40"/>
        <v>Retail Trade</v>
      </c>
      <c r="N1258" s="822">
        <v>339115</v>
      </c>
      <c r="O1258" s="822" t="s">
        <v>2999</v>
      </c>
      <c r="P1258" s="823">
        <v>3851</v>
      </c>
      <c r="Q1258" s="823" t="s">
        <v>2991</v>
      </c>
    </row>
    <row r="1259" spans="2:17" s="608" customFormat="1" x14ac:dyDescent="0.25">
      <c r="B1259" s="605" t="s">
        <v>3325</v>
      </c>
      <c r="C1259" s="606">
        <f t="shared" si="39"/>
        <v>425120</v>
      </c>
      <c r="D1259" s="607" t="s">
        <v>3326</v>
      </c>
      <c r="E1259" s="605" t="s">
        <v>3080</v>
      </c>
      <c r="F1259" s="607" t="s">
        <v>3081</v>
      </c>
      <c r="G1259" s="607" t="s">
        <v>1594</v>
      </c>
      <c r="H1259" s="607" t="s">
        <v>1594</v>
      </c>
      <c r="I1259" s="607" t="s">
        <v>3057</v>
      </c>
      <c r="J1259" s="608" t="str">
        <f t="shared" si="40"/>
        <v>Wholesale Trade</v>
      </c>
      <c r="N1259" s="822">
        <v>339115</v>
      </c>
      <c r="O1259" s="822" t="s">
        <v>2999</v>
      </c>
      <c r="P1259" s="823">
        <v>5995</v>
      </c>
      <c r="Q1259" s="823" t="s">
        <v>3001</v>
      </c>
    </row>
    <row r="1260" spans="2:17" s="608" customFormat="1" x14ac:dyDescent="0.25">
      <c r="B1260" s="605" t="s">
        <v>3325</v>
      </c>
      <c r="C1260" s="606">
        <f t="shared" si="39"/>
        <v>425120</v>
      </c>
      <c r="D1260" s="607" t="s">
        <v>3326</v>
      </c>
      <c r="E1260" s="605" t="s">
        <v>3086</v>
      </c>
      <c r="F1260" s="607" t="s">
        <v>3087</v>
      </c>
      <c r="G1260" s="607" t="s">
        <v>1594</v>
      </c>
      <c r="H1260" s="607" t="s">
        <v>1594</v>
      </c>
      <c r="I1260" s="607" t="s">
        <v>3057</v>
      </c>
      <c r="J1260" s="608" t="str">
        <f t="shared" si="40"/>
        <v>Wholesale Trade</v>
      </c>
      <c r="N1260" s="822">
        <v>339116</v>
      </c>
      <c r="O1260" s="822" t="s">
        <v>3003</v>
      </c>
      <c r="P1260" s="823">
        <v>8072</v>
      </c>
      <c r="Q1260" s="823" t="s">
        <v>3003</v>
      </c>
    </row>
    <row r="1261" spans="2:17" s="608" customFormat="1" x14ac:dyDescent="0.25">
      <c r="B1261" s="605" t="s">
        <v>3325</v>
      </c>
      <c r="C1261" s="606">
        <f t="shared" si="39"/>
        <v>425120</v>
      </c>
      <c r="D1261" s="607" t="s">
        <v>3326</v>
      </c>
      <c r="E1261" s="605" t="s">
        <v>3090</v>
      </c>
      <c r="F1261" s="607" t="s">
        <v>3091</v>
      </c>
      <c r="G1261" s="607" t="s">
        <v>1594</v>
      </c>
      <c r="H1261" s="607" t="s">
        <v>1594</v>
      </c>
      <c r="I1261" s="607" t="s">
        <v>3057</v>
      </c>
      <c r="J1261" s="608" t="str">
        <f t="shared" si="40"/>
        <v>Wholesale Trade</v>
      </c>
      <c r="N1261" s="822">
        <v>339900</v>
      </c>
      <c r="O1261" s="822" t="s">
        <v>5979</v>
      </c>
      <c r="P1261" s="823"/>
      <c r="Q1261" s="823" t="s">
        <v>958</v>
      </c>
    </row>
    <row r="1262" spans="2:17" s="608" customFormat="1" x14ac:dyDescent="0.25">
      <c r="B1262" s="605" t="s">
        <v>3325</v>
      </c>
      <c r="C1262" s="606">
        <f t="shared" si="39"/>
        <v>425120</v>
      </c>
      <c r="D1262" s="607" t="s">
        <v>3326</v>
      </c>
      <c r="E1262" s="605" t="s">
        <v>3082</v>
      </c>
      <c r="F1262" s="607" t="s">
        <v>3083</v>
      </c>
      <c r="G1262" s="607" t="s">
        <v>1594</v>
      </c>
      <c r="H1262" s="607" t="s">
        <v>1594</v>
      </c>
      <c r="I1262" s="607" t="s">
        <v>3057</v>
      </c>
      <c r="J1262" s="608" t="str">
        <f t="shared" si="40"/>
        <v>Wholesale Trade</v>
      </c>
      <c r="N1262" s="822">
        <v>339910</v>
      </c>
      <c r="O1262" s="822" t="s">
        <v>3007</v>
      </c>
      <c r="P1262" s="823">
        <v>3172</v>
      </c>
      <c r="Q1262" s="823" t="s">
        <v>1781</v>
      </c>
    </row>
    <row r="1263" spans="2:17" s="608" customFormat="1" x14ac:dyDescent="0.25">
      <c r="B1263" s="605" t="s">
        <v>3325</v>
      </c>
      <c r="C1263" s="606">
        <f t="shared" si="39"/>
        <v>425120</v>
      </c>
      <c r="D1263" s="607" t="s">
        <v>3326</v>
      </c>
      <c r="E1263" s="605" t="s">
        <v>3096</v>
      </c>
      <c r="F1263" s="607" t="s">
        <v>2074</v>
      </c>
      <c r="G1263" s="607" t="s">
        <v>1594</v>
      </c>
      <c r="H1263" s="607" t="s">
        <v>1594</v>
      </c>
      <c r="I1263" s="607" t="s">
        <v>3057</v>
      </c>
      <c r="J1263" s="608" t="str">
        <f t="shared" si="40"/>
        <v>Wholesale Trade</v>
      </c>
      <c r="N1263" s="822">
        <v>339910</v>
      </c>
      <c r="O1263" s="822" t="s">
        <v>3007</v>
      </c>
      <c r="P1263" s="823">
        <v>3479</v>
      </c>
      <c r="Q1263" s="823" t="s">
        <v>2423</v>
      </c>
    </row>
    <row r="1264" spans="2:17" s="608" customFormat="1" x14ac:dyDescent="0.25">
      <c r="B1264" s="605" t="s">
        <v>3325</v>
      </c>
      <c r="C1264" s="606">
        <f t="shared" si="39"/>
        <v>425120</v>
      </c>
      <c r="D1264" s="607" t="s">
        <v>3326</v>
      </c>
      <c r="E1264" s="605" t="s">
        <v>3099</v>
      </c>
      <c r="F1264" s="607" t="s">
        <v>3100</v>
      </c>
      <c r="G1264" s="607" t="s">
        <v>1594</v>
      </c>
      <c r="H1264" s="607" t="s">
        <v>1594</v>
      </c>
      <c r="I1264" s="607" t="s">
        <v>3057</v>
      </c>
      <c r="J1264" s="608" t="str">
        <f t="shared" si="40"/>
        <v>Wholesale Trade</v>
      </c>
      <c r="N1264" s="822">
        <v>339910</v>
      </c>
      <c r="O1264" s="822" t="s">
        <v>3007</v>
      </c>
      <c r="P1264" s="823">
        <v>3911</v>
      </c>
      <c r="Q1264" s="823" t="s">
        <v>3009</v>
      </c>
    </row>
    <row r="1265" spans="2:17" s="608" customFormat="1" x14ac:dyDescent="0.25">
      <c r="B1265" s="605" t="s">
        <v>3325</v>
      </c>
      <c r="C1265" s="606">
        <f t="shared" si="39"/>
        <v>425120</v>
      </c>
      <c r="D1265" s="607" t="s">
        <v>3326</v>
      </c>
      <c r="E1265" s="605" t="s">
        <v>3103</v>
      </c>
      <c r="F1265" s="607" t="s">
        <v>3104</v>
      </c>
      <c r="G1265" s="607" t="s">
        <v>1594</v>
      </c>
      <c r="H1265" s="607" t="s">
        <v>1594</v>
      </c>
      <c r="I1265" s="607" t="s">
        <v>3057</v>
      </c>
      <c r="J1265" s="608" t="str">
        <f t="shared" si="40"/>
        <v>Wholesale Trade</v>
      </c>
      <c r="N1265" s="822">
        <v>339910</v>
      </c>
      <c r="O1265" s="822" t="s">
        <v>3007</v>
      </c>
      <c r="P1265" s="823">
        <v>3914</v>
      </c>
      <c r="Q1265" s="823" t="s">
        <v>2338</v>
      </c>
    </row>
    <row r="1266" spans="2:17" s="608" customFormat="1" x14ac:dyDescent="0.25">
      <c r="B1266" s="605" t="s">
        <v>3325</v>
      </c>
      <c r="C1266" s="606">
        <f t="shared" si="39"/>
        <v>425120</v>
      </c>
      <c r="D1266" s="607" t="s">
        <v>3326</v>
      </c>
      <c r="E1266" s="605" t="s">
        <v>3107</v>
      </c>
      <c r="F1266" s="607" t="s">
        <v>3108</v>
      </c>
      <c r="G1266" s="607" t="s">
        <v>1594</v>
      </c>
      <c r="H1266" s="607" t="s">
        <v>1594</v>
      </c>
      <c r="I1266" s="607" t="s">
        <v>3057</v>
      </c>
      <c r="J1266" s="608" t="str">
        <f t="shared" si="40"/>
        <v>Wholesale Trade</v>
      </c>
      <c r="N1266" s="822">
        <v>339910</v>
      </c>
      <c r="O1266" s="822" t="s">
        <v>3007</v>
      </c>
      <c r="P1266" s="823">
        <v>3915</v>
      </c>
      <c r="Q1266" s="823" t="s">
        <v>2751</v>
      </c>
    </row>
    <row r="1267" spans="2:17" s="608" customFormat="1" x14ac:dyDescent="0.25">
      <c r="B1267" s="605" t="s">
        <v>3325</v>
      </c>
      <c r="C1267" s="606">
        <f t="shared" si="39"/>
        <v>425120</v>
      </c>
      <c r="D1267" s="607" t="s">
        <v>3326</v>
      </c>
      <c r="E1267" s="605" t="s">
        <v>3111</v>
      </c>
      <c r="F1267" s="607" t="s">
        <v>3112</v>
      </c>
      <c r="G1267" s="607" t="s">
        <v>1594</v>
      </c>
      <c r="H1267" s="607" t="s">
        <v>1594</v>
      </c>
      <c r="I1267" s="607" t="s">
        <v>3057</v>
      </c>
      <c r="J1267" s="608" t="str">
        <f t="shared" si="40"/>
        <v>Wholesale Trade</v>
      </c>
      <c r="N1267" s="822">
        <v>339910</v>
      </c>
      <c r="O1267" s="822" t="s">
        <v>3007</v>
      </c>
      <c r="P1267" s="823">
        <v>3961</v>
      </c>
      <c r="Q1267" s="823" t="s">
        <v>3011</v>
      </c>
    </row>
    <row r="1268" spans="2:17" s="608" customFormat="1" x14ac:dyDescent="0.25">
      <c r="B1268" s="605" t="s">
        <v>3325</v>
      </c>
      <c r="C1268" s="606">
        <f t="shared" si="39"/>
        <v>425120</v>
      </c>
      <c r="D1268" s="607" t="s">
        <v>3326</v>
      </c>
      <c r="E1268" s="605" t="s">
        <v>3115</v>
      </c>
      <c r="F1268" s="607" t="s">
        <v>2991</v>
      </c>
      <c r="G1268" s="607" t="s">
        <v>1594</v>
      </c>
      <c r="H1268" s="607" t="s">
        <v>1594</v>
      </c>
      <c r="I1268" s="607" t="s">
        <v>3057</v>
      </c>
      <c r="J1268" s="608" t="str">
        <f t="shared" si="40"/>
        <v>Wholesale Trade</v>
      </c>
      <c r="N1268" s="823">
        <v>339911</v>
      </c>
      <c r="O1268" s="823" t="s">
        <v>5980</v>
      </c>
      <c r="P1268" s="823"/>
      <c r="Q1268" s="823" t="s">
        <v>958</v>
      </c>
    </row>
    <row r="1269" spans="2:17" s="608" customFormat="1" x14ac:dyDescent="0.25">
      <c r="B1269" s="605" t="s">
        <v>3325</v>
      </c>
      <c r="C1269" s="606">
        <f t="shared" si="39"/>
        <v>425120</v>
      </c>
      <c r="D1269" s="607" t="s">
        <v>3326</v>
      </c>
      <c r="E1269" s="605" t="s">
        <v>3118</v>
      </c>
      <c r="F1269" s="607" t="s">
        <v>3119</v>
      </c>
      <c r="G1269" s="607" t="s">
        <v>1594</v>
      </c>
      <c r="H1269" s="607" t="s">
        <v>1594</v>
      </c>
      <c r="I1269" s="607" t="s">
        <v>3057</v>
      </c>
      <c r="J1269" s="608" t="str">
        <f t="shared" si="40"/>
        <v>Wholesale Trade</v>
      </c>
      <c r="N1269" s="823">
        <v>339912</v>
      </c>
      <c r="O1269" s="823" t="s">
        <v>5981</v>
      </c>
      <c r="P1269" s="823"/>
      <c r="Q1269" s="823" t="s">
        <v>958</v>
      </c>
    </row>
    <row r="1270" spans="2:17" s="608" customFormat="1" x14ac:dyDescent="0.25">
      <c r="B1270" s="605" t="s">
        <v>3325</v>
      </c>
      <c r="C1270" s="606">
        <f t="shared" si="39"/>
        <v>425120</v>
      </c>
      <c r="D1270" s="607" t="s">
        <v>3326</v>
      </c>
      <c r="E1270" s="605" t="s">
        <v>3122</v>
      </c>
      <c r="F1270" s="607" t="s">
        <v>3123</v>
      </c>
      <c r="G1270" s="607" t="s">
        <v>1594</v>
      </c>
      <c r="H1270" s="607" t="s">
        <v>1594</v>
      </c>
      <c r="I1270" s="607" t="s">
        <v>3057</v>
      </c>
      <c r="J1270" s="608" t="str">
        <f t="shared" si="40"/>
        <v>Wholesale Trade</v>
      </c>
      <c r="N1270" s="823">
        <v>339913</v>
      </c>
      <c r="O1270" s="823" t="s">
        <v>5982</v>
      </c>
      <c r="P1270" s="823"/>
      <c r="Q1270" s="823" t="s">
        <v>958</v>
      </c>
    </row>
    <row r="1271" spans="2:17" s="608" customFormat="1" x14ac:dyDescent="0.25">
      <c r="B1271" s="605" t="s">
        <v>3325</v>
      </c>
      <c r="C1271" s="606">
        <f t="shared" si="39"/>
        <v>425120</v>
      </c>
      <c r="D1271" s="607" t="s">
        <v>3326</v>
      </c>
      <c r="E1271" s="605" t="s">
        <v>3126</v>
      </c>
      <c r="F1271" s="607" t="s">
        <v>3127</v>
      </c>
      <c r="G1271" s="607" t="s">
        <v>1594</v>
      </c>
      <c r="H1271" s="607" t="s">
        <v>1594</v>
      </c>
      <c r="I1271" s="607" t="s">
        <v>3057</v>
      </c>
      <c r="J1271" s="608" t="str">
        <f t="shared" si="40"/>
        <v>Wholesale Trade</v>
      </c>
      <c r="N1271" s="823">
        <v>339914</v>
      </c>
      <c r="O1271" s="823" t="s">
        <v>5983</v>
      </c>
      <c r="P1271" s="823"/>
      <c r="Q1271" s="823" t="s">
        <v>958</v>
      </c>
    </row>
    <row r="1272" spans="2:17" s="608" customFormat="1" x14ac:dyDescent="0.25">
      <c r="B1272" s="605" t="s">
        <v>3325</v>
      </c>
      <c r="C1272" s="606">
        <f t="shared" si="39"/>
        <v>425120</v>
      </c>
      <c r="D1272" s="607" t="s">
        <v>3326</v>
      </c>
      <c r="E1272" s="605" t="s">
        <v>3130</v>
      </c>
      <c r="F1272" s="607" t="s">
        <v>3131</v>
      </c>
      <c r="G1272" s="607" t="s">
        <v>1594</v>
      </c>
      <c r="H1272" s="607" t="s">
        <v>1594</v>
      </c>
      <c r="I1272" s="607" t="s">
        <v>3057</v>
      </c>
      <c r="J1272" s="608" t="str">
        <f t="shared" si="40"/>
        <v>Wholesale Trade</v>
      </c>
      <c r="N1272" s="822">
        <v>339920</v>
      </c>
      <c r="O1272" s="822" t="s">
        <v>3013</v>
      </c>
      <c r="P1272" s="823">
        <v>3069</v>
      </c>
      <c r="Q1272" s="823" t="s">
        <v>1654</v>
      </c>
    </row>
    <row r="1273" spans="2:17" s="608" customFormat="1" x14ac:dyDescent="0.25">
      <c r="B1273" s="605" t="s">
        <v>3325</v>
      </c>
      <c r="C1273" s="606">
        <f t="shared" si="39"/>
        <v>425120</v>
      </c>
      <c r="D1273" s="607" t="s">
        <v>3326</v>
      </c>
      <c r="E1273" s="605" t="s">
        <v>3134</v>
      </c>
      <c r="F1273" s="607" t="s">
        <v>3135</v>
      </c>
      <c r="G1273" s="607" t="s">
        <v>1594</v>
      </c>
      <c r="H1273" s="607" t="s">
        <v>1594</v>
      </c>
      <c r="I1273" s="607" t="s">
        <v>3057</v>
      </c>
      <c r="J1273" s="608" t="str">
        <f t="shared" si="40"/>
        <v>Wholesale Trade</v>
      </c>
      <c r="N1273" s="822">
        <v>339920</v>
      </c>
      <c r="O1273" s="822" t="s">
        <v>3013</v>
      </c>
      <c r="P1273" s="823">
        <v>3949</v>
      </c>
      <c r="Q1273" s="823" t="s">
        <v>3015</v>
      </c>
    </row>
    <row r="1274" spans="2:17" s="608" customFormat="1" x14ac:dyDescent="0.25">
      <c r="B1274" s="605" t="s">
        <v>3325</v>
      </c>
      <c r="C1274" s="606">
        <f t="shared" si="39"/>
        <v>425120</v>
      </c>
      <c r="D1274" s="607" t="s">
        <v>3326</v>
      </c>
      <c r="E1274" s="605" t="s">
        <v>3140</v>
      </c>
      <c r="F1274" s="607" t="s">
        <v>3141</v>
      </c>
      <c r="G1274" s="607" t="s">
        <v>1594</v>
      </c>
      <c r="H1274" s="607" t="s">
        <v>1594</v>
      </c>
      <c r="I1274" s="607" t="s">
        <v>3057</v>
      </c>
      <c r="J1274" s="608" t="str">
        <f t="shared" si="40"/>
        <v>Wholesale Trade</v>
      </c>
      <c r="N1274" s="822">
        <v>339930</v>
      </c>
      <c r="O1274" s="822" t="s">
        <v>3017</v>
      </c>
      <c r="P1274" s="823">
        <v>3069</v>
      </c>
      <c r="Q1274" s="823" t="s">
        <v>1654</v>
      </c>
    </row>
    <row r="1275" spans="2:17" s="608" customFormat="1" x14ac:dyDescent="0.25">
      <c r="B1275" s="605" t="s">
        <v>3325</v>
      </c>
      <c r="C1275" s="606">
        <f t="shared" si="39"/>
        <v>425120</v>
      </c>
      <c r="D1275" s="607" t="s">
        <v>3326</v>
      </c>
      <c r="E1275" s="605" t="s">
        <v>3144</v>
      </c>
      <c r="F1275" s="607" t="s">
        <v>3145</v>
      </c>
      <c r="G1275" s="607" t="s">
        <v>1594</v>
      </c>
      <c r="H1275" s="607" t="s">
        <v>1594</v>
      </c>
      <c r="I1275" s="607" t="s">
        <v>3057</v>
      </c>
      <c r="J1275" s="608" t="str">
        <f t="shared" si="40"/>
        <v>Wholesale Trade</v>
      </c>
      <c r="N1275" s="822">
        <v>339930</v>
      </c>
      <c r="O1275" s="822" t="s">
        <v>3017</v>
      </c>
      <c r="P1275" s="823">
        <v>3942</v>
      </c>
      <c r="Q1275" s="823" t="s">
        <v>3020</v>
      </c>
    </row>
    <row r="1276" spans="2:17" s="608" customFormat="1" x14ac:dyDescent="0.25">
      <c r="B1276" s="605" t="s">
        <v>3325</v>
      </c>
      <c r="C1276" s="606">
        <f t="shared" si="39"/>
        <v>425120</v>
      </c>
      <c r="D1276" s="607" t="s">
        <v>3326</v>
      </c>
      <c r="E1276" s="605" t="s">
        <v>3136</v>
      </c>
      <c r="F1276" s="607" t="s">
        <v>3137</v>
      </c>
      <c r="G1276" s="607" t="s">
        <v>1594</v>
      </c>
      <c r="H1276" s="607" t="s">
        <v>1594</v>
      </c>
      <c r="I1276" s="607" t="s">
        <v>3057</v>
      </c>
      <c r="J1276" s="608" t="str">
        <f t="shared" si="40"/>
        <v>Wholesale Trade</v>
      </c>
      <c r="N1276" s="822">
        <v>339930</v>
      </c>
      <c r="O1276" s="822" t="s">
        <v>3017</v>
      </c>
      <c r="P1276" s="823">
        <v>3944</v>
      </c>
      <c r="Q1276" s="823" t="s">
        <v>2928</v>
      </c>
    </row>
    <row r="1277" spans="2:17" s="608" customFormat="1" x14ac:dyDescent="0.25">
      <c r="B1277" s="605" t="s">
        <v>3325</v>
      </c>
      <c r="C1277" s="606">
        <f t="shared" si="39"/>
        <v>425120</v>
      </c>
      <c r="D1277" s="607" t="s">
        <v>3326</v>
      </c>
      <c r="E1277" s="605" t="s">
        <v>3150</v>
      </c>
      <c r="F1277" s="607" t="s">
        <v>3151</v>
      </c>
      <c r="G1277" s="607" t="s">
        <v>1594</v>
      </c>
      <c r="H1277" s="607" t="s">
        <v>1594</v>
      </c>
      <c r="I1277" s="607" t="s">
        <v>3057</v>
      </c>
      <c r="J1277" s="608" t="str">
        <f t="shared" si="40"/>
        <v>Wholesale Trade</v>
      </c>
      <c r="N1277" s="822">
        <v>339930</v>
      </c>
      <c r="O1277" s="822" t="s">
        <v>3017</v>
      </c>
      <c r="P1277" s="823">
        <v>3999</v>
      </c>
      <c r="Q1277" s="823" t="s">
        <v>1757</v>
      </c>
    </row>
    <row r="1278" spans="2:17" s="608" customFormat="1" x14ac:dyDescent="0.25">
      <c r="B1278" s="605" t="s">
        <v>3325</v>
      </c>
      <c r="C1278" s="606">
        <f t="shared" si="39"/>
        <v>425120</v>
      </c>
      <c r="D1278" s="607" t="s">
        <v>3326</v>
      </c>
      <c r="E1278" s="605" t="s">
        <v>3154</v>
      </c>
      <c r="F1278" s="607" t="s">
        <v>3155</v>
      </c>
      <c r="G1278" s="607" t="s">
        <v>1594</v>
      </c>
      <c r="H1278" s="607" t="s">
        <v>1594</v>
      </c>
      <c r="I1278" s="607" t="s">
        <v>3057</v>
      </c>
      <c r="J1278" s="608" t="str">
        <f t="shared" si="40"/>
        <v>Wholesale Trade</v>
      </c>
      <c r="N1278" s="823">
        <v>339931</v>
      </c>
      <c r="O1278" s="823" t="s">
        <v>5984</v>
      </c>
      <c r="P1278" s="823"/>
      <c r="Q1278" s="823" t="s">
        <v>958</v>
      </c>
    </row>
    <row r="1279" spans="2:17" s="608" customFormat="1" x14ac:dyDescent="0.25">
      <c r="B1279" s="605" t="s">
        <v>3325</v>
      </c>
      <c r="C1279" s="606">
        <f t="shared" si="39"/>
        <v>425120</v>
      </c>
      <c r="D1279" s="607" t="s">
        <v>3326</v>
      </c>
      <c r="E1279" s="605" t="s">
        <v>3158</v>
      </c>
      <c r="F1279" s="607" t="s">
        <v>3159</v>
      </c>
      <c r="G1279" s="607" t="s">
        <v>1594</v>
      </c>
      <c r="H1279" s="607" t="s">
        <v>1594</v>
      </c>
      <c r="I1279" s="607" t="s">
        <v>3057</v>
      </c>
      <c r="J1279" s="608" t="str">
        <f t="shared" si="40"/>
        <v>Wholesale Trade</v>
      </c>
      <c r="N1279" s="823">
        <v>339932</v>
      </c>
      <c r="O1279" s="823" t="s">
        <v>5985</v>
      </c>
      <c r="P1279" s="823"/>
      <c r="Q1279" s="823" t="s">
        <v>958</v>
      </c>
    </row>
    <row r="1280" spans="2:17" s="608" customFormat="1" x14ac:dyDescent="0.25">
      <c r="B1280" s="605" t="s">
        <v>3325</v>
      </c>
      <c r="C1280" s="606">
        <f t="shared" si="39"/>
        <v>425120</v>
      </c>
      <c r="D1280" s="607" t="s">
        <v>3326</v>
      </c>
      <c r="E1280" s="605" t="s">
        <v>3162</v>
      </c>
      <c r="F1280" s="607" t="s">
        <v>3163</v>
      </c>
      <c r="G1280" s="607" t="s">
        <v>1594</v>
      </c>
      <c r="H1280" s="607" t="s">
        <v>1594</v>
      </c>
      <c r="I1280" s="607" t="s">
        <v>3057</v>
      </c>
      <c r="J1280" s="608" t="str">
        <f t="shared" si="40"/>
        <v>Wholesale Trade</v>
      </c>
      <c r="N1280" s="822">
        <v>339940</v>
      </c>
      <c r="O1280" s="822" t="s">
        <v>3022</v>
      </c>
      <c r="P1280" s="823">
        <v>2531</v>
      </c>
      <c r="Q1280" s="823" t="s">
        <v>2882</v>
      </c>
    </row>
    <row r="1281" spans="2:17" s="608" customFormat="1" x14ac:dyDescent="0.25">
      <c r="B1281" s="605" t="s">
        <v>3325</v>
      </c>
      <c r="C1281" s="606">
        <f t="shared" si="39"/>
        <v>425120</v>
      </c>
      <c r="D1281" s="607" t="s">
        <v>3326</v>
      </c>
      <c r="E1281" s="605" t="s">
        <v>3166</v>
      </c>
      <c r="F1281" s="607" t="s">
        <v>3167</v>
      </c>
      <c r="G1281" s="607" t="s">
        <v>1594</v>
      </c>
      <c r="H1281" s="607" t="s">
        <v>1594</v>
      </c>
      <c r="I1281" s="607" t="s">
        <v>3057</v>
      </c>
      <c r="J1281" s="608" t="str">
        <f t="shared" si="40"/>
        <v>Wholesale Trade</v>
      </c>
      <c r="N1281" s="822">
        <v>339940</v>
      </c>
      <c r="O1281" s="822" t="s">
        <v>3022</v>
      </c>
      <c r="P1281" s="823">
        <v>3579</v>
      </c>
      <c r="Q1281" s="823" t="s">
        <v>2535</v>
      </c>
    </row>
    <row r="1282" spans="2:17" s="608" customFormat="1" x14ac:dyDescent="0.25">
      <c r="B1282" s="605" t="s">
        <v>3325</v>
      </c>
      <c r="C1282" s="606">
        <f t="shared" ref="C1282:C1345" si="41">B1282+0</f>
        <v>425120</v>
      </c>
      <c r="D1282" s="607" t="s">
        <v>3326</v>
      </c>
      <c r="E1282" s="605" t="s">
        <v>3168</v>
      </c>
      <c r="F1282" s="607" t="s">
        <v>3169</v>
      </c>
      <c r="G1282" s="607" t="s">
        <v>1594</v>
      </c>
      <c r="H1282" s="607" t="s">
        <v>1594</v>
      </c>
      <c r="I1282" s="607" t="s">
        <v>3057</v>
      </c>
      <c r="J1282" s="608" t="str">
        <f t="shared" si="40"/>
        <v>Wholesale Trade</v>
      </c>
      <c r="N1282" s="822">
        <v>339940</v>
      </c>
      <c r="O1282" s="822" t="s">
        <v>3022</v>
      </c>
      <c r="P1282" s="823">
        <v>3951</v>
      </c>
      <c r="Q1282" s="823" t="s">
        <v>3024</v>
      </c>
    </row>
    <row r="1283" spans="2:17" s="608" customFormat="1" x14ac:dyDescent="0.25">
      <c r="B1283" s="605" t="s">
        <v>3325</v>
      </c>
      <c r="C1283" s="606">
        <f t="shared" si="41"/>
        <v>425120</v>
      </c>
      <c r="D1283" s="607" t="s">
        <v>3326</v>
      </c>
      <c r="E1283" s="605" t="s">
        <v>3174</v>
      </c>
      <c r="F1283" s="607" t="s">
        <v>3175</v>
      </c>
      <c r="G1283" s="607" t="s">
        <v>1594</v>
      </c>
      <c r="H1283" s="607" t="s">
        <v>1594</v>
      </c>
      <c r="I1283" s="607" t="s">
        <v>3057</v>
      </c>
      <c r="J1283" s="608" t="str">
        <f t="shared" si="40"/>
        <v>Wholesale Trade</v>
      </c>
      <c r="N1283" s="822">
        <v>339940</v>
      </c>
      <c r="O1283" s="822" t="s">
        <v>3022</v>
      </c>
      <c r="P1283" s="823">
        <v>3952</v>
      </c>
      <c r="Q1283" s="823" t="s">
        <v>2078</v>
      </c>
    </row>
    <row r="1284" spans="2:17" s="608" customFormat="1" x14ac:dyDescent="0.25">
      <c r="B1284" s="605" t="s">
        <v>3325</v>
      </c>
      <c r="C1284" s="606">
        <f t="shared" si="41"/>
        <v>425120</v>
      </c>
      <c r="D1284" s="607" t="s">
        <v>3326</v>
      </c>
      <c r="E1284" s="605" t="s">
        <v>3178</v>
      </c>
      <c r="F1284" s="607" t="s">
        <v>3179</v>
      </c>
      <c r="G1284" s="607" t="s">
        <v>1594</v>
      </c>
      <c r="H1284" s="607" t="s">
        <v>1594</v>
      </c>
      <c r="I1284" s="607" t="s">
        <v>3057</v>
      </c>
      <c r="J1284" s="608" t="str">
        <f t="shared" si="40"/>
        <v>Wholesale Trade</v>
      </c>
      <c r="N1284" s="822">
        <v>339940</v>
      </c>
      <c r="O1284" s="822" t="s">
        <v>3022</v>
      </c>
      <c r="P1284" s="823">
        <v>3953</v>
      </c>
      <c r="Q1284" s="823" t="s">
        <v>3026</v>
      </c>
    </row>
    <row r="1285" spans="2:17" s="608" customFormat="1" x14ac:dyDescent="0.25">
      <c r="B1285" s="605" t="s">
        <v>3325</v>
      </c>
      <c r="C1285" s="606">
        <f t="shared" si="41"/>
        <v>425120</v>
      </c>
      <c r="D1285" s="607" t="s">
        <v>3326</v>
      </c>
      <c r="E1285" s="605" t="s">
        <v>3182</v>
      </c>
      <c r="F1285" s="607" t="s">
        <v>3183</v>
      </c>
      <c r="G1285" s="607" t="s">
        <v>1594</v>
      </c>
      <c r="H1285" s="607" t="s">
        <v>1594</v>
      </c>
      <c r="I1285" s="607" t="s">
        <v>3057</v>
      </c>
      <c r="J1285" s="608" t="str">
        <f t="shared" si="40"/>
        <v>Wholesale Trade</v>
      </c>
      <c r="N1285" s="822">
        <v>339940</v>
      </c>
      <c r="O1285" s="822" t="s">
        <v>3022</v>
      </c>
      <c r="P1285" s="823">
        <v>3955</v>
      </c>
      <c r="Q1285" s="823" t="s">
        <v>3028</v>
      </c>
    </row>
    <row r="1286" spans="2:17" s="608" customFormat="1" x14ac:dyDescent="0.25">
      <c r="B1286" s="605" t="s">
        <v>3325</v>
      </c>
      <c r="C1286" s="606">
        <f t="shared" si="41"/>
        <v>425120</v>
      </c>
      <c r="D1286" s="607" t="s">
        <v>3326</v>
      </c>
      <c r="E1286" s="605" t="s">
        <v>3190</v>
      </c>
      <c r="F1286" s="607" t="s">
        <v>3191</v>
      </c>
      <c r="G1286" s="607" t="s">
        <v>1594</v>
      </c>
      <c r="H1286" s="607" t="s">
        <v>1594</v>
      </c>
      <c r="I1286" s="607" t="s">
        <v>3057</v>
      </c>
      <c r="J1286" s="608" t="str">
        <f t="shared" si="40"/>
        <v>Wholesale Trade</v>
      </c>
      <c r="N1286" s="823">
        <v>339941</v>
      </c>
      <c r="O1286" s="823" t="s">
        <v>5986</v>
      </c>
      <c r="P1286" s="823"/>
      <c r="Q1286" s="823" t="s">
        <v>958</v>
      </c>
    </row>
    <row r="1287" spans="2:17" s="608" customFormat="1" x14ac:dyDescent="0.25">
      <c r="B1287" s="605" t="s">
        <v>3325</v>
      </c>
      <c r="C1287" s="606">
        <f t="shared" si="41"/>
        <v>425120</v>
      </c>
      <c r="D1287" s="607" t="s">
        <v>3326</v>
      </c>
      <c r="E1287" s="605" t="s">
        <v>3194</v>
      </c>
      <c r="F1287" s="607" t="s">
        <v>3195</v>
      </c>
      <c r="G1287" s="607" t="s">
        <v>1594</v>
      </c>
      <c r="H1287" s="607" t="s">
        <v>1594</v>
      </c>
      <c r="I1287" s="607" t="s">
        <v>3057</v>
      </c>
      <c r="J1287" s="608" t="str">
        <f t="shared" si="40"/>
        <v>Wholesale Trade</v>
      </c>
      <c r="N1287" s="823">
        <v>339942</v>
      </c>
      <c r="O1287" s="823" t="s">
        <v>5987</v>
      </c>
      <c r="P1287" s="823"/>
      <c r="Q1287" s="823" t="s">
        <v>958</v>
      </c>
    </row>
    <row r="1288" spans="2:17" s="608" customFormat="1" x14ac:dyDescent="0.25">
      <c r="B1288" s="605" t="s">
        <v>3325</v>
      </c>
      <c r="C1288" s="606">
        <f t="shared" si="41"/>
        <v>425120</v>
      </c>
      <c r="D1288" s="607" t="s">
        <v>3326</v>
      </c>
      <c r="E1288" s="605" t="s">
        <v>3198</v>
      </c>
      <c r="F1288" s="607" t="s">
        <v>3199</v>
      </c>
      <c r="G1288" s="607" t="s">
        <v>1594</v>
      </c>
      <c r="H1288" s="607" t="s">
        <v>1594</v>
      </c>
      <c r="I1288" s="607" t="s">
        <v>3057</v>
      </c>
      <c r="J1288" s="608" t="str">
        <f t="shared" si="40"/>
        <v>Wholesale Trade</v>
      </c>
      <c r="N1288" s="823">
        <v>339943</v>
      </c>
      <c r="O1288" s="823" t="s">
        <v>5988</v>
      </c>
      <c r="P1288" s="823"/>
      <c r="Q1288" s="823" t="s">
        <v>958</v>
      </c>
    </row>
    <row r="1289" spans="2:17" s="608" customFormat="1" x14ac:dyDescent="0.25">
      <c r="B1289" s="605" t="s">
        <v>3325</v>
      </c>
      <c r="C1289" s="606">
        <f t="shared" si="41"/>
        <v>425120</v>
      </c>
      <c r="D1289" s="607" t="s">
        <v>3326</v>
      </c>
      <c r="E1289" s="605" t="s">
        <v>3202</v>
      </c>
      <c r="F1289" s="607" t="s">
        <v>3203</v>
      </c>
      <c r="G1289" s="607" t="s">
        <v>1594</v>
      </c>
      <c r="H1289" s="607" t="s">
        <v>1594</v>
      </c>
      <c r="I1289" s="607" t="s">
        <v>3057</v>
      </c>
      <c r="J1289" s="608" t="str">
        <f t="shared" si="40"/>
        <v>Wholesale Trade</v>
      </c>
      <c r="N1289" s="823">
        <v>339944</v>
      </c>
      <c r="O1289" s="823" t="s">
        <v>5989</v>
      </c>
      <c r="P1289" s="823"/>
      <c r="Q1289" s="823" t="s">
        <v>958</v>
      </c>
    </row>
    <row r="1290" spans="2:17" s="608" customFormat="1" x14ac:dyDescent="0.25">
      <c r="B1290" s="605" t="s">
        <v>3325</v>
      </c>
      <c r="C1290" s="606">
        <f t="shared" si="41"/>
        <v>425120</v>
      </c>
      <c r="D1290" s="607" t="s">
        <v>3326</v>
      </c>
      <c r="E1290" s="607" t="s">
        <v>3208</v>
      </c>
      <c r="F1290" s="607" t="s">
        <v>3209</v>
      </c>
      <c r="G1290" s="607" t="s">
        <v>1594</v>
      </c>
      <c r="H1290" s="607" t="s">
        <v>1594</v>
      </c>
      <c r="I1290" s="607" t="s">
        <v>3057</v>
      </c>
      <c r="J1290" s="608" t="str">
        <f t="shared" si="40"/>
        <v>Wholesale Trade</v>
      </c>
      <c r="N1290" s="822">
        <v>339950</v>
      </c>
      <c r="O1290" s="822" t="s">
        <v>3030</v>
      </c>
      <c r="P1290" s="823">
        <v>3993</v>
      </c>
      <c r="Q1290" s="823" t="s">
        <v>1923</v>
      </c>
    </row>
    <row r="1291" spans="2:17" s="608" customFormat="1" x14ac:dyDescent="0.25">
      <c r="B1291" s="605" t="s">
        <v>3325</v>
      </c>
      <c r="C1291" s="606">
        <f t="shared" si="41"/>
        <v>425120</v>
      </c>
      <c r="D1291" s="607" t="s">
        <v>3326</v>
      </c>
      <c r="E1291" s="605" t="s">
        <v>3212</v>
      </c>
      <c r="F1291" s="607" t="s">
        <v>3213</v>
      </c>
      <c r="G1291" s="607" t="s">
        <v>1594</v>
      </c>
      <c r="H1291" s="607" t="s">
        <v>1594</v>
      </c>
      <c r="I1291" s="607" t="s">
        <v>3057</v>
      </c>
      <c r="J1291" s="608" t="str">
        <f t="shared" si="40"/>
        <v>Wholesale Trade</v>
      </c>
      <c r="N1291" s="822">
        <v>339991</v>
      </c>
      <c r="O1291" s="822" t="s">
        <v>3032</v>
      </c>
      <c r="P1291" s="823">
        <v>3053</v>
      </c>
      <c r="Q1291" s="823" t="s">
        <v>3034</v>
      </c>
    </row>
    <row r="1292" spans="2:17" s="608" customFormat="1" x14ac:dyDescent="0.25">
      <c r="B1292" s="605" t="s">
        <v>3325</v>
      </c>
      <c r="C1292" s="606">
        <f t="shared" si="41"/>
        <v>425120</v>
      </c>
      <c r="D1292" s="607" t="s">
        <v>3326</v>
      </c>
      <c r="E1292" s="605" t="s">
        <v>3216</v>
      </c>
      <c r="F1292" s="607" t="s">
        <v>3217</v>
      </c>
      <c r="G1292" s="607" t="s">
        <v>1594</v>
      </c>
      <c r="H1292" s="607" t="s">
        <v>1594</v>
      </c>
      <c r="I1292" s="607" t="s">
        <v>3057</v>
      </c>
      <c r="J1292" s="608" t="str">
        <f t="shared" si="40"/>
        <v>Wholesale Trade</v>
      </c>
      <c r="N1292" s="822">
        <v>339992</v>
      </c>
      <c r="O1292" s="822" t="s">
        <v>3036</v>
      </c>
      <c r="P1292" s="823">
        <v>3931</v>
      </c>
      <c r="Q1292" s="823" t="s">
        <v>3038</v>
      </c>
    </row>
    <row r="1293" spans="2:17" s="608" customFormat="1" x14ac:dyDescent="0.25">
      <c r="B1293" s="605" t="s">
        <v>3325</v>
      </c>
      <c r="C1293" s="606">
        <f t="shared" si="41"/>
        <v>425120</v>
      </c>
      <c r="D1293" s="607" t="s">
        <v>3326</v>
      </c>
      <c r="E1293" s="605" t="s">
        <v>3220</v>
      </c>
      <c r="F1293" s="607" t="s">
        <v>3221</v>
      </c>
      <c r="G1293" s="607" t="s">
        <v>1594</v>
      </c>
      <c r="H1293" s="607" t="s">
        <v>1594</v>
      </c>
      <c r="I1293" s="607" t="s">
        <v>3057</v>
      </c>
      <c r="J1293" s="608" t="str">
        <f t="shared" si="40"/>
        <v>Wholesale Trade</v>
      </c>
      <c r="N1293" s="822">
        <v>339993</v>
      </c>
      <c r="O1293" s="822" t="s">
        <v>3040</v>
      </c>
      <c r="P1293" s="823">
        <v>3131</v>
      </c>
      <c r="Q1293" s="823" t="s">
        <v>1777</v>
      </c>
    </row>
    <row r="1294" spans="2:17" s="608" customFormat="1" x14ac:dyDescent="0.25">
      <c r="B1294" s="605" t="s">
        <v>3325</v>
      </c>
      <c r="C1294" s="606">
        <f t="shared" si="41"/>
        <v>425120</v>
      </c>
      <c r="D1294" s="607" t="s">
        <v>3326</v>
      </c>
      <c r="E1294" s="605" t="s">
        <v>1647</v>
      </c>
      <c r="F1294" s="607" t="s">
        <v>1648</v>
      </c>
      <c r="G1294" s="607" t="s">
        <v>1594</v>
      </c>
      <c r="H1294" s="607" t="s">
        <v>1594</v>
      </c>
      <c r="I1294" s="607" t="s">
        <v>3057</v>
      </c>
      <c r="J1294" s="608" t="str">
        <f t="shared" si="40"/>
        <v>Wholesale Trade</v>
      </c>
      <c r="N1294" s="822">
        <v>339993</v>
      </c>
      <c r="O1294" s="822" t="s">
        <v>3040</v>
      </c>
      <c r="P1294" s="823">
        <v>3961</v>
      </c>
      <c r="Q1294" s="823" t="s">
        <v>3011</v>
      </c>
    </row>
    <row r="1295" spans="2:17" s="608" customFormat="1" x14ac:dyDescent="0.25">
      <c r="B1295" s="605" t="s">
        <v>3325</v>
      </c>
      <c r="C1295" s="606">
        <f t="shared" si="41"/>
        <v>425120</v>
      </c>
      <c r="D1295" s="607" t="s">
        <v>3326</v>
      </c>
      <c r="E1295" s="607" t="s">
        <v>3184</v>
      </c>
      <c r="F1295" s="607" t="s">
        <v>3185</v>
      </c>
      <c r="G1295" s="607" t="s">
        <v>1594</v>
      </c>
      <c r="H1295" s="607" t="s">
        <v>1594</v>
      </c>
      <c r="I1295" s="607" t="s">
        <v>1608</v>
      </c>
      <c r="J1295" s="608" t="str">
        <f t="shared" ref="J1295:J1358" si="42">PROPER(I1295)</f>
        <v>Textile Apparel Luxury Goods</v>
      </c>
      <c r="N1295" s="822">
        <v>339993</v>
      </c>
      <c r="O1295" s="822" t="s">
        <v>3040</v>
      </c>
      <c r="P1295" s="823">
        <v>3965</v>
      </c>
      <c r="Q1295" s="823" t="s">
        <v>3042</v>
      </c>
    </row>
    <row r="1296" spans="2:17" s="608" customFormat="1" x14ac:dyDescent="0.25">
      <c r="B1296" s="605" t="s">
        <v>3325</v>
      </c>
      <c r="C1296" s="606">
        <f t="shared" si="41"/>
        <v>425120</v>
      </c>
      <c r="D1296" s="607" t="s">
        <v>3326</v>
      </c>
      <c r="E1296" s="607" t="s">
        <v>3186</v>
      </c>
      <c r="F1296" s="607" t="s">
        <v>3187</v>
      </c>
      <c r="G1296" s="607" t="s">
        <v>1594</v>
      </c>
      <c r="H1296" s="607" t="s">
        <v>1594</v>
      </c>
      <c r="I1296" s="607" t="s">
        <v>1608</v>
      </c>
      <c r="J1296" s="608" t="str">
        <f t="shared" si="42"/>
        <v>Textile Apparel Luxury Goods</v>
      </c>
      <c r="N1296" s="822">
        <v>339994</v>
      </c>
      <c r="O1296" s="822" t="s">
        <v>3044</v>
      </c>
      <c r="P1296" s="823">
        <v>2392</v>
      </c>
      <c r="Q1296" s="823" t="s">
        <v>1664</v>
      </c>
    </row>
    <row r="1297" spans="2:17" s="608" customFormat="1" x14ac:dyDescent="0.25">
      <c r="B1297" s="605" t="s">
        <v>3325</v>
      </c>
      <c r="C1297" s="606">
        <f t="shared" si="41"/>
        <v>425120</v>
      </c>
      <c r="D1297" s="607" t="s">
        <v>3326</v>
      </c>
      <c r="E1297" s="605" t="s">
        <v>3232</v>
      </c>
      <c r="F1297" s="607" t="s">
        <v>3233</v>
      </c>
      <c r="G1297" s="607" t="s">
        <v>1594</v>
      </c>
      <c r="H1297" s="607" t="s">
        <v>1594</v>
      </c>
      <c r="I1297" s="607" t="s">
        <v>3057</v>
      </c>
      <c r="J1297" s="608" t="str">
        <f t="shared" si="42"/>
        <v>Wholesale Trade</v>
      </c>
      <c r="N1297" s="822">
        <v>339994</v>
      </c>
      <c r="O1297" s="822" t="s">
        <v>3044</v>
      </c>
      <c r="P1297" s="823">
        <v>3991</v>
      </c>
      <c r="Q1297" s="823" t="s">
        <v>3046</v>
      </c>
    </row>
    <row r="1298" spans="2:17" s="608" customFormat="1" x14ac:dyDescent="0.25">
      <c r="B1298" s="605" t="s">
        <v>3325</v>
      </c>
      <c r="C1298" s="606">
        <f t="shared" si="41"/>
        <v>425120</v>
      </c>
      <c r="D1298" s="607" t="s">
        <v>3326</v>
      </c>
      <c r="E1298" s="607" t="s">
        <v>3236</v>
      </c>
      <c r="F1298" s="607" t="s">
        <v>3237</v>
      </c>
      <c r="G1298" s="609" t="s">
        <v>837</v>
      </c>
      <c r="H1298" s="609" t="s">
        <v>837</v>
      </c>
      <c r="I1298" s="611" t="s">
        <v>838</v>
      </c>
      <c r="J1298" s="608" t="str">
        <f t="shared" si="42"/>
        <v>Food</v>
      </c>
      <c r="N1298" s="822">
        <v>339995</v>
      </c>
      <c r="O1298" s="822" t="s">
        <v>3048</v>
      </c>
      <c r="P1298" s="823">
        <v>3995</v>
      </c>
      <c r="Q1298" s="823" t="s">
        <v>3050</v>
      </c>
    </row>
    <row r="1299" spans="2:17" s="608" customFormat="1" x14ac:dyDescent="0.25">
      <c r="B1299" s="605" t="s">
        <v>3325</v>
      </c>
      <c r="C1299" s="606">
        <f t="shared" si="41"/>
        <v>425120</v>
      </c>
      <c r="D1299" s="607" t="s">
        <v>3326</v>
      </c>
      <c r="E1299" s="607" t="s">
        <v>3240</v>
      </c>
      <c r="F1299" s="607" t="s">
        <v>3241</v>
      </c>
      <c r="G1299" s="609" t="s">
        <v>837</v>
      </c>
      <c r="H1299" s="609" t="s">
        <v>837</v>
      </c>
      <c r="I1299" s="611" t="s">
        <v>838</v>
      </c>
      <c r="J1299" s="608" t="str">
        <f t="shared" si="42"/>
        <v>Food</v>
      </c>
      <c r="N1299" s="822">
        <v>339999</v>
      </c>
      <c r="O1299" s="822" t="s">
        <v>3052</v>
      </c>
      <c r="P1299" s="823">
        <v>2499</v>
      </c>
      <c r="Q1299" s="823" t="s">
        <v>1831</v>
      </c>
    </row>
    <row r="1300" spans="2:17" s="608" customFormat="1" x14ac:dyDescent="0.25">
      <c r="B1300" s="605" t="s">
        <v>3325</v>
      </c>
      <c r="C1300" s="606">
        <f t="shared" si="41"/>
        <v>425120</v>
      </c>
      <c r="D1300" s="607" t="s">
        <v>3326</v>
      </c>
      <c r="E1300" s="607" t="s">
        <v>3244</v>
      </c>
      <c r="F1300" s="607" t="s">
        <v>3245</v>
      </c>
      <c r="G1300" s="609" t="s">
        <v>837</v>
      </c>
      <c r="H1300" s="609" t="s">
        <v>837</v>
      </c>
      <c r="I1300" s="611" t="s">
        <v>838</v>
      </c>
      <c r="J1300" s="608" t="str">
        <f t="shared" si="42"/>
        <v>Food</v>
      </c>
      <c r="N1300" s="822">
        <v>339999</v>
      </c>
      <c r="O1300" s="822" t="s">
        <v>3052</v>
      </c>
      <c r="P1300" s="823">
        <v>3634</v>
      </c>
      <c r="Q1300" s="823" t="s">
        <v>2553</v>
      </c>
    </row>
    <row r="1301" spans="2:17" s="608" customFormat="1" x14ac:dyDescent="0.25">
      <c r="B1301" s="605" t="s">
        <v>3325</v>
      </c>
      <c r="C1301" s="606">
        <f t="shared" si="41"/>
        <v>425120</v>
      </c>
      <c r="D1301" s="607" t="s">
        <v>3326</v>
      </c>
      <c r="E1301" s="607" t="s">
        <v>3248</v>
      </c>
      <c r="F1301" s="607" t="s">
        <v>3249</v>
      </c>
      <c r="G1301" s="609" t="s">
        <v>837</v>
      </c>
      <c r="H1301" s="609" t="s">
        <v>837</v>
      </c>
      <c r="I1301" s="611" t="s">
        <v>838</v>
      </c>
      <c r="J1301" s="608" t="str">
        <f t="shared" si="42"/>
        <v>Food</v>
      </c>
      <c r="N1301" s="822">
        <v>339999</v>
      </c>
      <c r="O1301" s="822" t="s">
        <v>3052</v>
      </c>
      <c r="P1301" s="823">
        <v>3842</v>
      </c>
      <c r="Q1301" s="823" t="s">
        <v>1899</v>
      </c>
    </row>
    <row r="1302" spans="2:17" s="608" customFormat="1" x14ac:dyDescent="0.25">
      <c r="B1302" s="605" t="s">
        <v>3325</v>
      </c>
      <c r="C1302" s="606">
        <f t="shared" si="41"/>
        <v>425120</v>
      </c>
      <c r="D1302" s="607" t="s">
        <v>3326</v>
      </c>
      <c r="E1302" s="607" t="s">
        <v>3252</v>
      </c>
      <c r="F1302" s="607" t="s">
        <v>3253</v>
      </c>
      <c r="G1302" s="609" t="s">
        <v>837</v>
      </c>
      <c r="H1302" s="609" t="s">
        <v>837</v>
      </c>
      <c r="I1302" s="611" t="s">
        <v>838</v>
      </c>
      <c r="J1302" s="608" t="str">
        <f t="shared" si="42"/>
        <v>Food</v>
      </c>
      <c r="N1302" s="822">
        <v>339999</v>
      </c>
      <c r="O1302" s="822" t="s">
        <v>3052</v>
      </c>
      <c r="P1302" s="823">
        <v>3999</v>
      </c>
      <c r="Q1302" s="823" t="s">
        <v>1757</v>
      </c>
    </row>
    <row r="1303" spans="2:17" s="608" customFormat="1" x14ac:dyDescent="0.25">
      <c r="B1303" s="605" t="s">
        <v>3325</v>
      </c>
      <c r="C1303" s="606">
        <f t="shared" si="41"/>
        <v>425120</v>
      </c>
      <c r="D1303" s="607" t="s">
        <v>3326</v>
      </c>
      <c r="E1303" s="607" t="s">
        <v>3256</v>
      </c>
      <c r="F1303" s="607" t="s">
        <v>3257</v>
      </c>
      <c r="G1303" s="609" t="s">
        <v>837</v>
      </c>
      <c r="H1303" s="609" t="s">
        <v>837</v>
      </c>
      <c r="I1303" s="611" t="s">
        <v>838</v>
      </c>
      <c r="J1303" s="608" t="str">
        <f t="shared" si="42"/>
        <v>Food</v>
      </c>
      <c r="N1303" s="822">
        <v>423110</v>
      </c>
      <c r="O1303" s="822" t="s">
        <v>3054</v>
      </c>
      <c r="P1303" s="823">
        <v>5012</v>
      </c>
      <c r="Q1303" s="823" t="s">
        <v>3056</v>
      </c>
    </row>
    <row r="1304" spans="2:17" s="608" customFormat="1" x14ac:dyDescent="0.25">
      <c r="B1304" s="605" t="s">
        <v>3325</v>
      </c>
      <c r="C1304" s="606">
        <f t="shared" si="41"/>
        <v>425120</v>
      </c>
      <c r="D1304" s="607" t="s">
        <v>3326</v>
      </c>
      <c r="E1304" s="607" t="s">
        <v>1488</v>
      </c>
      <c r="F1304" s="607" t="s">
        <v>1489</v>
      </c>
      <c r="G1304" s="609" t="s">
        <v>837</v>
      </c>
      <c r="H1304" s="609" t="s">
        <v>837</v>
      </c>
      <c r="I1304" s="611" t="s">
        <v>838</v>
      </c>
      <c r="J1304" s="608" t="str">
        <f t="shared" si="42"/>
        <v>Food</v>
      </c>
      <c r="N1304" s="822">
        <v>423120</v>
      </c>
      <c r="O1304" s="822" t="s">
        <v>3059</v>
      </c>
      <c r="P1304" s="823">
        <v>5013</v>
      </c>
      <c r="Q1304" s="823" t="s">
        <v>3061</v>
      </c>
    </row>
    <row r="1305" spans="2:17" s="608" customFormat="1" x14ac:dyDescent="0.25">
      <c r="B1305" s="605" t="s">
        <v>3325</v>
      </c>
      <c r="C1305" s="606">
        <f t="shared" si="41"/>
        <v>425120</v>
      </c>
      <c r="D1305" s="607" t="s">
        <v>3326</v>
      </c>
      <c r="E1305" s="607" t="s">
        <v>3262</v>
      </c>
      <c r="F1305" s="607" t="s">
        <v>3263</v>
      </c>
      <c r="G1305" s="609" t="s">
        <v>837</v>
      </c>
      <c r="H1305" s="609" t="s">
        <v>837</v>
      </c>
      <c r="I1305" s="611" t="s">
        <v>838</v>
      </c>
      <c r="J1305" s="608" t="str">
        <f t="shared" si="42"/>
        <v>Food</v>
      </c>
      <c r="N1305" s="822">
        <v>423130</v>
      </c>
      <c r="O1305" s="822" t="s">
        <v>3063</v>
      </c>
      <c r="P1305" s="823">
        <v>5014</v>
      </c>
      <c r="Q1305" s="823" t="s">
        <v>3065</v>
      </c>
    </row>
    <row r="1306" spans="2:17" s="608" customFormat="1" x14ac:dyDescent="0.25">
      <c r="B1306" s="605" t="s">
        <v>3325</v>
      </c>
      <c r="C1306" s="606">
        <f t="shared" si="41"/>
        <v>425120</v>
      </c>
      <c r="D1306" s="607" t="s">
        <v>3326</v>
      </c>
      <c r="E1306" s="607" t="s">
        <v>1562</v>
      </c>
      <c r="F1306" s="607" t="s">
        <v>1563</v>
      </c>
      <c r="G1306" s="609" t="s">
        <v>837</v>
      </c>
      <c r="H1306" s="609" t="s">
        <v>837</v>
      </c>
      <c r="I1306" s="611" t="s">
        <v>838</v>
      </c>
      <c r="J1306" s="608" t="str">
        <f t="shared" si="42"/>
        <v>Food</v>
      </c>
      <c r="N1306" s="822">
        <v>423140</v>
      </c>
      <c r="O1306" s="822" t="s">
        <v>3067</v>
      </c>
      <c r="P1306" s="823">
        <v>5015</v>
      </c>
      <c r="Q1306" s="823" t="s">
        <v>3069</v>
      </c>
    </row>
    <row r="1307" spans="2:17" s="608" customFormat="1" x14ac:dyDescent="0.25">
      <c r="B1307" s="605" t="s">
        <v>3325</v>
      </c>
      <c r="C1307" s="606">
        <f t="shared" si="41"/>
        <v>425120</v>
      </c>
      <c r="D1307" s="607" t="s">
        <v>3326</v>
      </c>
      <c r="E1307" s="607" t="s">
        <v>3268</v>
      </c>
      <c r="F1307" s="607" t="s">
        <v>3269</v>
      </c>
      <c r="G1307" s="609" t="s">
        <v>837</v>
      </c>
      <c r="H1307" s="609" t="s">
        <v>837</v>
      </c>
      <c r="I1307" s="611" t="s">
        <v>838</v>
      </c>
      <c r="J1307" s="608" t="str">
        <f t="shared" si="42"/>
        <v>Food</v>
      </c>
      <c r="N1307" s="822">
        <v>423210</v>
      </c>
      <c r="O1307" s="822" t="s">
        <v>3071</v>
      </c>
      <c r="P1307" s="823">
        <v>5021</v>
      </c>
      <c r="Q1307" s="823" t="s">
        <v>3073</v>
      </c>
    </row>
    <row r="1308" spans="2:17" s="608" customFormat="1" x14ac:dyDescent="0.25">
      <c r="B1308" s="605" t="s">
        <v>3325</v>
      </c>
      <c r="C1308" s="606">
        <f t="shared" si="41"/>
        <v>425120</v>
      </c>
      <c r="D1308" s="607" t="s">
        <v>3326</v>
      </c>
      <c r="E1308" s="607" t="s">
        <v>3272</v>
      </c>
      <c r="F1308" s="607" t="s">
        <v>3273</v>
      </c>
      <c r="G1308" s="607" t="s">
        <v>837</v>
      </c>
      <c r="H1308" s="607" t="s">
        <v>837</v>
      </c>
      <c r="I1308" s="607" t="s">
        <v>1006</v>
      </c>
      <c r="J1308" s="608" t="str">
        <f t="shared" si="42"/>
        <v>Agriculture</v>
      </c>
      <c r="N1308" s="822">
        <v>423220</v>
      </c>
      <c r="O1308" s="822" t="s">
        <v>3075</v>
      </c>
      <c r="P1308" s="823">
        <v>5023</v>
      </c>
      <c r="Q1308" s="823" t="s">
        <v>3077</v>
      </c>
    </row>
    <row r="1309" spans="2:17" s="608" customFormat="1" x14ac:dyDescent="0.25">
      <c r="B1309" s="605" t="s">
        <v>3325</v>
      </c>
      <c r="C1309" s="606">
        <f t="shared" si="41"/>
        <v>425120</v>
      </c>
      <c r="D1309" s="607" t="s">
        <v>3326</v>
      </c>
      <c r="E1309" s="607" t="s">
        <v>3276</v>
      </c>
      <c r="F1309" s="607" t="s">
        <v>3277</v>
      </c>
      <c r="G1309" s="607" t="s">
        <v>837</v>
      </c>
      <c r="H1309" s="607" t="s">
        <v>837</v>
      </c>
      <c r="I1309" s="607" t="s">
        <v>1006</v>
      </c>
      <c r="J1309" s="608" t="str">
        <f t="shared" si="42"/>
        <v>Agriculture</v>
      </c>
      <c r="N1309" s="822">
        <v>423310</v>
      </c>
      <c r="O1309" s="822" t="s">
        <v>3079</v>
      </c>
      <c r="P1309" s="823">
        <v>5031</v>
      </c>
      <c r="Q1309" s="823" t="s">
        <v>3081</v>
      </c>
    </row>
    <row r="1310" spans="2:17" s="608" customFormat="1" x14ac:dyDescent="0.25">
      <c r="B1310" s="605" t="s">
        <v>3325</v>
      </c>
      <c r="C1310" s="606">
        <f t="shared" si="41"/>
        <v>425120</v>
      </c>
      <c r="D1310" s="607" t="s">
        <v>3326</v>
      </c>
      <c r="E1310" s="607" t="s">
        <v>3280</v>
      </c>
      <c r="F1310" s="607" t="s">
        <v>3281</v>
      </c>
      <c r="G1310" s="609" t="s">
        <v>1100</v>
      </c>
      <c r="H1310" s="607" t="s">
        <v>1100</v>
      </c>
      <c r="I1310" s="607" t="s">
        <v>1962</v>
      </c>
      <c r="J1310" s="608" t="str">
        <f t="shared" si="42"/>
        <v>Chemicals</v>
      </c>
      <c r="N1310" s="822">
        <v>423310</v>
      </c>
      <c r="O1310" s="822" t="s">
        <v>3079</v>
      </c>
      <c r="P1310" s="823">
        <v>5039</v>
      </c>
      <c r="Q1310" s="823" t="s">
        <v>3083</v>
      </c>
    </row>
    <row r="1311" spans="2:17" s="608" customFormat="1" x14ac:dyDescent="0.25">
      <c r="B1311" s="605" t="s">
        <v>3325</v>
      </c>
      <c r="C1311" s="606">
        <f t="shared" si="41"/>
        <v>425120</v>
      </c>
      <c r="D1311" s="607" t="s">
        <v>3326</v>
      </c>
      <c r="E1311" s="607" t="s">
        <v>3284</v>
      </c>
      <c r="F1311" s="607" t="s">
        <v>3285</v>
      </c>
      <c r="G1311" s="607" t="s">
        <v>837</v>
      </c>
      <c r="H1311" s="607" t="s">
        <v>837</v>
      </c>
      <c r="I1311" s="607" t="s">
        <v>1006</v>
      </c>
      <c r="J1311" s="608" t="str">
        <f t="shared" si="42"/>
        <v>Agriculture</v>
      </c>
      <c r="N1311" s="822">
        <v>423320</v>
      </c>
      <c r="O1311" s="822" t="s">
        <v>3085</v>
      </c>
      <c r="P1311" s="823">
        <v>5032</v>
      </c>
      <c r="Q1311" s="823" t="s">
        <v>3087</v>
      </c>
    </row>
    <row r="1312" spans="2:17" s="608" customFormat="1" x14ac:dyDescent="0.25">
      <c r="B1312" s="605" t="s">
        <v>3325</v>
      </c>
      <c r="C1312" s="606">
        <f t="shared" si="41"/>
        <v>425120</v>
      </c>
      <c r="D1312" s="607" t="s">
        <v>3326</v>
      </c>
      <c r="E1312" s="605" t="s">
        <v>3291</v>
      </c>
      <c r="F1312" s="607" t="s">
        <v>3292</v>
      </c>
      <c r="G1312" s="607" t="s">
        <v>1594</v>
      </c>
      <c r="H1312" s="607" t="s">
        <v>1594</v>
      </c>
      <c r="I1312" s="607" t="s">
        <v>3057</v>
      </c>
      <c r="J1312" s="608" t="str">
        <f t="shared" si="42"/>
        <v>Wholesale Trade</v>
      </c>
      <c r="N1312" s="822">
        <v>423330</v>
      </c>
      <c r="O1312" s="822" t="s">
        <v>3089</v>
      </c>
      <c r="P1312" s="823">
        <v>5033</v>
      </c>
      <c r="Q1312" s="823" t="s">
        <v>3091</v>
      </c>
    </row>
    <row r="1313" spans="2:17" s="608" customFormat="1" x14ac:dyDescent="0.25">
      <c r="B1313" s="605" t="s">
        <v>3325</v>
      </c>
      <c r="C1313" s="606">
        <f t="shared" si="41"/>
        <v>425120</v>
      </c>
      <c r="D1313" s="607" t="s">
        <v>3326</v>
      </c>
      <c r="E1313" s="607" t="s">
        <v>3295</v>
      </c>
      <c r="F1313" s="607" t="s">
        <v>3296</v>
      </c>
      <c r="G1313" s="607" t="s">
        <v>837</v>
      </c>
      <c r="H1313" s="607" t="s">
        <v>837</v>
      </c>
      <c r="I1313" s="607" t="s">
        <v>1537</v>
      </c>
      <c r="J1313" s="608" t="str">
        <f t="shared" si="42"/>
        <v>Beverage</v>
      </c>
      <c r="N1313" s="822">
        <v>423390</v>
      </c>
      <c r="O1313" s="822" t="s">
        <v>3093</v>
      </c>
      <c r="P1313" s="823">
        <v>5039</v>
      </c>
      <c r="Q1313" s="823" t="s">
        <v>3083</v>
      </c>
    </row>
    <row r="1314" spans="2:17" s="608" customFormat="1" x14ac:dyDescent="0.25">
      <c r="B1314" s="605" t="s">
        <v>3325</v>
      </c>
      <c r="C1314" s="606">
        <f t="shared" si="41"/>
        <v>425120</v>
      </c>
      <c r="D1314" s="607" t="s">
        <v>3326</v>
      </c>
      <c r="E1314" s="607" t="s">
        <v>3299</v>
      </c>
      <c r="F1314" s="607" t="s">
        <v>3300</v>
      </c>
      <c r="G1314" s="607" t="s">
        <v>837</v>
      </c>
      <c r="H1314" s="607" t="s">
        <v>837</v>
      </c>
      <c r="I1314" s="607" t="s">
        <v>1537</v>
      </c>
      <c r="J1314" s="608" t="str">
        <f t="shared" si="42"/>
        <v>Beverage</v>
      </c>
      <c r="N1314" s="822">
        <v>423410</v>
      </c>
      <c r="O1314" s="822" t="s">
        <v>3095</v>
      </c>
      <c r="P1314" s="823">
        <v>5043</v>
      </c>
      <c r="Q1314" s="823" t="s">
        <v>2074</v>
      </c>
    </row>
    <row r="1315" spans="2:17" s="608" customFormat="1" x14ac:dyDescent="0.25">
      <c r="B1315" s="605" t="s">
        <v>3325</v>
      </c>
      <c r="C1315" s="606">
        <f t="shared" si="41"/>
        <v>425120</v>
      </c>
      <c r="D1315" s="607" t="s">
        <v>3326</v>
      </c>
      <c r="E1315" s="607" t="s">
        <v>3303</v>
      </c>
      <c r="F1315" s="607" t="s">
        <v>3304</v>
      </c>
      <c r="G1315" s="607" t="s">
        <v>837</v>
      </c>
      <c r="H1315" s="607" t="s">
        <v>837</v>
      </c>
      <c r="I1315" s="607" t="s">
        <v>1006</v>
      </c>
      <c r="J1315" s="608" t="str">
        <f t="shared" si="42"/>
        <v>Agriculture</v>
      </c>
      <c r="N1315" s="822">
        <v>423420</v>
      </c>
      <c r="O1315" s="822" t="s">
        <v>3098</v>
      </c>
      <c r="P1315" s="823">
        <v>5044</v>
      </c>
      <c r="Q1315" s="823" t="s">
        <v>3100</v>
      </c>
    </row>
    <row r="1316" spans="2:17" s="608" customFormat="1" x14ac:dyDescent="0.25">
      <c r="B1316" s="605" t="s">
        <v>3325</v>
      </c>
      <c r="C1316" s="606">
        <f t="shared" si="41"/>
        <v>425120</v>
      </c>
      <c r="D1316" s="607" t="s">
        <v>3326</v>
      </c>
      <c r="E1316" s="605" t="s">
        <v>3307</v>
      </c>
      <c r="F1316" s="607" t="s">
        <v>3308</v>
      </c>
      <c r="G1316" s="607" t="s">
        <v>1594</v>
      </c>
      <c r="H1316" s="607" t="s">
        <v>1594</v>
      </c>
      <c r="I1316" s="607" t="s">
        <v>3057</v>
      </c>
      <c r="J1316" s="608" t="str">
        <f t="shared" si="42"/>
        <v>Wholesale Trade</v>
      </c>
      <c r="N1316" s="822">
        <v>423430</v>
      </c>
      <c r="O1316" s="822" t="s">
        <v>3102</v>
      </c>
      <c r="P1316" s="823">
        <v>5045</v>
      </c>
      <c r="Q1316" s="823" t="s">
        <v>3104</v>
      </c>
    </row>
    <row r="1317" spans="2:17" s="608" customFormat="1" x14ac:dyDescent="0.25">
      <c r="B1317" s="605" t="s">
        <v>3325</v>
      </c>
      <c r="C1317" s="606">
        <f t="shared" si="41"/>
        <v>425120</v>
      </c>
      <c r="D1317" s="607" t="s">
        <v>3326</v>
      </c>
      <c r="E1317" s="607" t="s">
        <v>3311</v>
      </c>
      <c r="F1317" s="607" t="s">
        <v>3312</v>
      </c>
      <c r="G1317" s="607" t="s">
        <v>837</v>
      </c>
      <c r="H1317" s="607" t="s">
        <v>837</v>
      </c>
      <c r="I1317" s="607" t="s">
        <v>1006</v>
      </c>
      <c r="J1317" s="608" t="str">
        <f t="shared" si="42"/>
        <v>Agriculture</v>
      </c>
      <c r="N1317" s="822">
        <v>423440</v>
      </c>
      <c r="O1317" s="822" t="s">
        <v>3106</v>
      </c>
      <c r="P1317" s="823">
        <v>5046</v>
      </c>
      <c r="Q1317" s="823" t="s">
        <v>3108</v>
      </c>
    </row>
    <row r="1318" spans="2:17" s="608" customFormat="1" x14ac:dyDescent="0.25">
      <c r="B1318" s="605" t="s">
        <v>3325</v>
      </c>
      <c r="C1318" s="606">
        <f t="shared" si="41"/>
        <v>425120</v>
      </c>
      <c r="D1318" s="607" t="s">
        <v>3326</v>
      </c>
      <c r="E1318" s="607" t="s">
        <v>3315</v>
      </c>
      <c r="F1318" s="607" t="s">
        <v>3316</v>
      </c>
      <c r="G1318" s="607" t="s">
        <v>837</v>
      </c>
      <c r="H1318" s="607" t="s">
        <v>837</v>
      </c>
      <c r="I1318" s="607" t="s">
        <v>919</v>
      </c>
      <c r="J1318" s="608" t="str">
        <f t="shared" si="42"/>
        <v>Tobacco</v>
      </c>
      <c r="N1318" s="822">
        <v>423450</v>
      </c>
      <c r="O1318" s="822" t="s">
        <v>3110</v>
      </c>
      <c r="P1318" s="823">
        <v>5047</v>
      </c>
      <c r="Q1318" s="823" t="s">
        <v>3112</v>
      </c>
    </row>
    <row r="1319" spans="2:17" s="608" customFormat="1" x14ac:dyDescent="0.25">
      <c r="B1319" s="605" t="s">
        <v>3325</v>
      </c>
      <c r="C1319" s="606">
        <f t="shared" si="41"/>
        <v>425120</v>
      </c>
      <c r="D1319" s="607" t="s">
        <v>3326</v>
      </c>
      <c r="E1319" s="605" t="s">
        <v>3319</v>
      </c>
      <c r="F1319" s="607" t="s">
        <v>3320</v>
      </c>
      <c r="G1319" s="607" t="s">
        <v>1594</v>
      </c>
      <c r="H1319" s="607" t="s">
        <v>1594</v>
      </c>
      <c r="I1319" s="607" t="s">
        <v>3057</v>
      </c>
      <c r="J1319" s="608" t="str">
        <f t="shared" si="42"/>
        <v>Wholesale Trade</v>
      </c>
      <c r="N1319" s="822">
        <v>423460</v>
      </c>
      <c r="O1319" s="822" t="s">
        <v>3114</v>
      </c>
      <c r="P1319" s="823">
        <v>5048</v>
      </c>
      <c r="Q1319" s="823" t="s">
        <v>2991</v>
      </c>
    </row>
    <row r="1320" spans="2:17" s="608" customFormat="1" x14ac:dyDescent="0.25">
      <c r="B1320" s="605" t="s">
        <v>3325</v>
      </c>
      <c r="C1320" s="606">
        <f t="shared" si="41"/>
        <v>425120</v>
      </c>
      <c r="D1320" s="607" t="s">
        <v>3326</v>
      </c>
      <c r="E1320" s="605" t="s">
        <v>3224</v>
      </c>
      <c r="F1320" s="607" t="s">
        <v>3225</v>
      </c>
      <c r="G1320" s="607" t="s">
        <v>1594</v>
      </c>
      <c r="H1320" s="607" t="s">
        <v>1594</v>
      </c>
      <c r="I1320" s="607" t="s">
        <v>3057</v>
      </c>
      <c r="J1320" s="608" t="str">
        <f t="shared" si="42"/>
        <v>Wholesale Trade</v>
      </c>
      <c r="N1320" s="822">
        <v>423490</v>
      </c>
      <c r="O1320" s="822" t="s">
        <v>3117</v>
      </c>
      <c r="P1320" s="823">
        <v>5049</v>
      </c>
      <c r="Q1320" s="823" t="s">
        <v>3119</v>
      </c>
    </row>
    <row r="1321" spans="2:17" s="608" customFormat="1" x14ac:dyDescent="0.25">
      <c r="B1321" s="605" t="s">
        <v>3325</v>
      </c>
      <c r="C1321" s="606">
        <f t="shared" si="41"/>
        <v>425120</v>
      </c>
      <c r="D1321" s="607" t="s">
        <v>3326</v>
      </c>
      <c r="E1321" s="605" t="s">
        <v>1588</v>
      </c>
      <c r="F1321" s="607" t="s">
        <v>1589</v>
      </c>
      <c r="G1321" s="607" t="s">
        <v>1594</v>
      </c>
      <c r="H1321" s="607" t="s">
        <v>1594</v>
      </c>
      <c r="I1321" s="607" t="s">
        <v>3057</v>
      </c>
      <c r="J1321" s="608" t="str">
        <f t="shared" si="42"/>
        <v>Wholesale Trade</v>
      </c>
      <c r="N1321" s="822">
        <v>423510</v>
      </c>
      <c r="O1321" s="822" t="s">
        <v>3121</v>
      </c>
      <c r="P1321" s="823">
        <v>5051</v>
      </c>
      <c r="Q1321" s="823" t="s">
        <v>3123</v>
      </c>
    </row>
    <row r="1322" spans="2:17" s="608" customFormat="1" x14ac:dyDescent="0.25">
      <c r="B1322" s="605" t="s">
        <v>3327</v>
      </c>
      <c r="C1322" s="606">
        <f t="shared" si="41"/>
        <v>441110</v>
      </c>
      <c r="D1322" s="607" t="s">
        <v>3328</v>
      </c>
      <c r="E1322" s="607" t="s">
        <v>3329</v>
      </c>
      <c r="F1322" s="607" t="s">
        <v>3330</v>
      </c>
      <c r="G1322" s="607" t="s">
        <v>1594</v>
      </c>
      <c r="H1322" s="607" t="s">
        <v>1594</v>
      </c>
      <c r="I1322" s="607" t="s">
        <v>2842</v>
      </c>
      <c r="J1322" s="608" t="str">
        <f t="shared" si="42"/>
        <v>Automobile</v>
      </c>
      <c r="N1322" s="822">
        <v>423520</v>
      </c>
      <c r="O1322" s="822" t="s">
        <v>3125</v>
      </c>
      <c r="P1322" s="823">
        <v>5052</v>
      </c>
      <c r="Q1322" s="823" t="s">
        <v>3127</v>
      </c>
    </row>
    <row r="1323" spans="2:17" s="608" customFormat="1" x14ac:dyDescent="0.25">
      <c r="B1323" s="605" t="s">
        <v>3331</v>
      </c>
      <c r="C1323" s="606">
        <f t="shared" si="41"/>
        <v>441120</v>
      </c>
      <c r="D1323" s="607" t="s">
        <v>3332</v>
      </c>
      <c r="E1323" s="607" t="s">
        <v>3333</v>
      </c>
      <c r="F1323" s="607" t="s">
        <v>3332</v>
      </c>
      <c r="G1323" s="607" t="s">
        <v>1594</v>
      </c>
      <c r="H1323" s="607" t="s">
        <v>1594</v>
      </c>
      <c r="I1323" s="607" t="s">
        <v>2842</v>
      </c>
      <c r="J1323" s="608" t="str">
        <f t="shared" si="42"/>
        <v>Automobile</v>
      </c>
      <c r="N1323" s="822">
        <v>423610</v>
      </c>
      <c r="O1323" s="822" t="s">
        <v>3129</v>
      </c>
      <c r="P1323" s="823">
        <v>5063</v>
      </c>
      <c r="Q1323" s="823" t="s">
        <v>3131</v>
      </c>
    </row>
    <row r="1324" spans="2:17" s="608" customFormat="1" x14ac:dyDescent="0.25">
      <c r="B1324" s="605" t="s">
        <v>3334</v>
      </c>
      <c r="C1324" s="606">
        <f t="shared" si="41"/>
        <v>441210</v>
      </c>
      <c r="D1324" s="607" t="s">
        <v>3335</v>
      </c>
      <c r="E1324" s="607" t="s">
        <v>3336</v>
      </c>
      <c r="F1324" s="607" t="s">
        <v>3335</v>
      </c>
      <c r="G1324" s="607" t="s">
        <v>1594</v>
      </c>
      <c r="H1324" s="607" t="s">
        <v>1594</v>
      </c>
      <c r="I1324" s="607" t="s">
        <v>2944</v>
      </c>
      <c r="J1324" s="608" t="str">
        <f t="shared" si="42"/>
        <v>Retail Trade</v>
      </c>
      <c r="N1324" s="822">
        <v>423620</v>
      </c>
      <c r="O1324" s="822" t="s">
        <v>3133</v>
      </c>
      <c r="P1324" s="823">
        <v>5064</v>
      </c>
      <c r="Q1324" s="823" t="s">
        <v>3135</v>
      </c>
    </row>
    <row r="1325" spans="2:17" s="608" customFormat="1" x14ac:dyDescent="0.25">
      <c r="B1325" s="605" t="s">
        <v>3337</v>
      </c>
      <c r="C1325" s="606">
        <f t="shared" si="41"/>
        <v>441222</v>
      </c>
      <c r="D1325" s="607" t="s">
        <v>3338</v>
      </c>
      <c r="E1325" s="607" t="s">
        <v>3339</v>
      </c>
      <c r="F1325" s="607" t="s">
        <v>3338</v>
      </c>
      <c r="G1325" s="607" t="s">
        <v>1594</v>
      </c>
      <c r="H1325" s="607" t="s">
        <v>1594</v>
      </c>
      <c r="I1325" s="607" t="s">
        <v>2944</v>
      </c>
      <c r="J1325" s="608" t="str">
        <f t="shared" si="42"/>
        <v>Retail Trade</v>
      </c>
      <c r="N1325" s="822">
        <v>423620</v>
      </c>
      <c r="O1325" s="822" t="s">
        <v>3133</v>
      </c>
      <c r="P1325" s="823">
        <v>5074</v>
      </c>
      <c r="Q1325" s="823" t="s">
        <v>3137</v>
      </c>
    </row>
    <row r="1326" spans="2:17" s="608" customFormat="1" x14ac:dyDescent="0.25">
      <c r="B1326" s="605" t="s">
        <v>3340</v>
      </c>
      <c r="C1326" s="606">
        <f t="shared" si="41"/>
        <v>441228</v>
      </c>
      <c r="D1326" s="607" t="s">
        <v>3341</v>
      </c>
      <c r="E1326" s="607" t="s">
        <v>3342</v>
      </c>
      <c r="F1326" s="607" t="s">
        <v>3343</v>
      </c>
      <c r="G1326" s="607" t="s">
        <v>1594</v>
      </c>
      <c r="H1326" s="607" t="s">
        <v>1594</v>
      </c>
      <c r="I1326" s="607" t="s">
        <v>2944</v>
      </c>
      <c r="J1326" s="608" t="str">
        <f t="shared" si="42"/>
        <v>Retail Trade</v>
      </c>
      <c r="N1326" s="822">
        <v>423690</v>
      </c>
      <c r="O1326" s="822" t="s">
        <v>3139</v>
      </c>
      <c r="P1326" s="823">
        <v>5065</v>
      </c>
      <c r="Q1326" s="823" t="s">
        <v>3141</v>
      </c>
    </row>
    <row r="1327" spans="2:17" s="608" customFormat="1" x14ac:dyDescent="0.25">
      <c r="B1327" s="605" t="s">
        <v>3340</v>
      </c>
      <c r="C1327" s="606">
        <f t="shared" si="41"/>
        <v>441228</v>
      </c>
      <c r="D1327" s="607" t="s">
        <v>3341</v>
      </c>
      <c r="E1327" s="607" t="s">
        <v>3344</v>
      </c>
      <c r="F1327" s="607" t="s">
        <v>3345</v>
      </c>
      <c r="G1327" s="607" t="s">
        <v>1594</v>
      </c>
      <c r="H1327" s="607" t="s">
        <v>1594</v>
      </c>
      <c r="I1327" s="607" t="s">
        <v>2944</v>
      </c>
      <c r="J1327" s="608" t="str">
        <f t="shared" si="42"/>
        <v>Retail Trade</v>
      </c>
      <c r="N1327" s="822">
        <v>423710</v>
      </c>
      <c r="O1327" s="822" t="s">
        <v>3143</v>
      </c>
      <c r="P1327" s="823">
        <v>5072</v>
      </c>
      <c r="Q1327" s="823" t="s">
        <v>3145</v>
      </c>
    </row>
    <row r="1328" spans="2:17" s="608" customFormat="1" x14ac:dyDescent="0.25">
      <c r="B1328" s="605" t="s">
        <v>3346</v>
      </c>
      <c r="C1328" s="606">
        <f t="shared" si="41"/>
        <v>441310</v>
      </c>
      <c r="D1328" s="607" t="s">
        <v>3347</v>
      </c>
      <c r="E1328" s="607" t="s">
        <v>3060</v>
      </c>
      <c r="F1328" s="607" t="s">
        <v>3061</v>
      </c>
      <c r="G1328" s="607" t="s">
        <v>1594</v>
      </c>
      <c r="H1328" s="607" t="s">
        <v>1594</v>
      </c>
      <c r="I1328" s="607" t="s">
        <v>2944</v>
      </c>
      <c r="J1328" s="608" t="str">
        <f t="shared" si="42"/>
        <v>Retail Trade</v>
      </c>
      <c r="N1328" s="822">
        <v>423720</v>
      </c>
      <c r="O1328" s="822" t="s">
        <v>3147</v>
      </c>
      <c r="P1328" s="823">
        <v>5064</v>
      </c>
      <c r="Q1328" s="823" t="s">
        <v>3135</v>
      </c>
    </row>
    <row r="1329" spans="2:17" s="608" customFormat="1" x14ac:dyDescent="0.25">
      <c r="B1329" s="605" t="s">
        <v>3346</v>
      </c>
      <c r="C1329" s="606">
        <f t="shared" si="41"/>
        <v>441310</v>
      </c>
      <c r="D1329" s="607" t="s">
        <v>3347</v>
      </c>
      <c r="E1329" s="607" t="s">
        <v>3068</v>
      </c>
      <c r="F1329" s="607" t="s">
        <v>3069</v>
      </c>
      <c r="G1329" s="607" t="s">
        <v>1594</v>
      </c>
      <c r="H1329" s="607" t="s">
        <v>1594</v>
      </c>
      <c r="I1329" s="607" t="s">
        <v>2944</v>
      </c>
      <c r="J1329" s="608" t="str">
        <f t="shared" si="42"/>
        <v>Retail Trade</v>
      </c>
      <c r="N1329" s="822">
        <v>423720</v>
      </c>
      <c r="O1329" s="822" t="s">
        <v>3147</v>
      </c>
      <c r="P1329" s="823">
        <v>5074</v>
      </c>
      <c r="Q1329" s="823" t="s">
        <v>3137</v>
      </c>
    </row>
    <row r="1330" spans="2:17" s="608" customFormat="1" x14ac:dyDescent="0.25">
      <c r="B1330" s="605" t="s">
        <v>3346</v>
      </c>
      <c r="C1330" s="606">
        <f t="shared" si="41"/>
        <v>441310</v>
      </c>
      <c r="D1330" s="607" t="s">
        <v>3347</v>
      </c>
      <c r="E1330" s="607" t="s">
        <v>3348</v>
      </c>
      <c r="F1330" s="607" t="s">
        <v>3349</v>
      </c>
      <c r="G1330" s="607" t="s">
        <v>1594</v>
      </c>
      <c r="H1330" s="607" t="s">
        <v>1594</v>
      </c>
      <c r="I1330" s="607" t="s">
        <v>2842</v>
      </c>
      <c r="J1330" s="608" t="str">
        <f t="shared" si="42"/>
        <v>Automobile</v>
      </c>
      <c r="N1330" s="822">
        <v>423730</v>
      </c>
      <c r="O1330" s="822" t="s">
        <v>3149</v>
      </c>
      <c r="P1330" s="823">
        <v>5075</v>
      </c>
      <c r="Q1330" s="823" t="s">
        <v>3151</v>
      </c>
    </row>
    <row r="1331" spans="2:17" s="608" customFormat="1" x14ac:dyDescent="0.25">
      <c r="B1331" s="605" t="s">
        <v>3346</v>
      </c>
      <c r="C1331" s="606">
        <f t="shared" si="41"/>
        <v>441310</v>
      </c>
      <c r="D1331" s="607" t="s">
        <v>3347</v>
      </c>
      <c r="E1331" s="607" t="s">
        <v>3350</v>
      </c>
      <c r="F1331" s="607" t="s">
        <v>3351</v>
      </c>
      <c r="G1331" s="607" t="s">
        <v>1594</v>
      </c>
      <c r="H1331" s="607" t="s">
        <v>1594</v>
      </c>
      <c r="I1331" s="607" t="s">
        <v>2842</v>
      </c>
      <c r="J1331" s="608" t="str">
        <f t="shared" si="42"/>
        <v>Automobile</v>
      </c>
      <c r="N1331" s="822">
        <v>423740</v>
      </c>
      <c r="O1331" s="822" t="s">
        <v>3153</v>
      </c>
      <c r="P1331" s="823">
        <v>5078</v>
      </c>
      <c r="Q1331" s="823" t="s">
        <v>3155</v>
      </c>
    </row>
    <row r="1332" spans="2:17" s="608" customFormat="1" x14ac:dyDescent="0.25">
      <c r="B1332" s="605" t="s">
        <v>3352</v>
      </c>
      <c r="C1332" s="606">
        <f t="shared" si="41"/>
        <v>441320</v>
      </c>
      <c r="D1332" s="607" t="s">
        <v>3353</v>
      </c>
      <c r="E1332" s="607" t="s">
        <v>3064</v>
      </c>
      <c r="F1332" s="607" t="s">
        <v>3065</v>
      </c>
      <c r="G1332" s="607" t="s">
        <v>1594</v>
      </c>
      <c r="H1332" s="607" t="s">
        <v>1594</v>
      </c>
      <c r="I1332" s="607" t="s">
        <v>2944</v>
      </c>
      <c r="J1332" s="608" t="str">
        <f t="shared" si="42"/>
        <v>Retail Trade</v>
      </c>
      <c r="N1332" s="822">
        <v>423810</v>
      </c>
      <c r="O1332" s="822" t="s">
        <v>3157</v>
      </c>
      <c r="P1332" s="823">
        <v>5082</v>
      </c>
      <c r="Q1332" s="823" t="s">
        <v>3159</v>
      </c>
    </row>
    <row r="1333" spans="2:17" s="608" customFormat="1" x14ac:dyDescent="0.25">
      <c r="B1333" s="605" t="s">
        <v>3352</v>
      </c>
      <c r="C1333" s="606">
        <f t="shared" si="41"/>
        <v>441320</v>
      </c>
      <c r="D1333" s="607" t="s">
        <v>3353</v>
      </c>
      <c r="E1333" s="607" t="s">
        <v>3348</v>
      </c>
      <c r="F1333" s="607" t="s">
        <v>3349</v>
      </c>
      <c r="G1333" s="607" t="s">
        <v>1594</v>
      </c>
      <c r="H1333" s="607" t="s">
        <v>1594</v>
      </c>
      <c r="I1333" s="607" t="s">
        <v>2944</v>
      </c>
      <c r="J1333" s="608" t="str">
        <f t="shared" si="42"/>
        <v>Retail Trade</v>
      </c>
      <c r="N1333" s="822">
        <v>423820</v>
      </c>
      <c r="O1333" s="822" t="s">
        <v>3161</v>
      </c>
      <c r="P1333" s="823">
        <v>5083</v>
      </c>
      <c r="Q1333" s="823" t="s">
        <v>3163</v>
      </c>
    </row>
    <row r="1334" spans="2:17" s="608" customFormat="1" x14ac:dyDescent="0.25">
      <c r="B1334" s="605" t="s">
        <v>3354</v>
      </c>
      <c r="C1334" s="606">
        <f t="shared" si="41"/>
        <v>442110</v>
      </c>
      <c r="D1334" s="607" t="s">
        <v>2943</v>
      </c>
      <c r="E1334" s="607" t="s">
        <v>3072</v>
      </c>
      <c r="F1334" s="607" t="s">
        <v>3073</v>
      </c>
      <c r="G1334" s="607" t="s">
        <v>1594</v>
      </c>
      <c r="H1334" s="607" t="s">
        <v>1594</v>
      </c>
      <c r="I1334" s="607" t="s">
        <v>2944</v>
      </c>
      <c r="J1334" s="608" t="str">
        <f t="shared" si="42"/>
        <v>Retail Trade</v>
      </c>
      <c r="N1334" s="822">
        <v>423830</v>
      </c>
      <c r="O1334" s="822" t="s">
        <v>3165</v>
      </c>
      <c r="P1334" s="823">
        <v>5084</v>
      </c>
      <c r="Q1334" s="823" t="s">
        <v>3167</v>
      </c>
    </row>
    <row r="1335" spans="2:17" s="608" customFormat="1" x14ac:dyDescent="0.25">
      <c r="B1335" s="605" t="s">
        <v>3354</v>
      </c>
      <c r="C1335" s="606">
        <f t="shared" si="41"/>
        <v>442110</v>
      </c>
      <c r="D1335" s="607" t="s">
        <v>2943</v>
      </c>
      <c r="E1335" s="607" t="s">
        <v>2942</v>
      </c>
      <c r="F1335" s="607" t="s">
        <v>2943</v>
      </c>
      <c r="G1335" s="607" t="s">
        <v>1594</v>
      </c>
      <c r="H1335" s="607" t="s">
        <v>1594</v>
      </c>
      <c r="I1335" s="607" t="s">
        <v>2944</v>
      </c>
      <c r="J1335" s="608" t="str">
        <f t="shared" si="42"/>
        <v>Retail Trade</v>
      </c>
      <c r="N1335" s="822">
        <v>423830</v>
      </c>
      <c r="O1335" s="822" t="s">
        <v>3165</v>
      </c>
      <c r="P1335" s="823">
        <v>5085</v>
      </c>
      <c r="Q1335" s="823" t="s">
        <v>3169</v>
      </c>
    </row>
    <row r="1336" spans="2:17" s="608" customFormat="1" x14ac:dyDescent="0.25">
      <c r="B1336" s="605" t="s">
        <v>3355</v>
      </c>
      <c r="C1336" s="606">
        <f t="shared" si="41"/>
        <v>442210</v>
      </c>
      <c r="D1336" s="607" t="s">
        <v>3356</v>
      </c>
      <c r="E1336" s="607" t="s">
        <v>3076</v>
      </c>
      <c r="F1336" s="607" t="s">
        <v>3077</v>
      </c>
      <c r="G1336" s="607" t="s">
        <v>1594</v>
      </c>
      <c r="H1336" s="607" t="s">
        <v>1594</v>
      </c>
      <c r="I1336" s="607" t="s">
        <v>2944</v>
      </c>
      <c r="J1336" s="608" t="str">
        <f t="shared" si="42"/>
        <v>Retail Trade</v>
      </c>
      <c r="N1336" s="822">
        <v>423840</v>
      </c>
      <c r="O1336" s="822" t="s">
        <v>3171</v>
      </c>
      <c r="P1336" s="823">
        <v>5085</v>
      </c>
      <c r="Q1336" s="823" t="s">
        <v>3169</v>
      </c>
    </row>
    <row r="1337" spans="2:17" s="608" customFormat="1" x14ac:dyDescent="0.25">
      <c r="B1337" s="605" t="s">
        <v>3355</v>
      </c>
      <c r="C1337" s="606">
        <f t="shared" si="41"/>
        <v>442210</v>
      </c>
      <c r="D1337" s="607" t="s">
        <v>3356</v>
      </c>
      <c r="E1337" s="607" t="s">
        <v>3357</v>
      </c>
      <c r="F1337" s="607" t="s">
        <v>3356</v>
      </c>
      <c r="G1337" s="607" t="s">
        <v>1594</v>
      </c>
      <c r="H1337" s="607" t="s">
        <v>1594</v>
      </c>
      <c r="I1337" s="607" t="s">
        <v>2944</v>
      </c>
      <c r="J1337" s="608" t="str">
        <f t="shared" si="42"/>
        <v>Retail Trade</v>
      </c>
      <c r="N1337" s="822">
        <v>423850</v>
      </c>
      <c r="O1337" s="822" t="s">
        <v>3173</v>
      </c>
      <c r="P1337" s="823">
        <v>5087</v>
      </c>
      <c r="Q1337" s="823" t="s">
        <v>3175</v>
      </c>
    </row>
    <row r="1338" spans="2:17" s="608" customFormat="1" x14ac:dyDescent="0.25">
      <c r="B1338" s="605" t="s">
        <v>3358</v>
      </c>
      <c r="C1338" s="606">
        <f t="shared" si="41"/>
        <v>442291</v>
      </c>
      <c r="D1338" s="607" t="s">
        <v>3359</v>
      </c>
      <c r="E1338" s="607" t="s">
        <v>1665</v>
      </c>
      <c r="F1338" s="607" t="s">
        <v>1666</v>
      </c>
      <c r="G1338" s="607" t="s">
        <v>1594</v>
      </c>
      <c r="H1338" s="607" t="s">
        <v>1594</v>
      </c>
      <c r="I1338" s="607" t="s">
        <v>2944</v>
      </c>
      <c r="J1338" s="608" t="str">
        <f t="shared" si="42"/>
        <v>Retail Trade</v>
      </c>
      <c r="N1338" s="822">
        <v>423860</v>
      </c>
      <c r="O1338" s="822" t="s">
        <v>3177</v>
      </c>
      <c r="P1338" s="823">
        <v>5088</v>
      </c>
      <c r="Q1338" s="823" t="s">
        <v>3179</v>
      </c>
    </row>
    <row r="1339" spans="2:17" s="608" customFormat="1" x14ac:dyDescent="0.25">
      <c r="B1339" s="605" t="s">
        <v>3358</v>
      </c>
      <c r="C1339" s="606">
        <f t="shared" si="41"/>
        <v>442291</v>
      </c>
      <c r="D1339" s="607" t="s">
        <v>3359</v>
      </c>
      <c r="E1339" s="607" t="s">
        <v>2152</v>
      </c>
      <c r="F1339" s="607" t="s">
        <v>2153</v>
      </c>
      <c r="G1339" s="607" t="s">
        <v>1594</v>
      </c>
      <c r="H1339" s="607" t="s">
        <v>1594</v>
      </c>
      <c r="I1339" s="607" t="s">
        <v>2944</v>
      </c>
      <c r="J1339" s="608" t="str">
        <f t="shared" si="42"/>
        <v>Retail Trade</v>
      </c>
      <c r="N1339" s="822">
        <v>423910</v>
      </c>
      <c r="O1339" s="822" t="s">
        <v>3181</v>
      </c>
      <c r="P1339" s="823">
        <v>5091</v>
      </c>
      <c r="Q1339" s="823" t="s">
        <v>3183</v>
      </c>
    </row>
    <row r="1340" spans="2:17" s="608" customFormat="1" x14ac:dyDescent="0.25">
      <c r="B1340" s="605" t="s">
        <v>3360</v>
      </c>
      <c r="C1340" s="606">
        <f t="shared" si="41"/>
        <v>442299</v>
      </c>
      <c r="D1340" s="607" t="s">
        <v>3361</v>
      </c>
      <c r="E1340" s="607" t="s">
        <v>2152</v>
      </c>
      <c r="F1340" s="607" t="s">
        <v>2153</v>
      </c>
      <c r="G1340" s="607" t="s">
        <v>1594</v>
      </c>
      <c r="H1340" s="607" t="s">
        <v>1594</v>
      </c>
      <c r="I1340" s="607" t="s">
        <v>2944</v>
      </c>
      <c r="J1340" s="608" t="str">
        <f t="shared" si="42"/>
        <v>Retail Trade</v>
      </c>
      <c r="N1340" s="822">
        <v>423910</v>
      </c>
      <c r="O1340" s="822" t="s">
        <v>3181</v>
      </c>
      <c r="P1340" s="823">
        <v>5136</v>
      </c>
      <c r="Q1340" s="823" t="s">
        <v>3185</v>
      </c>
    </row>
    <row r="1341" spans="2:17" s="608" customFormat="1" x14ac:dyDescent="0.25">
      <c r="B1341" s="605" t="s">
        <v>3360</v>
      </c>
      <c r="C1341" s="606">
        <f t="shared" si="41"/>
        <v>442299</v>
      </c>
      <c r="D1341" s="607" t="s">
        <v>3361</v>
      </c>
      <c r="E1341" s="607" t="s">
        <v>1070</v>
      </c>
      <c r="F1341" s="607" t="s">
        <v>1071</v>
      </c>
      <c r="G1341" s="607" t="s">
        <v>1594</v>
      </c>
      <c r="H1341" s="607" t="s">
        <v>1594</v>
      </c>
      <c r="I1341" s="607" t="s">
        <v>2944</v>
      </c>
      <c r="J1341" s="608" t="str">
        <f t="shared" si="42"/>
        <v>Retail Trade</v>
      </c>
      <c r="N1341" s="822">
        <v>423910</v>
      </c>
      <c r="O1341" s="822" t="s">
        <v>3181</v>
      </c>
      <c r="P1341" s="823">
        <v>5137</v>
      </c>
      <c r="Q1341" s="823" t="s">
        <v>3187</v>
      </c>
    </row>
    <row r="1342" spans="2:17" s="608" customFormat="1" x14ac:dyDescent="0.25">
      <c r="B1342" s="605" t="s">
        <v>3362</v>
      </c>
      <c r="C1342" s="606">
        <f t="shared" si="41"/>
        <v>443141</v>
      </c>
      <c r="D1342" s="607" t="s">
        <v>3363</v>
      </c>
      <c r="E1342" s="607" t="s">
        <v>3134</v>
      </c>
      <c r="F1342" s="607" t="s">
        <v>3135</v>
      </c>
      <c r="G1342" s="607" t="s">
        <v>1594</v>
      </c>
      <c r="H1342" s="607" t="s">
        <v>1594</v>
      </c>
      <c r="I1342" s="611" t="s">
        <v>2673</v>
      </c>
      <c r="J1342" s="608" t="str">
        <f t="shared" si="42"/>
        <v>Household Appliances</v>
      </c>
      <c r="N1342" s="822">
        <v>423920</v>
      </c>
      <c r="O1342" s="822" t="s">
        <v>3189</v>
      </c>
      <c r="P1342" s="823">
        <v>5092</v>
      </c>
      <c r="Q1342" s="823" t="s">
        <v>3191</v>
      </c>
    </row>
    <row r="1343" spans="2:17" s="608" customFormat="1" x14ac:dyDescent="0.25">
      <c r="B1343" s="605" t="s">
        <v>3362</v>
      </c>
      <c r="C1343" s="606">
        <f t="shared" si="41"/>
        <v>443141</v>
      </c>
      <c r="D1343" s="607" t="s">
        <v>3363</v>
      </c>
      <c r="E1343" s="607" t="s">
        <v>3364</v>
      </c>
      <c r="F1343" s="607" t="s">
        <v>3363</v>
      </c>
      <c r="G1343" s="607" t="s">
        <v>1594</v>
      </c>
      <c r="H1343" s="607" t="s">
        <v>1594</v>
      </c>
      <c r="I1343" s="611" t="s">
        <v>2673</v>
      </c>
      <c r="J1343" s="608" t="str">
        <f t="shared" si="42"/>
        <v>Household Appliances</v>
      </c>
      <c r="N1343" s="822">
        <v>423930</v>
      </c>
      <c r="O1343" s="822" t="s">
        <v>3193</v>
      </c>
      <c r="P1343" s="823">
        <v>5093</v>
      </c>
      <c r="Q1343" s="823" t="s">
        <v>3195</v>
      </c>
    </row>
    <row r="1344" spans="2:17" s="608" customFormat="1" x14ac:dyDescent="0.25">
      <c r="B1344" s="605" t="s">
        <v>3362</v>
      </c>
      <c r="C1344" s="606">
        <f t="shared" si="41"/>
        <v>443141</v>
      </c>
      <c r="D1344" s="607" t="s">
        <v>3363</v>
      </c>
      <c r="E1344" s="607" t="s">
        <v>3365</v>
      </c>
      <c r="F1344" s="607" t="s">
        <v>3366</v>
      </c>
      <c r="G1344" s="607" t="s">
        <v>1594</v>
      </c>
      <c r="H1344" s="607" t="s">
        <v>1594</v>
      </c>
      <c r="I1344" s="611" t="s">
        <v>2673</v>
      </c>
      <c r="J1344" s="608" t="str">
        <f t="shared" si="42"/>
        <v>Household Appliances</v>
      </c>
      <c r="N1344" s="822">
        <v>423940</v>
      </c>
      <c r="O1344" s="822" t="s">
        <v>3197</v>
      </c>
      <c r="P1344" s="823">
        <v>5094</v>
      </c>
      <c r="Q1344" s="823" t="s">
        <v>3199</v>
      </c>
    </row>
    <row r="1345" spans="2:17" s="608" customFormat="1" x14ac:dyDescent="0.25">
      <c r="B1345" s="605" t="s">
        <v>3362</v>
      </c>
      <c r="C1345" s="606">
        <f t="shared" si="41"/>
        <v>443141</v>
      </c>
      <c r="D1345" s="607" t="s">
        <v>3363</v>
      </c>
      <c r="E1345" s="607" t="s">
        <v>3367</v>
      </c>
      <c r="F1345" s="607" t="s">
        <v>3368</v>
      </c>
      <c r="G1345" s="607" t="s">
        <v>1594</v>
      </c>
      <c r="H1345" s="607" t="s">
        <v>1594</v>
      </c>
      <c r="I1345" s="611" t="s">
        <v>2673</v>
      </c>
      <c r="J1345" s="608" t="str">
        <f t="shared" si="42"/>
        <v>Household Appliances</v>
      </c>
      <c r="N1345" s="822">
        <v>423990</v>
      </c>
      <c r="O1345" s="822" t="s">
        <v>3201</v>
      </c>
      <c r="P1345" s="823">
        <v>5099</v>
      </c>
      <c r="Q1345" s="823" t="s">
        <v>3203</v>
      </c>
    </row>
    <row r="1346" spans="2:17" s="608" customFormat="1" x14ac:dyDescent="0.25">
      <c r="B1346" s="605" t="s">
        <v>3369</v>
      </c>
      <c r="C1346" s="606">
        <f t="shared" ref="C1346:C1409" si="43">B1346+0</f>
        <v>443142</v>
      </c>
      <c r="D1346" s="607" t="s">
        <v>3370</v>
      </c>
      <c r="E1346" s="607" t="s">
        <v>3103</v>
      </c>
      <c r="F1346" s="607" t="s">
        <v>3104</v>
      </c>
      <c r="G1346" s="607" t="s">
        <v>1594</v>
      </c>
      <c r="H1346" s="607" t="s">
        <v>1594</v>
      </c>
      <c r="I1346" s="607" t="s">
        <v>2944</v>
      </c>
      <c r="J1346" s="608" t="str">
        <f t="shared" si="42"/>
        <v>Retail Trade</v>
      </c>
      <c r="N1346" s="822">
        <v>423990</v>
      </c>
      <c r="O1346" s="822" t="s">
        <v>3201</v>
      </c>
      <c r="P1346" s="823">
        <v>7822</v>
      </c>
      <c r="Q1346" s="823" t="s">
        <v>3205</v>
      </c>
    </row>
    <row r="1347" spans="2:17" s="608" customFormat="1" ht="18" x14ac:dyDescent="0.3">
      <c r="B1347" s="605" t="s">
        <v>3369</v>
      </c>
      <c r="C1347" s="606">
        <f t="shared" si="43"/>
        <v>443142</v>
      </c>
      <c r="D1347" s="607" t="s">
        <v>3370</v>
      </c>
      <c r="E1347" s="607" t="s">
        <v>3134</v>
      </c>
      <c r="F1347" s="607" t="s">
        <v>3135</v>
      </c>
      <c r="G1347" s="607" t="s">
        <v>1594</v>
      </c>
      <c r="H1347" s="607" t="s">
        <v>1594</v>
      </c>
      <c r="I1347" s="607" t="s">
        <v>2944</v>
      </c>
      <c r="J1347" s="608" t="str">
        <f t="shared" si="42"/>
        <v>Retail Trade</v>
      </c>
      <c r="N1347" s="822">
        <v>423991</v>
      </c>
      <c r="O1347" s="824" t="s">
        <v>3201</v>
      </c>
      <c r="P1347" s="823"/>
      <c r="Q1347" s="823" t="s">
        <v>958</v>
      </c>
    </row>
    <row r="1348" spans="2:17" s="608" customFormat="1" x14ac:dyDescent="0.25">
      <c r="B1348" s="605" t="s">
        <v>3369</v>
      </c>
      <c r="C1348" s="606">
        <f t="shared" si="43"/>
        <v>443142</v>
      </c>
      <c r="D1348" s="607" t="s">
        <v>3370</v>
      </c>
      <c r="E1348" s="607" t="s">
        <v>3140</v>
      </c>
      <c r="F1348" s="607" t="s">
        <v>3141</v>
      </c>
      <c r="G1348" s="607" t="s">
        <v>1594</v>
      </c>
      <c r="H1348" s="607" t="s">
        <v>1594</v>
      </c>
      <c r="I1348" s="607" t="s">
        <v>2944</v>
      </c>
      <c r="J1348" s="608" t="str">
        <f t="shared" si="42"/>
        <v>Retail Trade</v>
      </c>
      <c r="N1348" s="822">
        <v>424110</v>
      </c>
      <c r="O1348" s="822" t="s">
        <v>3207</v>
      </c>
      <c r="P1348" s="823">
        <v>5111</v>
      </c>
      <c r="Q1348" s="823" t="s">
        <v>3209</v>
      </c>
    </row>
    <row r="1349" spans="2:17" s="608" customFormat="1" x14ac:dyDescent="0.25">
      <c r="B1349" s="605" t="s">
        <v>3369</v>
      </c>
      <c r="C1349" s="606">
        <f t="shared" si="43"/>
        <v>443142</v>
      </c>
      <c r="D1349" s="607" t="s">
        <v>3370</v>
      </c>
      <c r="E1349" s="607" t="s">
        <v>3202</v>
      </c>
      <c r="F1349" s="607" t="s">
        <v>3203</v>
      </c>
      <c r="G1349" s="607" t="s">
        <v>1594</v>
      </c>
      <c r="H1349" s="607" t="s">
        <v>1594</v>
      </c>
      <c r="I1349" s="607" t="s">
        <v>2944</v>
      </c>
      <c r="J1349" s="608" t="str">
        <f t="shared" si="42"/>
        <v>Retail Trade</v>
      </c>
      <c r="N1349" s="822">
        <v>424120</v>
      </c>
      <c r="O1349" s="822" t="s">
        <v>3211</v>
      </c>
      <c r="P1349" s="823">
        <v>5112</v>
      </c>
      <c r="Q1349" s="823" t="s">
        <v>3213</v>
      </c>
    </row>
    <row r="1350" spans="2:17" s="608" customFormat="1" x14ac:dyDescent="0.25">
      <c r="B1350" s="605" t="s">
        <v>3369</v>
      </c>
      <c r="C1350" s="606">
        <f t="shared" si="43"/>
        <v>443142</v>
      </c>
      <c r="D1350" s="607" t="s">
        <v>3370</v>
      </c>
      <c r="E1350" s="607" t="s">
        <v>3350</v>
      </c>
      <c r="F1350" s="607" t="s">
        <v>3351</v>
      </c>
      <c r="G1350" s="607" t="s">
        <v>1594</v>
      </c>
      <c r="H1350" s="607" t="s">
        <v>1594</v>
      </c>
      <c r="I1350" s="607" t="s">
        <v>2529</v>
      </c>
      <c r="J1350" s="608" t="str">
        <f t="shared" si="42"/>
        <v>Consumer Electronics</v>
      </c>
      <c r="N1350" s="822">
        <v>424130</v>
      </c>
      <c r="O1350" s="822" t="s">
        <v>3215</v>
      </c>
      <c r="P1350" s="823">
        <v>5113</v>
      </c>
      <c r="Q1350" s="823" t="s">
        <v>3217</v>
      </c>
    </row>
    <row r="1351" spans="2:17" s="608" customFormat="1" x14ac:dyDescent="0.25">
      <c r="B1351" s="605" t="s">
        <v>3369</v>
      </c>
      <c r="C1351" s="606">
        <f t="shared" si="43"/>
        <v>443142</v>
      </c>
      <c r="D1351" s="607" t="s">
        <v>3370</v>
      </c>
      <c r="E1351" s="607" t="s">
        <v>3371</v>
      </c>
      <c r="F1351" s="607" t="s">
        <v>3372</v>
      </c>
      <c r="G1351" s="607" t="s">
        <v>1594</v>
      </c>
      <c r="H1351" s="607" t="s">
        <v>1594</v>
      </c>
      <c r="I1351" s="607" t="s">
        <v>2529</v>
      </c>
      <c r="J1351" s="608" t="str">
        <f t="shared" si="42"/>
        <v>Consumer Electronics</v>
      </c>
      <c r="N1351" s="822">
        <v>424210</v>
      </c>
      <c r="O1351" s="822" t="s">
        <v>3219</v>
      </c>
      <c r="P1351" s="823">
        <v>5122</v>
      </c>
      <c r="Q1351" s="823" t="s">
        <v>3221</v>
      </c>
    </row>
    <row r="1352" spans="2:17" s="608" customFormat="1" x14ac:dyDescent="0.25">
      <c r="B1352" s="605" t="s">
        <v>3369</v>
      </c>
      <c r="C1352" s="606">
        <f t="shared" si="43"/>
        <v>443142</v>
      </c>
      <c r="D1352" s="607" t="s">
        <v>3370</v>
      </c>
      <c r="E1352" s="607" t="s">
        <v>3373</v>
      </c>
      <c r="F1352" s="607" t="s">
        <v>3374</v>
      </c>
      <c r="G1352" s="607" t="s">
        <v>1594</v>
      </c>
      <c r="H1352" s="607" t="s">
        <v>1594</v>
      </c>
      <c r="I1352" s="607" t="s">
        <v>2529</v>
      </c>
      <c r="J1352" s="608" t="str">
        <f t="shared" si="42"/>
        <v>Consumer Electronics</v>
      </c>
      <c r="N1352" s="822">
        <v>424310</v>
      </c>
      <c r="O1352" s="822" t="s">
        <v>3223</v>
      </c>
      <c r="P1352" s="823">
        <v>5131</v>
      </c>
      <c r="Q1352" s="823" t="s">
        <v>1648</v>
      </c>
    </row>
    <row r="1353" spans="2:17" s="608" customFormat="1" x14ac:dyDescent="0.25">
      <c r="B1353" s="605" t="s">
        <v>3369</v>
      </c>
      <c r="C1353" s="606">
        <f t="shared" si="43"/>
        <v>443142</v>
      </c>
      <c r="D1353" s="607" t="s">
        <v>3370</v>
      </c>
      <c r="E1353" s="607" t="s">
        <v>3375</v>
      </c>
      <c r="F1353" s="607" t="s">
        <v>3376</v>
      </c>
      <c r="G1353" s="607" t="s">
        <v>1594</v>
      </c>
      <c r="H1353" s="607" t="s">
        <v>1594</v>
      </c>
      <c r="I1353" s="607" t="s">
        <v>2529</v>
      </c>
      <c r="J1353" s="608" t="str">
        <f t="shared" si="42"/>
        <v>Consumer Electronics</v>
      </c>
      <c r="N1353" s="822">
        <v>424310</v>
      </c>
      <c r="O1353" s="822" t="s">
        <v>3223</v>
      </c>
      <c r="P1353" s="823">
        <v>5199</v>
      </c>
      <c r="Q1353" s="823" t="s">
        <v>3225</v>
      </c>
    </row>
    <row r="1354" spans="2:17" s="608" customFormat="1" x14ac:dyDescent="0.25">
      <c r="B1354" s="605" t="s">
        <v>3369</v>
      </c>
      <c r="C1354" s="606">
        <f t="shared" si="43"/>
        <v>443142</v>
      </c>
      <c r="D1354" s="607" t="s">
        <v>3370</v>
      </c>
      <c r="E1354" s="607" t="s">
        <v>2992</v>
      </c>
      <c r="F1354" s="607" t="s">
        <v>2993</v>
      </c>
      <c r="G1354" s="607" t="s">
        <v>1594</v>
      </c>
      <c r="H1354" s="607" t="s">
        <v>1594</v>
      </c>
      <c r="I1354" s="607" t="s">
        <v>2529</v>
      </c>
      <c r="J1354" s="608" t="str">
        <f t="shared" si="42"/>
        <v>Consumer Electronics</v>
      </c>
      <c r="N1354" s="822">
        <v>424320</v>
      </c>
      <c r="O1354" s="822" t="s">
        <v>3227</v>
      </c>
      <c r="P1354" s="823">
        <v>5136</v>
      </c>
      <c r="Q1354" s="823" t="s">
        <v>3185</v>
      </c>
    </row>
    <row r="1355" spans="2:17" s="608" customFormat="1" x14ac:dyDescent="0.25">
      <c r="B1355" s="605" t="s">
        <v>3369</v>
      </c>
      <c r="C1355" s="606">
        <f t="shared" si="43"/>
        <v>443142</v>
      </c>
      <c r="D1355" s="607" t="s">
        <v>3370</v>
      </c>
      <c r="E1355" s="607" t="s">
        <v>3377</v>
      </c>
      <c r="F1355" s="607" t="s">
        <v>3378</v>
      </c>
      <c r="G1355" s="607" t="s">
        <v>1594</v>
      </c>
      <c r="H1355" s="607" t="s">
        <v>1594</v>
      </c>
      <c r="I1355" s="607" t="s">
        <v>2944</v>
      </c>
      <c r="J1355" s="608" t="str">
        <f t="shared" si="42"/>
        <v>Retail Trade</v>
      </c>
      <c r="N1355" s="822">
        <v>424330</v>
      </c>
      <c r="O1355" s="822" t="s">
        <v>3229</v>
      </c>
      <c r="P1355" s="823">
        <v>5137</v>
      </c>
      <c r="Q1355" s="823" t="s">
        <v>3187</v>
      </c>
    </row>
    <row r="1356" spans="2:17" s="608" customFormat="1" x14ac:dyDescent="0.25">
      <c r="B1356" s="605" t="s">
        <v>3369</v>
      </c>
      <c r="C1356" s="606">
        <f t="shared" si="43"/>
        <v>443142</v>
      </c>
      <c r="D1356" s="607" t="s">
        <v>3370</v>
      </c>
      <c r="E1356" s="607" t="s">
        <v>1344</v>
      </c>
      <c r="F1356" s="607" t="s">
        <v>1345</v>
      </c>
      <c r="G1356" s="607" t="s">
        <v>1594</v>
      </c>
      <c r="H1356" s="607" t="s">
        <v>1594</v>
      </c>
      <c r="I1356" s="607" t="s">
        <v>2944</v>
      </c>
      <c r="J1356" s="608" t="str">
        <f t="shared" si="42"/>
        <v>Retail Trade</v>
      </c>
      <c r="N1356" s="822">
        <v>424340</v>
      </c>
      <c r="O1356" s="822" t="s">
        <v>3231</v>
      </c>
      <c r="P1356" s="823">
        <v>5139</v>
      </c>
      <c r="Q1356" s="823" t="s">
        <v>3233</v>
      </c>
    </row>
    <row r="1357" spans="2:17" s="608" customFormat="1" x14ac:dyDescent="0.25">
      <c r="B1357" s="605" t="s">
        <v>3379</v>
      </c>
      <c r="C1357" s="606">
        <f t="shared" si="43"/>
        <v>444110</v>
      </c>
      <c r="D1357" s="607" t="s">
        <v>3380</v>
      </c>
      <c r="E1357" s="607" t="s">
        <v>3080</v>
      </c>
      <c r="F1357" s="607" t="s">
        <v>3081</v>
      </c>
      <c r="G1357" s="607" t="s">
        <v>1594</v>
      </c>
      <c r="H1357" s="607" t="s">
        <v>1594</v>
      </c>
      <c r="I1357" s="607" t="s">
        <v>2944</v>
      </c>
      <c r="J1357" s="608" t="str">
        <f t="shared" si="42"/>
        <v>Retail Trade</v>
      </c>
      <c r="N1357" s="822">
        <v>424340</v>
      </c>
      <c r="O1357" s="822" t="s">
        <v>3231</v>
      </c>
      <c r="P1357" s="823">
        <v>5199</v>
      </c>
      <c r="Q1357" s="823" t="s">
        <v>3225</v>
      </c>
    </row>
    <row r="1358" spans="2:17" s="608" customFormat="1" x14ac:dyDescent="0.25">
      <c r="B1358" s="605" t="s">
        <v>3379</v>
      </c>
      <c r="C1358" s="606">
        <f t="shared" si="43"/>
        <v>444110</v>
      </c>
      <c r="D1358" s="607" t="s">
        <v>3380</v>
      </c>
      <c r="E1358" s="607" t="s">
        <v>3381</v>
      </c>
      <c r="F1358" s="607" t="s">
        <v>3382</v>
      </c>
      <c r="G1358" s="607" t="s">
        <v>1594</v>
      </c>
      <c r="H1358" s="607" t="s">
        <v>1594</v>
      </c>
      <c r="I1358" s="607" t="s">
        <v>2944</v>
      </c>
      <c r="J1358" s="608" t="str">
        <f t="shared" si="42"/>
        <v>Retail Trade</v>
      </c>
      <c r="N1358" s="822">
        <v>424410</v>
      </c>
      <c r="O1358" s="822" t="s">
        <v>3235</v>
      </c>
      <c r="P1358" s="823">
        <v>5141</v>
      </c>
      <c r="Q1358" s="823" t="s">
        <v>3237</v>
      </c>
    </row>
    <row r="1359" spans="2:17" s="608" customFormat="1" x14ac:dyDescent="0.25">
      <c r="B1359" s="605" t="s">
        <v>3383</v>
      </c>
      <c r="C1359" s="606">
        <f t="shared" si="43"/>
        <v>444120</v>
      </c>
      <c r="D1359" s="607" t="s">
        <v>3384</v>
      </c>
      <c r="E1359" s="607" t="s">
        <v>3385</v>
      </c>
      <c r="F1359" s="607" t="s">
        <v>3386</v>
      </c>
      <c r="G1359" s="607" t="s">
        <v>1594</v>
      </c>
      <c r="H1359" s="607" t="s">
        <v>1594</v>
      </c>
      <c r="I1359" s="607" t="s">
        <v>2944</v>
      </c>
      <c r="J1359" s="608" t="str">
        <f t="shared" ref="J1359:J1422" si="44">PROPER(I1359)</f>
        <v>Retail Trade</v>
      </c>
      <c r="N1359" s="822">
        <v>424420</v>
      </c>
      <c r="O1359" s="822" t="s">
        <v>3239</v>
      </c>
      <c r="P1359" s="823">
        <v>5142</v>
      </c>
      <c r="Q1359" s="823" t="s">
        <v>3241</v>
      </c>
    </row>
    <row r="1360" spans="2:17" s="608" customFormat="1" x14ac:dyDescent="0.25">
      <c r="B1360" s="605" t="s">
        <v>3387</v>
      </c>
      <c r="C1360" s="606">
        <f t="shared" si="43"/>
        <v>444130</v>
      </c>
      <c r="D1360" s="607" t="s">
        <v>3388</v>
      </c>
      <c r="E1360" s="607" t="s">
        <v>3144</v>
      </c>
      <c r="F1360" s="607" t="s">
        <v>3145</v>
      </c>
      <c r="G1360" s="607" t="s">
        <v>1594</v>
      </c>
      <c r="H1360" s="607" t="s">
        <v>1594</v>
      </c>
      <c r="I1360" s="607" t="s">
        <v>2944</v>
      </c>
      <c r="J1360" s="608" t="str">
        <f t="shared" si="44"/>
        <v>Retail Trade</v>
      </c>
      <c r="N1360" s="822">
        <v>424430</v>
      </c>
      <c r="O1360" s="822" t="s">
        <v>3243</v>
      </c>
      <c r="P1360" s="823">
        <v>5143</v>
      </c>
      <c r="Q1360" s="823" t="s">
        <v>3245</v>
      </c>
    </row>
    <row r="1361" spans="2:17" s="608" customFormat="1" x14ac:dyDescent="0.25">
      <c r="B1361" s="605" t="s">
        <v>3387</v>
      </c>
      <c r="C1361" s="606">
        <f t="shared" si="43"/>
        <v>444130</v>
      </c>
      <c r="D1361" s="607" t="s">
        <v>3388</v>
      </c>
      <c r="E1361" s="607" t="s">
        <v>3389</v>
      </c>
      <c r="F1361" s="607" t="s">
        <v>3388</v>
      </c>
      <c r="G1361" s="607" t="s">
        <v>1594</v>
      </c>
      <c r="H1361" s="607" t="s">
        <v>1594</v>
      </c>
      <c r="I1361" s="607" t="s">
        <v>2944</v>
      </c>
      <c r="J1361" s="608" t="str">
        <f t="shared" si="44"/>
        <v>Retail Trade</v>
      </c>
      <c r="N1361" s="822">
        <v>424440</v>
      </c>
      <c r="O1361" s="822" t="s">
        <v>3247</v>
      </c>
      <c r="P1361" s="823">
        <v>5144</v>
      </c>
      <c r="Q1361" s="823" t="s">
        <v>3249</v>
      </c>
    </row>
    <row r="1362" spans="2:17" s="608" customFormat="1" x14ac:dyDescent="0.25">
      <c r="B1362" s="605" t="s">
        <v>3387</v>
      </c>
      <c r="C1362" s="606">
        <f t="shared" si="43"/>
        <v>444130</v>
      </c>
      <c r="D1362" s="607" t="s">
        <v>3388</v>
      </c>
      <c r="E1362" s="607" t="s">
        <v>1070</v>
      </c>
      <c r="F1362" s="607" t="s">
        <v>1071</v>
      </c>
      <c r="G1362" s="607" t="s">
        <v>1594</v>
      </c>
      <c r="H1362" s="607" t="s">
        <v>1594</v>
      </c>
      <c r="I1362" s="607" t="s">
        <v>2944</v>
      </c>
      <c r="J1362" s="608" t="str">
        <f t="shared" si="44"/>
        <v>Retail Trade</v>
      </c>
      <c r="N1362" s="822">
        <v>424450</v>
      </c>
      <c r="O1362" s="822" t="s">
        <v>3251</v>
      </c>
      <c r="P1362" s="823">
        <v>5145</v>
      </c>
      <c r="Q1362" s="823" t="s">
        <v>3253</v>
      </c>
    </row>
    <row r="1363" spans="2:17" s="608" customFormat="1" x14ac:dyDescent="0.25">
      <c r="B1363" s="605" t="s">
        <v>3390</v>
      </c>
      <c r="C1363" s="606">
        <f t="shared" si="43"/>
        <v>444190</v>
      </c>
      <c r="D1363" s="607" t="s">
        <v>3391</v>
      </c>
      <c r="E1363" s="607" t="s">
        <v>3086</v>
      </c>
      <c r="F1363" s="607" t="s">
        <v>3087</v>
      </c>
      <c r="G1363" s="607" t="s">
        <v>1594</v>
      </c>
      <c r="H1363" s="607" t="s">
        <v>1594</v>
      </c>
      <c r="I1363" s="607" t="s">
        <v>2944</v>
      </c>
      <c r="J1363" s="608" t="str">
        <f t="shared" si="44"/>
        <v>Retail Trade</v>
      </c>
      <c r="N1363" s="822">
        <v>424460</v>
      </c>
      <c r="O1363" s="822" t="s">
        <v>3255</v>
      </c>
      <c r="P1363" s="823">
        <v>5146</v>
      </c>
      <c r="Q1363" s="823" t="s">
        <v>3257</v>
      </c>
    </row>
    <row r="1364" spans="2:17" s="608" customFormat="1" x14ac:dyDescent="0.25">
      <c r="B1364" s="605" t="s">
        <v>3390</v>
      </c>
      <c r="C1364" s="606">
        <f t="shared" si="43"/>
        <v>444190</v>
      </c>
      <c r="D1364" s="607" t="s">
        <v>3391</v>
      </c>
      <c r="E1364" s="607" t="s">
        <v>3090</v>
      </c>
      <c r="F1364" s="607" t="s">
        <v>3091</v>
      </c>
      <c r="G1364" s="607" t="s">
        <v>1594</v>
      </c>
      <c r="H1364" s="607" t="s">
        <v>1594</v>
      </c>
      <c r="I1364" s="607" t="s">
        <v>2944</v>
      </c>
      <c r="J1364" s="608" t="str">
        <f t="shared" si="44"/>
        <v>Retail Trade</v>
      </c>
      <c r="N1364" s="822">
        <v>424470</v>
      </c>
      <c r="O1364" s="822" t="s">
        <v>3259</v>
      </c>
      <c r="P1364" s="823">
        <v>5147</v>
      </c>
      <c r="Q1364" s="823" t="s">
        <v>1489</v>
      </c>
    </row>
    <row r="1365" spans="2:17" s="608" customFormat="1" x14ac:dyDescent="0.25">
      <c r="B1365" s="605" t="s">
        <v>3390</v>
      </c>
      <c r="C1365" s="606">
        <f t="shared" si="43"/>
        <v>444190</v>
      </c>
      <c r="D1365" s="607" t="s">
        <v>3391</v>
      </c>
      <c r="E1365" s="607" t="s">
        <v>3082</v>
      </c>
      <c r="F1365" s="607" t="s">
        <v>3083</v>
      </c>
      <c r="G1365" s="607" t="s">
        <v>1594</v>
      </c>
      <c r="H1365" s="607" t="s">
        <v>1594</v>
      </c>
      <c r="I1365" s="607" t="s">
        <v>2944</v>
      </c>
      <c r="J1365" s="608" t="str">
        <f t="shared" si="44"/>
        <v>Retail Trade</v>
      </c>
      <c r="N1365" s="822">
        <v>424480</v>
      </c>
      <c r="O1365" s="822" t="s">
        <v>3261</v>
      </c>
      <c r="P1365" s="823">
        <v>5148</v>
      </c>
      <c r="Q1365" s="823" t="s">
        <v>3263</v>
      </c>
    </row>
    <row r="1366" spans="2:17" s="608" customFormat="1" x14ac:dyDescent="0.25">
      <c r="B1366" s="605" t="s">
        <v>3390</v>
      </c>
      <c r="C1366" s="606">
        <f t="shared" si="43"/>
        <v>444190</v>
      </c>
      <c r="D1366" s="607" t="s">
        <v>3391</v>
      </c>
      <c r="E1366" s="607" t="s">
        <v>3130</v>
      </c>
      <c r="F1366" s="607" t="s">
        <v>3131</v>
      </c>
      <c r="G1366" s="607" t="s">
        <v>1594</v>
      </c>
      <c r="H1366" s="607" t="s">
        <v>1594</v>
      </c>
      <c r="I1366" s="607" t="s">
        <v>2944</v>
      </c>
      <c r="J1366" s="608" t="str">
        <f t="shared" si="44"/>
        <v>Retail Trade</v>
      </c>
      <c r="N1366" s="822">
        <v>424490</v>
      </c>
      <c r="O1366" s="822" t="s">
        <v>3265</v>
      </c>
      <c r="P1366" s="823">
        <v>5149</v>
      </c>
      <c r="Q1366" s="823" t="s">
        <v>1563</v>
      </c>
    </row>
    <row r="1367" spans="2:17" s="608" customFormat="1" x14ac:dyDescent="0.25">
      <c r="B1367" s="605" t="s">
        <v>3390</v>
      </c>
      <c r="C1367" s="606">
        <f t="shared" si="43"/>
        <v>444190</v>
      </c>
      <c r="D1367" s="607" t="s">
        <v>3391</v>
      </c>
      <c r="E1367" s="607" t="s">
        <v>3134</v>
      </c>
      <c r="F1367" s="607" t="s">
        <v>3135</v>
      </c>
      <c r="G1367" s="607" t="s">
        <v>1594</v>
      </c>
      <c r="H1367" s="607" t="s">
        <v>1594</v>
      </c>
      <c r="I1367" s="607" t="s">
        <v>2944</v>
      </c>
      <c r="J1367" s="608" t="str">
        <f t="shared" si="44"/>
        <v>Retail Trade</v>
      </c>
      <c r="N1367" s="822">
        <v>424510</v>
      </c>
      <c r="O1367" s="822" t="s">
        <v>3267</v>
      </c>
      <c r="P1367" s="823">
        <v>5153</v>
      </c>
      <c r="Q1367" s="823" t="s">
        <v>3269</v>
      </c>
    </row>
    <row r="1368" spans="2:17" s="608" customFormat="1" x14ac:dyDescent="0.25">
      <c r="B1368" s="605" t="s">
        <v>3390</v>
      </c>
      <c r="C1368" s="606">
        <f t="shared" si="43"/>
        <v>444190</v>
      </c>
      <c r="D1368" s="607" t="s">
        <v>3391</v>
      </c>
      <c r="E1368" s="607" t="s">
        <v>3136</v>
      </c>
      <c r="F1368" s="607" t="s">
        <v>3137</v>
      </c>
      <c r="G1368" s="607" t="s">
        <v>1594</v>
      </c>
      <c r="H1368" s="607" t="s">
        <v>1594</v>
      </c>
      <c r="I1368" s="607" t="s">
        <v>2944</v>
      </c>
      <c r="J1368" s="608" t="str">
        <f t="shared" si="44"/>
        <v>Retail Trade</v>
      </c>
      <c r="N1368" s="822">
        <v>424520</v>
      </c>
      <c r="O1368" s="822" t="s">
        <v>3271</v>
      </c>
      <c r="P1368" s="823">
        <v>5154</v>
      </c>
      <c r="Q1368" s="823" t="s">
        <v>3273</v>
      </c>
    </row>
    <row r="1369" spans="2:17" s="608" customFormat="1" x14ac:dyDescent="0.25">
      <c r="B1369" s="605" t="s">
        <v>3390</v>
      </c>
      <c r="C1369" s="606">
        <f t="shared" si="43"/>
        <v>444190</v>
      </c>
      <c r="D1369" s="607" t="s">
        <v>3391</v>
      </c>
      <c r="E1369" s="607" t="s">
        <v>3202</v>
      </c>
      <c r="F1369" s="607" t="s">
        <v>3203</v>
      </c>
      <c r="G1369" s="607" t="s">
        <v>1594</v>
      </c>
      <c r="H1369" s="607" t="s">
        <v>1594</v>
      </c>
      <c r="I1369" s="607" t="s">
        <v>2944</v>
      </c>
      <c r="J1369" s="608" t="str">
        <f t="shared" si="44"/>
        <v>Retail Trade</v>
      </c>
      <c r="N1369" s="822">
        <v>424590</v>
      </c>
      <c r="O1369" s="822" t="s">
        <v>3275</v>
      </c>
      <c r="P1369" s="823">
        <v>5159</v>
      </c>
      <c r="Q1369" s="823" t="s">
        <v>3277</v>
      </c>
    </row>
    <row r="1370" spans="2:17" s="608" customFormat="1" x14ac:dyDescent="0.25">
      <c r="B1370" s="605" t="s">
        <v>3390</v>
      </c>
      <c r="C1370" s="606">
        <f t="shared" si="43"/>
        <v>444190</v>
      </c>
      <c r="D1370" s="607" t="s">
        <v>3391</v>
      </c>
      <c r="E1370" s="607" t="s">
        <v>3381</v>
      </c>
      <c r="F1370" s="607" t="s">
        <v>3382</v>
      </c>
      <c r="G1370" s="607" t="s">
        <v>1594</v>
      </c>
      <c r="H1370" s="607" t="s">
        <v>1594</v>
      </c>
      <c r="I1370" s="607" t="s">
        <v>2944</v>
      </c>
      <c r="J1370" s="608" t="str">
        <f t="shared" si="44"/>
        <v>Retail Trade</v>
      </c>
      <c r="N1370" s="822">
        <v>424610</v>
      </c>
      <c r="O1370" s="822" t="s">
        <v>3279</v>
      </c>
      <c r="P1370" s="823">
        <v>5162</v>
      </c>
      <c r="Q1370" s="823" t="s">
        <v>3281</v>
      </c>
    </row>
    <row r="1371" spans="2:17" s="608" customFormat="1" x14ac:dyDescent="0.25">
      <c r="B1371" s="605" t="s">
        <v>3390</v>
      </c>
      <c r="C1371" s="606">
        <f t="shared" si="43"/>
        <v>444190</v>
      </c>
      <c r="D1371" s="607" t="s">
        <v>3391</v>
      </c>
      <c r="E1371" s="607" t="s">
        <v>3385</v>
      </c>
      <c r="F1371" s="607" t="s">
        <v>3386</v>
      </c>
      <c r="G1371" s="607" t="s">
        <v>1594</v>
      </c>
      <c r="H1371" s="607" t="s">
        <v>1594</v>
      </c>
      <c r="I1371" s="607" t="s">
        <v>2944</v>
      </c>
      <c r="J1371" s="608" t="str">
        <f t="shared" si="44"/>
        <v>Retail Trade</v>
      </c>
      <c r="N1371" s="822">
        <v>424610</v>
      </c>
      <c r="O1371" s="822" t="s">
        <v>3279</v>
      </c>
      <c r="P1371" s="823">
        <v>5199</v>
      </c>
      <c r="Q1371" s="823" t="s">
        <v>3225</v>
      </c>
    </row>
    <row r="1372" spans="2:17" s="608" customFormat="1" x14ac:dyDescent="0.25">
      <c r="B1372" s="605" t="s">
        <v>3392</v>
      </c>
      <c r="C1372" s="606">
        <f t="shared" si="43"/>
        <v>444210</v>
      </c>
      <c r="D1372" s="607" t="s">
        <v>3393</v>
      </c>
      <c r="E1372" s="607" t="s">
        <v>3162</v>
      </c>
      <c r="F1372" s="607" t="s">
        <v>3163</v>
      </c>
      <c r="G1372" s="607" t="s">
        <v>1594</v>
      </c>
      <c r="H1372" s="607" t="s">
        <v>1594</v>
      </c>
      <c r="I1372" s="607" t="s">
        <v>2944</v>
      </c>
      <c r="J1372" s="608" t="str">
        <f t="shared" si="44"/>
        <v>Retail Trade</v>
      </c>
      <c r="N1372" s="822">
        <v>424690</v>
      </c>
      <c r="O1372" s="822" t="s">
        <v>3283</v>
      </c>
      <c r="P1372" s="823">
        <v>5169</v>
      </c>
      <c r="Q1372" s="823" t="s">
        <v>3285</v>
      </c>
    </row>
    <row r="1373" spans="2:17" s="608" customFormat="1" ht="18" x14ac:dyDescent="0.3">
      <c r="B1373" s="605" t="s">
        <v>3392</v>
      </c>
      <c r="C1373" s="606">
        <f t="shared" si="43"/>
        <v>444210</v>
      </c>
      <c r="D1373" s="607" t="s">
        <v>3393</v>
      </c>
      <c r="E1373" s="607" t="s">
        <v>3394</v>
      </c>
      <c r="F1373" s="607" t="s">
        <v>3395</v>
      </c>
      <c r="G1373" s="607" t="s">
        <v>1594</v>
      </c>
      <c r="H1373" s="607" t="s">
        <v>1594</v>
      </c>
      <c r="I1373" s="607" t="s">
        <v>2944</v>
      </c>
      <c r="J1373" s="608" t="str">
        <f t="shared" si="44"/>
        <v>Retail Trade</v>
      </c>
      <c r="N1373" s="822">
        <v>424700</v>
      </c>
      <c r="O1373" s="824" t="s">
        <v>5990</v>
      </c>
      <c r="P1373" s="823"/>
      <c r="Q1373" s="823" t="s">
        <v>958</v>
      </c>
    </row>
    <row r="1374" spans="2:17" s="608" customFormat="1" x14ac:dyDescent="0.25">
      <c r="B1374" s="605" t="s">
        <v>3392</v>
      </c>
      <c r="C1374" s="606">
        <f t="shared" si="43"/>
        <v>444210</v>
      </c>
      <c r="D1374" s="607" t="s">
        <v>3393</v>
      </c>
      <c r="E1374" s="607" t="s">
        <v>1070</v>
      </c>
      <c r="F1374" s="607" t="s">
        <v>1071</v>
      </c>
      <c r="G1374" s="607" t="s">
        <v>1594</v>
      </c>
      <c r="H1374" s="607" t="s">
        <v>1594</v>
      </c>
      <c r="I1374" s="607" t="s">
        <v>2944</v>
      </c>
      <c r="J1374" s="608" t="str">
        <f t="shared" si="44"/>
        <v>Retail Trade</v>
      </c>
      <c r="N1374" s="822">
        <v>424710</v>
      </c>
      <c r="O1374" s="822" t="s">
        <v>3287</v>
      </c>
      <c r="P1374" s="823">
        <v>5171</v>
      </c>
      <c r="Q1374" s="823" t="s">
        <v>3287</v>
      </c>
    </row>
    <row r="1375" spans="2:17" s="608" customFormat="1" x14ac:dyDescent="0.25">
      <c r="B1375" s="605" t="s">
        <v>3396</v>
      </c>
      <c r="C1375" s="606">
        <f t="shared" si="43"/>
        <v>444220</v>
      </c>
      <c r="D1375" s="607" t="s">
        <v>3397</v>
      </c>
      <c r="E1375" s="607" t="s">
        <v>3268</v>
      </c>
      <c r="F1375" s="607" t="s">
        <v>3269</v>
      </c>
      <c r="G1375" s="607" t="s">
        <v>1594</v>
      </c>
      <c r="H1375" s="607" t="s">
        <v>1594</v>
      </c>
      <c r="I1375" s="607" t="s">
        <v>2944</v>
      </c>
      <c r="J1375" s="608" t="str">
        <f t="shared" si="44"/>
        <v>Retail Trade</v>
      </c>
      <c r="N1375" s="822">
        <v>424720</v>
      </c>
      <c r="O1375" s="822" t="s">
        <v>3290</v>
      </c>
      <c r="P1375" s="823">
        <v>5172</v>
      </c>
      <c r="Q1375" s="823" t="s">
        <v>3292</v>
      </c>
    </row>
    <row r="1376" spans="2:17" s="608" customFormat="1" x14ac:dyDescent="0.25">
      <c r="B1376" s="605" t="s">
        <v>3396</v>
      </c>
      <c r="C1376" s="606">
        <f t="shared" si="43"/>
        <v>444220</v>
      </c>
      <c r="D1376" s="607" t="s">
        <v>3397</v>
      </c>
      <c r="E1376" s="607" t="s">
        <v>3276</v>
      </c>
      <c r="F1376" s="607" t="s">
        <v>3277</v>
      </c>
      <c r="G1376" s="607" t="s">
        <v>1594</v>
      </c>
      <c r="H1376" s="607" t="s">
        <v>1594</v>
      </c>
      <c r="I1376" s="607" t="s">
        <v>2944</v>
      </c>
      <c r="J1376" s="608" t="str">
        <f t="shared" si="44"/>
        <v>Retail Trade</v>
      </c>
      <c r="N1376" s="822">
        <v>424810</v>
      </c>
      <c r="O1376" s="822" t="s">
        <v>3294</v>
      </c>
      <c r="P1376" s="823">
        <v>5181</v>
      </c>
      <c r="Q1376" s="823" t="s">
        <v>3296</v>
      </c>
    </row>
    <row r="1377" spans="2:17" s="608" customFormat="1" x14ac:dyDescent="0.25">
      <c r="B1377" s="605" t="s">
        <v>3396</v>
      </c>
      <c r="C1377" s="606">
        <f t="shared" si="43"/>
        <v>444220</v>
      </c>
      <c r="D1377" s="607" t="s">
        <v>3397</v>
      </c>
      <c r="E1377" s="607" t="s">
        <v>3303</v>
      </c>
      <c r="F1377" s="607" t="s">
        <v>3304</v>
      </c>
      <c r="G1377" s="607" t="s">
        <v>1594</v>
      </c>
      <c r="H1377" s="607" t="s">
        <v>1594</v>
      </c>
      <c r="I1377" s="607" t="s">
        <v>2944</v>
      </c>
      <c r="J1377" s="608" t="str">
        <f t="shared" si="44"/>
        <v>Retail Trade</v>
      </c>
      <c r="N1377" s="822">
        <v>424820</v>
      </c>
      <c r="O1377" s="822" t="s">
        <v>3298</v>
      </c>
      <c r="P1377" s="823">
        <v>5182</v>
      </c>
      <c r="Q1377" s="823" t="s">
        <v>3300</v>
      </c>
    </row>
    <row r="1378" spans="2:17" s="608" customFormat="1" x14ac:dyDescent="0.25">
      <c r="B1378" s="605" t="s">
        <v>3396</v>
      </c>
      <c r="C1378" s="606">
        <f t="shared" si="43"/>
        <v>444220</v>
      </c>
      <c r="D1378" s="607" t="s">
        <v>3397</v>
      </c>
      <c r="E1378" s="607" t="s">
        <v>3311</v>
      </c>
      <c r="F1378" s="607" t="s">
        <v>3312</v>
      </c>
      <c r="G1378" s="607" t="s">
        <v>1594</v>
      </c>
      <c r="H1378" s="607" t="s">
        <v>1594</v>
      </c>
      <c r="I1378" s="607" t="s">
        <v>2944</v>
      </c>
      <c r="J1378" s="608" t="str">
        <f t="shared" si="44"/>
        <v>Retail Trade</v>
      </c>
      <c r="N1378" s="822">
        <v>424910</v>
      </c>
      <c r="O1378" s="822" t="s">
        <v>3302</v>
      </c>
      <c r="P1378" s="823">
        <v>5191</v>
      </c>
      <c r="Q1378" s="823" t="s">
        <v>3304</v>
      </c>
    </row>
    <row r="1379" spans="2:17" s="608" customFormat="1" x14ac:dyDescent="0.25">
      <c r="B1379" s="605" t="s">
        <v>3396</v>
      </c>
      <c r="C1379" s="606">
        <f t="shared" si="43"/>
        <v>444220</v>
      </c>
      <c r="D1379" s="607" t="s">
        <v>3397</v>
      </c>
      <c r="E1379" s="607" t="s">
        <v>3394</v>
      </c>
      <c r="F1379" s="607" t="s">
        <v>3395</v>
      </c>
      <c r="G1379" s="607" t="s">
        <v>1594</v>
      </c>
      <c r="H1379" s="607" t="s">
        <v>1594</v>
      </c>
      <c r="I1379" s="607" t="s">
        <v>2944</v>
      </c>
      <c r="J1379" s="608" t="str">
        <f t="shared" si="44"/>
        <v>Retail Trade</v>
      </c>
      <c r="N1379" s="822">
        <v>424920</v>
      </c>
      <c r="O1379" s="822" t="s">
        <v>3306</v>
      </c>
      <c r="P1379" s="823">
        <v>5192</v>
      </c>
      <c r="Q1379" s="823" t="s">
        <v>3308</v>
      </c>
    </row>
    <row r="1380" spans="2:17" s="608" customFormat="1" x14ac:dyDescent="0.25">
      <c r="B1380" s="605" t="s">
        <v>3398</v>
      </c>
      <c r="C1380" s="606">
        <f t="shared" si="43"/>
        <v>445110</v>
      </c>
      <c r="D1380" s="607" t="s">
        <v>3399</v>
      </c>
      <c r="E1380" s="607" t="s">
        <v>3236</v>
      </c>
      <c r="F1380" s="607" t="s">
        <v>3237</v>
      </c>
      <c r="G1380" s="607" t="s">
        <v>1594</v>
      </c>
      <c r="H1380" s="607" t="s">
        <v>1594</v>
      </c>
      <c r="I1380" s="607" t="s">
        <v>2944</v>
      </c>
      <c r="J1380" s="608" t="str">
        <f t="shared" si="44"/>
        <v>Retail Trade</v>
      </c>
      <c r="N1380" s="822">
        <v>424930</v>
      </c>
      <c r="O1380" s="822" t="s">
        <v>3310</v>
      </c>
      <c r="P1380" s="823">
        <v>5193</v>
      </c>
      <c r="Q1380" s="823" t="s">
        <v>3312</v>
      </c>
    </row>
    <row r="1381" spans="2:17" s="608" customFormat="1" x14ac:dyDescent="0.25">
      <c r="B1381" s="605" t="s">
        <v>3398</v>
      </c>
      <c r="C1381" s="606">
        <f t="shared" si="43"/>
        <v>445110</v>
      </c>
      <c r="D1381" s="607" t="s">
        <v>3399</v>
      </c>
      <c r="E1381" s="607" t="s">
        <v>3400</v>
      </c>
      <c r="F1381" s="607" t="s">
        <v>3401</v>
      </c>
      <c r="G1381" s="607" t="s">
        <v>837</v>
      </c>
      <c r="H1381" s="607" t="s">
        <v>837</v>
      </c>
      <c r="I1381" s="607" t="s">
        <v>838</v>
      </c>
      <c r="J1381" s="608" t="str">
        <f t="shared" si="44"/>
        <v>Food</v>
      </c>
      <c r="N1381" s="822">
        <v>424940</v>
      </c>
      <c r="O1381" s="822" t="s">
        <v>3314</v>
      </c>
      <c r="P1381" s="823">
        <v>5194</v>
      </c>
      <c r="Q1381" s="823" t="s">
        <v>3316</v>
      </c>
    </row>
    <row r="1382" spans="2:17" s="608" customFormat="1" x14ac:dyDescent="0.25">
      <c r="B1382" s="605" t="s">
        <v>3402</v>
      </c>
      <c r="C1382" s="606">
        <f t="shared" si="43"/>
        <v>445120</v>
      </c>
      <c r="D1382" s="607" t="s">
        <v>3403</v>
      </c>
      <c r="E1382" s="607" t="s">
        <v>3400</v>
      </c>
      <c r="F1382" s="607" t="s">
        <v>3401</v>
      </c>
      <c r="G1382" s="607" t="s">
        <v>837</v>
      </c>
      <c r="H1382" s="607" t="s">
        <v>837</v>
      </c>
      <c r="I1382" s="607" t="s">
        <v>838</v>
      </c>
      <c r="J1382" s="608" t="str">
        <f t="shared" si="44"/>
        <v>Food</v>
      </c>
      <c r="N1382" s="822">
        <v>424950</v>
      </c>
      <c r="O1382" s="822" t="s">
        <v>3318</v>
      </c>
      <c r="P1382" s="823">
        <v>5198</v>
      </c>
      <c r="Q1382" s="823" t="s">
        <v>3320</v>
      </c>
    </row>
    <row r="1383" spans="2:17" s="608" customFormat="1" x14ac:dyDescent="0.25">
      <c r="B1383" s="605" t="s">
        <v>3404</v>
      </c>
      <c r="C1383" s="606">
        <f t="shared" si="43"/>
        <v>445210</v>
      </c>
      <c r="D1383" s="607" t="s">
        <v>3405</v>
      </c>
      <c r="E1383" s="607" t="s">
        <v>3248</v>
      </c>
      <c r="F1383" s="607" t="s">
        <v>3249</v>
      </c>
      <c r="G1383" s="607" t="s">
        <v>1594</v>
      </c>
      <c r="H1383" s="607" t="s">
        <v>1594</v>
      </c>
      <c r="I1383" s="607" t="s">
        <v>2944</v>
      </c>
      <c r="J1383" s="608" t="str">
        <f t="shared" si="44"/>
        <v>Retail Trade</v>
      </c>
      <c r="N1383" s="822">
        <v>424990</v>
      </c>
      <c r="O1383" s="822" t="s">
        <v>3322</v>
      </c>
      <c r="P1383" s="823">
        <v>5199</v>
      </c>
      <c r="Q1383" s="823" t="s">
        <v>3225</v>
      </c>
    </row>
    <row r="1384" spans="2:17" s="608" customFormat="1" x14ac:dyDescent="0.25">
      <c r="B1384" s="605" t="s">
        <v>3404</v>
      </c>
      <c r="C1384" s="606">
        <f t="shared" si="43"/>
        <v>445210</v>
      </c>
      <c r="D1384" s="607" t="s">
        <v>3405</v>
      </c>
      <c r="E1384" s="607" t="s">
        <v>1488</v>
      </c>
      <c r="F1384" s="607" t="s">
        <v>1489</v>
      </c>
      <c r="G1384" s="607" t="s">
        <v>1594</v>
      </c>
      <c r="H1384" s="607" t="s">
        <v>1594</v>
      </c>
      <c r="I1384" s="607" t="s">
        <v>2944</v>
      </c>
      <c r="J1384" s="608" t="str">
        <f t="shared" si="44"/>
        <v>Retail Trade</v>
      </c>
      <c r="N1384" s="822">
        <v>425110</v>
      </c>
      <c r="O1384" s="822" t="s">
        <v>3324</v>
      </c>
      <c r="P1384" s="823">
        <v>5012</v>
      </c>
      <c r="Q1384" s="823" t="s">
        <v>3056</v>
      </c>
    </row>
    <row r="1385" spans="2:17" s="608" customFormat="1" x14ac:dyDescent="0.25">
      <c r="B1385" s="605" t="s">
        <v>3404</v>
      </c>
      <c r="C1385" s="606">
        <f t="shared" si="43"/>
        <v>445210</v>
      </c>
      <c r="D1385" s="607" t="s">
        <v>3405</v>
      </c>
      <c r="E1385" s="607" t="s">
        <v>3406</v>
      </c>
      <c r="F1385" s="607" t="s">
        <v>3407</v>
      </c>
      <c r="G1385" s="607" t="s">
        <v>1594</v>
      </c>
      <c r="H1385" s="607" t="s">
        <v>1594</v>
      </c>
      <c r="I1385" s="607" t="s">
        <v>2944</v>
      </c>
      <c r="J1385" s="608" t="str">
        <f t="shared" si="44"/>
        <v>Retail Trade</v>
      </c>
      <c r="N1385" s="822">
        <v>425110</v>
      </c>
      <c r="O1385" s="822" t="s">
        <v>3324</v>
      </c>
      <c r="P1385" s="823">
        <v>5013</v>
      </c>
      <c r="Q1385" s="823" t="s">
        <v>3061</v>
      </c>
    </row>
    <row r="1386" spans="2:17" s="608" customFormat="1" x14ac:dyDescent="0.25">
      <c r="B1386" s="605" t="s">
        <v>3404</v>
      </c>
      <c r="C1386" s="606">
        <f t="shared" si="43"/>
        <v>445210</v>
      </c>
      <c r="D1386" s="607" t="s">
        <v>3405</v>
      </c>
      <c r="E1386" s="607" t="s">
        <v>3408</v>
      </c>
      <c r="F1386" s="607" t="s">
        <v>3409</v>
      </c>
      <c r="G1386" s="607" t="s">
        <v>837</v>
      </c>
      <c r="H1386" s="607" t="s">
        <v>837</v>
      </c>
      <c r="I1386" s="607" t="s">
        <v>838</v>
      </c>
      <c r="J1386" s="608" t="str">
        <f t="shared" si="44"/>
        <v>Food</v>
      </c>
      <c r="N1386" s="822">
        <v>425110</v>
      </c>
      <c r="O1386" s="822" t="s">
        <v>3324</v>
      </c>
      <c r="P1386" s="823">
        <v>5014</v>
      </c>
      <c r="Q1386" s="823" t="s">
        <v>3065</v>
      </c>
    </row>
    <row r="1387" spans="2:17" s="608" customFormat="1" x14ac:dyDescent="0.25">
      <c r="B1387" s="605" t="s">
        <v>3410</v>
      </c>
      <c r="C1387" s="606">
        <f t="shared" si="43"/>
        <v>445220</v>
      </c>
      <c r="D1387" s="607" t="s">
        <v>3411</v>
      </c>
      <c r="E1387" s="607" t="s">
        <v>3256</v>
      </c>
      <c r="F1387" s="607" t="s">
        <v>3257</v>
      </c>
      <c r="G1387" s="607" t="s">
        <v>1594</v>
      </c>
      <c r="H1387" s="607" t="s">
        <v>1594</v>
      </c>
      <c r="I1387" s="607" t="s">
        <v>2944</v>
      </c>
      <c r="J1387" s="608" t="str">
        <f t="shared" si="44"/>
        <v>Retail Trade</v>
      </c>
      <c r="N1387" s="822">
        <v>425110</v>
      </c>
      <c r="O1387" s="822" t="s">
        <v>3324</v>
      </c>
      <c r="P1387" s="823">
        <v>5015</v>
      </c>
      <c r="Q1387" s="823" t="s">
        <v>3069</v>
      </c>
    </row>
    <row r="1388" spans="2:17" s="608" customFormat="1" x14ac:dyDescent="0.25">
      <c r="B1388" s="605" t="s">
        <v>3410</v>
      </c>
      <c r="C1388" s="606">
        <f t="shared" si="43"/>
        <v>445220</v>
      </c>
      <c r="D1388" s="607" t="s">
        <v>3411</v>
      </c>
      <c r="E1388" s="607" t="s">
        <v>3406</v>
      </c>
      <c r="F1388" s="607" t="s">
        <v>3407</v>
      </c>
      <c r="G1388" s="607" t="s">
        <v>1594</v>
      </c>
      <c r="H1388" s="607" t="s">
        <v>1594</v>
      </c>
      <c r="I1388" s="607" t="s">
        <v>2944</v>
      </c>
      <c r="J1388" s="608" t="str">
        <f t="shared" si="44"/>
        <v>Retail Trade</v>
      </c>
      <c r="N1388" s="822">
        <v>425110</v>
      </c>
      <c r="O1388" s="822" t="s">
        <v>3324</v>
      </c>
      <c r="P1388" s="823">
        <v>5021</v>
      </c>
      <c r="Q1388" s="823" t="s">
        <v>3073</v>
      </c>
    </row>
    <row r="1389" spans="2:17" s="608" customFormat="1" x14ac:dyDescent="0.25">
      <c r="B1389" s="605" t="s">
        <v>3412</v>
      </c>
      <c r="C1389" s="606">
        <f t="shared" si="43"/>
        <v>445230</v>
      </c>
      <c r="D1389" s="607" t="s">
        <v>3413</v>
      </c>
      <c r="E1389" s="607" t="s">
        <v>3262</v>
      </c>
      <c r="F1389" s="607" t="s">
        <v>3263</v>
      </c>
      <c r="G1389" s="607" t="s">
        <v>1594</v>
      </c>
      <c r="H1389" s="607" t="s">
        <v>1594</v>
      </c>
      <c r="I1389" s="607" t="s">
        <v>2944</v>
      </c>
      <c r="J1389" s="608" t="str">
        <f t="shared" si="44"/>
        <v>Retail Trade</v>
      </c>
      <c r="N1389" s="822">
        <v>425110</v>
      </c>
      <c r="O1389" s="822" t="s">
        <v>3324</v>
      </c>
      <c r="P1389" s="823">
        <v>5023</v>
      </c>
      <c r="Q1389" s="823" t="s">
        <v>3077</v>
      </c>
    </row>
    <row r="1390" spans="2:17" s="608" customFormat="1" x14ac:dyDescent="0.25">
      <c r="B1390" s="605" t="s">
        <v>3412</v>
      </c>
      <c r="C1390" s="606">
        <f t="shared" si="43"/>
        <v>445230</v>
      </c>
      <c r="D1390" s="607" t="s">
        <v>3413</v>
      </c>
      <c r="E1390" s="607" t="s">
        <v>3414</v>
      </c>
      <c r="F1390" s="607" t="s">
        <v>3413</v>
      </c>
      <c r="G1390" s="607" t="s">
        <v>1594</v>
      </c>
      <c r="H1390" s="607" t="s">
        <v>1594</v>
      </c>
      <c r="I1390" s="607" t="s">
        <v>2944</v>
      </c>
      <c r="J1390" s="608" t="str">
        <f t="shared" si="44"/>
        <v>Retail Trade</v>
      </c>
      <c r="N1390" s="822">
        <v>425110</v>
      </c>
      <c r="O1390" s="822" t="s">
        <v>3324</v>
      </c>
      <c r="P1390" s="823">
        <v>5031</v>
      </c>
      <c r="Q1390" s="823" t="s">
        <v>3081</v>
      </c>
    </row>
    <row r="1391" spans="2:17" s="608" customFormat="1" x14ac:dyDescent="0.25">
      <c r="B1391" s="605" t="s">
        <v>3415</v>
      </c>
      <c r="C1391" s="606">
        <f t="shared" si="43"/>
        <v>445291</v>
      </c>
      <c r="D1391" s="607" t="s">
        <v>3416</v>
      </c>
      <c r="E1391" s="607" t="s">
        <v>1506</v>
      </c>
      <c r="F1391" s="607" t="s">
        <v>1505</v>
      </c>
      <c r="G1391" s="607" t="s">
        <v>1594</v>
      </c>
      <c r="H1391" s="607" t="s">
        <v>1594</v>
      </c>
      <c r="I1391" s="607" t="s">
        <v>2944</v>
      </c>
      <c r="J1391" s="608" t="str">
        <f t="shared" si="44"/>
        <v>Retail Trade</v>
      </c>
      <c r="N1391" s="822">
        <v>425110</v>
      </c>
      <c r="O1391" s="822" t="s">
        <v>3324</v>
      </c>
      <c r="P1391" s="823">
        <v>5032</v>
      </c>
      <c r="Q1391" s="823" t="s">
        <v>3087</v>
      </c>
    </row>
    <row r="1392" spans="2:17" s="608" customFormat="1" x14ac:dyDescent="0.25">
      <c r="B1392" s="605" t="s">
        <v>3417</v>
      </c>
      <c r="C1392" s="606">
        <f t="shared" si="43"/>
        <v>445292</v>
      </c>
      <c r="D1392" s="607" t="s">
        <v>3418</v>
      </c>
      <c r="E1392" s="607" t="s">
        <v>3252</v>
      </c>
      <c r="F1392" s="607" t="s">
        <v>3253</v>
      </c>
      <c r="G1392" s="607" t="s">
        <v>1594</v>
      </c>
      <c r="H1392" s="607" t="s">
        <v>1594</v>
      </c>
      <c r="I1392" s="607" t="s">
        <v>2944</v>
      </c>
      <c r="J1392" s="608" t="str">
        <f t="shared" si="44"/>
        <v>Retail Trade</v>
      </c>
      <c r="N1392" s="822">
        <v>425110</v>
      </c>
      <c r="O1392" s="822" t="s">
        <v>3324</v>
      </c>
      <c r="P1392" s="823">
        <v>5033</v>
      </c>
      <c r="Q1392" s="823" t="s">
        <v>3091</v>
      </c>
    </row>
    <row r="1393" spans="2:17" s="608" customFormat="1" x14ac:dyDescent="0.25">
      <c r="B1393" s="605" t="s">
        <v>3417</v>
      </c>
      <c r="C1393" s="606">
        <f t="shared" si="43"/>
        <v>445292</v>
      </c>
      <c r="D1393" s="607" t="s">
        <v>3418</v>
      </c>
      <c r="E1393" s="607" t="s">
        <v>1431</v>
      </c>
      <c r="F1393" s="607" t="s">
        <v>1432</v>
      </c>
      <c r="G1393" s="607" t="s">
        <v>837</v>
      </c>
      <c r="H1393" s="607" t="s">
        <v>837</v>
      </c>
      <c r="I1393" s="607" t="s">
        <v>838</v>
      </c>
      <c r="J1393" s="608" t="str">
        <f t="shared" si="44"/>
        <v>Food</v>
      </c>
      <c r="N1393" s="822">
        <v>425110</v>
      </c>
      <c r="O1393" s="822" t="s">
        <v>3324</v>
      </c>
      <c r="P1393" s="823">
        <v>5039</v>
      </c>
      <c r="Q1393" s="823" t="s">
        <v>3083</v>
      </c>
    </row>
    <row r="1394" spans="2:17" s="608" customFormat="1" x14ac:dyDescent="0.25">
      <c r="B1394" s="605" t="s">
        <v>3419</v>
      </c>
      <c r="C1394" s="606">
        <f t="shared" si="43"/>
        <v>445299</v>
      </c>
      <c r="D1394" s="607" t="s">
        <v>3420</v>
      </c>
      <c r="E1394" s="607" t="s">
        <v>3244</v>
      </c>
      <c r="F1394" s="607" t="s">
        <v>3245</v>
      </c>
      <c r="G1394" s="607" t="s">
        <v>1594</v>
      </c>
      <c r="H1394" s="607" t="s">
        <v>1594</v>
      </c>
      <c r="I1394" s="607" t="s">
        <v>2944</v>
      </c>
      <c r="J1394" s="608" t="str">
        <f t="shared" si="44"/>
        <v>Retail Trade</v>
      </c>
      <c r="N1394" s="822">
        <v>425110</v>
      </c>
      <c r="O1394" s="822" t="s">
        <v>3324</v>
      </c>
      <c r="P1394" s="823">
        <v>5043</v>
      </c>
      <c r="Q1394" s="823" t="s">
        <v>2074</v>
      </c>
    </row>
    <row r="1395" spans="2:17" s="608" customFormat="1" x14ac:dyDescent="0.25">
      <c r="B1395" s="605" t="s">
        <v>3419</v>
      </c>
      <c r="C1395" s="606">
        <f t="shared" si="43"/>
        <v>445299</v>
      </c>
      <c r="D1395" s="607" t="s">
        <v>3420</v>
      </c>
      <c r="E1395" s="607" t="s">
        <v>1562</v>
      </c>
      <c r="F1395" s="607" t="s">
        <v>1563</v>
      </c>
      <c r="G1395" s="607" t="s">
        <v>1594</v>
      </c>
      <c r="H1395" s="607" t="s">
        <v>1594</v>
      </c>
      <c r="I1395" s="607" t="s">
        <v>2944</v>
      </c>
      <c r="J1395" s="608" t="str">
        <f t="shared" si="44"/>
        <v>Retail Trade</v>
      </c>
      <c r="N1395" s="822">
        <v>425110</v>
      </c>
      <c r="O1395" s="822" t="s">
        <v>3324</v>
      </c>
      <c r="P1395" s="823">
        <v>5044</v>
      </c>
      <c r="Q1395" s="823" t="s">
        <v>3100</v>
      </c>
    </row>
    <row r="1396" spans="2:17" s="608" customFormat="1" x14ac:dyDescent="0.25">
      <c r="B1396" s="605" t="s">
        <v>3419</v>
      </c>
      <c r="C1396" s="606">
        <f t="shared" si="43"/>
        <v>445299</v>
      </c>
      <c r="D1396" s="607" t="s">
        <v>3420</v>
      </c>
      <c r="E1396" s="607" t="s">
        <v>3421</v>
      </c>
      <c r="F1396" s="607" t="s">
        <v>3422</v>
      </c>
      <c r="G1396" s="607" t="s">
        <v>837</v>
      </c>
      <c r="H1396" s="607" t="s">
        <v>837</v>
      </c>
      <c r="I1396" s="607" t="s">
        <v>838</v>
      </c>
      <c r="J1396" s="608" t="str">
        <f t="shared" si="44"/>
        <v>Food</v>
      </c>
      <c r="N1396" s="822">
        <v>425110</v>
      </c>
      <c r="O1396" s="822" t="s">
        <v>3324</v>
      </c>
      <c r="P1396" s="823">
        <v>5045</v>
      </c>
      <c r="Q1396" s="823" t="s">
        <v>3104</v>
      </c>
    </row>
    <row r="1397" spans="2:17" s="608" customFormat="1" x14ac:dyDescent="0.25">
      <c r="B1397" s="605" t="s">
        <v>3419</v>
      </c>
      <c r="C1397" s="606">
        <f t="shared" si="43"/>
        <v>445299</v>
      </c>
      <c r="D1397" s="607" t="s">
        <v>3420</v>
      </c>
      <c r="E1397" s="607" t="s">
        <v>3408</v>
      </c>
      <c r="F1397" s="607" t="s">
        <v>3409</v>
      </c>
      <c r="G1397" s="607" t="s">
        <v>837</v>
      </c>
      <c r="H1397" s="607" t="s">
        <v>837</v>
      </c>
      <c r="I1397" s="607" t="s">
        <v>838</v>
      </c>
      <c r="J1397" s="608" t="str">
        <f t="shared" si="44"/>
        <v>Food</v>
      </c>
      <c r="N1397" s="822">
        <v>425110</v>
      </c>
      <c r="O1397" s="822" t="s">
        <v>3324</v>
      </c>
      <c r="P1397" s="823">
        <v>5046</v>
      </c>
      <c r="Q1397" s="823" t="s">
        <v>3108</v>
      </c>
    </row>
    <row r="1398" spans="2:17" s="608" customFormat="1" x14ac:dyDescent="0.25">
      <c r="B1398" s="605" t="s">
        <v>3423</v>
      </c>
      <c r="C1398" s="606">
        <f t="shared" si="43"/>
        <v>445310</v>
      </c>
      <c r="D1398" s="607" t="s">
        <v>3424</v>
      </c>
      <c r="E1398" s="607" t="s">
        <v>3295</v>
      </c>
      <c r="F1398" s="607" t="s">
        <v>3296</v>
      </c>
      <c r="G1398" s="607" t="s">
        <v>1594</v>
      </c>
      <c r="H1398" s="607" t="s">
        <v>1594</v>
      </c>
      <c r="I1398" s="607" t="s">
        <v>2944</v>
      </c>
      <c r="J1398" s="608" t="str">
        <f t="shared" si="44"/>
        <v>Retail Trade</v>
      </c>
      <c r="N1398" s="822">
        <v>425110</v>
      </c>
      <c r="O1398" s="822" t="s">
        <v>3324</v>
      </c>
      <c r="P1398" s="823">
        <v>5047</v>
      </c>
      <c r="Q1398" s="823" t="s">
        <v>3112</v>
      </c>
    </row>
    <row r="1399" spans="2:17" s="608" customFormat="1" x14ac:dyDescent="0.25">
      <c r="B1399" s="605" t="s">
        <v>3423</v>
      </c>
      <c r="C1399" s="606">
        <f t="shared" si="43"/>
        <v>445310</v>
      </c>
      <c r="D1399" s="607" t="s">
        <v>3424</v>
      </c>
      <c r="E1399" s="607" t="s">
        <v>3299</v>
      </c>
      <c r="F1399" s="607" t="s">
        <v>3300</v>
      </c>
      <c r="G1399" s="607" t="s">
        <v>1594</v>
      </c>
      <c r="H1399" s="607" t="s">
        <v>1594</v>
      </c>
      <c r="I1399" s="607" t="s">
        <v>2944</v>
      </c>
      <c r="J1399" s="608" t="str">
        <f t="shared" si="44"/>
        <v>Retail Trade</v>
      </c>
      <c r="N1399" s="822">
        <v>425110</v>
      </c>
      <c r="O1399" s="822" t="s">
        <v>3324</v>
      </c>
      <c r="P1399" s="823">
        <v>5048</v>
      </c>
      <c r="Q1399" s="823" t="s">
        <v>2991</v>
      </c>
    </row>
    <row r="1400" spans="2:17" s="608" customFormat="1" x14ac:dyDescent="0.25">
      <c r="B1400" s="605" t="s">
        <v>3423</v>
      </c>
      <c r="C1400" s="606">
        <f t="shared" si="43"/>
        <v>445310</v>
      </c>
      <c r="D1400" s="607" t="s">
        <v>3424</v>
      </c>
      <c r="E1400" s="607" t="s">
        <v>3425</v>
      </c>
      <c r="F1400" s="607" t="s">
        <v>3426</v>
      </c>
      <c r="G1400" s="607" t="s">
        <v>1594</v>
      </c>
      <c r="H1400" s="607" t="s">
        <v>1594</v>
      </c>
      <c r="I1400" s="607" t="s">
        <v>2944</v>
      </c>
      <c r="J1400" s="608" t="str">
        <f t="shared" si="44"/>
        <v>Retail Trade</v>
      </c>
      <c r="N1400" s="822">
        <v>425110</v>
      </c>
      <c r="O1400" s="822" t="s">
        <v>3324</v>
      </c>
      <c r="P1400" s="823">
        <v>5049</v>
      </c>
      <c r="Q1400" s="823" t="s">
        <v>3119</v>
      </c>
    </row>
    <row r="1401" spans="2:17" s="608" customFormat="1" x14ac:dyDescent="0.25">
      <c r="B1401" s="605" t="s">
        <v>3427</v>
      </c>
      <c r="C1401" s="606">
        <f t="shared" si="43"/>
        <v>446110</v>
      </c>
      <c r="D1401" s="607" t="s">
        <v>3428</v>
      </c>
      <c r="E1401" s="607" t="s">
        <v>3220</v>
      </c>
      <c r="F1401" s="607" t="s">
        <v>3221</v>
      </c>
      <c r="G1401" s="607" t="s">
        <v>1594</v>
      </c>
      <c r="H1401" s="607" t="s">
        <v>1594</v>
      </c>
      <c r="I1401" s="607" t="s">
        <v>2944</v>
      </c>
      <c r="J1401" s="608" t="str">
        <f t="shared" si="44"/>
        <v>Retail Trade</v>
      </c>
      <c r="N1401" s="822">
        <v>425110</v>
      </c>
      <c r="O1401" s="822" t="s">
        <v>3324</v>
      </c>
      <c r="P1401" s="823">
        <v>5051</v>
      </c>
      <c r="Q1401" s="823" t="s">
        <v>3123</v>
      </c>
    </row>
    <row r="1402" spans="2:17" s="608" customFormat="1" x14ac:dyDescent="0.25">
      <c r="B1402" s="605" t="s">
        <v>3427</v>
      </c>
      <c r="C1402" s="606">
        <f t="shared" si="43"/>
        <v>446110</v>
      </c>
      <c r="D1402" s="607" t="s">
        <v>3428</v>
      </c>
      <c r="E1402" s="607" t="s">
        <v>3429</v>
      </c>
      <c r="F1402" s="607" t="s">
        <v>3430</v>
      </c>
      <c r="G1402" s="607" t="s">
        <v>1594</v>
      </c>
      <c r="H1402" s="607" t="s">
        <v>1594</v>
      </c>
      <c r="I1402" s="607" t="s">
        <v>2944</v>
      </c>
      <c r="J1402" s="608" t="str">
        <f t="shared" si="44"/>
        <v>Retail Trade</v>
      </c>
      <c r="N1402" s="822">
        <v>425110</v>
      </c>
      <c r="O1402" s="822" t="s">
        <v>3324</v>
      </c>
      <c r="P1402" s="823">
        <v>5052</v>
      </c>
      <c r="Q1402" s="823" t="s">
        <v>3127</v>
      </c>
    </row>
    <row r="1403" spans="2:17" s="608" customFormat="1" x14ac:dyDescent="0.25">
      <c r="B1403" s="605" t="s">
        <v>3431</v>
      </c>
      <c r="C1403" s="606">
        <f t="shared" si="43"/>
        <v>446120</v>
      </c>
      <c r="D1403" s="607" t="s">
        <v>3432</v>
      </c>
      <c r="E1403" s="607" t="s">
        <v>3174</v>
      </c>
      <c r="F1403" s="607" t="s">
        <v>3175</v>
      </c>
      <c r="G1403" s="607" t="s">
        <v>1594</v>
      </c>
      <c r="H1403" s="607" t="s">
        <v>1594</v>
      </c>
      <c r="I1403" s="607" t="s">
        <v>2944</v>
      </c>
      <c r="J1403" s="608" t="str">
        <f t="shared" si="44"/>
        <v>Retail Trade</v>
      </c>
      <c r="N1403" s="822">
        <v>425110</v>
      </c>
      <c r="O1403" s="822" t="s">
        <v>3324</v>
      </c>
      <c r="P1403" s="823">
        <v>5063</v>
      </c>
      <c r="Q1403" s="823" t="s">
        <v>3131</v>
      </c>
    </row>
    <row r="1404" spans="2:17" s="608" customFormat="1" x14ac:dyDescent="0.25">
      <c r="B1404" s="605" t="s">
        <v>3431</v>
      </c>
      <c r="C1404" s="606">
        <f t="shared" si="43"/>
        <v>446120</v>
      </c>
      <c r="D1404" s="607" t="s">
        <v>3432</v>
      </c>
      <c r="E1404" s="607" t="s">
        <v>3220</v>
      </c>
      <c r="F1404" s="607" t="s">
        <v>3221</v>
      </c>
      <c r="G1404" s="607" t="s">
        <v>1594</v>
      </c>
      <c r="H1404" s="607" t="s">
        <v>1594</v>
      </c>
      <c r="I1404" s="607" t="s">
        <v>2944</v>
      </c>
      <c r="J1404" s="608" t="str">
        <f t="shared" si="44"/>
        <v>Retail Trade</v>
      </c>
      <c r="N1404" s="822">
        <v>425110</v>
      </c>
      <c r="O1404" s="822" t="s">
        <v>3324</v>
      </c>
      <c r="P1404" s="823">
        <v>5064</v>
      </c>
      <c r="Q1404" s="823" t="s">
        <v>3135</v>
      </c>
    </row>
    <row r="1405" spans="2:17" s="608" customFormat="1" x14ac:dyDescent="0.25">
      <c r="B1405" s="605" t="s">
        <v>3431</v>
      </c>
      <c r="C1405" s="606">
        <f t="shared" si="43"/>
        <v>446120</v>
      </c>
      <c r="D1405" s="607" t="s">
        <v>3432</v>
      </c>
      <c r="E1405" s="607" t="s">
        <v>2992</v>
      </c>
      <c r="F1405" s="607" t="s">
        <v>2993</v>
      </c>
      <c r="G1405" s="607" t="s">
        <v>1594</v>
      </c>
      <c r="H1405" s="607" t="s">
        <v>1594</v>
      </c>
      <c r="I1405" s="607" t="s">
        <v>2944</v>
      </c>
      <c r="J1405" s="608" t="str">
        <f t="shared" si="44"/>
        <v>Retail Trade</v>
      </c>
      <c r="N1405" s="822">
        <v>425110</v>
      </c>
      <c r="O1405" s="822" t="s">
        <v>3324</v>
      </c>
      <c r="P1405" s="823">
        <v>5065</v>
      </c>
      <c r="Q1405" s="823" t="s">
        <v>3141</v>
      </c>
    </row>
    <row r="1406" spans="2:17" s="608" customFormat="1" x14ac:dyDescent="0.25">
      <c r="B1406" s="605" t="s">
        <v>3433</v>
      </c>
      <c r="C1406" s="606">
        <f t="shared" si="43"/>
        <v>446130</v>
      </c>
      <c r="D1406" s="607" t="s">
        <v>3001</v>
      </c>
      <c r="E1406" s="607" t="s">
        <v>3000</v>
      </c>
      <c r="F1406" s="607" t="s">
        <v>3001</v>
      </c>
      <c r="G1406" s="607" t="s">
        <v>1594</v>
      </c>
      <c r="H1406" s="607" t="s">
        <v>1594</v>
      </c>
      <c r="I1406" s="607" t="s">
        <v>2944</v>
      </c>
      <c r="J1406" s="608" t="str">
        <f t="shared" si="44"/>
        <v>Retail Trade</v>
      </c>
      <c r="N1406" s="822">
        <v>425110</v>
      </c>
      <c r="O1406" s="822" t="s">
        <v>3324</v>
      </c>
      <c r="P1406" s="823">
        <v>5072</v>
      </c>
      <c r="Q1406" s="823" t="s">
        <v>3145</v>
      </c>
    </row>
    <row r="1407" spans="2:17" s="608" customFormat="1" x14ac:dyDescent="0.25">
      <c r="B1407" s="605" t="s">
        <v>3434</v>
      </c>
      <c r="C1407" s="606">
        <f t="shared" si="43"/>
        <v>446191</v>
      </c>
      <c r="D1407" s="607" t="s">
        <v>3435</v>
      </c>
      <c r="E1407" s="607" t="s">
        <v>3220</v>
      </c>
      <c r="F1407" s="607" t="s">
        <v>3221</v>
      </c>
      <c r="G1407" s="607" t="s">
        <v>1594</v>
      </c>
      <c r="H1407" s="607" t="s">
        <v>1594</v>
      </c>
      <c r="I1407" s="607" t="s">
        <v>2944</v>
      </c>
      <c r="J1407" s="608" t="str">
        <f t="shared" si="44"/>
        <v>Retail Trade</v>
      </c>
      <c r="N1407" s="822">
        <v>425110</v>
      </c>
      <c r="O1407" s="822" t="s">
        <v>3324</v>
      </c>
      <c r="P1407" s="823">
        <v>5074</v>
      </c>
      <c r="Q1407" s="823" t="s">
        <v>3137</v>
      </c>
    </row>
    <row r="1408" spans="2:17" s="608" customFormat="1" x14ac:dyDescent="0.25">
      <c r="B1408" s="605" t="s">
        <v>3434</v>
      </c>
      <c r="C1408" s="606">
        <f t="shared" si="43"/>
        <v>446191</v>
      </c>
      <c r="D1408" s="607" t="s">
        <v>3435</v>
      </c>
      <c r="E1408" s="607" t="s">
        <v>3408</v>
      </c>
      <c r="F1408" s="607" t="s">
        <v>3409</v>
      </c>
      <c r="G1408" s="607" t="s">
        <v>1594</v>
      </c>
      <c r="H1408" s="607" t="s">
        <v>1594</v>
      </c>
      <c r="I1408" s="607" t="s">
        <v>2944</v>
      </c>
      <c r="J1408" s="608" t="str">
        <f t="shared" si="44"/>
        <v>Retail Trade</v>
      </c>
      <c r="N1408" s="822">
        <v>425110</v>
      </c>
      <c r="O1408" s="822" t="s">
        <v>3324</v>
      </c>
      <c r="P1408" s="823">
        <v>5075</v>
      </c>
      <c r="Q1408" s="823" t="s">
        <v>3151</v>
      </c>
    </row>
    <row r="1409" spans="2:17" s="608" customFormat="1" x14ac:dyDescent="0.25">
      <c r="B1409" s="605" t="s">
        <v>3436</v>
      </c>
      <c r="C1409" s="606">
        <f t="shared" si="43"/>
        <v>446199</v>
      </c>
      <c r="D1409" s="607" t="s">
        <v>3437</v>
      </c>
      <c r="E1409" s="607" t="s">
        <v>3111</v>
      </c>
      <c r="F1409" s="607" t="s">
        <v>3112</v>
      </c>
      <c r="G1409" s="607" t="s">
        <v>1594</v>
      </c>
      <c r="H1409" s="607" t="s">
        <v>1594</v>
      </c>
      <c r="I1409" s="607" t="s">
        <v>2944</v>
      </c>
      <c r="J1409" s="608" t="str">
        <f t="shared" si="44"/>
        <v>Retail Trade</v>
      </c>
      <c r="N1409" s="822">
        <v>425110</v>
      </c>
      <c r="O1409" s="822" t="s">
        <v>3324</v>
      </c>
      <c r="P1409" s="823">
        <v>5078</v>
      </c>
      <c r="Q1409" s="823" t="s">
        <v>3155</v>
      </c>
    </row>
    <row r="1410" spans="2:17" s="608" customFormat="1" x14ac:dyDescent="0.25">
      <c r="B1410" s="605" t="s">
        <v>3436</v>
      </c>
      <c r="C1410" s="606">
        <f t="shared" ref="C1410:C1473" si="45">B1410+0</f>
        <v>446199</v>
      </c>
      <c r="D1410" s="607" t="s">
        <v>3437</v>
      </c>
      <c r="E1410" s="607" t="s">
        <v>2992</v>
      </c>
      <c r="F1410" s="607" t="s">
        <v>2993</v>
      </c>
      <c r="G1410" s="607" t="s">
        <v>1594</v>
      </c>
      <c r="H1410" s="607" t="s">
        <v>1594</v>
      </c>
      <c r="I1410" s="607" t="s">
        <v>2944</v>
      </c>
      <c r="J1410" s="608" t="str">
        <f t="shared" si="44"/>
        <v>Retail Trade</v>
      </c>
      <c r="N1410" s="822">
        <v>425110</v>
      </c>
      <c r="O1410" s="822" t="s">
        <v>3324</v>
      </c>
      <c r="P1410" s="823">
        <v>5082</v>
      </c>
      <c r="Q1410" s="823" t="s">
        <v>3159</v>
      </c>
    </row>
    <row r="1411" spans="2:17" s="608" customFormat="1" x14ac:dyDescent="0.25">
      <c r="B1411" s="605" t="s">
        <v>3438</v>
      </c>
      <c r="C1411" s="606">
        <f t="shared" si="45"/>
        <v>447110</v>
      </c>
      <c r="D1411" s="607" t="s">
        <v>3439</v>
      </c>
      <c r="E1411" s="607" t="s">
        <v>3400</v>
      </c>
      <c r="F1411" s="607" t="s">
        <v>3401</v>
      </c>
      <c r="G1411" s="607" t="s">
        <v>1594</v>
      </c>
      <c r="H1411" s="607" t="s">
        <v>1594</v>
      </c>
      <c r="I1411" s="607" t="s">
        <v>2944</v>
      </c>
      <c r="J1411" s="608" t="str">
        <f t="shared" si="44"/>
        <v>Retail Trade</v>
      </c>
      <c r="N1411" s="822">
        <v>425110</v>
      </c>
      <c r="O1411" s="822" t="s">
        <v>3324</v>
      </c>
      <c r="P1411" s="823">
        <v>5083</v>
      </c>
      <c r="Q1411" s="823" t="s">
        <v>3163</v>
      </c>
    </row>
    <row r="1412" spans="2:17" s="608" customFormat="1" x14ac:dyDescent="0.25">
      <c r="B1412" s="605" t="s">
        <v>3438</v>
      </c>
      <c r="C1412" s="606">
        <f t="shared" si="45"/>
        <v>447110</v>
      </c>
      <c r="D1412" s="607" t="s">
        <v>3439</v>
      </c>
      <c r="E1412" s="607" t="s">
        <v>3440</v>
      </c>
      <c r="F1412" s="607" t="s">
        <v>3441</v>
      </c>
      <c r="G1412" s="607" t="s">
        <v>1594</v>
      </c>
      <c r="H1412" s="607" t="s">
        <v>1594</v>
      </c>
      <c r="I1412" s="607" t="s">
        <v>2944</v>
      </c>
      <c r="J1412" s="608" t="str">
        <f t="shared" si="44"/>
        <v>Retail Trade</v>
      </c>
      <c r="N1412" s="822">
        <v>425110</v>
      </c>
      <c r="O1412" s="822" t="s">
        <v>3324</v>
      </c>
      <c r="P1412" s="823">
        <v>5084</v>
      </c>
      <c r="Q1412" s="823" t="s">
        <v>3167</v>
      </c>
    </row>
    <row r="1413" spans="2:17" s="608" customFormat="1" x14ac:dyDescent="0.25">
      <c r="B1413" s="605" t="s">
        <v>3442</v>
      </c>
      <c r="C1413" s="606">
        <f t="shared" si="45"/>
        <v>447190</v>
      </c>
      <c r="D1413" s="607" t="s">
        <v>3443</v>
      </c>
      <c r="E1413" s="607" t="s">
        <v>3440</v>
      </c>
      <c r="F1413" s="607" t="s">
        <v>3441</v>
      </c>
      <c r="G1413" s="607" t="s">
        <v>1594</v>
      </c>
      <c r="H1413" s="607" t="s">
        <v>1594</v>
      </c>
      <c r="I1413" s="607" t="s">
        <v>2944</v>
      </c>
      <c r="J1413" s="608" t="str">
        <f t="shared" si="44"/>
        <v>Retail Trade</v>
      </c>
      <c r="N1413" s="822">
        <v>425110</v>
      </c>
      <c r="O1413" s="822" t="s">
        <v>3324</v>
      </c>
      <c r="P1413" s="823">
        <v>5085</v>
      </c>
      <c r="Q1413" s="823" t="s">
        <v>3169</v>
      </c>
    </row>
    <row r="1414" spans="2:17" s="608" customFormat="1" x14ac:dyDescent="0.25">
      <c r="B1414" s="605" t="s">
        <v>3444</v>
      </c>
      <c r="C1414" s="606">
        <f t="shared" si="45"/>
        <v>448110</v>
      </c>
      <c r="D1414" s="607" t="s">
        <v>3445</v>
      </c>
      <c r="E1414" s="607" t="s">
        <v>3184</v>
      </c>
      <c r="F1414" s="607" t="s">
        <v>3185</v>
      </c>
      <c r="G1414" s="607" t="s">
        <v>1594</v>
      </c>
      <c r="H1414" s="607" t="s">
        <v>1594</v>
      </c>
      <c r="I1414" s="607" t="s">
        <v>1608</v>
      </c>
      <c r="J1414" s="608" t="str">
        <f t="shared" si="44"/>
        <v>Textile Apparel Luxury Goods</v>
      </c>
      <c r="N1414" s="822">
        <v>425110</v>
      </c>
      <c r="O1414" s="822" t="s">
        <v>3324</v>
      </c>
      <c r="P1414" s="823">
        <v>5087</v>
      </c>
      <c r="Q1414" s="823" t="s">
        <v>3175</v>
      </c>
    </row>
    <row r="1415" spans="2:17" s="608" customFormat="1" x14ac:dyDescent="0.25">
      <c r="B1415" s="605" t="s">
        <v>3444</v>
      </c>
      <c r="C1415" s="606">
        <f t="shared" si="45"/>
        <v>448110</v>
      </c>
      <c r="D1415" s="607" t="s">
        <v>3445</v>
      </c>
      <c r="E1415" s="607" t="s">
        <v>3446</v>
      </c>
      <c r="F1415" s="607" t="s">
        <v>3447</v>
      </c>
      <c r="G1415" s="607" t="s">
        <v>1594</v>
      </c>
      <c r="H1415" s="607" t="s">
        <v>1594</v>
      </c>
      <c r="I1415" s="607" t="s">
        <v>1608</v>
      </c>
      <c r="J1415" s="608" t="str">
        <f t="shared" si="44"/>
        <v>Textile Apparel Luxury Goods</v>
      </c>
      <c r="N1415" s="822">
        <v>425110</v>
      </c>
      <c r="O1415" s="822" t="s">
        <v>3324</v>
      </c>
      <c r="P1415" s="823">
        <v>5088</v>
      </c>
      <c r="Q1415" s="823" t="s">
        <v>3179</v>
      </c>
    </row>
    <row r="1416" spans="2:17" s="608" customFormat="1" x14ac:dyDescent="0.25">
      <c r="B1416" s="605" t="s">
        <v>3448</v>
      </c>
      <c r="C1416" s="606">
        <f t="shared" si="45"/>
        <v>448120</v>
      </c>
      <c r="D1416" s="607" t="s">
        <v>3449</v>
      </c>
      <c r="E1416" s="607" t="s">
        <v>3186</v>
      </c>
      <c r="F1416" s="607" t="s">
        <v>3187</v>
      </c>
      <c r="G1416" s="607" t="s">
        <v>1594</v>
      </c>
      <c r="H1416" s="607" t="s">
        <v>1594</v>
      </c>
      <c r="I1416" s="607" t="s">
        <v>1608</v>
      </c>
      <c r="J1416" s="608" t="str">
        <f t="shared" si="44"/>
        <v>Textile Apparel Luxury Goods</v>
      </c>
      <c r="N1416" s="822">
        <v>425110</v>
      </c>
      <c r="O1416" s="822" t="s">
        <v>3324</v>
      </c>
      <c r="P1416" s="823">
        <v>5091</v>
      </c>
      <c r="Q1416" s="823" t="s">
        <v>3183</v>
      </c>
    </row>
    <row r="1417" spans="2:17" s="608" customFormat="1" x14ac:dyDescent="0.25">
      <c r="B1417" s="605" t="s">
        <v>3448</v>
      </c>
      <c r="C1417" s="606">
        <f t="shared" si="45"/>
        <v>448120</v>
      </c>
      <c r="D1417" s="607" t="s">
        <v>3449</v>
      </c>
      <c r="E1417" s="607" t="s">
        <v>3450</v>
      </c>
      <c r="F1417" s="607" t="s">
        <v>3449</v>
      </c>
      <c r="G1417" s="607" t="s">
        <v>1594</v>
      </c>
      <c r="H1417" s="607" t="s">
        <v>1594</v>
      </c>
      <c r="I1417" s="607" t="s">
        <v>1608</v>
      </c>
      <c r="J1417" s="608" t="str">
        <f t="shared" si="44"/>
        <v>Textile Apparel Luxury Goods</v>
      </c>
      <c r="N1417" s="822">
        <v>425110</v>
      </c>
      <c r="O1417" s="822" t="s">
        <v>3324</v>
      </c>
      <c r="P1417" s="823">
        <v>5092</v>
      </c>
      <c r="Q1417" s="823" t="s">
        <v>3191</v>
      </c>
    </row>
    <row r="1418" spans="2:17" s="608" customFormat="1" x14ac:dyDescent="0.25">
      <c r="B1418" s="605" t="s">
        <v>3451</v>
      </c>
      <c r="C1418" s="606">
        <f t="shared" si="45"/>
        <v>448130</v>
      </c>
      <c r="D1418" s="607" t="s">
        <v>3452</v>
      </c>
      <c r="E1418" s="607" t="s">
        <v>3186</v>
      </c>
      <c r="F1418" s="607" t="s">
        <v>3187</v>
      </c>
      <c r="G1418" s="607" t="s">
        <v>1594</v>
      </c>
      <c r="H1418" s="607" t="s">
        <v>1594</v>
      </c>
      <c r="I1418" s="607" t="s">
        <v>1608</v>
      </c>
      <c r="J1418" s="608" t="str">
        <f t="shared" si="44"/>
        <v>Textile Apparel Luxury Goods</v>
      </c>
      <c r="N1418" s="822">
        <v>425110</v>
      </c>
      <c r="O1418" s="822" t="s">
        <v>3324</v>
      </c>
      <c r="P1418" s="823">
        <v>5093</v>
      </c>
      <c r="Q1418" s="823" t="s">
        <v>3195</v>
      </c>
    </row>
    <row r="1419" spans="2:17" s="608" customFormat="1" x14ac:dyDescent="0.25">
      <c r="B1419" s="605" t="s">
        <v>3451</v>
      </c>
      <c r="C1419" s="606">
        <f t="shared" si="45"/>
        <v>448130</v>
      </c>
      <c r="D1419" s="607" t="s">
        <v>3452</v>
      </c>
      <c r="E1419" s="607" t="s">
        <v>3453</v>
      </c>
      <c r="F1419" s="607" t="s">
        <v>3454</v>
      </c>
      <c r="G1419" s="607" t="s">
        <v>1594</v>
      </c>
      <c r="H1419" s="607" t="s">
        <v>1594</v>
      </c>
      <c r="I1419" s="607" t="s">
        <v>1608</v>
      </c>
      <c r="J1419" s="608" t="str">
        <f t="shared" si="44"/>
        <v>Textile Apparel Luxury Goods</v>
      </c>
      <c r="N1419" s="822">
        <v>425110</v>
      </c>
      <c r="O1419" s="822" t="s">
        <v>3324</v>
      </c>
      <c r="P1419" s="823">
        <v>5094</v>
      </c>
      <c r="Q1419" s="823" t="s">
        <v>3199</v>
      </c>
    </row>
    <row r="1420" spans="2:17" s="608" customFormat="1" x14ac:dyDescent="0.25">
      <c r="B1420" s="605" t="s">
        <v>3455</v>
      </c>
      <c r="C1420" s="606">
        <f t="shared" si="45"/>
        <v>448140</v>
      </c>
      <c r="D1420" s="607" t="s">
        <v>3456</v>
      </c>
      <c r="E1420" s="607" t="s">
        <v>3457</v>
      </c>
      <c r="F1420" s="607" t="s">
        <v>3456</v>
      </c>
      <c r="G1420" s="607" t="s">
        <v>1594</v>
      </c>
      <c r="H1420" s="607" t="s">
        <v>1594</v>
      </c>
      <c r="I1420" s="607" t="s">
        <v>1608</v>
      </c>
      <c r="J1420" s="608" t="str">
        <f t="shared" si="44"/>
        <v>Textile Apparel Luxury Goods</v>
      </c>
      <c r="N1420" s="822">
        <v>425110</v>
      </c>
      <c r="O1420" s="822" t="s">
        <v>3324</v>
      </c>
      <c r="P1420" s="823">
        <v>5099</v>
      </c>
      <c r="Q1420" s="823" t="s">
        <v>3203</v>
      </c>
    </row>
    <row r="1421" spans="2:17" s="608" customFormat="1" x14ac:dyDescent="0.25">
      <c r="B1421" s="605" t="s">
        <v>3458</v>
      </c>
      <c r="C1421" s="606">
        <f t="shared" si="45"/>
        <v>448150</v>
      </c>
      <c r="D1421" s="607" t="s">
        <v>3459</v>
      </c>
      <c r="E1421" s="607" t="s">
        <v>3446</v>
      </c>
      <c r="F1421" s="607" t="s">
        <v>3447</v>
      </c>
      <c r="G1421" s="607" t="s">
        <v>1594</v>
      </c>
      <c r="H1421" s="607" t="s">
        <v>1594</v>
      </c>
      <c r="I1421" s="607" t="s">
        <v>1608</v>
      </c>
      <c r="J1421" s="608" t="str">
        <f t="shared" si="44"/>
        <v>Textile Apparel Luxury Goods</v>
      </c>
      <c r="N1421" s="822">
        <v>425110</v>
      </c>
      <c r="O1421" s="822" t="s">
        <v>3324</v>
      </c>
      <c r="P1421" s="823">
        <v>5111</v>
      </c>
      <c r="Q1421" s="823" t="s">
        <v>3209</v>
      </c>
    </row>
    <row r="1422" spans="2:17" s="608" customFormat="1" x14ac:dyDescent="0.25">
      <c r="B1422" s="605" t="s">
        <v>3458</v>
      </c>
      <c r="C1422" s="606">
        <f t="shared" si="45"/>
        <v>448150</v>
      </c>
      <c r="D1422" s="607" t="s">
        <v>3459</v>
      </c>
      <c r="E1422" s="607" t="s">
        <v>3460</v>
      </c>
      <c r="F1422" s="607" t="s">
        <v>3461</v>
      </c>
      <c r="G1422" s="607" t="s">
        <v>1594</v>
      </c>
      <c r="H1422" s="607" t="s">
        <v>1594</v>
      </c>
      <c r="I1422" s="607" t="s">
        <v>1608</v>
      </c>
      <c r="J1422" s="608" t="str">
        <f t="shared" si="44"/>
        <v>Textile Apparel Luxury Goods</v>
      </c>
      <c r="N1422" s="822">
        <v>425110</v>
      </c>
      <c r="O1422" s="822" t="s">
        <v>3324</v>
      </c>
      <c r="P1422" s="823">
        <v>5112</v>
      </c>
      <c r="Q1422" s="823" t="s">
        <v>3213</v>
      </c>
    </row>
    <row r="1423" spans="2:17" s="608" customFormat="1" x14ac:dyDescent="0.25">
      <c r="B1423" s="605" t="s">
        <v>3458</v>
      </c>
      <c r="C1423" s="606">
        <f t="shared" si="45"/>
        <v>448150</v>
      </c>
      <c r="D1423" s="607" t="s">
        <v>3459</v>
      </c>
      <c r="E1423" s="607" t="s">
        <v>1743</v>
      </c>
      <c r="F1423" s="607" t="s">
        <v>1744</v>
      </c>
      <c r="G1423" s="607" t="s">
        <v>1594</v>
      </c>
      <c r="H1423" s="607" t="s">
        <v>1594</v>
      </c>
      <c r="I1423" s="607" t="s">
        <v>1608</v>
      </c>
      <c r="J1423" s="608" t="str">
        <f t="shared" ref="J1423:J1486" si="46">PROPER(I1423)</f>
        <v>Textile Apparel Luxury Goods</v>
      </c>
      <c r="N1423" s="822">
        <v>425110</v>
      </c>
      <c r="O1423" s="822" t="s">
        <v>3324</v>
      </c>
      <c r="P1423" s="823">
        <v>5113</v>
      </c>
      <c r="Q1423" s="823" t="s">
        <v>3217</v>
      </c>
    </row>
    <row r="1424" spans="2:17" s="608" customFormat="1" x14ac:dyDescent="0.25">
      <c r="B1424" s="605" t="s">
        <v>3462</v>
      </c>
      <c r="C1424" s="606">
        <f t="shared" si="45"/>
        <v>448190</v>
      </c>
      <c r="D1424" s="607" t="s">
        <v>3463</v>
      </c>
      <c r="E1424" s="607" t="s">
        <v>3184</v>
      </c>
      <c r="F1424" s="607" t="s">
        <v>3185</v>
      </c>
      <c r="G1424" s="607" t="s">
        <v>1594</v>
      </c>
      <c r="H1424" s="607" t="s">
        <v>1594</v>
      </c>
      <c r="I1424" s="607" t="s">
        <v>1608</v>
      </c>
      <c r="J1424" s="608" t="str">
        <f t="shared" si="46"/>
        <v>Textile Apparel Luxury Goods</v>
      </c>
      <c r="N1424" s="822">
        <v>425110</v>
      </c>
      <c r="O1424" s="822" t="s">
        <v>3324</v>
      </c>
      <c r="P1424" s="823">
        <v>5122</v>
      </c>
      <c r="Q1424" s="823" t="s">
        <v>3221</v>
      </c>
    </row>
    <row r="1425" spans="2:17" s="608" customFormat="1" x14ac:dyDescent="0.25">
      <c r="B1425" s="605" t="s">
        <v>3462</v>
      </c>
      <c r="C1425" s="606">
        <f t="shared" si="45"/>
        <v>448190</v>
      </c>
      <c r="D1425" s="607" t="s">
        <v>3463</v>
      </c>
      <c r="E1425" s="607" t="s">
        <v>3186</v>
      </c>
      <c r="F1425" s="607" t="s">
        <v>3187</v>
      </c>
      <c r="G1425" s="607" t="s">
        <v>1594</v>
      </c>
      <c r="H1425" s="607" t="s">
        <v>1594</v>
      </c>
      <c r="I1425" s="607" t="s">
        <v>1608</v>
      </c>
      <c r="J1425" s="608" t="str">
        <f t="shared" si="46"/>
        <v>Textile Apparel Luxury Goods</v>
      </c>
      <c r="N1425" s="822">
        <v>425110</v>
      </c>
      <c r="O1425" s="822" t="s">
        <v>3324</v>
      </c>
      <c r="P1425" s="823">
        <v>5131</v>
      </c>
      <c r="Q1425" s="823" t="s">
        <v>1648</v>
      </c>
    </row>
    <row r="1426" spans="2:17" s="608" customFormat="1" x14ac:dyDescent="0.25">
      <c r="B1426" s="605" t="s">
        <v>3462</v>
      </c>
      <c r="C1426" s="606">
        <f t="shared" si="45"/>
        <v>448190</v>
      </c>
      <c r="D1426" s="607" t="s">
        <v>3463</v>
      </c>
      <c r="E1426" s="607" t="s">
        <v>3450</v>
      </c>
      <c r="F1426" s="607" t="s">
        <v>3449</v>
      </c>
      <c r="G1426" s="607" t="s">
        <v>1594</v>
      </c>
      <c r="H1426" s="607" t="s">
        <v>1594</v>
      </c>
      <c r="I1426" s="607" t="s">
        <v>1608</v>
      </c>
      <c r="J1426" s="608" t="str">
        <f t="shared" si="46"/>
        <v>Textile Apparel Luxury Goods</v>
      </c>
      <c r="N1426" s="822">
        <v>425110</v>
      </c>
      <c r="O1426" s="822" t="s">
        <v>3324</v>
      </c>
      <c r="P1426" s="823">
        <v>5136</v>
      </c>
      <c r="Q1426" s="823" t="s">
        <v>3185</v>
      </c>
    </row>
    <row r="1427" spans="2:17" s="608" customFormat="1" x14ac:dyDescent="0.25">
      <c r="B1427" s="605" t="s">
        <v>3462</v>
      </c>
      <c r="C1427" s="606">
        <f t="shared" si="45"/>
        <v>448190</v>
      </c>
      <c r="D1427" s="607" t="s">
        <v>3463</v>
      </c>
      <c r="E1427" s="607" t="s">
        <v>3460</v>
      </c>
      <c r="F1427" s="607" t="s">
        <v>3461</v>
      </c>
      <c r="G1427" s="607" t="s">
        <v>1594</v>
      </c>
      <c r="H1427" s="607" t="s">
        <v>1594</v>
      </c>
      <c r="I1427" s="607" t="s">
        <v>1608</v>
      </c>
      <c r="J1427" s="608" t="str">
        <f t="shared" si="46"/>
        <v>Textile Apparel Luxury Goods</v>
      </c>
      <c r="N1427" s="822">
        <v>425110</v>
      </c>
      <c r="O1427" s="822" t="s">
        <v>3324</v>
      </c>
      <c r="P1427" s="823">
        <v>5137</v>
      </c>
      <c r="Q1427" s="823" t="s">
        <v>3187</v>
      </c>
    </row>
    <row r="1428" spans="2:17" s="608" customFormat="1" x14ac:dyDescent="0.25">
      <c r="B1428" s="605" t="s">
        <v>3462</v>
      </c>
      <c r="C1428" s="606">
        <f t="shared" si="45"/>
        <v>448190</v>
      </c>
      <c r="D1428" s="607" t="s">
        <v>3463</v>
      </c>
      <c r="E1428" s="607" t="s">
        <v>1743</v>
      </c>
      <c r="F1428" s="607" t="s">
        <v>1744</v>
      </c>
      <c r="G1428" s="607" t="s">
        <v>1594</v>
      </c>
      <c r="H1428" s="607" t="s">
        <v>1594</v>
      </c>
      <c r="I1428" s="607" t="s">
        <v>1608</v>
      </c>
      <c r="J1428" s="608" t="str">
        <f t="shared" si="46"/>
        <v>Textile Apparel Luxury Goods</v>
      </c>
      <c r="N1428" s="822">
        <v>425110</v>
      </c>
      <c r="O1428" s="822" t="s">
        <v>3324</v>
      </c>
      <c r="P1428" s="823">
        <v>5139</v>
      </c>
      <c r="Q1428" s="823" t="s">
        <v>3233</v>
      </c>
    </row>
    <row r="1429" spans="2:17" s="608" customFormat="1" x14ac:dyDescent="0.25">
      <c r="B1429" s="605" t="s">
        <v>3464</v>
      </c>
      <c r="C1429" s="606">
        <f t="shared" si="45"/>
        <v>448210</v>
      </c>
      <c r="D1429" s="607" t="s">
        <v>3465</v>
      </c>
      <c r="E1429" s="607" t="s">
        <v>3232</v>
      </c>
      <c r="F1429" s="607" t="s">
        <v>3233</v>
      </c>
      <c r="G1429" s="607" t="s">
        <v>1594</v>
      </c>
      <c r="H1429" s="607" t="s">
        <v>1594</v>
      </c>
      <c r="I1429" s="607" t="s">
        <v>2944</v>
      </c>
      <c r="J1429" s="608" t="str">
        <f t="shared" si="46"/>
        <v>Retail Trade</v>
      </c>
      <c r="N1429" s="822">
        <v>425110</v>
      </c>
      <c r="O1429" s="822" t="s">
        <v>3324</v>
      </c>
      <c r="P1429" s="823">
        <v>5141</v>
      </c>
      <c r="Q1429" s="823" t="s">
        <v>3237</v>
      </c>
    </row>
    <row r="1430" spans="2:17" s="608" customFormat="1" x14ac:dyDescent="0.25">
      <c r="B1430" s="605" t="s">
        <v>3464</v>
      </c>
      <c r="C1430" s="606">
        <f t="shared" si="45"/>
        <v>448210</v>
      </c>
      <c r="D1430" s="607" t="s">
        <v>3465</v>
      </c>
      <c r="E1430" s="607" t="s">
        <v>3466</v>
      </c>
      <c r="F1430" s="607" t="s">
        <v>3465</v>
      </c>
      <c r="G1430" s="607" t="s">
        <v>1594</v>
      </c>
      <c r="H1430" s="607" t="s">
        <v>1594</v>
      </c>
      <c r="I1430" s="607" t="s">
        <v>2944</v>
      </c>
      <c r="J1430" s="608" t="str">
        <f t="shared" si="46"/>
        <v>Retail Trade</v>
      </c>
      <c r="N1430" s="822">
        <v>425110</v>
      </c>
      <c r="O1430" s="822" t="s">
        <v>3324</v>
      </c>
      <c r="P1430" s="823">
        <v>5142</v>
      </c>
      <c r="Q1430" s="823" t="s">
        <v>3241</v>
      </c>
    </row>
    <row r="1431" spans="2:17" s="608" customFormat="1" x14ac:dyDescent="0.25">
      <c r="B1431" s="605" t="s">
        <v>3467</v>
      </c>
      <c r="C1431" s="606">
        <f t="shared" si="45"/>
        <v>448310</v>
      </c>
      <c r="D1431" s="607" t="s">
        <v>3468</v>
      </c>
      <c r="E1431" s="607" t="s">
        <v>3198</v>
      </c>
      <c r="F1431" s="607" t="s">
        <v>3199</v>
      </c>
      <c r="G1431" s="607" t="s">
        <v>1594</v>
      </c>
      <c r="H1431" s="607" t="s">
        <v>1594</v>
      </c>
      <c r="I1431" s="607" t="s">
        <v>2944</v>
      </c>
      <c r="J1431" s="608" t="str">
        <f t="shared" si="46"/>
        <v>Retail Trade</v>
      </c>
      <c r="N1431" s="822">
        <v>425110</v>
      </c>
      <c r="O1431" s="822" t="s">
        <v>3324</v>
      </c>
      <c r="P1431" s="823">
        <v>5143</v>
      </c>
      <c r="Q1431" s="823" t="s">
        <v>3245</v>
      </c>
    </row>
    <row r="1432" spans="2:17" s="608" customFormat="1" x14ac:dyDescent="0.25">
      <c r="B1432" s="605" t="s">
        <v>3467</v>
      </c>
      <c r="C1432" s="606">
        <f t="shared" si="45"/>
        <v>448310</v>
      </c>
      <c r="D1432" s="607" t="s">
        <v>3468</v>
      </c>
      <c r="E1432" s="607" t="s">
        <v>3469</v>
      </c>
      <c r="F1432" s="607" t="s">
        <v>3468</v>
      </c>
      <c r="G1432" s="607" t="s">
        <v>1594</v>
      </c>
      <c r="H1432" s="607" t="s">
        <v>1594</v>
      </c>
      <c r="I1432" s="607" t="s">
        <v>2944</v>
      </c>
      <c r="J1432" s="608" t="str">
        <f t="shared" si="46"/>
        <v>Retail Trade</v>
      </c>
      <c r="N1432" s="822">
        <v>425110</v>
      </c>
      <c r="O1432" s="822" t="s">
        <v>3324</v>
      </c>
      <c r="P1432" s="823">
        <v>5144</v>
      </c>
      <c r="Q1432" s="823" t="s">
        <v>3249</v>
      </c>
    </row>
    <row r="1433" spans="2:17" s="608" customFormat="1" x14ac:dyDescent="0.25">
      <c r="B1433" s="605" t="s">
        <v>3467</v>
      </c>
      <c r="C1433" s="606">
        <f t="shared" si="45"/>
        <v>448310</v>
      </c>
      <c r="D1433" s="607" t="s">
        <v>3468</v>
      </c>
      <c r="E1433" s="607" t="s">
        <v>3470</v>
      </c>
      <c r="F1433" s="607" t="s">
        <v>3471</v>
      </c>
      <c r="G1433" s="607" t="s">
        <v>1594</v>
      </c>
      <c r="H1433" s="607" t="s">
        <v>1594</v>
      </c>
      <c r="I1433" s="607" t="s">
        <v>2944</v>
      </c>
      <c r="J1433" s="608" t="str">
        <f t="shared" si="46"/>
        <v>Retail Trade</v>
      </c>
      <c r="N1433" s="822">
        <v>425110</v>
      </c>
      <c r="O1433" s="822" t="s">
        <v>3324</v>
      </c>
      <c r="P1433" s="823">
        <v>5145</v>
      </c>
      <c r="Q1433" s="823" t="s">
        <v>3253</v>
      </c>
    </row>
    <row r="1434" spans="2:17" s="608" customFormat="1" x14ac:dyDescent="0.25">
      <c r="B1434" s="605" t="s">
        <v>3472</v>
      </c>
      <c r="C1434" s="606">
        <f t="shared" si="45"/>
        <v>448320</v>
      </c>
      <c r="D1434" s="607" t="s">
        <v>3473</v>
      </c>
      <c r="E1434" s="607" t="s">
        <v>3474</v>
      </c>
      <c r="F1434" s="607" t="s">
        <v>3473</v>
      </c>
      <c r="G1434" s="607" t="s">
        <v>1594</v>
      </c>
      <c r="H1434" s="607" t="s">
        <v>1594</v>
      </c>
      <c r="I1434" s="607" t="s">
        <v>2944</v>
      </c>
      <c r="J1434" s="608" t="str">
        <f t="shared" si="46"/>
        <v>Retail Trade</v>
      </c>
      <c r="N1434" s="822">
        <v>425110</v>
      </c>
      <c r="O1434" s="822" t="s">
        <v>3324</v>
      </c>
      <c r="P1434" s="823">
        <v>5146</v>
      </c>
      <c r="Q1434" s="823" t="s">
        <v>3257</v>
      </c>
    </row>
    <row r="1435" spans="2:17" s="608" customFormat="1" x14ac:dyDescent="0.25">
      <c r="B1435" s="605" t="s">
        <v>3475</v>
      </c>
      <c r="C1435" s="606">
        <f t="shared" si="45"/>
        <v>451110</v>
      </c>
      <c r="D1435" s="607" t="s">
        <v>3476</v>
      </c>
      <c r="E1435" s="607" t="s">
        <v>3182</v>
      </c>
      <c r="F1435" s="607" t="s">
        <v>3183</v>
      </c>
      <c r="G1435" s="607" t="s">
        <v>1594</v>
      </c>
      <c r="H1435" s="607" t="s">
        <v>1594</v>
      </c>
      <c r="I1435" s="607" t="s">
        <v>2944</v>
      </c>
      <c r="J1435" s="608" t="str">
        <f t="shared" si="46"/>
        <v>Retail Trade</v>
      </c>
      <c r="N1435" s="822">
        <v>425110</v>
      </c>
      <c r="O1435" s="822" t="s">
        <v>3324</v>
      </c>
      <c r="P1435" s="823">
        <v>5147</v>
      </c>
      <c r="Q1435" s="823" t="s">
        <v>1489</v>
      </c>
    </row>
    <row r="1436" spans="2:17" s="608" customFormat="1" x14ac:dyDescent="0.25">
      <c r="B1436" s="605" t="s">
        <v>3475</v>
      </c>
      <c r="C1436" s="606">
        <f t="shared" si="45"/>
        <v>451110</v>
      </c>
      <c r="D1436" s="607" t="s">
        <v>3476</v>
      </c>
      <c r="E1436" s="607" t="s">
        <v>3202</v>
      </c>
      <c r="F1436" s="607" t="s">
        <v>3203</v>
      </c>
      <c r="G1436" s="607" t="s">
        <v>1594</v>
      </c>
      <c r="H1436" s="607" t="s">
        <v>1594</v>
      </c>
      <c r="I1436" s="607" t="s">
        <v>2944</v>
      </c>
      <c r="J1436" s="608" t="str">
        <f t="shared" si="46"/>
        <v>Retail Trade</v>
      </c>
      <c r="N1436" s="822">
        <v>425110</v>
      </c>
      <c r="O1436" s="822" t="s">
        <v>3324</v>
      </c>
      <c r="P1436" s="823">
        <v>5148</v>
      </c>
      <c r="Q1436" s="823" t="s">
        <v>3263</v>
      </c>
    </row>
    <row r="1437" spans="2:17" s="608" customFormat="1" x14ac:dyDescent="0.25">
      <c r="B1437" s="605" t="s">
        <v>3475</v>
      </c>
      <c r="C1437" s="606">
        <f t="shared" si="45"/>
        <v>451110</v>
      </c>
      <c r="D1437" s="607" t="s">
        <v>3476</v>
      </c>
      <c r="E1437" s="607" t="s">
        <v>3477</v>
      </c>
      <c r="F1437" s="607" t="s">
        <v>3478</v>
      </c>
      <c r="G1437" s="607" t="s">
        <v>1594</v>
      </c>
      <c r="H1437" s="607" t="s">
        <v>1594</v>
      </c>
      <c r="I1437" s="607" t="s">
        <v>2944</v>
      </c>
      <c r="J1437" s="608" t="str">
        <f t="shared" si="46"/>
        <v>Retail Trade</v>
      </c>
      <c r="N1437" s="822">
        <v>425110</v>
      </c>
      <c r="O1437" s="822" t="s">
        <v>3324</v>
      </c>
      <c r="P1437" s="823">
        <v>5149</v>
      </c>
      <c r="Q1437" s="823" t="s">
        <v>1563</v>
      </c>
    </row>
    <row r="1438" spans="2:17" s="608" customFormat="1" x14ac:dyDescent="0.25">
      <c r="B1438" s="605" t="s">
        <v>3475</v>
      </c>
      <c r="C1438" s="606">
        <f t="shared" si="45"/>
        <v>451110</v>
      </c>
      <c r="D1438" s="607" t="s">
        <v>3476</v>
      </c>
      <c r="E1438" s="607" t="s">
        <v>1070</v>
      </c>
      <c r="F1438" s="607" t="s">
        <v>1071</v>
      </c>
      <c r="G1438" s="607" t="s">
        <v>1594</v>
      </c>
      <c r="H1438" s="607" t="s">
        <v>1594</v>
      </c>
      <c r="I1438" s="607" t="s">
        <v>2944</v>
      </c>
      <c r="J1438" s="608" t="str">
        <f t="shared" si="46"/>
        <v>Retail Trade</v>
      </c>
      <c r="N1438" s="822">
        <v>425110</v>
      </c>
      <c r="O1438" s="822" t="s">
        <v>3324</v>
      </c>
      <c r="P1438" s="823">
        <v>5153</v>
      </c>
      <c r="Q1438" s="823" t="s">
        <v>3269</v>
      </c>
    </row>
    <row r="1439" spans="2:17" s="608" customFormat="1" x14ac:dyDescent="0.25">
      <c r="B1439" s="605" t="s">
        <v>3479</v>
      </c>
      <c r="C1439" s="606">
        <f t="shared" si="45"/>
        <v>451120</v>
      </c>
      <c r="D1439" s="607" t="s">
        <v>3480</v>
      </c>
      <c r="E1439" s="607" t="s">
        <v>3190</v>
      </c>
      <c r="F1439" s="607" t="s">
        <v>3191</v>
      </c>
      <c r="G1439" s="607" t="s">
        <v>1594</v>
      </c>
      <c r="H1439" s="607" t="s">
        <v>1594</v>
      </c>
      <c r="I1439" s="607" t="s">
        <v>2944</v>
      </c>
      <c r="J1439" s="608" t="str">
        <f t="shared" si="46"/>
        <v>Retail Trade</v>
      </c>
      <c r="N1439" s="822">
        <v>425110</v>
      </c>
      <c r="O1439" s="822" t="s">
        <v>3324</v>
      </c>
      <c r="P1439" s="823">
        <v>5154</v>
      </c>
      <c r="Q1439" s="823" t="s">
        <v>3273</v>
      </c>
    </row>
    <row r="1440" spans="2:17" s="608" customFormat="1" x14ac:dyDescent="0.25">
      <c r="B1440" s="605" t="s">
        <v>3479</v>
      </c>
      <c r="C1440" s="606">
        <f t="shared" si="45"/>
        <v>451120</v>
      </c>
      <c r="D1440" s="607" t="s">
        <v>3480</v>
      </c>
      <c r="E1440" s="607" t="s">
        <v>3202</v>
      </c>
      <c r="F1440" s="607" t="s">
        <v>3203</v>
      </c>
      <c r="G1440" s="607" t="s">
        <v>1594</v>
      </c>
      <c r="H1440" s="607" t="s">
        <v>1594</v>
      </c>
      <c r="I1440" s="607" t="s">
        <v>2944</v>
      </c>
      <c r="J1440" s="608" t="str">
        <f t="shared" si="46"/>
        <v>Retail Trade</v>
      </c>
      <c r="N1440" s="822">
        <v>425110</v>
      </c>
      <c r="O1440" s="822" t="s">
        <v>3324</v>
      </c>
      <c r="P1440" s="823">
        <v>5159</v>
      </c>
      <c r="Q1440" s="823" t="s">
        <v>3277</v>
      </c>
    </row>
    <row r="1441" spans="2:17" s="608" customFormat="1" x14ac:dyDescent="0.25">
      <c r="B1441" s="605" t="s">
        <v>3479</v>
      </c>
      <c r="C1441" s="606">
        <f t="shared" si="45"/>
        <v>451120</v>
      </c>
      <c r="D1441" s="607" t="s">
        <v>3480</v>
      </c>
      <c r="E1441" s="607" t="s">
        <v>3481</v>
      </c>
      <c r="F1441" s="607" t="s">
        <v>3482</v>
      </c>
      <c r="G1441" s="607" t="s">
        <v>1594</v>
      </c>
      <c r="H1441" s="607" t="s">
        <v>1594</v>
      </c>
      <c r="I1441" s="607" t="s">
        <v>2944</v>
      </c>
      <c r="J1441" s="608" t="str">
        <f t="shared" si="46"/>
        <v>Retail Trade</v>
      </c>
      <c r="N1441" s="822">
        <v>425110</v>
      </c>
      <c r="O1441" s="822" t="s">
        <v>3324</v>
      </c>
      <c r="P1441" s="823">
        <v>5162</v>
      </c>
      <c r="Q1441" s="823" t="s">
        <v>3281</v>
      </c>
    </row>
    <row r="1442" spans="2:17" s="608" customFormat="1" x14ac:dyDescent="0.25">
      <c r="B1442" s="605" t="s">
        <v>3483</v>
      </c>
      <c r="C1442" s="606">
        <f t="shared" si="45"/>
        <v>451130</v>
      </c>
      <c r="D1442" s="607" t="s">
        <v>3484</v>
      </c>
      <c r="E1442" s="607" t="s">
        <v>1647</v>
      </c>
      <c r="F1442" s="607" t="s">
        <v>1648</v>
      </c>
      <c r="G1442" s="607" t="s">
        <v>1594</v>
      </c>
      <c r="H1442" s="607" t="s">
        <v>1594</v>
      </c>
      <c r="I1442" s="607" t="s">
        <v>2944</v>
      </c>
      <c r="J1442" s="608" t="str">
        <f t="shared" si="46"/>
        <v>Retail Trade</v>
      </c>
      <c r="N1442" s="822">
        <v>425110</v>
      </c>
      <c r="O1442" s="822" t="s">
        <v>3324</v>
      </c>
      <c r="P1442" s="823">
        <v>5169</v>
      </c>
      <c r="Q1442" s="823" t="s">
        <v>3285</v>
      </c>
    </row>
    <row r="1443" spans="2:17" s="608" customFormat="1" x14ac:dyDescent="0.25">
      <c r="B1443" s="605" t="s">
        <v>3483</v>
      </c>
      <c r="C1443" s="606">
        <f t="shared" si="45"/>
        <v>451130</v>
      </c>
      <c r="D1443" s="607" t="s">
        <v>3484</v>
      </c>
      <c r="E1443" s="607" t="s">
        <v>1665</v>
      </c>
      <c r="F1443" s="607" t="s">
        <v>1666</v>
      </c>
      <c r="G1443" s="607" t="s">
        <v>1594</v>
      </c>
      <c r="H1443" s="607" t="s">
        <v>1594</v>
      </c>
      <c r="I1443" s="607" t="s">
        <v>2944</v>
      </c>
      <c r="J1443" s="608" t="str">
        <f t="shared" si="46"/>
        <v>Retail Trade</v>
      </c>
      <c r="N1443" s="822">
        <v>425110</v>
      </c>
      <c r="O1443" s="822" t="s">
        <v>3324</v>
      </c>
      <c r="P1443" s="823">
        <v>5172</v>
      </c>
      <c r="Q1443" s="823" t="s">
        <v>3292</v>
      </c>
    </row>
    <row r="1444" spans="2:17" s="608" customFormat="1" x14ac:dyDescent="0.25">
      <c r="B1444" s="605" t="s">
        <v>3483</v>
      </c>
      <c r="C1444" s="606">
        <f t="shared" si="45"/>
        <v>451130</v>
      </c>
      <c r="D1444" s="607" t="s">
        <v>3484</v>
      </c>
      <c r="E1444" s="607" t="s">
        <v>3485</v>
      </c>
      <c r="F1444" s="607" t="s">
        <v>3486</v>
      </c>
      <c r="G1444" s="607" t="s">
        <v>1594</v>
      </c>
      <c r="H1444" s="607" t="s">
        <v>1594</v>
      </c>
      <c r="I1444" s="607" t="s">
        <v>2944</v>
      </c>
      <c r="J1444" s="608" t="str">
        <f t="shared" si="46"/>
        <v>Retail Trade</v>
      </c>
      <c r="N1444" s="822">
        <v>425110</v>
      </c>
      <c r="O1444" s="822" t="s">
        <v>3324</v>
      </c>
      <c r="P1444" s="823">
        <v>5181</v>
      </c>
      <c r="Q1444" s="823" t="s">
        <v>3296</v>
      </c>
    </row>
    <row r="1445" spans="2:17" s="608" customFormat="1" x14ac:dyDescent="0.25">
      <c r="B1445" s="605" t="s">
        <v>3487</v>
      </c>
      <c r="C1445" s="606">
        <f t="shared" si="45"/>
        <v>451140</v>
      </c>
      <c r="D1445" s="607" t="s">
        <v>3488</v>
      </c>
      <c r="E1445" s="607" t="s">
        <v>3489</v>
      </c>
      <c r="F1445" s="607" t="s">
        <v>3490</v>
      </c>
      <c r="G1445" s="607" t="s">
        <v>1594</v>
      </c>
      <c r="H1445" s="607" t="s">
        <v>1594</v>
      </c>
      <c r="I1445" s="607" t="s">
        <v>2944</v>
      </c>
      <c r="J1445" s="608" t="str">
        <f t="shared" si="46"/>
        <v>Retail Trade</v>
      </c>
      <c r="N1445" s="822">
        <v>425110</v>
      </c>
      <c r="O1445" s="822" t="s">
        <v>3324</v>
      </c>
      <c r="P1445" s="823">
        <v>5182</v>
      </c>
      <c r="Q1445" s="823" t="s">
        <v>3300</v>
      </c>
    </row>
    <row r="1446" spans="2:17" s="608" customFormat="1" x14ac:dyDescent="0.25">
      <c r="B1446" s="605" t="s">
        <v>3491</v>
      </c>
      <c r="C1446" s="606">
        <f t="shared" si="45"/>
        <v>451211</v>
      </c>
      <c r="D1446" s="607" t="s">
        <v>3492</v>
      </c>
      <c r="E1446" s="607" t="s">
        <v>3307</v>
      </c>
      <c r="F1446" s="607" t="s">
        <v>3308</v>
      </c>
      <c r="G1446" s="607" t="s">
        <v>1594</v>
      </c>
      <c r="H1446" s="607" t="s">
        <v>1594</v>
      </c>
      <c r="I1446" s="607" t="s">
        <v>2944</v>
      </c>
      <c r="J1446" s="608" t="str">
        <f t="shared" si="46"/>
        <v>Retail Trade</v>
      </c>
      <c r="N1446" s="822">
        <v>425110</v>
      </c>
      <c r="O1446" s="822" t="s">
        <v>3324</v>
      </c>
      <c r="P1446" s="823">
        <v>5191</v>
      </c>
      <c r="Q1446" s="823" t="s">
        <v>3304</v>
      </c>
    </row>
    <row r="1447" spans="2:17" s="608" customFormat="1" x14ac:dyDescent="0.25">
      <c r="B1447" s="605" t="s">
        <v>3491</v>
      </c>
      <c r="C1447" s="606">
        <f t="shared" si="45"/>
        <v>451211</v>
      </c>
      <c r="D1447" s="607" t="s">
        <v>3492</v>
      </c>
      <c r="E1447" s="607" t="s">
        <v>3493</v>
      </c>
      <c r="F1447" s="607" t="s">
        <v>3492</v>
      </c>
      <c r="G1447" s="607" t="s">
        <v>1594</v>
      </c>
      <c r="H1447" s="607" t="s">
        <v>1594</v>
      </c>
      <c r="I1447" s="607" t="s">
        <v>2944</v>
      </c>
      <c r="J1447" s="608" t="str">
        <f t="shared" si="46"/>
        <v>Retail Trade</v>
      </c>
      <c r="N1447" s="822">
        <v>425110</v>
      </c>
      <c r="O1447" s="822" t="s">
        <v>3324</v>
      </c>
      <c r="P1447" s="823">
        <v>5192</v>
      </c>
      <c r="Q1447" s="823" t="s">
        <v>3308</v>
      </c>
    </row>
    <row r="1448" spans="2:17" s="608" customFormat="1" x14ac:dyDescent="0.25">
      <c r="B1448" s="605" t="s">
        <v>3494</v>
      </c>
      <c r="C1448" s="606">
        <f t="shared" si="45"/>
        <v>451212</v>
      </c>
      <c r="D1448" s="607" t="s">
        <v>3495</v>
      </c>
      <c r="E1448" s="607" t="s">
        <v>3496</v>
      </c>
      <c r="F1448" s="607" t="s">
        <v>3495</v>
      </c>
      <c r="G1448" s="607" t="s">
        <v>1594</v>
      </c>
      <c r="H1448" s="607" t="s">
        <v>1594</v>
      </c>
      <c r="I1448" s="607" t="s">
        <v>2944</v>
      </c>
      <c r="J1448" s="608" t="str">
        <f t="shared" si="46"/>
        <v>Retail Trade</v>
      </c>
      <c r="N1448" s="822">
        <v>425110</v>
      </c>
      <c r="O1448" s="822" t="s">
        <v>3324</v>
      </c>
      <c r="P1448" s="823">
        <v>5193</v>
      </c>
      <c r="Q1448" s="823" t="s">
        <v>3312</v>
      </c>
    </row>
    <row r="1449" spans="2:17" s="608" customFormat="1" x14ac:dyDescent="0.25">
      <c r="B1449" s="605" t="s">
        <v>3497</v>
      </c>
      <c r="C1449" s="606">
        <f t="shared" si="45"/>
        <v>452210</v>
      </c>
      <c r="D1449" s="607" t="s">
        <v>3498</v>
      </c>
      <c r="E1449" s="607" t="s">
        <v>3499</v>
      </c>
      <c r="F1449" s="607" t="s">
        <v>3498</v>
      </c>
      <c r="G1449" s="607" t="s">
        <v>1594</v>
      </c>
      <c r="H1449" s="607" t="s">
        <v>1594</v>
      </c>
      <c r="I1449" s="607" t="s">
        <v>2944</v>
      </c>
      <c r="J1449" s="608" t="str">
        <f t="shared" si="46"/>
        <v>Retail Trade</v>
      </c>
      <c r="N1449" s="822">
        <v>425110</v>
      </c>
      <c r="O1449" s="822" t="s">
        <v>3324</v>
      </c>
      <c r="P1449" s="823">
        <v>5194</v>
      </c>
      <c r="Q1449" s="823" t="s">
        <v>3316</v>
      </c>
    </row>
    <row r="1450" spans="2:17" s="608" customFormat="1" x14ac:dyDescent="0.25">
      <c r="B1450" s="605" t="s">
        <v>3500</v>
      </c>
      <c r="C1450" s="606">
        <f t="shared" si="45"/>
        <v>452311</v>
      </c>
      <c r="D1450" s="607" t="s">
        <v>3501</v>
      </c>
      <c r="E1450" s="607" t="s">
        <v>3499</v>
      </c>
      <c r="F1450" s="607" t="s">
        <v>3498</v>
      </c>
      <c r="G1450" s="607" t="s">
        <v>1594</v>
      </c>
      <c r="H1450" s="607" t="s">
        <v>1594</v>
      </c>
      <c r="I1450" s="607" t="s">
        <v>2944</v>
      </c>
      <c r="J1450" s="608" t="str">
        <f t="shared" si="46"/>
        <v>Retail Trade</v>
      </c>
      <c r="N1450" s="822">
        <v>425110</v>
      </c>
      <c r="O1450" s="822" t="s">
        <v>3324</v>
      </c>
      <c r="P1450" s="823">
        <v>5198</v>
      </c>
      <c r="Q1450" s="823" t="s">
        <v>3320</v>
      </c>
    </row>
    <row r="1451" spans="2:17" s="608" customFormat="1" x14ac:dyDescent="0.25">
      <c r="B1451" s="605" t="s">
        <v>3500</v>
      </c>
      <c r="C1451" s="606">
        <f t="shared" si="45"/>
        <v>452311</v>
      </c>
      <c r="D1451" s="607" t="s">
        <v>3501</v>
      </c>
      <c r="E1451" s="607" t="s">
        <v>3502</v>
      </c>
      <c r="F1451" s="607" t="s">
        <v>3503</v>
      </c>
      <c r="G1451" s="607" t="s">
        <v>1594</v>
      </c>
      <c r="H1451" s="607" t="s">
        <v>1594</v>
      </c>
      <c r="I1451" s="607" t="s">
        <v>2944</v>
      </c>
      <c r="J1451" s="608" t="str">
        <f t="shared" si="46"/>
        <v>Retail Trade</v>
      </c>
      <c r="N1451" s="822">
        <v>425110</v>
      </c>
      <c r="O1451" s="822" t="s">
        <v>3324</v>
      </c>
      <c r="P1451" s="823">
        <v>5199</v>
      </c>
      <c r="Q1451" s="823" t="s">
        <v>3225</v>
      </c>
    </row>
    <row r="1452" spans="2:17" s="608" customFormat="1" x14ac:dyDescent="0.25">
      <c r="B1452" s="605" t="s">
        <v>3500</v>
      </c>
      <c r="C1452" s="606">
        <f t="shared" si="45"/>
        <v>452311</v>
      </c>
      <c r="D1452" s="607" t="s">
        <v>3501</v>
      </c>
      <c r="E1452" s="607" t="s">
        <v>3400</v>
      </c>
      <c r="F1452" s="607" t="s">
        <v>3401</v>
      </c>
      <c r="G1452" s="607" t="s">
        <v>1594</v>
      </c>
      <c r="H1452" s="607" t="s">
        <v>1594</v>
      </c>
      <c r="I1452" s="607" t="s">
        <v>2944</v>
      </c>
      <c r="J1452" s="608" t="str">
        <f t="shared" si="46"/>
        <v>Retail Trade</v>
      </c>
      <c r="N1452" s="822">
        <v>425120</v>
      </c>
      <c r="O1452" s="822" t="s">
        <v>3326</v>
      </c>
      <c r="P1452" s="823">
        <v>5012</v>
      </c>
      <c r="Q1452" s="823" t="s">
        <v>3056</v>
      </c>
    </row>
    <row r="1453" spans="2:17" s="608" customFormat="1" x14ac:dyDescent="0.25">
      <c r="B1453" s="605" t="s">
        <v>3504</v>
      </c>
      <c r="C1453" s="606">
        <f t="shared" si="45"/>
        <v>452319</v>
      </c>
      <c r="D1453" s="607" t="s">
        <v>3505</v>
      </c>
      <c r="E1453" s="607" t="s">
        <v>3506</v>
      </c>
      <c r="F1453" s="607" t="s">
        <v>3507</v>
      </c>
      <c r="G1453" s="607" t="s">
        <v>1594</v>
      </c>
      <c r="H1453" s="607" t="s">
        <v>1594</v>
      </c>
      <c r="I1453" s="607" t="s">
        <v>2944</v>
      </c>
      <c r="J1453" s="608" t="str">
        <f t="shared" si="46"/>
        <v>Retail Trade</v>
      </c>
      <c r="N1453" s="822">
        <v>425120</v>
      </c>
      <c r="O1453" s="822" t="s">
        <v>3326</v>
      </c>
      <c r="P1453" s="823">
        <v>5013</v>
      </c>
      <c r="Q1453" s="823" t="s">
        <v>3061</v>
      </c>
    </row>
    <row r="1454" spans="2:17" s="608" customFormat="1" x14ac:dyDescent="0.25">
      <c r="B1454" s="605" t="s">
        <v>3504</v>
      </c>
      <c r="C1454" s="606">
        <f t="shared" si="45"/>
        <v>452319</v>
      </c>
      <c r="D1454" s="607" t="s">
        <v>3505</v>
      </c>
      <c r="E1454" s="607" t="s">
        <v>3502</v>
      </c>
      <c r="F1454" s="607" t="s">
        <v>3503</v>
      </c>
      <c r="G1454" s="607" t="s">
        <v>1594</v>
      </c>
      <c r="H1454" s="607" t="s">
        <v>1594</v>
      </c>
      <c r="I1454" s="607" t="s">
        <v>2944</v>
      </c>
      <c r="J1454" s="608" t="str">
        <f t="shared" si="46"/>
        <v>Retail Trade</v>
      </c>
      <c r="N1454" s="822">
        <v>425120</v>
      </c>
      <c r="O1454" s="822" t="s">
        <v>3326</v>
      </c>
      <c r="P1454" s="823">
        <v>5014</v>
      </c>
      <c r="Q1454" s="823" t="s">
        <v>3065</v>
      </c>
    </row>
    <row r="1455" spans="2:17" s="608" customFormat="1" x14ac:dyDescent="0.25">
      <c r="B1455" s="605" t="s">
        <v>3504</v>
      </c>
      <c r="C1455" s="606">
        <f t="shared" si="45"/>
        <v>452319</v>
      </c>
      <c r="D1455" s="607" t="s">
        <v>3505</v>
      </c>
      <c r="E1455" s="607" t="s">
        <v>3348</v>
      </c>
      <c r="F1455" s="607" t="s">
        <v>3349</v>
      </c>
      <c r="G1455" s="607" t="s">
        <v>1594</v>
      </c>
      <c r="H1455" s="607" t="s">
        <v>1594</v>
      </c>
      <c r="I1455" s="607" t="s">
        <v>2944</v>
      </c>
      <c r="J1455" s="608" t="str">
        <f t="shared" si="46"/>
        <v>Retail Trade</v>
      </c>
      <c r="N1455" s="822">
        <v>425120</v>
      </c>
      <c r="O1455" s="822" t="s">
        <v>3326</v>
      </c>
      <c r="P1455" s="823">
        <v>5015</v>
      </c>
      <c r="Q1455" s="823" t="s">
        <v>3069</v>
      </c>
    </row>
    <row r="1456" spans="2:17" s="608" customFormat="1" x14ac:dyDescent="0.25">
      <c r="B1456" s="605" t="s">
        <v>3508</v>
      </c>
      <c r="C1456" s="606">
        <f t="shared" si="45"/>
        <v>453110</v>
      </c>
      <c r="D1456" s="607" t="s">
        <v>3509</v>
      </c>
      <c r="E1456" s="607" t="s">
        <v>3510</v>
      </c>
      <c r="F1456" s="607" t="s">
        <v>3509</v>
      </c>
      <c r="G1456" s="607" t="s">
        <v>1594</v>
      </c>
      <c r="H1456" s="607" t="s">
        <v>1594</v>
      </c>
      <c r="I1456" s="607" t="s">
        <v>2944</v>
      </c>
      <c r="J1456" s="608" t="str">
        <f t="shared" si="46"/>
        <v>Retail Trade</v>
      </c>
      <c r="N1456" s="822">
        <v>425120</v>
      </c>
      <c r="O1456" s="822" t="s">
        <v>3326</v>
      </c>
      <c r="P1456" s="823">
        <v>5021</v>
      </c>
      <c r="Q1456" s="823" t="s">
        <v>3073</v>
      </c>
    </row>
    <row r="1457" spans="2:17" s="608" customFormat="1" x14ac:dyDescent="0.25">
      <c r="B1457" s="605" t="s">
        <v>3511</v>
      </c>
      <c r="C1457" s="606">
        <f t="shared" si="45"/>
        <v>453210</v>
      </c>
      <c r="D1457" s="607" t="s">
        <v>3512</v>
      </c>
      <c r="E1457" s="607" t="s">
        <v>3099</v>
      </c>
      <c r="F1457" s="607" t="s">
        <v>3100</v>
      </c>
      <c r="G1457" s="607" t="s">
        <v>1594</v>
      </c>
      <c r="H1457" s="607" t="s">
        <v>1594</v>
      </c>
      <c r="I1457" s="607" t="s">
        <v>2944</v>
      </c>
      <c r="J1457" s="608" t="str">
        <f t="shared" si="46"/>
        <v>Retail Trade</v>
      </c>
      <c r="N1457" s="822">
        <v>425120</v>
      </c>
      <c r="O1457" s="822" t="s">
        <v>3326</v>
      </c>
      <c r="P1457" s="823">
        <v>5023</v>
      </c>
      <c r="Q1457" s="823" t="s">
        <v>3077</v>
      </c>
    </row>
    <row r="1458" spans="2:17" s="608" customFormat="1" x14ac:dyDescent="0.25">
      <c r="B1458" s="605" t="s">
        <v>3511</v>
      </c>
      <c r="C1458" s="606">
        <f t="shared" si="45"/>
        <v>453210</v>
      </c>
      <c r="D1458" s="607" t="s">
        <v>3512</v>
      </c>
      <c r="E1458" s="607" t="s">
        <v>3118</v>
      </c>
      <c r="F1458" s="607" t="s">
        <v>3119</v>
      </c>
      <c r="G1458" s="607" t="s">
        <v>1594</v>
      </c>
      <c r="H1458" s="607" t="s">
        <v>1594</v>
      </c>
      <c r="I1458" s="607" t="s">
        <v>2944</v>
      </c>
      <c r="J1458" s="608" t="str">
        <f t="shared" si="46"/>
        <v>Retail Trade</v>
      </c>
      <c r="N1458" s="822">
        <v>425120</v>
      </c>
      <c r="O1458" s="822" t="s">
        <v>3326</v>
      </c>
      <c r="P1458" s="823">
        <v>5031</v>
      </c>
      <c r="Q1458" s="823" t="s">
        <v>3081</v>
      </c>
    </row>
    <row r="1459" spans="2:17" s="608" customFormat="1" x14ac:dyDescent="0.25">
      <c r="B1459" s="605" t="s">
        <v>3511</v>
      </c>
      <c r="C1459" s="606">
        <f t="shared" si="45"/>
        <v>453210</v>
      </c>
      <c r="D1459" s="607" t="s">
        <v>3512</v>
      </c>
      <c r="E1459" s="607" t="s">
        <v>3208</v>
      </c>
      <c r="F1459" s="607" t="s">
        <v>3209</v>
      </c>
      <c r="G1459" s="607" t="s">
        <v>1594</v>
      </c>
      <c r="H1459" s="607" t="s">
        <v>1594</v>
      </c>
      <c r="I1459" s="607" t="s">
        <v>2944</v>
      </c>
      <c r="J1459" s="608" t="str">
        <f t="shared" si="46"/>
        <v>Retail Trade</v>
      </c>
      <c r="N1459" s="822">
        <v>425120</v>
      </c>
      <c r="O1459" s="822" t="s">
        <v>3326</v>
      </c>
      <c r="P1459" s="823">
        <v>5032</v>
      </c>
      <c r="Q1459" s="823" t="s">
        <v>3087</v>
      </c>
    </row>
    <row r="1460" spans="2:17" s="608" customFormat="1" x14ac:dyDescent="0.25">
      <c r="B1460" s="605" t="s">
        <v>3511</v>
      </c>
      <c r="C1460" s="606">
        <f t="shared" si="45"/>
        <v>453210</v>
      </c>
      <c r="D1460" s="607" t="s">
        <v>3512</v>
      </c>
      <c r="E1460" s="607" t="s">
        <v>3212</v>
      </c>
      <c r="F1460" s="607" t="s">
        <v>3213</v>
      </c>
      <c r="G1460" s="607" t="s">
        <v>1594</v>
      </c>
      <c r="H1460" s="607" t="s">
        <v>1594</v>
      </c>
      <c r="I1460" s="607" t="s">
        <v>2944</v>
      </c>
      <c r="J1460" s="608" t="str">
        <f t="shared" si="46"/>
        <v>Retail Trade</v>
      </c>
      <c r="N1460" s="822">
        <v>425120</v>
      </c>
      <c r="O1460" s="822" t="s">
        <v>3326</v>
      </c>
      <c r="P1460" s="823">
        <v>5033</v>
      </c>
      <c r="Q1460" s="823" t="s">
        <v>3091</v>
      </c>
    </row>
    <row r="1461" spans="2:17" s="608" customFormat="1" x14ac:dyDescent="0.25">
      <c r="B1461" s="605" t="s">
        <v>3511</v>
      </c>
      <c r="C1461" s="606">
        <f t="shared" si="45"/>
        <v>453210</v>
      </c>
      <c r="D1461" s="607" t="s">
        <v>3512</v>
      </c>
      <c r="E1461" s="607" t="s">
        <v>3513</v>
      </c>
      <c r="F1461" s="607" t="s">
        <v>3514</v>
      </c>
      <c r="G1461" s="607" t="s">
        <v>1594</v>
      </c>
      <c r="H1461" s="607" t="s">
        <v>1594</v>
      </c>
      <c r="I1461" s="607" t="s">
        <v>2944</v>
      </c>
      <c r="J1461" s="608" t="str">
        <f t="shared" si="46"/>
        <v>Retail Trade</v>
      </c>
      <c r="N1461" s="822">
        <v>425120</v>
      </c>
      <c r="O1461" s="822" t="s">
        <v>3326</v>
      </c>
      <c r="P1461" s="823">
        <v>5039</v>
      </c>
      <c r="Q1461" s="823" t="s">
        <v>3083</v>
      </c>
    </row>
    <row r="1462" spans="2:17" s="608" customFormat="1" x14ac:dyDescent="0.25">
      <c r="B1462" s="605" t="s">
        <v>3515</v>
      </c>
      <c r="C1462" s="606">
        <f t="shared" si="45"/>
        <v>453220</v>
      </c>
      <c r="D1462" s="607" t="s">
        <v>3516</v>
      </c>
      <c r="E1462" s="607" t="s">
        <v>3224</v>
      </c>
      <c r="F1462" s="607" t="s">
        <v>3225</v>
      </c>
      <c r="G1462" s="607" t="s">
        <v>1594</v>
      </c>
      <c r="H1462" s="607" t="s">
        <v>1594</v>
      </c>
      <c r="I1462" s="607" t="s">
        <v>2944</v>
      </c>
      <c r="J1462" s="608" t="str">
        <f t="shared" si="46"/>
        <v>Retail Trade</v>
      </c>
      <c r="N1462" s="822">
        <v>425120</v>
      </c>
      <c r="O1462" s="822" t="s">
        <v>3326</v>
      </c>
      <c r="P1462" s="823">
        <v>5043</v>
      </c>
      <c r="Q1462" s="823" t="s">
        <v>2074</v>
      </c>
    </row>
    <row r="1463" spans="2:17" s="608" customFormat="1" x14ac:dyDescent="0.25">
      <c r="B1463" s="605" t="s">
        <v>3515</v>
      </c>
      <c r="C1463" s="606">
        <f t="shared" si="45"/>
        <v>453220</v>
      </c>
      <c r="D1463" s="607" t="s">
        <v>3516</v>
      </c>
      <c r="E1463" s="607" t="s">
        <v>3517</v>
      </c>
      <c r="F1463" s="607" t="s">
        <v>3518</v>
      </c>
      <c r="G1463" s="607" t="s">
        <v>1594</v>
      </c>
      <c r="H1463" s="607" t="s">
        <v>1594</v>
      </c>
      <c r="I1463" s="607" t="s">
        <v>2944</v>
      </c>
      <c r="J1463" s="608" t="str">
        <f t="shared" si="46"/>
        <v>Retail Trade</v>
      </c>
      <c r="N1463" s="822">
        <v>425120</v>
      </c>
      <c r="O1463" s="822" t="s">
        <v>3326</v>
      </c>
      <c r="P1463" s="823">
        <v>5044</v>
      </c>
      <c r="Q1463" s="823" t="s">
        <v>3100</v>
      </c>
    </row>
    <row r="1464" spans="2:17" s="608" customFormat="1" x14ac:dyDescent="0.25">
      <c r="B1464" s="605" t="s">
        <v>3519</v>
      </c>
      <c r="C1464" s="606">
        <f t="shared" si="45"/>
        <v>453310</v>
      </c>
      <c r="D1464" s="607" t="s">
        <v>3520</v>
      </c>
      <c r="E1464" s="607" t="s">
        <v>3521</v>
      </c>
      <c r="F1464" s="607" t="s">
        <v>3520</v>
      </c>
      <c r="G1464" s="607" t="s">
        <v>1594</v>
      </c>
      <c r="H1464" s="607" t="s">
        <v>1594</v>
      </c>
      <c r="I1464" s="607" t="s">
        <v>2944</v>
      </c>
      <c r="J1464" s="608" t="str">
        <f t="shared" si="46"/>
        <v>Retail Trade</v>
      </c>
      <c r="N1464" s="822">
        <v>425120</v>
      </c>
      <c r="O1464" s="822" t="s">
        <v>3326</v>
      </c>
      <c r="P1464" s="823">
        <v>5045</v>
      </c>
      <c r="Q1464" s="823" t="s">
        <v>3104</v>
      </c>
    </row>
    <row r="1465" spans="2:17" s="608" customFormat="1" x14ac:dyDescent="0.25">
      <c r="B1465" s="605" t="s">
        <v>3522</v>
      </c>
      <c r="C1465" s="606">
        <f t="shared" si="45"/>
        <v>453910</v>
      </c>
      <c r="D1465" s="607" t="s">
        <v>3523</v>
      </c>
      <c r="E1465" s="607" t="s">
        <v>1562</v>
      </c>
      <c r="F1465" s="607" t="s">
        <v>1563</v>
      </c>
      <c r="G1465" s="607" t="s">
        <v>1594</v>
      </c>
      <c r="H1465" s="607" t="s">
        <v>1594</v>
      </c>
      <c r="I1465" s="607" t="s">
        <v>2944</v>
      </c>
      <c r="J1465" s="608" t="str">
        <f t="shared" si="46"/>
        <v>Retail Trade</v>
      </c>
      <c r="N1465" s="822">
        <v>425120</v>
      </c>
      <c r="O1465" s="822" t="s">
        <v>3326</v>
      </c>
      <c r="P1465" s="823">
        <v>5046</v>
      </c>
      <c r="Q1465" s="823" t="s">
        <v>3108</v>
      </c>
    </row>
    <row r="1466" spans="2:17" s="608" customFormat="1" x14ac:dyDescent="0.25">
      <c r="B1466" s="605" t="s">
        <v>3522</v>
      </c>
      <c r="C1466" s="606">
        <f t="shared" si="45"/>
        <v>453910</v>
      </c>
      <c r="D1466" s="607" t="s">
        <v>3523</v>
      </c>
      <c r="E1466" s="607" t="s">
        <v>3224</v>
      </c>
      <c r="F1466" s="607" t="s">
        <v>3225</v>
      </c>
      <c r="G1466" s="607" t="s">
        <v>1594</v>
      </c>
      <c r="H1466" s="607" t="s">
        <v>1594</v>
      </c>
      <c r="I1466" s="607" t="s">
        <v>2944</v>
      </c>
      <c r="J1466" s="608" t="str">
        <f t="shared" si="46"/>
        <v>Retail Trade</v>
      </c>
      <c r="N1466" s="822">
        <v>425120</v>
      </c>
      <c r="O1466" s="822" t="s">
        <v>3326</v>
      </c>
      <c r="P1466" s="823">
        <v>5047</v>
      </c>
      <c r="Q1466" s="823" t="s">
        <v>3112</v>
      </c>
    </row>
    <row r="1467" spans="2:17" s="608" customFormat="1" x14ac:dyDescent="0.25">
      <c r="B1467" s="605" t="s">
        <v>3522</v>
      </c>
      <c r="C1467" s="606">
        <f t="shared" si="45"/>
        <v>453910</v>
      </c>
      <c r="D1467" s="607" t="s">
        <v>3523</v>
      </c>
      <c r="E1467" s="607" t="s">
        <v>2992</v>
      </c>
      <c r="F1467" s="607" t="s">
        <v>2993</v>
      </c>
      <c r="G1467" s="607" t="s">
        <v>1594</v>
      </c>
      <c r="H1467" s="607" t="s">
        <v>1594</v>
      </c>
      <c r="I1467" s="607" t="s">
        <v>2944</v>
      </c>
      <c r="J1467" s="608" t="str">
        <f t="shared" si="46"/>
        <v>Retail Trade</v>
      </c>
      <c r="N1467" s="822">
        <v>425120</v>
      </c>
      <c r="O1467" s="822" t="s">
        <v>3326</v>
      </c>
      <c r="P1467" s="823">
        <v>5048</v>
      </c>
      <c r="Q1467" s="823" t="s">
        <v>2991</v>
      </c>
    </row>
    <row r="1468" spans="2:17" s="608" customFormat="1" x14ac:dyDescent="0.25">
      <c r="B1468" s="605" t="s">
        <v>3524</v>
      </c>
      <c r="C1468" s="606">
        <f t="shared" si="45"/>
        <v>453920</v>
      </c>
      <c r="D1468" s="607" t="s">
        <v>3525</v>
      </c>
      <c r="E1468" s="607" t="s">
        <v>2992</v>
      </c>
      <c r="F1468" s="607" t="s">
        <v>2993</v>
      </c>
      <c r="G1468" s="607" t="s">
        <v>1594</v>
      </c>
      <c r="H1468" s="607" t="s">
        <v>1594</v>
      </c>
      <c r="I1468" s="607" t="s">
        <v>2944</v>
      </c>
      <c r="J1468" s="608" t="str">
        <f t="shared" si="46"/>
        <v>Retail Trade</v>
      </c>
      <c r="N1468" s="822">
        <v>425120</v>
      </c>
      <c r="O1468" s="822" t="s">
        <v>3326</v>
      </c>
      <c r="P1468" s="823">
        <v>5049</v>
      </c>
      <c r="Q1468" s="823" t="s">
        <v>3119</v>
      </c>
    </row>
    <row r="1469" spans="2:17" s="608" customFormat="1" x14ac:dyDescent="0.25">
      <c r="B1469" s="605" t="s">
        <v>3526</v>
      </c>
      <c r="C1469" s="606">
        <f t="shared" si="45"/>
        <v>453930</v>
      </c>
      <c r="D1469" s="607" t="s">
        <v>3527</v>
      </c>
      <c r="E1469" s="607" t="s">
        <v>3528</v>
      </c>
      <c r="F1469" s="607" t="s">
        <v>3529</v>
      </c>
      <c r="G1469" s="607" t="s">
        <v>1594</v>
      </c>
      <c r="H1469" s="607" t="s">
        <v>1594</v>
      </c>
      <c r="I1469" s="607" t="s">
        <v>2944</v>
      </c>
      <c r="J1469" s="608" t="str">
        <f t="shared" si="46"/>
        <v>Retail Trade</v>
      </c>
      <c r="N1469" s="822">
        <v>425120</v>
      </c>
      <c r="O1469" s="822" t="s">
        <v>3326</v>
      </c>
      <c r="P1469" s="823">
        <v>5051</v>
      </c>
      <c r="Q1469" s="823" t="s">
        <v>3123</v>
      </c>
    </row>
    <row r="1470" spans="2:17" s="608" customFormat="1" x14ac:dyDescent="0.25">
      <c r="B1470" s="605" t="s">
        <v>3530</v>
      </c>
      <c r="C1470" s="606">
        <f t="shared" si="45"/>
        <v>453991</v>
      </c>
      <c r="D1470" s="607" t="s">
        <v>3531</v>
      </c>
      <c r="E1470" s="607" t="s">
        <v>3315</v>
      </c>
      <c r="F1470" s="607" t="s">
        <v>3316</v>
      </c>
      <c r="G1470" s="607" t="s">
        <v>837</v>
      </c>
      <c r="H1470" s="607" t="s">
        <v>837</v>
      </c>
      <c r="I1470" s="607" t="s">
        <v>919</v>
      </c>
      <c r="J1470" s="608" t="str">
        <f t="shared" si="46"/>
        <v>Tobacco</v>
      </c>
      <c r="N1470" s="822">
        <v>425120</v>
      </c>
      <c r="O1470" s="822" t="s">
        <v>3326</v>
      </c>
      <c r="P1470" s="823">
        <v>5052</v>
      </c>
      <c r="Q1470" s="823" t="s">
        <v>3127</v>
      </c>
    </row>
    <row r="1471" spans="2:17" s="608" customFormat="1" x14ac:dyDescent="0.25">
      <c r="B1471" s="605" t="s">
        <v>3530</v>
      </c>
      <c r="C1471" s="606">
        <f t="shared" si="45"/>
        <v>453991</v>
      </c>
      <c r="D1471" s="607" t="s">
        <v>3531</v>
      </c>
      <c r="E1471" s="607" t="s">
        <v>3224</v>
      </c>
      <c r="F1471" s="607" t="s">
        <v>3225</v>
      </c>
      <c r="G1471" s="607" t="s">
        <v>837</v>
      </c>
      <c r="H1471" s="607" t="s">
        <v>837</v>
      </c>
      <c r="I1471" s="607" t="s">
        <v>919</v>
      </c>
      <c r="J1471" s="608" t="str">
        <f t="shared" si="46"/>
        <v>Tobacco</v>
      </c>
      <c r="N1471" s="822">
        <v>425120</v>
      </c>
      <c r="O1471" s="822" t="s">
        <v>3326</v>
      </c>
      <c r="P1471" s="823">
        <v>5063</v>
      </c>
      <c r="Q1471" s="823" t="s">
        <v>3131</v>
      </c>
    </row>
    <row r="1472" spans="2:17" s="608" customFormat="1" x14ac:dyDescent="0.25">
      <c r="B1472" s="605" t="s">
        <v>3530</v>
      </c>
      <c r="C1472" s="606">
        <f t="shared" si="45"/>
        <v>453991</v>
      </c>
      <c r="D1472" s="607" t="s">
        <v>3531</v>
      </c>
      <c r="E1472" s="607" t="s">
        <v>3532</v>
      </c>
      <c r="F1472" s="607" t="s">
        <v>3533</v>
      </c>
      <c r="G1472" s="607" t="s">
        <v>837</v>
      </c>
      <c r="H1472" s="607" t="s">
        <v>837</v>
      </c>
      <c r="I1472" s="607" t="s">
        <v>919</v>
      </c>
      <c r="J1472" s="608" t="str">
        <f t="shared" si="46"/>
        <v>Tobacco</v>
      </c>
      <c r="N1472" s="822">
        <v>425120</v>
      </c>
      <c r="O1472" s="822" t="s">
        <v>3326</v>
      </c>
      <c r="P1472" s="823">
        <v>5064</v>
      </c>
      <c r="Q1472" s="823" t="s">
        <v>3135</v>
      </c>
    </row>
    <row r="1473" spans="2:17" s="608" customFormat="1" x14ac:dyDescent="0.25">
      <c r="B1473" s="605" t="s">
        <v>3534</v>
      </c>
      <c r="C1473" s="606">
        <f t="shared" si="45"/>
        <v>453998</v>
      </c>
      <c r="D1473" s="607" t="s">
        <v>3535</v>
      </c>
      <c r="E1473" s="607" t="s">
        <v>3168</v>
      </c>
      <c r="F1473" s="607" t="s">
        <v>3169</v>
      </c>
      <c r="G1473" s="607" t="s">
        <v>1594</v>
      </c>
      <c r="H1473" s="607" t="s">
        <v>1594</v>
      </c>
      <c r="I1473" s="607" t="s">
        <v>2944</v>
      </c>
      <c r="J1473" s="608" t="str">
        <f t="shared" si="46"/>
        <v>Retail Trade</v>
      </c>
      <c r="N1473" s="822">
        <v>425120</v>
      </c>
      <c r="O1473" s="822" t="s">
        <v>3326</v>
      </c>
      <c r="P1473" s="823">
        <v>5065</v>
      </c>
      <c r="Q1473" s="823" t="s">
        <v>3141</v>
      </c>
    </row>
    <row r="1474" spans="2:17" s="608" customFormat="1" x14ac:dyDescent="0.25">
      <c r="B1474" s="605" t="s">
        <v>3534</v>
      </c>
      <c r="C1474" s="606">
        <f t="shared" ref="C1474:C1537" si="47">B1474+0</f>
        <v>453998</v>
      </c>
      <c r="D1474" s="607" t="s">
        <v>3535</v>
      </c>
      <c r="E1474" s="607" t="s">
        <v>3216</v>
      </c>
      <c r="F1474" s="607" t="s">
        <v>3217</v>
      </c>
      <c r="G1474" s="607" t="s">
        <v>1594</v>
      </c>
      <c r="H1474" s="607" t="s">
        <v>1594</v>
      </c>
      <c r="I1474" s="607" t="s">
        <v>2944</v>
      </c>
      <c r="J1474" s="608" t="str">
        <f t="shared" si="46"/>
        <v>Retail Trade</v>
      </c>
      <c r="N1474" s="822">
        <v>425120</v>
      </c>
      <c r="O1474" s="822" t="s">
        <v>3326</v>
      </c>
      <c r="P1474" s="823">
        <v>5072</v>
      </c>
      <c r="Q1474" s="823" t="s">
        <v>3145</v>
      </c>
    </row>
    <row r="1475" spans="2:17" s="608" customFormat="1" x14ac:dyDescent="0.25">
      <c r="B1475" s="605" t="s">
        <v>3534</v>
      </c>
      <c r="C1475" s="606">
        <f t="shared" si="47"/>
        <v>453998</v>
      </c>
      <c r="D1475" s="607" t="s">
        <v>3535</v>
      </c>
      <c r="E1475" s="607" t="s">
        <v>3280</v>
      </c>
      <c r="F1475" s="607" t="s">
        <v>3281</v>
      </c>
      <c r="G1475" s="607" t="s">
        <v>1594</v>
      </c>
      <c r="H1475" s="607" t="s">
        <v>1594</v>
      </c>
      <c r="I1475" s="607" t="s">
        <v>2944</v>
      </c>
      <c r="J1475" s="608" t="str">
        <f t="shared" si="46"/>
        <v>Retail Trade</v>
      </c>
      <c r="N1475" s="822">
        <v>425120</v>
      </c>
      <c r="O1475" s="822" t="s">
        <v>3326</v>
      </c>
      <c r="P1475" s="823">
        <v>5074</v>
      </c>
      <c r="Q1475" s="823" t="s">
        <v>3137</v>
      </c>
    </row>
    <row r="1476" spans="2:17" s="608" customFormat="1" x14ac:dyDescent="0.25">
      <c r="B1476" s="605" t="s">
        <v>3534</v>
      </c>
      <c r="C1476" s="606">
        <f t="shared" si="47"/>
        <v>453998</v>
      </c>
      <c r="D1476" s="607" t="s">
        <v>3535</v>
      </c>
      <c r="E1476" s="607" t="s">
        <v>2992</v>
      </c>
      <c r="F1476" s="607" t="s">
        <v>2993</v>
      </c>
      <c r="G1476" s="607" t="s">
        <v>1594</v>
      </c>
      <c r="H1476" s="607" t="s">
        <v>1594</v>
      </c>
      <c r="I1476" s="607" t="s">
        <v>2944</v>
      </c>
      <c r="J1476" s="608" t="str">
        <f t="shared" si="46"/>
        <v>Retail Trade</v>
      </c>
      <c r="N1476" s="822">
        <v>425120</v>
      </c>
      <c r="O1476" s="822" t="s">
        <v>3326</v>
      </c>
      <c r="P1476" s="823">
        <v>5075</v>
      </c>
      <c r="Q1476" s="823" t="s">
        <v>3151</v>
      </c>
    </row>
    <row r="1477" spans="2:17" s="608" customFormat="1" x14ac:dyDescent="0.25">
      <c r="B1477" s="605" t="s">
        <v>3536</v>
      </c>
      <c r="C1477" s="606">
        <f t="shared" si="47"/>
        <v>454110</v>
      </c>
      <c r="D1477" s="607" t="s">
        <v>3537</v>
      </c>
      <c r="E1477" s="607" t="s">
        <v>3538</v>
      </c>
      <c r="F1477" s="607" t="s">
        <v>3539</v>
      </c>
      <c r="G1477" s="607" t="s">
        <v>1594</v>
      </c>
      <c r="H1477" s="607" t="s">
        <v>1594</v>
      </c>
      <c r="I1477" s="607" t="s">
        <v>2529</v>
      </c>
      <c r="J1477" s="608" t="str">
        <f t="shared" si="46"/>
        <v>Consumer Electronics</v>
      </c>
      <c r="N1477" s="822">
        <v>425120</v>
      </c>
      <c r="O1477" s="822" t="s">
        <v>3326</v>
      </c>
      <c r="P1477" s="823">
        <v>5078</v>
      </c>
      <c r="Q1477" s="823" t="s">
        <v>3155</v>
      </c>
    </row>
    <row r="1478" spans="2:17" s="608" customFormat="1" x14ac:dyDescent="0.25">
      <c r="B1478" s="605" t="s">
        <v>3540</v>
      </c>
      <c r="C1478" s="606">
        <f t="shared" si="47"/>
        <v>454210</v>
      </c>
      <c r="D1478" s="607" t="s">
        <v>3541</v>
      </c>
      <c r="E1478" s="607" t="s">
        <v>3542</v>
      </c>
      <c r="F1478" s="607" t="s">
        <v>3543</v>
      </c>
      <c r="G1478" s="607" t="s">
        <v>1594</v>
      </c>
      <c r="H1478" s="607" t="s">
        <v>1594</v>
      </c>
      <c r="I1478" s="607" t="s">
        <v>2944</v>
      </c>
      <c r="J1478" s="608" t="str">
        <f t="shared" si="46"/>
        <v>Retail Trade</v>
      </c>
      <c r="N1478" s="822">
        <v>425120</v>
      </c>
      <c r="O1478" s="822" t="s">
        <v>3326</v>
      </c>
      <c r="P1478" s="823">
        <v>5082</v>
      </c>
      <c r="Q1478" s="823" t="s">
        <v>3159</v>
      </c>
    </row>
    <row r="1479" spans="2:17" s="608" customFormat="1" x14ac:dyDescent="0.25">
      <c r="B1479" s="605" t="s">
        <v>3544</v>
      </c>
      <c r="C1479" s="606">
        <f t="shared" si="47"/>
        <v>454310</v>
      </c>
      <c r="D1479" s="607" t="s">
        <v>3545</v>
      </c>
      <c r="E1479" s="607" t="s">
        <v>3288</v>
      </c>
      <c r="F1479" s="607" t="s">
        <v>3287</v>
      </c>
      <c r="G1479" s="607" t="s">
        <v>1594</v>
      </c>
      <c r="H1479" s="607" t="s">
        <v>1594</v>
      </c>
      <c r="I1479" s="607" t="s">
        <v>2944</v>
      </c>
      <c r="J1479" s="608" t="str">
        <f t="shared" si="46"/>
        <v>Retail Trade</v>
      </c>
      <c r="N1479" s="822">
        <v>425120</v>
      </c>
      <c r="O1479" s="822" t="s">
        <v>3326</v>
      </c>
      <c r="P1479" s="823">
        <v>5083</v>
      </c>
      <c r="Q1479" s="823" t="s">
        <v>3163</v>
      </c>
    </row>
    <row r="1480" spans="2:17" s="608" customFormat="1" x14ac:dyDescent="0.25">
      <c r="B1480" s="605" t="s">
        <v>3544</v>
      </c>
      <c r="C1480" s="606">
        <f t="shared" si="47"/>
        <v>454310</v>
      </c>
      <c r="D1480" s="607" t="s">
        <v>3545</v>
      </c>
      <c r="E1480" s="607" t="s">
        <v>3546</v>
      </c>
      <c r="F1480" s="607" t="s">
        <v>3547</v>
      </c>
      <c r="G1480" s="607" t="s">
        <v>1594</v>
      </c>
      <c r="H1480" s="607" t="s">
        <v>1594</v>
      </c>
      <c r="I1480" s="607" t="s">
        <v>2944</v>
      </c>
      <c r="J1480" s="608" t="str">
        <f t="shared" si="46"/>
        <v>Retail Trade</v>
      </c>
      <c r="N1480" s="822">
        <v>425120</v>
      </c>
      <c r="O1480" s="822" t="s">
        <v>3326</v>
      </c>
      <c r="P1480" s="823">
        <v>5084</v>
      </c>
      <c r="Q1480" s="823" t="s">
        <v>3167</v>
      </c>
    </row>
    <row r="1481" spans="2:17" s="608" customFormat="1" x14ac:dyDescent="0.25">
      <c r="B1481" s="605" t="s">
        <v>3544</v>
      </c>
      <c r="C1481" s="606">
        <f t="shared" si="47"/>
        <v>454310</v>
      </c>
      <c r="D1481" s="607" t="s">
        <v>3545</v>
      </c>
      <c r="E1481" s="607" t="s">
        <v>3548</v>
      </c>
      <c r="F1481" s="607" t="s">
        <v>3549</v>
      </c>
      <c r="G1481" s="607" t="s">
        <v>1594</v>
      </c>
      <c r="H1481" s="607" t="s">
        <v>1594</v>
      </c>
      <c r="I1481" s="607" t="s">
        <v>2944</v>
      </c>
      <c r="J1481" s="608" t="str">
        <f t="shared" si="46"/>
        <v>Retail Trade</v>
      </c>
      <c r="N1481" s="822">
        <v>425120</v>
      </c>
      <c r="O1481" s="822" t="s">
        <v>3326</v>
      </c>
      <c r="P1481" s="823">
        <v>5085</v>
      </c>
      <c r="Q1481" s="823" t="s">
        <v>3169</v>
      </c>
    </row>
    <row r="1482" spans="2:17" s="608" customFormat="1" x14ac:dyDescent="0.25">
      <c r="B1482" s="605" t="s">
        <v>3544</v>
      </c>
      <c r="C1482" s="606">
        <f t="shared" si="47"/>
        <v>454310</v>
      </c>
      <c r="D1482" s="607" t="s">
        <v>3545</v>
      </c>
      <c r="E1482" s="607" t="s">
        <v>3550</v>
      </c>
      <c r="F1482" s="607" t="s">
        <v>3551</v>
      </c>
      <c r="G1482" s="607" t="s">
        <v>1594</v>
      </c>
      <c r="H1482" s="607" t="s">
        <v>1594</v>
      </c>
      <c r="I1482" s="607" t="s">
        <v>2944</v>
      </c>
      <c r="J1482" s="608" t="str">
        <f t="shared" si="46"/>
        <v>Retail Trade</v>
      </c>
      <c r="N1482" s="822">
        <v>425120</v>
      </c>
      <c r="O1482" s="822" t="s">
        <v>3326</v>
      </c>
      <c r="P1482" s="823">
        <v>5087</v>
      </c>
      <c r="Q1482" s="823" t="s">
        <v>3175</v>
      </c>
    </row>
    <row r="1483" spans="2:17" s="608" customFormat="1" x14ac:dyDescent="0.25">
      <c r="B1483" s="605" t="s">
        <v>3552</v>
      </c>
      <c r="C1483" s="606">
        <f t="shared" si="47"/>
        <v>454390</v>
      </c>
      <c r="D1483" s="607" t="s">
        <v>3553</v>
      </c>
      <c r="E1483" s="607" t="s">
        <v>3240</v>
      </c>
      <c r="F1483" s="607" t="s">
        <v>3241</v>
      </c>
      <c r="G1483" s="607" t="s">
        <v>1594</v>
      </c>
      <c r="H1483" s="607" t="s">
        <v>1594</v>
      </c>
      <c r="I1483" s="607" t="s">
        <v>2944</v>
      </c>
      <c r="J1483" s="608" t="str">
        <f t="shared" si="46"/>
        <v>Retail Trade</v>
      </c>
      <c r="N1483" s="822">
        <v>425120</v>
      </c>
      <c r="O1483" s="822" t="s">
        <v>3326</v>
      </c>
      <c r="P1483" s="823">
        <v>5088</v>
      </c>
      <c r="Q1483" s="823" t="s">
        <v>3179</v>
      </c>
    </row>
    <row r="1484" spans="2:17" s="608" customFormat="1" x14ac:dyDescent="0.25">
      <c r="B1484" s="605" t="s">
        <v>3552</v>
      </c>
      <c r="C1484" s="606">
        <f t="shared" si="47"/>
        <v>454390</v>
      </c>
      <c r="D1484" s="607" t="s">
        <v>3553</v>
      </c>
      <c r="E1484" s="607" t="s">
        <v>3400</v>
      </c>
      <c r="F1484" s="607" t="s">
        <v>3401</v>
      </c>
      <c r="G1484" s="607" t="s">
        <v>837</v>
      </c>
      <c r="H1484" s="607" t="s">
        <v>837</v>
      </c>
      <c r="I1484" s="607" t="s">
        <v>838</v>
      </c>
      <c r="J1484" s="608" t="str">
        <f t="shared" si="46"/>
        <v>Food</v>
      </c>
      <c r="N1484" s="822">
        <v>425120</v>
      </c>
      <c r="O1484" s="822" t="s">
        <v>3326</v>
      </c>
      <c r="P1484" s="823">
        <v>5091</v>
      </c>
      <c r="Q1484" s="823" t="s">
        <v>3183</v>
      </c>
    </row>
    <row r="1485" spans="2:17" s="608" customFormat="1" x14ac:dyDescent="0.25">
      <c r="B1485" s="605" t="s">
        <v>3552</v>
      </c>
      <c r="C1485" s="606">
        <f t="shared" si="47"/>
        <v>454390</v>
      </c>
      <c r="D1485" s="607" t="s">
        <v>3553</v>
      </c>
      <c r="E1485" s="607" t="s">
        <v>3406</v>
      </c>
      <c r="F1485" s="607" t="s">
        <v>3407</v>
      </c>
      <c r="G1485" s="607" t="s">
        <v>1594</v>
      </c>
      <c r="H1485" s="607" t="s">
        <v>1594</v>
      </c>
      <c r="I1485" s="607" t="s">
        <v>2944</v>
      </c>
      <c r="J1485" s="608" t="str">
        <f t="shared" si="46"/>
        <v>Retail Trade</v>
      </c>
      <c r="N1485" s="822">
        <v>425120</v>
      </c>
      <c r="O1485" s="822" t="s">
        <v>3326</v>
      </c>
      <c r="P1485" s="823">
        <v>5092</v>
      </c>
      <c r="Q1485" s="823" t="s">
        <v>3191</v>
      </c>
    </row>
    <row r="1486" spans="2:17" s="608" customFormat="1" x14ac:dyDescent="0.25">
      <c r="B1486" s="605" t="s">
        <v>3552</v>
      </c>
      <c r="C1486" s="606">
        <f t="shared" si="47"/>
        <v>454390</v>
      </c>
      <c r="D1486" s="607" t="s">
        <v>3553</v>
      </c>
      <c r="E1486" s="607" t="s">
        <v>3414</v>
      </c>
      <c r="F1486" s="607" t="s">
        <v>3413</v>
      </c>
      <c r="G1486" s="607" t="s">
        <v>1594</v>
      </c>
      <c r="H1486" s="607" t="s">
        <v>1594</v>
      </c>
      <c r="I1486" s="607" t="s">
        <v>2944</v>
      </c>
      <c r="J1486" s="608" t="str">
        <f t="shared" si="46"/>
        <v>Retail Trade</v>
      </c>
      <c r="N1486" s="822">
        <v>425120</v>
      </c>
      <c r="O1486" s="822" t="s">
        <v>3326</v>
      </c>
      <c r="P1486" s="823">
        <v>5093</v>
      </c>
      <c r="Q1486" s="823" t="s">
        <v>3195</v>
      </c>
    </row>
    <row r="1487" spans="2:17" s="608" customFormat="1" x14ac:dyDescent="0.25">
      <c r="B1487" s="605" t="s">
        <v>3552</v>
      </c>
      <c r="C1487" s="606">
        <f t="shared" si="47"/>
        <v>454390</v>
      </c>
      <c r="D1487" s="607" t="s">
        <v>3553</v>
      </c>
      <c r="E1487" s="607" t="s">
        <v>3554</v>
      </c>
      <c r="F1487" s="607" t="s">
        <v>3555</v>
      </c>
      <c r="G1487" s="607" t="s">
        <v>1594</v>
      </c>
      <c r="H1487" s="607" t="s">
        <v>1594</v>
      </c>
      <c r="I1487" s="607" t="s">
        <v>2944</v>
      </c>
      <c r="J1487" s="608" t="str">
        <f t="shared" ref="J1487:J1550" si="48">PROPER(I1487)</f>
        <v>Retail Trade</v>
      </c>
      <c r="N1487" s="822">
        <v>425120</v>
      </c>
      <c r="O1487" s="822" t="s">
        <v>3326</v>
      </c>
      <c r="P1487" s="823">
        <v>5094</v>
      </c>
      <c r="Q1487" s="823" t="s">
        <v>3199</v>
      </c>
    </row>
    <row r="1488" spans="2:17" s="608" customFormat="1" x14ac:dyDescent="0.25">
      <c r="B1488" s="605" t="s">
        <v>3556</v>
      </c>
      <c r="C1488" s="606">
        <f t="shared" si="47"/>
        <v>481111</v>
      </c>
      <c r="D1488" s="607" t="s">
        <v>3557</v>
      </c>
      <c r="E1488" s="607" t="s">
        <v>3558</v>
      </c>
      <c r="F1488" s="607" t="s">
        <v>3559</v>
      </c>
      <c r="G1488" s="607" t="s">
        <v>1019</v>
      </c>
      <c r="H1488" s="607" t="s">
        <v>1019</v>
      </c>
      <c r="I1488" s="607" t="s">
        <v>3560</v>
      </c>
      <c r="J1488" s="608" t="str">
        <f t="shared" si="48"/>
        <v>Airlines</v>
      </c>
      <c r="N1488" s="822">
        <v>425120</v>
      </c>
      <c r="O1488" s="822" t="s">
        <v>3326</v>
      </c>
      <c r="P1488" s="823">
        <v>5099</v>
      </c>
      <c r="Q1488" s="823" t="s">
        <v>3203</v>
      </c>
    </row>
    <row r="1489" spans="2:17" s="608" customFormat="1" x14ac:dyDescent="0.25">
      <c r="B1489" s="605" t="s">
        <v>3561</v>
      </c>
      <c r="C1489" s="606">
        <f t="shared" si="47"/>
        <v>481112</v>
      </c>
      <c r="D1489" s="607" t="s">
        <v>3562</v>
      </c>
      <c r="E1489" s="607" t="s">
        <v>3558</v>
      </c>
      <c r="F1489" s="607" t="s">
        <v>3559</v>
      </c>
      <c r="G1489" s="607" t="s">
        <v>1019</v>
      </c>
      <c r="H1489" s="607" t="s">
        <v>1019</v>
      </c>
      <c r="I1489" s="607" t="s">
        <v>2920</v>
      </c>
      <c r="J1489" s="608" t="str">
        <f t="shared" si="48"/>
        <v>Transportation</v>
      </c>
      <c r="N1489" s="822">
        <v>425120</v>
      </c>
      <c r="O1489" s="822" t="s">
        <v>3326</v>
      </c>
      <c r="P1489" s="823">
        <v>5111</v>
      </c>
      <c r="Q1489" s="823" t="s">
        <v>3209</v>
      </c>
    </row>
    <row r="1490" spans="2:17" s="608" customFormat="1" x14ac:dyDescent="0.25">
      <c r="B1490" s="605" t="s">
        <v>3563</v>
      </c>
      <c r="C1490" s="606">
        <f t="shared" si="47"/>
        <v>481211</v>
      </c>
      <c r="D1490" s="607" t="s">
        <v>3564</v>
      </c>
      <c r="E1490" s="607" t="s">
        <v>3565</v>
      </c>
      <c r="F1490" s="607" t="s">
        <v>3566</v>
      </c>
      <c r="G1490" s="607" t="s">
        <v>1019</v>
      </c>
      <c r="H1490" s="607" t="s">
        <v>1019</v>
      </c>
      <c r="I1490" s="607" t="s">
        <v>3560</v>
      </c>
      <c r="J1490" s="608" t="str">
        <f t="shared" si="48"/>
        <v>Airlines</v>
      </c>
      <c r="N1490" s="822">
        <v>425120</v>
      </c>
      <c r="O1490" s="822" t="s">
        <v>3326</v>
      </c>
      <c r="P1490" s="823">
        <v>5112</v>
      </c>
      <c r="Q1490" s="823" t="s">
        <v>3213</v>
      </c>
    </row>
    <row r="1491" spans="2:17" s="608" customFormat="1" x14ac:dyDescent="0.25">
      <c r="B1491" s="605" t="s">
        <v>3567</v>
      </c>
      <c r="C1491" s="606">
        <f t="shared" si="47"/>
        <v>481212</v>
      </c>
      <c r="D1491" s="607" t="s">
        <v>3568</v>
      </c>
      <c r="E1491" s="607" t="s">
        <v>3565</v>
      </c>
      <c r="F1491" s="607" t="s">
        <v>3566</v>
      </c>
      <c r="G1491" s="607" t="s">
        <v>1019</v>
      </c>
      <c r="H1491" s="607" t="s">
        <v>1019</v>
      </c>
      <c r="I1491" s="607" t="s">
        <v>2920</v>
      </c>
      <c r="J1491" s="608" t="str">
        <f t="shared" si="48"/>
        <v>Transportation</v>
      </c>
      <c r="N1491" s="822">
        <v>425120</v>
      </c>
      <c r="O1491" s="822" t="s">
        <v>3326</v>
      </c>
      <c r="P1491" s="823">
        <v>5113</v>
      </c>
      <c r="Q1491" s="823" t="s">
        <v>3217</v>
      </c>
    </row>
    <row r="1492" spans="2:17" s="608" customFormat="1" x14ac:dyDescent="0.25">
      <c r="B1492" s="605" t="s">
        <v>3569</v>
      </c>
      <c r="C1492" s="606">
        <f t="shared" si="47"/>
        <v>481219</v>
      </c>
      <c r="D1492" s="607" t="s">
        <v>3570</v>
      </c>
      <c r="E1492" s="607" t="s">
        <v>3565</v>
      </c>
      <c r="F1492" s="607" t="s">
        <v>3566</v>
      </c>
      <c r="G1492" s="607" t="s">
        <v>1019</v>
      </c>
      <c r="H1492" s="607" t="s">
        <v>1019</v>
      </c>
      <c r="I1492" s="607" t="s">
        <v>3560</v>
      </c>
      <c r="J1492" s="608" t="str">
        <f t="shared" si="48"/>
        <v>Airlines</v>
      </c>
      <c r="N1492" s="822">
        <v>425120</v>
      </c>
      <c r="O1492" s="822" t="s">
        <v>3326</v>
      </c>
      <c r="P1492" s="823">
        <v>5122</v>
      </c>
      <c r="Q1492" s="823" t="s">
        <v>3221</v>
      </c>
    </row>
    <row r="1493" spans="2:17" s="608" customFormat="1" x14ac:dyDescent="0.25">
      <c r="B1493" s="605" t="s">
        <v>3569</v>
      </c>
      <c r="C1493" s="606">
        <f t="shared" si="47"/>
        <v>481219</v>
      </c>
      <c r="D1493" s="607" t="s">
        <v>3570</v>
      </c>
      <c r="E1493" s="607" t="s">
        <v>3571</v>
      </c>
      <c r="F1493" s="607" t="s">
        <v>3572</v>
      </c>
      <c r="G1493" s="607" t="s">
        <v>1019</v>
      </c>
      <c r="H1493" s="607" t="s">
        <v>1019</v>
      </c>
      <c r="I1493" s="607" t="s">
        <v>3560</v>
      </c>
      <c r="J1493" s="608" t="str">
        <f t="shared" si="48"/>
        <v>Airlines</v>
      </c>
      <c r="N1493" s="822">
        <v>425120</v>
      </c>
      <c r="O1493" s="822" t="s">
        <v>3326</v>
      </c>
      <c r="P1493" s="823">
        <v>5131</v>
      </c>
      <c r="Q1493" s="823" t="s">
        <v>1648</v>
      </c>
    </row>
    <row r="1494" spans="2:17" s="608" customFormat="1" x14ac:dyDescent="0.25">
      <c r="B1494" s="605" t="s">
        <v>3569</v>
      </c>
      <c r="C1494" s="606">
        <f t="shared" si="47"/>
        <v>481219</v>
      </c>
      <c r="D1494" s="607" t="s">
        <v>3570</v>
      </c>
      <c r="E1494" s="607" t="s">
        <v>3573</v>
      </c>
      <c r="F1494" s="607" t="s">
        <v>3574</v>
      </c>
      <c r="G1494" s="607" t="s">
        <v>1019</v>
      </c>
      <c r="H1494" s="607" t="s">
        <v>1019</v>
      </c>
      <c r="I1494" s="607" t="s">
        <v>3560</v>
      </c>
      <c r="J1494" s="608" t="str">
        <f t="shared" si="48"/>
        <v>Airlines</v>
      </c>
      <c r="N1494" s="822">
        <v>425120</v>
      </c>
      <c r="O1494" s="822" t="s">
        <v>3326</v>
      </c>
      <c r="P1494" s="823">
        <v>5136</v>
      </c>
      <c r="Q1494" s="823" t="s">
        <v>3185</v>
      </c>
    </row>
    <row r="1495" spans="2:17" s="608" customFormat="1" x14ac:dyDescent="0.25">
      <c r="B1495" s="605" t="s">
        <v>3569</v>
      </c>
      <c r="C1495" s="606">
        <f t="shared" si="47"/>
        <v>481219</v>
      </c>
      <c r="D1495" s="607" t="s">
        <v>3570</v>
      </c>
      <c r="E1495" s="607" t="s">
        <v>3575</v>
      </c>
      <c r="F1495" s="607" t="s">
        <v>3576</v>
      </c>
      <c r="G1495" s="607" t="s">
        <v>1019</v>
      </c>
      <c r="H1495" s="607" t="s">
        <v>1019</v>
      </c>
      <c r="I1495" s="607" t="s">
        <v>3560</v>
      </c>
      <c r="J1495" s="608" t="str">
        <f t="shared" si="48"/>
        <v>Airlines</v>
      </c>
      <c r="N1495" s="822">
        <v>425120</v>
      </c>
      <c r="O1495" s="822" t="s">
        <v>3326</v>
      </c>
      <c r="P1495" s="823">
        <v>5137</v>
      </c>
      <c r="Q1495" s="823" t="s">
        <v>3187</v>
      </c>
    </row>
    <row r="1496" spans="2:17" s="608" customFormat="1" x14ac:dyDescent="0.25">
      <c r="B1496" s="605" t="s">
        <v>3577</v>
      </c>
      <c r="C1496" s="606">
        <f t="shared" si="47"/>
        <v>482111</v>
      </c>
      <c r="D1496" s="607" t="s">
        <v>3578</v>
      </c>
      <c r="E1496" s="607" t="s">
        <v>3579</v>
      </c>
      <c r="F1496" s="607" t="s">
        <v>3580</v>
      </c>
      <c r="G1496" s="607" t="s">
        <v>1019</v>
      </c>
      <c r="H1496" s="607" t="s">
        <v>1019</v>
      </c>
      <c r="I1496" s="607" t="s">
        <v>2606</v>
      </c>
      <c r="J1496" s="608" t="str">
        <f t="shared" si="48"/>
        <v>Railroads</v>
      </c>
      <c r="N1496" s="822">
        <v>425120</v>
      </c>
      <c r="O1496" s="822" t="s">
        <v>3326</v>
      </c>
      <c r="P1496" s="823">
        <v>5139</v>
      </c>
      <c r="Q1496" s="823" t="s">
        <v>3233</v>
      </c>
    </row>
    <row r="1497" spans="2:17" s="608" customFormat="1" x14ac:dyDescent="0.25">
      <c r="B1497" s="605" t="s">
        <v>3581</v>
      </c>
      <c r="C1497" s="606">
        <f t="shared" si="47"/>
        <v>482112</v>
      </c>
      <c r="D1497" s="607" t="s">
        <v>3582</v>
      </c>
      <c r="E1497" s="607" t="s">
        <v>3583</v>
      </c>
      <c r="F1497" s="607" t="s">
        <v>3584</v>
      </c>
      <c r="G1497" s="607" t="s">
        <v>1019</v>
      </c>
      <c r="H1497" s="607" t="s">
        <v>1019</v>
      </c>
      <c r="I1497" s="607" t="s">
        <v>2606</v>
      </c>
      <c r="J1497" s="608" t="str">
        <f t="shared" si="48"/>
        <v>Railroads</v>
      </c>
      <c r="N1497" s="822">
        <v>425120</v>
      </c>
      <c r="O1497" s="822" t="s">
        <v>3326</v>
      </c>
      <c r="P1497" s="823">
        <v>5141</v>
      </c>
      <c r="Q1497" s="823" t="s">
        <v>3237</v>
      </c>
    </row>
    <row r="1498" spans="2:17" s="608" customFormat="1" x14ac:dyDescent="0.25">
      <c r="B1498" s="605" t="s">
        <v>3585</v>
      </c>
      <c r="C1498" s="606">
        <f t="shared" si="47"/>
        <v>483111</v>
      </c>
      <c r="D1498" s="607" t="s">
        <v>3586</v>
      </c>
      <c r="E1498" s="607" t="s">
        <v>3587</v>
      </c>
      <c r="F1498" s="607" t="s">
        <v>3588</v>
      </c>
      <c r="G1498" s="607" t="s">
        <v>1019</v>
      </c>
      <c r="H1498" s="607" t="s">
        <v>1019</v>
      </c>
      <c r="I1498" s="607" t="s">
        <v>2920</v>
      </c>
      <c r="J1498" s="608" t="str">
        <f t="shared" si="48"/>
        <v>Transportation</v>
      </c>
      <c r="N1498" s="822">
        <v>425120</v>
      </c>
      <c r="O1498" s="822" t="s">
        <v>3326</v>
      </c>
      <c r="P1498" s="823">
        <v>5142</v>
      </c>
      <c r="Q1498" s="823" t="s">
        <v>3241</v>
      </c>
    </row>
    <row r="1499" spans="2:17" s="608" customFormat="1" x14ac:dyDescent="0.25">
      <c r="B1499" s="605" t="s">
        <v>3589</v>
      </c>
      <c r="C1499" s="606">
        <f t="shared" si="47"/>
        <v>483112</v>
      </c>
      <c r="D1499" s="607" t="s">
        <v>3590</v>
      </c>
      <c r="E1499" s="607" t="s">
        <v>3591</v>
      </c>
      <c r="F1499" s="607" t="s">
        <v>3592</v>
      </c>
      <c r="G1499" s="607" t="s">
        <v>1019</v>
      </c>
      <c r="H1499" s="607" t="s">
        <v>1019</v>
      </c>
      <c r="I1499" s="607" t="s">
        <v>2920</v>
      </c>
      <c r="J1499" s="608" t="str">
        <f t="shared" si="48"/>
        <v>Transportation</v>
      </c>
      <c r="N1499" s="822">
        <v>425120</v>
      </c>
      <c r="O1499" s="822" t="s">
        <v>3326</v>
      </c>
      <c r="P1499" s="823">
        <v>5143</v>
      </c>
      <c r="Q1499" s="823" t="s">
        <v>3245</v>
      </c>
    </row>
    <row r="1500" spans="2:17" s="608" customFormat="1" x14ac:dyDescent="0.25">
      <c r="B1500" s="605" t="s">
        <v>3593</v>
      </c>
      <c r="C1500" s="606">
        <f t="shared" si="47"/>
        <v>483113</v>
      </c>
      <c r="D1500" s="607" t="s">
        <v>3594</v>
      </c>
      <c r="E1500" s="607" t="s">
        <v>3595</v>
      </c>
      <c r="F1500" s="607" t="s">
        <v>3596</v>
      </c>
      <c r="G1500" s="607" t="s">
        <v>1019</v>
      </c>
      <c r="H1500" s="607" t="s">
        <v>1019</v>
      </c>
      <c r="I1500" s="607" t="s">
        <v>2920</v>
      </c>
      <c r="J1500" s="608" t="str">
        <f t="shared" si="48"/>
        <v>Transportation</v>
      </c>
      <c r="N1500" s="822">
        <v>425120</v>
      </c>
      <c r="O1500" s="822" t="s">
        <v>3326</v>
      </c>
      <c r="P1500" s="823">
        <v>5144</v>
      </c>
      <c r="Q1500" s="823" t="s">
        <v>3249</v>
      </c>
    </row>
    <row r="1501" spans="2:17" s="608" customFormat="1" x14ac:dyDescent="0.25">
      <c r="B1501" s="605" t="s">
        <v>3593</v>
      </c>
      <c r="C1501" s="606">
        <f t="shared" si="47"/>
        <v>483113</v>
      </c>
      <c r="D1501" s="607" t="s">
        <v>3594</v>
      </c>
      <c r="E1501" s="607" t="s">
        <v>3597</v>
      </c>
      <c r="F1501" s="607" t="s">
        <v>3598</v>
      </c>
      <c r="G1501" s="607" t="s">
        <v>1019</v>
      </c>
      <c r="H1501" s="607" t="s">
        <v>1019</v>
      </c>
      <c r="I1501" s="607" t="s">
        <v>2920</v>
      </c>
      <c r="J1501" s="608" t="str">
        <f t="shared" si="48"/>
        <v>Transportation</v>
      </c>
      <c r="N1501" s="822">
        <v>425120</v>
      </c>
      <c r="O1501" s="822" t="s">
        <v>3326</v>
      </c>
      <c r="P1501" s="823">
        <v>5145</v>
      </c>
      <c r="Q1501" s="823" t="s">
        <v>3253</v>
      </c>
    </row>
    <row r="1502" spans="2:17" s="608" customFormat="1" x14ac:dyDescent="0.25">
      <c r="B1502" s="605" t="s">
        <v>3599</v>
      </c>
      <c r="C1502" s="606">
        <f t="shared" si="47"/>
        <v>483114</v>
      </c>
      <c r="D1502" s="607" t="s">
        <v>3600</v>
      </c>
      <c r="E1502" s="607" t="s">
        <v>3591</v>
      </c>
      <c r="F1502" s="607" t="s">
        <v>3592</v>
      </c>
      <c r="G1502" s="607" t="s">
        <v>1019</v>
      </c>
      <c r="H1502" s="607" t="s">
        <v>1019</v>
      </c>
      <c r="I1502" s="607" t="s">
        <v>2920</v>
      </c>
      <c r="J1502" s="608" t="str">
        <f t="shared" si="48"/>
        <v>Transportation</v>
      </c>
      <c r="N1502" s="822">
        <v>425120</v>
      </c>
      <c r="O1502" s="822" t="s">
        <v>3326</v>
      </c>
      <c r="P1502" s="823">
        <v>5146</v>
      </c>
      <c r="Q1502" s="823" t="s">
        <v>3257</v>
      </c>
    </row>
    <row r="1503" spans="2:17" s="608" customFormat="1" x14ac:dyDescent="0.25">
      <c r="B1503" s="605" t="s">
        <v>3599</v>
      </c>
      <c r="C1503" s="606">
        <f t="shared" si="47"/>
        <v>483114</v>
      </c>
      <c r="D1503" s="607" t="s">
        <v>3600</v>
      </c>
      <c r="E1503" s="607" t="s">
        <v>3601</v>
      </c>
      <c r="F1503" s="607" t="s">
        <v>3602</v>
      </c>
      <c r="G1503" s="607" t="s">
        <v>1019</v>
      </c>
      <c r="H1503" s="607" t="s">
        <v>1019</v>
      </c>
      <c r="I1503" s="607" t="s">
        <v>2920</v>
      </c>
      <c r="J1503" s="608" t="str">
        <f t="shared" si="48"/>
        <v>Transportation</v>
      </c>
      <c r="N1503" s="822">
        <v>425120</v>
      </c>
      <c r="O1503" s="822" t="s">
        <v>3326</v>
      </c>
      <c r="P1503" s="823">
        <v>5147</v>
      </c>
      <c r="Q1503" s="823" t="s">
        <v>1489</v>
      </c>
    </row>
    <row r="1504" spans="2:17" s="608" customFormat="1" x14ac:dyDescent="0.25">
      <c r="B1504" s="605" t="s">
        <v>3603</v>
      </c>
      <c r="C1504" s="606">
        <f t="shared" si="47"/>
        <v>483211</v>
      </c>
      <c r="D1504" s="607" t="s">
        <v>3604</v>
      </c>
      <c r="E1504" s="607" t="s">
        <v>3605</v>
      </c>
      <c r="F1504" s="607" t="s">
        <v>3606</v>
      </c>
      <c r="G1504" s="607" t="s">
        <v>1019</v>
      </c>
      <c r="H1504" s="607" t="s">
        <v>1019</v>
      </c>
      <c r="I1504" s="607" t="s">
        <v>2920</v>
      </c>
      <c r="J1504" s="608" t="str">
        <f t="shared" si="48"/>
        <v>Transportation</v>
      </c>
      <c r="N1504" s="822">
        <v>425120</v>
      </c>
      <c r="O1504" s="822" t="s">
        <v>3326</v>
      </c>
      <c r="P1504" s="823">
        <v>5148</v>
      </c>
      <c r="Q1504" s="823" t="s">
        <v>3263</v>
      </c>
    </row>
    <row r="1505" spans="2:17" s="608" customFormat="1" x14ac:dyDescent="0.25">
      <c r="B1505" s="605" t="s">
        <v>3603</v>
      </c>
      <c r="C1505" s="606">
        <f t="shared" si="47"/>
        <v>483211</v>
      </c>
      <c r="D1505" s="607" t="s">
        <v>3604</v>
      </c>
      <c r="E1505" s="607" t="s">
        <v>3607</v>
      </c>
      <c r="F1505" s="607" t="s">
        <v>3608</v>
      </c>
      <c r="G1505" s="607" t="s">
        <v>1019</v>
      </c>
      <c r="H1505" s="607" t="s">
        <v>1019</v>
      </c>
      <c r="I1505" s="607" t="s">
        <v>2920</v>
      </c>
      <c r="J1505" s="608" t="str">
        <f t="shared" si="48"/>
        <v>Transportation</v>
      </c>
      <c r="N1505" s="822">
        <v>425120</v>
      </c>
      <c r="O1505" s="822" t="s">
        <v>3326</v>
      </c>
      <c r="P1505" s="823">
        <v>5149</v>
      </c>
      <c r="Q1505" s="823" t="s">
        <v>1563</v>
      </c>
    </row>
    <row r="1506" spans="2:17" s="608" customFormat="1" x14ac:dyDescent="0.25">
      <c r="B1506" s="605" t="s">
        <v>3609</v>
      </c>
      <c r="C1506" s="606">
        <f t="shared" si="47"/>
        <v>483212</v>
      </c>
      <c r="D1506" s="607" t="s">
        <v>3610</v>
      </c>
      <c r="E1506" s="607" t="s">
        <v>3601</v>
      </c>
      <c r="F1506" s="607" t="s">
        <v>3602</v>
      </c>
      <c r="G1506" s="607" t="s">
        <v>1019</v>
      </c>
      <c r="H1506" s="607" t="s">
        <v>1019</v>
      </c>
      <c r="I1506" s="607" t="s">
        <v>2920</v>
      </c>
      <c r="J1506" s="608" t="str">
        <f t="shared" si="48"/>
        <v>Transportation</v>
      </c>
      <c r="N1506" s="822">
        <v>425120</v>
      </c>
      <c r="O1506" s="822" t="s">
        <v>3326</v>
      </c>
      <c r="P1506" s="823">
        <v>5153</v>
      </c>
      <c r="Q1506" s="823" t="s">
        <v>3269</v>
      </c>
    </row>
    <row r="1507" spans="2:17" s="608" customFormat="1" x14ac:dyDescent="0.25">
      <c r="B1507" s="605" t="s">
        <v>3609</v>
      </c>
      <c r="C1507" s="606">
        <f t="shared" si="47"/>
        <v>483212</v>
      </c>
      <c r="D1507" s="607" t="s">
        <v>3610</v>
      </c>
      <c r="E1507" s="607" t="s">
        <v>3611</v>
      </c>
      <c r="F1507" s="607" t="s">
        <v>3612</v>
      </c>
      <c r="G1507" s="607" t="s">
        <v>1019</v>
      </c>
      <c r="H1507" s="607" t="s">
        <v>1019</v>
      </c>
      <c r="I1507" s="607" t="s">
        <v>2920</v>
      </c>
      <c r="J1507" s="608" t="str">
        <f t="shared" si="48"/>
        <v>Transportation</v>
      </c>
      <c r="N1507" s="822">
        <v>425120</v>
      </c>
      <c r="O1507" s="822" t="s">
        <v>3326</v>
      </c>
      <c r="P1507" s="823">
        <v>5154</v>
      </c>
      <c r="Q1507" s="823" t="s">
        <v>3273</v>
      </c>
    </row>
    <row r="1508" spans="2:17" s="608" customFormat="1" x14ac:dyDescent="0.25">
      <c r="B1508" s="605" t="s">
        <v>3613</v>
      </c>
      <c r="C1508" s="606">
        <f t="shared" si="47"/>
        <v>484110</v>
      </c>
      <c r="D1508" s="607" t="s">
        <v>3614</v>
      </c>
      <c r="E1508" s="607" t="s">
        <v>3615</v>
      </c>
      <c r="F1508" s="607" t="s">
        <v>3616</v>
      </c>
      <c r="G1508" s="607" t="s">
        <v>1019</v>
      </c>
      <c r="H1508" s="607" t="s">
        <v>1019</v>
      </c>
      <c r="I1508" s="607" t="s">
        <v>2920</v>
      </c>
      <c r="J1508" s="608" t="str">
        <f t="shared" si="48"/>
        <v>Transportation</v>
      </c>
      <c r="N1508" s="822">
        <v>425120</v>
      </c>
      <c r="O1508" s="822" t="s">
        <v>3326</v>
      </c>
      <c r="P1508" s="823">
        <v>5159</v>
      </c>
      <c r="Q1508" s="823" t="s">
        <v>3277</v>
      </c>
    </row>
    <row r="1509" spans="2:17" s="608" customFormat="1" x14ac:dyDescent="0.25">
      <c r="B1509" s="605" t="s">
        <v>3613</v>
      </c>
      <c r="C1509" s="606">
        <f t="shared" si="47"/>
        <v>484110</v>
      </c>
      <c r="D1509" s="607" t="s">
        <v>3614</v>
      </c>
      <c r="E1509" s="607" t="s">
        <v>3617</v>
      </c>
      <c r="F1509" s="607" t="s">
        <v>3618</v>
      </c>
      <c r="G1509" s="607" t="s">
        <v>1019</v>
      </c>
      <c r="H1509" s="607" t="s">
        <v>1019</v>
      </c>
      <c r="I1509" s="607" t="s">
        <v>2920</v>
      </c>
      <c r="J1509" s="608" t="str">
        <f t="shared" si="48"/>
        <v>Transportation</v>
      </c>
      <c r="N1509" s="822">
        <v>425120</v>
      </c>
      <c r="O1509" s="822" t="s">
        <v>3326</v>
      </c>
      <c r="P1509" s="823">
        <v>5162</v>
      </c>
      <c r="Q1509" s="823" t="s">
        <v>3281</v>
      </c>
    </row>
    <row r="1510" spans="2:17" s="608" customFormat="1" x14ac:dyDescent="0.25">
      <c r="B1510" s="605" t="s">
        <v>3619</v>
      </c>
      <c r="C1510" s="606">
        <f t="shared" si="47"/>
        <v>484121</v>
      </c>
      <c r="D1510" s="607" t="s">
        <v>3620</v>
      </c>
      <c r="E1510" s="607" t="s">
        <v>3621</v>
      </c>
      <c r="F1510" s="607" t="s">
        <v>3622</v>
      </c>
      <c r="G1510" s="607" t="s">
        <v>1019</v>
      </c>
      <c r="H1510" s="607" t="s">
        <v>1019</v>
      </c>
      <c r="I1510" s="607" t="s">
        <v>2920</v>
      </c>
      <c r="J1510" s="608" t="str">
        <f t="shared" si="48"/>
        <v>Transportation</v>
      </c>
      <c r="N1510" s="822">
        <v>425120</v>
      </c>
      <c r="O1510" s="822" t="s">
        <v>3326</v>
      </c>
      <c r="P1510" s="823">
        <v>5169</v>
      </c>
      <c r="Q1510" s="823" t="s">
        <v>3285</v>
      </c>
    </row>
    <row r="1511" spans="2:17" s="608" customFormat="1" x14ac:dyDescent="0.25">
      <c r="B1511" s="605" t="s">
        <v>3623</v>
      </c>
      <c r="C1511" s="606">
        <f t="shared" si="47"/>
        <v>484122</v>
      </c>
      <c r="D1511" s="607" t="s">
        <v>3624</v>
      </c>
      <c r="E1511" s="607" t="s">
        <v>3621</v>
      </c>
      <c r="F1511" s="607" t="s">
        <v>3622</v>
      </c>
      <c r="G1511" s="607" t="s">
        <v>1019</v>
      </c>
      <c r="H1511" s="607" t="s">
        <v>1019</v>
      </c>
      <c r="I1511" s="607" t="s">
        <v>2920</v>
      </c>
      <c r="J1511" s="608" t="str">
        <f t="shared" si="48"/>
        <v>Transportation</v>
      </c>
      <c r="N1511" s="822">
        <v>425120</v>
      </c>
      <c r="O1511" s="822" t="s">
        <v>3326</v>
      </c>
      <c r="P1511" s="823">
        <v>5172</v>
      </c>
      <c r="Q1511" s="823" t="s">
        <v>3292</v>
      </c>
    </row>
    <row r="1512" spans="2:17" s="608" customFormat="1" x14ac:dyDescent="0.25">
      <c r="B1512" s="605" t="s">
        <v>3625</v>
      </c>
      <c r="C1512" s="606">
        <f t="shared" si="47"/>
        <v>484210</v>
      </c>
      <c r="D1512" s="607" t="s">
        <v>3626</v>
      </c>
      <c r="E1512" s="607" t="s">
        <v>3615</v>
      </c>
      <c r="F1512" s="607" t="s">
        <v>3616</v>
      </c>
      <c r="G1512" s="607" t="s">
        <v>1019</v>
      </c>
      <c r="H1512" s="607" t="s">
        <v>1019</v>
      </c>
      <c r="I1512" s="607" t="s">
        <v>2920</v>
      </c>
      <c r="J1512" s="608" t="str">
        <f t="shared" si="48"/>
        <v>Transportation</v>
      </c>
      <c r="N1512" s="822">
        <v>425120</v>
      </c>
      <c r="O1512" s="822" t="s">
        <v>3326</v>
      </c>
      <c r="P1512" s="823">
        <v>5181</v>
      </c>
      <c r="Q1512" s="823" t="s">
        <v>3296</v>
      </c>
    </row>
    <row r="1513" spans="2:17" s="608" customFormat="1" x14ac:dyDescent="0.25">
      <c r="B1513" s="605" t="s">
        <v>3625</v>
      </c>
      <c r="C1513" s="606">
        <f t="shared" si="47"/>
        <v>484210</v>
      </c>
      <c r="D1513" s="607" t="s">
        <v>3626</v>
      </c>
      <c r="E1513" s="607" t="s">
        <v>3621</v>
      </c>
      <c r="F1513" s="607" t="s">
        <v>3622</v>
      </c>
      <c r="G1513" s="607" t="s">
        <v>1019</v>
      </c>
      <c r="H1513" s="607" t="s">
        <v>1019</v>
      </c>
      <c r="I1513" s="607" t="s">
        <v>2920</v>
      </c>
      <c r="J1513" s="608" t="str">
        <f t="shared" si="48"/>
        <v>Transportation</v>
      </c>
      <c r="N1513" s="822">
        <v>425120</v>
      </c>
      <c r="O1513" s="822" t="s">
        <v>3326</v>
      </c>
      <c r="P1513" s="823">
        <v>5182</v>
      </c>
      <c r="Q1513" s="823" t="s">
        <v>3300</v>
      </c>
    </row>
    <row r="1514" spans="2:17" s="608" customFormat="1" x14ac:dyDescent="0.25">
      <c r="B1514" s="605" t="s">
        <v>3625</v>
      </c>
      <c r="C1514" s="606">
        <f t="shared" si="47"/>
        <v>484210</v>
      </c>
      <c r="D1514" s="607" t="s">
        <v>3626</v>
      </c>
      <c r="E1514" s="607" t="s">
        <v>3617</v>
      </c>
      <c r="F1514" s="607" t="s">
        <v>3618</v>
      </c>
      <c r="G1514" s="607" t="s">
        <v>1019</v>
      </c>
      <c r="H1514" s="607" t="s">
        <v>1019</v>
      </c>
      <c r="I1514" s="607" t="s">
        <v>2920</v>
      </c>
      <c r="J1514" s="608" t="str">
        <f t="shared" si="48"/>
        <v>Transportation</v>
      </c>
      <c r="N1514" s="822">
        <v>425120</v>
      </c>
      <c r="O1514" s="822" t="s">
        <v>3326</v>
      </c>
      <c r="P1514" s="823">
        <v>5191</v>
      </c>
      <c r="Q1514" s="823" t="s">
        <v>3304</v>
      </c>
    </row>
    <row r="1515" spans="2:17" s="608" customFormat="1" x14ac:dyDescent="0.25">
      <c r="B1515" s="605" t="s">
        <v>3627</v>
      </c>
      <c r="C1515" s="606">
        <f t="shared" si="47"/>
        <v>484220</v>
      </c>
      <c r="D1515" s="607" t="s">
        <v>3628</v>
      </c>
      <c r="E1515" s="607" t="s">
        <v>3615</v>
      </c>
      <c r="F1515" s="607" t="s">
        <v>3616</v>
      </c>
      <c r="G1515" s="607" t="s">
        <v>1019</v>
      </c>
      <c r="H1515" s="607" t="s">
        <v>1019</v>
      </c>
      <c r="I1515" s="607" t="s">
        <v>2920</v>
      </c>
      <c r="J1515" s="608" t="str">
        <f t="shared" si="48"/>
        <v>Transportation</v>
      </c>
      <c r="N1515" s="822">
        <v>425120</v>
      </c>
      <c r="O1515" s="822" t="s">
        <v>3326</v>
      </c>
      <c r="P1515" s="823">
        <v>5192</v>
      </c>
      <c r="Q1515" s="823" t="s">
        <v>3308</v>
      </c>
    </row>
    <row r="1516" spans="2:17" s="608" customFormat="1" x14ac:dyDescent="0.25">
      <c r="B1516" s="605" t="s">
        <v>3627</v>
      </c>
      <c r="C1516" s="606">
        <f t="shared" si="47"/>
        <v>484220</v>
      </c>
      <c r="D1516" s="607" t="s">
        <v>3628</v>
      </c>
      <c r="E1516" s="607" t="s">
        <v>3617</v>
      </c>
      <c r="F1516" s="607" t="s">
        <v>3618</v>
      </c>
      <c r="G1516" s="607" t="s">
        <v>1019</v>
      </c>
      <c r="H1516" s="607" t="s">
        <v>1019</v>
      </c>
      <c r="I1516" s="607" t="s">
        <v>2920</v>
      </c>
      <c r="J1516" s="608" t="str">
        <f t="shared" si="48"/>
        <v>Transportation</v>
      </c>
      <c r="N1516" s="822">
        <v>425120</v>
      </c>
      <c r="O1516" s="822" t="s">
        <v>3326</v>
      </c>
      <c r="P1516" s="823">
        <v>5193</v>
      </c>
      <c r="Q1516" s="823" t="s">
        <v>3312</v>
      </c>
    </row>
    <row r="1517" spans="2:17" s="608" customFormat="1" x14ac:dyDescent="0.25">
      <c r="B1517" s="605" t="s">
        <v>3629</v>
      </c>
      <c r="C1517" s="606">
        <f t="shared" si="47"/>
        <v>484230</v>
      </c>
      <c r="D1517" s="607" t="s">
        <v>3630</v>
      </c>
      <c r="E1517" s="607" t="s">
        <v>3621</v>
      </c>
      <c r="F1517" s="607" t="s">
        <v>3622</v>
      </c>
      <c r="G1517" s="607" t="s">
        <v>1019</v>
      </c>
      <c r="H1517" s="607" t="s">
        <v>1019</v>
      </c>
      <c r="I1517" s="607" t="s">
        <v>2920</v>
      </c>
      <c r="J1517" s="608" t="str">
        <f t="shared" si="48"/>
        <v>Transportation</v>
      </c>
      <c r="N1517" s="822">
        <v>425120</v>
      </c>
      <c r="O1517" s="822" t="s">
        <v>3326</v>
      </c>
      <c r="P1517" s="823">
        <v>5194</v>
      </c>
      <c r="Q1517" s="823" t="s">
        <v>3316</v>
      </c>
    </row>
    <row r="1518" spans="2:17" s="608" customFormat="1" x14ac:dyDescent="0.25">
      <c r="B1518" s="605" t="s">
        <v>3631</v>
      </c>
      <c r="C1518" s="606">
        <f t="shared" si="47"/>
        <v>485111</v>
      </c>
      <c r="D1518" s="607" t="s">
        <v>3632</v>
      </c>
      <c r="E1518" s="605" t="s">
        <v>3633</v>
      </c>
      <c r="F1518" s="607" t="s">
        <v>3634</v>
      </c>
      <c r="G1518" s="607" t="s">
        <v>1019</v>
      </c>
      <c r="H1518" s="607" t="s">
        <v>1019</v>
      </c>
      <c r="I1518" s="607" t="s">
        <v>2920</v>
      </c>
      <c r="J1518" s="608" t="str">
        <f t="shared" si="48"/>
        <v>Transportation</v>
      </c>
      <c r="N1518" s="822">
        <v>425120</v>
      </c>
      <c r="O1518" s="822" t="s">
        <v>3326</v>
      </c>
      <c r="P1518" s="823">
        <v>5198</v>
      </c>
      <c r="Q1518" s="823" t="s">
        <v>3320</v>
      </c>
    </row>
    <row r="1519" spans="2:17" s="608" customFormat="1" x14ac:dyDescent="0.25">
      <c r="B1519" s="605" t="s">
        <v>3635</v>
      </c>
      <c r="C1519" s="606">
        <f t="shared" si="47"/>
        <v>485112</v>
      </c>
      <c r="D1519" s="607" t="s">
        <v>3636</v>
      </c>
      <c r="E1519" s="605" t="s">
        <v>3633</v>
      </c>
      <c r="F1519" s="607" t="s">
        <v>3634</v>
      </c>
      <c r="G1519" s="607" t="s">
        <v>1019</v>
      </c>
      <c r="H1519" s="607" t="s">
        <v>1019</v>
      </c>
      <c r="I1519" s="607" t="s">
        <v>2920</v>
      </c>
      <c r="J1519" s="608" t="str">
        <f t="shared" si="48"/>
        <v>Transportation</v>
      </c>
      <c r="N1519" s="822">
        <v>425120</v>
      </c>
      <c r="O1519" s="822" t="s">
        <v>3326</v>
      </c>
      <c r="P1519" s="823">
        <v>5199</v>
      </c>
      <c r="Q1519" s="823" t="s">
        <v>3225</v>
      </c>
    </row>
    <row r="1520" spans="2:17" s="608" customFormat="1" x14ac:dyDescent="0.25">
      <c r="B1520" s="605" t="s">
        <v>3637</v>
      </c>
      <c r="C1520" s="606">
        <f t="shared" si="47"/>
        <v>485113</v>
      </c>
      <c r="D1520" s="607" t="s">
        <v>3638</v>
      </c>
      <c r="E1520" s="605" t="s">
        <v>3633</v>
      </c>
      <c r="F1520" s="607" t="s">
        <v>3634</v>
      </c>
      <c r="G1520" s="607" t="s">
        <v>1019</v>
      </c>
      <c r="H1520" s="607" t="s">
        <v>1019</v>
      </c>
      <c r="I1520" s="607" t="s">
        <v>2920</v>
      </c>
      <c r="J1520" s="608" t="str">
        <f t="shared" si="48"/>
        <v>Transportation</v>
      </c>
      <c r="N1520" s="822">
        <v>425120</v>
      </c>
      <c r="O1520" s="822" t="s">
        <v>3326</v>
      </c>
      <c r="P1520" s="823">
        <v>7389</v>
      </c>
      <c r="Q1520" s="823" t="s">
        <v>1589</v>
      </c>
    </row>
    <row r="1521" spans="2:17" s="608" customFormat="1" x14ac:dyDescent="0.25">
      <c r="B1521" s="605" t="s">
        <v>3639</v>
      </c>
      <c r="C1521" s="606">
        <f t="shared" si="47"/>
        <v>485119</v>
      </c>
      <c r="D1521" s="607" t="s">
        <v>3640</v>
      </c>
      <c r="E1521" s="605" t="s">
        <v>3633</v>
      </c>
      <c r="F1521" s="607" t="s">
        <v>3634</v>
      </c>
      <c r="G1521" s="607" t="s">
        <v>1019</v>
      </c>
      <c r="H1521" s="607" t="s">
        <v>1019</v>
      </c>
      <c r="I1521" s="607" t="s">
        <v>2920</v>
      </c>
      <c r="J1521" s="608" t="str">
        <f t="shared" si="48"/>
        <v>Transportation</v>
      </c>
      <c r="N1521" s="822">
        <v>441110</v>
      </c>
      <c r="O1521" s="822" t="s">
        <v>3328</v>
      </c>
      <c r="P1521" s="823">
        <v>5511</v>
      </c>
      <c r="Q1521" s="823" t="s">
        <v>3330</v>
      </c>
    </row>
    <row r="1522" spans="2:17" s="608" customFormat="1" x14ac:dyDescent="0.25">
      <c r="B1522" s="605" t="s">
        <v>3641</v>
      </c>
      <c r="C1522" s="606">
        <f t="shared" si="47"/>
        <v>485210</v>
      </c>
      <c r="D1522" s="607" t="s">
        <v>3642</v>
      </c>
      <c r="E1522" s="605" t="s">
        <v>3643</v>
      </c>
      <c r="F1522" s="607" t="s">
        <v>3644</v>
      </c>
      <c r="G1522" s="607" t="s">
        <v>1019</v>
      </c>
      <c r="H1522" s="607" t="s">
        <v>1019</v>
      </c>
      <c r="I1522" s="607" t="s">
        <v>2920</v>
      </c>
      <c r="J1522" s="608" t="str">
        <f t="shared" si="48"/>
        <v>Transportation</v>
      </c>
      <c r="N1522" s="822">
        <v>441120</v>
      </c>
      <c r="O1522" s="822" t="s">
        <v>3332</v>
      </c>
      <c r="P1522" s="823">
        <v>5521</v>
      </c>
      <c r="Q1522" s="823" t="s">
        <v>3332</v>
      </c>
    </row>
    <row r="1523" spans="2:17" s="608" customFormat="1" x14ac:dyDescent="0.25">
      <c r="B1523" s="605" t="s">
        <v>3645</v>
      </c>
      <c r="C1523" s="606">
        <f t="shared" si="47"/>
        <v>485310</v>
      </c>
      <c r="D1523" s="607" t="s">
        <v>3646</v>
      </c>
      <c r="E1523" s="605" t="s">
        <v>3647</v>
      </c>
      <c r="F1523" s="607" t="s">
        <v>3648</v>
      </c>
      <c r="G1523" s="607" t="s">
        <v>1019</v>
      </c>
      <c r="H1523" s="607" t="s">
        <v>1019</v>
      </c>
      <c r="I1523" s="607" t="s">
        <v>2920</v>
      </c>
      <c r="J1523" s="608" t="str">
        <f t="shared" si="48"/>
        <v>Transportation</v>
      </c>
      <c r="N1523" s="822">
        <v>441210</v>
      </c>
      <c r="O1523" s="822" t="s">
        <v>3335</v>
      </c>
      <c r="P1523" s="823">
        <v>5561</v>
      </c>
      <c r="Q1523" s="823" t="s">
        <v>3335</v>
      </c>
    </row>
    <row r="1524" spans="2:17" s="608" customFormat="1" x14ac:dyDescent="0.25">
      <c r="B1524" s="605" t="s">
        <v>3645</v>
      </c>
      <c r="C1524" s="606">
        <f t="shared" si="47"/>
        <v>485310</v>
      </c>
      <c r="D1524" s="607" t="s">
        <v>3646</v>
      </c>
      <c r="E1524" s="605" t="s">
        <v>3649</v>
      </c>
      <c r="F1524" s="607" t="s">
        <v>3650</v>
      </c>
      <c r="G1524" s="607" t="s">
        <v>1019</v>
      </c>
      <c r="H1524" s="607" t="s">
        <v>1019</v>
      </c>
      <c r="I1524" s="607" t="s">
        <v>2920</v>
      </c>
      <c r="J1524" s="608" t="str">
        <f t="shared" si="48"/>
        <v>Transportation</v>
      </c>
      <c r="N1524" s="823">
        <v>441221</v>
      </c>
      <c r="O1524" s="823" t="s">
        <v>5991</v>
      </c>
      <c r="P1524" s="823"/>
      <c r="Q1524" s="823" t="s">
        <v>958</v>
      </c>
    </row>
    <row r="1525" spans="2:17" s="608" customFormat="1" x14ac:dyDescent="0.25">
      <c r="B1525" s="605" t="s">
        <v>3651</v>
      </c>
      <c r="C1525" s="606">
        <f t="shared" si="47"/>
        <v>485320</v>
      </c>
      <c r="D1525" s="607" t="s">
        <v>3652</v>
      </c>
      <c r="E1525" s="605" t="s">
        <v>3653</v>
      </c>
      <c r="F1525" s="607" t="s">
        <v>3654</v>
      </c>
      <c r="G1525" s="607" t="s">
        <v>1019</v>
      </c>
      <c r="H1525" s="607" t="s">
        <v>1019</v>
      </c>
      <c r="I1525" s="607" t="s">
        <v>2920</v>
      </c>
      <c r="J1525" s="608" t="str">
        <f t="shared" si="48"/>
        <v>Transportation</v>
      </c>
      <c r="N1525" s="822">
        <v>441222</v>
      </c>
      <c r="O1525" s="822" t="s">
        <v>3338</v>
      </c>
      <c r="P1525" s="823">
        <v>5551</v>
      </c>
      <c r="Q1525" s="823" t="s">
        <v>3338</v>
      </c>
    </row>
    <row r="1526" spans="2:17" s="608" customFormat="1" x14ac:dyDescent="0.25">
      <c r="B1526" s="605" t="s">
        <v>3655</v>
      </c>
      <c r="C1526" s="606">
        <f t="shared" si="47"/>
        <v>485410</v>
      </c>
      <c r="D1526" s="607" t="s">
        <v>3656</v>
      </c>
      <c r="E1526" s="605" t="s">
        <v>3653</v>
      </c>
      <c r="F1526" s="607" t="s">
        <v>3654</v>
      </c>
      <c r="G1526" s="607" t="s">
        <v>1019</v>
      </c>
      <c r="H1526" s="607" t="s">
        <v>1019</v>
      </c>
      <c r="I1526" s="607" t="s">
        <v>2920</v>
      </c>
      <c r="J1526" s="608" t="str">
        <f t="shared" si="48"/>
        <v>Transportation</v>
      </c>
      <c r="N1526" s="822">
        <v>441228</v>
      </c>
      <c r="O1526" s="822" t="s">
        <v>3341</v>
      </c>
      <c r="P1526" s="823">
        <v>5571</v>
      </c>
      <c r="Q1526" s="823" t="s">
        <v>3343</v>
      </c>
    </row>
    <row r="1527" spans="2:17" s="608" customFormat="1" x14ac:dyDescent="0.25">
      <c r="B1527" s="605" t="s">
        <v>3655</v>
      </c>
      <c r="C1527" s="606">
        <f t="shared" si="47"/>
        <v>485410</v>
      </c>
      <c r="D1527" s="607" t="s">
        <v>3656</v>
      </c>
      <c r="E1527" s="605" t="s">
        <v>3657</v>
      </c>
      <c r="F1527" s="607" t="s">
        <v>3658</v>
      </c>
      <c r="G1527" s="607" t="s">
        <v>1019</v>
      </c>
      <c r="H1527" s="607" t="s">
        <v>1019</v>
      </c>
      <c r="I1527" s="607" t="s">
        <v>2920</v>
      </c>
      <c r="J1527" s="608" t="str">
        <f t="shared" si="48"/>
        <v>Transportation</v>
      </c>
      <c r="N1527" s="822">
        <v>441228</v>
      </c>
      <c r="O1527" s="822" t="s">
        <v>3341</v>
      </c>
      <c r="P1527" s="823">
        <v>5599</v>
      </c>
      <c r="Q1527" s="823" t="s">
        <v>3345</v>
      </c>
    </row>
    <row r="1528" spans="2:17" s="608" customFormat="1" ht="18" x14ac:dyDescent="0.3">
      <c r="B1528" s="605" t="s">
        <v>3659</v>
      </c>
      <c r="C1528" s="606">
        <f t="shared" si="47"/>
        <v>485510</v>
      </c>
      <c r="D1528" s="607" t="s">
        <v>3660</v>
      </c>
      <c r="E1528" s="605" t="s">
        <v>3661</v>
      </c>
      <c r="F1528" s="607" t="s">
        <v>3662</v>
      </c>
      <c r="G1528" s="607" t="s">
        <v>1019</v>
      </c>
      <c r="H1528" s="607" t="s">
        <v>1019</v>
      </c>
      <c r="I1528" s="607" t="s">
        <v>2920</v>
      </c>
      <c r="J1528" s="608" t="str">
        <f t="shared" si="48"/>
        <v>Transportation</v>
      </c>
      <c r="N1528" s="822">
        <v>441229</v>
      </c>
      <c r="O1528" s="824" t="s">
        <v>3341</v>
      </c>
      <c r="P1528" s="823"/>
      <c r="Q1528" s="823" t="s">
        <v>958</v>
      </c>
    </row>
    <row r="1529" spans="2:17" s="608" customFormat="1" x14ac:dyDescent="0.25">
      <c r="B1529" s="605" t="s">
        <v>3659</v>
      </c>
      <c r="C1529" s="606">
        <f t="shared" si="47"/>
        <v>485510</v>
      </c>
      <c r="D1529" s="607" t="s">
        <v>3660</v>
      </c>
      <c r="E1529" s="605" t="s">
        <v>3663</v>
      </c>
      <c r="F1529" s="607" t="s">
        <v>3664</v>
      </c>
      <c r="G1529" s="607" t="s">
        <v>1019</v>
      </c>
      <c r="H1529" s="607" t="s">
        <v>1019</v>
      </c>
      <c r="I1529" s="607" t="s">
        <v>2920</v>
      </c>
      <c r="J1529" s="608" t="str">
        <f t="shared" si="48"/>
        <v>Transportation</v>
      </c>
      <c r="N1529" s="822">
        <v>441310</v>
      </c>
      <c r="O1529" s="822" t="s">
        <v>3347</v>
      </c>
      <c r="P1529" s="823">
        <v>5013</v>
      </c>
      <c r="Q1529" s="823" t="s">
        <v>3061</v>
      </c>
    </row>
    <row r="1530" spans="2:17" s="608" customFormat="1" x14ac:dyDescent="0.25">
      <c r="B1530" s="605" t="s">
        <v>3665</v>
      </c>
      <c r="C1530" s="606">
        <f t="shared" si="47"/>
        <v>485991</v>
      </c>
      <c r="D1530" s="607" t="s">
        <v>3666</v>
      </c>
      <c r="E1530" s="605" t="s">
        <v>3653</v>
      </c>
      <c r="F1530" s="607" t="s">
        <v>3654</v>
      </c>
      <c r="G1530" s="607" t="s">
        <v>1019</v>
      </c>
      <c r="H1530" s="607" t="s">
        <v>1019</v>
      </c>
      <c r="I1530" s="607" t="s">
        <v>2920</v>
      </c>
      <c r="J1530" s="608" t="str">
        <f t="shared" si="48"/>
        <v>Transportation</v>
      </c>
      <c r="N1530" s="822">
        <v>441310</v>
      </c>
      <c r="O1530" s="822" t="s">
        <v>3347</v>
      </c>
      <c r="P1530" s="823">
        <v>5015</v>
      </c>
      <c r="Q1530" s="823" t="s">
        <v>3069</v>
      </c>
    </row>
    <row r="1531" spans="2:17" s="608" customFormat="1" x14ac:dyDescent="0.25">
      <c r="B1531" s="605" t="s">
        <v>3667</v>
      </c>
      <c r="C1531" s="606">
        <f t="shared" si="47"/>
        <v>485999</v>
      </c>
      <c r="D1531" s="607" t="s">
        <v>3668</v>
      </c>
      <c r="E1531" s="605" t="s">
        <v>3633</v>
      </c>
      <c r="F1531" s="607" t="s">
        <v>3634</v>
      </c>
      <c r="G1531" s="607" t="s">
        <v>1019</v>
      </c>
      <c r="H1531" s="607" t="s">
        <v>1019</v>
      </c>
      <c r="I1531" s="607" t="s">
        <v>2920</v>
      </c>
      <c r="J1531" s="608" t="str">
        <f t="shared" si="48"/>
        <v>Transportation</v>
      </c>
      <c r="N1531" s="822">
        <v>441310</v>
      </c>
      <c r="O1531" s="822" t="s">
        <v>3347</v>
      </c>
      <c r="P1531" s="823">
        <v>5531</v>
      </c>
      <c r="Q1531" s="823" t="s">
        <v>3349</v>
      </c>
    </row>
    <row r="1532" spans="2:17" s="608" customFormat="1" x14ac:dyDescent="0.25">
      <c r="B1532" s="605" t="s">
        <v>3667</v>
      </c>
      <c r="C1532" s="606">
        <f t="shared" si="47"/>
        <v>485999</v>
      </c>
      <c r="D1532" s="607" t="s">
        <v>3668</v>
      </c>
      <c r="E1532" s="607" t="s">
        <v>3653</v>
      </c>
      <c r="F1532" s="607" t="s">
        <v>3654</v>
      </c>
      <c r="G1532" s="607" t="s">
        <v>1019</v>
      </c>
      <c r="H1532" s="607" t="s">
        <v>1019</v>
      </c>
      <c r="I1532" s="607" t="s">
        <v>2920</v>
      </c>
      <c r="J1532" s="608" t="str">
        <f t="shared" si="48"/>
        <v>Transportation</v>
      </c>
      <c r="N1532" s="822">
        <v>441310</v>
      </c>
      <c r="O1532" s="822" t="s">
        <v>3347</v>
      </c>
      <c r="P1532" s="823">
        <v>5731</v>
      </c>
      <c r="Q1532" s="823" t="s">
        <v>3351</v>
      </c>
    </row>
    <row r="1533" spans="2:17" s="608" customFormat="1" x14ac:dyDescent="0.25">
      <c r="B1533" s="605" t="s">
        <v>3669</v>
      </c>
      <c r="C1533" s="606">
        <f t="shared" si="47"/>
        <v>486110</v>
      </c>
      <c r="D1533" s="607" t="s">
        <v>3670</v>
      </c>
      <c r="E1533" s="605" t="s">
        <v>3671</v>
      </c>
      <c r="F1533" s="607" t="s">
        <v>3672</v>
      </c>
      <c r="G1533" s="607" t="s">
        <v>1019</v>
      </c>
      <c r="H1533" s="607" t="s">
        <v>1019</v>
      </c>
      <c r="I1533" s="607" t="s">
        <v>1092</v>
      </c>
      <c r="J1533" s="608" t="str">
        <f t="shared" si="48"/>
        <v>Mining, Quarry, Oil &amp; Gas</v>
      </c>
      <c r="N1533" s="822">
        <v>441320</v>
      </c>
      <c r="O1533" s="822" t="s">
        <v>3353</v>
      </c>
      <c r="P1533" s="823">
        <v>5014</v>
      </c>
      <c r="Q1533" s="823" t="s">
        <v>3065</v>
      </c>
    </row>
    <row r="1534" spans="2:17" s="608" customFormat="1" x14ac:dyDescent="0.25">
      <c r="B1534" s="605" t="s">
        <v>3673</v>
      </c>
      <c r="C1534" s="606">
        <f t="shared" si="47"/>
        <v>486210</v>
      </c>
      <c r="D1534" s="607" t="s">
        <v>3674</v>
      </c>
      <c r="E1534" s="605" t="s">
        <v>3675</v>
      </c>
      <c r="F1534" s="607" t="s">
        <v>3676</v>
      </c>
      <c r="G1534" s="607" t="s">
        <v>1019</v>
      </c>
      <c r="H1534" s="607" t="s">
        <v>1019</v>
      </c>
      <c r="I1534" s="607" t="s">
        <v>1092</v>
      </c>
      <c r="J1534" s="608" t="str">
        <f t="shared" si="48"/>
        <v>Mining, Quarry, Oil &amp; Gas</v>
      </c>
      <c r="N1534" s="822">
        <v>441320</v>
      </c>
      <c r="O1534" s="822" t="s">
        <v>3353</v>
      </c>
      <c r="P1534" s="823">
        <v>5531</v>
      </c>
      <c r="Q1534" s="823" t="s">
        <v>3349</v>
      </c>
    </row>
    <row r="1535" spans="2:17" s="608" customFormat="1" x14ac:dyDescent="0.25">
      <c r="B1535" s="605" t="s">
        <v>3673</v>
      </c>
      <c r="C1535" s="606">
        <f t="shared" si="47"/>
        <v>486210</v>
      </c>
      <c r="D1535" s="607" t="s">
        <v>3674</v>
      </c>
      <c r="E1535" s="605" t="s">
        <v>1230</v>
      </c>
      <c r="F1535" s="607" t="s">
        <v>1231</v>
      </c>
      <c r="G1535" s="607" t="s">
        <v>1019</v>
      </c>
      <c r="H1535" s="607" t="s">
        <v>1019</v>
      </c>
      <c r="I1535" s="607" t="s">
        <v>1092</v>
      </c>
      <c r="J1535" s="608" t="str">
        <f t="shared" si="48"/>
        <v>Mining, Quarry, Oil &amp; Gas</v>
      </c>
      <c r="N1535" s="822">
        <v>442110</v>
      </c>
      <c r="O1535" s="822" t="s">
        <v>2943</v>
      </c>
      <c r="P1535" s="823">
        <v>5021</v>
      </c>
      <c r="Q1535" s="823" t="s">
        <v>3073</v>
      </c>
    </row>
    <row r="1536" spans="2:17" s="608" customFormat="1" x14ac:dyDescent="0.25">
      <c r="B1536" s="605" t="s">
        <v>3677</v>
      </c>
      <c r="C1536" s="606">
        <f t="shared" si="47"/>
        <v>486910</v>
      </c>
      <c r="D1536" s="607" t="s">
        <v>3678</v>
      </c>
      <c r="E1536" s="605" t="s">
        <v>3679</v>
      </c>
      <c r="F1536" s="607" t="s">
        <v>3680</v>
      </c>
      <c r="G1536" s="607" t="s">
        <v>1019</v>
      </c>
      <c r="H1536" s="607" t="s">
        <v>1019</v>
      </c>
      <c r="I1536" s="607" t="s">
        <v>1092</v>
      </c>
      <c r="J1536" s="608" t="str">
        <f t="shared" si="48"/>
        <v>Mining, Quarry, Oil &amp; Gas</v>
      </c>
      <c r="N1536" s="822">
        <v>442110</v>
      </c>
      <c r="O1536" s="822" t="s">
        <v>2943</v>
      </c>
      <c r="P1536" s="823">
        <v>5712</v>
      </c>
      <c r="Q1536" s="823" t="s">
        <v>2943</v>
      </c>
    </row>
    <row r="1537" spans="2:17" s="608" customFormat="1" x14ac:dyDescent="0.25">
      <c r="B1537" s="605" t="s">
        <v>3681</v>
      </c>
      <c r="C1537" s="606">
        <f t="shared" si="47"/>
        <v>486990</v>
      </c>
      <c r="D1537" s="607" t="s">
        <v>3682</v>
      </c>
      <c r="E1537" s="607" t="s">
        <v>3683</v>
      </c>
      <c r="F1537" s="607" t="s">
        <v>3684</v>
      </c>
      <c r="G1537" s="607" t="s">
        <v>1080</v>
      </c>
      <c r="H1537" s="607" t="s">
        <v>1080</v>
      </c>
      <c r="I1537" s="608" t="s">
        <v>1081</v>
      </c>
      <c r="J1537" s="608" t="str">
        <f t="shared" si="48"/>
        <v>Oil And Gas</v>
      </c>
      <c r="N1537" s="822">
        <v>442210</v>
      </c>
      <c r="O1537" s="822" t="s">
        <v>3356</v>
      </c>
      <c r="P1537" s="823">
        <v>5023</v>
      </c>
      <c r="Q1537" s="823" t="s">
        <v>3077</v>
      </c>
    </row>
    <row r="1538" spans="2:17" s="608" customFormat="1" x14ac:dyDescent="0.25">
      <c r="B1538" s="605" t="s">
        <v>3685</v>
      </c>
      <c r="C1538" s="606">
        <f t="shared" ref="C1538:C1601" si="49">B1538+0</f>
        <v>487110</v>
      </c>
      <c r="D1538" s="607" t="s">
        <v>3686</v>
      </c>
      <c r="E1538" s="605" t="s">
        <v>3653</v>
      </c>
      <c r="F1538" s="607" t="s">
        <v>3654</v>
      </c>
      <c r="G1538" s="607" t="s">
        <v>1019</v>
      </c>
      <c r="H1538" s="607" t="s">
        <v>1019</v>
      </c>
      <c r="I1538" s="607" t="s">
        <v>2920</v>
      </c>
      <c r="J1538" s="608" t="str">
        <f t="shared" si="48"/>
        <v>Transportation</v>
      </c>
      <c r="N1538" s="822">
        <v>442210</v>
      </c>
      <c r="O1538" s="822" t="s">
        <v>3356</v>
      </c>
      <c r="P1538" s="823">
        <v>5713</v>
      </c>
      <c r="Q1538" s="823" t="s">
        <v>3356</v>
      </c>
    </row>
    <row r="1539" spans="2:17" s="608" customFormat="1" x14ac:dyDescent="0.25">
      <c r="B1539" s="605" t="s">
        <v>3685</v>
      </c>
      <c r="C1539" s="606">
        <f t="shared" si="49"/>
        <v>487110</v>
      </c>
      <c r="D1539" s="607" t="s">
        <v>3686</v>
      </c>
      <c r="E1539" s="605" t="s">
        <v>3687</v>
      </c>
      <c r="F1539" s="607" t="s">
        <v>3688</v>
      </c>
      <c r="G1539" s="607" t="s">
        <v>1019</v>
      </c>
      <c r="H1539" s="607" t="s">
        <v>1019</v>
      </c>
      <c r="I1539" s="607" t="s">
        <v>2920</v>
      </c>
      <c r="J1539" s="608" t="str">
        <f t="shared" si="48"/>
        <v>Transportation</v>
      </c>
      <c r="N1539" s="822">
        <v>442291</v>
      </c>
      <c r="O1539" s="822" t="s">
        <v>3359</v>
      </c>
      <c r="P1539" s="823">
        <v>5714</v>
      </c>
      <c r="Q1539" s="823" t="s">
        <v>1666</v>
      </c>
    </row>
    <row r="1540" spans="2:17" s="608" customFormat="1" x14ac:dyDescent="0.25">
      <c r="B1540" s="605" t="s">
        <v>3685</v>
      </c>
      <c r="C1540" s="606">
        <f t="shared" si="49"/>
        <v>487110</v>
      </c>
      <c r="D1540" s="607" t="s">
        <v>3686</v>
      </c>
      <c r="E1540" s="607" t="s">
        <v>3689</v>
      </c>
      <c r="F1540" s="607" t="s">
        <v>3690</v>
      </c>
      <c r="G1540" s="607" t="s">
        <v>1594</v>
      </c>
      <c r="H1540" s="607" t="s">
        <v>1594</v>
      </c>
      <c r="I1540" s="608" t="s">
        <v>3691</v>
      </c>
      <c r="J1540" s="608" t="str">
        <f t="shared" si="48"/>
        <v>Hotel Restaurant Leisure Ctr</v>
      </c>
      <c r="N1540" s="822">
        <v>442291</v>
      </c>
      <c r="O1540" s="822" t="s">
        <v>3359</v>
      </c>
      <c r="P1540" s="823">
        <v>5719</v>
      </c>
      <c r="Q1540" s="823" t="s">
        <v>2153</v>
      </c>
    </row>
    <row r="1541" spans="2:17" s="608" customFormat="1" x14ac:dyDescent="0.25">
      <c r="B1541" s="605" t="s">
        <v>3692</v>
      </c>
      <c r="C1541" s="606">
        <f t="shared" si="49"/>
        <v>487210</v>
      </c>
      <c r="D1541" s="607" t="s">
        <v>3693</v>
      </c>
      <c r="E1541" s="605" t="s">
        <v>3611</v>
      </c>
      <c r="F1541" s="607" t="s">
        <v>3612</v>
      </c>
      <c r="G1541" s="607" t="s">
        <v>1019</v>
      </c>
      <c r="H1541" s="607" t="s">
        <v>1019</v>
      </c>
      <c r="I1541" s="607" t="s">
        <v>2920</v>
      </c>
      <c r="J1541" s="608" t="str">
        <f t="shared" si="48"/>
        <v>Transportation</v>
      </c>
      <c r="N1541" s="822">
        <v>442299</v>
      </c>
      <c r="O1541" s="822" t="s">
        <v>3361</v>
      </c>
      <c r="P1541" s="823">
        <v>5719</v>
      </c>
      <c r="Q1541" s="823" t="s">
        <v>2153</v>
      </c>
    </row>
    <row r="1542" spans="2:17" s="608" customFormat="1" x14ac:dyDescent="0.25">
      <c r="B1542" s="605" t="s">
        <v>3692</v>
      </c>
      <c r="C1542" s="606">
        <f t="shared" si="49"/>
        <v>487210</v>
      </c>
      <c r="D1542" s="607" t="s">
        <v>3693</v>
      </c>
      <c r="E1542" s="607" t="s">
        <v>3689</v>
      </c>
      <c r="F1542" s="607" t="s">
        <v>3690</v>
      </c>
      <c r="G1542" s="607" t="s">
        <v>1594</v>
      </c>
      <c r="H1542" s="607" t="s">
        <v>1594</v>
      </c>
      <c r="I1542" s="608" t="s">
        <v>3691</v>
      </c>
      <c r="J1542" s="608" t="str">
        <f t="shared" si="48"/>
        <v>Hotel Restaurant Leisure Ctr</v>
      </c>
      <c r="N1542" s="822">
        <v>442299</v>
      </c>
      <c r="O1542" s="822" t="s">
        <v>3361</v>
      </c>
      <c r="P1542" s="823">
        <v>7699</v>
      </c>
      <c r="Q1542" s="823" t="s">
        <v>1071</v>
      </c>
    </row>
    <row r="1543" spans="2:17" s="608" customFormat="1" x14ac:dyDescent="0.25">
      <c r="B1543" s="605" t="s">
        <v>3694</v>
      </c>
      <c r="C1543" s="606">
        <f t="shared" si="49"/>
        <v>487990</v>
      </c>
      <c r="D1543" s="607" t="s">
        <v>3695</v>
      </c>
      <c r="E1543" s="607" t="s">
        <v>3565</v>
      </c>
      <c r="F1543" s="607" t="s">
        <v>3566</v>
      </c>
      <c r="G1543" s="607" t="s">
        <v>1019</v>
      </c>
      <c r="H1543" s="607" t="s">
        <v>1019</v>
      </c>
      <c r="I1543" s="607" t="s">
        <v>3560</v>
      </c>
      <c r="J1543" s="608" t="str">
        <f t="shared" si="48"/>
        <v>Airlines</v>
      </c>
      <c r="N1543" s="823">
        <v>443111</v>
      </c>
      <c r="O1543" s="823" t="s">
        <v>3363</v>
      </c>
      <c r="P1543" s="823"/>
      <c r="Q1543" s="823" t="s">
        <v>958</v>
      </c>
    </row>
    <row r="1544" spans="2:17" s="608" customFormat="1" x14ac:dyDescent="0.25">
      <c r="B1544" s="605" t="s">
        <v>3694</v>
      </c>
      <c r="C1544" s="606">
        <f t="shared" si="49"/>
        <v>487990</v>
      </c>
      <c r="D1544" s="607" t="s">
        <v>3695</v>
      </c>
      <c r="E1544" s="607" t="s">
        <v>3689</v>
      </c>
      <c r="F1544" s="607" t="s">
        <v>3690</v>
      </c>
      <c r="G1544" s="607" t="s">
        <v>1594</v>
      </c>
      <c r="H1544" s="607" t="s">
        <v>1594</v>
      </c>
      <c r="I1544" s="608" t="s">
        <v>3691</v>
      </c>
      <c r="J1544" s="608" t="str">
        <f t="shared" si="48"/>
        <v>Hotel Restaurant Leisure Ctr</v>
      </c>
      <c r="N1544" s="823">
        <v>443112</v>
      </c>
      <c r="O1544" s="823" t="s">
        <v>5992</v>
      </c>
      <c r="P1544" s="823"/>
      <c r="Q1544" s="823" t="s">
        <v>958</v>
      </c>
    </row>
    <row r="1545" spans="2:17" s="608" customFormat="1" x14ac:dyDescent="0.25">
      <c r="B1545" s="605" t="s">
        <v>3696</v>
      </c>
      <c r="C1545" s="606">
        <f t="shared" si="49"/>
        <v>488111</v>
      </c>
      <c r="D1545" s="607" t="s">
        <v>3697</v>
      </c>
      <c r="E1545" s="607" t="s">
        <v>3698</v>
      </c>
      <c r="F1545" s="607" t="s">
        <v>3699</v>
      </c>
      <c r="G1545" s="607" t="s">
        <v>1019</v>
      </c>
      <c r="H1545" s="607" t="s">
        <v>1019</v>
      </c>
      <c r="I1545" s="607" t="s">
        <v>3560</v>
      </c>
      <c r="J1545" s="608" t="str">
        <f t="shared" si="48"/>
        <v>Airlines</v>
      </c>
      <c r="N1545" s="823">
        <v>443120</v>
      </c>
      <c r="O1545" s="823" t="s">
        <v>3372</v>
      </c>
      <c r="P1545" s="823"/>
      <c r="Q1545" s="823" t="s">
        <v>958</v>
      </c>
    </row>
    <row r="1546" spans="2:17" s="608" customFormat="1" x14ac:dyDescent="0.25">
      <c r="B1546" s="605" t="s">
        <v>3696</v>
      </c>
      <c r="C1546" s="606">
        <f t="shared" si="49"/>
        <v>488111</v>
      </c>
      <c r="D1546" s="607" t="s">
        <v>3697</v>
      </c>
      <c r="E1546" s="607" t="s">
        <v>3700</v>
      </c>
      <c r="F1546" s="607" t="s">
        <v>3701</v>
      </c>
      <c r="G1546" s="607" t="s">
        <v>1019</v>
      </c>
      <c r="H1546" s="607" t="s">
        <v>1019</v>
      </c>
      <c r="I1546" s="607" t="s">
        <v>3560</v>
      </c>
      <c r="J1546" s="608" t="str">
        <f t="shared" si="48"/>
        <v>Airlines</v>
      </c>
      <c r="N1546" s="822">
        <v>443130</v>
      </c>
      <c r="O1546" s="822" t="s">
        <v>5993</v>
      </c>
      <c r="P1546" s="823"/>
      <c r="Q1546" s="823" t="s">
        <v>958</v>
      </c>
    </row>
    <row r="1547" spans="2:17" s="608" customFormat="1" x14ac:dyDescent="0.25">
      <c r="B1547" s="605" t="s">
        <v>3702</v>
      </c>
      <c r="C1547" s="606">
        <f t="shared" si="49"/>
        <v>488119</v>
      </c>
      <c r="D1547" s="607" t="s">
        <v>3703</v>
      </c>
      <c r="E1547" s="607" t="s">
        <v>3698</v>
      </c>
      <c r="F1547" s="607" t="s">
        <v>3699</v>
      </c>
      <c r="G1547" s="607" t="s">
        <v>1019</v>
      </c>
      <c r="H1547" s="607" t="s">
        <v>1019</v>
      </c>
      <c r="I1547" s="607" t="s">
        <v>3560</v>
      </c>
      <c r="J1547" s="608" t="str">
        <f t="shared" si="48"/>
        <v>Airlines</v>
      </c>
      <c r="N1547" s="822">
        <v>443141</v>
      </c>
      <c r="O1547" s="822" t="s">
        <v>3363</v>
      </c>
      <c r="P1547" s="823">
        <v>5064</v>
      </c>
      <c r="Q1547" s="823" t="s">
        <v>3135</v>
      </c>
    </row>
    <row r="1548" spans="2:17" s="608" customFormat="1" x14ac:dyDescent="0.25">
      <c r="B1548" s="605" t="s">
        <v>3702</v>
      </c>
      <c r="C1548" s="606">
        <f t="shared" si="49"/>
        <v>488119</v>
      </c>
      <c r="D1548" s="607" t="s">
        <v>3703</v>
      </c>
      <c r="E1548" s="607" t="s">
        <v>3704</v>
      </c>
      <c r="F1548" s="607" t="s">
        <v>3705</v>
      </c>
      <c r="G1548" s="607" t="s">
        <v>1019</v>
      </c>
      <c r="H1548" s="607" t="s">
        <v>1019</v>
      </c>
      <c r="I1548" s="607" t="s">
        <v>3560</v>
      </c>
      <c r="J1548" s="608" t="str">
        <f t="shared" si="48"/>
        <v>Airlines</v>
      </c>
      <c r="N1548" s="822">
        <v>443141</v>
      </c>
      <c r="O1548" s="822" t="s">
        <v>3363</v>
      </c>
      <c r="P1548" s="823">
        <v>5722</v>
      </c>
      <c r="Q1548" s="823" t="s">
        <v>3363</v>
      </c>
    </row>
    <row r="1549" spans="2:17" s="608" customFormat="1" x14ac:dyDescent="0.25">
      <c r="B1549" s="605" t="s">
        <v>3702</v>
      </c>
      <c r="C1549" s="606">
        <f t="shared" si="49"/>
        <v>488119</v>
      </c>
      <c r="D1549" s="607" t="s">
        <v>3703</v>
      </c>
      <c r="E1549" s="607" t="s">
        <v>3575</v>
      </c>
      <c r="F1549" s="607" t="s">
        <v>3576</v>
      </c>
      <c r="G1549" s="607" t="s">
        <v>1019</v>
      </c>
      <c r="H1549" s="607" t="s">
        <v>1019</v>
      </c>
      <c r="I1549" s="607" t="s">
        <v>2920</v>
      </c>
      <c r="J1549" s="608" t="str">
        <f t="shared" si="48"/>
        <v>Transportation</v>
      </c>
      <c r="N1549" s="822">
        <v>443141</v>
      </c>
      <c r="O1549" s="822" t="s">
        <v>3363</v>
      </c>
      <c r="P1549" s="823">
        <v>7623</v>
      </c>
      <c r="Q1549" s="823" t="s">
        <v>3366</v>
      </c>
    </row>
    <row r="1550" spans="2:17" s="608" customFormat="1" x14ac:dyDescent="0.25">
      <c r="B1550" s="605" t="s">
        <v>3706</v>
      </c>
      <c r="C1550" s="606">
        <f t="shared" si="49"/>
        <v>488190</v>
      </c>
      <c r="D1550" s="607" t="s">
        <v>3707</v>
      </c>
      <c r="E1550" s="607" t="s">
        <v>3698</v>
      </c>
      <c r="F1550" s="607" t="s">
        <v>3699</v>
      </c>
      <c r="G1550" s="607" t="s">
        <v>1019</v>
      </c>
      <c r="H1550" s="607" t="s">
        <v>1019</v>
      </c>
      <c r="I1550" s="607" t="s">
        <v>3560</v>
      </c>
      <c r="J1550" s="608" t="str">
        <f t="shared" si="48"/>
        <v>Airlines</v>
      </c>
      <c r="N1550" s="822">
        <v>443141</v>
      </c>
      <c r="O1550" s="822" t="s">
        <v>3363</v>
      </c>
      <c r="P1550" s="823">
        <v>7629</v>
      </c>
      <c r="Q1550" s="823" t="s">
        <v>3368</v>
      </c>
    </row>
    <row r="1551" spans="2:17" s="608" customFormat="1" x14ac:dyDescent="0.25">
      <c r="B1551" s="605" t="s">
        <v>3708</v>
      </c>
      <c r="C1551" s="606">
        <f t="shared" si="49"/>
        <v>488210</v>
      </c>
      <c r="D1551" s="607" t="s">
        <v>3709</v>
      </c>
      <c r="E1551" s="607" t="s">
        <v>3583</v>
      </c>
      <c r="F1551" s="607" t="s">
        <v>3584</v>
      </c>
      <c r="G1551" s="607" t="s">
        <v>1019</v>
      </c>
      <c r="H1551" s="607" t="s">
        <v>1019</v>
      </c>
      <c r="I1551" s="609" t="s">
        <v>2606</v>
      </c>
      <c r="J1551" s="608" t="str">
        <f t="shared" ref="J1551:J1614" si="50">PROPER(I1551)</f>
        <v>Railroads</v>
      </c>
      <c r="N1551" s="822">
        <v>443142</v>
      </c>
      <c r="O1551" s="822" t="s">
        <v>3370</v>
      </c>
      <c r="P1551" s="823">
        <v>5045</v>
      </c>
      <c r="Q1551" s="823" t="s">
        <v>3104</v>
      </c>
    </row>
    <row r="1552" spans="2:17" s="608" customFormat="1" x14ac:dyDescent="0.25">
      <c r="B1552" s="605" t="s">
        <v>3708</v>
      </c>
      <c r="C1552" s="606">
        <f t="shared" si="49"/>
        <v>488210</v>
      </c>
      <c r="D1552" s="607" t="s">
        <v>3709</v>
      </c>
      <c r="E1552" s="607" t="s">
        <v>3710</v>
      </c>
      <c r="F1552" s="607" t="s">
        <v>3711</v>
      </c>
      <c r="G1552" s="607" t="s">
        <v>1019</v>
      </c>
      <c r="H1552" s="607" t="s">
        <v>1019</v>
      </c>
      <c r="I1552" s="607" t="s">
        <v>2606</v>
      </c>
      <c r="J1552" s="608" t="str">
        <f t="shared" si="50"/>
        <v>Railroads</v>
      </c>
      <c r="N1552" s="822">
        <v>443142</v>
      </c>
      <c r="O1552" s="822" t="s">
        <v>3370</v>
      </c>
      <c r="P1552" s="823">
        <v>5064</v>
      </c>
      <c r="Q1552" s="823" t="s">
        <v>3135</v>
      </c>
    </row>
    <row r="1553" spans="2:17" s="608" customFormat="1" x14ac:dyDescent="0.25">
      <c r="B1553" s="605" t="s">
        <v>3708</v>
      </c>
      <c r="C1553" s="606">
        <f t="shared" si="49"/>
        <v>488210</v>
      </c>
      <c r="D1553" s="607" t="s">
        <v>3709</v>
      </c>
      <c r="E1553" s="607" t="s">
        <v>3687</v>
      </c>
      <c r="F1553" s="607" t="s">
        <v>3688</v>
      </c>
      <c r="G1553" s="607" t="s">
        <v>1019</v>
      </c>
      <c r="H1553" s="607" t="s">
        <v>1019</v>
      </c>
      <c r="I1553" s="607" t="s">
        <v>2606</v>
      </c>
      <c r="J1553" s="608" t="str">
        <f t="shared" si="50"/>
        <v>Railroads</v>
      </c>
      <c r="N1553" s="822">
        <v>443142</v>
      </c>
      <c r="O1553" s="822" t="s">
        <v>3370</v>
      </c>
      <c r="P1553" s="823">
        <v>5065</v>
      </c>
      <c r="Q1553" s="823" t="s">
        <v>3141</v>
      </c>
    </row>
    <row r="1554" spans="2:17" s="608" customFormat="1" x14ac:dyDescent="0.25">
      <c r="B1554" s="605" t="s">
        <v>3712</v>
      </c>
      <c r="C1554" s="606">
        <f t="shared" si="49"/>
        <v>488310</v>
      </c>
      <c r="D1554" s="607" t="s">
        <v>3713</v>
      </c>
      <c r="E1554" s="605" t="s">
        <v>3714</v>
      </c>
      <c r="F1554" s="607" t="s">
        <v>3715</v>
      </c>
      <c r="G1554" s="607" t="s">
        <v>1019</v>
      </c>
      <c r="H1554" s="607" t="s">
        <v>1019</v>
      </c>
      <c r="I1554" s="607" t="s">
        <v>2920</v>
      </c>
      <c r="J1554" s="608" t="str">
        <f t="shared" si="50"/>
        <v>Transportation</v>
      </c>
      <c r="N1554" s="822">
        <v>443142</v>
      </c>
      <c r="O1554" s="822" t="s">
        <v>3370</v>
      </c>
      <c r="P1554" s="823">
        <v>5099</v>
      </c>
      <c r="Q1554" s="823" t="s">
        <v>3203</v>
      </c>
    </row>
    <row r="1555" spans="2:17" s="608" customFormat="1" x14ac:dyDescent="0.25">
      <c r="B1555" s="605" t="s">
        <v>3712</v>
      </c>
      <c r="C1555" s="606">
        <f t="shared" si="49"/>
        <v>488310</v>
      </c>
      <c r="D1555" s="607" t="s">
        <v>3713</v>
      </c>
      <c r="E1555" s="607" t="s">
        <v>3607</v>
      </c>
      <c r="F1555" s="607" t="s">
        <v>3608</v>
      </c>
      <c r="G1555" s="607" t="s">
        <v>1019</v>
      </c>
      <c r="H1555" s="607" t="s">
        <v>1019</v>
      </c>
      <c r="I1555" s="607" t="s">
        <v>2920</v>
      </c>
      <c r="J1555" s="608" t="str">
        <f t="shared" si="50"/>
        <v>Transportation</v>
      </c>
      <c r="N1555" s="822">
        <v>443142</v>
      </c>
      <c r="O1555" s="822" t="s">
        <v>3370</v>
      </c>
      <c r="P1555" s="823">
        <v>5731</v>
      </c>
      <c r="Q1555" s="823" t="s">
        <v>3351</v>
      </c>
    </row>
    <row r="1556" spans="2:17" s="608" customFormat="1" x14ac:dyDescent="0.25">
      <c r="B1556" s="605" t="s">
        <v>3716</v>
      </c>
      <c r="C1556" s="606">
        <f t="shared" si="49"/>
        <v>488320</v>
      </c>
      <c r="D1556" s="607" t="s">
        <v>3715</v>
      </c>
      <c r="E1556" s="605" t="s">
        <v>3714</v>
      </c>
      <c r="F1556" s="607" t="s">
        <v>3715</v>
      </c>
      <c r="G1556" s="607" t="s">
        <v>1019</v>
      </c>
      <c r="H1556" s="607" t="s">
        <v>1019</v>
      </c>
      <c r="I1556" s="607" t="s">
        <v>2920</v>
      </c>
      <c r="J1556" s="608" t="str">
        <f t="shared" si="50"/>
        <v>Transportation</v>
      </c>
      <c r="N1556" s="822">
        <v>443142</v>
      </c>
      <c r="O1556" s="822" t="s">
        <v>3370</v>
      </c>
      <c r="P1556" s="823">
        <v>5734</v>
      </c>
      <c r="Q1556" s="823" t="s">
        <v>3372</v>
      </c>
    </row>
    <row r="1557" spans="2:17" s="608" customFormat="1" x14ac:dyDescent="0.25">
      <c r="B1557" s="605" t="s">
        <v>3717</v>
      </c>
      <c r="C1557" s="606">
        <f t="shared" si="49"/>
        <v>488330</v>
      </c>
      <c r="D1557" s="607" t="s">
        <v>3718</v>
      </c>
      <c r="E1557" s="605" t="s">
        <v>3719</v>
      </c>
      <c r="F1557" s="607" t="s">
        <v>3720</v>
      </c>
      <c r="G1557" s="607" t="s">
        <v>1019</v>
      </c>
      <c r="H1557" s="607" t="s">
        <v>1019</v>
      </c>
      <c r="I1557" s="607" t="s">
        <v>2920</v>
      </c>
      <c r="J1557" s="608" t="str">
        <f t="shared" si="50"/>
        <v>Transportation</v>
      </c>
      <c r="N1557" s="822">
        <v>443142</v>
      </c>
      <c r="O1557" s="822" t="s">
        <v>3370</v>
      </c>
      <c r="P1557" s="823">
        <v>5735</v>
      </c>
      <c r="Q1557" s="823" t="s">
        <v>3374</v>
      </c>
    </row>
    <row r="1558" spans="2:17" s="608" customFormat="1" x14ac:dyDescent="0.25">
      <c r="B1558" s="605" t="s">
        <v>3717</v>
      </c>
      <c r="C1558" s="606">
        <f t="shared" si="49"/>
        <v>488330</v>
      </c>
      <c r="D1558" s="607" t="s">
        <v>3718</v>
      </c>
      <c r="E1558" s="605" t="s">
        <v>3607</v>
      </c>
      <c r="F1558" s="607" t="s">
        <v>3608</v>
      </c>
      <c r="G1558" s="607" t="s">
        <v>1019</v>
      </c>
      <c r="H1558" s="607" t="s">
        <v>1019</v>
      </c>
      <c r="I1558" s="607" t="s">
        <v>2920</v>
      </c>
      <c r="J1558" s="608" t="str">
        <f t="shared" si="50"/>
        <v>Transportation</v>
      </c>
      <c r="N1558" s="822">
        <v>443142</v>
      </c>
      <c r="O1558" s="822" t="s">
        <v>3370</v>
      </c>
      <c r="P1558" s="823">
        <v>5946</v>
      </c>
      <c r="Q1558" s="823" t="s">
        <v>3376</v>
      </c>
    </row>
    <row r="1559" spans="2:17" s="608" customFormat="1" x14ac:dyDescent="0.25">
      <c r="B1559" s="605" t="s">
        <v>3721</v>
      </c>
      <c r="C1559" s="606">
        <f t="shared" si="49"/>
        <v>488390</v>
      </c>
      <c r="D1559" s="607" t="s">
        <v>3722</v>
      </c>
      <c r="E1559" s="607" t="s">
        <v>2916</v>
      </c>
      <c r="F1559" s="607" t="s">
        <v>2917</v>
      </c>
      <c r="G1559" s="607" t="s">
        <v>1019</v>
      </c>
      <c r="H1559" s="607" t="s">
        <v>1019</v>
      </c>
      <c r="I1559" s="607" t="s">
        <v>2920</v>
      </c>
      <c r="J1559" s="608" t="str">
        <f t="shared" si="50"/>
        <v>Transportation</v>
      </c>
      <c r="N1559" s="822">
        <v>443142</v>
      </c>
      <c r="O1559" s="822" t="s">
        <v>3370</v>
      </c>
      <c r="P1559" s="823">
        <v>5999</v>
      </c>
      <c r="Q1559" s="823" t="s">
        <v>2993</v>
      </c>
    </row>
    <row r="1560" spans="2:17" s="608" customFormat="1" x14ac:dyDescent="0.25">
      <c r="B1560" s="605" t="s">
        <v>3721</v>
      </c>
      <c r="C1560" s="606">
        <f t="shared" si="49"/>
        <v>488390</v>
      </c>
      <c r="D1560" s="607" t="s">
        <v>3722</v>
      </c>
      <c r="E1560" s="605" t="s">
        <v>3607</v>
      </c>
      <c r="F1560" s="607" t="s">
        <v>3608</v>
      </c>
      <c r="G1560" s="607" t="s">
        <v>1019</v>
      </c>
      <c r="H1560" s="607" t="s">
        <v>1019</v>
      </c>
      <c r="I1560" s="607" t="s">
        <v>2920</v>
      </c>
      <c r="J1560" s="608" t="str">
        <f t="shared" si="50"/>
        <v>Transportation</v>
      </c>
      <c r="N1560" s="822">
        <v>443142</v>
      </c>
      <c r="O1560" s="822" t="s">
        <v>3370</v>
      </c>
      <c r="P1560" s="823">
        <v>7378</v>
      </c>
      <c r="Q1560" s="823" t="s">
        <v>3378</v>
      </c>
    </row>
    <row r="1561" spans="2:17" s="608" customFormat="1" x14ac:dyDescent="0.25">
      <c r="B1561" s="605" t="s">
        <v>3721</v>
      </c>
      <c r="C1561" s="606">
        <f t="shared" si="49"/>
        <v>488390</v>
      </c>
      <c r="D1561" s="607" t="s">
        <v>3722</v>
      </c>
      <c r="E1561" s="605" t="s">
        <v>3723</v>
      </c>
      <c r="F1561" s="607" t="s">
        <v>3724</v>
      </c>
      <c r="G1561" s="607" t="s">
        <v>1019</v>
      </c>
      <c r="H1561" s="607" t="s">
        <v>1019</v>
      </c>
      <c r="I1561" s="607" t="s">
        <v>2920</v>
      </c>
      <c r="J1561" s="608" t="str">
        <f t="shared" si="50"/>
        <v>Transportation</v>
      </c>
      <c r="N1561" s="822">
        <v>443142</v>
      </c>
      <c r="O1561" s="822" t="s">
        <v>3370</v>
      </c>
      <c r="P1561" s="823">
        <v>7622</v>
      </c>
      <c r="Q1561" s="823" t="s">
        <v>1345</v>
      </c>
    </row>
    <row r="1562" spans="2:17" s="608" customFormat="1" x14ac:dyDescent="0.25">
      <c r="B1562" s="605" t="s">
        <v>3721</v>
      </c>
      <c r="C1562" s="606">
        <f t="shared" si="49"/>
        <v>488390</v>
      </c>
      <c r="D1562" s="607" t="s">
        <v>3722</v>
      </c>
      <c r="E1562" s="605" t="s">
        <v>1070</v>
      </c>
      <c r="F1562" s="607" t="s">
        <v>1071</v>
      </c>
      <c r="G1562" s="607" t="s">
        <v>1019</v>
      </c>
      <c r="H1562" s="607" t="s">
        <v>1019</v>
      </c>
      <c r="I1562" s="607" t="s">
        <v>2920</v>
      </c>
      <c r="J1562" s="608" t="str">
        <f t="shared" si="50"/>
        <v>Transportation</v>
      </c>
      <c r="N1562" s="822">
        <v>444110</v>
      </c>
      <c r="O1562" s="822" t="s">
        <v>3380</v>
      </c>
      <c r="P1562" s="823">
        <v>5031</v>
      </c>
      <c r="Q1562" s="823" t="s">
        <v>3081</v>
      </c>
    </row>
    <row r="1563" spans="2:17" s="608" customFormat="1" x14ac:dyDescent="0.25">
      <c r="B1563" s="605" t="s">
        <v>3725</v>
      </c>
      <c r="C1563" s="606">
        <f t="shared" si="49"/>
        <v>488410</v>
      </c>
      <c r="D1563" s="607" t="s">
        <v>3726</v>
      </c>
      <c r="E1563" s="607" t="s">
        <v>3727</v>
      </c>
      <c r="F1563" s="607" t="s">
        <v>3728</v>
      </c>
      <c r="G1563" s="607" t="s">
        <v>1594</v>
      </c>
      <c r="H1563" s="607" t="s">
        <v>1594</v>
      </c>
      <c r="I1563" s="607" t="s">
        <v>2842</v>
      </c>
      <c r="J1563" s="608" t="str">
        <f t="shared" si="50"/>
        <v>Automobile</v>
      </c>
      <c r="N1563" s="822">
        <v>444110</v>
      </c>
      <c r="O1563" s="822" t="s">
        <v>3380</v>
      </c>
      <c r="P1563" s="823">
        <v>5211</v>
      </c>
      <c r="Q1563" s="823" t="s">
        <v>3382</v>
      </c>
    </row>
    <row r="1564" spans="2:17" s="608" customFormat="1" x14ac:dyDescent="0.25">
      <c r="B1564" s="605" t="s">
        <v>3729</v>
      </c>
      <c r="C1564" s="606">
        <f t="shared" si="49"/>
        <v>488490</v>
      </c>
      <c r="D1564" s="607" t="s">
        <v>3730</v>
      </c>
      <c r="E1564" s="607" t="s">
        <v>3731</v>
      </c>
      <c r="F1564" s="607" t="s">
        <v>3732</v>
      </c>
      <c r="G1564" s="607" t="s">
        <v>1019</v>
      </c>
      <c r="H1564" s="607" t="s">
        <v>1019</v>
      </c>
      <c r="I1564" s="607" t="s">
        <v>2920</v>
      </c>
      <c r="J1564" s="608" t="str">
        <f t="shared" si="50"/>
        <v>Transportation</v>
      </c>
      <c r="N1564" s="822">
        <v>444120</v>
      </c>
      <c r="O1564" s="822" t="s">
        <v>3384</v>
      </c>
      <c r="P1564" s="823">
        <v>5231</v>
      </c>
      <c r="Q1564" s="823" t="s">
        <v>3386</v>
      </c>
    </row>
    <row r="1565" spans="2:17" s="608" customFormat="1" x14ac:dyDescent="0.25">
      <c r="B1565" s="605" t="s">
        <v>3729</v>
      </c>
      <c r="C1565" s="606">
        <f t="shared" si="49"/>
        <v>488490</v>
      </c>
      <c r="D1565" s="607" t="s">
        <v>3730</v>
      </c>
      <c r="E1565" s="607" t="s">
        <v>3733</v>
      </c>
      <c r="F1565" s="607" t="s">
        <v>3734</v>
      </c>
      <c r="G1565" s="607" t="s">
        <v>1019</v>
      </c>
      <c r="H1565" s="607" t="s">
        <v>1019</v>
      </c>
      <c r="I1565" s="607" t="s">
        <v>2920</v>
      </c>
      <c r="J1565" s="608" t="str">
        <f t="shared" si="50"/>
        <v>Transportation</v>
      </c>
      <c r="N1565" s="822">
        <v>444130</v>
      </c>
      <c r="O1565" s="822" t="s">
        <v>3388</v>
      </c>
      <c r="P1565" s="823">
        <v>5072</v>
      </c>
      <c r="Q1565" s="823" t="s">
        <v>3145</v>
      </c>
    </row>
    <row r="1566" spans="2:17" s="608" customFormat="1" x14ac:dyDescent="0.25">
      <c r="B1566" s="605" t="s">
        <v>3729</v>
      </c>
      <c r="C1566" s="606">
        <f t="shared" si="49"/>
        <v>488490</v>
      </c>
      <c r="D1566" s="607" t="s">
        <v>3730</v>
      </c>
      <c r="E1566" s="607" t="s">
        <v>3723</v>
      </c>
      <c r="F1566" s="607" t="s">
        <v>3724</v>
      </c>
      <c r="G1566" s="607" t="s">
        <v>1019</v>
      </c>
      <c r="H1566" s="607" t="s">
        <v>1019</v>
      </c>
      <c r="I1566" s="607" t="s">
        <v>2920</v>
      </c>
      <c r="J1566" s="608" t="str">
        <f t="shared" si="50"/>
        <v>Transportation</v>
      </c>
      <c r="N1566" s="822">
        <v>444130</v>
      </c>
      <c r="O1566" s="822" t="s">
        <v>3388</v>
      </c>
      <c r="P1566" s="823">
        <v>5251</v>
      </c>
      <c r="Q1566" s="823" t="s">
        <v>3388</v>
      </c>
    </row>
    <row r="1567" spans="2:17" s="608" customFormat="1" x14ac:dyDescent="0.25">
      <c r="B1567" s="605" t="s">
        <v>3729</v>
      </c>
      <c r="C1567" s="606">
        <f t="shared" si="49"/>
        <v>488490</v>
      </c>
      <c r="D1567" s="607" t="s">
        <v>3730</v>
      </c>
      <c r="E1567" s="607" t="s">
        <v>3704</v>
      </c>
      <c r="F1567" s="607" t="s">
        <v>3705</v>
      </c>
      <c r="G1567" s="607" t="s">
        <v>1019</v>
      </c>
      <c r="H1567" s="607" t="s">
        <v>1019</v>
      </c>
      <c r="I1567" s="607" t="s">
        <v>2920</v>
      </c>
      <c r="J1567" s="608" t="str">
        <f t="shared" si="50"/>
        <v>Transportation</v>
      </c>
      <c r="N1567" s="822">
        <v>444130</v>
      </c>
      <c r="O1567" s="822" t="s">
        <v>3388</v>
      </c>
      <c r="P1567" s="823">
        <v>7699</v>
      </c>
      <c r="Q1567" s="823" t="s">
        <v>1071</v>
      </c>
    </row>
    <row r="1568" spans="2:17" s="608" customFormat="1" x14ac:dyDescent="0.25">
      <c r="B1568" s="605" t="s">
        <v>3729</v>
      </c>
      <c r="C1568" s="606">
        <f t="shared" si="49"/>
        <v>488490</v>
      </c>
      <c r="D1568" s="607" t="s">
        <v>3730</v>
      </c>
      <c r="E1568" s="607" t="s">
        <v>1588</v>
      </c>
      <c r="F1568" s="607" t="s">
        <v>1589</v>
      </c>
      <c r="G1568" s="607" t="s">
        <v>1019</v>
      </c>
      <c r="H1568" s="607" t="s">
        <v>1019</v>
      </c>
      <c r="I1568" s="607" t="s">
        <v>2920</v>
      </c>
      <c r="J1568" s="608" t="str">
        <f t="shared" si="50"/>
        <v>Transportation</v>
      </c>
      <c r="N1568" s="822">
        <v>444190</v>
      </c>
      <c r="O1568" s="822" t="s">
        <v>3391</v>
      </c>
      <c r="P1568" s="823">
        <v>5032</v>
      </c>
      <c r="Q1568" s="823" t="s">
        <v>3087</v>
      </c>
    </row>
    <row r="1569" spans="2:17" s="608" customFormat="1" x14ac:dyDescent="0.25">
      <c r="B1569" s="605" t="s">
        <v>3735</v>
      </c>
      <c r="C1569" s="606">
        <f t="shared" si="49"/>
        <v>488510</v>
      </c>
      <c r="D1569" s="607" t="s">
        <v>3736</v>
      </c>
      <c r="E1569" s="605" t="s">
        <v>3737</v>
      </c>
      <c r="F1569" s="607" t="s">
        <v>3736</v>
      </c>
      <c r="G1569" s="607" t="s">
        <v>1019</v>
      </c>
      <c r="H1569" s="607" t="s">
        <v>1019</v>
      </c>
      <c r="I1569" s="607" t="s">
        <v>2920</v>
      </c>
      <c r="J1569" s="608" t="str">
        <f t="shared" si="50"/>
        <v>Transportation</v>
      </c>
      <c r="N1569" s="822">
        <v>444190</v>
      </c>
      <c r="O1569" s="822" t="s">
        <v>3391</v>
      </c>
      <c r="P1569" s="823">
        <v>5033</v>
      </c>
      <c r="Q1569" s="823" t="s">
        <v>3091</v>
      </c>
    </row>
    <row r="1570" spans="2:17" s="608" customFormat="1" x14ac:dyDescent="0.25">
      <c r="B1570" s="605" t="s">
        <v>3738</v>
      </c>
      <c r="C1570" s="606">
        <f t="shared" si="49"/>
        <v>488991</v>
      </c>
      <c r="D1570" s="607" t="s">
        <v>3739</v>
      </c>
      <c r="E1570" s="605" t="s">
        <v>3740</v>
      </c>
      <c r="F1570" s="607" t="s">
        <v>3739</v>
      </c>
      <c r="G1570" s="607" t="s">
        <v>1019</v>
      </c>
      <c r="H1570" s="607" t="s">
        <v>1019</v>
      </c>
      <c r="I1570" s="607" t="s">
        <v>2920</v>
      </c>
      <c r="J1570" s="608" t="str">
        <f t="shared" si="50"/>
        <v>Transportation</v>
      </c>
      <c r="N1570" s="822">
        <v>444190</v>
      </c>
      <c r="O1570" s="822" t="s">
        <v>3391</v>
      </c>
      <c r="P1570" s="823">
        <v>5039</v>
      </c>
      <c r="Q1570" s="823" t="s">
        <v>3083</v>
      </c>
    </row>
    <row r="1571" spans="2:17" s="608" customFormat="1" x14ac:dyDescent="0.25">
      <c r="B1571" s="605" t="s">
        <v>3741</v>
      </c>
      <c r="C1571" s="606">
        <f t="shared" si="49"/>
        <v>488999</v>
      </c>
      <c r="D1571" s="607" t="s">
        <v>3742</v>
      </c>
      <c r="E1571" s="607" t="s">
        <v>3743</v>
      </c>
      <c r="F1571" s="607" t="s">
        <v>3744</v>
      </c>
      <c r="G1571" s="607" t="s">
        <v>1019</v>
      </c>
      <c r="H1571" s="607" t="s">
        <v>1019</v>
      </c>
      <c r="I1571" s="607" t="s">
        <v>2920</v>
      </c>
      <c r="J1571" s="608" t="str">
        <f t="shared" si="50"/>
        <v>Transportation</v>
      </c>
      <c r="N1571" s="822">
        <v>444190</v>
      </c>
      <c r="O1571" s="822" t="s">
        <v>3391</v>
      </c>
      <c r="P1571" s="823">
        <v>5063</v>
      </c>
      <c r="Q1571" s="823" t="s">
        <v>3131</v>
      </c>
    </row>
    <row r="1572" spans="2:17" s="608" customFormat="1" x14ac:dyDescent="0.25">
      <c r="B1572" s="605" t="s">
        <v>3741</v>
      </c>
      <c r="C1572" s="606">
        <f t="shared" si="49"/>
        <v>488999</v>
      </c>
      <c r="D1572" s="607" t="s">
        <v>3742</v>
      </c>
      <c r="E1572" s="607" t="s">
        <v>3687</v>
      </c>
      <c r="F1572" s="607" t="s">
        <v>3688</v>
      </c>
      <c r="G1572" s="607" t="s">
        <v>1019</v>
      </c>
      <c r="H1572" s="607" t="s">
        <v>1019</v>
      </c>
      <c r="I1572" s="607" t="s">
        <v>2920</v>
      </c>
      <c r="J1572" s="608" t="str">
        <f t="shared" si="50"/>
        <v>Transportation</v>
      </c>
      <c r="N1572" s="822">
        <v>444190</v>
      </c>
      <c r="O1572" s="822" t="s">
        <v>3391</v>
      </c>
      <c r="P1572" s="823">
        <v>5064</v>
      </c>
      <c r="Q1572" s="823" t="s">
        <v>3135</v>
      </c>
    </row>
    <row r="1573" spans="2:17" s="608" customFormat="1" x14ac:dyDescent="0.25">
      <c r="B1573" s="605" t="s">
        <v>3745</v>
      </c>
      <c r="C1573" s="606">
        <f t="shared" si="49"/>
        <v>491110</v>
      </c>
      <c r="D1573" s="607" t="s">
        <v>3746</v>
      </c>
      <c r="E1573" s="605" t="s">
        <v>3747</v>
      </c>
      <c r="F1573" s="607" t="s">
        <v>3748</v>
      </c>
      <c r="G1573" s="607" t="s">
        <v>1019</v>
      </c>
      <c r="H1573" s="607" t="s">
        <v>1019</v>
      </c>
      <c r="I1573" s="607" t="s">
        <v>2920</v>
      </c>
      <c r="J1573" s="608" t="str">
        <f t="shared" si="50"/>
        <v>Transportation</v>
      </c>
      <c r="N1573" s="822">
        <v>444190</v>
      </c>
      <c r="O1573" s="822" t="s">
        <v>3391</v>
      </c>
      <c r="P1573" s="823">
        <v>5074</v>
      </c>
      <c r="Q1573" s="823" t="s">
        <v>3137</v>
      </c>
    </row>
    <row r="1574" spans="2:17" s="608" customFormat="1" x14ac:dyDescent="0.25">
      <c r="B1574" s="605" t="s">
        <v>3745</v>
      </c>
      <c r="C1574" s="606">
        <f t="shared" si="49"/>
        <v>491110</v>
      </c>
      <c r="D1574" s="607" t="s">
        <v>3746</v>
      </c>
      <c r="E1574" s="605" t="s">
        <v>1588</v>
      </c>
      <c r="F1574" s="607" t="s">
        <v>1589</v>
      </c>
      <c r="G1574" s="607" t="s">
        <v>1019</v>
      </c>
      <c r="H1574" s="607" t="s">
        <v>1019</v>
      </c>
      <c r="I1574" s="607" t="s">
        <v>2920</v>
      </c>
      <c r="J1574" s="608" t="str">
        <f t="shared" si="50"/>
        <v>Transportation</v>
      </c>
      <c r="N1574" s="822">
        <v>444190</v>
      </c>
      <c r="O1574" s="822" t="s">
        <v>3391</v>
      </c>
      <c r="P1574" s="823">
        <v>5099</v>
      </c>
      <c r="Q1574" s="823" t="s">
        <v>3203</v>
      </c>
    </row>
    <row r="1575" spans="2:17" s="608" customFormat="1" x14ac:dyDescent="0.25">
      <c r="B1575" s="605" t="s">
        <v>3749</v>
      </c>
      <c r="C1575" s="606">
        <f t="shared" si="49"/>
        <v>492110</v>
      </c>
      <c r="D1575" s="607" t="s">
        <v>3750</v>
      </c>
      <c r="E1575" s="605" t="s">
        <v>3751</v>
      </c>
      <c r="F1575" s="607" t="s">
        <v>3752</v>
      </c>
      <c r="G1575" s="607" t="s">
        <v>1019</v>
      </c>
      <c r="H1575" s="607" t="s">
        <v>1019</v>
      </c>
      <c r="I1575" s="607" t="s">
        <v>2920</v>
      </c>
      <c r="J1575" s="608" t="str">
        <f t="shared" si="50"/>
        <v>Transportation</v>
      </c>
      <c r="N1575" s="822">
        <v>444190</v>
      </c>
      <c r="O1575" s="822" t="s">
        <v>3391</v>
      </c>
      <c r="P1575" s="823">
        <v>5211</v>
      </c>
      <c r="Q1575" s="823" t="s">
        <v>3382</v>
      </c>
    </row>
    <row r="1576" spans="2:17" s="608" customFormat="1" x14ac:dyDescent="0.25">
      <c r="B1576" s="605" t="s">
        <v>3749</v>
      </c>
      <c r="C1576" s="606">
        <f t="shared" si="49"/>
        <v>492110</v>
      </c>
      <c r="D1576" s="607" t="s">
        <v>3750</v>
      </c>
      <c r="E1576" s="607" t="s">
        <v>3753</v>
      </c>
      <c r="F1576" s="607" t="s">
        <v>3754</v>
      </c>
      <c r="G1576" s="607" t="s">
        <v>1019</v>
      </c>
      <c r="H1576" s="607" t="s">
        <v>1019</v>
      </c>
      <c r="I1576" s="607" t="s">
        <v>3560</v>
      </c>
      <c r="J1576" s="608" t="str">
        <f t="shared" si="50"/>
        <v>Airlines</v>
      </c>
      <c r="N1576" s="822">
        <v>444190</v>
      </c>
      <c r="O1576" s="822" t="s">
        <v>3391</v>
      </c>
      <c r="P1576" s="823">
        <v>5231</v>
      </c>
      <c r="Q1576" s="823" t="s">
        <v>3386</v>
      </c>
    </row>
    <row r="1577" spans="2:17" s="608" customFormat="1" x14ac:dyDescent="0.25">
      <c r="B1577" s="605" t="s">
        <v>3755</v>
      </c>
      <c r="C1577" s="606">
        <f t="shared" si="49"/>
        <v>492210</v>
      </c>
      <c r="D1577" s="607" t="s">
        <v>3756</v>
      </c>
      <c r="E1577" s="607" t="s">
        <v>3751</v>
      </c>
      <c r="F1577" s="607" t="s">
        <v>3752</v>
      </c>
      <c r="G1577" s="607" t="s">
        <v>1019</v>
      </c>
      <c r="H1577" s="607" t="s">
        <v>1019</v>
      </c>
      <c r="I1577" s="607" t="s">
        <v>3560</v>
      </c>
      <c r="J1577" s="608" t="str">
        <f t="shared" si="50"/>
        <v>Airlines</v>
      </c>
      <c r="N1577" s="822">
        <v>444210</v>
      </c>
      <c r="O1577" s="822" t="s">
        <v>3393</v>
      </c>
      <c r="P1577" s="823">
        <v>5083</v>
      </c>
      <c r="Q1577" s="823" t="s">
        <v>3163</v>
      </c>
    </row>
    <row r="1578" spans="2:17" s="608" customFormat="1" x14ac:dyDescent="0.25">
      <c r="B1578" s="605" t="s">
        <v>3757</v>
      </c>
      <c r="C1578" s="606">
        <f t="shared" si="49"/>
        <v>493110</v>
      </c>
      <c r="D1578" s="607" t="s">
        <v>3758</v>
      </c>
      <c r="E1578" s="605" t="s">
        <v>3759</v>
      </c>
      <c r="F1578" s="607" t="s">
        <v>3758</v>
      </c>
      <c r="G1578" s="607" t="s">
        <v>1019</v>
      </c>
      <c r="H1578" s="607" t="s">
        <v>1019</v>
      </c>
      <c r="I1578" s="607" t="s">
        <v>2920</v>
      </c>
      <c r="J1578" s="608" t="str">
        <f t="shared" si="50"/>
        <v>Transportation</v>
      </c>
      <c r="N1578" s="822">
        <v>444210</v>
      </c>
      <c r="O1578" s="822" t="s">
        <v>3393</v>
      </c>
      <c r="P1578" s="823">
        <v>5261</v>
      </c>
      <c r="Q1578" s="823" t="s">
        <v>3395</v>
      </c>
    </row>
    <row r="1579" spans="2:17" s="608" customFormat="1" x14ac:dyDescent="0.25">
      <c r="B1579" s="605" t="s">
        <v>3757</v>
      </c>
      <c r="C1579" s="606">
        <f t="shared" si="49"/>
        <v>493110</v>
      </c>
      <c r="D1579" s="607" t="s">
        <v>3758</v>
      </c>
      <c r="E1579" s="605" t="s">
        <v>3760</v>
      </c>
      <c r="F1579" s="607" t="s">
        <v>3761</v>
      </c>
      <c r="G1579" s="607" t="s">
        <v>1019</v>
      </c>
      <c r="H1579" s="607" t="s">
        <v>1019</v>
      </c>
      <c r="I1579" s="607" t="s">
        <v>2920</v>
      </c>
      <c r="J1579" s="608" t="str">
        <f t="shared" si="50"/>
        <v>Transportation</v>
      </c>
      <c r="N1579" s="822">
        <v>444210</v>
      </c>
      <c r="O1579" s="822" t="s">
        <v>3393</v>
      </c>
      <c r="P1579" s="823">
        <v>7699</v>
      </c>
      <c r="Q1579" s="823" t="s">
        <v>1071</v>
      </c>
    </row>
    <row r="1580" spans="2:17" s="608" customFormat="1" x14ac:dyDescent="0.25">
      <c r="B1580" s="605" t="s">
        <v>3762</v>
      </c>
      <c r="C1580" s="606">
        <f t="shared" si="49"/>
        <v>493120</v>
      </c>
      <c r="D1580" s="607" t="s">
        <v>3763</v>
      </c>
      <c r="E1580" s="605" t="s">
        <v>3764</v>
      </c>
      <c r="F1580" s="607" t="s">
        <v>3763</v>
      </c>
      <c r="G1580" s="607" t="s">
        <v>1019</v>
      </c>
      <c r="H1580" s="607" t="s">
        <v>1019</v>
      </c>
      <c r="I1580" s="607" t="s">
        <v>2920</v>
      </c>
      <c r="J1580" s="608" t="str">
        <f t="shared" si="50"/>
        <v>Transportation</v>
      </c>
      <c r="N1580" s="822">
        <v>444220</v>
      </c>
      <c r="O1580" s="822" t="s">
        <v>3397</v>
      </c>
      <c r="P1580" s="823">
        <v>5153</v>
      </c>
      <c r="Q1580" s="823" t="s">
        <v>3269</v>
      </c>
    </row>
    <row r="1581" spans="2:17" s="608" customFormat="1" x14ac:dyDescent="0.25">
      <c r="B1581" s="605" t="s">
        <v>3762</v>
      </c>
      <c r="C1581" s="606">
        <f t="shared" si="49"/>
        <v>493120</v>
      </c>
      <c r="D1581" s="607" t="s">
        <v>3763</v>
      </c>
      <c r="E1581" s="605" t="s">
        <v>3760</v>
      </c>
      <c r="F1581" s="607" t="s">
        <v>3761</v>
      </c>
      <c r="G1581" s="607" t="s">
        <v>1019</v>
      </c>
      <c r="H1581" s="607" t="s">
        <v>1019</v>
      </c>
      <c r="I1581" s="607" t="s">
        <v>2920</v>
      </c>
      <c r="J1581" s="608" t="str">
        <f t="shared" si="50"/>
        <v>Transportation</v>
      </c>
      <c r="N1581" s="822">
        <v>444220</v>
      </c>
      <c r="O1581" s="822" t="s">
        <v>3397</v>
      </c>
      <c r="P1581" s="823">
        <v>5159</v>
      </c>
      <c r="Q1581" s="823" t="s">
        <v>3277</v>
      </c>
    </row>
    <row r="1582" spans="2:17" s="608" customFormat="1" x14ac:dyDescent="0.25">
      <c r="B1582" s="605" t="s">
        <v>3765</v>
      </c>
      <c r="C1582" s="606">
        <f t="shared" si="49"/>
        <v>493130</v>
      </c>
      <c r="D1582" s="607" t="s">
        <v>3766</v>
      </c>
      <c r="E1582" s="605" t="s">
        <v>3767</v>
      </c>
      <c r="F1582" s="607" t="s">
        <v>3766</v>
      </c>
      <c r="G1582" s="607" t="s">
        <v>1019</v>
      </c>
      <c r="H1582" s="607" t="s">
        <v>1019</v>
      </c>
      <c r="I1582" s="607" t="s">
        <v>2920</v>
      </c>
      <c r="J1582" s="608" t="str">
        <f t="shared" si="50"/>
        <v>Transportation</v>
      </c>
      <c r="N1582" s="822">
        <v>444220</v>
      </c>
      <c r="O1582" s="822" t="s">
        <v>3397</v>
      </c>
      <c r="P1582" s="823">
        <v>5191</v>
      </c>
      <c r="Q1582" s="823" t="s">
        <v>3304</v>
      </c>
    </row>
    <row r="1583" spans="2:17" s="608" customFormat="1" x14ac:dyDescent="0.25">
      <c r="B1583" s="605" t="s">
        <v>3768</v>
      </c>
      <c r="C1583" s="606">
        <f t="shared" si="49"/>
        <v>493190</v>
      </c>
      <c r="D1583" s="607" t="s">
        <v>3769</v>
      </c>
      <c r="E1583" s="605" t="s">
        <v>3760</v>
      </c>
      <c r="F1583" s="607" t="s">
        <v>3761</v>
      </c>
      <c r="G1583" s="607" t="s">
        <v>1019</v>
      </c>
      <c r="H1583" s="607" t="s">
        <v>1019</v>
      </c>
      <c r="I1583" s="607" t="s">
        <v>2920</v>
      </c>
      <c r="J1583" s="608" t="str">
        <f t="shared" si="50"/>
        <v>Transportation</v>
      </c>
      <c r="N1583" s="822">
        <v>444220</v>
      </c>
      <c r="O1583" s="822" t="s">
        <v>3397</v>
      </c>
      <c r="P1583" s="823">
        <v>5193</v>
      </c>
      <c r="Q1583" s="823" t="s">
        <v>3312</v>
      </c>
    </row>
    <row r="1584" spans="2:17" s="608" customFormat="1" x14ac:dyDescent="0.25">
      <c r="B1584" s="605" t="s">
        <v>3770</v>
      </c>
      <c r="C1584" s="606">
        <f t="shared" si="49"/>
        <v>511110</v>
      </c>
      <c r="D1584" s="607" t="s">
        <v>3771</v>
      </c>
      <c r="E1584" s="607" t="s">
        <v>3772</v>
      </c>
      <c r="F1584" s="607" t="s">
        <v>3773</v>
      </c>
      <c r="G1584" s="607" t="s">
        <v>1019</v>
      </c>
      <c r="H1584" s="607" t="s">
        <v>1019</v>
      </c>
      <c r="I1584" s="607" t="s">
        <v>1906</v>
      </c>
      <c r="J1584" s="608" t="str">
        <f t="shared" si="50"/>
        <v>Media</v>
      </c>
      <c r="N1584" s="822">
        <v>444220</v>
      </c>
      <c r="O1584" s="822" t="s">
        <v>3397</v>
      </c>
      <c r="P1584" s="823">
        <v>5261</v>
      </c>
      <c r="Q1584" s="823" t="s">
        <v>3395</v>
      </c>
    </row>
    <row r="1585" spans="2:17" s="608" customFormat="1" x14ac:dyDescent="0.25">
      <c r="B1585" s="605" t="s">
        <v>3774</v>
      </c>
      <c r="C1585" s="606">
        <f t="shared" si="49"/>
        <v>511120</v>
      </c>
      <c r="D1585" s="607" t="s">
        <v>3775</v>
      </c>
      <c r="E1585" s="607" t="s">
        <v>3776</v>
      </c>
      <c r="F1585" s="607" t="s">
        <v>3777</v>
      </c>
      <c r="G1585" s="607" t="s">
        <v>1019</v>
      </c>
      <c r="H1585" s="607" t="s">
        <v>1019</v>
      </c>
      <c r="I1585" s="607" t="s">
        <v>1906</v>
      </c>
      <c r="J1585" s="608" t="str">
        <f t="shared" si="50"/>
        <v>Media</v>
      </c>
      <c r="N1585" s="822">
        <v>445110</v>
      </c>
      <c r="O1585" s="822" t="s">
        <v>3399</v>
      </c>
      <c r="P1585" s="823">
        <v>5141</v>
      </c>
      <c r="Q1585" s="823" t="s">
        <v>3237</v>
      </c>
    </row>
    <row r="1586" spans="2:17" s="608" customFormat="1" x14ac:dyDescent="0.25">
      <c r="B1586" s="605" t="s">
        <v>3774</v>
      </c>
      <c r="C1586" s="606">
        <f t="shared" si="49"/>
        <v>511120</v>
      </c>
      <c r="D1586" s="607" t="s">
        <v>3775</v>
      </c>
      <c r="E1586" s="607" t="s">
        <v>3778</v>
      </c>
      <c r="F1586" s="607" t="s">
        <v>3779</v>
      </c>
      <c r="G1586" s="607" t="s">
        <v>1019</v>
      </c>
      <c r="H1586" s="607" t="s">
        <v>1019</v>
      </c>
      <c r="I1586" s="607" t="s">
        <v>1906</v>
      </c>
      <c r="J1586" s="608" t="str">
        <f t="shared" si="50"/>
        <v>Media</v>
      </c>
      <c r="N1586" s="822">
        <v>445110</v>
      </c>
      <c r="O1586" s="822" t="s">
        <v>3399</v>
      </c>
      <c r="P1586" s="823">
        <v>5411</v>
      </c>
      <c r="Q1586" s="823" t="s">
        <v>3401</v>
      </c>
    </row>
    <row r="1587" spans="2:17" s="608" customFormat="1" x14ac:dyDescent="0.25">
      <c r="B1587" s="605" t="s">
        <v>3780</v>
      </c>
      <c r="C1587" s="606">
        <f t="shared" si="49"/>
        <v>511130</v>
      </c>
      <c r="D1587" s="607" t="s">
        <v>3781</v>
      </c>
      <c r="E1587" s="607" t="s">
        <v>3782</v>
      </c>
      <c r="F1587" s="607" t="s">
        <v>3783</v>
      </c>
      <c r="G1587" s="607" t="s">
        <v>1019</v>
      </c>
      <c r="H1587" s="607" t="s">
        <v>1019</v>
      </c>
      <c r="I1587" s="607" t="s">
        <v>1906</v>
      </c>
      <c r="J1587" s="608" t="str">
        <f t="shared" si="50"/>
        <v>Media</v>
      </c>
      <c r="N1587" s="822">
        <v>445120</v>
      </c>
      <c r="O1587" s="822" t="s">
        <v>3403</v>
      </c>
      <c r="P1587" s="823">
        <v>5411</v>
      </c>
      <c r="Q1587" s="823" t="s">
        <v>3401</v>
      </c>
    </row>
    <row r="1588" spans="2:17" s="608" customFormat="1" x14ac:dyDescent="0.25">
      <c r="B1588" s="605" t="s">
        <v>3780</v>
      </c>
      <c r="C1588" s="606">
        <f t="shared" si="49"/>
        <v>511130</v>
      </c>
      <c r="D1588" s="607" t="s">
        <v>3781</v>
      </c>
      <c r="E1588" s="607" t="s">
        <v>3778</v>
      </c>
      <c r="F1588" s="607" t="s">
        <v>3779</v>
      </c>
      <c r="G1588" s="607" t="s">
        <v>1019</v>
      </c>
      <c r="H1588" s="607" t="s">
        <v>1019</v>
      </c>
      <c r="I1588" s="607" t="s">
        <v>1906</v>
      </c>
      <c r="J1588" s="608" t="str">
        <f t="shared" si="50"/>
        <v>Media</v>
      </c>
      <c r="N1588" s="822">
        <v>445210</v>
      </c>
      <c r="O1588" s="822" t="s">
        <v>3405</v>
      </c>
      <c r="P1588" s="823">
        <v>5144</v>
      </c>
      <c r="Q1588" s="823" t="s">
        <v>3249</v>
      </c>
    </row>
    <row r="1589" spans="2:17" s="608" customFormat="1" x14ac:dyDescent="0.25">
      <c r="B1589" s="605" t="s">
        <v>3784</v>
      </c>
      <c r="C1589" s="606">
        <f t="shared" si="49"/>
        <v>511140</v>
      </c>
      <c r="D1589" s="607" t="s">
        <v>3785</v>
      </c>
      <c r="E1589" s="607" t="s">
        <v>3778</v>
      </c>
      <c r="F1589" s="607" t="s">
        <v>3779</v>
      </c>
      <c r="G1589" s="607" t="s">
        <v>1019</v>
      </c>
      <c r="H1589" s="607" t="s">
        <v>1019</v>
      </c>
      <c r="I1589" s="607" t="s">
        <v>1906</v>
      </c>
      <c r="J1589" s="608" t="str">
        <f t="shared" si="50"/>
        <v>Media</v>
      </c>
      <c r="N1589" s="822">
        <v>445210</v>
      </c>
      <c r="O1589" s="822" t="s">
        <v>3405</v>
      </c>
      <c r="P1589" s="823">
        <v>5147</v>
      </c>
      <c r="Q1589" s="823" t="s">
        <v>1489</v>
      </c>
    </row>
    <row r="1590" spans="2:17" s="608" customFormat="1" x14ac:dyDescent="0.25">
      <c r="B1590" s="605" t="s">
        <v>3784</v>
      </c>
      <c r="C1590" s="606">
        <f t="shared" si="49"/>
        <v>511140</v>
      </c>
      <c r="D1590" s="607" t="s">
        <v>3785</v>
      </c>
      <c r="E1590" s="607" t="s">
        <v>3786</v>
      </c>
      <c r="F1590" s="607" t="s">
        <v>3787</v>
      </c>
      <c r="G1590" s="607" t="s">
        <v>1019</v>
      </c>
      <c r="H1590" s="607" t="s">
        <v>1019</v>
      </c>
      <c r="I1590" s="607" t="s">
        <v>1906</v>
      </c>
      <c r="J1590" s="608" t="str">
        <f t="shared" si="50"/>
        <v>Media</v>
      </c>
      <c r="N1590" s="822">
        <v>445210</v>
      </c>
      <c r="O1590" s="822" t="s">
        <v>3405</v>
      </c>
      <c r="P1590" s="823">
        <v>5421</v>
      </c>
      <c r="Q1590" s="823" t="s">
        <v>3407</v>
      </c>
    </row>
    <row r="1591" spans="2:17" s="608" customFormat="1" x14ac:dyDescent="0.25">
      <c r="B1591" s="605" t="s">
        <v>3788</v>
      </c>
      <c r="C1591" s="606">
        <f t="shared" si="49"/>
        <v>511191</v>
      </c>
      <c r="D1591" s="607" t="s">
        <v>3789</v>
      </c>
      <c r="E1591" s="607" t="s">
        <v>1913</v>
      </c>
      <c r="F1591" s="607" t="s">
        <v>1914</v>
      </c>
      <c r="G1591" s="607" t="s">
        <v>1019</v>
      </c>
      <c r="H1591" s="607" t="s">
        <v>1019</v>
      </c>
      <c r="I1591" s="607" t="s">
        <v>1906</v>
      </c>
      <c r="J1591" s="608" t="str">
        <f t="shared" si="50"/>
        <v>Media</v>
      </c>
      <c r="N1591" s="822">
        <v>445210</v>
      </c>
      <c r="O1591" s="822" t="s">
        <v>3405</v>
      </c>
      <c r="P1591" s="823">
        <v>5499</v>
      </c>
      <c r="Q1591" s="823" t="s">
        <v>3409</v>
      </c>
    </row>
    <row r="1592" spans="2:17" s="608" customFormat="1" x14ac:dyDescent="0.25">
      <c r="B1592" s="605" t="s">
        <v>3790</v>
      </c>
      <c r="C1592" s="606">
        <f t="shared" si="49"/>
        <v>511199</v>
      </c>
      <c r="D1592" s="607" t="s">
        <v>3791</v>
      </c>
      <c r="E1592" s="607" t="s">
        <v>3778</v>
      </c>
      <c r="F1592" s="607" t="s">
        <v>3779</v>
      </c>
      <c r="G1592" s="607" t="s">
        <v>1019</v>
      </c>
      <c r="H1592" s="607" t="s">
        <v>1019</v>
      </c>
      <c r="I1592" s="607" t="s">
        <v>1906</v>
      </c>
      <c r="J1592" s="608" t="str">
        <f t="shared" si="50"/>
        <v>Media</v>
      </c>
      <c r="N1592" s="822">
        <v>445220</v>
      </c>
      <c r="O1592" s="822" t="s">
        <v>3411</v>
      </c>
      <c r="P1592" s="823">
        <v>5146</v>
      </c>
      <c r="Q1592" s="823" t="s">
        <v>3257</v>
      </c>
    </row>
    <row r="1593" spans="2:17" s="608" customFormat="1" ht="30" x14ac:dyDescent="0.25">
      <c r="B1593" s="605" t="s">
        <v>3792</v>
      </c>
      <c r="C1593" s="606">
        <f t="shared" si="49"/>
        <v>511210</v>
      </c>
      <c r="D1593" s="607" t="s">
        <v>3793</v>
      </c>
      <c r="E1593" s="607" t="s">
        <v>2760</v>
      </c>
      <c r="F1593" s="607" t="s">
        <v>2761</v>
      </c>
      <c r="G1593" s="607" t="s">
        <v>2509</v>
      </c>
      <c r="H1593" s="607" t="s">
        <v>2509</v>
      </c>
      <c r="I1593" s="607" t="s">
        <v>3794</v>
      </c>
      <c r="J1593" s="608" t="str">
        <f t="shared" si="50"/>
        <v>Software</v>
      </c>
      <c r="N1593" s="822">
        <v>445220</v>
      </c>
      <c r="O1593" s="822" t="s">
        <v>3411</v>
      </c>
      <c r="P1593" s="823">
        <v>5421</v>
      </c>
      <c r="Q1593" s="823" t="s">
        <v>3407</v>
      </c>
    </row>
    <row r="1594" spans="2:17" s="608" customFormat="1" x14ac:dyDescent="0.25">
      <c r="B1594" s="605" t="s">
        <v>3795</v>
      </c>
      <c r="C1594" s="606">
        <f t="shared" si="49"/>
        <v>512110</v>
      </c>
      <c r="D1594" s="607" t="s">
        <v>3796</v>
      </c>
      <c r="E1594" s="607" t="s">
        <v>3797</v>
      </c>
      <c r="F1594" s="607" t="s">
        <v>3796</v>
      </c>
      <c r="G1594" s="607" t="s">
        <v>1019</v>
      </c>
      <c r="H1594" s="607" t="s">
        <v>1019</v>
      </c>
      <c r="I1594" s="607" t="s">
        <v>1906</v>
      </c>
      <c r="J1594" s="608" t="str">
        <f t="shared" si="50"/>
        <v>Media</v>
      </c>
      <c r="N1594" s="822">
        <v>445230</v>
      </c>
      <c r="O1594" s="822" t="s">
        <v>3413</v>
      </c>
      <c r="P1594" s="823">
        <v>5148</v>
      </c>
      <c r="Q1594" s="823" t="s">
        <v>3263</v>
      </c>
    </row>
    <row r="1595" spans="2:17" s="608" customFormat="1" x14ac:dyDescent="0.25">
      <c r="B1595" s="605" t="s">
        <v>3798</v>
      </c>
      <c r="C1595" s="606">
        <f t="shared" si="49"/>
        <v>512120</v>
      </c>
      <c r="D1595" s="607" t="s">
        <v>3799</v>
      </c>
      <c r="E1595" s="607" t="s">
        <v>3204</v>
      </c>
      <c r="F1595" s="607" t="s">
        <v>3205</v>
      </c>
      <c r="G1595" s="607" t="s">
        <v>1019</v>
      </c>
      <c r="H1595" s="607" t="s">
        <v>1019</v>
      </c>
      <c r="I1595" s="607" t="s">
        <v>1906</v>
      </c>
      <c r="J1595" s="608" t="str">
        <f t="shared" si="50"/>
        <v>Media</v>
      </c>
      <c r="N1595" s="822">
        <v>445230</v>
      </c>
      <c r="O1595" s="822" t="s">
        <v>3413</v>
      </c>
      <c r="P1595" s="823">
        <v>5431</v>
      </c>
      <c r="Q1595" s="823" t="s">
        <v>3413</v>
      </c>
    </row>
    <row r="1596" spans="2:17" s="608" customFormat="1" x14ac:dyDescent="0.25">
      <c r="B1596" s="605" t="s">
        <v>3798</v>
      </c>
      <c r="C1596" s="606">
        <f t="shared" si="49"/>
        <v>512120</v>
      </c>
      <c r="D1596" s="607" t="s">
        <v>3799</v>
      </c>
      <c r="E1596" s="607" t="s">
        <v>3800</v>
      </c>
      <c r="F1596" s="607" t="s">
        <v>3801</v>
      </c>
      <c r="G1596" s="607" t="s">
        <v>1019</v>
      </c>
      <c r="H1596" s="607" t="s">
        <v>1019</v>
      </c>
      <c r="I1596" s="607" t="s">
        <v>1906</v>
      </c>
      <c r="J1596" s="608" t="str">
        <f t="shared" si="50"/>
        <v>Media</v>
      </c>
      <c r="N1596" s="822">
        <v>445291</v>
      </c>
      <c r="O1596" s="822" t="s">
        <v>3416</v>
      </c>
      <c r="P1596" s="823">
        <v>5461</v>
      </c>
      <c r="Q1596" s="823" t="s">
        <v>1505</v>
      </c>
    </row>
    <row r="1597" spans="2:17" s="608" customFormat="1" x14ac:dyDescent="0.25">
      <c r="B1597" s="605" t="s">
        <v>3802</v>
      </c>
      <c r="C1597" s="606">
        <f t="shared" si="49"/>
        <v>512131</v>
      </c>
      <c r="D1597" s="607" t="s">
        <v>3803</v>
      </c>
      <c r="E1597" s="607" t="s">
        <v>3804</v>
      </c>
      <c r="F1597" s="607" t="s">
        <v>3805</v>
      </c>
      <c r="G1597" s="607" t="s">
        <v>1019</v>
      </c>
      <c r="H1597" s="607" t="s">
        <v>1019</v>
      </c>
      <c r="I1597" s="607" t="s">
        <v>1906</v>
      </c>
      <c r="J1597" s="608" t="str">
        <f t="shared" si="50"/>
        <v>Media</v>
      </c>
      <c r="N1597" s="822">
        <v>445292</v>
      </c>
      <c r="O1597" s="822" t="s">
        <v>3418</v>
      </c>
      <c r="P1597" s="823">
        <v>5145</v>
      </c>
      <c r="Q1597" s="823" t="s">
        <v>3253</v>
      </c>
    </row>
    <row r="1598" spans="2:17" s="608" customFormat="1" x14ac:dyDescent="0.25">
      <c r="B1598" s="605" t="s">
        <v>3806</v>
      </c>
      <c r="C1598" s="606">
        <f t="shared" si="49"/>
        <v>512132</v>
      </c>
      <c r="D1598" s="607" t="s">
        <v>3807</v>
      </c>
      <c r="E1598" s="607" t="s">
        <v>3808</v>
      </c>
      <c r="F1598" s="607" t="s">
        <v>3809</v>
      </c>
      <c r="G1598" s="607" t="s">
        <v>1019</v>
      </c>
      <c r="H1598" s="607" t="s">
        <v>1019</v>
      </c>
      <c r="I1598" s="607" t="s">
        <v>1906</v>
      </c>
      <c r="J1598" s="608" t="str">
        <f t="shared" si="50"/>
        <v>Media</v>
      </c>
      <c r="N1598" s="822">
        <v>445292</v>
      </c>
      <c r="O1598" s="822" t="s">
        <v>3418</v>
      </c>
      <c r="P1598" s="823">
        <v>5441</v>
      </c>
      <c r="Q1598" s="823" t="s">
        <v>1432</v>
      </c>
    </row>
    <row r="1599" spans="2:17" s="608" customFormat="1" x14ac:dyDescent="0.25">
      <c r="B1599" s="605" t="s">
        <v>3810</v>
      </c>
      <c r="C1599" s="606">
        <f t="shared" si="49"/>
        <v>512191</v>
      </c>
      <c r="D1599" s="607" t="s">
        <v>3811</v>
      </c>
      <c r="E1599" s="607" t="s">
        <v>2762</v>
      </c>
      <c r="F1599" s="607" t="s">
        <v>2763</v>
      </c>
      <c r="G1599" s="607" t="s">
        <v>1019</v>
      </c>
      <c r="H1599" s="607" t="s">
        <v>1019</v>
      </c>
      <c r="I1599" s="607" t="s">
        <v>1906</v>
      </c>
      <c r="J1599" s="608" t="str">
        <f t="shared" si="50"/>
        <v>Media</v>
      </c>
      <c r="N1599" s="822">
        <v>445299</v>
      </c>
      <c r="O1599" s="822" t="s">
        <v>3420</v>
      </c>
      <c r="P1599" s="823">
        <v>5143</v>
      </c>
      <c r="Q1599" s="823" t="s">
        <v>3245</v>
      </c>
    </row>
    <row r="1600" spans="2:17" s="608" customFormat="1" x14ac:dyDescent="0.25">
      <c r="B1600" s="605" t="s">
        <v>3812</v>
      </c>
      <c r="C1600" s="606">
        <f t="shared" si="49"/>
        <v>512199</v>
      </c>
      <c r="D1600" s="607" t="s">
        <v>3813</v>
      </c>
      <c r="E1600" s="607" t="s">
        <v>2762</v>
      </c>
      <c r="F1600" s="607" t="s">
        <v>2763</v>
      </c>
      <c r="G1600" s="607" t="s">
        <v>1019</v>
      </c>
      <c r="H1600" s="607" t="s">
        <v>1019</v>
      </c>
      <c r="I1600" s="607" t="s">
        <v>1906</v>
      </c>
      <c r="J1600" s="608" t="str">
        <f t="shared" si="50"/>
        <v>Media</v>
      </c>
      <c r="N1600" s="822">
        <v>445299</v>
      </c>
      <c r="O1600" s="822" t="s">
        <v>3420</v>
      </c>
      <c r="P1600" s="823">
        <v>5149</v>
      </c>
      <c r="Q1600" s="823" t="s">
        <v>1563</v>
      </c>
    </row>
    <row r="1601" spans="2:17" s="608" customFormat="1" x14ac:dyDescent="0.25">
      <c r="B1601" s="605" t="s">
        <v>3812</v>
      </c>
      <c r="C1601" s="606">
        <f t="shared" si="49"/>
        <v>512199</v>
      </c>
      <c r="D1601" s="607" t="s">
        <v>3813</v>
      </c>
      <c r="E1601" s="607" t="s">
        <v>3800</v>
      </c>
      <c r="F1601" s="607" t="s">
        <v>3801</v>
      </c>
      <c r="G1601" s="607" t="s">
        <v>1019</v>
      </c>
      <c r="H1601" s="607" t="s">
        <v>1019</v>
      </c>
      <c r="I1601" s="607" t="s">
        <v>1906</v>
      </c>
      <c r="J1601" s="608" t="str">
        <f t="shared" si="50"/>
        <v>Media</v>
      </c>
      <c r="N1601" s="822">
        <v>445299</v>
      </c>
      <c r="O1601" s="822" t="s">
        <v>3420</v>
      </c>
      <c r="P1601" s="823">
        <v>5451</v>
      </c>
      <c r="Q1601" s="823" t="s">
        <v>3422</v>
      </c>
    </row>
    <row r="1602" spans="2:17" s="608" customFormat="1" x14ac:dyDescent="0.25">
      <c r="B1602" s="605" t="s">
        <v>3814</v>
      </c>
      <c r="C1602" s="606">
        <f t="shared" ref="C1602:C1665" si="51">B1602+0</f>
        <v>512230</v>
      </c>
      <c r="D1602" s="607" t="s">
        <v>3815</v>
      </c>
      <c r="E1602" s="607" t="s">
        <v>3782</v>
      </c>
      <c r="F1602" s="607" t="s">
        <v>3783</v>
      </c>
      <c r="G1602" s="607" t="s">
        <v>1019</v>
      </c>
      <c r="H1602" s="607" t="s">
        <v>1019</v>
      </c>
      <c r="I1602" s="607" t="s">
        <v>1906</v>
      </c>
      <c r="J1602" s="608" t="str">
        <f t="shared" si="50"/>
        <v>Media</v>
      </c>
      <c r="N1602" s="822">
        <v>445299</v>
      </c>
      <c r="O1602" s="822" t="s">
        <v>3420</v>
      </c>
      <c r="P1602" s="823">
        <v>5499</v>
      </c>
      <c r="Q1602" s="823" t="s">
        <v>3409</v>
      </c>
    </row>
    <row r="1603" spans="2:17" s="608" customFormat="1" x14ac:dyDescent="0.25">
      <c r="B1603" s="605" t="s">
        <v>3814</v>
      </c>
      <c r="C1603" s="606">
        <f t="shared" si="51"/>
        <v>512230</v>
      </c>
      <c r="D1603" s="607" t="s">
        <v>3815</v>
      </c>
      <c r="E1603" s="607" t="s">
        <v>3778</v>
      </c>
      <c r="F1603" s="607" t="s">
        <v>3779</v>
      </c>
      <c r="G1603" s="607" t="s">
        <v>1019</v>
      </c>
      <c r="H1603" s="607" t="s">
        <v>1019</v>
      </c>
      <c r="I1603" s="607" t="s">
        <v>1906</v>
      </c>
      <c r="J1603" s="608" t="str">
        <f t="shared" si="50"/>
        <v>Media</v>
      </c>
      <c r="N1603" s="822">
        <v>445310</v>
      </c>
      <c r="O1603" s="822" t="s">
        <v>3424</v>
      </c>
      <c r="P1603" s="823">
        <v>5181</v>
      </c>
      <c r="Q1603" s="823" t="s">
        <v>3296</v>
      </c>
    </row>
    <row r="1604" spans="2:17" s="608" customFormat="1" x14ac:dyDescent="0.25">
      <c r="B1604" s="605" t="s">
        <v>3814</v>
      </c>
      <c r="C1604" s="606">
        <f t="shared" si="51"/>
        <v>512230</v>
      </c>
      <c r="D1604" s="607" t="s">
        <v>3815</v>
      </c>
      <c r="E1604" s="607" t="s">
        <v>3816</v>
      </c>
      <c r="F1604" s="607" t="s">
        <v>3817</v>
      </c>
      <c r="G1604" s="607" t="s">
        <v>1019</v>
      </c>
      <c r="H1604" s="607" t="s">
        <v>1019</v>
      </c>
      <c r="I1604" s="607" t="s">
        <v>1906</v>
      </c>
      <c r="J1604" s="608" t="str">
        <f t="shared" si="50"/>
        <v>Media</v>
      </c>
      <c r="N1604" s="822">
        <v>445310</v>
      </c>
      <c r="O1604" s="822" t="s">
        <v>3424</v>
      </c>
      <c r="P1604" s="823">
        <v>5182</v>
      </c>
      <c r="Q1604" s="823" t="s">
        <v>3300</v>
      </c>
    </row>
    <row r="1605" spans="2:17" s="608" customFormat="1" x14ac:dyDescent="0.25">
      <c r="B1605" s="605" t="s">
        <v>3818</v>
      </c>
      <c r="C1605" s="606">
        <f t="shared" si="51"/>
        <v>512240</v>
      </c>
      <c r="D1605" s="607" t="s">
        <v>3819</v>
      </c>
      <c r="E1605" s="607" t="s">
        <v>1588</v>
      </c>
      <c r="F1605" s="607" t="s">
        <v>1589</v>
      </c>
      <c r="G1605" s="607" t="s">
        <v>1019</v>
      </c>
      <c r="H1605" s="607" t="s">
        <v>1019</v>
      </c>
      <c r="I1605" s="607" t="s">
        <v>1906</v>
      </c>
      <c r="J1605" s="608" t="str">
        <f t="shared" si="50"/>
        <v>Media</v>
      </c>
      <c r="N1605" s="822">
        <v>445310</v>
      </c>
      <c r="O1605" s="822" t="s">
        <v>3424</v>
      </c>
      <c r="P1605" s="823">
        <v>5921</v>
      </c>
      <c r="Q1605" s="823" t="s">
        <v>3426</v>
      </c>
    </row>
    <row r="1606" spans="2:17" s="608" customFormat="1" x14ac:dyDescent="0.25">
      <c r="B1606" s="605" t="s">
        <v>3820</v>
      </c>
      <c r="C1606" s="606">
        <f t="shared" si="51"/>
        <v>512250</v>
      </c>
      <c r="D1606" s="607" t="s">
        <v>3821</v>
      </c>
      <c r="E1606" s="605" t="s">
        <v>2758</v>
      </c>
      <c r="F1606" s="607" t="s">
        <v>2759</v>
      </c>
      <c r="G1606" s="607" t="s">
        <v>1019</v>
      </c>
      <c r="H1606" s="607" t="s">
        <v>1019</v>
      </c>
      <c r="I1606" s="607" t="s">
        <v>1906</v>
      </c>
      <c r="J1606" s="608" t="str">
        <f t="shared" si="50"/>
        <v>Media</v>
      </c>
      <c r="N1606" s="822">
        <v>446110</v>
      </c>
      <c r="O1606" s="822" t="s">
        <v>3428</v>
      </c>
      <c r="P1606" s="823">
        <v>5122</v>
      </c>
      <c r="Q1606" s="823" t="s">
        <v>3221</v>
      </c>
    </row>
    <row r="1607" spans="2:17" s="608" customFormat="1" x14ac:dyDescent="0.25">
      <c r="B1607" s="605" t="s">
        <v>3820</v>
      </c>
      <c r="C1607" s="606">
        <f t="shared" si="51"/>
        <v>512250</v>
      </c>
      <c r="D1607" s="607" t="s">
        <v>3821</v>
      </c>
      <c r="E1607" s="605" t="s">
        <v>3816</v>
      </c>
      <c r="F1607" s="607" t="s">
        <v>3817</v>
      </c>
      <c r="G1607" s="607" t="s">
        <v>1019</v>
      </c>
      <c r="H1607" s="607" t="s">
        <v>1019</v>
      </c>
      <c r="I1607" s="607" t="s">
        <v>1906</v>
      </c>
      <c r="J1607" s="608" t="str">
        <f t="shared" si="50"/>
        <v>Media</v>
      </c>
      <c r="N1607" s="822">
        <v>446110</v>
      </c>
      <c r="O1607" s="822" t="s">
        <v>3428</v>
      </c>
      <c r="P1607" s="823">
        <v>5912</v>
      </c>
      <c r="Q1607" s="823" t="s">
        <v>3430</v>
      </c>
    </row>
    <row r="1608" spans="2:17" s="608" customFormat="1" x14ac:dyDescent="0.25">
      <c r="B1608" s="605" t="s">
        <v>3822</v>
      </c>
      <c r="C1608" s="606">
        <f t="shared" si="51"/>
        <v>512290</v>
      </c>
      <c r="D1608" s="607" t="s">
        <v>3823</v>
      </c>
      <c r="E1608" s="607" t="s">
        <v>1588</v>
      </c>
      <c r="F1608" s="607" t="s">
        <v>1589</v>
      </c>
      <c r="G1608" s="607" t="s">
        <v>1019</v>
      </c>
      <c r="H1608" s="607" t="s">
        <v>1019</v>
      </c>
      <c r="I1608" s="607" t="s">
        <v>1906</v>
      </c>
      <c r="J1608" s="608" t="str">
        <f t="shared" si="50"/>
        <v>Media</v>
      </c>
      <c r="N1608" s="822">
        <v>446120</v>
      </c>
      <c r="O1608" s="822" t="s">
        <v>3432</v>
      </c>
      <c r="P1608" s="823">
        <v>5087</v>
      </c>
      <c r="Q1608" s="823" t="s">
        <v>3175</v>
      </c>
    </row>
    <row r="1609" spans="2:17" s="608" customFormat="1" x14ac:dyDescent="0.25">
      <c r="B1609" s="605" t="s">
        <v>3822</v>
      </c>
      <c r="C1609" s="606">
        <f t="shared" si="51"/>
        <v>512290</v>
      </c>
      <c r="D1609" s="607" t="s">
        <v>3823</v>
      </c>
      <c r="E1609" s="607" t="s">
        <v>3824</v>
      </c>
      <c r="F1609" s="607" t="s">
        <v>3825</v>
      </c>
      <c r="G1609" s="607" t="s">
        <v>1019</v>
      </c>
      <c r="H1609" s="607" t="s">
        <v>1019</v>
      </c>
      <c r="I1609" s="607" t="s">
        <v>1906</v>
      </c>
      <c r="J1609" s="608" t="str">
        <f t="shared" si="50"/>
        <v>Media</v>
      </c>
      <c r="N1609" s="822">
        <v>446120</v>
      </c>
      <c r="O1609" s="822" t="s">
        <v>3432</v>
      </c>
      <c r="P1609" s="823">
        <v>5122</v>
      </c>
      <c r="Q1609" s="823" t="s">
        <v>3221</v>
      </c>
    </row>
    <row r="1610" spans="2:17" s="608" customFormat="1" x14ac:dyDescent="0.25">
      <c r="B1610" s="605" t="s">
        <v>3826</v>
      </c>
      <c r="C1610" s="606">
        <f t="shared" si="51"/>
        <v>515111</v>
      </c>
      <c r="D1610" s="607" t="s">
        <v>3827</v>
      </c>
      <c r="E1610" s="605" t="s">
        <v>3828</v>
      </c>
      <c r="F1610" s="607" t="s">
        <v>3829</v>
      </c>
      <c r="G1610" s="607" t="s">
        <v>1019</v>
      </c>
      <c r="H1610" s="607" t="s">
        <v>1019</v>
      </c>
      <c r="I1610" s="607" t="s">
        <v>1906</v>
      </c>
      <c r="J1610" s="608" t="str">
        <f t="shared" si="50"/>
        <v>Media</v>
      </c>
      <c r="N1610" s="822">
        <v>446120</v>
      </c>
      <c r="O1610" s="822" t="s">
        <v>3432</v>
      </c>
      <c r="P1610" s="823">
        <v>5999</v>
      </c>
      <c r="Q1610" s="823" t="s">
        <v>2993</v>
      </c>
    </row>
    <row r="1611" spans="2:17" s="608" customFormat="1" x14ac:dyDescent="0.25">
      <c r="B1611" s="605" t="s">
        <v>3830</v>
      </c>
      <c r="C1611" s="606">
        <f t="shared" si="51"/>
        <v>515112</v>
      </c>
      <c r="D1611" s="607" t="s">
        <v>3831</v>
      </c>
      <c r="E1611" s="607" t="s">
        <v>3828</v>
      </c>
      <c r="F1611" s="607" t="s">
        <v>3829</v>
      </c>
      <c r="G1611" s="607" t="s">
        <v>1019</v>
      </c>
      <c r="H1611" s="607" t="s">
        <v>1019</v>
      </c>
      <c r="I1611" s="607" t="s">
        <v>1906</v>
      </c>
      <c r="J1611" s="608" t="str">
        <f t="shared" si="50"/>
        <v>Media</v>
      </c>
      <c r="N1611" s="822">
        <v>446130</v>
      </c>
      <c r="O1611" s="822" t="s">
        <v>3001</v>
      </c>
      <c r="P1611" s="823">
        <v>5995</v>
      </c>
      <c r="Q1611" s="823" t="s">
        <v>3001</v>
      </c>
    </row>
    <row r="1612" spans="2:17" s="608" customFormat="1" x14ac:dyDescent="0.25">
      <c r="B1612" s="605" t="s">
        <v>3832</v>
      </c>
      <c r="C1612" s="606">
        <f t="shared" si="51"/>
        <v>515120</v>
      </c>
      <c r="D1612" s="607" t="s">
        <v>3833</v>
      </c>
      <c r="E1612" s="607" t="s">
        <v>3834</v>
      </c>
      <c r="F1612" s="607" t="s">
        <v>3835</v>
      </c>
      <c r="G1612" s="607" t="s">
        <v>1019</v>
      </c>
      <c r="H1612" s="607" t="s">
        <v>1019</v>
      </c>
      <c r="I1612" s="607" t="s">
        <v>1906</v>
      </c>
      <c r="J1612" s="608" t="str">
        <f t="shared" si="50"/>
        <v>Media</v>
      </c>
      <c r="N1612" s="822">
        <v>446191</v>
      </c>
      <c r="O1612" s="822" t="s">
        <v>3435</v>
      </c>
      <c r="P1612" s="823">
        <v>5122</v>
      </c>
      <c r="Q1612" s="823" t="s">
        <v>3221</v>
      </c>
    </row>
    <row r="1613" spans="2:17" s="608" customFormat="1" x14ac:dyDescent="0.25">
      <c r="B1613" s="605" t="s">
        <v>3836</v>
      </c>
      <c r="C1613" s="606">
        <f t="shared" si="51"/>
        <v>515210</v>
      </c>
      <c r="D1613" s="607" t="s">
        <v>3837</v>
      </c>
      <c r="E1613" s="607" t="s">
        <v>3838</v>
      </c>
      <c r="F1613" s="607" t="s">
        <v>3839</v>
      </c>
      <c r="G1613" s="607" t="s">
        <v>1019</v>
      </c>
      <c r="H1613" s="607" t="s">
        <v>1019</v>
      </c>
      <c r="I1613" s="607" t="s">
        <v>1906</v>
      </c>
      <c r="J1613" s="608" t="str">
        <f t="shared" si="50"/>
        <v>Media</v>
      </c>
      <c r="N1613" s="822">
        <v>446191</v>
      </c>
      <c r="O1613" s="822" t="s">
        <v>3435</v>
      </c>
      <c r="P1613" s="823">
        <v>5499</v>
      </c>
      <c r="Q1613" s="823" t="s">
        <v>3409</v>
      </c>
    </row>
    <row r="1614" spans="2:17" s="608" customFormat="1" ht="30" x14ac:dyDescent="0.25">
      <c r="B1614" s="605" t="s">
        <v>3840</v>
      </c>
      <c r="C1614" s="606">
        <f t="shared" si="51"/>
        <v>517311</v>
      </c>
      <c r="D1614" s="607" t="s">
        <v>3841</v>
      </c>
      <c r="E1614" s="607" t="s">
        <v>3842</v>
      </c>
      <c r="F1614" s="607" t="s">
        <v>3843</v>
      </c>
      <c r="G1614" s="607" t="s">
        <v>3844</v>
      </c>
      <c r="H1614" s="607" t="s">
        <v>3844</v>
      </c>
      <c r="I1614" s="607" t="s">
        <v>3844</v>
      </c>
      <c r="J1614" s="608" t="str">
        <f t="shared" si="50"/>
        <v>Telecommunication Services</v>
      </c>
      <c r="N1614" s="822">
        <v>446199</v>
      </c>
      <c r="O1614" s="822" t="s">
        <v>3437</v>
      </c>
      <c r="P1614" s="823">
        <v>5047</v>
      </c>
      <c r="Q1614" s="823" t="s">
        <v>3112</v>
      </c>
    </row>
    <row r="1615" spans="2:17" s="608" customFormat="1" ht="30" x14ac:dyDescent="0.25">
      <c r="B1615" s="605" t="s">
        <v>3840</v>
      </c>
      <c r="C1615" s="606">
        <f t="shared" si="51"/>
        <v>517311</v>
      </c>
      <c r="D1615" s="607" t="s">
        <v>3841</v>
      </c>
      <c r="E1615" s="607" t="s">
        <v>3845</v>
      </c>
      <c r="F1615" s="607" t="s">
        <v>3846</v>
      </c>
      <c r="G1615" s="607" t="s">
        <v>3844</v>
      </c>
      <c r="H1615" s="607" t="s">
        <v>3844</v>
      </c>
      <c r="I1615" s="607" t="s">
        <v>3844</v>
      </c>
      <c r="J1615" s="608" t="str">
        <f t="shared" ref="J1615:J1678" si="52">PROPER(I1615)</f>
        <v>Telecommunication Services</v>
      </c>
      <c r="N1615" s="822">
        <v>446199</v>
      </c>
      <c r="O1615" s="822" t="s">
        <v>3437</v>
      </c>
      <c r="P1615" s="823">
        <v>5999</v>
      </c>
      <c r="Q1615" s="823" t="s">
        <v>2993</v>
      </c>
    </row>
    <row r="1616" spans="2:17" s="608" customFormat="1" ht="30" x14ac:dyDescent="0.25">
      <c r="B1616" s="605" t="s">
        <v>3840</v>
      </c>
      <c r="C1616" s="606">
        <f t="shared" si="51"/>
        <v>517311</v>
      </c>
      <c r="D1616" s="607" t="s">
        <v>3841</v>
      </c>
      <c r="E1616" s="607" t="s">
        <v>3838</v>
      </c>
      <c r="F1616" s="607" t="s">
        <v>3839</v>
      </c>
      <c r="G1616" s="607" t="s">
        <v>3844</v>
      </c>
      <c r="H1616" s="607" t="s">
        <v>3844</v>
      </c>
      <c r="I1616" s="607" t="s">
        <v>3844</v>
      </c>
      <c r="J1616" s="608" t="str">
        <f t="shared" si="52"/>
        <v>Telecommunication Services</v>
      </c>
      <c r="N1616" s="822">
        <v>447110</v>
      </c>
      <c r="O1616" s="822" t="s">
        <v>3439</v>
      </c>
      <c r="P1616" s="823">
        <v>5411</v>
      </c>
      <c r="Q1616" s="823" t="s">
        <v>3401</v>
      </c>
    </row>
    <row r="1617" spans="2:17" s="608" customFormat="1" ht="30" x14ac:dyDescent="0.25">
      <c r="B1617" s="605" t="s">
        <v>3840</v>
      </c>
      <c r="C1617" s="606">
        <f t="shared" si="51"/>
        <v>517311</v>
      </c>
      <c r="D1617" s="607" t="s">
        <v>3841</v>
      </c>
      <c r="E1617" s="607" t="s">
        <v>3847</v>
      </c>
      <c r="F1617" s="607" t="s">
        <v>3848</v>
      </c>
      <c r="G1617" s="607" t="s">
        <v>3844</v>
      </c>
      <c r="H1617" s="607" t="s">
        <v>3844</v>
      </c>
      <c r="I1617" s="607" t="s">
        <v>3844</v>
      </c>
      <c r="J1617" s="608" t="str">
        <f t="shared" si="52"/>
        <v>Telecommunication Services</v>
      </c>
      <c r="N1617" s="822">
        <v>447110</v>
      </c>
      <c r="O1617" s="822" t="s">
        <v>3439</v>
      </c>
      <c r="P1617" s="823">
        <v>5541</v>
      </c>
      <c r="Q1617" s="823" t="s">
        <v>3441</v>
      </c>
    </row>
    <row r="1618" spans="2:17" s="608" customFormat="1" ht="30" x14ac:dyDescent="0.25">
      <c r="B1618" s="605" t="s">
        <v>3849</v>
      </c>
      <c r="C1618" s="606">
        <f t="shared" si="51"/>
        <v>517312</v>
      </c>
      <c r="D1618" s="607" t="s">
        <v>3850</v>
      </c>
      <c r="E1618" s="607" t="s">
        <v>3851</v>
      </c>
      <c r="F1618" s="607" t="s">
        <v>3852</v>
      </c>
      <c r="G1618" s="607" t="s">
        <v>3844</v>
      </c>
      <c r="H1618" s="607" t="s">
        <v>3844</v>
      </c>
      <c r="I1618" s="607" t="s">
        <v>3844</v>
      </c>
      <c r="J1618" s="608" t="str">
        <f t="shared" si="52"/>
        <v>Telecommunication Services</v>
      </c>
      <c r="N1618" s="822">
        <v>447190</v>
      </c>
      <c r="O1618" s="822" t="s">
        <v>3443</v>
      </c>
      <c r="P1618" s="823">
        <v>5541</v>
      </c>
      <c r="Q1618" s="823" t="s">
        <v>3441</v>
      </c>
    </row>
    <row r="1619" spans="2:17" s="608" customFormat="1" ht="30" x14ac:dyDescent="0.25">
      <c r="B1619" s="605" t="s">
        <v>3849</v>
      </c>
      <c r="C1619" s="606">
        <f t="shared" si="51"/>
        <v>517312</v>
      </c>
      <c r="D1619" s="607" t="s">
        <v>3850</v>
      </c>
      <c r="E1619" s="607" t="s">
        <v>3649</v>
      </c>
      <c r="F1619" s="607" t="s">
        <v>3650</v>
      </c>
      <c r="G1619" s="607" t="s">
        <v>3844</v>
      </c>
      <c r="H1619" s="607" t="s">
        <v>3844</v>
      </c>
      <c r="I1619" s="607" t="s">
        <v>3844</v>
      </c>
      <c r="J1619" s="608" t="str">
        <f t="shared" si="52"/>
        <v>Telecommunication Services</v>
      </c>
      <c r="N1619" s="822">
        <v>448110</v>
      </c>
      <c r="O1619" s="822" t="s">
        <v>3445</v>
      </c>
      <c r="P1619" s="823">
        <v>5136</v>
      </c>
      <c r="Q1619" s="823" t="s">
        <v>3185</v>
      </c>
    </row>
    <row r="1620" spans="2:17" s="608" customFormat="1" ht="30" x14ac:dyDescent="0.25">
      <c r="B1620" s="605" t="s">
        <v>3853</v>
      </c>
      <c r="C1620" s="606">
        <f t="shared" si="51"/>
        <v>517410</v>
      </c>
      <c r="D1620" s="607" t="s">
        <v>3854</v>
      </c>
      <c r="E1620" s="607" t="s">
        <v>3649</v>
      </c>
      <c r="F1620" s="607" t="s">
        <v>3650</v>
      </c>
      <c r="G1620" s="607" t="s">
        <v>3844</v>
      </c>
      <c r="H1620" s="607" t="s">
        <v>3844</v>
      </c>
      <c r="I1620" s="607" t="s">
        <v>3844</v>
      </c>
      <c r="J1620" s="608" t="str">
        <f t="shared" si="52"/>
        <v>Telecommunication Services</v>
      </c>
      <c r="N1620" s="822">
        <v>448110</v>
      </c>
      <c r="O1620" s="822" t="s">
        <v>3445</v>
      </c>
      <c r="P1620" s="823">
        <v>5611</v>
      </c>
      <c r="Q1620" s="823" t="s">
        <v>3447</v>
      </c>
    </row>
    <row r="1621" spans="2:17" s="608" customFormat="1" ht="30" x14ac:dyDescent="0.25">
      <c r="B1621" s="605" t="s">
        <v>3855</v>
      </c>
      <c r="C1621" s="606">
        <f t="shared" si="51"/>
        <v>517911</v>
      </c>
      <c r="D1621" s="607" t="s">
        <v>3856</v>
      </c>
      <c r="E1621" s="607" t="s">
        <v>3851</v>
      </c>
      <c r="F1621" s="607" t="s">
        <v>3852</v>
      </c>
      <c r="G1621" s="607" t="s">
        <v>3844</v>
      </c>
      <c r="H1621" s="607" t="s">
        <v>3844</v>
      </c>
      <c r="I1621" s="607" t="s">
        <v>3844</v>
      </c>
      <c r="J1621" s="608" t="str">
        <f t="shared" si="52"/>
        <v>Telecommunication Services</v>
      </c>
      <c r="N1621" s="822">
        <v>448120</v>
      </c>
      <c r="O1621" s="822" t="s">
        <v>3449</v>
      </c>
      <c r="P1621" s="823">
        <v>5137</v>
      </c>
      <c r="Q1621" s="823" t="s">
        <v>3187</v>
      </c>
    </row>
    <row r="1622" spans="2:17" s="608" customFormat="1" ht="30" x14ac:dyDescent="0.25">
      <c r="B1622" s="605" t="s">
        <v>3855</v>
      </c>
      <c r="C1622" s="606">
        <f t="shared" si="51"/>
        <v>517911</v>
      </c>
      <c r="D1622" s="607" t="s">
        <v>3856</v>
      </c>
      <c r="E1622" s="607" t="s">
        <v>3842</v>
      </c>
      <c r="F1622" s="607" t="s">
        <v>3843</v>
      </c>
      <c r="G1622" s="607" t="s">
        <v>3844</v>
      </c>
      <c r="H1622" s="607" t="s">
        <v>3844</v>
      </c>
      <c r="I1622" s="607" t="s">
        <v>3844</v>
      </c>
      <c r="J1622" s="608" t="str">
        <f t="shared" si="52"/>
        <v>Telecommunication Services</v>
      </c>
      <c r="N1622" s="822">
        <v>448120</v>
      </c>
      <c r="O1622" s="822" t="s">
        <v>3449</v>
      </c>
      <c r="P1622" s="823">
        <v>5621</v>
      </c>
      <c r="Q1622" s="823" t="s">
        <v>3449</v>
      </c>
    </row>
    <row r="1623" spans="2:17" s="608" customFormat="1" ht="30" x14ac:dyDescent="0.25">
      <c r="B1623" s="605" t="s">
        <v>3857</v>
      </c>
      <c r="C1623" s="606">
        <f t="shared" si="51"/>
        <v>517919</v>
      </c>
      <c r="D1623" s="607" t="s">
        <v>3858</v>
      </c>
      <c r="E1623" s="607" t="s">
        <v>3649</v>
      </c>
      <c r="F1623" s="607" t="s">
        <v>3650</v>
      </c>
      <c r="G1623" s="607" t="s">
        <v>3844</v>
      </c>
      <c r="H1623" s="607" t="s">
        <v>3844</v>
      </c>
      <c r="I1623" s="607" t="s">
        <v>3844</v>
      </c>
      <c r="J1623" s="608" t="str">
        <f t="shared" si="52"/>
        <v>Telecommunication Services</v>
      </c>
      <c r="N1623" s="822">
        <v>448130</v>
      </c>
      <c r="O1623" s="822" t="s">
        <v>3452</v>
      </c>
      <c r="P1623" s="823">
        <v>5137</v>
      </c>
      <c r="Q1623" s="823" t="s">
        <v>3187</v>
      </c>
    </row>
    <row r="1624" spans="2:17" s="608" customFormat="1" ht="30" x14ac:dyDescent="0.25">
      <c r="B1624" s="605" t="s">
        <v>3857</v>
      </c>
      <c r="C1624" s="606">
        <f t="shared" si="51"/>
        <v>517919</v>
      </c>
      <c r="D1624" s="607" t="s">
        <v>3858</v>
      </c>
      <c r="E1624" s="607" t="s">
        <v>3847</v>
      </c>
      <c r="F1624" s="607" t="s">
        <v>3848</v>
      </c>
      <c r="G1624" s="607" t="s">
        <v>3844</v>
      </c>
      <c r="H1624" s="607" t="s">
        <v>3844</v>
      </c>
      <c r="I1624" s="607" t="s">
        <v>3844</v>
      </c>
      <c r="J1624" s="608" t="str">
        <f t="shared" si="52"/>
        <v>Telecommunication Services</v>
      </c>
      <c r="N1624" s="822">
        <v>448130</v>
      </c>
      <c r="O1624" s="822" t="s">
        <v>3452</v>
      </c>
      <c r="P1624" s="823">
        <v>5641</v>
      </c>
      <c r="Q1624" s="823" t="s">
        <v>3454</v>
      </c>
    </row>
    <row r="1625" spans="2:17" s="608" customFormat="1" x14ac:dyDescent="0.25">
      <c r="B1625" s="605" t="s">
        <v>3859</v>
      </c>
      <c r="C1625" s="606">
        <f t="shared" si="51"/>
        <v>518210</v>
      </c>
      <c r="D1625" s="607" t="s">
        <v>3860</v>
      </c>
      <c r="E1625" s="605" t="s">
        <v>3861</v>
      </c>
      <c r="F1625" s="607" t="s">
        <v>3862</v>
      </c>
      <c r="G1625" s="607" t="s">
        <v>1019</v>
      </c>
      <c r="H1625" s="607" t="s">
        <v>1019</v>
      </c>
      <c r="I1625" s="607" t="s">
        <v>1906</v>
      </c>
      <c r="J1625" s="608" t="str">
        <f t="shared" si="52"/>
        <v>Media</v>
      </c>
      <c r="N1625" s="822">
        <v>448140</v>
      </c>
      <c r="O1625" s="822" t="s">
        <v>3456</v>
      </c>
      <c r="P1625" s="823">
        <v>5651</v>
      </c>
      <c r="Q1625" s="823" t="s">
        <v>3456</v>
      </c>
    </row>
    <row r="1626" spans="2:17" s="608" customFormat="1" x14ac:dyDescent="0.25">
      <c r="B1626" s="605" t="s">
        <v>3859</v>
      </c>
      <c r="C1626" s="606">
        <f t="shared" si="51"/>
        <v>518210</v>
      </c>
      <c r="D1626" s="607" t="s">
        <v>3860</v>
      </c>
      <c r="E1626" s="605" t="s">
        <v>3863</v>
      </c>
      <c r="F1626" s="607" t="s">
        <v>3864</v>
      </c>
      <c r="G1626" s="607" t="s">
        <v>1019</v>
      </c>
      <c r="H1626" s="607" t="s">
        <v>1019</v>
      </c>
      <c r="I1626" s="607" t="s">
        <v>1921</v>
      </c>
      <c r="J1626" s="608" t="str">
        <f t="shared" si="52"/>
        <v>Commercial &amp; Professional Services</v>
      </c>
      <c r="N1626" s="822">
        <v>448150</v>
      </c>
      <c r="O1626" s="822" t="s">
        <v>3459</v>
      </c>
      <c r="P1626" s="823">
        <v>5611</v>
      </c>
      <c r="Q1626" s="823" t="s">
        <v>3447</v>
      </c>
    </row>
    <row r="1627" spans="2:17" s="608" customFormat="1" ht="30" x14ac:dyDescent="0.25">
      <c r="B1627" s="605" t="s">
        <v>3859</v>
      </c>
      <c r="C1627" s="606">
        <f t="shared" si="51"/>
        <v>518210</v>
      </c>
      <c r="D1627" s="607" t="s">
        <v>3860</v>
      </c>
      <c r="E1627" s="607" t="s">
        <v>1588</v>
      </c>
      <c r="F1627" s="607" t="s">
        <v>1589</v>
      </c>
      <c r="G1627" s="607" t="s">
        <v>2509</v>
      </c>
      <c r="H1627" s="607" t="s">
        <v>2509</v>
      </c>
      <c r="I1627" s="607" t="s">
        <v>3794</v>
      </c>
      <c r="J1627" s="608" t="str">
        <f t="shared" si="52"/>
        <v>Software</v>
      </c>
      <c r="N1627" s="822">
        <v>448150</v>
      </c>
      <c r="O1627" s="822" t="s">
        <v>3459</v>
      </c>
      <c r="P1627" s="823">
        <v>5632</v>
      </c>
      <c r="Q1627" s="823" t="s">
        <v>3461</v>
      </c>
    </row>
    <row r="1628" spans="2:17" s="608" customFormat="1" x14ac:dyDescent="0.25">
      <c r="B1628" s="605" t="s">
        <v>3865</v>
      </c>
      <c r="C1628" s="606">
        <f t="shared" si="51"/>
        <v>519110</v>
      </c>
      <c r="D1628" s="607" t="s">
        <v>3866</v>
      </c>
      <c r="E1628" s="605" t="s">
        <v>3867</v>
      </c>
      <c r="F1628" s="607" t="s">
        <v>3866</v>
      </c>
      <c r="G1628" s="607" t="s">
        <v>1019</v>
      </c>
      <c r="H1628" s="607" t="s">
        <v>1019</v>
      </c>
      <c r="I1628" s="607" t="s">
        <v>1906</v>
      </c>
      <c r="J1628" s="608" t="str">
        <f t="shared" si="52"/>
        <v>Media</v>
      </c>
      <c r="N1628" s="822">
        <v>448150</v>
      </c>
      <c r="O1628" s="822" t="s">
        <v>3459</v>
      </c>
      <c r="P1628" s="823">
        <v>5699</v>
      </c>
      <c r="Q1628" s="823" t="s">
        <v>1744</v>
      </c>
    </row>
    <row r="1629" spans="2:17" s="608" customFormat="1" x14ac:dyDescent="0.25">
      <c r="B1629" s="605" t="s">
        <v>3868</v>
      </c>
      <c r="C1629" s="606">
        <f t="shared" si="51"/>
        <v>519120</v>
      </c>
      <c r="D1629" s="607" t="s">
        <v>3869</v>
      </c>
      <c r="E1629" s="605" t="s">
        <v>3800</v>
      </c>
      <c r="F1629" s="607" t="s">
        <v>3801</v>
      </c>
      <c r="G1629" s="607" t="s">
        <v>1019</v>
      </c>
      <c r="H1629" s="607" t="s">
        <v>1019</v>
      </c>
      <c r="I1629" s="607" t="s">
        <v>1906</v>
      </c>
      <c r="J1629" s="608" t="str">
        <f t="shared" si="52"/>
        <v>Media</v>
      </c>
      <c r="N1629" s="822">
        <v>448190</v>
      </c>
      <c r="O1629" s="822" t="s">
        <v>3463</v>
      </c>
      <c r="P1629" s="823">
        <v>5136</v>
      </c>
      <c r="Q1629" s="823" t="s">
        <v>3185</v>
      </c>
    </row>
    <row r="1630" spans="2:17" s="608" customFormat="1" x14ac:dyDescent="0.25">
      <c r="B1630" s="605" t="s">
        <v>3868</v>
      </c>
      <c r="C1630" s="606">
        <f t="shared" si="51"/>
        <v>519120</v>
      </c>
      <c r="D1630" s="607" t="s">
        <v>3869</v>
      </c>
      <c r="E1630" s="605" t="s">
        <v>3870</v>
      </c>
      <c r="F1630" s="607" t="s">
        <v>3871</v>
      </c>
      <c r="G1630" s="607" t="s">
        <v>1019</v>
      </c>
      <c r="H1630" s="607" t="s">
        <v>1019</v>
      </c>
      <c r="I1630" s="607" t="s">
        <v>1921</v>
      </c>
      <c r="J1630" s="608" t="str">
        <f t="shared" si="52"/>
        <v>Commercial &amp; Professional Services</v>
      </c>
      <c r="N1630" s="822">
        <v>448190</v>
      </c>
      <c r="O1630" s="822" t="s">
        <v>3463</v>
      </c>
      <c r="P1630" s="823">
        <v>5137</v>
      </c>
      <c r="Q1630" s="823" t="s">
        <v>3187</v>
      </c>
    </row>
    <row r="1631" spans="2:17" s="608" customFormat="1" x14ac:dyDescent="0.25">
      <c r="B1631" s="605" t="s">
        <v>3872</v>
      </c>
      <c r="C1631" s="606">
        <f t="shared" si="51"/>
        <v>519130</v>
      </c>
      <c r="D1631" s="607" t="s">
        <v>3873</v>
      </c>
      <c r="E1631" s="607" t="s">
        <v>3772</v>
      </c>
      <c r="F1631" s="607" t="s">
        <v>3773</v>
      </c>
      <c r="G1631" s="607" t="s">
        <v>1019</v>
      </c>
      <c r="H1631" s="607" t="s">
        <v>1019</v>
      </c>
      <c r="I1631" s="607" t="s">
        <v>1906</v>
      </c>
      <c r="J1631" s="608" t="str">
        <f t="shared" si="52"/>
        <v>Media</v>
      </c>
      <c r="N1631" s="822">
        <v>448190</v>
      </c>
      <c r="O1631" s="822" t="s">
        <v>3463</v>
      </c>
      <c r="P1631" s="823">
        <v>5621</v>
      </c>
      <c r="Q1631" s="823" t="s">
        <v>3449</v>
      </c>
    </row>
    <row r="1632" spans="2:17" s="608" customFormat="1" x14ac:dyDescent="0.25">
      <c r="B1632" s="605" t="s">
        <v>3872</v>
      </c>
      <c r="C1632" s="606">
        <f t="shared" si="51"/>
        <v>519130</v>
      </c>
      <c r="D1632" s="607" t="s">
        <v>3873</v>
      </c>
      <c r="E1632" s="607" t="s">
        <v>3776</v>
      </c>
      <c r="F1632" s="607" t="s">
        <v>3777</v>
      </c>
      <c r="G1632" s="607" t="s">
        <v>1019</v>
      </c>
      <c r="H1632" s="607" t="s">
        <v>1019</v>
      </c>
      <c r="I1632" s="607" t="s">
        <v>1906</v>
      </c>
      <c r="J1632" s="608" t="str">
        <f t="shared" si="52"/>
        <v>Media</v>
      </c>
      <c r="N1632" s="822">
        <v>448190</v>
      </c>
      <c r="O1632" s="822" t="s">
        <v>3463</v>
      </c>
      <c r="P1632" s="823">
        <v>5632</v>
      </c>
      <c r="Q1632" s="823" t="s">
        <v>3461</v>
      </c>
    </row>
    <row r="1633" spans="2:17" s="608" customFormat="1" x14ac:dyDescent="0.25">
      <c r="B1633" s="605" t="s">
        <v>3872</v>
      </c>
      <c r="C1633" s="606">
        <f t="shared" si="51"/>
        <v>519130</v>
      </c>
      <c r="D1633" s="607" t="s">
        <v>3873</v>
      </c>
      <c r="E1633" s="607" t="s">
        <v>3782</v>
      </c>
      <c r="F1633" s="607" t="s">
        <v>3783</v>
      </c>
      <c r="G1633" s="607" t="s">
        <v>1019</v>
      </c>
      <c r="H1633" s="607" t="s">
        <v>1019</v>
      </c>
      <c r="I1633" s="607" t="s">
        <v>1906</v>
      </c>
      <c r="J1633" s="608" t="str">
        <f t="shared" si="52"/>
        <v>Media</v>
      </c>
      <c r="N1633" s="822">
        <v>448190</v>
      </c>
      <c r="O1633" s="822" t="s">
        <v>3463</v>
      </c>
      <c r="P1633" s="823">
        <v>5699</v>
      </c>
      <c r="Q1633" s="823" t="s">
        <v>1744</v>
      </c>
    </row>
    <row r="1634" spans="2:17" s="608" customFormat="1" x14ac:dyDescent="0.25">
      <c r="B1634" s="605" t="s">
        <v>3872</v>
      </c>
      <c r="C1634" s="606">
        <f t="shared" si="51"/>
        <v>519130</v>
      </c>
      <c r="D1634" s="607" t="s">
        <v>3873</v>
      </c>
      <c r="E1634" s="607" t="s">
        <v>3778</v>
      </c>
      <c r="F1634" s="607" t="s">
        <v>3779</v>
      </c>
      <c r="G1634" s="607" t="s">
        <v>1019</v>
      </c>
      <c r="H1634" s="607" t="s">
        <v>1019</v>
      </c>
      <c r="I1634" s="607" t="s">
        <v>1906</v>
      </c>
      <c r="J1634" s="608" t="str">
        <f t="shared" si="52"/>
        <v>Media</v>
      </c>
      <c r="N1634" s="822">
        <v>448210</v>
      </c>
      <c r="O1634" s="822" t="s">
        <v>3465</v>
      </c>
      <c r="P1634" s="823">
        <v>5139</v>
      </c>
      <c r="Q1634" s="823" t="s">
        <v>3233</v>
      </c>
    </row>
    <row r="1635" spans="2:17" s="608" customFormat="1" x14ac:dyDescent="0.25">
      <c r="B1635" s="605" t="s">
        <v>3872</v>
      </c>
      <c r="C1635" s="606">
        <f t="shared" si="51"/>
        <v>519130</v>
      </c>
      <c r="D1635" s="607" t="s">
        <v>3873</v>
      </c>
      <c r="E1635" s="607" t="s">
        <v>1913</v>
      </c>
      <c r="F1635" s="607" t="s">
        <v>1914</v>
      </c>
      <c r="G1635" s="607" t="s">
        <v>1019</v>
      </c>
      <c r="H1635" s="607" t="s">
        <v>1019</v>
      </c>
      <c r="I1635" s="607" t="s">
        <v>1906</v>
      </c>
      <c r="J1635" s="608" t="str">
        <f t="shared" si="52"/>
        <v>Media</v>
      </c>
      <c r="N1635" s="822">
        <v>448210</v>
      </c>
      <c r="O1635" s="822" t="s">
        <v>3465</v>
      </c>
      <c r="P1635" s="823">
        <v>5661</v>
      </c>
      <c r="Q1635" s="823" t="s">
        <v>3465</v>
      </c>
    </row>
    <row r="1636" spans="2:17" s="608" customFormat="1" x14ac:dyDescent="0.25">
      <c r="B1636" s="605" t="s">
        <v>3872</v>
      </c>
      <c r="C1636" s="606">
        <f t="shared" si="51"/>
        <v>519130</v>
      </c>
      <c r="D1636" s="607" t="s">
        <v>3873</v>
      </c>
      <c r="E1636" s="607" t="s">
        <v>3816</v>
      </c>
      <c r="F1636" s="607" t="s">
        <v>3817</v>
      </c>
      <c r="G1636" s="607" t="s">
        <v>1019</v>
      </c>
      <c r="H1636" s="607" t="s">
        <v>1019</v>
      </c>
      <c r="I1636" s="607" t="s">
        <v>1906</v>
      </c>
      <c r="J1636" s="608" t="str">
        <f t="shared" si="52"/>
        <v>Media</v>
      </c>
      <c r="N1636" s="822">
        <v>448310</v>
      </c>
      <c r="O1636" s="822" t="s">
        <v>3468</v>
      </c>
      <c r="P1636" s="823">
        <v>5094</v>
      </c>
      <c r="Q1636" s="823" t="s">
        <v>3199</v>
      </c>
    </row>
    <row r="1637" spans="2:17" s="608" customFormat="1" x14ac:dyDescent="0.25">
      <c r="B1637" s="605" t="s">
        <v>3874</v>
      </c>
      <c r="C1637" s="606">
        <f t="shared" si="51"/>
        <v>519190</v>
      </c>
      <c r="D1637" s="607" t="s">
        <v>3875</v>
      </c>
      <c r="E1637" s="605" t="s">
        <v>1588</v>
      </c>
      <c r="F1637" s="607" t="s">
        <v>1589</v>
      </c>
      <c r="G1637" s="607" t="s">
        <v>1019</v>
      </c>
      <c r="H1637" s="607" t="s">
        <v>1019</v>
      </c>
      <c r="I1637" s="607" t="s">
        <v>1921</v>
      </c>
      <c r="J1637" s="608" t="str">
        <f t="shared" si="52"/>
        <v>Commercial &amp; Professional Services</v>
      </c>
      <c r="N1637" s="822">
        <v>448310</v>
      </c>
      <c r="O1637" s="822" t="s">
        <v>3468</v>
      </c>
      <c r="P1637" s="823">
        <v>5944</v>
      </c>
      <c r="Q1637" s="823" t="s">
        <v>3468</v>
      </c>
    </row>
    <row r="1638" spans="2:17" s="608" customFormat="1" x14ac:dyDescent="0.25">
      <c r="B1638" s="605" t="s">
        <v>3876</v>
      </c>
      <c r="C1638" s="606">
        <f t="shared" si="51"/>
        <v>521110</v>
      </c>
      <c r="D1638" s="607" t="s">
        <v>3877</v>
      </c>
      <c r="E1638" s="607" t="s">
        <v>3878</v>
      </c>
      <c r="F1638" s="607" t="s">
        <v>3879</v>
      </c>
      <c r="G1638" s="607" t="s">
        <v>3880</v>
      </c>
      <c r="H1638" s="607" t="s">
        <v>3880</v>
      </c>
      <c r="I1638" s="607" t="s">
        <v>3881</v>
      </c>
      <c r="J1638" s="608" t="str">
        <f t="shared" si="52"/>
        <v>Commercial Bank</v>
      </c>
      <c r="N1638" s="822">
        <v>448310</v>
      </c>
      <c r="O1638" s="822" t="s">
        <v>3468</v>
      </c>
      <c r="P1638" s="823">
        <v>7631</v>
      </c>
      <c r="Q1638" s="823" t="s">
        <v>3471</v>
      </c>
    </row>
    <row r="1639" spans="2:17" s="608" customFormat="1" x14ac:dyDescent="0.25">
      <c r="B1639" s="605" t="s">
        <v>3882</v>
      </c>
      <c r="C1639" s="606">
        <f t="shared" si="51"/>
        <v>522110</v>
      </c>
      <c r="D1639" s="607" t="s">
        <v>3883</v>
      </c>
      <c r="E1639" s="607" t="s">
        <v>3884</v>
      </c>
      <c r="F1639" s="607" t="s">
        <v>3885</v>
      </c>
      <c r="G1639" s="607" t="s">
        <v>3880</v>
      </c>
      <c r="H1639" s="607" t="s">
        <v>3880</v>
      </c>
      <c r="I1639" s="607" t="s">
        <v>3881</v>
      </c>
      <c r="J1639" s="608" t="str">
        <f t="shared" si="52"/>
        <v>Commercial Bank</v>
      </c>
      <c r="N1639" s="822">
        <v>448320</v>
      </c>
      <c r="O1639" s="822" t="s">
        <v>3473</v>
      </c>
      <c r="P1639" s="823">
        <v>5948</v>
      </c>
      <c r="Q1639" s="823" t="s">
        <v>3473</v>
      </c>
    </row>
    <row r="1640" spans="2:17" s="608" customFormat="1" x14ac:dyDescent="0.25">
      <c r="B1640" s="605" t="s">
        <v>3882</v>
      </c>
      <c r="C1640" s="606">
        <f t="shared" si="51"/>
        <v>522110</v>
      </c>
      <c r="D1640" s="607" t="s">
        <v>3883</v>
      </c>
      <c r="E1640" s="607" t="s">
        <v>3886</v>
      </c>
      <c r="F1640" s="607" t="s">
        <v>3887</v>
      </c>
      <c r="G1640" s="607" t="s">
        <v>3880</v>
      </c>
      <c r="H1640" s="607" t="s">
        <v>3880</v>
      </c>
      <c r="I1640" s="607" t="s">
        <v>3881</v>
      </c>
      <c r="J1640" s="608" t="str">
        <f t="shared" si="52"/>
        <v>Commercial Bank</v>
      </c>
      <c r="N1640" s="822">
        <v>451110</v>
      </c>
      <c r="O1640" s="822" t="s">
        <v>3476</v>
      </c>
      <c r="P1640" s="823">
        <v>5091</v>
      </c>
      <c r="Q1640" s="823" t="s">
        <v>3183</v>
      </c>
    </row>
    <row r="1641" spans="2:17" s="608" customFormat="1" x14ac:dyDescent="0.25">
      <c r="B1641" s="605" t="s">
        <v>3882</v>
      </c>
      <c r="C1641" s="606">
        <f t="shared" si="51"/>
        <v>522110</v>
      </c>
      <c r="D1641" s="607" t="s">
        <v>3883</v>
      </c>
      <c r="E1641" s="607" t="s">
        <v>3888</v>
      </c>
      <c r="F1641" s="607" t="s">
        <v>3889</v>
      </c>
      <c r="G1641" s="607" t="s">
        <v>3880</v>
      </c>
      <c r="H1641" s="607" t="s">
        <v>3880</v>
      </c>
      <c r="I1641" s="607" t="s">
        <v>3881</v>
      </c>
      <c r="J1641" s="608" t="str">
        <f t="shared" si="52"/>
        <v>Commercial Bank</v>
      </c>
      <c r="N1641" s="822">
        <v>451110</v>
      </c>
      <c r="O1641" s="822" t="s">
        <v>3476</v>
      </c>
      <c r="P1641" s="823">
        <v>5099</v>
      </c>
      <c r="Q1641" s="823" t="s">
        <v>3203</v>
      </c>
    </row>
    <row r="1642" spans="2:17" s="608" customFormat="1" x14ac:dyDescent="0.25">
      <c r="B1642" s="605" t="s">
        <v>3882</v>
      </c>
      <c r="C1642" s="606">
        <f t="shared" si="51"/>
        <v>522110</v>
      </c>
      <c r="D1642" s="607" t="s">
        <v>3883</v>
      </c>
      <c r="E1642" s="607" t="s">
        <v>3890</v>
      </c>
      <c r="F1642" s="607" t="s">
        <v>3891</v>
      </c>
      <c r="G1642" s="607" t="s">
        <v>3880</v>
      </c>
      <c r="H1642" s="607" t="s">
        <v>3880</v>
      </c>
      <c r="I1642" s="607" t="s">
        <v>3881</v>
      </c>
      <c r="J1642" s="608" t="str">
        <f t="shared" si="52"/>
        <v>Commercial Bank</v>
      </c>
      <c r="N1642" s="822">
        <v>451110</v>
      </c>
      <c r="O1642" s="822" t="s">
        <v>3476</v>
      </c>
      <c r="P1642" s="823">
        <v>5941</v>
      </c>
      <c r="Q1642" s="823" t="s">
        <v>3478</v>
      </c>
    </row>
    <row r="1643" spans="2:17" s="608" customFormat="1" x14ac:dyDescent="0.25">
      <c r="B1643" s="605" t="s">
        <v>3892</v>
      </c>
      <c r="C1643" s="606">
        <f t="shared" si="51"/>
        <v>522120</v>
      </c>
      <c r="D1643" s="607" t="s">
        <v>3893</v>
      </c>
      <c r="E1643" s="607" t="s">
        <v>3894</v>
      </c>
      <c r="F1643" s="607" t="s">
        <v>3895</v>
      </c>
      <c r="G1643" s="607" t="s">
        <v>3880</v>
      </c>
      <c r="H1643" s="607" t="s">
        <v>3880</v>
      </c>
      <c r="I1643" s="607" t="s">
        <v>3896</v>
      </c>
      <c r="J1643" s="608" t="str">
        <f t="shared" si="52"/>
        <v>Diversified Financials</v>
      </c>
      <c r="N1643" s="822">
        <v>451110</v>
      </c>
      <c r="O1643" s="822" t="s">
        <v>3476</v>
      </c>
      <c r="P1643" s="823">
        <v>7699</v>
      </c>
      <c r="Q1643" s="823" t="s">
        <v>1071</v>
      </c>
    </row>
    <row r="1644" spans="2:17" s="608" customFormat="1" x14ac:dyDescent="0.25">
      <c r="B1644" s="605" t="s">
        <v>3892</v>
      </c>
      <c r="C1644" s="606">
        <f t="shared" si="51"/>
        <v>522120</v>
      </c>
      <c r="D1644" s="607" t="s">
        <v>3893</v>
      </c>
      <c r="E1644" s="607" t="s">
        <v>3897</v>
      </c>
      <c r="F1644" s="607" t="s">
        <v>3898</v>
      </c>
      <c r="G1644" s="607" t="s">
        <v>3880</v>
      </c>
      <c r="H1644" s="607" t="s">
        <v>3880</v>
      </c>
      <c r="I1644" s="607" t="s">
        <v>3896</v>
      </c>
      <c r="J1644" s="608" t="str">
        <f t="shared" si="52"/>
        <v>Diversified Financials</v>
      </c>
      <c r="N1644" s="822">
        <v>451120</v>
      </c>
      <c r="O1644" s="822" t="s">
        <v>3480</v>
      </c>
      <c r="P1644" s="823">
        <v>5092</v>
      </c>
      <c r="Q1644" s="823" t="s">
        <v>3191</v>
      </c>
    </row>
    <row r="1645" spans="2:17" s="608" customFormat="1" x14ac:dyDescent="0.25">
      <c r="B1645" s="605" t="s">
        <v>3899</v>
      </c>
      <c r="C1645" s="606">
        <f t="shared" si="51"/>
        <v>522130</v>
      </c>
      <c r="D1645" s="607" t="s">
        <v>3900</v>
      </c>
      <c r="E1645" s="607" t="s">
        <v>3901</v>
      </c>
      <c r="F1645" s="607" t="s">
        <v>3902</v>
      </c>
      <c r="G1645" s="607" t="s">
        <v>3880</v>
      </c>
      <c r="H1645" s="607" t="s">
        <v>3880</v>
      </c>
      <c r="I1645" s="607" t="s">
        <v>3896</v>
      </c>
      <c r="J1645" s="608" t="str">
        <f t="shared" si="52"/>
        <v>Diversified Financials</v>
      </c>
      <c r="N1645" s="822">
        <v>451120</v>
      </c>
      <c r="O1645" s="822" t="s">
        <v>3480</v>
      </c>
      <c r="P1645" s="823">
        <v>5099</v>
      </c>
      <c r="Q1645" s="823" t="s">
        <v>3203</v>
      </c>
    </row>
    <row r="1646" spans="2:17" s="608" customFormat="1" x14ac:dyDescent="0.25">
      <c r="B1646" s="605" t="s">
        <v>3899</v>
      </c>
      <c r="C1646" s="606">
        <f t="shared" si="51"/>
        <v>522130</v>
      </c>
      <c r="D1646" s="607" t="s">
        <v>3900</v>
      </c>
      <c r="E1646" s="607" t="s">
        <v>3903</v>
      </c>
      <c r="F1646" s="607" t="s">
        <v>3904</v>
      </c>
      <c r="G1646" s="607" t="s">
        <v>3880</v>
      </c>
      <c r="H1646" s="607" t="s">
        <v>3880</v>
      </c>
      <c r="I1646" s="607" t="s">
        <v>3896</v>
      </c>
      <c r="J1646" s="608" t="str">
        <f t="shared" si="52"/>
        <v>Diversified Financials</v>
      </c>
      <c r="N1646" s="822">
        <v>451120</v>
      </c>
      <c r="O1646" s="822" t="s">
        <v>3480</v>
      </c>
      <c r="P1646" s="823">
        <v>5945</v>
      </c>
      <c r="Q1646" s="823" t="s">
        <v>3482</v>
      </c>
    </row>
    <row r="1647" spans="2:17" s="608" customFormat="1" x14ac:dyDescent="0.25">
      <c r="B1647" s="605" t="s">
        <v>3905</v>
      </c>
      <c r="C1647" s="606">
        <f t="shared" si="51"/>
        <v>522190</v>
      </c>
      <c r="D1647" s="607" t="s">
        <v>3906</v>
      </c>
      <c r="E1647" s="607" t="s">
        <v>3886</v>
      </c>
      <c r="F1647" s="607" t="s">
        <v>3887</v>
      </c>
      <c r="G1647" s="607" t="s">
        <v>3880</v>
      </c>
      <c r="H1647" s="607" t="s">
        <v>3880</v>
      </c>
      <c r="I1647" s="607" t="s">
        <v>3896</v>
      </c>
      <c r="J1647" s="608" t="str">
        <f t="shared" si="52"/>
        <v>Diversified Financials</v>
      </c>
      <c r="N1647" s="822">
        <v>451130</v>
      </c>
      <c r="O1647" s="822" t="s">
        <v>3484</v>
      </c>
      <c r="P1647" s="823">
        <v>5131</v>
      </c>
      <c r="Q1647" s="823" t="s">
        <v>1648</v>
      </c>
    </row>
    <row r="1648" spans="2:17" s="608" customFormat="1" x14ac:dyDescent="0.25">
      <c r="B1648" s="605" t="s">
        <v>3907</v>
      </c>
      <c r="C1648" s="606">
        <f t="shared" si="51"/>
        <v>522210</v>
      </c>
      <c r="D1648" s="607" t="s">
        <v>3908</v>
      </c>
      <c r="E1648" s="607" t="s">
        <v>3884</v>
      </c>
      <c r="F1648" s="607" t="s">
        <v>3885</v>
      </c>
      <c r="G1648" s="607" t="s">
        <v>3880</v>
      </c>
      <c r="H1648" s="607" t="s">
        <v>3880</v>
      </c>
      <c r="I1648" s="607" t="s">
        <v>3896</v>
      </c>
      <c r="J1648" s="608" t="str">
        <f t="shared" si="52"/>
        <v>Diversified Financials</v>
      </c>
      <c r="N1648" s="822">
        <v>451130</v>
      </c>
      <c r="O1648" s="822" t="s">
        <v>3484</v>
      </c>
      <c r="P1648" s="823">
        <v>5714</v>
      </c>
      <c r="Q1648" s="823" t="s">
        <v>1666</v>
      </c>
    </row>
    <row r="1649" spans="2:17" s="608" customFormat="1" x14ac:dyDescent="0.25">
      <c r="B1649" s="605" t="s">
        <v>3907</v>
      </c>
      <c r="C1649" s="606">
        <f t="shared" si="51"/>
        <v>522210</v>
      </c>
      <c r="D1649" s="607" t="s">
        <v>3908</v>
      </c>
      <c r="E1649" s="607" t="s">
        <v>3886</v>
      </c>
      <c r="F1649" s="607" t="s">
        <v>3887</v>
      </c>
      <c r="G1649" s="607" t="s">
        <v>3880</v>
      </c>
      <c r="H1649" s="607" t="s">
        <v>3880</v>
      </c>
      <c r="I1649" s="607" t="s">
        <v>3896</v>
      </c>
      <c r="J1649" s="608" t="str">
        <f t="shared" si="52"/>
        <v>Diversified Financials</v>
      </c>
      <c r="N1649" s="822">
        <v>451130</v>
      </c>
      <c r="O1649" s="822" t="s">
        <v>3484</v>
      </c>
      <c r="P1649" s="823">
        <v>5949</v>
      </c>
      <c r="Q1649" s="823" t="s">
        <v>3486</v>
      </c>
    </row>
    <row r="1650" spans="2:17" s="608" customFormat="1" x14ac:dyDescent="0.25">
      <c r="B1650" s="605" t="s">
        <v>3907</v>
      </c>
      <c r="C1650" s="606">
        <f t="shared" si="51"/>
        <v>522210</v>
      </c>
      <c r="D1650" s="607" t="s">
        <v>3908</v>
      </c>
      <c r="E1650" s="607" t="s">
        <v>3909</v>
      </c>
      <c r="F1650" s="607" t="s">
        <v>3910</v>
      </c>
      <c r="G1650" s="607" t="s">
        <v>3880</v>
      </c>
      <c r="H1650" s="607" t="s">
        <v>3880</v>
      </c>
      <c r="I1650" s="607" t="s">
        <v>3896</v>
      </c>
      <c r="J1650" s="608" t="str">
        <f t="shared" si="52"/>
        <v>Diversified Financials</v>
      </c>
      <c r="N1650" s="822">
        <v>451140</v>
      </c>
      <c r="O1650" s="822" t="s">
        <v>3488</v>
      </c>
      <c r="P1650" s="823">
        <v>5736</v>
      </c>
      <c r="Q1650" s="823" t="s">
        <v>3490</v>
      </c>
    </row>
    <row r="1651" spans="2:17" s="608" customFormat="1" x14ac:dyDescent="0.25">
      <c r="B1651" s="605" t="s">
        <v>3907</v>
      </c>
      <c r="C1651" s="606">
        <f t="shared" si="51"/>
        <v>522210</v>
      </c>
      <c r="D1651" s="607" t="s">
        <v>3908</v>
      </c>
      <c r="E1651" s="607" t="s">
        <v>3911</v>
      </c>
      <c r="F1651" s="607" t="s">
        <v>3912</v>
      </c>
      <c r="G1651" s="607" t="s">
        <v>3880</v>
      </c>
      <c r="H1651" s="607" t="s">
        <v>3880</v>
      </c>
      <c r="I1651" s="607" t="s">
        <v>3896</v>
      </c>
      <c r="J1651" s="608" t="str">
        <f t="shared" si="52"/>
        <v>Diversified Financials</v>
      </c>
      <c r="N1651" s="822">
        <v>451211</v>
      </c>
      <c r="O1651" s="822" t="s">
        <v>3492</v>
      </c>
      <c r="P1651" s="823">
        <v>5192</v>
      </c>
      <c r="Q1651" s="823" t="s">
        <v>3308</v>
      </c>
    </row>
    <row r="1652" spans="2:17" s="608" customFormat="1" x14ac:dyDescent="0.25">
      <c r="B1652" s="605" t="s">
        <v>3913</v>
      </c>
      <c r="C1652" s="606">
        <f t="shared" si="51"/>
        <v>522220</v>
      </c>
      <c r="D1652" s="607" t="s">
        <v>3914</v>
      </c>
      <c r="E1652" s="607" t="s">
        <v>3909</v>
      </c>
      <c r="F1652" s="607" t="s">
        <v>3910</v>
      </c>
      <c r="G1652" s="607" t="s">
        <v>3880</v>
      </c>
      <c r="H1652" s="607" t="s">
        <v>3880</v>
      </c>
      <c r="I1652" s="611" t="s">
        <v>3915</v>
      </c>
      <c r="J1652" s="608" t="str">
        <f t="shared" si="52"/>
        <v>Banks</v>
      </c>
      <c r="N1652" s="822">
        <v>451211</v>
      </c>
      <c r="O1652" s="822" t="s">
        <v>3492</v>
      </c>
      <c r="P1652" s="823">
        <v>5942</v>
      </c>
      <c r="Q1652" s="823" t="s">
        <v>3492</v>
      </c>
    </row>
    <row r="1653" spans="2:17" s="608" customFormat="1" x14ac:dyDescent="0.25">
      <c r="B1653" s="605" t="s">
        <v>3913</v>
      </c>
      <c r="C1653" s="606">
        <f t="shared" si="51"/>
        <v>522220</v>
      </c>
      <c r="D1653" s="607" t="s">
        <v>3914</v>
      </c>
      <c r="E1653" s="607" t="s">
        <v>3911</v>
      </c>
      <c r="F1653" s="607" t="s">
        <v>3912</v>
      </c>
      <c r="G1653" s="607" t="s">
        <v>3880</v>
      </c>
      <c r="H1653" s="607" t="s">
        <v>3880</v>
      </c>
      <c r="I1653" s="611" t="s">
        <v>3915</v>
      </c>
      <c r="J1653" s="608" t="str">
        <f t="shared" si="52"/>
        <v>Banks</v>
      </c>
      <c r="N1653" s="822">
        <v>451212</v>
      </c>
      <c r="O1653" s="822" t="s">
        <v>3495</v>
      </c>
      <c r="P1653" s="823">
        <v>5994</v>
      </c>
      <c r="Q1653" s="823" t="s">
        <v>3495</v>
      </c>
    </row>
    <row r="1654" spans="2:17" s="608" customFormat="1" x14ac:dyDescent="0.25">
      <c r="B1654" s="605" t="s">
        <v>3913</v>
      </c>
      <c r="C1654" s="606">
        <f t="shared" si="51"/>
        <v>522220</v>
      </c>
      <c r="D1654" s="607" t="s">
        <v>3914</v>
      </c>
      <c r="E1654" s="607" t="s">
        <v>3916</v>
      </c>
      <c r="F1654" s="607" t="s">
        <v>3917</v>
      </c>
      <c r="G1654" s="607" t="s">
        <v>3880</v>
      </c>
      <c r="H1654" s="607" t="s">
        <v>3880</v>
      </c>
      <c r="I1654" s="611" t="s">
        <v>3915</v>
      </c>
      <c r="J1654" s="608" t="str">
        <f t="shared" si="52"/>
        <v>Banks</v>
      </c>
      <c r="N1654" s="822">
        <v>451220</v>
      </c>
      <c r="O1654" s="822" t="s">
        <v>5994</v>
      </c>
      <c r="P1654" s="823"/>
      <c r="Q1654" s="823" t="s">
        <v>958</v>
      </c>
    </row>
    <row r="1655" spans="2:17" s="608" customFormat="1" x14ac:dyDescent="0.25">
      <c r="B1655" s="605" t="s">
        <v>3918</v>
      </c>
      <c r="C1655" s="606">
        <f t="shared" si="51"/>
        <v>522291</v>
      </c>
      <c r="D1655" s="607" t="s">
        <v>3919</v>
      </c>
      <c r="E1655" s="607" t="s">
        <v>3909</v>
      </c>
      <c r="F1655" s="607" t="s">
        <v>3910</v>
      </c>
      <c r="G1655" s="607" t="s">
        <v>3880</v>
      </c>
      <c r="H1655" s="607" t="s">
        <v>3880</v>
      </c>
      <c r="I1655" s="607" t="s">
        <v>3896</v>
      </c>
      <c r="J1655" s="608" t="str">
        <f t="shared" si="52"/>
        <v>Diversified Financials</v>
      </c>
      <c r="N1655" s="823">
        <v>452111</v>
      </c>
      <c r="O1655" s="823" t="s">
        <v>5995</v>
      </c>
      <c r="P1655" s="823"/>
      <c r="Q1655" s="823" t="s">
        <v>958</v>
      </c>
    </row>
    <row r="1656" spans="2:17" s="608" customFormat="1" x14ac:dyDescent="0.25">
      <c r="B1656" s="605" t="s">
        <v>3920</v>
      </c>
      <c r="C1656" s="606">
        <f t="shared" si="51"/>
        <v>522292</v>
      </c>
      <c r="D1656" s="607" t="s">
        <v>3921</v>
      </c>
      <c r="E1656" s="607" t="s">
        <v>3922</v>
      </c>
      <c r="F1656" s="607" t="s">
        <v>3923</v>
      </c>
      <c r="G1656" s="607" t="s">
        <v>3880</v>
      </c>
      <c r="H1656" s="607" t="s">
        <v>3880</v>
      </c>
      <c r="I1656" s="607" t="s">
        <v>3896</v>
      </c>
      <c r="J1656" s="608" t="str">
        <f t="shared" si="52"/>
        <v>Diversified Financials</v>
      </c>
      <c r="N1656" s="823">
        <v>452112</v>
      </c>
      <c r="O1656" s="823" t="s">
        <v>5996</v>
      </c>
      <c r="P1656" s="823"/>
      <c r="Q1656" s="823" t="s">
        <v>958</v>
      </c>
    </row>
    <row r="1657" spans="2:17" s="608" customFormat="1" x14ac:dyDescent="0.25">
      <c r="B1657" s="605" t="s">
        <v>3920</v>
      </c>
      <c r="C1657" s="606">
        <f t="shared" si="51"/>
        <v>522292</v>
      </c>
      <c r="D1657" s="607" t="s">
        <v>3921</v>
      </c>
      <c r="E1657" s="607" t="s">
        <v>3916</v>
      </c>
      <c r="F1657" s="607" t="s">
        <v>3917</v>
      </c>
      <c r="G1657" s="607" t="s">
        <v>3880</v>
      </c>
      <c r="H1657" s="607" t="s">
        <v>3880</v>
      </c>
      <c r="I1657" s="607" t="s">
        <v>3896</v>
      </c>
      <c r="J1657" s="608" t="str">
        <f t="shared" si="52"/>
        <v>Diversified Financials</v>
      </c>
      <c r="N1657" s="823">
        <v>452112</v>
      </c>
      <c r="O1657" s="823" t="s">
        <v>5997</v>
      </c>
      <c r="P1657" s="823"/>
      <c r="Q1657" s="823" t="s">
        <v>958</v>
      </c>
    </row>
    <row r="1658" spans="2:17" s="608" customFormat="1" x14ac:dyDescent="0.25">
      <c r="B1658" s="605" t="s">
        <v>3920</v>
      </c>
      <c r="C1658" s="606">
        <f t="shared" si="51"/>
        <v>522292</v>
      </c>
      <c r="D1658" s="607" t="s">
        <v>3921</v>
      </c>
      <c r="E1658" s="607" t="s">
        <v>3924</v>
      </c>
      <c r="F1658" s="607" t="s">
        <v>3925</v>
      </c>
      <c r="G1658" s="607" t="s">
        <v>3880</v>
      </c>
      <c r="H1658" s="607" t="s">
        <v>3880</v>
      </c>
      <c r="I1658" s="607" t="s">
        <v>3896</v>
      </c>
      <c r="J1658" s="608" t="str">
        <f t="shared" si="52"/>
        <v>Diversified Financials</v>
      </c>
      <c r="N1658" s="823">
        <v>452112</v>
      </c>
      <c r="O1658" s="823" t="s">
        <v>5998</v>
      </c>
      <c r="P1658" s="823"/>
      <c r="Q1658" s="823" t="s">
        <v>958</v>
      </c>
    </row>
    <row r="1659" spans="2:17" s="608" customFormat="1" x14ac:dyDescent="0.25">
      <c r="B1659" s="605" t="s">
        <v>3926</v>
      </c>
      <c r="C1659" s="606">
        <f t="shared" si="51"/>
        <v>522293</v>
      </c>
      <c r="D1659" s="607" t="s">
        <v>3927</v>
      </c>
      <c r="E1659" s="607" t="s">
        <v>3890</v>
      </c>
      <c r="F1659" s="607" t="s">
        <v>3891</v>
      </c>
      <c r="G1659" s="607" t="s">
        <v>3880</v>
      </c>
      <c r="H1659" s="607" t="s">
        <v>3880</v>
      </c>
      <c r="I1659" s="607" t="s">
        <v>3896</v>
      </c>
      <c r="J1659" s="608" t="str">
        <f t="shared" si="52"/>
        <v>Diversified Financials</v>
      </c>
      <c r="N1659" s="822">
        <v>452210</v>
      </c>
      <c r="O1659" s="822" t="s">
        <v>3498</v>
      </c>
      <c r="P1659" s="823">
        <v>5311</v>
      </c>
      <c r="Q1659" s="823" t="s">
        <v>3498</v>
      </c>
    </row>
    <row r="1660" spans="2:17" s="608" customFormat="1" x14ac:dyDescent="0.25">
      <c r="B1660" s="605" t="s">
        <v>3926</v>
      </c>
      <c r="C1660" s="606">
        <f t="shared" si="51"/>
        <v>522293</v>
      </c>
      <c r="D1660" s="607" t="s">
        <v>3927</v>
      </c>
      <c r="E1660" s="607" t="s">
        <v>3928</v>
      </c>
      <c r="F1660" s="607" t="s">
        <v>3929</v>
      </c>
      <c r="G1660" s="607" t="s">
        <v>3880</v>
      </c>
      <c r="H1660" s="607" t="s">
        <v>3880</v>
      </c>
      <c r="I1660" s="607" t="s">
        <v>3896</v>
      </c>
      <c r="J1660" s="608" t="str">
        <f t="shared" si="52"/>
        <v>Diversified Financials</v>
      </c>
      <c r="N1660" s="822">
        <v>452311</v>
      </c>
      <c r="O1660" s="822" t="s">
        <v>3501</v>
      </c>
      <c r="P1660" s="823">
        <v>5311</v>
      </c>
      <c r="Q1660" s="823" t="s">
        <v>3498</v>
      </c>
    </row>
    <row r="1661" spans="2:17" s="608" customFormat="1" x14ac:dyDescent="0.25">
      <c r="B1661" s="605" t="s">
        <v>3926</v>
      </c>
      <c r="C1661" s="606">
        <f t="shared" si="51"/>
        <v>522293</v>
      </c>
      <c r="D1661" s="607" t="s">
        <v>3927</v>
      </c>
      <c r="E1661" s="607" t="s">
        <v>3922</v>
      </c>
      <c r="F1661" s="607" t="s">
        <v>3923</v>
      </c>
      <c r="G1661" s="607" t="s">
        <v>3880</v>
      </c>
      <c r="H1661" s="607" t="s">
        <v>3880</v>
      </c>
      <c r="I1661" s="607" t="s">
        <v>3896</v>
      </c>
      <c r="J1661" s="608" t="str">
        <f t="shared" si="52"/>
        <v>Diversified Financials</v>
      </c>
      <c r="N1661" s="822">
        <v>452311</v>
      </c>
      <c r="O1661" s="822" t="s">
        <v>3501</v>
      </c>
      <c r="P1661" s="823">
        <v>5399</v>
      </c>
      <c r="Q1661" s="823" t="s">
        <v>3503</v>
      </c>
    </row>
    <row r="1662" spans="2:17" s="608" customFormat="1" x14ac:dyDescent="0.25">
      <c r="B1662" s="605" t="s">
        <v>3926</v>
      </c>
      <c r="C1662" s="606">
        <f t="shared" si="51"/>
        <v>522293</v>
      </c>
      <c r="D1662" s="607" t="s">
        <v>3927</v>
      </c>
      <c r="E1662" s="607" t="s">
        <v>3916</v>
      </c>
      <c r="F1662" s="607" t="s">
        <v>3917</v>
      </c>
      <c r="G1662" s="607" t="s">
        <v>3880</v>
      </c>
      <c r="H1662" s="607" t="s">
        <v>3880</v>
      </c>
      <c r="I1662" s="607" t="s">
        <v>3896</v>
      </c>
      <c r="J1662" s="608" t="str">
        <f t="shared" si="52"/>
        <v>Diversified Financials</v>
      </c>
      <c r="N1662" s="822">
        <v>452311</v>
      </c>
      <c r="O1662" s="822" t="s">
        <v>3501</v>
      </c>
      <c r="P1662" s="823">
        <v>5411</v>
      </c>
      <c r="Q1662" s="823" t="s">
        <v>3401</v>
      </c>
    </row>
    <row r="1663" spans="2:17" s="608" customFormat="1" x14ac:dyDescent="0.25">
      <c r="B1663" s="605" t="s">
        <v>3930</v>
      </c>
      <c r="C1663" s="606">
        <f t="shared" si="51"/>
        <v>522294</v>
      </c>
      <c r="D1663" s="607" t="s">
        <v>3931</v>
      </c>
      <c r="E1663" s="607" t="s">
        <v>3922</v>
      </c>
      <c r="F1663" s="607" t="s">
        <v>3923</v>
      </c>
      <c r="G1663" s="607" t="s">
        <v>3880</v>
      </c>
      <c r="H1663" s="607" t="s">
        <v>3880</v>
      </c>
      <c r="I1663" s="607" t="s">
        <v>3896</v>
      </c>
      <c r="J1663" s="608" t="str">
        <f t="shared" si="52"/>
        <v>Diversified Financials</v>
      </c>
      <c r="N1663" s="822">
        <v>452319</v>
      </c>
      <c r="O1663" s="822" t="s">
        <v>3505</v>
      </c>
      <c r="P1663" s="823">
        <v>5331</v>
      </c>
      <c r="Q1663" s="823" t="s">
        <v>3507</v>
      </c>
    </row>
    <row r="1664" spans="2:17" s="608" customFormat="1" x14ac:dyDescent="0.25">
      <c r="B1664" s="605" t="s">
        <v>3930</v>
      </c>
      <c r="C1664" s="606">
        <f t="shared" si="51"/>
        <v>522294</v>
      </c>
      <c r="D1664" s="607" t="s">
        <v>3931</v>
      </c>
      <c r="E1664" s="607" t="s">
        <v>3916</v>
      </c>
      <c r="F1664" s="607" t="s">
        <v>3917</v>
      </c>
      <c r="G1664" s="607" t="s">
        <v>3880</v>
      </c>
      <c r="H1664" s="607" t="s">
        <v>3880</v>
      </c>
      <c r="I1664" s="607" t="s">
        <v>3896</v>
      </c>
      <c r="J1664" s="608" t="str">
        <f t="shared" si="52"/>
        <v>Diversified Financials</v>
      </c>
      <c r="N1664" s="822">
        <v>452319</v>
      </c>
      <c r="O1664" s="822" t="s">
        <v>3505</v>
      </c>
      <c r="P1664" s="823">
        <v>5399</v>
      </c>
      <c r="Q1664" s="823" t="s">
        <v>3503</v>
      </c>
    </row>
    <row r="1665" spans="2:17" s="608" customFormat="1" x14ac:dyDescent="0.25">
      <c r="B1665" s="605" t="s">
        <v>3932</v>
      </c>
      <c r="C1665" s="606">
        <f t="shared" si="51"/>
        <v>522298</v>
      </c>
      <c r="D1665" s="607" t="s">
        <v>3933</v>
      </c>
      <c r="E1665" s="607" t="s">
        <v>3521</v>
      </c>
      <c r="F1665" s="607" t="s">
        <v>3520</v>
      </c>
      <c r="G1665" s="607" t="s">
        <v>3880</v>
      </c>
      <c r="H1665" s="607" t="s">
        <v>3880</v>
      </c>
      <c r="I1665" s="607" t="s">
        <v>3896</v>
      </c>
      <c r="J1665" s="608" t="str">
        <f t="shared" si="52"/>
        <v>Diversified Financials</v>
      </c>
      <c r="N1665" s="822">
        <v>452319</v>
      </c>
      <c r="O1665" s="822" t="s">
        <v>3505</v>
      </c>
      <c r="P1665" s="823">
        <v>5531</v>
      </c>
      <c r="Q1665" s="823" t="s">
        <v>3349</v>
      </c>
    </row>
    <row r="1666" spans="2:17" s="608" customFormat="1" x14ac:dyDescent="0.25">
      <c r="B1666" s="605" t="s">
        <v>3932</v>
      </c>
      <c r="C1666" s="606">
        <f t="shared" ref="C1666:C1729" si="53">B1666+0</f>
        <v>522298</v>
      </c>
      <c r="D1666" s="607" t="s">
        <v>3933</v>
      </c>
      <c r="E1666" s="607" t="s">
        <v>3934</v>
      </c>
      <c r="F1666" s="607" t="s">
        <v>3935</v>
      </c>
      <c r="G1666" s="607" t="s">
        <v>3880</v>
      </c>
      <c r="H1666" s="607" t="s">
        <v>3880</v>
      </c>
      <c r="I1666" s="607" t="s">
        <v>3896</v>
      </c>
      <c r="J1666" s="608" t="str">
        <f t="shared" si="52"/>
        <v>Diversified Financials</v>
      </c>
      <c r="N1666" s="823">
        <v>452910</v>
      </c>
      <c r="O1666" s="823" t="s">
        <v>3501</v>
      </c>
      <c r="P1666" s="823"/>
      <c r="Q1666" s="823" t="s">
        <v>958</v>
      </c>
    </row>
    <row r="1667" spans="2:17" s="608" customFormat="1" x14ac:dyDescent="0.25">
      <c r="B1667" s="605" t="s">
        <v>3932</v>
      </c>
      <c r="C1667" s="606">
        <f t="shared" si="53"/>
        <v>522298</v>
      </c>
      <c r="D1667" s="607" t="s">
        <v>3933</v>
      </c>
      <c r="E1667" s="607" t="s">
        <v>3890</v>
      </c>
      <c r="F1667" s="607" t="s">
        <v>3891</v>
      </c>
      <c r="G1667" s="607" t="s">
        <v>3880</v>
      </c>
      <c r="H1667" s="607" t="s">
        <v>3880</v>
      </c>
      <c r="I1667" s="607" t="s">
        <v>3896</v>
      </c>
      <c r="J1667" s="608" t="str">
        <f t="shared" si="52"/>
        <v>Diversified Financials</v>
      </c>
      <c r="N1667" s="823">
        <v>452990</v>
      </c>
      <c r="O1667" s="823" t="s">
        <v>3505</v>
      </c>
      <c r="P1667" s="823"/>
      <c r="Q1667" s="823" t="s">
        <v>958</v>
      </c>
    </row>
    <row r="1668" spans="2:17" s="608" customFormat="1" x14ac:dyDescent="0.25">
      <c r="B1668" s="605" t="s">
        <v>3932</v>
      </c>
      <c r="C1668" s="606">
        <f t="shared" si="53"/>
        <v>522298</v>
      </c>
      <c r="D1668" s="607" t="s">
        <v>3933</v>
      </c>
      <c r="E1668" s="607" t="s">
        <v>3928</v>
      </c>
      <c r="F1668" s="607" t="s">
        <v>3929</v>
      </c>
      <c r="G1668" s="607" t="s">
        <v>3880</v>
      </c>
      <c r="H1668" s="607" t="s">
        <v>3880</v>
      </c>
      <c r="I1668" s="607" t="s">
        <v>3896</v>
      </c>
      <c r="J1668" s="608" t="str">
        <f t="shared" si="52"/>
        <v>Diversified Financials</v>
      </c>
      <c r="N1668" s="822">
        <v>453110</v>
      </c>
      <c r="O1668" s="822" t="s">
        <v>3509</v>
      </c>
      <c r="P1668" s="823">
        <v>5992</v>
      </c>
      <c r="Q1668" s="823" t="s">
        <v>3509</v>
      </c>
    </row>
    <row r="1669" spans="2:17" s="608" customFormat="1" x14ac:dyDescent="0.25">
      <c r="B1669" s="605" t="s">
        <v>3932</v>
      </c>
      <c r="C1669" s="606">
        <f t="shared" si="53"/>
        <v>522298</v>
      </c>
      <c r="D1669" s="607" t="s">
        <v>3933</v>
      </c>
      <c r="E1669" s="607" t="s">
        <v>3922</v>
      </c>
      <c r="F1669" s="607" t="s">
        <v>3923</v>
      </c>
      <c r="G1669" s="607" t="s">
        <v>3880</v>
      </c>
      <c r="H1669" s="607" t="s">
        <v>3880</v>
      </c>
      <c r="I1669" s="607" t="s">
        <v>3896</v>
      </c>
      <c r="J1669" s="608" t="str">
        <f t="shared" si="52"/>
        <v>Diversified Financials</v>
      </c>
      <c r="N1669" s="822">
        <v>453210</v>
      </c>
      <c r="O1669" s="822" t="s">
        <v>3512</v>
      </c>
      <c r="P1669" s="823">
        <v>5044</v>
      </c>
      <c r="Q1669" s="823" t="s">
        <v>3100</v>
      </c>
    </row>
    <row r="1670" spans="2:17" s="608" customFormat="1" x14ac:dyDescent="0.25">
      <c r="B1670" s="605" t="s">
        <v>3932</v>
      </c>
      <c r="C1670" s="606">
        <f t="shared" si="53"/>
        <v>522298</v>
      </c>
      <c r="D1670" s="607" t="s">
        <v>3933</v>
      </c>
      <c r="E1670" s="607" t="s">
        <v>3909</v>
      </c>
      <c r="F1670" s="607" t="s">
        <v>3910</v>
      </c>
      <c r="G1670" s="607" t="s">
        <v>3880</v>
      </c>
      <c r="H1670" s="607" t="s">
        <v>3880</v>
      </c>
      <c r="I1670" s="607" t="s">
        <v>3896</v>
      </c>
      <c r="J1670" s="608" t="str">
        <f t="shared" si="52"/>
        <v>Diversified Financials</v>
      </c>
      <c r="N1670" s="822">
        <v>453210</v>
      </c>
      <c r="O1670" s="822" t="s">
        <v>3512</v>
      </c>
      <c r="P1670" s="823">
        <v>5049</v>
      </c>
      <c r="Q1670" s="823" t="s">
        <v>3119</v>
      </c>
    </row>
    <row r="1671" spans="2:17" s="608" customFormat="1" x14ac:dyDescent="0.25">
      <c r="B1671" s="605" t="s">
        <v>3932</v>
      </c>
      <c r="C1671" s="606">
        <f t="shared" si="53"/>
        <v>522298</v>
      </c>
      <c r="D1671" s="607" t="s">
        <v>3933</v>
      </c>
      <c r="E1671" s="607" t="s">
        <v>3911</v>
      </c>
      <c r="F1671" s="607" t="s">
        <v>3912</v>
      </c>
      <c r="G1671" s="607" t="s">
        <v>3880</v>
      </c>
      <c r="H1671" s="607" t="s">
        <v>3880</v>
      </c>
      <c r="I1671" s="607" t="s">
        <v>3896</v>
      </c>
      <c r="J1671" s="608" t="str">
        <f t="shared" si="52"/>
        <v>Diversified Financials</v>
      </c>
      <c r="N1671" s="822">
        <v>453210</v>
      </c>
      <c r="O1671" s="822" t="s">
        <v>3512</v>
      </c>
      <c r="P1671" s="823">
        <v>5111</v>
      </c>
      <c r="Q1671" s="823" t="s">
        <v>3209</v>
      </c>
    </row>
    <row r="1672" spans="2:17" s="608" customFormat="1" x14ac:dyDescent="0.25">
      <c r="B1672" s="605" t="s">
        <v>3932</v>
      </c>
      <c r="C1672" s="606">
        <f t="shared" si="53"/>
        <v>522298</v>
      </c>
      <c r="D1672" s="607" t="s">
        <v>3933</v>
      </c>
      <c r="E1672" s="607" t="s">
        <v>3916</v>
      </c>
      <c r="F1672" s="607" t="s">
        <v>3917</v>
      </c>
      <c r="G1672" s="607" t="s">
        <v>3880</v>
      </c>
      <c r="H1672" s="607" t="s">
        <v>3880</v>
      </c>
      <c r="I1672" s="607" t="s">
        <v>3896</v>
      </c>
      <c r="J1672" s="608" t="str">
        <f t="shared" si="52"/>
        <v>Diversified Financials</v>
      </c>
      <c r="N1672" s="822">
        <v>453210</v>
      </c>
      <c r="O1672" s="822" t="s">
        <v>3512</v>
      </c>
      <c r="P1672" s="823">
        <v>5112</v>
      </c>
      <c r="Q1672" s="823" t="s">
        <v>3213</v>
      </c>
    </row>
    <row r="1673" spans="2:17" s="608" customFormat="1" x14ac:dyDescent="0.25">
      <c r="B1673" s="605" t="s">
        <v>3936</v>
      </c>
      <c r="C1673" s="606">
        <f t="shared" si="53"/>
        <v>522310</v>
      </c>
      <c r="D1673" s="607" t="s">
        <v>3937</v>
      </c>
      <c r="E1673" s="607" t="s">
        <v>3938</v>
      </c>
      <c r="F1673" s="607" t="s">
        <v>3939</v>
      </c>
      <c r="G1673" s="607" t="s">
        <v>3880</v>
      </c>
      <c r="H1673" s="607" t="s">
        <v>3880</v>
      </c>
      <c r="I1673" s="607" t="s">
        <v>3881</v>
      </c>
      <c r="J1673" s="608" t="str">
        <f t="shared" si="52"/>
        <v>Commercial Bank</v>
      </c>
      <c r="N1673" s="822">
        <v>453210</v>
      </c>
      <c r="O1673" s="822" t="s">
        <v>3512</v>
      </c>
      <c r="P1673" s="823">
        <v>5943</v>
      </c>
      <c r="Q1673" s="823" t="s">
        <v>3514</v>
      </c>
    </row>
    <row r="1674" spans="2:17" s="608" customFormat="1" x14ac:dyDescent="0.25">
      <c r="B1674" s="605" t="s">
        <v>3940</v>
      </c>
      <c r="C1674" s="606">
        <f t="shared" si="53"/>
        <v>522320</v>
      </c>
      <c r="D1674" s="607" t="s">
        <v>3941</v>
      </c>
      <c r="E1674" s="607" t="s">
        <v>3942</v>
      </c>
      <c r="F1674" s="607" t="s">
        <v>3943</v>
      </c>
      <c r="G1674" s="607" t="s">
        <v>3880</v>
      </c>
      <c r="H1674" s="607" t="s">
        <v>3880</v>
      </c>
      <c r="I1674" s="607" t="s">
        <v>3896</v>
      </c>
      <c r="J1674" s="608" t="str">
        <f t="shared" si="52"/>
        <v>Diversified Financials</v>
      </c>
      <c r="N1674" s="822">
        <v>453220</v>
      </c>
      <c r="O1674" s="822" t="s">
        <v>3516</v>
      </c>
      <c r="P1674" s="823">
        <v>5199</v>
      </c>
      <c r="Q1674" s="823" t="s">
        <v>3225</v>
      </c>
    </row>
    <row r="1675" spans="2:17" s="615" customFormat="1" x14ac:dyDescent="0.25">
      <c r="B1675" s="612" t="s">
        <v>3940</v>
      </c>
      <c r="C1675" s="613">
        <f t="shared" si="53"/>
        <v>522320</v>
      </c>
      <c r="D1675" s="614" t="s">
        <v>3941</v>
      </c>
      <c r="E1675" s="614" t="s">
        <v>3911</v>
      </c>
      <c r="F1675" s="614" t="s">
        <v>3912</v>
      </c>
      <c r="G1675" s="614" t="s">
        <v>3880</v>
      </c>
      <c r="H1675" s="614" t="s">
        <v>3880</v>
      </c>
      <c r="I1675" s="614" t="s">
        <v>3896</v>
      </c>
      <c r="J1675" s="615" t="str">
        <f t="shared" si="52"/>
        <v>Diversified Financials</v>
      </c>
      <c r="N1675" s="822">
        <v>453220</v>
      </c>
      <c r="O1675" s="822" t="s">
        <v>3516</v>
      </c>
      <c r="P1675" s="823">
        <v>5947</v>
      </c>
      <c r="Q1675" s="823" t="s">
        <v>3518</v>
      </c>
    </row>
    <row r="1676" spans="2:17" s="615" customFormat="1" x14ac:dyDescent="0.25">
      <c r="B1676" s="612" t="s">
        <v>3940</v>
      </c>
      <c r="C1676" s="613">
        <f t="shared" si="53"/>
        <v>522320</v>
      </c>
      <c r="D1676" s="614" t="s">
        <v>3941</v>
      </c>
      <c r="E1676" s="614" t="s">
        <v>1588</v>
      </c>
      <c r="F1676" s="614" t="s">
        <v>1589</v>
      </c>
      <c r="G1676" s="614" t="s">
        <v>3880</v>
      </c>
      <c r="H1676" s="614" t="s">
        <v>3880</v>
      </c>
      <c r="I1676" s="614" t="s">
        <v>3896</v>
      </c>
      <c r="J1676" s="615" t="str">
        <f t="shared" si="52"/>
        <v>Diversified Financials</v>
      </c>
      <c r="N1676" s="822">
        <v>453310</v>
      </c>
      <c r="O1676" s="822" t="s">
        <v>3520</v>
      </c>
      <c r="P1676" s="823">
        <v>5932</v>
      </c>
      <c r="Q1676" s="823" t="s">
        <v>3520</v>
      </c>
    </row>
    <row r="1677" spans="2:17" s="615" customFormat="1" x14ac:dyDescent="0.25">
      <c r="B1677" s="612" t="s">
        <v>3944</v>
      </c>
      <c r="C1677" s="613">
        <f t="shared" si="53"/>
        <v>522390</v>
      </c>
      <c r="D1677" s="614" t="s">
        <v>3945</v>
      </c>
      <c r="E1677" s="614" t="s">
        <v>3942</v>
      </c>
      <c r="F1677" s="614" t="s">
        <v>3943</v>
      </c>
      <c r="G1677" s="614" t="s">
        <v>3880</v>
      </c>
      <c r="H1677" s="614" t="s">
        <v>3880</v>
      </c>
      <c r="I1677" s="614" t="s">
        <v>3896</v>
      </c>
      <c r="J1677" s="615" t="str">
        <f t="shared" si="52"/>
        <v>Diversified Financials</v>
      </c>
      <c r="N1677" s="822">
        <v>453910</v>
      </c>
      <c r="O1677" s="822" t="s">
        <v>3523</v>
      </c>
      <c r="P1677" s="823">
        <v>5149</v>
      </c>
      <c r="Q1677" s="823" t="s">
        <v>1563</v>
      </c>
    </row>
    <row r="1678" spans="2:17" s="615" customFormat="1" x14ac:dyDescent="0.25">
      <c r="B1678" s="612" t="s">
        <v>3944</v>
      </c>
      <c r="C1678" s="613">
        <f t="shared" si="53"/>
        <v>522390</v>
      </c>
      <c r="D1678" s="614" t="s">
        <v>3945</v>
      </c>
      <c r="E1678" s="614" t="s">
        <v>3924</v>
      </c>
      <c r="F1678" s="614" t="s">
        <v>3925</v>
      </c>
      <c r="G1678" s="614" t="s">
        <v>3880</v>
      </c>
      <c r="H1678" s="614" t="s">
        <v>3880</v>
      </c>
      <c r="I1678" s="614" t="s">
        <v>3896</v>
      </c>
      <c r="J1678" s="615" t="str">
        <f t="shared" si="52"/>
        <v>Diversified Financials</v>
      </c>
      <c r="N1678" s="822">
        <v>453910</v>
      </c>
      <c r="O1678" s="822" t="s">
        <v>3523</v>
      </c>
      <c r="P1678" s="823">
        <v>5199</v>
      </c>
      <c r="Q1678" s="823" t="s">
        <v>3225</v>
      </c>
    </row>
    <row r="1679" spans="2:17" s="615" customFormat="1" x14ac:dyDescent="0.25">
      <c r="B1679" s="612" t="s">
        <v>3946</v>
      </c>
      <c r="C1679" s="613">
        <f t="shared" si="53"/>
        <v>523110</v>
      </c>
      <c r="D1679" s="614" t="s">
        <v>3947</v>
      </c>
      <c r="E1679" s="614" t="s">
        <v>3948</v>
      </c>
      <c r="F1679" s="614" t="s">
        <v>3949</v>
      </c>
      <c r="G1679" s="614" t="s">
        <v>3880</v>
      </c>
      <c r="H1679" s="614" t="s">
        <v>3880</v>
      </c>
      <c r="I1679" s="614" t="s">
        <v>3896</v>
      </c>
      <c r="J1679" s="615" t="str">
        <f t="shared" ref="J1679:J1742" si="54">PROPER(I1679)</f>
        <v>Diversified Financials</v>
      </c>
      <c r="N1679" s="822">
        <v>453910</v>
      </c>
      <c r="O1679" s="822" t="s">
        <v>3523</v>
      </c>
      <c r="P1679" s="823">
        <v>5999</v>
      </c>
      <c r="Q1679" s="823" t="s">
        <v>2993</v>
      </c>
    </row>
    <row r="1680" spans="2:17" s="615" customFormat="1" x14ac:dyDescent="0.25">
      <c r="B1680" s="612" t="s">
        <v>3950</v>
      </c>
      <c r="C1680" s="613">
        <f t="shared" si="53"/>
        <v>523120</v>
      </c>
      <c r="D1680" s="614" t="s">
        <v>3951</v>
      </c>
      <c r="E1680" s="614" t="s">
        <v>3948</v>
      </c>
      <c r="F1680" s="614" t="s">
        <v>3949</v>
      </c>
      <c r="G1680" s="614" t="s">
        <v>3880</v>
      </c>
      <c r="H1680" s="614" t="s">
        <v>3880</v>
      </c>
      <c r="I1680" s="614" t="s">
        <v>3896</v>
      </c>
      <c r="J1680" s="615" t="str">
        <f t="shared" si="54"/>
        <v>Diversified Financials</v>
      </c>
      <c r="N1680" s="822">
        <v>453920</v>
      </c>
      <c r="O1680" s="822" t="s">
        <v>3525</v>
      </c>
      <c r="P1680" s="823">
        <v>5999</v>
      </c>
      <c r="Q1680" s="823" t="s">
        <v>2993</v>
      </c>
    </row>
    <row r="1681" spans="2:17" s="615" customFormat="1" x14ac:dyDescent="0.25">
      <c r="B1681" s="612" t="s">
        <v>3952</v>
      </c>
      <c r="C1681" s="613">
        <f t="shared" si="53"/>
        <v>523130</v>
      </c>
      <c r="D1681" s="614" t="s">
        <v>3953</v>
      </c>
      <c r="E1681" s="614" t="s">
        <v>3942</v>
      </c>
      <c r="F1681" s="614" t="s">
        <v>3943</v>
      </c>
      <c r="G1681" s="614" t="s">
        <v>3880</v>
      </c>
      <c r="H1681" s="614" t="s">
        <v>3880</v>
      </c>
      <c r="I1681" s="614" t="s">
        <v>3896</v>
      </c>
      <c r="J1681" s="615" t="str">
        <f t="shared" si="54"/>
        <v>Diversified Financials</v>
      </c>
      <c r="N1681" s="822">
        <v>453930</v>
      </c>
      <c r="O1681" s="822" t="s">
        <v>3527</v>
      </c>
      <c r="P1681" s="823">
        <v>5271</v>
      </c>
      <c r="Q1681" s="823" t="s">
        <v>3529</v>
      </c>
    </row>
    <row r="1682" spans="2:17" s="615" customFormat="1" ht="18" x14ac:dyDescent="0.3">
      <c r="B1682" s="612" t="s">
        <v>3952</v>
      </c>
      <c r="C1682" s="613">
        <f t="shared" si="53"/>
        <v>523130</v>
      </c>
      <c r="D1682" s="614" t="s">
        <v>3953</v>
      </c>
      <c r="E1682" s="614" t="s">
        <v>3954</v>
      </c>
      <c r="F1682" s="614" t="s">
        <v>3955</v>
      </c>
      <c r="G1682" s="614" t="s">
        <v>3880</v>
      </c>
      <c r="H1682" s="614" t="s">
        <v>3880</v>
      </c>
      <c r="I1682" s="614" t="s">
        <v>3896</v>
      </c>
      <c r="J1682" s="615" t="str">
        <f t="shared" si="54"/>
        <v>Diversified Financials</v>
      </c>
      <c r="N1682" s="822">
        <v>453990</v>
      </c>
      <c r="O1682" s="824" t="s">
        <v>5999</v>
      </c>
      <c r="P1682" s="823"/>
      <c r="Q1682" s="823" t="s">
        <v>958</v>
      </c>
    </row>
    <row r="1683" spans="2:17" s="615" customFormat="1" x14ac:dyDescent="0.25">
      <c r="B1683" s="612" t="s">
        <v>3952</v>
      </c>
      <c r="C1683" s="613">
        <f t="shared" si="53"/>
        <v>523130</v>
      </c>
      <c r="D1683" s="614" t="s">
        <v>3953</v>
      </c>
      <c r="E1683" s="614" t="s">
        <v>3956</v>
      </c>
      <c r="F1683" s="614" t="s">
        <v>3957</v>
      </c>
      <c r="G1683" s="614" t="s">
        <v>3880</v>
      </c>
      <c r="H1683" s="614" t="s">
        <v>3880</v>
      </c>
      <c r="I1683" s="614" t="s">
        <v>3896</v>
      </c>
      <c r="J1683" s="615" t="str">
        <f t="shared" si="54"/>
        <v>Diversified Financials</v>
      </c>
      <c r="N1683" s="822">
        <v>453991</v>
      </c>
      <c r="O1683" s="822" t="s">
        <v>3531</v>
      </c>
      <c r="P1683" s="823">
        <v>5194</v>
      </c>
      <c r="Q1683" s="823" t="s">
        <v>3316</v>
      </c>
    </row>
    <row r="1684" spans="2:17" s="615" customFormat="1" x14ac:dyDescent="0.25">
      <c r="B1684" s="612" t="s">
        <v>3958</v>
      </c>
      <c r="C1684" s="613">
        <f t="shared" si="53"/>
        <v>523140</v>
      </c>
      <c r="D1684" s="614" t="s">
        <v>3959</v>
      </c>
      <c r="E1684" s="614" t="s">
        <v>3954</v>
      </c>
      <c r="F1684" s="614" t="s">
        <v>3955</v>
      </c>
      <c r="G1684" s="614" t="s">
        <v>3880</v>
      </c>
      <c r="H1684" s="614" t="s">
        <v>3880</v>
      </c>
      <c r="I1684" s="614" t="s">
        <v>3896</v>
      </c>
      <c r="J1684" s="615" t="str">
        <f t="shared" si="54"/>
        <v>Diversified Financials</v>
      </c>
      <c r="N1684" s="822">
        <v>453991</v>
      </c>
      <c r="O1684" s="822" t="s">
        <v>3531</v>
      </c>
      <c r="P1684" s="823">
        <v>5199</v>
      </c>
      <c r="Q1684" s="823" t="s">
        <v>3225</v>
      </c>
    </row>
    <row r="1685" spans="2:17" s="615" customFormat="1" x14ac:dyDescent="0.25">
      <c r="B1685" s="612" t="s">
        <v>3960</v>
      </c>
      <c r="C1685" s="613">
        <f t="shared" si="53"/>
        <v>523210</v>
      </c>
      <c r="D1685" s="614" t="s">
        <v>3961</v>
      </c>
      <c r="E1685" s="614" t="s">
        <v>3962</v>
      </c>
      <c r="F1685" s="614" t="s">
        <v>3963</v>
      </c>
      <c r="G1685" s="614" t="s">
        <v>3880</v>
      </c>
      <c r="H1685" s="614" t="s">
        <v>3880</v>
      </c>
      <c r="I1685" s="614" t="s">
        <v>3896</v>
      </c>
      <c r="J1685" s="615" t="str">
        <f t="shared" si="54"/>
        <v>Diversified Financials</v>
      </c>
      <c r="N1685" s="822">
        <v>453991</v>
      </c>
      <c r="O1685" s="822" t="s">
        <v>3531</v>
      </c>
      <c r="P1685" s="823">
        <v>5993</v>
      </c>
      <c r="Q1685" s="823" t="s">
        <v>3533</v>
      </c>
    </row>
    <row r="1686" spans="2:17" s="615" customFormat="1" x14ac:dyDescent="0.25">
      <c r="B1686" s="612" t="s">
        <v>3964</v>
      </c>
      <c r="C1686" s="613">
        <f t="shared" si="53"/>
        <v>523910</v>
      </c>
      <c r="D1686" s="614" t="s">
        <v>3965</v>
      </c>
      <c r="E1686" s="614" t="s">
        <v>3911</v>
      </c>
      <c r="F1686" s="614" t="s">
        <v>3912</v>
      </c>
      <c r="G1686" s="614" t="s">
        <v>3880</v>
      </c>
      <c r="H1686" s="614" t="s">
        <v>3880</v>
      </c>
      <c r="I1686" s="614" t="s">
        <v>3896</v>
      </c>
      <c r="J1686" s="615" t="str">
        <f t="shared" si="54"/>
        <v>Diversified Financials</v>
      </c>
      <c r="N1686" s="822">
        <v>453998</v>
      </c>
      <c r="O1686" s="822" t="s">
        <v>3535</v>
      </c>
      <c r="P1686" s="823">
        <v>5085</v>
      </c>
      <c r="Q1686" s="823" t="s">
        <v>3169</v>
      </c>
    </row>
    <row r="1687" spans="2:17" s="615" customFormat="1" x14ac:dyDescent="0.25">
      <c r="B1687" s="612" t="s">
        <v>3964</v>
      </c>
      <c r="C1687" s="613">
        <f t="shared" si="53"/>
        <v>523910</v>
      </c>
      <c r="D1687" s="614" t="s">
        <v>3965</v>
      </c>
      <c r="E1687" s="614" t="s">
        <v>3948</v>
      </c>
      <c r="F1687" s="614" t="s">
        <v>3949</v>
      </c>
      <c r="G1687" s="614" t="s">
        <v>3880</v>
      </c>
      <c r="H1687" s="614" t="s">
        <v>3880</v>
      </c>
      <c r="I1687" s="614" t="s">
        <v>3896</v>
      </c>
      <c r="J1687" s="615" t="str">
        <f t="shared" si="54"/>
        <v>Diversified Financials</v>
      </c>
      <c r="N1687" s="822">
        <v>453998</v>
      </c>
      <c r="O1687" s="822" t="s">
        <v>3535</v>
      </c>
      <c r="P1687" s="823">
        <v>5113</v>
      </c>
      <c r="Q1687" s="823" t="s">
        <v>3217</v>
      </c>
    </row>
    <row r="1688" spans="2:17" s="608" customFormat="1" x14ac:dyDescent="0.25">
      <c r="B1688" s="605" t="s">
        <v>3964</v>
      </c>
      <c r="C1688" s="606">
        <f t="shared" si="53"/>
        <v>523910</v>
      </c>
      <c r="D1688" s="607" t="s">
        <v>3965</v>
      </c>
      <c r="E1688" s="607" t="s">
        <v>3966</v>
      </c>
      <c r="F1688" s="607" t="s">
        <v>3967</v>
      </c>
      <c r="G1688" s="607" t="s">
        <v>3880</v>
      </c>
      <c r="H1688" s="607" t="s">
        <v>3880</v>
      </c>
      <c r="I1688" s="607" t="s">
        <v>3896</v>
      </c>
      <c r="J1688" s="608" t="str">
        <f t="shared" si="54"/>
        <v>Diversified Financials</v>
      </c>
      <c r="N1688" s="822">
        <v>453998</v>
      </c>
      <c r="O1688" s="822" t="s">
        <v>3535</v>
      </c>
      <c r="P1688" s="823">
        <v>5162</v>
      </c>
      <c r="Q1688" s="823" t="s">
        <v>3281</v>
      </c>
    </row>
    <row r="1689" spans="2:17" s="608" customFormat="1" x14ac:dyDescent="0.25">
      <c r="B1689" s="605" t="s">
        <v>3964</v>
      </c>
      <c r="C1689" s="606">
        <f t="shared" si="53"/>
        <v>523910</v>
      </c>
      <c r="D1689" s="607" t="s">
        <v>3965</v>
      </c>
      <c r="E1689" s="607" t="s">
        <v>3956</v>
      </c>
      <c r="F1689" s="607" t="s">
        <v>3957</v>
      </c>
      <c r="G1689" s="607" t="s">
        <v>3880</v>
      </c>
      <c r="H1689" s="607" t="s">
        <v>3880</v>
      </c>
      <c r="I1689" s="607" t="s">
        <v>3896</v>
      </c>
      <c r="J1689" s="608" t="str">
        <f t="shared" si="54"/>
        <v>Diversified Financials</v>
      </c>
      <c r="N1689" s="822">
        <v>453998</v>
      </c>
      <c r="O1689" s="822" t="s">
        <v>3535</v>
      </c>
      <c r="P1689" s="823">
        <v>5999</v>
      </c>
      <c r="Q1689" s="823" t="s">
        <v>2993</v>
      </c>
    </row>
    <row r="1690" spans="2:17" s="608" customFormat="1" x14ac:dyDescent="0.25">
      <c r="B1690" s="605" t="s">
        <v>3968</v>
      </c>
      <c r="C1690" s="606">
        <f t="shared" si="53"/>
        <v>523920</v>
      </c>
      <c r="D1690" s="607" t="s">
        <v>3969</v>
      </c>
      <c r="E1690" s="607" t="s">
        <v>3970</v>
      </c>
      <c r="F1690" s="607" t="s">
        <v>3971</v>
      </c>
      <c r="G1690" s="607" t="s">
        <v>958</v>
      </c>
      <c r="H1690" s="607" t="s">
        <v>3972</v>
      </c>
      <c r="I1690" s="607" t="s">
        <v>3973</v>
      </c>
      <c r="J1690" s="608" t="str">
        <f t="shared" si="54"/>
        <v>Investment Management</v>
      </c>
      <c r="N1690" s="822">
        <v>454110</v>
      </c>
      <c r="O1690" s="822" t="s">
        <v>3537</v>
      </c>
      <c r="P1690" s="823">
        <v>5961</v>
      </c>
      <c r="Q1690" s="823" t="s">
        <v>3539</v>
      </c>
    </row>
    <row r="1691" spans="2:17" s="608" customFormat="1" x14ac:dyDescent="0.25">
      <c r="B1691" s="605" t="s">
        <v>3968</v>
      </c>
      <c r="C1691" s="606">
        <f t="shared" si="53"/>
        <v>523920</v>
      </c>
      <c r="D1691" s="607" t="s">
        <v>3969</v>
      </c>
      <c r="E1691" s="607" t="s">
        <v>3974</v>
      </c>
      <c r="F1691" s="607" t="s">
        <v>3975</v>
      </c>
      <c r="G1691" s="607" t="s">
        <v>958</v>
      </c>
      <c r="H1691" s="607" t="s">
        <v>3972</v>
      </c>
      <c r="I1691" s="607" t="s">
        <v>3973</v>
      </c>
      <c r="J1691" s="608" t="str">
        <f t="shared" si="54"/>
        <v>Investment Management</v>
      </c>
      <c r="N1691" s="823">
        <v>454111</v>
      </c>
      <c r="O1691" s="823" t="s">
        <v>6000</v>
      </c>
      <c r="P1691" s="823"/>
      <c r="Q1691" s="823" t="s">
        <v>958</v>
      </c>
    </row>
    <row r="1692" spans="2:17" s="608" customFormat="1" x14ac:dyDescent="0.25">
      <c r="B1692" s="605" t="s">
        <v>3968</v>
      </c>
      <c r="C1692" s="606">
        <f t="shared" si="53"/>
        <v>523920</v>
      </c>
      <c r="D1692" s="607" t="s">
        <v>3969</v>
      </c>
      <c r="E1692" s="607" t="s">
        <v>3976</v>
      </c>
      <c r="F1692" s="607" t="s">
        <v>3977</v>
      </c>
      <c r="G1692" s="607" t="s">
        <v>958</v>
      </c>
      <c r="H1692" s="607" t="s">
        <v>3972</v>
      </c>
      <c r="I1692" s="607" t="s">
        <v>3973</v>
      </c>
      <c r="J1692" s="608" t="str">
        <f t="shared" si="54"/>
        <v>Investment Management</v>
      </c>
      <c r="N1692" s="823">
        <v>454112</v>
      </c>
      <c r="O1692" s="823" t="s">
        <v>6001</v>
      </c>
      <c r="P1692" s="823"/>
      <c r="Q1692" s="823" t="s">
        <v>958</v>
      </c>
    </row>
    <row r="1693" spans="2:17" s="608" customFormat="1" x14ac:dyDescent="0.25">
      <c r="B1693" s="605" t="s">
        <v>3968</v>
      </c>
      <c r="C1693" s="606">
        <f t="shared" si="53"/>
        <v>523920</v>
      </c>
      <c r="D1693" s="607" t="s">
        <v>3969</v>
      </c>
      <c r="E1693" s="607" t="s">
        <v>3956</v>
      </c>
      <c r="F1693" s="607" t="s">
        <v>3957</v>
      </c>
      <c r="G1693" s="607" t="s">
        <v>958</v>
      </c>
      <c r="H1693" s="607" t="s">
        <v>3972</v>
      </c>
      <c r="I1693" s="607" t="s">
        <v>3973</v>
      </c>
      <c r="J1693" s="608" t="str">
        <f t="shared" si="54"/>
        <v>Investment Management</v>
      </c>
      <c r="N1693" s="823">
        <v>454113</v>
      </c>
      <c r="O1693" s="823" t="s">
        <v>6002</v>
      </c>
      <c r="P1693" s="823"/>
      <c r="Q1693" s="823" t="s">
        <v>958</v>
      </c>
    </row>
    <row r="1694" spans="2:17" s="608" customFormat="1" x14ac:dyDescent="0.25">
      <c r="B1694" s="605" t="s">
        <v>3978</v>
      </c>
      <c r="C1694" s="606">
        <f t="shared" si="53"/>
        <v>523930</v>
      </c>
      <c r="D1694" s="607" t="s">
        <v>3971</v>
      </c>
      <c r="E1694" s="607" t="s">
        <v>3970</v>
      </c>
      <c r="F1694" s="607" t="s">
        <v>3971</v>
      </c>
      <c r="G1694" s="607" t="s">
        <v>958</v>
      </c>
      <c r="H1694" s="607" t="s">
        <v>3972</v>
      </c>
      <c r="I1694" s="607" t="s">
        <v>3973</v>
      </c>
      <c r="J1694" s="608" t="str">
        <f t="shared" si="54"/>
        <v>Investment Management</v>
      </c>
      <c r="N1694" s="822">
        <v>454210</v>
      </c>
      <c r="O1694" s="822" t="s">
        <v>3541</v>
      </c>
      <c r="P1694" s="823">
        <v>5962</v>
      </c>
      <c r="Q1694" s="823" t="s">
        <v>3543</v>
      </c>
    </row>
    <row r="1695" spans="2:17" s="608" customFormat="1" x14ac:dyDescent="0.25">
      <c r="B1695" s="605" t="s">
        <v>3979</v>
      </c>
      <c r="C1695" s="606">
        <f t="shared" si="53"/>
        <v>523991</v>
      </c>
      <c r="D1695" s="607" t="s">
        <v>3980</v>
      </c>
      <c r="E1695" s="607" t="s">
        <v>3981</v>
      </c>
      <c r="F1695" s="607" t="s">
        <v>3982</v>
      </c>
      <c r="G1695" s="607" t="s">
        <v>3880</v>
      </c>
      <c r="H1695" s="607" t="s">
        <v>3880</v>
      </c>
      <c r="I1695" s="607" t="s">
        <v>3896</v>
      </c>
      <c r="J1695" s="608" t="str">
        <f t="shared" si="54"/>
        <v>Diversified Financials</v>
      </c>
      <c r="N1695" s="822">
        <v>454310</v>
      </c>
      <c r="O1695" s="822" t="s">
        <v>3545</v>
      </c>
      <c r="P1695" s="823">
        <v>5171</v>
      </c>
      <c r="Q1695" s="823" t="s">
        <v>3287</v>
      </c>
    </row>
    <row r="1696" spans="2:17" s="608" customFormat="1" x14ac:dyDescent="0.25">
      <c r="B1696" s="605" t="s">
        <v>3979</v>
      </c>
      <c r="C1696" s="606">
        <f t="shared" si="53"/>
        <v>523991</v>
      </c>
      <c r="D1696" s="607" t="s">
        <v>3980</v>
      </c>
      <c r="E1696" s="607" t="s">
        <v>3942</v>
      </c>
      <c r="F1696" s="607" t="s">
        <v>3943</v>
      </c>
      <c r="G1696" s="607" t="s">
        <v>3880</v>
      </c>
      <c r="H1696" s="607" t="s">
        <v>3880</v>
      </c>
      <c r="I1696" s="607" t="s">
        <v>3896</v>
      </c>
      <c r="J1696" s="608" t="str">
        <f t="shared" si="54"/>
        <v>Diversified Financials</v>
      </c>
      <c r="N1696" s="822">
        <v>454310</v>
      </c>
      <c r="O1696" s="822" t="s">
        <v>3545</v>
      </c>
      <c r="P1696" s="823">
        <v>5983</v>
      </c>
      <c r="Q1696" s="823" t="s">
        <v>3547</v>
      </c>
    </row>
    <row r="1697" spans="2:17" s="608" customFormat="1" x14ac:dyDescent="0.25">
      <c r="B1697" s="605" t="s">
        <v>3979</v>
      </c>
      <c r="C1697" s="606">
        <f t="shared" si="53"/>
        <v>523991</v>
      </c>
      <c r="D1697" s="607" t="s">
        <v>3980</v>
      </c>
      <c r="E1697" s="607" t="s">
        <v>3983</v>
      </c>
      <c r="F1697" s="607" t="s">
        <v>3984</v>
      </c>
      <c r="G1697" s="607" t="s">
        <v>3880</v>
      </c>
      <c r="H1697" s="607" t="s">
        <v>3880</v>
      </c>
      <c r="I1697" s="607" t="s">
        <v>3896</v>
      </c>
      <c r="J1697" s="608" t="str">
        <f t="shared" si="54"/>
        <v>Diversified Financials</v>
      </c>
      <c r="N1697" s="822">
        <v>454310</v>
      </c>
      <c r="O1697" s="822" t="s">
        <v>3545</v>
      </c>
      <c r="P1697" s="823">
        <v>5984</v>
      </c>
      <c r="Q1697" s="823" t="s">
        <v>3549</v>
      </c>
    </row>
    <row r="1698" spans="2:17" s="608" customFormat="1" x14ac:dyDescent="0.25">
      <c r="B1698" s="605" t="s">
        <v>3979</v>
      </c>
      <c r="C1698" s="606">
        <f t="shared" si="53"/>
        <v>523991</v>
      </c>
      <c r="D1698" s="607" t="s">
        <v>3980</v>
      </c>
      <c r="E1698" s="607" t="s">
        <v>3976</v>
      </c>
      <c r="F1698" s="607" t="s">
        <v>3977</v>
      </c>
      <c r="G1698" s="607" t="s">
        <v>3880</v>
      </c>
      <c r="H1698" s="607" t="s">
        <v>3880</v>
      </c>
      <c r="I1698" s="607" t="s">
        <v>3896</v>
      </c>
      <c r="J1698" s="608" t="str">
        <f t="shared" si="54"/>
        <v>Diversified Financials</v>
      </c>
      <c r="N1698" s="822">
        <v>454310</v>
      </c>
      <c r="O1698" s="822" t="s">
        <v>3545</v>
      </c>
      <c r="P1698" s="823">
        <v>5989</v>
      </c>
      <c r="Q1698" s="823" t="s">
        <v>3551</v>
      </c>
    </row>
    <row r="1699" spans="2:17" s="608" customFormat="1" x14ac:dyDescent="0.25">
      <c r="B1699" s="605" t="s">
        <v>3985</v>
      </c>
      <c r="C1699" s="606">
        <f t="shared" si="53"/>
        <v>523999</v>
      </c>
      <c r="D1699" s="607" t="s">
        <v>3986</v>
      </c>
      <c r="E1699" s="607" t="s">
        <v>3948</v>
      </c>
      <c r="F1699" s="607" t="s">
        <v>3949</v>
      </c>
      <c r="G1699" s="607" t="s">
        <v>3880</v>
      </c>
      <c r="H1699" s="607" t="s">
        <v>3880</v>
      </c>
      <c r="I1699" s="607" t="s">
        <v>3896</v>
      </c>
      <c r="J1699" s="608" t="str">
        <f t="shared" si="54"/>
        <v>Diversified Financials</v>
      </c>
      <c r="N1699" s="823">
        <v>454311</v>
      </c>
      <c r="O1699" s="823" t="s">
        <v>6003</v>
      </c>
      <c r="P1699" s="823"/>
      <c r="Q1699" s="823" t="s">
        <v>958</v>
      </c>
    </row>
    <row r="1700" spans="2:17" s="608" customFormat="1" x14ac:dyDescent="0.25">
      <c r="B1700" s="605" t="s">
        <v>3985</v>
      </c>
      <c r="C1700" s="606">
        <f t="shared" si="53"/>
        <v>523999</v>
      </c>
      <c r="D1700" s="607" t="s">
        <v>3986</v>
      </c>
      <c r="E1700" s="607" t="s">
        <v>3983</v>
      </c>
      <c r="F1700" s="607" t="s">
        <v>3984</v>
      </c>
      <c r="G1700" s="607" t="s">
        <v>3880</v>
      </c>
      <c r="H1700" s="607" t="s">
        <v>3880</v>
      </c>
      <c r="I1700" s="607" t="s">
        <v>3896</v>
      </c>
      <c r="J1700" s="608" t="str">
        <f t="shared" si="54"/>
        <v>Diversified Financials</v>
      </c>
      <c r="N1700" s="823">
        <v>454312</v>
      </c>
      <c r="O1700" s="823" t="s">
        <v>6004</v>
      </c>
      <c r="P1700" s="823"/>
      <c r="Q1700" s="823" t="s">
        <v>958</v>
      </c>
    </row>
    <row r="1701" spans="2:17" s="608" customFormat="1" x14ac:dyDescent="0.25">
      <c r="B1701" s="605" t="s">
        <v>3987</v>
      </c>
      <c r="C1701" s="606">
        <f t="shared" si="53"/>
        <v>524113</v>
      </c>
      <c r="D1701" s="607" t="s">
        <v>3988</v>
      </c>
      <c r="E1701" s="607" t="s">
        <v>3989</v>
      </c>
      <c r="F1701" s="607" t="s">
        <v>3990</v>
      </c>
      <c r="G1701" s="607" t="s">
        <v>3880</v>
      </c>
      <c r="H1701" s="607" t="s">
        <v>3880</v>
      </c>
      <c r="I1701" s="607" t="s">
        <v>3991</v>
      </c>
      <c r="J1701" s="608" t="str">
        <f t="shared" si="54"/>
        <v>Insurance Company</v>
      </c>
      <c r="N1701" s="823">
        <v>454319</v>
      </c>
      <c r="O1701" s="823" t="s">
        <v>6005</v>
      </c>
      <c r="P1701" s="823"/>
      <c r="Q1701" s="823" t="s">
        <v>958</v>
      </c>
    </row>
    <row r="1702" spans="2:17" s="608" customFormat="1" x14ac:dyDescent="0.25">
      <c r="B1702" s="605" t="s">
        <v>3987</v>
      </c>
      <c r="C1702" s="606">
        <f t="shared" si="53"/>
        <v>524113</v>
      </c>
      <c r="D1702" s="607" t="s">
        <v>3988</v>
      </c>
      <c r="E1702" s="607" t="s">
        <v>3992</v>
      </c>
      <c r="F1702" s="607" t="s">
        <v>3993</v>
      </c>
      <c r="G1702" s="607" t="s">
        <v>3880</v>
      </c>
      <c r="H1702" s="607" t="s">
        <v>3880</v>
      </c>
      <c r="I1702" s="607" t="s">
        <v>3991</v>
      </c>
      <c r="J1702" s="608" t="str">
        <f t="shared" si="54"/>
        <v>Insurance Company</v>
      </c>
      <c r="N1702" s="822">
        <v>454390</v>
      </c>
      <c r="O1702" s="822" t="s">
        <v>3553</v>
      </c>
      <c r="P1702" s="823">
        <v>5142</v>
      </c>
      <c r="Q1702" s="823" t="s">
        <v>3241</v>
      </c>
    </row>
    <row r="1703" spans="2:17" s="608" customFormat="1" x14ac:dyDescent="0.25">
      <c r="B1703" s="605" t="s">
        <v>3994</v>
      </c>
      <c r="C1703" s="606">
        <f t="shared" si="53"/>
        <v>524114</v>
      </c>
      <c r="D1703" s="607" t="s">
        <v>3995</v>
      </c>
      <c r="E1703" s="607" t="s">
        <v>3992</v>
      </c>
      <c r="F1703" s="607" t="s">
        <v>3993</v>
      </c>
      <c r="G1703" s="607" t="s">
        <v>3880</v>
      </c>
      <c r="H1703" s="607" t="s">
        <v>3880</v>
      </c>
      <c r="I1703" s="607" t="s">
        <v>3991</v>
      </c>
      <c r="J1703" s="608" t="str">
        <f t="shared" si="54"/>
        <v>Insurance Company</v>
      </c>
      <c r="N1703" s="822">
        <v>454390</v>
      </c>
      <c r="O1703" s="822" t="s">
        <v>3553</v>
      </c>
      <c r="P1703" s="823">
        <v>5411</v>
      </c>
      <c r="Q1703" s="823" t="s">
        <v>3401</v>
      </c>
    </row>
    <row r="1704" spans="2:17" s="608" customFormat="1" x14ac:dyDescent="0.25">
      <c r="B1704" s="605" t="s">
        <v>3994</v>
      </c>
      <c r="C1704" s="606">
        <f t="shared" si="53"/>
        <v>524114</v>
      </c>
      <c r="D1704" s="607" t="s">
        <v>3995</v>
      </c>
      <c r="E1704" s="607" t="s">
        <v>3996</v>
      </c>
      <c r="F1704" s="607" t="s">
        <v>3997</v>
      </c>
      <c r="G1704" s="607" t="s">
        <v>3880</v>
      </c>
      <c r="H1704" s="607" t="s">
        <v>3880</v>
      </c>
      <c r="I1704" s="607" t="s">
        <v>3991</v>
      </c>
      <c r="J1704" s="608" t="str">
        <f t="shared" si="54"/>
        <v>Insurance Company</v>
      </c>
      <c r="N1704" s="822">
        <v>454390</v>
      </c>
      <c r="O1704" s="822" t="s">
        <v>3553</v>
      </c>
      <c r="P1704" s="823">
        <v>5421</v>
      </c>
      <c r="Q1704" s="823" t="s">
        <v>3407</v>
      </c>
    </row>
    <row r="1705" spans="2:17" s="608" customFormat="1" x14ac:dyDescent="0.25">
      <c r="B1705" s="605" t="s">
        <v>3998</v>
      </c>
      <c r="C1705" s="606">
        <f t="shared" si="53"/>
        <v>524126</v>
      </c>
      <c r="D1705" s="607" t="s">
        <v>3999</v>
      </c>
      <c r="E1705" s="607" t="s">
        <v>4000</v>
      </c>
      <c r="F1705" s="607" t="s">
        <v>4001</v>
      </c>
      <c r="G1705" s="607" t="s">
        <v>3880</v>
      </c>
      <c r="H1705" s="607" t="s">
        <v>3880</v>
      </c>
      <c r="I1705" s="607" t="s">
        <v>3991</v>
      </c>
      <c r="J1705" s="608" t="str">
        <f t="shared" si="54"/>
        <v>Insurance Company</v>
      </c>
      <c r="N1705" s="822">
        <v>454390</v>
      </c>
      <c r="O1705" s="822" t="s">
        <v>3553</v>
      </c>
      <c r="P1705" s="823">
        <v>5431</v>
      </c>
      <c r="Q1705" s="823" t="s">
        <v>3413</v>
      </c>
    </row>
    <row r="1706" spans="2:17" s="608" customFormat="1" x14ac:dyDescent="0.25">
      <c r="B1706" s="605" t="s">
        <v>3998</v>
      </c>
      <c r="C1706" s="606">
        <f t="shared" si="53"/>
        <v>524126</v>
      </c>
      <c r="D1706" s="607" t="s">
        <v>3999</v>
      </c>
      <c r="E1706" s="607" t="s">
        <v>4002</v>
      </c>
      <c r="F1706" s="607" t="s">
        <v>4003</v>
      </c>
      <c r="G1706" s="607" t="s">
        <v>3880</v>
      </c>
      <c r="H1706" s="607" t="s">
        <v>3880</v>
      </c>
      <c r="I1706" s="607" t="s">
        <v>3991</v>
      </c>
      <c r="J1706" s="608" t="str">
        <f t="shared" si="54"/>
        <v>Insurance Company</v>
      </c>
      <c r="N1706" s="822">
        <v>454390</v>
      </c>
      <c r="O1706" s="822" t="s">
        <v>3553</v>
      </c>
      <c r="P1706" s="823">
        <v>5963</v>
      </c>
      <c r="Q1706" s="823" t="s">
        <v>3555</v>
      </c>
    </row>
    <row r="1707" spans="2:17" s="608" customFormat="1" x14ac:dyDescent="0.25">
      <c r="B1707" s="605" t="s">
        <v>4004</v>
      </c>
      <c r="C1707" s="606">
        <f t="shared" si="53"/>
        <v>524127</v>
      </c>
      <c r="D1707" s="607" t="s">
        <v>4005</v>
      </c>
      <c r="E1707" s="607" t="s">
        <v>4006</v>
      </c>
      <c r="F1707" s="607" t="s">
        <v>4007</v>
      </c>
      <c r="G1707" s="607" t="s">
        <v>3880</v>
      </c>
      <c r="H1707" s="607" t="s">
        <v>3880</v>
      </c>
      <c r="I1707" s="607" t="s">
        <v>3991</v>
      </c>
      <c r="J1707" s="608" t="str">
        <f t="shared" si="54"/>
        <v>Insurance Company</v>
      </c>
      <c r="N1707" s="822">
        <v>481111</v>
      </c>
      <c r="O1707" s="822" t="s">
        <v>3557</v>
      </c>
      <c r="P1707" s="823">
        <v>4512</v>
      </c>
      <c r="Q1707" s="823" t="s">
        <v>3559</v>
      </c>
    </row>
    <row r="1708" spans="2:17" s="608" customFormat="1" x14ac:dyDescent="0.25">
      <c r="B1708" s="605" t="s">
        <v>4008</v>
      </c>
      <c r="C1708" s="606">
        <f t="shared" si="53"/>
        <v>524128</v>
      </c>
      <c r="D1708" s="607" t="s">
        <v>4009</v>
      </c>
      <c r="E1708" s="607" t="s">
        <v>3989</v>
      </c>
      <c r="F1708" s="607" t="s">
        <v>3990</v>
      </c>
      <c r="G1708" s="607" t="s">
        <v>3880</v>
      </c>
      <c r="H1708" s="607" t="s">
        <v>3880</v>
      </c>
      <c r="I1708" s="607" t="s">
        <v>3991</v>
      </c>
      <c r="J1708" s="608" t="str">
        <f t="shared" si="54"/>
        <v>Insurance Company</v>
      </c>
      <c r="N1708" s="822">
        <v>481112</v>
      </c>
      <c r="O1708" s="822" t="s">
        <v>3562</v>
      </c>
      <c r="P1708" s="823">
        <v>4512</v>
      </c>
      <c r="Q1708" s="823" t="s">
        <v>3559</v>
      </c>
    </row>
    <row r="1709" spans="2:17" s="608" customFormat="1" x14ac:dyDescent="0.25">
      <c r="B1709" s="605" t="s">
        <v>4008</v>
      </c>
      <c r="C1709" s="606">
        <f t="shared" si="53"/>
        <v>524128</v>
      </c>
      <c r="D1709" s="607" t="s">
        <v>4009</v>
      </c>
      <c r="E1709" s="607" t="s">
        <v>4000</v>
      </c>
      <c r="F1709" s="607" t="s">
        <v>4001</v>
      </c>
      <c r="G1709" s="607" t="s">
        <v>3880</v>
      </c>
      <c r="H1709" s="607" t="s">
        <v>3880</v>
      </c>
      <c r="I1709" s="607" t="s">
        <v>3991</v>
      </c>
      <c r="J1709" s="608" t="str">
        <f t="shared" si="54"/>
        <v>Insurance Company</v>
      </c>
      <c r="N1709" s="822">
        <v>481211</v>
      </c>
      <c r="O1709" s="822" t="s">
        <v>3564</v>
      </c>
      <c r="P1709" s="823">
        <v>4522</v>
      </c>
      <c r="Q1709" s="823" t="s">
        <v>3566</v>
      </c>
    </row>
    <row r="1710" spans="2:17" s="608" customFormat="1" x14ac:dyDescent="0.25">
      <c r="B1710" s="605" t="s">
        <v>4008</v>
      </c>
      <c r="C1710" s="606">
        <f t="shared" si="53"/>
        <v>524128</v>
      </c>
      <c r="D1710" s="607" t="s">
        <v>4009</v>
      </c>
      <c r="E1710" s="607" t="s">
        <v>4002</v>
      </c>
      <c r="F1710" s="607" t="s">
        <v>4003</v>
      </c>
      <c r="G1710" s="607" t="s">
        <v>3880</v>
      </c>
      <c r="H1710" s="607" t="s">
        <v>3880</v>
      </c>
      <c r="I1710" s="607" t="s">
        <v>3991</v>
      </c>
      <c r="J1710" s="608" t="str">
        <f t="shared" si="54"/>
        <v>Insurance Company</v>
      </c>
      <c r="N1710" s="822">
        <v>481212</v>
      </c>
      <c r="O1710" s="822" t="s">
        <v>3568</v>
      </c>
      <c r="P1710" s="823">
        <v>4522</v>
      </c>
      <c r="Q1710" s="823" t="s">
        <v>3566</v>
      </c>
    </row>
    <row r="1711" spans="2:17" s="608" customFormat="1" x14ac:dyDescent="0.25">
      <c r="B1711" s="605" t="s">
        <v>4008</v>
      </c>
      <c r="C1711" s="606">
        <f t="shared" si="53"/>
        <v>524128</v>
      </c>
      <c r="D1711" s="607" t="s">
        <v>4009</v>
      </c>
      <c r="E1711" s="607" t="s">
        <v>4010</v>
      </c>
      <c r="F1711" s="607" t="s">
        <v>4011</v>
      </c>
      <c r="G1711" s="607" t="s">
        <v>3880</v>
      </c>
      <c r="H1711" s="607" t="s">
        <v>3880</v>
      </c>
      <c r="I1711" s="607" t="s">
        <v>3991</v>
      </c>
      <c r="J1711" s="608" t="str">
        <f t="shared" si="54"/>
        <v>Insurance Company</v>
      </c>
      <c r="N1711" s="822">
        <v>481219</v>
      </c>
      <c r="O1711" s="822" t="s">
        <v>3570</v>
      </c>
      <c r="P1711" s="823">
        <v>4522</v>
      </c>
      <c r="Q1711" s="823" t="s">
        <v>3566</v>
      </c>
    </row>
    <row r="1712" spans="2:17" s="608" customFormat="1" x14ac:dyDescent="0.25">
      <c r="B1712" s="605" t="s">
        <v>4012</v>
      </c>
      <c r="C1712" s="606">
        <f t="shared" si="53"/>
        <v>524130</v>
      </c>
      <c r="D1712" s="607" t="s">
        <v>4013</v>
      </c>
      <c r="E1712" s="607" t="s">
        <v>3989</v>
      </c>
      <c r="F1712" s="607" t="s">
        <v>3990</v>
      </c>
      <c r="G1712" s="607" t="s">
        <v>3880</v>
      </c>
      <c r="H1712" s="607" t="s">
        <v>3880</v>
      </c>
      <c r="I1712" s="607" t="s">
        <v>3991</v>
      </c>
      <c r="J1712" s="608" t="str">
        <f t="shared" si="54"/>
        <v>Insurance Company</v>
      </c>
      <c r="N1712" s="822">
        <v>481219</v>
      </c>
      <c r="O1712" s="822" t="s">
        <v>3570</v>
      </c>
      <c r="P1712" s="823">
        <v>7319</v>
      </c>
      <c r="Q1712" s="823" t="s">
        <v>3572</v>
      </c>
    </row>
    <row r="1713" spans="2:17" s="608" customFormat="1" x14ac:dyDescent="0.25">
      <c r="B1713" s="605" t="s">
        <v>4012</v>
      </c>
      <c r="C1713" s="606">
        <f t="shared" si="53"/>
        <v>524130</v>
      </c>
      <c r="D1713" s="607" t="s">
        <v>4013</v>
      </c>
      <c r="E1713" s="607" t="s">
        <v>3992</v>
      </c>
      <c r="F1713" s="607" t="s">
        <v>3993</v>
      </c>
      <c r="G1713" s="607" t="s">
        <v>3880</v>
      </c>
      <c r="H1713" s="607" t="s">
        <v>3880</v>
      </c>
      <c r="I1713" s="607" t="s">
        <v>3991</v>
      </c>
      <c r="J1713" s="608" t="str">
        <f t="shared" si="54"/>
        <v>Insurance Company</v>
      </c>
      <c r="N1713" s="822">
        <v>481219</v>
      </c>
      <c r="O1713" s="822" t="s">
        <v>3570</v>
      </c>
      <c r="P1713" s="823">
        <v>7335</v>
      </c>
      <c r="Q1713" s="823" t="s">
        <v>3574</v>
      </c>
    </row>
    <row r="1714" spans="2:17" s="608" customFormat="1" x14ac:dyDescent="0.25">
      <c r="B1714" s="605" t="s">
        <v>4012</v>
      </c>
      <c r="C1714" s="606">
        <f t="shared" si="53"/>
        <v>524130</v>
      </c>
      <c r="D1714" s="607" t="s">
        <v>4013</v>
      </c>
      <c r="E1714" s="607" t="s">
        <v>3996</v>
      </c>
      <c r="F1714" s="607" t="s">
        <v>3997</v>
      </c>
      <c r="G1714" s="607" t="s">
        <v>3880</v>
      </c>
      <c r="H1714" s="607" t="s">
        <v>3880</v>
      </c>
      <c r="I1714" s="607" t="s">
        <v>3991</v>
      </c>
      <c r="J1714" s="608" t="str">
        <f t="shared" si="54"/>
        <v>Insurance Company</v>
      </c>
      <c r="N1714" s="822">
        <v>481219</v>
      </c>
      <c r="O1714" s="822" t="s">
        <v>3570</v>
      </c>
      <c r="P1714" s="823">
        <v>7997</v>
      </c>
      <c r="Q1714" s="823" t="s">
        <v>3576</v>
      </c>
    </row>
    <row r="1715" spans="2:17" s="608" customFormat="1" ht="18" x14ac:dyDescent="0.3">
      <c r="B1715" s="605" t="s">
        <v>4012</v>
      </c>
      <c r="C1715" s="606">
        <f t="shared" si="53"/>
        <v>524130</v>
      </c>
      <c r="D1715" s="607" t="s">
        <v>4013</v>
      </c>
      <c r="E1715" s="607" t="s">
        <v>4000</v>
      </c>
      <c r="F1715" s="607" t="s">
        <v>4001</v>
      </c>
      <c r="G1715" s="607" t="s">
        <v>3880</v>
      </c>
      <c r="H1715" s="607" t="s">
        <v>3880</v>
      </c>
      <c r="I1715" s="607" t="s">
        <v>3991</v>
      </c>
      <c r="J1715" s="608" t="str">
        <f t="shared" si="54"/>
        <v>Insurance Company</v>
      </c>
      <c r="N1715" s="822">
        <v>482110</v>
      </c>
      <c r="O1715" s="824" t="s">
        <v>6006</v>
      </c>
      <c r="P1715" s="823"/>
      <c r="Q1715" s="823" t="s">
        <v>958</v>
      </c>
    </row>
    <row r="1716" spans="2:17" s="608" customFormat="1" x14ac:dyDescent="0.25">
      <c r="B1716" s="605" t="s">
        <v>4012</v>
      </c>
      <c r="C1716" s="606">
        <f t="shared" si="53"/>
        <v>524130</v>
      </c>
      <c r="D1716" s="607" t="s">
        <v>4013</v>
      </c>
      <c r="E1716" s="607" t="s">
        <v>4002</v>
      </c>
      <c r="F1716" s="607" t="s">
        <v>4003</v>
      </c>
      <c r="G1716" s="607" t="s">
        <v>3880</v>
      </c>
      <c r="H1716" s="607" t="s">
        <v>3880</v>
      </c>
      <c r="I1716" s="607" t="s">
        <v>3991</v>
      </c>
      <c r="J1716" s="608" t="str">
        <f t="shared" si="54"/>
        <v>Insurance Company</v>
      </c>
      <c r="N1716" s="822">
        <v>482111</v>
      </c>
      <c r="O1716" s="822" t="s">
        <v>3578</v>
      </c>
      <c r="P1716" s="823">
        <v>4011</v>
      </c>
      <c r="Q1716" s="823" t="s">
        <v>3580</v>
      </c>
    </row>
    <row r="1717" spans="2:17" s="608" customFormat="1" x14ac:dyDescent="0.25">
      <c r="B1717" s="605" t="s">
        <v>4012</v>
      </c>
      <c r="C1717" s="606">
        <f t="shared" si="53"/>
        <v>524130</v>
      </c>
      <c r="D1717" s="607" t="s">
        <v>4013</v>
      </c>
      <c r="E1717" s="607" t="s">
        <v>4006</v>
      </c>
      <c r="F1717" s="607" t="s">
        <v>4007</v>
      </c>
      <c r="G1717" s="607" t="s">
        <v>3880</v>
      </c>
      <c r="H1717" s="607" t="s">
        <v>3880</v>
      </c>
      <c r="I1717" s="607" t="s">
        <v>3991</v>
      </c>
      <c r="J1717" s="608" t="str">
        <f t="shared" si="54"/>
        <v>Insurance Company</v>
      </c>
      <c r="N1717" s="822">
        <v>482112</v>
      </c>
      <c r="O1717" s="822" t="s">
        <v>3582</v>
      </c>
      <c r="P1717" s="823">
        <v>4013</v>
      </c>
      <c r="Q1717" s="823" t="s">
        <v>3584</v>
      </c>
    </row>
    <row r="1718" spans="2:17" s="608" customFormat="1" x14ac:dyDescent="0.25">
      <c r="B1718" s="605" t="s">
        <v>4014</v>
      </c>
      <c r="C1718" s="606">
        <f t="shared" si="53"/>
        <v>524210</v>
      </c>
      <c r="D1718" s="607" t="s">
        <v>4015</v>
      </c>
      <c r="E1718" s="607" t="s">
        <v>4016</v>
      </c>
      <c r="F1718" s="607" t="s">
        <v>4017</v>
      </c>
      <c r="G1718" s="607" t="s">
        <v>958</v>
      </c>
      <c r="H1718" s="607" t="s">
        <v>4018</v>
      </c>
      <c r="I1718" s="607" t="s">
        <v>4018</v>
      </c>
      <c r="J1718" s="608" t="str">
        <f t="shared" si="54"/>
        <v>Broker/Dealer</v>
      </c>
      <c r="N1718" s="822">
        <v>483111</v>
      </c>
      <c r="O1718" s="822" t="s">
        <v>3586</v>
      </c>
      <c r="P1718" s="823">
        <v>4412</v>
      </c>
      <c r="Q1718" s="823" t="s">
        <v>3588</v>
      </c>
    </row>
    <row r="1719" spans="2:17" s="608" customFormat="1" x14ac:dyDescent="0.25">
      <c r="B1719" s="605" t="s">
        <v>4019</v>
      </c>
      <c r="C1719" s="606">
        <f t="shared" si="53"/>
        <v>524291</v>
      </c>
      <c r="D1719" s="607" t="s">
        <v>4020</v>
      </c>
      <c r="E1719" s="607" t="s">
        <v>4016</v>
      </c>
      <c r="F1719" s="607" t="s">
        <v>4017</v>
      </c>
      <c r="G1719" s="607" t="s">
        <v>3880</v>
      </c>
      <c r="H1719" s="607" t="s">
        <v>3880</v>
      </c>
      <c r="I1719" s="608" t="s">
        <v>4021</v>
      </c>
      <c r="J1719" s="608" t="str">
        <f t="shared" si="54"/>
        <v>Insurance Agents And Brokers</v>
      </c>
      <c r="N1719" s="822">
        <v>483112</v>
      </c>
      <c r="O1719" s="822" t="s">
        <v>3590</v>
      </c>
      <c r="P1719" s="823">
        <v>4481</v>
      </c>
      <c r="Q1719" s="823" t="s">
        <v>3592</v>
      </c>
    </row>
    <row r="1720" spans="2:17" s="608" customFormat="1" x14ac:dyDescent="0.25">
      <c r="B1720" s="605" t="s">
        <v>4022</v>
      </c>
      <c r="C1720" s="606">
        <f t="shared" si="53"/>
        <v>524292</v>
      </c>
      <c r="D1720" s="607" t="s">
        <v>4023</v>
      </c>
      <c r="E1720" s="607" t="s">
        <v>3974</v>
      </c>
      <c r="F1720" s="607" t="s">
        <v>3975</v>
      </c>
      <c r="G1720" s="607" t="s">
        <v>3880</v>
      </c>
      <c r="H1720" s="607" t="s">
        <v>3880</v>
      </c>
      <c r="I1720" s="608" t="s">
        <v>4021</v>
      </c>
      <c r="J1720" s="608" t="str">
        <f t="shared" si="54"/>
        <v>Insurance Agents And Brokers</v>
      </c>
      <c r="N1720" s="822">
        <v>483113</v>
      </c>
      <c r="O1720" s="822" t="s">
        <v>3594</v>
      </c>
      <c r="P1720" s="823">
        <v>4424</v>
      </c>
      <c r="Q1720" s="823" t="s">
        <v>3596</v>
      </c>
    </row>
    <row r="1721" spans="2:17" s="608" customFormat="1" x14ac:dyDescent="0.25">
      <c r="B1721" s="605" t="s">
        <v>4022</v>
      </c>
      <c r="C1721" s="606">
        <f t="shared" si="53"/>
        <v>524292</v>
      </c>
      <c r="D1721" s="607" t="s">
        <v>4023</v>
      </c>
      <c r="E1721" s="607" t="s">
        <v>4016</v>
      </c>
      <c r="F1721" s="607" t="s">
        <v>4017</v>
      </c>
      <c r="G1721" s="607" t="s">
        <v>3880</v>
      </c>
      <c r="H1721" s="607" t="s">
        <v>3880</v>
      </c>
      <c r="I1721" s="608" t="s">
        <v>4021</v>
      </c>
      <c r="J1721" s="608" t="str">
        <f t="shared" si="54"/>
        <v>Insurance Agents And Brokers</v>
      </c>
      <c r="N1721" s="822">
        <v>483113</v>
      </c>
      <c r="O1721" s="822" t="s">
        <v>3594</v>
      </c>
      <c r="P1721" s="823">
        <v>4432</v>
      </c>
      <c r="Q1721" s="823" t="s">
        <v>3598</v>
      </c>
    </row>
    <row r="1722" spans="2:17" s="608" customFormat="1" x14ac:dyDescent="0.25">
      <c r="B1722" s="605" t="s">
        <v>4024</v>
      </c>
      <c r="C1722" s="606">
        <f t="shared" si="53"/>
        <v>524298</v>
      </c>
      <c r="D1722" s="607" t="s">
        <v>4025</v>
      </c>
      <c r="E1722" s="607" t="s">
        <v>4016</v>
      </c>
      <c r="F1722" s="607" t="s">
        <v>4017</v>
      </c>
      <c r="G1722" s="607" t="s">
        <v>3880</v>
      </c>
      <c r="H1722" s="607" t="s">
        <v>3880</v>
      </c>
      <c r="I1722" s="608" t="s">
        <v>4021</v>
      </c>
      <c r="J1722" s="608" t="str">
        <f t="shared" si="54"/>
        <v>Insurance Agents And Brokers</v>
      </c>
      <c r="N1722" s="822">
        <v>483114</v>
      </c>
      <c r="O1722" s="822" t="s">
        <v>3600</v>
      </c>
      <c r="P1722" s="823">
        <v>4481</v>
      </c>
      <c r="Q1722" s="823" t="s">
        <v>3592</v>
      </c>
    </row>
    <row r="1723" spans="2:17" s="608" customFormat="1" x14ac:dyDescent="0.25">
      <c r="B1723" s="605" t="s">
        <v>4026</v>
      </c>
      <c r="C1723" s="606">
        <f t="shared" si="53"/>
        <v>525110</v>
      </c>
      <c r="D1723" s="607" t="s">
        <v>4027</v>
      </c>
      <c r="E1723" s="607" t="s">
        <v>3974</v>
      </c>
      <c r="F1723" s="607" t="s">
        <v>3975</v>
      </c>
      <c r="G1723" s="607" t="s">
        <v>3880</v>
      </c>
      <c r="H1723" s="607" t="s">
        <v>3880</v>
      </c>
      <c r="I1723" s="608" t="s">
        <v>3991</v>
      </c>
      <c r="J1723" s="608" t="str">
        <f t="shared" si="54"/>
        <v>Insurance Company</v>
      </c>
      <c r="N1723" s="822">
        <v>483114</v>
      </c>
      <c r="O1723" s="822" t="s">
        <v>3600</v>
      </c>
      <c r="P1723" s="823">
        <v>4482</v>
      </c>
      <c r="Q1723" s="823" t="s">
        <v>3602</v>
      </c>
    </row>
    <row r="1724" spans="2:17" s="608" customFormat="1" x14ac:dyDescent="0.25">
      <c r="B1724" s="605" t="s">
        <v>4028</v>
      </c>
      <c r="C1724" s="606">
        <f t="shared" si="53"/>
        <v>525120</v>
      </c>
      <c r="D1724" s="607" t="s">
        <v>4029</v>
      </c>
      <c r="E1724" s="607" t="s">
        <v>3974</v>
      </c>
      <c r="F1724" s="607" t="s">
        <v>3975</v>
      </c>
      <c r="G1724" s="607" t="s">
        <v>3880</v>
      </c>
      <c r="H1724" s="607" t="s">
        <v>3880</v>
      </c>
      <c r="I1724" s="608" t="s">
        <v>3991</v>
      </c>
      <c r="J1724" s="608" t="str">
        <f t="shared" si="54"/>
        <v>Insurance Company</v>
      </c>
      <c r="N1724" s="822">
        <v>483200</v>
      </c>
      <c r="O1724" s="822" t="s">
        <v>6007</v>
      </c>
      <c r="P1724" s="823"/>
      <c r="Q1724" s="823" t="s">
        <v>958</v>
      </c>
    </row>
    <row r="1725" spans="2:17" s="608" customFormat="1" x14ac:dyDescent="0.25">
      <c r="B1725" s="605" t="s">
        <v>4030</v>
      </c>
      <c r="C1725" s="606">
        <f t="shared" si="53"/>
        <v>525190</v>
      </c>
      <c r="D1725" s="607" t="s">
        <v>4031</v>
      </c>
      <c r="E1725" s="607" t="s">
        <v>3992</v>
      </c>
      <c r="F1725" s="607" t="s">
        <v>3993</v>
      </c>
      <c r="G1725" s="607" t="s">
        <v>3880</v>
      </c>
      <c r="H1725" s="607" t="s">
        <v>3880</v>
      </c>
      <c r="I1725" s="607" t="s">
        <v>3991</v>
      </c>
      <c r="J1725" s="608" t="str">
        <f t="shared" si="54"/>
        <v>Insurance Company</v>
      </c>
      <c r="N1725" s="822">
        <v>483211</v>
      </c>
      <c r="O1725" s="822" t="s">
        <v>3604</v>
      </c>
      <c r="P1725" s="823">
        <v>4449</v>
      </c>
      <c r="Q1725" s="823" t="s">
        <v>3606</v>
      </c>
    </row>
    <row r="1726" spans="2:17" s="608" customFormat="1" x14ac:dyDescent="0.25">
      <c r="B1726" s="605" t="s">
        <v>4030</v>
      </c>
      <c r="C1726" s="606">
        <f t="shared" si="53"/>
        <v>525190</v>
      </c>
      <c r="D1726" s="607" t="s">
        <v>4031</v>
      </c>
      <c r="E1726" s="607" t="s">
        <v>3996</v>
      </c>
      <c r="F1726" s="607" t="s">
        <v>3997</v>
      </c>
      <c r="G1726" s="607" t="s">
        <v>3880</v>
      </c>
      <c r="H1726" s="607" t="s">
        <v>3880</v>
      </c>
      <c r="I1726" s="607" t="s">
        <v>3991</v>
      </c>
      <c r="J1726" s="608" t="str">
        <f t="shared" si="54"/>
        <v>Insurance Company</v>
      </c>
      <c r="N1726" s="822">
        <v>483211</v>
      </c>
      <c r="O1726" s="822" t="s">
        <v>3604</v>
      </c>
      <c r="P1726" s="823">
        <v>4499</v>
      </c>
      <c r="Q1726" s="823" t="s">
        <v>3608</v>
      </c>
    </row>
    <row r="1727" spans="2:17" s="608" customFormat="1" x14ac:dyDescent="0.25">
      <c r="B1727" s="605" t="s">
        <v>4030</v>
      </c>
      <c r="C1727" s="606">
        <f t="shared" si="53"/>
        <v>525190</v>
      </c>
      <c r="D1727" s="607" t="s">
        <v>4031</v>
      </c>
      <c r="E1727" s="607" t="s">
        <v>4000</v>
      </c>
      <c r="F1727" s="607" t="s">
        <v>4001</v>
      </c>
      <c r="G1727" s="607" t="s">
        <v>3880</v>
      </c>
      <c r="H1727" s="607" t="s">
        <v>3880</v>
      </c>
      <c r="I1727" s="607" t="s">
        <v>3991</v>
      </c>
      <c r="J1727" s="608" t="str">
        <f t="shared" si="54"/>
        <v>Insurance Company</v>
      </c>
      <c r="N1727" s="822">
        <v>483212</v>
      </c>
      <c r="O1727" s="822" t="s">
        <v>3610</v>
      </c>
      <c r="P1727" s="823">
        <v>4482</v>
      </c>
      <c r="Q1727" s="823" t="s">
        <v>3602</v>
      </c>
    </row>
    <row r="1728" spans="2:17" s="608" customFormat="1" x14ac:dyDescent="0.25">
      <c r="B1728" s="605" t="s">
        <v>4030</v>
      </c>
      <c r="C1728" s="606">
        <f t="shared" si="53"/>
        <v>525190</v>
      </c>
      <c r="D1728" s="607" t="s">
        <v>4031</v>
      </c>
      <c r="E1728" s="607" t="s">
        <v>3976</v>
      </c>
      <c r="F1728" s="607" t="s">
        <v>3977</v>
      </c>
      <c r="G1728" s="607" t="s">
        <v>3880</v>
      </c>
      <c r="H1728" s="607" t="s">
        <v>3880</v>
      </c>
      <c r="I1728" s="607" t="s">
        <v>3896</v>
      </c>
      <c r="J1728" s="608" t="str">
        <f t="shared" si="54"/>
        <v>Diversified Financials</v>
      </c>
      <c r="N1728" s="822">
        <v>483212</v>
      </c>
      <c r="O1728" s="822" t="s">
        <v>3610</v>
      </c>
      <c r="P1728" s="823">
        <v>4489</v>
      </c>
      <c r="Q1728" s="823" t="s">
        <v>3612</v>
      </c>
    </row>
    <row r="1729" spans="2:17" s="608" customFormat="1" x14ac:dyDescent="0.25">
      <c r="B1729" s="605" t="s">
        <v>4032</v>
      </c>
      <c r="C1729" s="606">
        <f t="shared" si="53"/>
        <v>525910</v>
      </c>
      <c r="D1729" s="607" t="s">
        <v>4033</v>
      </c>
      <c r="E1729" s="607" t="s">
        <v>4034</v>
      </c>
      <c r="F1729" s="607" t="s">
        <v>4035</v>
      </c>
      <c r="G1729" s="607" t="s">
        <v>3880</v>
      </c>
      <c r="H1729" s="607" t="s">
        <v>3880</v>
      </c>
      <c r="I1729" s="607" t="s">
        <v>3896</v>
      </c>
      <c r="J1729" s="608" t="str">
        <f t="shared" si="54"/>
        <v>Diversified Financials</v>
      </c>
      <c r="N1729" s="822">
        <v>484110</v>
      </c>
      <c r="O1729" s="822" t="s">
        <v>3614</v>
      </c>
      <c r="P1729" s="823">
        <v>4212</v>
      </c>
      <c r="Q1729" s="823" t="s">
        <v>3616</v>
      </c>
    </row>
    <row r="1730" spans="2:17" s="608" customFormat="1" x14ac:dyDescent="0.25">
      <c r="B1730" s="605" t="s">
        <v>4036</v>
      </c>
      <c r="C1730" s="606">
        <f t="shared" ref="C1730:C1793" si="55">B1730+0</f>
        <v>525920</v>
      </c>
      <c r="D1730" s="607" t="s">
        <v>4037</v>
      </c>
      <c r="E1730" s="607" t="s">
        <v>3976</v>
      </c>
      <c r="F1730" s="607" t="s">
        <v>3977</v>
      </c>
      <c r="G1730" s="607" t="s">
        <v>3880</v>
      </c>
      <c r="H1730" s="607" t="s">
        <v>3880</v>
      </c>
      <c r="I1730" s="607" t="s">
        <v>3896</v>
      </c>
      <c r="J1730" s="608" t="str">
        <f t="shared" si="54"/>
        <v>Diversified Financials</v>
      </c>
      <c r="N1730" s="822">
        <v>484110</v>
      </c>
      <c r="O1730" s="822" t="s">
        <v>3614</v>
      </c>
      <c r="P1730" s="823">
        <v>4214</v>
      </c>
      <c r="Q1730" s="823" t="s">
        <v>3618</v>
      </c>
    </row>
    <row r="1731" spans="2:17" s="608" customFormat="1" ht="18" x14ac:dyDescent="0.3">
      <c r="B1731" s="605" t="s">
        <v>4038</v>
      </c>
      <c r="C1731" s="606">
        <f t="shared" si="55"/>
        <v>525990</v>
      </c>
      <c r="D1731" s="607" t="s">
        <v>4039</v>
      </c>
      <c r="E1731" s="607" t="s">
        <v>3974</v>
      </c>
      <c r="F1731" s="607" t="s">
        <v>3975</v>
      </c>
      <c r="G1731" s="607" t="s">
        <v>3880</v>
      </c>
      <c r="H1731" s="607" t="s">
        <v>3880</v>
      </c>
      <c r="I1731" s="607" t="s">
        <v>3896</v>
      </c>
      <c r="J1731" s="608" t="str">
        <f t="shared" si="54"/>
        <v>Diversified Financials</v>
      </c>
      <c r="N1731" s="822">
        <v>484120</v>
      </c>
      <c r="O1731" s="824" t="s">
        <v>6008</v>
      </c>
      <c r="P1731" s="823"/>
      <c r="Q1731" s="823" t="s">
        <v>958</v>
      </c>
    </row>
    <row r="1732" spans="2:17" s="608" customFormat="1" x14ac:dyDescent="0.25">
      <c r="B1732" s="605" t="s">
        <v>4038</v>
      </c>
      <c r="C1732" s="606">
        <f t="shared" si="55"/>
        <v>525990</v>
      </c>
      <c r="D1732" s="607" t="s">
        <v>4039</v>
      </c>
      <c r="E1732" s="607" t="s">
        <v>4040</v>
      </c>
      <c r="F1732" s="607" t="s">
        <v>4041</v>
      </c>
      <c r="G1732" s="607" t="s">
        <v>3880</v>
      </c>
      <c r="H1732" s="607" t="s">
        <v>3880</v>
      </c>
      <c r="I1732" s="607" t="s">
        <v>3896</v>
      </c>
      <c r="J1732" s="608" t="str">
        <f t="shared" si="54"/>
        <v>Diversified Financials</v>
      </c>
      <c r="N1732" s="822">
        <v>484121</v>
      </c>
      <c r="O1732" s="822" t="s">
        <v>3620</v>
      </c>
      <c r="P1732" s="823">
        <v>4213</v>
      </c>
      <c r="Q1732" s="823" t="s">
        <v>3622</v>
      </c>
    </row>
    <row r="1733" spans="2:17" s="608" customFormat="1" x14ac:dyDescent="0.25">
      <c r="B1733" s="605" t="s">
        <v>4038</v>
      </c>
      <c r="C1733" s="606">
        <f t="shared" si="55"/>
        <v>525990</v>
      </c>
      <c r="D1733" s="607" t="s">
        <v>4039</v>
      </c>
      <c r="E1733" s="607" t="s">
        <v>4042</v>
      </c>
      <c r="F1733" s="607" t="s">
        <v>4043</v>
      </c>
      <c r="G1733" s="607" t="s">
        <v>4044</v>
      </c>
      <c r="H1733" s="607" t="s">
        <v>4044</v>
      </c>
      <c r="I1733" s="607" t="s">
        <v>4045</v>
      </c>
      <c r="J1733" s="608" t="str">
        <f t="shared" si="54"/>
        <v>Real Estate Investment Trust</v>
      </c>
      <c r="N1733" s="822">
        <v>484122</v>
      </c>
      <c r="O1733" s="822" t="s">
        <v>3624</v>
      </c>
      <c r="P1733" s="823">
        <v>4213</v>
      </c>
      <c r="Q1733" s="823" t="s">
        <v>3622</v>
      </c>
    </row>
    <row r="1734" spans="2:17" s="608" customFormat="1" x14ac:dyDescent="0.25">
      <c r="B1734" s="605" t="s">
        <v>4046</v>
      </c>
      <c r="C1734" s="606">
        <f t="shared" si="55"/>
        <v>531110</v>
      </c>
      <c r="D1734" s="607" t="s">
        <v>4047</v>
      </c>
      <c r="E1734" s="607" t="s">
        <v>4048</v>
      </c>
      <c r="F1734" s="607" t="s">
        <v>4049</v>
      </c>
      <c r="G1734" s="607" t="s">
        <v>4044</v>
      </c>
      <c r="H1734" s="607" t="s">
        <v>4044</v>
      </c>
      <c r="I1734" s="607" t="s">
        <v>4044</v>
      </c>
      <c r="J1734" s="608" t="str">
        <f t="shared" si="54"/>
        <v>Real Estate</v>
      </c>
      <c r="N1734" s="822">
        <v>484210</v>
      </c>
      <c r="O1734" s="822" t="s">
        <v>3626</v>
      </c>
      <c r="P1734" s="823">
        <v>4212</v>
      </c>
      <c r="Q1734" s="823" t="s">
        <v>3616</v>
      </c>
    </row>
    <row r="1735" spans="2:17" s="608" customFormat="1" x14ac:dyDescent="0.25">
      <c r="B1735" s="605" t="s">
        <v>4046</v>
      </c>
      <c r="C1735" s="606">
        <f t="shared" si="55"/>
        <v>531110</v>
      </c>
      <c r="D1735" s="607" t="s">
        <v>4047</v>
      </c>
      <c r="E1735" s="607" t="s">
        <v>4050</v>
      </c>
      <c r="F1735" s="607" t="s">
        <v>4051</v>
      </c>
      <c r="G1735" s="607" t="s">
        <v>4044</v>
      </c>
      <c r="H1735" s="607" t="s">
        <v>4044</v>
      </c>
      <c r="I1735" s="607" t="s">
        <v>4044</v>
      </c>
      <c r="J1735" s="608" t="str">
        <f t="shared" si="54"/>
        <v>Real Estate</v>
      </c>
      <c r="N1735" s="822">
        <v>484210</v>
      </c>
      <c r="O1735" s="822" t="s">
        <v>3626</v>
      </c>
      <c r="P1735" s="823">
        <v>4213</v>
      </c>
      <c r="Q1735" s="823" t="s">
        <v>3622</v>
      </c>
    </row>
    <row r="1736" spans="2:17" s="608" customFormat="1" x14ac:dyDescent="0.25">
      <c r="B1736" s="605" t="s">
        <v>4046</v>
      </c>
      <c r="C1736" s="606">
        <f t="shared" si="55"/>
        <v>531110</v>
      </c>
      <c r="D1736" s="607" t="s">
        <v>4047</v>
      </c>
      <c r="E1736" s="607" t="s">
        <v>4052</v>
      </c>
      <c r="F1736" s="607" t="s">
        <v>4053</v>
      </c>
      <c r="G1736" s="607" t="s">
        <v>4044</v>
      </c>
      <c r="H1736" s="607" t="s">
        <v>4044</v>
      </c>
      <c r="I1736" s="607" t="s">
        <v>4044</v>
      </c>
      <c r="J1736" s="608" t="str">
        <f t="shared" si="54"/>
        <v>Real Estate</v>
      </c>
      <c r="N1736" s="822">
        <v>484210</v>
      </c>
      <c r="O1736" s="822" t="s">
        <v>3626</v>
      </c>
      <c r="P1736" s="823">
        <v>4214</v>
      </c>
      <c r="Q1736" s="823" t="s">
        <v>3618</v>
      </c>
    </row>
    <row r="1737" spans="2:17" s="608" customFormat="1" x14ac:dyDescent="0.25">
      <c r="B1737" s="605" t="s">
        <v>4046</v>
      </c>
      <c r="C1737" s="606">
        <f t="shared" si="55"/>
        <v>531110</v>
      </c>
      <c r="D1737" s="607" t="s">
        <v>4047</v>
      </c>
      <c r="E1737" s="607" t="s">
        <v>4042</v>
      </c>
      <c r="F1737" s="607" t="s">
        <v>4043</v>
      </c>
      <c r="G1737" s="607" t="s">
        <v>4044</v>
      </c>
      <c r="H1737" s="607" t="s">
        <v>4044</v>
      </c>
      <c r="I1737" s="607" t="s">
        <v>4045</v>
      </c>
      <c r="J1737" s="608" t="str">
        <f t="shared" si="54"/>
        <v>Real Estate Investment Trust</v>
      </c>
      <c r="N1737" s="822">
        <v>484220</v>
      </c>
      <c r="O1737" s="822" t="s">
        <v>3628</v>
      </c>
      <c r="P1737" s="823">
        <v>4212</v>
      </c>
      <c r="Q1737" s="823" t="s">
        <v>3616</v>
      </c>
    </row>
    <row r="1738" spans="2:17" s="608" customFormat="1" x14ac:dyDescent="0.25">
      <c r="B1738" s="605" t="s">
        <v>4054</v>
      </c>
      <c r="C1738" s="606">
        <f t="shared" si="55"/>
        <v>531120</v>
      </c>
      <c r="D1738" s="607" t="s">
        <v>4055</v>
      </c>
      <c r="E1738" s="607" t="s">
        <v>4056</v>
      </c>
      <c r="F1738" s="607" t="s">
        <v>4057</v>
      </c>
      <c r="G1738" s="607" t="s">
        <v>4044</v>
      </c>
      <c r="H1738" s="607" t="s">
        <v>4044</v>
      </c>
      <c r="I1738" s="607" t="s">
        <v>4044</v>
      </c>
      <c r="J1738" s="608" t="str">
        <f t="shared" si="54"/>
        <v>Real Estate</v>
      </c>
      <c r="N1738" s="822">
        <v>484220</v>
      </c>
      <c r="O1738" s="822" t="s">
        <v>3628</v>
      </c>
      <c r="P1738" s="823">
        <v>4214</v>
      </c>
      <c r="Q1738" s="823" t="s">
        <v>3618</v>
      </c>
    </row>
    <row r="1739" spans="2:17" s="608" customFormat="1" x14ac:dyDescent="0.25">
      <c r="B1739" s="605" t="s">
        <v>4054</v>
      </c>
      <c r="C1739" s="606">
        <f t="shared" si="55"/>
        <v>531120</v>
      </c>
      <c r="D1739" s="607" t="s">
        <v>4055</v>
      </c>
      <c r="E1739" s="607" t="s">
        <v>4042</v>
      </c>
      <c r="F1739" s="607" t="s">
        <v>4043</v>
      </c>
      <c r="G1739" s="607" t="s">
        <v>4044</v>
      </c>
      <c r="H1739" s="607" t="s">
        <v>4044</v>
      </c>
      <c r="I1739" s="607" t="s">
        <v>4045</v>
      </c>
      <c r="J1739" s="608" t="str">
        <f t="shared" si="54"/>
        <v>Real Estate Investment Trust</v>
      </c>
      <c r="N1739" s="822">
        <v>484230</v>
      </c>
      <c r="O1739" s="822" t="s">
        <v>3630</v>
      </c>
      <c r="P1739" s="823">
        <v>4213</v>
      </c>
      <c r="Q1739" s="823" t="s">
        <v>3622</v>
      </c>
    </row>
    <row r="1740" spans="2:17" s="608" customFormat="1" x14ac:dyDescent="0.25">
      <c r="B1740" s="605" t="s">
        <v>4058</v>
      </c>
      <c r="C1740" s="606">
        <f t="shared" si="55"/>
        <v>531130</v>
      </c>
      <c r="D1740" s="607" t="s">
        <v>4059</v>
      </c>
      <c r="E1740" s="607" t="s">
        <v>3759</v>
      </c>
      <c r="F1740" s="607" t="s">
        <v>3758</v>
      </c>
      <c r="G1740" s="607" t="s">
        <v>4044</v>
      </c>
      <c r="H1740" s="607" t="s">
        <v>4044</v>
      </c>
      <c r="I1740" s="607" t="s">
        <v>4044</v>
      </c>
      <c r="J1740" s="608" t="str">
        <f t="shared" si="54"/>
        <v>Real Estate</v>
      </c>
      <c r="N1740" s="822">
        <v>485111</v>
      </c>
      <c r="O1740" s="822" t="s">
        <v>3632</v>
      </c>
      <c r="P1740" s="823">
        <v>4111</v>
      </c>
      <c r="Q1740" s="823" t="s">
        <v>3634</v>
      </c>
    </row>
    <row r="1741" spans="2:17" s="608" customFormat="1" x14ac:dyDescent="0.25">
      <c r="B1741" s="605" t="s">
        <v>4058</v>
      </c>
      <c r="C1741" s="606">
        <f t="shared" si="55"/>
        <v>531130</v>
      </c>
      <c r="D1741" s="607" t="s">
        <v>4059</v>
      </c>
      <c r="E1741" s="607" t="s">
        <v>4042</v>
      </c>
      <c r="F1741" s="607" t="s">
        <v>4043</v>
      </c>
      <c r="G1741" s="607" t="s">
        <v>4044</v>
      </c>
      <c r="H1741" s="607" t="s">
        <v>4044</v>
      </c>
      <c r="I1741" s="607" t="s">
        <v>4045</v>
      </c>
      <c r="J1741" s="608" t="str">
        <f t="shared" si="54"/>
        <v>Real Estate Investment Trust</v>
      </c>
      <c r="N1741" s="822">
        <v>485112</v>
      </c>
      <c r="O1741" s="822" t="s">
        <v>3636</v>
      </c>
      <c r="P1741" s="823">
        <v>4111</v>
      </c>
      <c r="Q1741" s="823" t="s">
        <v>3634</v>
      </c>
    </row>
    <row r="1742" spans="2:17" s="608" customFormat="1" x14ac:dyDescent="0.25">
      <c r="B1742" s="605" t="s">
        <v>4060</v>
      </c>
      <c r="C1742" s="606">
        <f t="shared" si="55"/>
        <v>531190</v>
      </c>
      <c r="D1742" s="607" t="s">
        <v>4061</v>
      </c>
      <c r="E1742" s="607" t="s">
        <v>4062</v>
      </c>
      <c r="F1742" s="607" t="s">
        <v>4063</v>
      </c>
      <c r="G1742" s="607" t="s">
        <v>4044</v>
      </c>
      <c r="H1742" s="607" t="s">
        <v>4044</v>
      </c>
      <c r="I1742" s="607" t="s">
        <v>4044</v>
      </c>
      <c r="J1742" s="608" t="str">
        <f t="shared" si="54"/>
        <v>Real Estate</v>
      </c>
      <c r="N1742" s="822">
        <v>485113</v>
      </c>
      <c r="O1742" s="822" t="s">
        <v>3638</v>
      </c>
      <c r="P1742" s="823">
        <v>4111</v>
      </c>
      <c r="Q1742" s="823" t="s">
        <v>3634</v>
      </c>
    </row>
    <row r="1743" spans="2:17" s="608" customFormat="1" x14ac:dyDescent="0.25">
      <c r="B1743" s="605" t="s">
        <v>4060</v>
      </c>
      <c r="C1743" s="606">
        <f t="shared" si="55"/>
        <v>531190</v>
      </c>
      <c r="D1743" s="607" t="s">
        <v>4061</v>
      </c>
      <c r="E1743" s="607" t="s">
        <v>4064</v>
      </c>
      <c r="F1743" s="607" t="s">
        <v>4065</v>
      </c>
      <c r="G1743" s="607" t="s">
        <v>4044</v>
      </c>
      <c r="H1743" s="607" t="s">
        <v>4044</v>
      </c>
      <c r="I1743" s="607" t="s">
        <v>4044</v>
      </c>
      <c r="J1743" s="608" t="str">
        <f t="shared" ref="J1743:J1806" si="56">PROPER(I1743)</f>
        <v>Real Estate</v>
      </c>
      <c r="N1743" s="822">
        <v>485119</v>
      </c>
      <c r="O1743" s="822" t="s">
        <v>3640</v>
      </c>
      <c r="P1743" s="823">
        <v>4111</v>
      </c>
      <c r="Q1743" s="823" t="s">
        <v>3634</v>
      </c>
    </row>
    <row r="1744" spans="2:17" s="608" customFormat="1" x14ac:dyDescent="0.25">
      <c r="B1744" s="605" t="s">
        <v>4060</v>
      </c>
      <c r="C1744" s="606">
        <f t="shared" si="55"/>
        <v>531190</v>
      </c>
      <c r="D1744" s="607" t="s">
        <v>4061</v>
      </c>
      <c r="E1744" s="607" t="s">
        <v>4066</v>
      </c>
      <c r="F1744" s="607" t="s">
        <v>4067</v>
      </c>
      <c r="G1744" s="607" t="s">
        <v>4044</v>
      </c>
      <c r="H1744" s="607" t="s">
        <v>4044</v>
      </c>
      <c r="I1744" s="607" t="s">
        <v>4044</v>
      </c>
      <c r="J1744" s="608" t="str">
        <f t="shared" si="56"/>
        <v>Real Estate</v>
      </c>
      <c r="N1744" s="822">
        <v>485210</v>
      </c>
      <c r="O1744" s="822" t="s">
        <v>3642</v>
      </c>
      <c r="P1744" s="823">
        <v>4131</v>
      </c>
      <c r="Q1744" s="823" t="s">
        <v>3644</v>
      </c>
    </row>
    <row r="1745" spans="2:17" s="608" customFormat="1" x14ac:dyDescent="0.25">
      <c r="B1745" s="605" t="s">
        <v>4060</v>
      </c>
      <c r="C1745" s="606">
        <f t="shared" si="55"/>
        <v>531190</v>
      </c>
      <c r="D1745" s="607" t="s">
        <v>4061</v>
      </c>
      <c r="E1745" s="607" t="s">
        <v>4042</v>
      </c>
      <c r="F1745" s="607" t="s">
        <v>4043</v>
      </c>
      <c r="G1745" s="607" t="s">
        <v>4044</v>
      </c>
      <c r="H1745" s="607" t="s">
        <v>4044</v>
      </c>
      <c r="I1745" s="607" t="s">
        <v>4045</v>
      </c>
      <c r="J1745" s="608" t="str">
        <f t="shared" si="56"/>
        <v>Real Estate Investment Trust</v>
      </c>
      <c r="N1745" s="822">
        <v>485310</v>
      </c>
      <c r="O1745" s="822" t="s">
        <v>3646</v>
      </c>
      <c r="P1745" s="823">
        <v>4121</v>
      </c>
      <c r="Q1745" s="823" t="s">
        <v>3648</v>
      </c>
    </row>
    <row r="1746" spans="2:17" s="608" customFormat="1" x14ac:dyDescent="0.25">
      <c r="B1746" s="605" t="s">
        <v>4068</v>
      </c>
      <c r="C1746" s="606">
        <f t="shared" si="55"/>
        <v>531210</v>
      </c>
      <c r="D1746" s="607" t="s">
        <v>4069</v>
      </c>
      <c r="E1746" s="607" t="s">
        <v>4052</v>
      </c>
      <c r="F1746" s="607" t="s">
        <v>4053</v>
      </c>
      <c r="G1746" s="607" t="s">
        <v>4044</v>
      </c>
      <c r="H1746" s="607" t="s">
        <v>4044</v>
      </c>
      <c r="I1746" s="607" t="s">
        <v>4044</v>
      </c>
      <c r="J1746" s="608" t="str">
        <f t="shared" si="56"/>
        <v>Real Estate</v>
      </c>
      <c r="N1746" s="822">
        <v>485310</v>
      </c>
      <c r="O1746" s="822" t="s">
        <v>3646</v>
      </c>
      <c r="P1746" s="823">
        <v>4899</v>
      </c>
      <c r="Q1746" s="823" t="s">
        <v>3650</v>
      </c>
    </row>
    <row r="1747" spans="2:17" s="608" customFormat="1" x14ac:dyDescent="0.25">
      <c r="B1747" s="605" t="s">
        <v>4070</v>
      </c>
      <c r="C1747" s="606">
        <f t="shared" si="55"/>
        <v>531311</v>
      </c>
      <c r="D1747" s="607" t="s">
        <v>4071</v>
      </c>
      <c r="E1747" s="607" t="s">
        <v>4052</v>
      </c>
      <c r="F1747" s="607" t="s">
        <v>4053</v>
      </c>
      <c r="G1747" s="607" t="s">
        <v>4044</v>
      </c>
      <c r="H1747" s="607" t="s">
        <v>4044</v>
      </c>
      <c r="I1747" s="607" t="s">
        <v>4044</v>
      </c>
      <c r="J1747" s="608" t="str">
        <f t="shared" si="56"/>
        <v>Real Estate</v>
      </c>
      <c r="N1747" s="822">
        <v>485320</v>
      </c>
      <c r="O1747" s="822" t="s">
        <v>3652</v>
      </c>
      <c r="P1747" s="823">
        <v>4119</v>
      </c>
      <c r="Q1747" s="823" t="s">
        <v>3654</v>
      </c>
    </row>
    <row r="1748" spans="2:17" s="608" customFormat="1" x14ac:dyDescent="0.25">
      <c r="B1748" s="605" t="s">
        <v>4072</v>
      </c>
      <c r="C1748" s="606">
        <f t="shared" si="55"/>
        <v>531312</v>
      </c>
      <c r="D1748" s="607" t="s">
        <v>4073</v>
      </c>
      <c r="E1748" s="607" t="s">
        <v>4052</v>
      </c>
      <c r="F1748" s="607" t="s">
        <v>4053</v>
      </c>
      <c r="G1748" s="607" t="s">
        <v>4044</v>
      </c>
      <c r="H1748" s="607" t="s">
        <v>4044</v>
      </c>
      <c r="I1748" s="607" t="s">
        <v>4044</v>
      </c>
      <c r="J1748" s="608" t="str">
        <f t="shared" si="56"/>
        <v>Real Estate</v>
      </c>
      <c r="N1748" s="822">
        <v>485410</v>
      </c>
      <c r="O1748" s="822" t="s">
        <v>3656</v>
      </c>
      <c r="P1748" s="823">
        <v>4119</v>
      </c>
      <c r="Q1748" s="823" t="s">
        <v>3654</v>
      </c>
    </row>
    <row r="1749" spans="2:17" s="608" customFormat="1" x14ac:dyDescent="0.25">
      <c r="B1749" s="605" t="s">
        <v>4074</v>
      </c>
      <c r="C1749" s="606">
        <f t="shared" si="55"/>
        <v>531320</v>
      </c>
      <c r="D1749" s="607" t="s">
        <v>4075</v>
      </c>
      <c r="E1749" s="607" t="s">
        <v>4052</v>
      </c>
      <c r="F1749" s="607" t="s">
        <v>4053</v>
      </c>
      <c r="G1749" s="607" t="s">
        <v>4044</v>
      </c>
      <c r="H1749" s="607" t="s">
        <v>4044</v>
      </c>
      <c r="I1749" s="607" t="s">
        <v>4044</v>
      </c>
      <c r="J1749" s="608" t="str">
        <f t="shared" si="56"/>
        <v>Real Estate</v>
      </c>
      <c r="N1749" s="822">
        <v>485410</v>
      </c>
      <c r="O1749" s="822" t="s">
        <v>3656</v>
      </c>
      <c r="P1749" s="823">
        <v>4151</v>
      </c>
      <c r="Q1749" s="823" t="s">
        <v>3658</v>
      </c>
    </row>
    <row r="1750" spans="2:17" s="608" customFormat="1" x14ac:dyDescent="0.25">
      <c r="B1750" s="605" t="s">
        <v>4076</v>
      </c>
      <c r="C1750" s="606">
        <f t="shared" si="55"/>
        <v>531390</v>
      </c>
      <c r="D1750" s="607" t="s">
        <v>4077</v>
      </c>
      <c r="E1750" s="607" t="s">
        <v>4052</v>
      </c>
      <c r="F1750" s="607" t="s">
        <v>4053</v>
      </c>
      <c r="G1750" s="607" t="s">
        <v>4044</v>
      </c>
      <c r="H1750" s="607" t="s">
        <v>4044</v>
      </c>
      <c r="I1750" s="607" t="s">
        <v>4044</v>
      </c>
      <c r="J1750" s="608" t="str">
        <f t="shared" si="56"/>
        <v>Real Estate</v>
      </c>
      <c r="N1750" s="822">
        <v>485510</v>
      </c>
      <c r="O1750" s="822" t="s">
        <v>3660</v>
      </c>
      <c r="P1750" s="823">
        <v>4141</v>
      </c>
      <c r="Q1750" s="823" t="s">
        <v>3662</v>
      </c>
    </row>
    <row r="1751" spans="2:17" s="608" customFormat="1" x14ac:dyDescent="0.25">
      <c r="B1751" s="605" t="s">
        <v>4078</v>
      </c>
      <c r="C1751" s="606">
        <f t="shared" si="55"/>
        <v>532111</v>
      </c>
      <c r="D1751" s="607" t="s">
        <v>4079</v>
      </c>
      <c r="E1751" s="607" t="s">
        <v>4080</v>
      </c>
      <c r="F1751" s="607" t="s">
        <v>4079</v>
      </c>
      <c r="G1751" s="607" t="s">
        <v>1594</v>
      </c>
      <c r="H1751" s="607" t="s">
        <v>1594</v>
      </c>
      <c r="I1751" s="607" t="s">
        <v>2842</v>
      </c>
      <c r="J1751" s="608" t="str">
        <f t="shared" si="56"/>
        <v>Automobile</v>
      </c>
      <c r="N1751" s="822">
        <v>485510</v>
      </c>
      <c r="O1751" s="822" t="s">
        <v>3660</v>
      </c>
      <c r="P1751" s="823">
        <v>4142</v>
      </c>
      <c r="Q1751" s="823" t="s">
        <v>3664</v>
      </c>
    </row>
    <row r="1752" spans="2:17" s="608" customFormat="1" x14ac:dyDescent="0.25">
      <c r="B1752" s="605" t="s">
        <v>4081</v>
      </c>
      <c r="C1752" s="606">
        <f t="shared" si="55"/>
        <v>532112</v>
      </c>
      <c r="D1752" s="607" t="s">
        <v>4082</v>
      </c>
      <c r="E1752" s="607" t="s">
        <v>4083</v>
      </c>
      <c r="F1752" s="607" t="s">
        <v>4082</v>
      </c>
      <c r="G1752" s="607" t="s">
        <v>1594</v>
      </c>
      <c r="H1752" s="607" t="s">
        <v>1594</v>
      </c>
      <c r="I1752" s="607" t="s">
        <v>2842</v>
      </c>
      <c r="J1752" s="608" t="str">
        <f t="shared" si="56"/>
        <v>Automobile</v>
      </c>
      <c r="N1752" s="822">
        <v>485991</v>
      </c>
      <c r="O1752" s="822" t="s">
        <v>3666</v>
      </c>
      <c r="P1752" s="823">
        <v>4119</v>
      </c>
      <c r="Q1752" s="823" t="s">
        <v>3654</v>
      </c>
    </row>
    <row r="1753" spans="2:17" s="608" customFormat="1" x14ac:dyDescent="0.25">
      <c r="B1753" s="605" t="s">
        <v>4084</v>
      </c>
      <c r="C1753" s="606">
        <f t="shared" si="55"/>
        <v>532120</v>
      </c>
      <c r="D1753" s="607" t="s">
        <v>4085</v>
      </c>
      <c r="E1753" s="607" t="s">
        <v>4086</v>
      </c>
      <c r="F1753" s="607" t="s">
        <v>4087</v>
      </c>
      <c r="G1753" s="607" t="s">
        <v>1594</v>
      </c>
      <c r="H1753" s="607" t="s">
        <v>1594</v>
      </c>
      <c r="I1753" s="607" t="s">
        <v>2842</v>
      </c>
      <c r="J1753" s="608" t="str">
        <f t="shared" si="56"/>
        <v>Automobile</v>
      </c>
      <c r="N1753" s="822">
        <v>485999</v>
      </c>
      <c r="O1753" s="822" t="s">
        <v>3668</v>
      </c>
      <c r="P1753" s="823">
        <v>4111</v>
      </c>
      <c r="Q1753" s="823" t="s">
        <v>3634</v>
      </c>
    </row>
    <row r="1754" spans="2:17" s="608" customFormat="1" x14ac:dyDescent="0.25">
      <c r="B1754" s="605" t="s">
        <v>4084</v>
      </c>
      <c r="C1754" s="606">
        <f t="shared" si="55"/>
        <v>532120</v>
      </c>
      <c r="D1754" s="607" t="s">
        <v>4085</v>
      </c>
      <c r="E1754" s="607" t="s">
        <v>4088</v>
      </c>
      <c r="F1754" s="607" t="s">
        <v>4089</v>
      </c>
      <c r="G1754" s="607" t="s">
        <v>1594</v>
      </c>
      <c r="H1754" s="607" t="s">
        <v>1594</v>
      </c>
      <c r="I1754" s="607" t="s">
        <v>2842</v>
      </c>
      <c r="J1754" s="608" t="str">
        <f t="shared" si="56"/>
        <v>Automobile</v>
      </c>
      <c r="N1754" s="822">
        <v>485999</v>
      </c>
      <c r="O1754" s="822" t="s">
        <v>3668</v>
      </c>
      <c r="P1754" s="823">
        <v>4119</v>
      </c>
      <c r="Q1754" s="823" t="s">
        <v>3654</v>
      </c>
    </row>
    <row r="1755" spans="2:17" s="608" customFormat="1" x14ac:dyDescent="0.25">
      <c r="B1755" s="605" t="s">
        <v>4090</v>
      </c>
      <c r="C1755" s="606">
        <f t="shared" si="55"/>
        <v>532210</v>
      </c>
      <c r="D1755" s="607" t="s">
        <v>4091</v>
      </c>
      <c r="E1755" s="605" t="s">
        <v>4092</v>
      </c>
      <c r="F1755" s="607" t="s">
        <v>4093</v>
      </c>
      <c r="G1755" s="607" t="s">
        <v>1594</v>
      </c>
      <c r="H1755" s="607" t="s">
        <v>1594</v>
      </c>
      <c r="I1755" s="608" t="s">
        <v>2529</v>
      </c>
      <c r="J1755" s="608" t="str">
        <f t="shared" si="56"/>
        <v>Consumer Electronics</v>
      </c>
      <c r="N1755" s="822">
        <v>486110</v>
      </c>
      <c r="O1755" s="822" t="s">
        <v>3670</v>
      </c>
      <c r="P1755" s="823">
        <v>4612</v>
      </c>
      <c r="Q1755" s="823" t="s">
        <v>3672</v>
      </c>
    </row>
    <row r="1756" spans="2:17" s="608" customFormat="1" x14ac:dyDescent="0.25">
      <c r="B1756" s="605" t="s">
        <v>4094</v>
      </c>
      <c r="C1756" s="606">
        <f t="shared" si="55"/>
        <v>532281</v>
      </c>
      <c r="D1756" s="607" t="s">
        <v>4095</v>
      </c>
      <c r="E1756" s="605" t="s">
        <v>4096</v>
      </c>
      <c r="F1756" s="607" t="s">
        <v>4097</v>
      </c>
      <c r="G1756" s="607" t="s">
        <v>1594</v>
      </c>
      <c r="H1756" s="607" t="s">
        <v>1594</v>
      </c>
      <c r="I1756" s="607" t="s">
        <v>1608</v>
      </c>
      <c r="J1756" s="608" t="str">
        <f t="shared" si="56"/>
        <v>Textile Apparel Luxury Goods</v>
      </c>
      <c r="N1756" s="822">
        <v>486210</v>
      </c>
      <c r="O1756" s="822" t="s">
        <v>3674</v>
      </c>
      <c r="P1756" s="823">
        <v>4922</v>
      </c>
      <c r="Q1756" s="823" t="s">
        <v>3676</v>
      </c>
    </row>
    <row r="1757" spans="2:17" s="608" customFormat="1" x14ac:dyDescent="0.25">
      <c r="B1757" s="605" t="s">
        <v>4094</v>
      </c>
      <c r="C1757" s="606">
        <f t="shared" si="55"/>
        <v>532281</v>
      </c>
      <c r="D1757" s="607" t="s">
        <v>4095</v>
      </c>
      <c r="E1757" s="605" t="s">
        <v>2762</v>
      </c>
      <c r="F1757" s="607" t="s">
        <v>2763</v>
      </c>
      <c r="G1757" s="607" t="s">
        <v>1594</v>
      </c>
      <c r="H1757" s="607" t="s">
        <v>1594</v>
      </c>
      <c r="I1757" s="607" t="s">
        <v>1608</v>
      </c>
      <c r="J1757" s="608" t="str">
        <f t="shared" si="56"/>
        <v>Textile Apparel Luxury Goods</v>
      </c>
      <c r="N1757" s="822">
        <v>486210</v>
      </c>
      <c r="O1757" s="822" t="s">
        <v>3674</v>
      </c>
      <c r="P1757" s="823">
        <v>4923</v>
      </c>
      <c r="Q1757" s="823" t="s">
        <v>1231</v>
      </c>
    </row>
    <row r="1758" spans="2:17" s="608" customFormat="1" x14ac:dyDescent="0.25">
      <c r="B1758" s="605" t="s">
        <v>4098</v>
      </c>
      <c r="C1758" s="606">
        <f t="shared" si="55"/>
        <v>532282</v>
      </c>
      <c r="D1758" s="607" t="s">
        <v>4099</v>
      </c>
      <c r="E1758" s="605" t="s">
        <v>4100</v>
      </c>
      <c r="F1758" s="607" t="s">
        <v>4101</v>
      </c>
      <c r="G1758" s="607" t="s">
        <v>1019</v>
      </c>
      <c r="H1758" s="607" t="s">
        <v>1019</v>
      </c>
      <c r="I1758" s="607" t="s">
        <v>1906</v>
      </c>
      <c r="J1758" s="608" t="str">
        <f t="shared" si="56"/>
        <v>Media</v>
      </c>
      <c r="N1758" s="822">
        <v>486910</v>
      </c>
      <c r="O1758" s="822" t="s">
        <v>3678</v>
      </c>
      <c r="P1758" s="823">
        <v>4613</v>
      </c>
      <c r="Q1758" s="823" t="s">
        <v>3680</v>
      </c>
    </row>
    <row r="1759" spans="2:17" s="608" customFormat="1" x14ac:dyDescent="0.25">
      <c r="B1759" s="605" t="s">
        <v>4102</v>
      </c>
      <c r="C1759" s="606">
        <f t="shared" si="55"/>
        <v>532283</v>
      </c>
      <c r="D1759" s="607" t="s">
        <v>4103</v>
      </c>
      <c r="E1759" s="605" t="s">
        <v>4104</v>
      </c>
      <c r="F1759" s="607" t="s">
        <v>4105</v>
      </c>
      <c r="G1759" s="607" t="s">
        <v>2021</v>
      </c>
      <c r="H1759" s="608" t="s">
        <v>2021</v>
      </c>
      <c r="I1759" s="607" t="s">
        <v>2713</v>
      </c>
      <c r="J1759" s="608" t="str">
        <f t="shared" si="56"/>
        <v>Healthcare Provdr And Svs</v>
      </c>
      <c r="N1759" s="822">
        <v>486990</v>
      </c>
      <c r="O1759" s="822" t="s">
        <v>3682</v>
      </c>
      <c r="P1759" s="823">
        <v>4619</v>
      </c>
      <c r="Q1759" s="823" t="s">
        <v>3684</v>
      </c>
    </row>
    <row r="1760" spans="2:17" s="608" customFormat="1" x14ac:dyDescent="0.25">
      <c r="B1760" s="605" t="s">
        <v>4106</v>
      </c>
      <c r="C1760" s="606">
        <f t="shared" si="55"/>
        <v>532284</v>
      </c>
      <c r="D1760" s="607" t="s">
        <v>4107</v>
      </c>
      <c r="E1760" s="605" t="s">
        <v>3689</v>
      </c>
      <c r="F1760" s="607" t="s">
        <v>3690</v>
      </c>
      <c r="G1760" s="607" t="s">
        <v>1594</v>
      </c>
      <c r="H1760" s="607" t="s">
        <v>1594</v>
      </c>
      <c r="I1760" s="608" t="s">
        <v>3018</v>
      </c>
      <c r="J1760" s="608" t="str">
        <f t="shared" si="56"/>
        <v>Leisure Equipment And Products</v>
      </c>
      <c r="N1760" s="822">
        <v>487110</v>
      </c>
      <c r="O1760" s="822" t="s">
        <v>3686</v>
      </c>
      <c r="P1760" s="823">
        <v>4119</v>
      </c>
      <c r="Q1760" s="823" t="s">
        <v>3654</v>
      </c>
    </row>
    <row r="1761" spans="2:17" s="608" customFormat="1" x14ac:dyDescent="0.25">
      <c r="B1761" s="605" t="s">
        <v>4108</v>
      </c>
      <c r="C1761" s="606">
        <f t="shared" si="55"/>
        <v>532289</v>
      </c>
      <c r="D1761" s="607" t="s">
        <v>4109</v>
      </c>
      <c r="E1761" s="605" t="s">
        <v>4092</v>
      </c>
      <c r="F1761" s="607" t="s">
        <v>4093</v>
      </c>
      <c r="G1761" s="607" t="s">
        <v>1594</v>
      </c>
      <c r="H1761" s="607" t="s">
        <v>1594</v>
      </c>
      <c r="I1761" s="607" t="s">
        <v>2929</v>
      </c>
      <c r="J1761" s="608" t="str">
        <f t="shared" si="56"/>
        <v>Capital Goods</v>
      </c>
      <c r="N1761" s="822">
        <v>487110</v>
      </c>
      <c r="O1761" s="822" t="s">
        <v>3686</v>
      </c>
      <c r="P1761" s="823">
        <v>4789</v>
      </c>
      <c r="Q1761" s="823" t="s">
        <v>3688</v>
      </c>
    </row>
    <row r="1762" spans="2:17" s="608" customFormat="1" x14ac:dyDescent="0.25">
      <c r="B1762" s="605" t="s">
        <v>4110</v>
      </c>
      <c r="C1762" s="606">
        <f t="shared" si="55"/>
        <v>532310</v>
      </c>
      <c r="D1762" s="607" t="s">
        <v>4111</v>
      </c>
      <c r="E1762" s="605" t="s">
        <v>4092</v>
      </c>
      <c r="F1762" s="607" t="s">
        <v>4093</v>
      </c>
      <c r="G1762" s="607" t="s">
        <v>1594</v>
      </c>
      <c r="H1762" s="607" t="s">
        <v>1594</v>
      </c>
      <c r="I1762" s="607" t="s">
        <v>2929</v>
      </c>
      <c r="J1762" s="608" t="str">
        <f t="shared" si="56"/>
        <v>Capital Goods</v>
      </c>
      <c r="N1762" s="822">
        <v>487110</v>
      </c>
      <c r="O1762" s="822" t="s">
        <v>3686</v>
      </c>
      <c r="P1762" s="823">
        <v>7999</v>
      </c>
      <c r="Q1762" s="823" t="s">
        <v>3690</v>
      </c>
    </row>
    <row r="1763" spans="2:17" s="608" customFormat="1" x14ac:dyDescent="0.25">
      <c r="B1763" s="605" t="s">
        <v>4112</v>
      </c>
      <c r="C1763" s="606">
        <f t="shared" si="55"/>
        <v>532411</v>
      </c>
      <c r="D1763" s="607" t="s">
        <v>4113</v>
      </c>
      <c r="E1763" s="605" t="s">
        <v>3607</v>
      </c>
      <c r="F1763" s="607" t="s">
        <v>3608</v>
      </c>
      <c r="G1763" s="607" t="s">
        <v>1019</v>
      </c>
      <c r="H1763" s="607" t="s">
        <v>1019</v>
      </c>
      <c r="I1763" s="607" t="s">
        <v>2920</v>
      </c>
      <c r="J1763" s="608" t="str">
        <f t="shared" si="56"/>
        <v>Transportation</v>
      </c>
      <c r="N1763" s="822">
        <v>487210</v>
      </c>
      <c r="O1763" s="822" t="s">
        <v>3693</v>
      </c>
      <c r="P1763" s="823">
        <v>4489</v>
      </c>
      <c r="Q1763" s="823" t="s">
        <v>3612</v>
      </c>
    </row>
    <row r="1764" spans="2:17" s="608" customFormat="1" x14ac:dyDescent="0.25">
      <c r="B1764" s="605" t="s">
        <v>4112</v>
      </c>
      <c r="C1764" s="606">
        <f t="shared" si="55"/>
        <v>532411</v>
      </c>
      <c r="D1764" s="607" t="s">
        <v>4113</v>
      </c>
      <c r="E1764" s="605" t="s">
        <v>3710</v>
      </c>
      <c r="F1764" s="607" t="s">
        <v>3711</v>
      </c>
      <c r="G1764" s="607" t="s">
        <v>1019</v>
      </c>
      <c r="H1764" s="607" t="s">
        <v>1019</v>
      </c>
      <c r="I1764" s="607" t="s">
        <v>2920</v>
      </c>
      <c r="J1764" s="608" t="str">
        <f t="shared" si="56"/>
        <v>Transportation</v>
      </c>
      <c r="N1764" s="822">
        <v>487210</v>
      </c>
      <c r="O1764" s="822" t="s">
        <v>3693</v>
      </c>
      <c r="P1764" s="823">
        <v>7999</v>
      </c>
      <c r="Q1764" s="823" t="s">
        <v>3690</v>
      </c>
    </row>
    <row r="1765" spans="2:17" s="608" customFormat="1" x14ac:dyDescent="0.25">
      <c r="B1765" s="605" t="s">
        <v>4112</v>
      </c>
      <c r="C1765" s="606">
        <f t="shared" si="55"/>
        <v>532411</v>
      </c>
      <c r="D1765" s="607" t="s">
        <v>4113</v>
      </c>
      <c r="E1765" s="605" t="s">
        <v>4092</v>
      </c>
      <c r="F1765" s="607" t="s">
        <v>4093</v>
      </c>
      <c r="G1765" s="607" t="s">
        <v>1019</v>
      </c>
      <c r="H1765" s="607" t="s">
        <v>1019</v>
      </c>
      <c r="I1765" s="607" t="s">
        <v>2476</v>
      </c>
      <c r="J1765" s="608" t="str">
        <f t="shared" si="56"/>
        <v>Machinery</v>
      </c>
      <c r="N1765" s="822">
        <v>487990</v>
      </c>
      <c r="O1765" s="822" t="s">
        <v>3695</v>
      </c>
      <c r="P1765" s="823">
        <v>4522</v>
      </c>
      <c r="Q1765" s="823" t="s">
        <v>3566</v>
      </c>
    </row>
    <row r="1766" spans="2:17" s="608" customFormat="1" x14ac:dyDescent="0.25">
      <c r="B1766" s="605" t="s">
        <v>4114</v>
      </c>
      <c r="C1766" s="606">
        <f t="shared" si="55"/>
        <v>532412</v>
      </c>
      <c r="D1766" s="607" t="s">
        <v>4115</v>
      </c>
      <c r="E1766" s="605" t="s">
        <v>1370</v>
      </c>
      <c r="F1766" s="607" t="s">
        <v>1371</v>
      </c>
      <c r="G1766" s="607" t="s">
        <v>1019</v>
      </c>
      <c r="H1766" s="607" t="s">
        <v>1019</v>
      </c>
      <c r="I1766" s="607" t="s">
        <v>2476</v>
      </c>
      <c r="J1766" s="608" t="str">
        <f t="shared" si="56"/>
        <v>Machinery</v>
      </c>
      <c r="N1766" s="822">
        <v>487990</v>
      </c>
      <c r="O1766" s="822" t="s">
        <v>3695</v>
      </c>
      <c r="P1766" s="823">
        <v>7999</v>
      </c>
      <c r="Q1766" s="823" t="s">
        <v>3690</v>
      </c>
    </row>
    <row r="1767" spans="2:17" s="608" customFormat="1" x14ac:dyDescent="0.25">
      <c r="B1767" s="605" t="s">
        <v>4114</v>
      </c>
      <c r="C1767" s="606">
        <f t="shared" si="55"/>
        <v>532412</v>
      </c>
      <c r="D1767" s="607" t="s">
        <v>4115</v>
      </c>
      <c r="E1767" s="605" t="s">
        <v>4092</v>
      </c>
      <c r="F1767" s="607" t="s">
        <v>4093</v>
      </c>
      <c r="G1767" s="607" t="s">
        <v>1019</v>
      </c>
      <c r="H1767" s="607" t="s">
        <v>1019</v>
      </c>
      <c r="I1767" s="607" t="s">
        <v>2476</v>
      </c>
      <c r="J1767" s="608" t="str">
        <f t="shared" si="56"/>
        <v>Machinery</v>
      </c>
      <c r="N1767" s="822">
        <v>488111</v>
      </c>
      <c r="O1767" s="822" t="s">
        <v>3697</v>
      </c>
      <c r="P1767" s="823">
        <v>4581</v>
      </c>
      <c r="Q1767" s="823" t="s">
        <v>3699</v>
      </c>
    </row>
    <row r="1768" spans="2:17" s="608" customFormat="1" x14ac:dyDescent="0.25">
      <c r="B1768" s="605" t="s">
        <v>4116</v>
      </c>
      <c r="C1768" s="606">
        <f t="shared" si="55"/>
        <v>532420</v>
      </c>
      <c r="D1768" s="607" t="s">
        <v>4117</v>
      </c>
      <c r="E1768" s="605" t="s">
        <v>4092</v>
      </c>
      <c r="F1768" s="607" t="s">
        <v>4093</v>
      </c>
      <c r="G1768" s="607" t="s">
        <v>1019</v>
      </c>
      <c r="H1768" s="607" t="s">
        <v>1019</v>
      </c>
      <c r="I1768" s="616" t="s">
        <v>2476</v>
      </c>
      <c r="J1768" s="608" t="str">
        <f t="shared" si="56"/>
        <v>Machinery</v>
      </c>
      <c r="N1768" s="822">
        <v>488111</v>
      </c>
      <c r="O1768" s="822" t="s">
        <v>3697</v>
      </c>
      <c r="P1768" s="823">
        <v>9621</v>
      </c>
      <c r="Q1768" s="823" t="s">
        <v>3701</v>
      </c>
    </row>
    <row r="1769" spans="2:17" s="608" customFormat="1" x14ac:dyDescent="0.25">
      <c r="B1769" s="605" t="s">
        <v>4116</v>
      </c>
      <c r="C1769" s="606">
        <f t="shared" si="55"/>
        <v>532420</v>
      </c>
      <c r="D1769" s="607" t="s">
        <v>4117</v>
      </c>
      <c r="E1769" s="605" t="s">
        <v>4118</v>
      </c>
      <c r="F1769" s="607" t="s">
        <v>4119</v>
      </c>
      <c r="G1769" s="607" t="s">
        <v>1019</v>
      </c>
      <c r="H1769" s="607" t="s">
        <v>1019</v>
      </c>
      <c r="I1769" s="616" t="s">
        <v>2476</v>
      </c>
      <c r="J1769" s="608" t="str">
        <f t="shared" si="56"/>
        <v>Machinery</v>
      </c>
      <c r="N1769" s="822">
        <v>488119</v>
      </c>
      <c r="O1769" s="822" t="s">
        <v>3703</v>
      </c>
      <c r="P1769" s="823">
        <v>4581</v>
      </c>
      <c r="Q1769" s="823" t="s">
        <v>3699</v>
      </c>
    </row>
    <row r="1770" spans="2:17" s="608" customFormat="1" x14ac:dyDescent="0.25">
      <c r="B1770" s="605" t="s">
        <v>4120</v>
      </c>
      <c r="C1770" s="606">
        <f t="shared" si="55"/>
        <v>532490</v>
      </c>
      <c r="D1770" s="607" t="s">
        <v>4121</v>
      </c>
      <c r="E1770" s="607" t="s">
        <v>4104</v>
      </c>
      <c r="F1770" s="607" t="s">
        <v>4105</v>
      </c>
      <c r="G1770" s="607" t="s">
        <v>1019</v>
      </c>
      <c r="H1770" s="607" t="s">
        <v>1019</v>
      </c>
      <c r="I1770" s="607" t="s">
        <v>2476</v>
      </c>
      <c r="J1770" s="608" t="str">
        <f t="shared" si="56"/>
        <v>Machinery</v>
      </c>
      <c r="N1770" s="822">
        <v>488119</v>
      </c>
      <c r="O1770" s="822" t="s">
        <v>3703</v>
      </c>
      <c r="P1770" s="823">
        <v>4959</v>
      </c>
      <c r="Q1770" s="823" t="s">
        <v>3705</v>
      </c>
    </row>
    <row r="1771" spans="2:17" s="608" customFormat="1" x14ac:dyDescent="0.25">
      <c r="B1771" s="605" t="s">
        <v>4120</v>
      </c>
      <c r="C1771" s="606">
        <f t="shared" si="55"/>
        <v>532490</v>
      </c>
      <c r="D1771" s="607" t="s">
        <v>4121</v>
      </c>
      <c r="E1771" s="607" t="s">
        <v>4092</v>
      </c>
      <c r="F1771" s="607" t="s">
        <v>4093</v>
      </c>
      <c r="G1771" s="607" t="s">
        <v>1019</v>
      </c>
      <c r="H1771" s="607" t="s">
        <v>1019</v>
      </c>
      <c r="I1771" s="607" t="s">
        <v>2476</v>
      </c>
      <c r="J1771" s="608" t="str">
        <f t="shared" si="56"/>
        <v>Machinery</v>
      </c>
      <c r="N1771" s="822">
        <v>488119</v>
      </c>
      <c r="O1771" s="822" t="s">
        <v>3703</v>
      </c>
      <c r="P1771" s="823">
        <v>7997</v>
      </c>
      <c r="Q1771" s="823" t="s">
        <v>3576</v>
      </c>
    </row>
    <row r="1772" spans="2:17" s="608" customFormat="1" x14ac:dyDescent="0.25">
      <c r="B1772" s="605" t="s">
        <v>4120</v>
      </c>
      <c r="C1772" s="606">
        <f t="shared" si="55"/>
        <v>532490</v>
      </c>
      <c r="D1772" s="607" t="s">
        <v>4121</v>
      </c>
      <c r="E1772" s="607" t="s">
        <v>2762</v>
      </c>
      <c r="F1772" s="607" t="s">
        <v>2763</v>
      </c>
      <c r="G1772" s="607" t="s">
        <v>1019</v>
      </c>
      <c r="H1772" s="607" t="s">
        <v>1019</v>
      </c>
      <c r="I1772" s="607" t="s">
        <v>2476</v>
      </c>
      <c r="J1772" s="608" t="str">
        <f t="shared" si="56"/>
        <v>Machinery</v>
      </c>
      <c r="N1772" s="822">
        <v>488190</v>
      </c>
      <c r="O1772" s="822" t="s">
        <v>3707</v>
      </c>
      <c r="P1772" s="823">
        <v>4581</v>
      </c>
      <c r="Q1772" s="823" t="s">
        <v>3699</v>
      </c>
    </row>
    <row r="1773" spans="2:17" s="608" customFormat="1" x14ac:dyDescent="0.25">
      <c r="B1773" s="605" t="s">
        <v>4120</v>
      </c>
      <c r="C1773" s="606">
        <f t="shared" si="55"/>
        <v>532490</v>
      </c>
      <c r="D1773" s="607" t="s">
        <v>4121</v>
      </c>
      <c r="E1773" s="607" t="s">
        <v>3824</v>
      </c>
      <c r="F1773" s="607" t="s">
        <v>3825</v>
      </c>
      <c r="G1773" s="607" t="s">
        <v>1019</v>
      </c>
      <c r="H1773" s="607" t="s">
        <v>1019</v>
      </c>
      <c r="I1773" s="607" t="s">
        <v>2476</v>
      </c>
      <c r="J1773" s="608" t="str">
        <f t="shared" si="56"/>
        <v>Machinery</v>
      </c>
      <c r="N1773" s="822">
        <v>488210</v>
      </c>
      <c r="O1773" s="822" t="s">
        <v>3709</v>
      </c>
      <c r="P1773" s="823">
        <v>4013</v>
      </c>
      <c r="Q1773" s="823" t="s">
        <v>3584</v>
      </c>
    </row>
    <row r="1774" spans="2:17" s="608" customFormat="1" x14ac:dyDescent="0.25">
      <c r="B1774" s="605" t="s">
        <v>4122</v>
      </c>
      <c r="C1774" s="606">
        <f t="shared" si="55"/>
        <v>533110</v>
      </c>
      <c r="D1774" s="607" t="s">
        <v>4123</v>
      </c>
      <c r="E1774" s="607" t="s">
        <v>3966</v>
      </c>
      <c r="F1774" s="607" t="s">
        <v>3967</v>
      </c>
      <c r="G1774" s="607" t="s">
        <v>3880</v>
      </c>
      <c r="H1774" s="607" t="s">
        <v>3880</v>
      </c>
      <c r="I1774" s="607" t="s">
        <v>3896</v>
      </c>
      <c r="J1774" s="608" t="str">
        <f t="shared" si="56"/>
        <v>Diversified Financials</v>
      </c>
      <c r="N1774" s="822">
        <v>488210</v>
      </c>
      <c r="O1774" s="822" t="s">
        <v>3709</v>
      </c>
      <c r="P1774" s="823">
        <v>4741</v>
      </c>
      <c r="Q1774" s="823" t="s">
        <v>3711</v>
      </c>
    </row>
    <row r="1775" spans="2:17" s="608" customFormat="1" x14ac:dyDescent="0.25">
      <c r="B1775" s="605" t="s">
        <v>4122</v>
      </c>
      <c r="C1775" s="606">
        <f t="shared" si="55"/>
        <v>533110</v>
      </c>
      <c r="D1775" s="607" t="s">
        <v>4123</v>
      </c>
      <c r="E1775" s="607" t="s">
        <v>4124</v>
      </c>
      <c r="F1775" s="607" t="s">
        <v>4125</v>
      </c>
      <c r="G1775" s="607" t="s">
        <v>4044</v>
      </c>
      <c r="H1775" s="607" t="s">
        <v>4044</v>
      </c>
      <c r="I1775" s="607" t="s">
        <v>4044</v>
      </c>
      <c r="J1775" s="608" t="str">
        <f t="shared" si="56"/>
        <v>Real Estate</v>
      </c>
      <c r="N1775" s="822">
        <v>488210</v>
      </c>
      <c r="O1775" s="822" t="s">
        <v>3709</v>
      </c>
      <c r="P1775" s="823">
        <v>4789</v>
      </c>
      <c r="Q1775" s="823" t="s">
        <v>3688</v>
      </c>
    </row>
    <row r="1776" spans="2:17" s="608" customFormat="1" x14ac:dyDescent="0.25">
      <c r="B1776" s="605" t="s">
        <v>4126</v>
      </c>
      <c r="C1776" s="606">
        <f t="shared" si="55"/>
        <v>541110</v>
      </c>
      <c r="D1776" s="607" t="s">
        <v>4127</v>
      </c>
      <c r="E1776" s="607" t="s">
        <v>4128</v>
      </c>
      <c r="F1776" s="607" t="s">
        <v>4129</v>
      </c>
      <c r="G1776" s="607" t="s">
        <v>1594</v>
      </c>
      <c r="H1776" s="607" t="s">
        <v>1594</v>
      </c>
      <c r="I1776" s="607" t="s">
        <v>1921</v>
      </c>
      <c r="J1776" s="608" t="str">
        <f t="shared" si="56"/>
        <v>Commercial &amp; Professional Services</v>
      </c>
      <c r="N1776" s="822">
        <v>488310</v>
      </c>
      <c r="O1776" s="822" t="s">
        <v>3713</v>
      </c>
      <c r="P1776" s="823">
        <v>4491</v>
      </c>
      <c r="Q1776" s="823" t="s">
        <v>3715</v>
      </c>
    </row>
    <row r="1777" spans="2:17" s="608" customFormat="1" x14ac:dyDescent="0.25">
      <c r="B1777" s="605" t="s">
        <v>4130</v>
      </c>
      <c r="C1777" s="606">
        <f t="shared" si="55"/>
        <v>541120</v>
      </c>
      <c r="D1777" s="607" t="s">
        <v>4131</v>
      </c>
      <c r="E1777" s="605" t="s">
        <v>3</v>
      </c>
      <c r="F1777" s="607" t="s">
        <v>958</v>
      </c>
      <c r="G1777" s="607" t="s">
        <v>1594</v>
      </c>
      <c r="H1777" s="607" t="s">
        <v>1594</v>
      </c>
      <c r="I1777" s="607" t="s">
        <v>1921</v>
      </c>
      <c r="J1777" s="608" t="str">
        <f t="shared" si="56"/>
        <v>Commercial &amp; Professional Services</v>
      </c>
      <c r="N1777" s="822">
        <v>488310</v>
      </c>
      <c r="O1777" s="822" t="s">
        <v>3713</v>
      </c>
      <c r="P1777" s="823">
        <v>4499</v>
      </c>
      <c r="Q1777" s="823" t="s">
        <v>3608</v>
      </c>
    </row>
    <row r="1778" spans="2:17" s="608" customFormat="1" x14ac:dyDescent="0.25">
      <c r="B1778" s="605" t="s">
        <v>4132</v>
      </c>
      <c r="C1778" s="606">
        <f t="shared" si="55"/>
        <v>541191</v>
      </c>
      <c r="D1778" s="607" t="s">
        <v>4133</v>
      </c>
      <c r="E1778" s="607" t="s">
        <v>4134</v>
      </c>
      <c r="F1778" s="607" t="s">
        <v>4135</v>
      </c>
      <c r="G1778" s="607" t="s">
        <v>1594</v>
      </c>
      <c r="H1778" s="607" t="s">
        <v>1594</v>
      </c>
      <c r="I1778" s="607" t="s">
        <v>1921</v>
      </c>
      <c r="J1778" s="608" t="str">
        <f t="shared" si="56"/>
        <v>Commercial &amp; Professional Services</v>
      </c>
      <c r="N1778" s="822">
        <v>488320</v>
      </c>
      <c r="O1778" s="822" t="s">
        <v>3715</v>
      </c>
      <c r="P1778" s="823">
        <v>4491</v>
      </c>
      <c r="Q1778" s="823" t="s">
        <v>3715</v>
      </c>
    </row>
    <row r="1779" spans="2:17" s="608" customFormat="1" x14ac:dyDescent="0.25">
      <c r="B1779" s="605" t="s">
        <v>4136</v>
      </c>
      <c r="C1779" s="606">
        <f t="shared" si="55"/>
        <v>541199</v>
      </c>
      <c r="D1779" s="607" t="s">
        <v>4137</v>
      </c>
      <c r="E1779" s="607" t="s">
        <v>1588</v>
      </c>
      <c r="F1779" s="607" t="s">
        <v>1589</v>
      </c>
      <c r="G1779" s="607" t="s">
        <v>1594</v>
      </c>
      <c r="H1779" s="607" t="s">
        <v>1594</v>
      </c>
      <c r="I1779" s="607" t="s">
        <v>1921</v>
      </c>
      <c r="J1779" s="608" t="str">
        <f t="shared" si="56"/>
        <v>Commercial &amp; Professional Services</v>
      </c>
      <c r="N1779" s="822">
        <v>488330</v>
      </c>
      <c r="O1779" s="822" t="s">
        <v>3718</v>
      </c>
      <c r="P1779" s="823">
        <v>4492</v>
      </c>
      <c r="Q1779" s="823" t="s">
        <v>3720</v>
      </c>
    </row>
    <row r="1780" spans="2:17" s="608" customFormat="1" x14ac:dyDescent="0.25">
      <c r="B1780" s="605" t="s">
        <v>4138</v>
      </c>
      <c r="C1780" s="606">
        <f t="shared" si="55"/>
        <v>541211</v>
      </c>
      <c r="D1780" s="607" t="s">
        <v>4139</v>
      </c>
      <c r="E1780" s="605" t="s">
        <v>4140</v>
      </c>
      <c r="F1780" s="607" t="s">
        <v>4141</v>
      </c>
      <c r="G1780" s="607" t="s">
        <v>3880</v>
      </c>
      <c r="H1780" s="607" t="s">
        <v>3880</v>
      </c>
      <c r="I1780" s="607" t="s">
        <v>1921</v>
      </c>
      <c r="J1780" s="608" t="str">
        <f t="shared" si="56"/>
        <v>Commercial &amp; Professional Services</v>
      </c>
      <c r="N1780" s="822">
        <v>488330</v>
      </c>
      <c r="O1780" s="822" t="s">
        <v>3718</v>
      </c>
      <c r="P1780" s="823">
        <v>4499</v>
      </c>
      <c r="Q1780" s="823" t="s">
        <v>3608</v>
      </c>
    </row>
    <row r="1781" spans="2:17" s="608" customFormat="1" x14ac:dyDescent="0.25">
      <c r="B1781" s="605" t="s">
        <v>4142</v>
      </c>
      <c r="C1781" s="606">
        <f t="shared" si="55"/>
        <v>541213</v>
      </c>
      <c r="D1781" s="607" t="s">
        <v>4143</v>
      </c>
      <c r="E1781" s="605" t="s">
        <v>4144</v>
      </c>
      <c r="F1781" s="607" t="s">
        <v>4145</v>
      </c>
      <c r="G1781" s="607" t="s">
        <v>3880</v>
      </c>
      <c r="H1781" s="607" t="s">
        <v>3880</v>
      </c>
      <c r="I1781" s="607" t="s">
        <v>1921</v>
      </c>
      <c r="J1781" s="608" t="str">
        <f t="shared" si="56"/>
        <v>Commercial &amp; Professional Services</v>
      </c>
      <c r="N1781" s="822">
        <v>488390</v>
      </c>
      <c r="O1781" s="822" t="s">
        <v>3722</v>
      </c>
      <c r="P1781" s="823">
        <v>3731</v>
      </c>
      <c r="Q1781" s="823" t="s">
        <v>2917</v>
      </c>
    </row>
    <row r="1782" spans="2:17" s="608" customFormat="1" x14ac:dyDescent="0.25">
      <c r="B1782" s="605" t="s">
        <v>4146</v>
      </c>
      <c r="C1782" s="606">
        <f t="shared" si="55"/>
        <v>541214</v>
      </c>
      <c r="D1782" s="607" t="s">
        <v>4147</v>
      </c>
      <c r="E1782" s="605" t="s">
        <v>2762</v>
      </c>
      <c r="F1782" s="607" t="s">
        <v>2763</v>
      </c>
      <c r="G1782" s="607" t="s">
        <v>3880</v>
      </c>
      <c r="H1782" s="607" t="s">
        <v>3880</v>
      </c>
      <c r="I1782" s="607" t="s">
        <v>1921</v>
      </c>
      <c r="J1782" s="608" t="str">
        <f t="shared" si="56"/>
        <v>Commercial &amp; Professional Services</v>
      </c>
      <c r="N1782" s="822">
        <v>488390</v>
      </c>
      <c r="O1782" s="822" t="s">
        <v>3722</v>
      </c>
      <c r="P1782" s="823">
        <v>4499</v>
      </c>
      <c r="Q1782" s="823" t="s">
        <v>3608</v>
      </c>
    </row>
    <row r="1783" spans="2:17" s="608" customFormat="1" x14ac:dyDescent="0.25">
      <c r="B1783" s="605" t="s">
        <v>4146</v>
      </c>
      <c r="C1783" s="606">
        <f t="shared" si="55"/>
        <v>541214</v>
      </c>
      <c r="D1783" s="607" t="s">
        <v>4147</v>
      </c>
      <c r="E1783" s="605" t="s">
        <v>4140</v>
      </c>
      <c r="F1783" s="607" t="s">
        <v>4141</v>
      </c>
      <c r="G1783" s="607" t="s">
        <v>3880</v>
      </c>
      <c r="H1783" s="607" t="s">
        <v>3880</v>
      </c>
      <c r="I1783" s="607" t="s">
        <v>1921</v>
      </c>
      <c r="J1783" s="608" t="str">
        <f t="shared" si="56"/>
        <v>Commercial &amp; Professional Services</v>
      </c>
      <c r="N1783" s="822">
        <v>488390</v>
      </c>
      <c r="O1783" s="822" t="s">
        <v>3722</v>
      </c>
      <c r="P1783" s="823">
        <v>4785</v>
      </c>
      <c r="Q1783" s="823" t="s">
        <v>3724</v>
      </c>
    </row>
    <row r="1784" spans="2:17" s="608" customFormat="1" x14ac:dyDescent="0.25">
      <c r="B1784" s="605" t="s">
        <v>4148</v>
      </c>
      <c r="C1784" s="606">
        <f t="shared" si="55"/>
        <v>541219</v>
      </c>
      <c r="D1784" s="607" t="s">
        <v>4149</v>
      </c>
      <c r="E1784" s="605" t="s">
        <v>4140</v>
      </c>
      <c r="F1784" s="607" t="s">
        <v>4141</v>
      </c>
      <c r="G1784" s="607" t="s">
        <v>3880</v>
      </c>
      <c r="H1784" s="607" t="s">
        <v>3880</v>
      </c>
      <c r="I1784" s="607" t="s">
        <v>1921</v>
      </c>
      <c r="J1784" s="608" t="str">
        <f t="shared" si="56"/>
        <v>Commercial &amp; Professional Services</v>
      </c>
      <c r="N1784" s="822">
        <v>488390</v>
      </c>
      <c r="O1784" s="822" t="s">
        <v>3722</v>
      </c>
      <c r="P1784" s="823">
        <v>7699</v>
      </c>
      <c r="Q1784" s="823" t="s">
        <v>1071</v>
      </c>
    </row>
    <row r="1785" spans="2:17" s="608" customFormat="1" x14ac:dyDescent="0.25">
      <c r="B1785" s="605" t="s">
        <v>4150</v>
      </c>
      <c r="C1785" s="606">
        <f t="shared" si="55"/>
        <v>541310</v>
      </c>
      <c r="D1785" s="607" t="s">
        <v>4151</v>
      </c>
      <c r="E1785" s="605" t="s">
        <v>4152</v>
      </c>
      <c r="F1785" s="607" t="s">
        <v>4151</v>
      </c>
      <c r="G1785" s="607" t="s">
        <v>1019</v>
      </c>
      <c r="H1785" s="607" t="s">
        <v>1019</v>
      </c>
      <c r="I1785" s="611" t="s">
        <v>4153</v>
      </c>
      <c r="J1785" s="608" t="str">
        <f t="shared" si="56"/>
        <v>Architects &amp; Engineers</v>
      </c>
      <c r="N1785" s="822">
        <v>488410</v>
      </c>
      <c r="O1785" s="822" t="s">
        <v>3726</v>
      </c>
      <c r="P1785" s="823">
        <v>7549</v>
      </c>
      <c r="Q1785" s="823" t="s">
        <v>3728</v>
      </c>
    </row>
    <row r="1786" spans="2:17" s="608" customFormat="1" x14ac:dyDescent="0.25">
      <c r="B1786" s="605" t="s">
        <v>4154</v>
      </c>
      <c r="C1786" s="606">
        <f t="shared" si="55"/>
        <v>541320</v>
      </c>
      <c r="D1786" s="607" t="s">
        <v>4155</v>
      </c>
      <c r="E1786" s="605" t="s">
        <v>4156</v>
      </c>
      <c r="F1786" s="607" t="s">
        <v>4157</v>
      </c>
      <c r="G1786" s="607" t="s">
        <v>1019</v>
      </c>
      <c r="H1786" s="607" t="s">
        <v>1019</v>
      </c>
      <c r="I1786" s="608" t="s">
        <v>4153</v>
      </c>
      <c r="J1786" s="608" t="str">
        <f t="shared" si="56"/>
        <v>Architects &amp; Engineers</v>
      </c>
      <c r="N1786" s="822">
        <v>488490</v>
      </c>
      <c r="O1786" s="822" t="s">
        <v>3730</v>
      </c>
      <c r="P1786" s="823">
        <v>4173</v>
      </c>
      <c r="Q1786" s="823" t="s">
        <v>3732</v>
      </c>
    </row>
    <row r="1787" spans="2:17" s="608" customFormat="1" x14ac:dyDescent="0.25">
      <c r="B1787" s="605" t="s">
        <v>4154</v>
      </c>
      <c r="C1787" s="606">
        <f t="shared" si="55"/>
        <v>541320</v>
      </c>
      <c r="D1787" s="607" t="s">
        <v>4155</v>
      </c>
      <c r="E1787" s="605" t="s">
        <v>4158</v>
      </c>
      <c r="F1787" s="607" t="s">
        <v>4159</v>
      </c>
      <c r="G1787" s="607" t="s">
        <v>1019</v>
      </c>
      <c r="H1787" s="607" t="s">
        <v>1019</v>
      </c>
      <c r="I1787" s="611" t="s">
        <v>4153</v>
      </c>
      <c r="J1787" s="608" t="str">
        <f t="shared" si="56"/>
        <v>Architects &amp; Engineers</v>
      </c>
      <c r="N1787" s="822">
        <v>488490</v>
      </c>
      <c r="O1787" s="822" t="s">
        <v>3730</v>
      </c>
      <c r="P1787" s="823">
        <v>4231</v>
      </c>
      <c r="Q1787" s="823" t="s">
        <v>3734</v>
      </c>
    </row>
    <row r="1788" spans="2:17" s="608" customFormat="1" x14ac:dyDescent="0.25">
      <c r="B1788" s="605" t="s">
        <v>4160</v>
      </c>
      <c r="C1788" s="606">
        <f t="shared" si="55"/>
        <v>541330</v>
      </c>
      <c r="D1788" s="607" t="s">
        <v>4161</v>
      </c>
      <c r="E1788" s="605" t="s">
        <v>4162</v>
      </c>
      <c r="F1788" s="607" t="s">
        <v>4161</v>
      </c>
      <c r="G1788" s="607" t="s">
        <v>1019</v>
      </c>
      <c r="H1788" s="607" t="s">
        <v>1019</v>
      </c>
      <c r="I1788" s="611" t="s">
        <v>4153</v>
      </c>
      <c r="J1788" s="608" t="str">
        <f t="shared" si="56"/>
        <v>Architects &amp; Engineers</v>
      </c>
      <c r="N1788" s="822">
        <v>488490</v>
      </c>
      <c r="O1788" s="822" t="s">
        <v>3730</v>
      </c>
      <c r="P1788" s="823">
        <v>4785</v>
      </c>
      <c r="Q1788" s="823" t="s">
        <v>3724</v>
      </c>
    </row>
    <row r="1789" spans="2:17" s="608" customFormat="1" x14ac:dyDescent="0.25">
      <c r="B1789" s="605" t="s">
        <v>4160</v>
      </c>
      <c r="C1789" s="606">
        <f t="shared" si="55"/>
        <v>541330</v>
      </c>
      <c r="D1789" s="607" t="s">
        <v>4161</v>
      </c>
      <c r="E1789" s="605" t="s">
        <v>4158</v>
      </c>
      <c r="F1789" s="607" t="s">
        <v>4159</v>
      </c>
      <c r="G1789" s="607" t="s">
        <v>1019</v>
      </c>
      <c r="H1789" s="607" t="s">
        <v>1019</v>
      </c>
      <c r="I1789" s="611" t="s">
        <v>4153</v>
      </c>
      <c r="J1789" s="608" t="str">
        <f t="shared" si="56"/>
        <v>Architects &amp; Engineers</v>
      </c>
      <c r="N1789" s="822">
        <v>488490</v>
      </c>
      <c r="O1789" s="822" t="s">
        <v>3730</v>
      </c>
      <c r="P1789" s="823">
        <v>4959</v>
      </c>
      <c r="Q1789" s="823" t="s">
        <v>3705</v>
      </c>
    </row>
    <row r="1790" spans="2:17" s="608" customFormat="1" x14ac:dyDescent="0.25">
      <c r="B1790" s="605" t="s">
        <v>4163</v>
      </c>
      <c r="C1790" s="606">
        <f t="shared" si="55"/>
        <v>541340</v>
      </c>
      <c r="D1790" s="607" t="s">
        <v>4164</v>
      </c>
      <c r="E1790" s="605" t="s">
        <v>1588</v>
      </c>
      <c r="F1790" s="607" t="s">
        <v>1589</v>
      </c>
      <c r="G1790" s="607" t="s">
        <v>1019</v>
      </c>
      <c r="H1790" s="607" t="s">
        <v>1019</v>
      </c>
      <c r="I1790" s="611" t="s">
        <v>4153</v>
      </c>
      <c r="J1790" s="608" t="str">
        <f t="shared" si="56"/>
        <v>Architects &amp; Engineers</v>
      </c>
      <c r="N1790" s="822">
        <v>488490</v>
      </c>
      <c r="O1790" s="822" t="s">
        <v>3730</v>
      </c>
      <c r="P1790" s="823">
        <v>7389</v>
      </c>
      <c r="Q1790" s="823" t="s">
        <v>1589</v>
      </c>
    </row>
    <row r="1791" spans="2:17" s="608" customFormat="1" x14ac:dyDescent="0.25">
      <c r="B1791" s="605" t="s">
        <v>4165</v>
      </c>
      <c r="C1791" s="606">
        <f t="shared" si="55"/>
        <v>541350</v>
      </c>
      <c r="D1791" s="607" t="s">
        <v>4166</v>
      </c>
      <c r="E1791" s="605" t="s">
        <v>1588</v>
      </c>
      <c r="F1791" s="607" t="s">
        <v>1589</v>
      </c>
      <c r="G1791" s="607" t="s">
        <v>1019</v>
      </c>
      <c r="H1791" s="607" t="s">
        <v>1019</v>
      </c>
      <c r="I1791" s="611" t="s">
        <v>4153</v>
      </c>
      <c r="J1791" s="608" t="str">
        <f t="shared" si="56"/>
        <v>Architects &amp; Engineers</v>
      </c>
      <c r="N1791" s="822">
        <v>488510</v>
      </c>
      <c r="O1791" s="822" t="s">
        <v>3736</v>
      </c>
      <c r="P1791" s="823">
        <v>4731</v>
      </c>
      <c r="Q1791" s="823" t="s">
        <v>3736</v>
      </c>
    </row>
    <row r="1792" spans="2:17" s="608" customFormat="1" x14ac:dyDescent="0.25">
      <c r="B1792" s="605" t="s">
        <v>4167</v>
      </c>
      <c r="C1792" s="606">
        <f t="shared" si="55"/>
        <v>541360</v>
      </c>
      <c r="D1792" s="607" t="s">
        <v>4168</v>
      </c>
      <c r="E1792" s="607" t="s">
        <v>1195</v>
      </c>
      <c r="F1792" s="607" t="s">
        <v>1196</v>
      </c>
      <c r="G1792" s="607" t="s">
        <v>1100</v>
      </c>
      <c r="H1792" s="607" t="s">
        <v>1100</v>
      </c>
      <c r="I1792" s="607" t="s">
        <v>1101</v>
      </c>
      <c r="J1792" s="608" t="str">
        <f t="shared" si="56"/>
        <v>Metals And Mining</v>
      </c>
      <c r="N1792" s="822">
        <v>488991</v>
      </c>
      <c r="O1792" s="822" t="s">
        <v>3739</v>
      </c>
      <c r="P1792" s="823">
        <v>4783</v>
      </c>
      <c r="Q1792" s="823" t="s">
        <v>3739</v>
      </c>
    </row>
    <row r="1793" spans="2:17" s="608" customFormat="1" x14ac:dyDescent="0.25">
      <c r="B1793" s="605" t="s">
        <v>4167</v>
      </c>
      <c r="C1793" s="606">
        <f t="shared" si="55"/>
        <v>541360</v>
      </c>
      <c r="D1793" s="607" t="s">
        <v>4168</v>
      </c>
      <c r="E1793" s="607" t="s">
        <v>1185</v>
      </c>
      <c r="F1793" s="607" t="s">
        <v>1186</v>
      </c>
      <c r="G1793" s="607" t="s">
        <v>1080</v>
      </c>
      <c r="H1793" s="607" t="s">
        <v>1080</v>
      </c>
      <c r="I1793" s="607" t="s">
        <v>1081</v>
      </c>
      <c r="J1793" s="608" t="str">
        <f t="shared" si="56"/>
        <v>Oil And Gas</v>
      </c>
      <c r="N1793" s="822">
        <v>488999</v>
      </c>
      <c r="O1793" s="822" t="s">
        <v>3742</v>
      </c>
      <c r="P1793" s="823">
        <v>4729</v>
      </c>
      <c r="Q1793" s="823" t="s">
        <v>3744</v>
      </c>
    </row>
    <row r="1794" spans="2:17" s="608" customFormat="1" x14ac:dyDescent="0.25">
      <c r="B1794" s="605" t="s">
        <v>4167</v>
      </c>
      <c r="C1794" s="606">
        <f t="shared" ref="C1794:C1857" si="57">B1794+0</f>
        <v>541360</v>
      </c>
      <c r="D1794" s="607" t="s">
        <v>4168</v>
      </c>
      <c r="E1794" s="607" t="s">
        <v>1199</v>
      </c>
      <c r="F1794" s="607" t="s">
        <v>1200</v>
      </c>
      <c r="G1794" s="607" t="s">
        <v>1100</v>
      </c>
      <c r="H1794" s="607" t="s">
        <v>1100</v>
      </c>
      <c r="I1794" s="607" t="s">
        <v>1101</v>
      </c>
      <c r="J1794" s="608" t="str">
        <f t="shared" si="56"/>
        <v>Metals And Mining</v>
      </c>
      <c r="N1794" s="822">
        <v>488999</v>
      </c>
      <c r="O1794" s="822" t="s">
        <v>3742</v>
      </c>
      <c r="P1794" s="823">
        <v>4789</v>
      </c>
      <c r="Q1794" s="823" t="s">
        <v>3688</v>
      </c>
    </row>
    <row r="1795" spans="2:17" s="608" customFormat="1" x14ac:dyDescent="0.25">
      <c r="B1795" s="605" t="s">
        <v>4167</v>
      </c>
      <c r="C1795" s="606">
        <f t="shared" si="57"/>
        <v>541360</v>
      </c>
      <c r="D1795" s="607" t="s">
        <v>4168</v>
      </c>
      <c r="E1795" s="605" t="s">
        <v>4169</v>
      </c>
      <c r="F1795" s="607" t="s">
        <v>4170</v>
      </c>
      <c r="G1795" s="607" t="s">
        <v>1019</v>
      </c>
      <c r="H1795" s="607" t="s">
        <v>1019</v>
      </c>
      <c r="I1795" s="611" t="s">
        <v>4153</v>
      </c>
      <c r="J1795" s="608" t="str">
        <f t="shared" si="56"/>
        <v>Architects &amp; Engineers</v>
      </c>
      <c r="N1795" s="822">
        <v>491110</v>
      </c>
      <c r="O1795" s="822" t="s">
        <v>3746</v>
      </c>
      <c r="P1795" s="823">
        <v>4311</v>
      </c>
      <c r="Q1795" s="823" t="s">
        <v>3748</v>
      </c>
    </row>
    <row r="1796" spans="2:17" s="608" customFormat="1" x14ac:dyDescent="0.25">
      <c r="B1796" s="605" t="s">
        <v>4171</v>
      </c>
      <c r="C1796" s="606">
        <f t="shared" si="57"/>
        <v>541370</v>
      </c>
      <c r="D1796" s="607" t="s">
        <v>4172</v>
      </c>
      <c r="E1796" s="605" t="s">
        <v>1588</v>
      </c>
      <c r="F1796" s="607" t="s">
        <v>1589</v>
      </c>
      <c r="G1796" s="607" t="s">
        <v>1019</v>
      </c>
      <c r="H1796" s="607" t="s">
        <v>1019</v>
      </c>
      <c r="I1796" s="611" t="s">
        <v>4153</v>
      </c>
      <c r="J1796" s="608" t="str">
        <f t="shared" si="56"/>
        <v>Architects &amp; Engineers</v>
      </c>
      <c r="N1796" s="822">
        <v>491110</v>
      </c>
      <c r="O1796" s="822" t="s">
        <v>3746</v>
      </c>
      <c r="P1796" s="823">
        <v>7389</v>
      </c>
      <c r="Q1796" s="823" t="s">
        <v>1589</v>
      </c>
    </row>
    <row r="1797" spans="2:17" s="608" customFormat="1" x14ac:dyDescent="0.25">
      <c r="B1797" s="605" t="s">
        <v>4171</v>
      </c>
      <c r="C1797" s="606">
        <f t="shared" si="57"/>
        <v>541370</v>
      </c>
      <c r="D1797" s="607" t="s">
        <v>4172</v>
      </c>
      <c r="E1797" s="605" t="s">
        <v>4169</v>
      </c>
      <c r="F1797" s="607" t="s">
        <v>4170</v>
      </c>
      <c r="G1797" s="607" t="s">
        <v>1019</v>
      </c>
      <c r="H1797" s="607" t="s">
        <v>1019</v>
      </c>
      <c r="I1797" s="611" t="s">
        <v>4153</v>
      </c>
      <c r="J1797" s="608" t="str">
        <f t="shared" si="56"/>
        <v>Architects &amp; Engineers</v>
      </c>
      <c r="N1797" s="822">
        <v>492110</v>
      </c>
      <c r="O1797" s="822" t="s">
        <v>3750</v>
      </c>
      <c r="P1797" s="823">
        <v>4215</v>
      </c>
      <c r="Q1797" s="823" t="s">
        <v>3752</v>
      </c>
    </row>
    <row r="1798" spans="2:17" s="608" customFormat="1" x14ac:dyDescent="0.25">
      <c r="B1798" s="605" t="s">
        <v>4173</v>
      </c>
      <c r="C1798" s="606">
        <f t="shared" si="57"/>
        <v>541380</v>
      </c>
      <c r="D1798" s="607" t="s">
        <v>4174</v>
      </c>
      <c r="E1798" s="605" t="s">
        <v>4175</v>
      </c>
      <c r="F1798" s="607" t="s">
        <v>4174</v>
      </c>
      <c r="G1798" s="607" t="s">
        <v>1019</v>
      </c>
      <c r="H1798" s="607" t="s">
        <v>1019</v>
      </c>
      <c r="I1798" s="611" t="s">
        <v>4153</v>
      </c>
      <c r="J1798" s="608" t="str">
        <f t="shared" si="56"/>
        <v>Architects &amp; Engineers</v>
      </c>
      <c r="N1798" s="822">
        <v>492110</v>
      </c>
      <c r="O1798" s="822" t="s">
        <v>3750</v>
      </c>
      <c r="P1798" s="823">
        <v>4513</v>
      </c>
      <c r="Q1798" s="823" t="s">
        <v>3754</v>
      </c>
    </row>
    <row r="1799" spans="2:17" s="608" customFormat="1" x14ac:dyDescent="0.25">
      <c r="B1799" s="605" t="s">
        <v>4176</v>
      </c>
      <c r="C1799" s="606">
        <f t="shared" si="57"/>
        <v>541410</v>
      </c>
      <c r="D1799" s="607" t="s">
        <v>4177</v>
      </c>
      <c r="E1799" s="607" t="s">
        <v>1588</v>
      </c>
      <c r="F1799" s="607" t="s">
        <v>1589</v>
      </c>
      <c r="G1799" s="607" t="s">
        <v>1019</v>
      </c>
      <c r="H1799" s="607" t="s">
        <v>1019</v>
      </c>
      <c r="I1799" s="607" t="s">
        <v>1921</v>
      </c>
      <c r="J1799" s="608" t="str">
        <f t="shared" si="56"/>
        <v>Commercial &amp; Professional Services</v>
      </c>
      <c r="N1799" s="822">
        <v>492210</v>
      </c>
      <c r="O1799" s="822" t="s">
        <v>3756</v>
      </c>
      <c r="P1799" s="823">
        <v>4215</v>
      </c>
      <c r="Q1799" s="823" t="s">
        <v>3752</v>
      </c>
    </row>
    <row r="1800" spans="2:17" s="608" customFormat="1" x14ac:dyDescent="0.25">
      <c r="B1800" s="605" t="s">
        <v>4178</v>
      </c>
      <c r="C1800" s="606">
        <f t="shared" si="57"/>
        <v>541420</v>
      </c>
      <c r="D1800" s="607" t="s">
        <v>4179</v>
      </c>
      <c r="E1800" s="605" t="s">
        <v>1588</v>
      </c>
      <c r="F1800" s="607" t="s">
        <v>1589</v>
      </c>
      <c r="G1800" s="607" t="s">
        <v>1019</v>
      </c>
      <c r="H1800" s="607" t="s">
        <v>1019</v>
      </c>
      <c r="I1800" s="607" t="s">
        <v>1921</v>
      </c>
      <c r="J1800" s="608" t="str">
        <f t="shared" si="56"/>
        <v>Commercial &amp; Professional Services</v>
      </c>
      <c r="N1800" s="822">
        <v>493110</v>
      </c>
      <c r="O1800" s="822" t="s">
        <v>3758</v>
      </c>
      <c r="P1800" s="823">
        <v>4225</v>
      </c>
      <c r="Q1800" s="823" t="s">
        <v>3758</v>
      </c>
    </row>
    <row r="1801" spans="2:17" s="608" customFormat="1" x14ac:dyDescent="0.25">
      <c r="B1801" s="605" t="s">
        <v>4180</v>
      </c>
      <c r="C1801" s="606">
        <f t="shared" si="57"/>
        <v>541430</v>
      </c>
      <c r="D1801" s="607" t="s">
        <v>4181</v>
      </c>
      <c r="E1801" s="605" t="s">
        <v>4182</v>
      </c>
      <c r="F1801" s="607" t="s">
        <v>4183</v>
      </c>
      <c r="G1801" s="607" t="s">
        <v>1019</v>
      </c>
      <c r="H1801" s="607" t="s">
        <v>1019</v>
      </c>
      <c r="I1801" s="607" t="s">
        <v>1921</v>
      </c>
      <c r="J1801" s="608" t="str">
        <f t="shared" si="56"/>
        <v>Commercial &amp; Professional Services</v>
      </c>
      <c r="N1801" s="822">
        <v>493110</v>
      </c>
      <c r="O1801" s="822" t="s">
        <v>3758</v>
      </c>
      <c r="P1801" s="823">
        <v>4226</v>
      </c>
      <c r="Q1801" s="823" t="s">
        <v>3761</v>
      </c>
    </row>
    <row r="1802" spans="2:17" s="608" customFormat="1" x14ac:dyDescent="0.25">
      <c r="B1802" s="605" t="s">
        <v>4180</v>
      </c>
      <c r="C1802" s="606">
        <f t="shared" si="57"/>
        <v>541430</v>
      </c>
      <c r="D1802" s="607" t="s">
        <v>4181</v>
      </c>
      <c r="E1802" s="607" t="s">
        <v>4184</v>
      </c>
      <c r="F1802" s="607" t="s">
        <v>4185</v>
      </c>
      <c r="G1802" s="607" t="s">
        <v>1019</v>
      </c>
      <c r="H1802" s="607" t="s">
        <v>1019</v>
      </c>
      <c r="I1802" s="607" t="s">
        <v>1921</v>
      </c>
      <c r="J1802" s="608" t="str">
        <f t="shared" si="56"/>
        <v>Commercial &amp; Professional Services</v>
      </c>
      <c r="N1802" s="822">
        <v>493120</v>
      </c>
      <c r="O1802" s="822" t="s">
        <v>3763</v>
      </c>
      <c r="P1802" s="823">
        <v>4222</v>
      </c>
      <c r="Q1802" s="823" t="s">
        <v>3763</v>
      </c>
    </row>
    <row r="1803" spans="2:17" s="608" customFormat="1" x14ac:dyDescent="0.25">
      <c r="B1803" s="605" t="s">
        <v>4186</v>
      </c>
      <c r="C1803" s="606">
        <f t="shared" si="57"/>
        <v>541490</v>
      </c>
      <c r="D1803" s="607" t="s">
        <v>4187</v>
      </c>
      <c r="E1803" s="605" t="s">
        <v>1588</v>
      </c>
      <c r="F1803" s="607" t="s">
        <v>1589</v>
      </c>
      <c r="G1803" s="607" t="s">
        <v>1019</v>
      </c>
      <c r="H1803" s="607" t="s">
        <v>1019</v>
      </c>
      <c r="I1803" s="607" t="s">
        <v>1921</v>
      </c>
      <c r="J1803" s="608" t="str">
        <f t="shared" si="56"/>
        <v>Commercial &amp; Professional Services</v>
      </c>
      <c r="N1803" s="822">
        <v>493120</v>
      </c>
      <c r="O1803" s="822" t="s">
        <v>3763</v>
      </c>
      <c r="P1803" s="823">
        <v>4226</v>
      </c>
      <c r="Q1803" s="823" t="s">
        <v>3761</v>
      </c>
    </row>
    <row r="1804" spans="2:17" s="608" customFormat="1" ht="30" x14ac:dyDescent="0.25">
      <c r="B1804" s="605" t="s">
        <v>4188</v>
      </c>
      <c r="C1804" s="606">
        <f t="shared" si="57"/>
        <v>541511</v>
      </c>
      <c r="D1804" s="607" t="s">
        <v>4189</v>
      </c>
      <c r="E1804" s="607" t="s">
        <v>4190</v>
      </c>
      <c r="F1804" s="607" t="s">
        <v>4189</v>
      </c>
      <c r="G1804" s="607" t="s">
        <v>2509</v>
      </c>
      <c r="H1804" s="607" t="s">
        <v>2509</v>
      </c>
      <c r="I1804" s="607" t="s">
        <v>3794</v>
      </c>
      <c r="J1804" s="608" t="str">
        <f t="shared" si="56"/>
        <v>Software</v>
      </c>
      <c r="N1804" s="822">
        <v>493130</v>
      </c>
      <c r="O1804" s="822" t="s">
        <v>3766</v>
      </c>
      <c r="P1804" s="823">
        <v>4221</v>
      </c>
      <c r="Q1804" s="823" t="s">
        <v>3766</v>
      </c>
    </row>
    <row r="1805" spans="2:17" s="608" customFormat="1" ht="30" x14ac:dyDescent="0.25">
      <c r="B1805" s="605" t="s">
        <v>4191</v>
      </c>
      <c r="C1805" s="606">
        <f t="shared" si="57"/>
        <v>541512</v>
      </c>
      <c r="D1805" s="607" t="s">
        <v>4192</v>
      </c>
      <c r="E1805" s="607" t="s">
        <v>4193</v>
      </c>
      <c r="F1805" s="607" t="s">
        <v>4194</v>
      </c>
      <c r="G1805" s="607" t="s">
        <v>2509</v>
      </c>
      <c r="H1805" s="607" t="s">
        <v>2509</v>
      </c>
      <c r="I1805" s="607" t="s">
        <v>3794</v>
      </c>
      <c r="J1805" s="608" t="str">
        <f t="shared" si="56"/>
        <v>Software</v>
      </c>
      <c r="N1805" s="822">
        <v>493190</v>
      </c>
      <c r="O1805" s="822" t="s">
        <v>3769</v>
      </c>
      <c r="P1805" s="823">
        <v>4226</v>
      </c>
      <c r="Q1805" s="823" t="s">
        <v>3761</v>
      </c>
    </row>
    <row r="1806" spans="2:17" s="608" customFormat="1" ht="30" x14ac:dyDescent="0.25">
      <c r="B1806" s="605" t="s">
        <v>4191</v>
      </c>
      <c r="C1806" s="606">
        <f t="shared" si="57"/>
        <v>541512</v>
      </c>
      <c r="D1806" s="607" t="s">
        <v>4192</v>
      </c>
      <c r="E1806" s="607" t="s">
        <v>3863</v>
      </c>
      <c r="F1806" s="607" t="s">
        <v>3864</v>
      </c>
      <c r="G1806" s="607" t="s">
        <v>2509</v>
      </c>
      <c r="H1806" s="607" t="s">
        <v>2509</v>
      </c>
      <c r="I1806" s="607" t="s">
        <v>3794</v>
      </c>
      <c r="J1806" s="608" t="str">
        <f t="shared" si="56"/>
        <v>Software</v>
      </c>
      <c r="N1806" s="822">
        <v>511110</v>
      </c>
      <c r="O1806" s="822" t="s">
        <v>3771</v>
      </c>
      <c r="P1806" s="823">
        <v>2711</v>
      </c>
      <c r="Q1806" s="823" t="s">
        <v>3773</v>
      </c>
    </row>
    <row r="1807" spans="2:17" s="608" customFormat="1" ht="30" x14ac:dyDescent="0.25">
      <c r="B1807" s="605" t="s">
        <v>4195</v>
      </c>
      <c r="C1807" s="606">
        <f t="shared" si="57"/>
        <v>541513</v>
      </c>
      <c r="D1807" s="607" t="s">
        <v>4196</v>
      </c>
      <c r="E1807" s="607" t="s">
        <v>4197</v>
      </c>
      <c r="F1807" s="607" t="s">
        <v>4198</v>
      </c>
      <c r="G1807" s="607" t="s">
        <v>2509</v>
      </c>
      <c r="H1807" s="607" t="s">
        <v>2509</v>
      </c>
      <c r="I1807" s="607" t="s">
        <v>3794</v>
      </c>
      <c r="J1807" s="608" t="str">
        <f t="shared" ref="J1807:J1870" si="58">PROPER(I1807)</f>
        <v>Software</v>
      </c>
      <c r="N1807" s="822">
        <v>511120</v>
      </c>
      <c r="O1807" s="822" t="s">
        <v>3775</v>
      </c>
      <c r="P1807" s="823">
        <v>2721</v>
      </c>
      <c r="Q1807" s="823" t="s">
        <v>3777</v>
      </c>
    </row>
    <row r="1808" spans="2:17" s="608" customFormat="1" ht="30" x14ac:dyDescent="0.25">
      <c r="B1808" s="605" t="s">
        <v>4199</v>
      </c>
      <c r="C1808" s="606">
        <f t="shared" si="57"/>
        <v>541519</v>
      </c>
      <c r="D1808" s="607" t="s">
        <v>4200</v>
      </c>
      <c r="E1808" s="607" t="s">
        <v>3863</v>
      </c>
      <c r="F1808" s="607" t="s">
        <v>3864</v>
      </c>
      <c r="G1808" s="607" t="s">
        <v>2509</v>
      </c>
      <c r="H1808" s="607" t="s">
        <v>2509</v>
      </c>
      <c r="I1808" s="607" t="s">
        <v>3794</v>
      </c>
      <c r="J1808" s="608" t="str">
        <f t="shared" si="58"/>
        <v>Software</v>
      </c>
      <c r="N1808" s="822">
        <v>511120</v>
      </c>
      <c r="O1808" s="822" t="s">
        <v>3775</v>
      </c>
      <c r="P1808" s="823">
        <v>2741</v>
      </c>
      <c r="Q1808" s="823" t="s">
        <v>3779</v>
      </c>
    </row>
    <row r="1809" spans="2:17" s="608" customFormat="1" x14ac:dyDescent="0.25">
      <c r="B1809" s="605" t="s">
        <v>4201</v>
      </c>
      <c r="C1809" s="606">
        <f t="shared" si="57"/>
        <v>541611</v>
      </c>
      <c r="D1809" s="607" t="s">
        <v>4202</v>
      </c>
      <c r="E1809" s="607" t="s">
        <v>4203</v>
      </c>
      <c r="F1809" s="607" t="s">
        <v>4204</v>
      </c>
      <c r="G1809" s="607" t="s">
        <v>1019</v>
      </c>
      <c r="H1809" s="607" t="s">
        <v>1019</v>
      </c>
      <c r="I1809" s="607" t="s">
        <v>1921</v>
      </c>
      <c r="J1809" s="608" t="str">
        <f t="shared" si="58"/>
        <v>Commercial &amp; Professional Services</v>
      </c>
      <c r="N1809" s="822">
        <v>511130</v>
      </c>
      <c r="O1809" s="822" t="s">
        <v>3781</v>
      </c>
      <c r="P1809" s="823">
        <v>2731</v>
      </c>
      <c r="Q1809" s="823" t="s">
        <v>3783</v>
      </c>
    </row>
    <row r="1810" spans="2:17" s="608" customFormat="1" x14ac:dyDescent="0.25">
      <c r="B1810" s="605" t="s">
        <v>4205</v>
      </c>
      <c r="C1810" s="606">
        <f t="shared" si="57"/>
        <v>541612</v>
      </c>
      <c r="D1810" s="607" t="s">
        <v>4206</v>
      </c>
      <c r="E1810" s="605" t="s">
        <v>4207</v>
      </c>
      <c r="F1810" s="607" t="s">
        <v>4208</v>
      </c>
      <c r="G1810" s="607" t="s">
        <v>1594</v>
      </c>
      <c r="H1810" s="607" t="s">
        <v>1594</v>
      </c>
      <c r="I1810" s="607" t="s">
        <v>1921</v>
      </c>
      <c r="J1810" s="608" t="str">
        <f t="shared" si="58"/>
        <v>Commercial &amp; Professional Services</v>
      </c>
      <c r="N1810" s="822">
        <v>511130</v>
      </c>
      <c r="O1810" s="822" t="s">
        <v>3781</v>
      </c>
      <c r="P1810" s="823">
        <v>2741</v>
      </c>
      <c r="Q1810" s="823" t="s">
        <v>3779</v>
      </c>
    </row>
    <row r="1811" spans="2:17" s="608" customFormat="1" x14ac:dyDescent="0.25">
      <c r="B1811" s="605" t="s">
        <v>4205</v>
      </c>
      <c r="C1811" s="606">
        <f t="shared" si="57"/>
        <v>541612</v>
      </c>
      <c r="D1811" s="607" t="s">
        <v>4206</v>
      </c>
      <c r="E1811" s="605" t="s">
        <v>4203</v>
      </c>
      <c r="F1811" s="607" t="s">
        <v>4204</v>
      </c>
      <c r="G1811" s="607" t="s">
        <v>1594</v>
      </c>
      <c r="H1811" s="607" t="s">
        <v>1594</v>
      </c>
      <c r="I1811" s="607" t="s">
        <v>1921</v>
      </c>
      <c r="J1811" s="608" t="str">
        <f t="shared" si="58"/>
        <v>Commercial &amp; Professional Services</v>
      </c>
      <c r="N1811" s="822">
        <v>511140</v>
      </c>
      <c r="O1811" s="822" t="s">
        <v>3785</v>
      </c>
      <c r="P1811" s="823">
        <v>2741</v>
      </c>
      <c r="Q1811" s="823" t="s">
        <v>3779</v>
      </c>
    </row>
    <row r="1812" spans="2:17" s="608" customFormat="1" x14ac:dyDescent="0.25">
      <c r="B1812" s="605" t="s">
        <v>4205</v>
      </c>
      <c r="C1812" s="606">
        <f t="shared" si="57"/>
        <v>541612</v>
      </c>
      <c r="D1812" s="607" t="s">
        <v>4206</v>
      </c>
      <c r="E1812" s="607" t="s">
        <v>3816</v>
      </c>
      <c r="F1812" s="607" t="s">
        <v>3817</v>
      </c>
      <c r="G1812" s="607" t="s">
        <v>1019</v>
      </c>
      <c r="H1812" s="607" t="s">
        <v>1019</v>
      </c>
      <c r="I1812" s="607" t="s">
        <v>1921</v>
      </c>
      <c r="J1812" s="608" t="str">
        <f t="shared" si="58"/>
        <v>Commercial &amp; Professional Services</v>
      </c>
      <c r="N1812" s="822">
        <v>511140</v>
      </c>
      <c r="O1812" s="822" t="s">
        <v>3785</v>
      </c>
      <c r="P1812" s="823">
        <v>7331</v>
      </c>
      <c r="Q1812" s="823" t="s">
        <v>3787</v>
      </c>
    </row>
    <row r="1813" spans="2:17" s="608" customFormat="1" x14ac:dyDescent="0.25">
      <c r="B1813" s="605" t="s">
        <v>4209</v>
      </c>
      <c r="C1813" s="606">
        <f t="shared" si="57"/>
        <v>541613</v>
      </c>
      <c r="D1813" s="607" t="s">
        <v>4210</v>
      </c>
      <c r="E1813" s="605" t="s">
        <v>4203</v>
      </c>
      <c r="F1813" s="607" t="s">
        <v>4204</v>
      </c>
      <c r="G1813" s="607" t="s">
        <v>1594</v>
      </c>
      <c r="H1813" s="607" t="s">
        <v>1594</v>
      </c>
      <c r="I1813" s="607" t="s">
        <v>1921</v>
      </c>
      <c r="J1813" s="608" t="str">
        <f t="shared" si="58"/>
        <v>Commercial &amp; Professional Services</v>
      </c>
      <c r="N1813" s="822">
        <v>511191</v>
      </c>
      <c r="O1813" s="822" t="s">
        <v>3789</v>
      </c>
      <c r="P1813" s="823">
        <v>2771</v>
      </c>
      <c r="Q1813" s="823" t="s">
        <v>1914</v>
      </c>
    </row>
    <row r="1814" spans="2:17" s="608" customFormat="1" x14ac:dyDescent="0.25">
      <c r="B1814" s="605" t="s">
        <v>4211</v>
      </c>
      <c r="C1814" s="606">
        <f t="shared" si="57"/>
        <v>541614</v>
      </c>
      <c r="D1814" s="607" t="s">
        <v>4212</v>
      </c>
      <c r="E1814" s="607" t="s">
        <v>3737</v>
      </c>
      <c r="F1814" s="607" t="s">
        <v>3736</v>
      </c>
      <c r="G1814" s="607" t="s">
        <v>1019</v>
      </c>
      <c r="H1814" s="607" t="s">
        <v>1019</v>
      </c>
      <c r="I1814" s="607" t="s">
        <v>2920</v>
      </c>
      <c r="J1814" s="608" t="str">
        <f t="shared" si="58"/>
        <v>Transportation</v>
      </c>
      <c r="N1814" s="822">
        <v>511199</v>
      </c>
      <c r="O1814" s="822" t="s">
        <v>3791</v>
      </c>
      <c r="P1814" s="823">
        <v>2741</v>
      </c>
      <c r="Q1814" s="823" t="s">
        <v>3779</v>
      </c>
    </row>
    <row r="1815" spans="2:17" s="608" customFormat="1" x14ac:dyDescent="0.25">
      <c r="B1815" s="605" t="s">
        <v>4211</v>
      </c>
      <c r="C1815" s="606">
        <f t="shared" si="57"/>
        <v>541614</v>
      </c>
      <c r="D1815" s="607" t="s">
        <v>4212</v>
      </c>
      <c r="E1815" s="605" t="s">
        <v>4203</v>
      </c>
      <c r="F1815" s="607" t="s">
        <v>4204</v>
      </c>
      <c r="G1815" s="607" t="s">
        <v>1594</v>
      </c>
      <c r="H1815" s="607" t="s">
        <v>1594</v>
      </c>
      <c r="I1815" s="607" t="s">
        <v>1921</v>
      </c>
      <c r="J1815" s="608" t="str">
        <f t="shared" si="58"/>
        <v>Commercial &amp; Professional Services</v>
      </c>
      <c r="N1815" s="822">
        <v>511210</v>
      </c>
      <c r="O1815" s="822" t="s">
        <v>3793</v>
      </c>
      <c r="P1815" s="823">
        <v>7372</v>
      </c>
      <c r="Q1815" s="823" t="s">
        <v>2761</v>
      </c>
    </row>
    <row r="1816" spans="2:17" s="608" customFormat="1" ht="30" x14ac:dyDescent="0.25">
      <c r="B1816" s="605" t="s">
        <v>4213</v>
      </c>
      <c r="C1816" s="606">
        <f t="shared" si="57"/>
        <v>541618</v>
      </c>
      <c r="D1816" s="607" t="s">
        <v>4214</v>
      </c>
      <c r="E1816" s="607" t="s">
        <v>4158</v>
      </c>
      <c r="F1816" s="607" t="s">
        <v>4159</v>
      </c>
      <c r="G1816" s="607" t="s">
        <v>2509</v>
      </c>
      <c r="H1816" s="607" t="s">
        <v>2509</v>
      </c>
      <c r="I1816" s="607" t="s">
        <v>3794</v>
      </c>
      <c r="J1816" s="608" t="str">
        <f t="shared" si="58"/>
        <v>Software</v>
      </c>
      <c r="N1816" s="822">
        <v>512110</v>
      </c>
      <c r="O1816" s="822" t="s">
        <v>3796</v>
      </c>
      <c r="P1816" s="823">
        <v>7812</v>
      </c>
      <c r="Q1816" s="823" t="s">
        <v>3796</v>
      </c>
    </row>
    <row r="1817" spans="2:17" s="608" customFormat="1" x14ac:dyDescent="0.25">
      <c r="B1817" s="605" t="s">
        <v>4215</v>
      </c>
      <c r="C1817" s="606">
        <f t="shared" si="57"/>
        <v>541620</v>
      </c>
      <c r="D1817" s="607" t="s">
        <v>4216</v>
      </c>
      <c r="E1817" s="605" t="s">
        <v>3816</v>
      </c>
      <c r="F1817" s="607" t="s">
        <v>3817</v>
      </c>
      <c r="G1817" s="607" t="s">
        <v>1594</v>
      </c>
      <c r="H1817" s="607" t="s">
        <v>1594</v>
      </c>
      <c r="I1817" s="607" t="s">
        <v>1921</v>
      </c>
      <c r="J1817" s="608" t="str">
        <f t="shared" si="58"/>
        <v>Commercial &amp; Professional Services</v>
      </c>
      <c r="N1817" s="822">
        <v>512120</v>
      </c>
      <c r="O1817" s="822" t="s">
        <v>3799</v>
      </c>
      <c r="P1817" s="823">
        <v>7822</v>
      </c>
      <c r="Q1817" s="823" t="s">
        <v>3205</v>
      </c>
    </row>
    <row r="1818" spans="2:17" s="608" customFormat="1" x14ac:dyDescent="0.25">
      <c r="B1818" s="605" t="s">
        <v>4217</v>
      </c>
      <c r="C1818" s="606">
        <f t="shared" si="57"/>
        <v>541690</v>
      </c>
      <c r="D1818" s="607" t="s">
        <v>4218</v>
      </c>
      <c r="E1818" s="605" t="s">
        <v>4156</v>
      </c>
      <c r="F1818" s="607" t="s">
        <v>4157</v>
      </c>
      <c r="G1818" s="607" t="s">
        <v>1594</v>
      </c>
      <c r="H1818" s="607" t="s">
        <v>1594</v>
      </c>
      <c r="I1818" s="607" t="s">
        <v>1921</v>
      </c>
      <c r="J1818" s="608" t="str">
        <f t="shared" si="58"/>
        <v>Commercial &amp; Professional Services</v>
      </c>
      <c r="N1818" s="822">
        <v>512120</v>
      </c>
      <c r="O1818" s="822" t="s">
        <v>3799</v>
      </c>
      <c r="P1818" s="823">
        <v>7829</v>
      </c>
      <c r="Q1818" s="823" t="s">
        <v>3801</v>
      </c>
    </row>
    <row r="1819" spans="2:17" s="608" customFormat="1" x14ac:dyDescent="0.25">
      <c r="B1819" s="605" t="s">
        <v>4217</v>
      </c>
      <c r="C1819" s="606">
        <f t="shared" si="57"/>
        <v>541690</v>
      </c>
      <c r="D1819" s="607" t="s">
        <v>4218</v>
      </c>
      <c r="E1819" s="605" t="s">
        <v>2762</v>
      </c>
      <c r="F1819" s="607" t="s">
        <v>2763</v>
      </c>
      <c r="G1819" s="607" t="s">
        <v>1594</v>
      </c>
      <c r="H1819" s="607" t="s">
        <v>1594</v>
      </c>
      <c r="I1819" s="607" t="s">
        <v>1921</v>
      </c>
      <c r="J1819" s="608" t="str">
        <f t="shared" si="58"/>
        <v>Commercial &amp; Professional Services</v>
      </c>
      <c r="N1819" s="822">
        <v>512131</v>
      </c>
      <c r="O1819" s="822" t="s">
        <v>3803</v>
      </c>
      <c r="P1819" s="823">
        <v>7832</v>
      </c>
      <c r="Q1819" s="823" t="s">
        <v>3805</v>
      </c>
    </row>
    <row r="1820" spans="2:17" s="608" customFormat="1" x14ac:dyDescent="0.25">
      <c r="B1820" s="605" t="s">
        <v>4217</v>
      </c>
      <c r="C1820" s="606">
        <f t="shared" si="57"/>
        <v>541690</v>
      </c>
      <c r="D1820" s="607" t="s">
        <v>4218</v>
      </c>
      <c r="E1820" s="605" t="s">
        <v>4158</v>
      </c>
      <c r="F1820" s="607" t="s">
        <v>4159</v>
      </c>
      <c r="G1820" s="607" t="s">
        <v>1594</v>
      </c>
      <c r="H1820" s="607" t="s">
        <v>1594</v>
      </c>
      <c r="I1820" s="607" t="s">
        <v>1921</v>
      </c>
      <c r="J1820" s="608" t="str">
        <f t="shared" si="58"/>
        <v>Commercial &amp; Professional Services</v>
      </c>
      <c r="N1820" s="822">
        <v>512132</v>
      </c>
      <c r="O1820" s="822" t="s">
        <v>3807</v>
      </c>
      <c r="P1820" s="823">
        <v>7833</v>
      </c>
      <c r="Q1820" s="823" t="s">
        <v>3809</v>
      </c>
    </row>
    <row r="1821" spans="2:17" s="608" customFormat="1" x14ac:dyDescent="0.25">
      <c r="B1821" s="605" t="s">
        <v>4217</v>
      </c>
      <c r="C1821" s="606">
        <f t="shared" si="57"/>
        <v>541690</v>
      </c>
      <c r="D1821" s="607" t="s">
        <v>4218</v>
      </c>
      <c r="E1821" s="605" t="s">
        <v>3816</v>
      </c>
      <c r="F1821" s="607" t="s">
        <v>3817</v>
      </c>
      <c r="G1821" s="607" t="s">
        <v>1594</v>
      </c>
      <c r="H1821" s="607" t="s">
        <v>1594</v>
      </c>
      <c r="I1821" s="607" t="s">
        <v>1921</v>
      </c>
      <c r="J1821" s="608" t="str">
        <f t="shared" si="58"/>
        <v>Commercial &amp; Professional Services</v>
      </c>
      <c r="N1821" s="822">
        <v>512191</v>
      </c>
      <c r="O1821" s="822" t="s">
        <v>3811</v>
      </c>
      <c r="P1821" s="823">
        <v>7819</v>
      </c>
      <c r="Q1821" s="823" t="s">
        <v>2763</v>
      </c>
    </row>
    <row r="1822" spans="2:17" s="608" customFormat="1" x14ac:dyDescent="0.25">
      <c r="B1822" s="605" t="s">
        <v>4219</v>
      </c>
      <c r="C1822" s="606">
        <f t="shared" si="57"/>
        <v>541713</v>
      </c>
      <c r="D1822" s="607" t="s">
        <v>4220</v>
      </c>
      <c r="E1822" s="607" t="s">
        <v>2891</v>
      </c>
      <c r="F1822" s="607" t="s">
        <v>2892</v>
      </c>
      <c r="G1822" s="607" t="s">
        <v>1019</v>
      </c>
      <c r="H1822" s="607" t="s">
        <v>1019</v>
      </c>
      <c r="I1822" s="607" t="s">
        <v>3560</v>
      </c>
      <c r="J1822" s="608" t="str">
        <f t="shared" si="58"/>
        <v>Airlines</v>
      </c>
      <c r="N1822" s="822">
        <v>512199</v>
      </c>
      <c r="O1822" s="822" t="s">
        <v>3813</v>
      </c>
      <c r="P1822" s="823">
        <v>7819</v>
      </c>
      <c r="Q1822" s="823" t="s">
        <v>2763</v>
      </c>
    </row>
    <row r="1823" spans="2:17" s="608" customFormat="1" x14ac:dyDescent="0.25">
      <c r="B1823" s="605" t="s">
        <v>4219</v>
      </c>
      <c r="C1823" s="606">
        <f t="shared" si="57"/>
        <v>541713</v>
      </c>
      <c r="D1823" s="607" t="s">
        <v>4220</v>
      </c>
      <c r="E1823" s="607" t="s">
        <v>2896</v>
      </c>
      <c r="F1823" s="607" t="s">
        <v>2897</v>
      </c>
      <c r="G1823" s="607" t="s">
        <v>1019</v>
      </c>
      <c r="H1823" s="607" t="s">
        <v>1019</v>
      </c>
      <c r="I1823" s="607" t="s">
        <v>3560</v>
      </c>
      <c r="J1823" s="608" t="str">
        <f t="shared" si="58"/>
        <v>Airlines</v>
      </c>
      <c r="N1823" s="822">
        <v>512199</v>
      </c>
      <c r="O1823" s="822" t="s">
        <v>3813</v>
      </c>
      <c r="P1823" s="823">
        <v>7829</v>
      </c>
      <c r="Q1823" s="823" t="s">
        <v>3801</v>
      </c>
    </row>
    <row r="1824" spans="2:17" s="608" customFormat="1" x14ac:dyDescent="0.25">
      <c r="B1824" s="605" t="s">
        <v>4219</v>
      </c>
      <c r="C1824" s="606">
        <f t="shared" si="57"/>
        <v>541713</v>
      </c>
      <c r="D1824" s="607" t="s">
        <v>4220</v>
      </c>
      <c r="E1824" s="607" t="s">
        <v>2436</v>
      </c>
      <c r="F1824" s="607" t="s">
        <v>2437</v>
      </c>
      <c r="G1824" s="607" t="s">
        <v>1019</v>
      </c>
      <c r="H1824" s="607" t="s">
        <v>1019</v>
      </c>
      <c r="I1824" s="607" t="s">
        <v>3560</v>
      </c>
      <c r="J1824" s="608" t="str">
        <f t="shared" si="58"/>
        <v>Airlines</v>
      </c>
      <c r="N1824" s="823">
        <v>512210</v>
      </c>
      <c r="O1824" s="823" t="s">
        <v>6009</v>
      </c>
      <c r="P1824" s="823"/>
      <c r="Q1824" s="823" t="s">
        <v>958</v>
      </c>
    </row>
    <row r="1825" spans="2:17" s="608" customFormat="1" x14ac:dyDescent="0.25">
      <c r="B1825" s="605" t="s">
        <v>4219</v>
      </c>
      <c r="C1825" s="606">
        <f t="shared" si="57"/>
        <v>541713</v>
      </c>
      <c r="D1825" s="607" t="s">
        <v>4220</v>
      </c>
      <c r="E1825" s="607" t="s">
        <v>2902</v>
      </c>
      <c r="F1825" s="607" t="s">
        <v>2903</v>
      </c>
      <c r="G1825" s="607" t="s">
        <v>1019</v>
      </c>
      <c r="H1825" s="607" t="s">
        <v>1019</v>
      </c>
      <c r="I1825" s="607" t="s">
        <v>2920</v>
      </c>
      <c r="J1825" s="608" t="str">
        <f t="shared" si="58"/>
        <v>Transportation</v>
      </c>
      <c r="N1825" s="823">
        <v>512220</v>
      </c>
      <c r="O1825" s="823" t="s">
        <v>6010</v>
      </c>
      <c r="P1825" s="823"/>
      <c r="Q1825" s="823" t="s">
        <v>958</v>
      </c>
    </row>
    <row r="1826" spans="2:17" s="608" customFormat="1" x14ac:dyDescent="0.25">
      <c r="B1826" s="605" t="s">
        <v>4219</v>
      </c>
      <c r="C1826" s="606">
        <f t="shared" si="57"/>
        <v>541713</v>
      </c>
      <c r="D1826" s="607" t="s">
        <v>4220</v>
      </c>
      <c r="E1826" s="607" t="s">
        <v>2906</v>
      </c>
      <c r="F1826" s="607" t="s">
        <v>2907</v>
      </c>
      <c r="G1826" s="607" t="s">
        <v>1019</v>
      </c>
      <c r="H1826" s="607" t="s">
        <v>1019</v>
      </c>
      <c r="I1826" s="607" t="s">
        <v>2920</v>
      </c>
      <c r="J1826" s="608" t="str">
        <f t="shared" si="58"/>
        <v>Transportation</v>
      </c>
      <c r="N1826" s="822">
        <v>512230</v>
      </c>
      <c r="O1826" s="822" t="s">
        <v>3815</v>
      </c>
      <c r="P1826" s="823">
        <v>2731</v>
      </c>
      <c r="Q1826" s="823" t="s">
        <v>3783</v>
      </c>
    </row>
    <row r="1827" spans="2:17" s="608" customFormat="1" x14ac:dyDescent="0.25">
      <c r="B1827" s="605" t="s">
        <v>4219</v>
      </c>
      <c r="C1827" s="606">
        <f t="shared" si="57"/>
        <v>541713</v>
      </c>
      <c r="D1827" s="607" t="s">
        <v>4220</v>
      </c>
      <c r="E1827" s="607" t="s">
        <v>2910</v>
      </c>
      <c r="F1827" s="607" t="s">
        <v>2911</v>
      </c>
      <c r="G1827" s="607" t="s">
        <v>1019</v>
      </c>
      <c r="H1827" s="607" t="s">
        <v>1019</v>
      </c>
      <c r="I1827" s="607" t="s">
        <v>2920</v>
      </c>
      <c r="J1827" s="608" t="str">
        <f t="shared" si="58"/>
        <v>Transportation</v>
      </c>
      <c r="N1827" s="822">
        <v>512230</v>
      </c>
      <c r="O1827" s="822" t="s">
        <v>3815</v>
      </c>
      <c r="P1827" s="823">
        <v>2741</v>
      </c>
      <c r="Q1827" s="823" t="s">
        <v>3779</v>
      </c>
    </row>
    <row r="1828" spans="2:17" s="608" customFormat="1" x14ac:dyDescent="0.25">
      <c r="B1828" s="605" t="s">
        <v>4219</v>
      </c>
      <c r="C1828" s="606">
        <f t="shared" si="57"/>
        <v>541713</v>
      </c>
      <c r="D1828" s="607" t="s">
        <v>4220</v>
      </c>
      <c r="E1828" s="605" t="s">
        <v>4221</v>
      </c>
      <c r="F1828" s="607" t="s">
        <v>4222</v>
      </c>
      <c r="G1828" s="607" t="s">
        <v>1019</v>
      </c>
      <c r="H1828" s="607" t="s">
        <v>1019</v>
      </c>
      <c r="I1828" s="607" t="s">
        <v>4223</v>
      </c>
      <c r="J1828" s="608" t="str">
        <f t="shared" si="58"/>
        <v>Nanotechnology</v>
      </c>
      <c r="N1828" s="822">
        <v>512230</v>
      </c>
      <c r="O1828" s="822" t="s">
        <v>3815</v>
      </c>
      <c r="P1828" s="823">
        <v>8999</v>
      </c>
      <c r="Q1828" s="823" t="s">
        <v>3817</v>
      </c>
    </row>
    <row r="1829" spans="2:17" s="608" customFormat="1" x14ac:dyDescent="0.25">
      <c r="B1829" s="605" t="s">
        <v>4219</v>
      </c>
      <c r="C1829" s="606">
        <f t="shared" si="57"/>
        <v>541713</v>
      </c>
      <c r="D1829" s="607" t="s">
        <v>4220</v>
      </c>
      <c r="E1829" s="605" t="s">
        <v>4224</v>
      </c>
      <c r="F1829" s="607" t="s">
        <v>4225</v>
      </c>
      <c r="G1829" s="607" t="s">
        <v>1019</v>
      </c>
      <c r="H1829" s="607" t="s">
        <v>1019</v>
      </c>
      <c r="I1829" s="607" t="s">
        <v>4223</v>
      </c>
      <c r="J1829" s="608" t="str">
        <f t="shared" si="58"/>
        <v>Nanotechnology</v>
      </c>
      <c r="N1829" s="822">
        <v>512240</v>
      </c>
      <c r="O1829" s="822" t="s">
        <v>3819</v>
      </c>
      <c r="P1829" s="823">
        <v>7389</v>
      </c>
      <c r="Q1829" s="823" t="s">
        <v>1589</v>
      </c>
    </row>
    <row r="1830" spans="2:17" s="608" customFormat="1" x14ac:dyDescent="0.25">
      <c r="B1830" s="605" t="s">
        <v>4226</v>
      </c>
      <c r="C1830" s="606">
        <f t="shared" si="57"/>
        <v>541714</v>
      </c>
      <c r="D1830" s="607" t="s">
        <v>4227</v>
      </c>
      <c r="E1830" s="607" t="s">
        <v>2891</v>
      </c>
      <c r="F1830" s="607" t="s">
        <v>2892</v>
      </c>
      <c r="G1830" s="607" t="s">
        <v>1019</v>
      </c>
      <c r="H1830" s="607" t="s">
        <v>1019</v>
      </c>
      <c r="I1830" s="607" t="s">
        <v>3560</v>
      </c>
      <c r="J1830" s="608" t="str">
        <f t="shared" si="58"/>
        <v>Airlines</v>
      </c>
      <c r="N1830" s="822">
        <v>512250</v>
      </c>
      <c r="O1830" s="822" t="s">
        <v>3821</v>
      </c>
      <c r="P1830" s="823">
        <v>3652</v>
      </c>
      <c r="Q1830" s="823" t="s">
        <v>2759</v>
      </c>
    </row>
    <row r="1831" spans="2:17" s="608" customFormat="1" x14ac:dyDescent="0.25">
      <c r="B1831" s="605" t="s">
        <v>4226</v>
      </c>
      <c r="C1831" s="606">
        <f t="shared" si="57"/>
        <v>541714</v>
      </c>
      <c r="D1831" s="607" t="s">
        <v>4227</v>
      </c>
      <c r="E1831" s="607" t="s">
        <v>2896</v>
      </c>
      <c r="F1831" s="607" t="s">
        <v>2897</v>
      </c>
      <c r="G1831" s="607" t="s">
        <v>1019</v>
      </c>
      <c r="H1831" s="607" t="s">
        <v>1019</v>
      </c>
      <c r="I1831" s="607" t="s">
        <v>3560</v>
      </c>
      <c r="J1831" s="608" t="str">
        <f t="shared" si="58"/>
        <v>Airlines</v>
      </c>
      <c r="N1831" s="822">
        <v>512250</v>
      </c>
      <c r="O1831" s="822" t="s">
        <v>3821</v>
      </c>
      <c r="P1831" s="823">
        <v>8999</v>
      </c>
      <c r="Q1831" s="823" t="s">
        <v>3817</v>
      </c>
    </row>
    <row r="1832" spans="2:17" s="608" customFormat="1" x14ac:dyDescent="0.25">
      <c r="B1832" s="605" t="s">
        <v>4226</v>
      </c>
      <c r="C1832" s="606">
        <f t="shared" si="57"/>
        <v>541714</v>
      </c>
      <c r="D1832" s="607" t="s">
        <v>4227</v>
      </c>
      <c r="E1832" s="607" t="s">
        <v>2436</v>
      </c>
      <c r="F1832" s="607" t="s">
        <v>2437</v>
      </c>
      <c r="G1832" s="607" t="s">
        <v>1019</v>
      </c>
      <c r="H1832" s="607" t="s">
        <v>1019</v>
      </c>
      <c r="I1832" s="607" t="s">
        <v>3560</v>
      </c>
      <c r="J1832" s="608" t="str">
        <f t="shared" si="58"/>
        <v>Airlines</v>
      </c>
      <c r="N1832" s="822">
        <v>512290</v>
      </c>
      <c r="O1832" s="822" t="s">
        <v>3823</v>
      </c>
      <c r="P1832" s="823">
        <v>7389</v>
      </c>
      <c r="Q1832" s="823" t="s">
        <v>1589</v>
      </c>
    </row>
    <row r="1833" spans="2:17" s="608" customFormat="1" x14ac:dyDescent="0.25">
      <c r="B1833" s="605" t="s">
        <v>4226</v>
      </c>
      <c r="C1833" s="606">
        <f t="shared" si="57"/>
        <v>541714</v>
      </c>
      <c r="D1833" s="607" t="s">
        <v>4227</v>
      </c>
      <c r="E1833" s="607" t="s">
        <v>2902</v>
      </c>
      <c r="F1833" s="607" t="s">
        <v>2903</v>
      </c>
      <c r="G1833" s="607" t="s">
        <v>1019</v>
      </c>
      <c r="H1833" s="607" t="s">
        <v>1019</v>
      </c>
      <c r="I1833" s="607" t="s">
        <v>2920</v>
      </c>
      <c r="J1833" s="608" t="str">
        <f t="shared" si="58"/>
        <v>Transportation</v>
      </c>
      <c r="N1833" s="822">
        <v>512290</v>
      </c>
      <c r="O1833" s="822" t="s">
        <v>3823</v>
      </c>
      <c r="P1833" s="823">
        <v>7922</v>
      </c>
      <c r="Q1833" s="823" t="s">
        <v>3825</v>
      </c>
    </row>
    <row r="1834" spans="2:17" s="608" customFormat="1" x14ac:dyDescent="0.25">
      <c r="B1834" s="605" t="s">
        <v>4226</v>
      </c>
      <c r="C1834" s="606">
        <f t="shared" si="57"/>
        <v>541714</v>
      </c>
      <c r="D1834" s="607" t="s">
        <v>4227</v>
      </c>
      <c r="E1834" s="607" t="s">
        <v>2906</v>
      </c>
      <c r="F1834" s="607" t="s">
        <v>2907</v>
      </c>
      <c r="G1834" s="607" t="s">
        <v>1019</v>
      </c>
      <c r="H1834" s="607" t="s">
        <v>1019</v>
      </c>
      <c r="I1834" s="607" t="s">
        <v>2920</v>
      </c>
      <c r="J1834" s="608" t="str">
        <f t="shared" si="58"/>
        <v>Transportation</v>
      </c>
      <c r="N1834" s="822">
        <v>515111</v>
      </c>
      <c r="O1834" s="822" t="s">
        <v>3827</v>
      </c>
      <c r="P1834" s="823">
        <v>4832</v>
      </c>
      <c r="Q1834" s="823" t="s">
        <v>3829</v>
      </c>
    </row>
    <row r="1835" spans="2:17" s="608" customFormat="1" x14ac:dyDescent="0.25">
      <c r="B1835" s="605" t="s">
        <v>4226</v>
      </c>
      <c r="C1835" s="606">
        <f t="shared" si="57"/>
        <v>541714</v>
      </c>
      <c r="D1835" s="607" t="s">
        <v>4227</v>
      </c>
      <c r="E1835" s="607" t="s">
        <v>2910</v>
      </c>
      <c r="F1835" s="607" t="s">
        <v>2911</v>
      </c>
      <c r="G1835" s="607" t="s">
        <v>1019</v>
      </c>
      <c r="H1835" s="607" t="s">
        <v>1019</v>
      </c>
      <c r="I1835" s="607" t="s">
        <v>2920</v>
      </c>
      <c r="J1835" s="608" t="str">
        <f t="shared" si="58"/>
        <v>Transportation</v>
      </c>
      <c r="N1835" s="822">
        <v>515112</v>
      </c>
      <c r="O1835" s="822" t="s">
        <v>3831</v>
      </c>
      <c r="P1835" s="823">
        <v>4832</v>
      </c>
      <c r="Q1835" s="823" t="s">
        <v>3829</v>
      </c>
    </row>
    <row r="1836" spans="2:17" s="608" customFormat="1" x14ac:dyDescent="0.25">
      <c r="B1836" s="605" t="s">
        <v>4226</v>
      </c>
      <c r="C1836" s="606">
        <f t="shared" si="57"/>
        <v>541714</v>
      </c>
      <c r="D1836" s="607" t="s">
        <v>4227</v>
      </c>
      <c r="E1836" s="607" t="s">
        <v>4221</v>
      </c>
      <c r="F1836" s="607" t="s">
        <v>4222</v>
      </c>
      <c r="G1836" s="607" t="s">
        <v>2021</v>
      </c>
      <c r="H1836" s="607" t="s">
        <v>2021</v>
      </c>
      <c r="I1836" s="607" t="s">
        <v>4228</v>
      </c>
      <c r="J1836" s="608" t="str">
        <f t="shared" si="58"/>
        <v>Biotechnology</v>
      </c>
      <c r="N1836" s="822">
        <v>515120</v>
      </c>
      <c r="O1836" s="822" t="s">
        <v>3833</v>
      </c>
      <c r="P1836" s="823">
        <v>4833</v>
      </c>
      <c r="Q1836" s="823" t="s">
        <v>3835</v>
      </c>
    </row>
    <row r="1837" spans="2:17" s="608" customFormat="1" x14ac:dyDescent="0.25">
      <c r="B1837" s="605" t="s">
        <v>4226</v>
      </c>
      <c r="C1837" s="606">
        <f t="shared" si="57"/>
        <v>541714</v>
      </c>
      <c r="D1837" s="607" t="s">
        <v>4227</v>
      </c>
      <c r="E1837" s="607" t="s">
        <v>4224</v>
      </c>
      <c r="F1837" s="607" t="s">
        <v>4225</v>
      </c>
      <c r="G1837" s="607" t="s">
        <v>2021</v>
      </c>
      <c r="H1837" s="607" t="s">
        <v>2021</v>
      </c>
      <c r="I1837" s="607" t="s">
        <v>4228</v>
      </c>
      <c r="J1837" s="608" t="str">
        <f t="shared" si="58"/>
        <v>Biotechnology</v>
      </c>
      <c r="N1837" s="822">
        <v>515210</v>
      </c>
      <c r="O1837" s="822" t="s">
        <v>3837</v>
      </c>
      <c r="P1837" s="823">
        <v>4841</v>
      </c>
      <c r="Q1837" s="823" t="s">
        <v>3839</v>
      </c>
    </row>
    <row r="1838" spans="2:17" s="608" customFormat="1" ht="30" x14ac:dyDescent="0.25">
      <c r="B1838" s="605" t="s">
        <v>4229</v>
      </c>
      <c r="C1838" s="606">
        <f t="shared" si="57"/>
        <v>541715</v>
      </c>
      <c r="D1838" s="607" t="s">
        <v>4230</v>
      </c>
      <c r="E1838" s="607" t="s">
        <v>2891</v>
      </c>
      <c r="F1838" s="607" t="s">
        <v>2892</v>
      </c>
      <c r="G1838" s="607" t="s">
        <v>1019</v>
      </c>
      <c r="H1838" s="607" t="s">
        <v>1019</v>
      </c>
      <c r="I1838" s="607" t="s">
        <v>3560</v>
      </c>
      <c r="J1838" s="608" t="str">
        <f t="shared" si="58"/>
        <v>Airlines</v>
      </c>
      <c r="N1838" s="823">
        <v>517110</v>
      </c>
      <c r="O1838" s="823" t="s">
        <v>3841</v>
      </c>
      <c r="P1838" s="823"/>
      <c r="Q1838" s="823" t="s">
        <v>958</v>
      </c>
    </row>
    <row r="1839" spans="2:17" s="608" customFormat="1" ht="30" x14ac:dyDescent="0.25">
      <c r="B1839" s="605" t="s">
        <v>4229</v>
      </c>
      <c r="C1839" s="606">
        <f t="shared" si="57"/>
        <v>541715</v>
      </c>
      <c r="D1839" s="607" t="s">
        <v>4230</v>
      </c>
      <c r="E1839" s="607" t="s">
        <v>2896</v>
      </c>
      <c r="F1839" s="607" t="s">
        <v>2897</v>
      </c>
      <c r="G1839" s="607" t="s">
        <v>1019</v>
      </c>
      <c r="H1839" s="607" t="s">
        <v>1019</v>
      </c>
      <c r="I1839" s="607" t="s">
        <v>3560</v>
      </c>
      <c r="J1839" s="608" t="str">
        <f t="shared" si="58"/>
        <v>Airlines</v>
      </c>
      <c r="N1839" s="823">
        <v>517210</v>
      </c>
      <c r="O1839" s="823" t="s">
        <v>3850</v>
      </c>
      <c r="P1839" s="823"/>
      <c r="Q1839" s="823" t="s">
        <v>958</v>
      </c>
    </row>
    <row r="1840" spans="2:17" s="608" customFormat="1" ht="30" x14ac:dyDescent="0.25">
      <c r="B1840" s="605" t="s">
        <v>4229</v>
      </c>
      <c r="C1840" s="606">
        <f t="shared" si="57"/>
        <v>541715</v>
      </c>
      <c r="D1840" s="607" t="s">
        <v>4230</v>
      </c>
      <c r="E1840" s="607" t="s">
        <v>2436</v>
      </c>
      <c r="F1840" s="607" t="s">
        <v>2437</v>
      </c>
      <c r="G1840" s="607" t="s">
        <v>1019</v>
      </c>
      <c r="H1840" s="607" t="s">
        <v>1019</v>
      </c>
      <c r="I1840" s="607" t="s">
        <v>3560</v>
      </c>
      <c r="J1840" s="608" t="str">
        <f t="shared" si="58"/>
        <v>Airlines</v>
      </c>
      <c r="N1840" s="822">
        <v>517311</v>
      </c>
      <c r="O1840" s="822" t="s">
        <v>3841</v>
      </c>
      <c r="P1840" s="823">
        <v>4813</v>
      </c>
      <c r="Q1840" s="823" t="s">
        <v>3843</v>
      </c>
    </row>
    <row r="1841" spans="2:17" s="608" customFormat="1" ht="30" x14ac:dyDescent="0.25">
      <c r="B1841" s="605" t="s">
        <v>4229</v>
      </c>
      <c r="C1841" s="606">
        <f t="shared" si="57"/>
        <v>541715</v>
      </c>
      <c r="D1841" s="607" t="s">
        <v>4230</v>
      </c>
      <c r="E1841" s="607" t="s">
        <v>2902</v>
      </c>
      <c r="F1841" s="607" t="s">
        <v>2903</v>
      </c>
      <c r="G1841" s="607" t="s">
        <v>1019</v>
      </c>
      <c r="H1841" s="607" t="s">
        <v>1019</v>
      </c>
      <c r="I1841" s="607" t="s">
        <v>2920</v>
      </c>
      <c r="J1841" s="608" t="str">
        <f t="shared" si="58"/>
        <v>Transportation</v>
      </c>
      <c r="N1841" s="822">
        <v>517311</v>
      </c>
      <c r="O1841" s="822" t="s">
        <v>3841</v>
      </c>
      <c r="P1841" s="823">
        <v>4822</v>
      </c>
      <c r="Q1841" s="823" t="s">
        <v>3846</v>
      </c>
    </row>
    <row r="1842" spans="2:17" s="608" customFormat="1" ht="30" x14ac:dyDescent="0.25">
      <c r="B1842" s="605" t="s">
        <v>4229</v>
      </c>
      <c r="C1842" s="606">
        <f t="shared" si="57"/>
        <v>541715</v>
      </c>
      <c r="D1842" s="607" t="s">
        <v>4230</v>
      </c>
      <c r="E1842" s="607" t="s">
        <v>2906</v>
      </c>
      <c r="F1842" s="607" t="s">
        <v>2907</v>
      </c>
      <c r="G1842" s="607" t="s">
        <v>1019</v>
      </c>
      <c r="H1842" s="607" t="s">
        <v>1019</v>
      </c>
      <c r="I1842" s="607" t="s">
        <v>2920</v>
      </c>
      <c r="J1842" s="608" t="str">
        <f t="shared" si="58"/>
        <v>Transportation</v>
      </c>
      <c r="N1842" s="822">
        <v>517311</v>
      </c>
      <c r="O1842" s="822" t="s">
        <v>3841</v>
      </c>
      <c r="P1842" s="823">
        <v>4841</v>
      </c>
      <c r="Q1842" s="823" t="s">
        <v>3839</v>
      </c>
    </row>
    <row r="1843" spans="2:17" s="608" customFormat="1" ht="30" x14ac:dyDescent="0.25">
      <c r="B1843" s="605" t="s">
        <v>4229</v>
      </c>
      <c r="C1843" s="606">
        <f t="shared" si="57"/>
        <v>541715</v>
      </c>
      <c r="D1843" s="607" t="s">
        <v>4230</v>
      </c>
      <c r="E1843" s="607" t="s">
        <v>2910</v>
      </c>
      <c r="F1843" s="607" t="s">
        <v>2911</v>
      </c>
      <c r="G1843" s="607" t="s">
        <v>1019</v>
      </c>
      <c r="H1843" s="607" t="s">
        <v>1019</v>
      </c>
      <c r="I1843" s="607" t="s">
        <v>2920</v>
      </c>
      <c r="J1843" s="608" t="str">
        <f t="shared" si="58"/>
        <v>Transportation</v>
      </c>
      <c r="N1843" s="822">
        <v>517311</v>
      </c>
      <c r="O1843" s="822" t="s">
        <v>3841</v>
      </c>
      <c r="P1843" s="823">
        <v>7375</v>
      </c>
      <c r="Q1843" s="823" t="s">
        <v>3848</v>
      </c>
    </row>
    <row r="1844" spans="2:17" s="608" customFormat="1" ht="30" x14ac:dyDescent="0.25">
      <c r="B1844" s="605" t="s">
        <v>4229</v>
      </c>
      <c r="C1844" s="606">
        <f t="shared" si="57"/>
        <v>541715</v>
      </c>
      <c r="D1844" s="607" t="s">
        <v>4230</v>
      </c>
      <c r="E1844" s="605" t="s">
        <v>4221</v>
      </c>
      <c r="F1844" s="607" t="s">
        <v>4222</v>
      </c>
      <c r="G1844" s="607" t="s">
        <v>1019</v>
      </c>
      <c r="H1844" s="607" t="s">
        <v>1019</v>
      </c>
      <c r="I1844" s="609" t="s">
        <v>4231</v>
      </c>
      <c r="J1844" s="608" t="str">
        <f t="shared" si="58"/>
        <v>Research &amp; Consulting Services</v>
      </c>
      <c r="N1844" s="822">
        <v>517312</v>
      </c>
      <c r="O1844" s="822" t="s">
        <v>3850</v>
      </c>
      <c r="P1844" s="823">
        <v>4812</v>
      </c>
      <c r="Q1844" s="823" t="s">
        <v>3852</v>
      </c>
    </row>
    <row r="1845" spans="2:17" s="608" customFormat="1" ht="30" x14ac:dyDescent="0.25">
      <c r="B1845" s="605" t="s">
        <v>4229</v>
      </c>
      <c r="C1845" s="606">
        <f t="shared" si="57"/>
        <v>541715</v>
      </c>
      <c r="D1845" s="607" t="s">
        <v>4230</v>
      </c>
      <c r="E1845" s="605" t="s">
        <v>4224</v>
      </c>
      <c r="F1845" s="607" t="s">
        <v>4225</v>
      </c>
      <c r="G1845" s="607" t="s">
        <v>1019</v>
      </c>
      <c r="H1845" s="607" t="s">
        <v>1019</v>
      </c>
      <c r="I1845" s="609" t="s">
        <v>4231</v>
      </c>
      <c r="J1845" s="608" t="str">
        <f t="shared" si="58"/>
        <v>Research &amp; Consulting Services</v>
      </c>
      <c r="N1845" s="822">
        <v>517312</v>
      </c>
      <c r="O1845" s="822" t="s">
        <v>3850</v>
      </c>
      <c r="P1845" s="823">
        <v>4899</v>
      </c>
      <c r="Q1845" s="823" t="s">
        <v>3650</v>
      </c>
    </row>
    <row r="1846" spans="2:17" s="608" customFormat="1" x14ac:dyDescent="0.25">
      <c r="B1846" s="605" t="s">
        <v>4232</v>
      </c>
      <c r="C1846" s="606">
        <f t="shared" si="57"/>
        <v>541720</v>
      </c>
      <c r="D1846" s="607" t="s">
        <v>4233</v>
      </c>
      <c r="E1846" s="607" t="s">
        <v>4234</v>
      </c>
      <c r="F1846" s="607" t="s">
        <v>4235</v>
      </c>
      <c r="G1846" s="607" t="s">
        <v>1019</v>
      </c>
      <c r="H1846" s="607" t="s">
        <v>1019</v>
      </c>
      <c r="I1846" s="607" t="s">
        <v>1921</v>
      </c>
      <c r="J1846" s="608" t="str">
        <f t="shared" si="58"/>
        <v>Commercial &amp; Professional Services</v>
      </c>
      <c r="N1846" s="822">
        <v>517410</v>
      </c>
      <c r="O1846" s="822" t="s">
        <v>3854</v>
      </c>
      <c r="P1846" s="823">
        <v>4899</v>
      </c>
      <c r="Q1846" s="823" t="s">
        <v>3650</v>
      </c>
    </row>
    <row r="1847" spans="2:17" s="608" customFormat="1" x14ac:dyDescent="0.25">
      <c r="B1847" s="605" t="s">
        <v>4232</v>
      </c>
      <c r="C1847" s="606">
        <f t="shared" si="57"/>
        <v>541720</v>
      </c>
      <c r="D1847" s="607" t="s">
        <v>4233</v>
      </c>
      <c r="E1847" s="607" t="s">
        <v>4224</v>
      </c>
      <c r="F1847" s="607" t="s">
        <v>4225</v>
      </c>
      <c r="G1847" s="607" t="s">
        <v>1019</v>
      </c>
      <c r="H1847" s="607" t="s">
        <v>1019</v>
      </c>
      <c r="I1847" s="607" t="s">
        <v>1921</v>
      </c>
      <c r="J1847" s="608" t="str">
        <f t="shared" si="58"/>
        <v>Commercial &amp; Professional Services</v>
      </c>
      <c r="N1847" s="822">
        <v>517510</v>
      </c>
      <c r="O1847" s="822" t="s">
        <v>6011</v>
      </c>
      <c r="P1847" s="823"/>
      <c r="Q1847" s="823" t="s">
        <v>958</v>
      </c>
    </row>
    <row r="1848" spans="2:17" s="608" customFormat="1" x14ac:dyDescent="0.25">
      <c r="B1848" s="605" t="s">
        <v>4236</v>
      </c>
      <c r="C1848" s="606">
        <f t="shared" si="57"/>
        <v>541810</v>
      </c>
      <c r="D1848" s="607" t="s">
        <v>4237</v>
      </c>
      <c r="E1848" s="607" t="s">
        <v>4238</v>
      </c>
      <c r="F1848" s="607" t="s">
        <v>4237</v>
      </c>
      <c r="G1848" s="607" t="s">
        <v>1019</v>
      </c>
      <c r="H1848" s="607" t="s">
        <v>1019</v>
      </c>
      <c r="I1848" s="607" t="s">
        <v>1906</v>
      </c>
      <c r="J1848" s="608" t="str">
        <f t="shared" si="58"/>
        <v>Media</v>
      </c>
      <c r="N1848" s="822">
        <v>517911</v>
      </c>
      <c r="O1848" s="822" t="s">
        <v>3856</v>
      </c>
      <c r="P1848" s="823">
        <v>4812</v>
      </c>
      <c r="Q1848" s="823" t="s">
        <v>3852</v>
      </c>
    </row>
    <row r="1849" spans="2:17" s="608" customFormat="1" x14ac:dyDescent="0.25">
      <c r="B1849" s="605" t="s">
        <v>4239</v>
      </c>
      <c r="C1849" s="606">
        <f t="shared" si="57"/>
        <v>541820</v>
      </c>
      <c r="D1849" s="607" t="s">
        <v>4240</v>
      </c>
      <c r="E1849" s="607" t="s">
        <v>4241</v>
      </c>
      <c r="F1849" s="607" t="s">
        <v>4242</v>
      </c>
      <c r="G1849" s="607" t="s">
        <v>1019</v>
      </c>
      <c r="H1849" s="607" t="s">
        <v>1019</v>
      </c>
      <c r="I1849" s="607" t="s">
        <v>1906</v>
      </c>
      <c r="J1849" s="608" t="str">
        <f t="shared" si="58"/>
        <v>Media</v>
      </c>
      <c r="N1849" s="822">
        <v>517911</v>
      </c>
      <c r="O1849" s="822" t="s">
        <v>3856</v>
      </c>
      <c r="P1849" s="823">
        <v>4813</v>
      </c>
      <c r="Q1849" s="823" t="s">
        <v>3843</v>
      </c>
    </row>
    <row r="1850" spans="2:17" s="608" customFormat="1" x14ac:dyDescent="0.25">
      <c r="B1850" s="605" t="s">
        <v>4243</v>
      </c>
      <c r="C1850" s="606">
        <f t="shared" si="57"/>
        <v>541830</v>
      </c>
      <c r="D1850" s="607" t="s">
        <v>4244</v>
      </c>
      <c r="E1850" s="607" t="s">
        <v>3571</v>
      </c>
      <c r="F1850" s="607" t="s">
        <v>3572</v>
      </c>
      <c r="G1850" s="607" t="s">
        <v>1019</v>
      </c>
      <c r="H1850" s="607" t="s">
        <v>1019</v>
      </c>
      <c r="I1850" s="607" t="s">
        <v>1906</v>
      </c>
      <c r="J1850" s="608" t="str">
        <f t="shared" si="58"/>
        <v>Media</v>
      </c>
      <c r="N1850" s="822">
        <v>517919</v>
      </c>
      <c r="O1850" s="822" t="s">
        <v>3858</v>
      </c>
      <c r="P1850" s="823">
        <v>4899</v>
      </c>
      <c r="Q1850" s="823" t="s">
        <v>3650</v>
      </c>
    </row>
    <row r="1851" spans="2:17" s="608" customFormat="1" x14ac:dyDescent="0.25">
      <c r="B1851" s="605" t="s">
        <v>4245</v>
      </c>
      <c r="C1851" s="606">
        <f t="shared" si="57"/>
        <v>541840</v>
      </c>
      <c r="D1851" s="607" t="s">
        <v>4246</v>
      </c>
      <c r="E1851" s="607" t="s">
        <v>4247</v>
      </c>
      <c r="F1851" s="607" t="s">
        <v>4248</v>
      </c>
      <c r="G1851" s="607" t="s">
        <v>1019</v>
      </c>
      <c r="H1851" s="607" t="s">
        <v>1019</v>
      </c>
      <c r="I1851" s="607" t="s">
        <v>1906</v>
      </c>
      <c r="J1851" s="608" t="str">
        <f t="shared" si="58"/>
        <v>Media</v>
      </c>
      <c r="N1851" s="822">
        <v>517919</v>
      </c>
      <c r="O1851" s="822" t="s">
        <v>3858</v>
      </c>
      <c r="P1851" s="823">
        <v>7375</v>
      </c>
      <c r="Q1851" s="823" t="s">
        <v>3848</v>
      </c>
    </row>
    <row r="1852" spans="2:17" s="608" customFormat="1" x14ac:dyDescent="0.25">
      <c r="B1852" s="605" t="s">
        <v>4249</v>
      </c>
      <c r="C1852" s="606">
        <f t="shared" si="57"/>
        <v>541850</v>
      </c>
      <c r="D1852" s="607" t="s">
        <v>4250</v>
      </c>
      <c r="E1852" s="607" t="s">
        <v>4251</v>
      </c>
      <c r="F1852" s="607" t="s">
        <v>4252</v>
      </c>
      <c r="G1852" s="607" t="s">
        <v>1019</v>
      </c>
      <c r="H1852" s="607" t="s">
        <v>1019</v>
      </c>
      <c r="I1852" s="607" t="s">
        <v>1906</v>
      </c>
      <c r="J1852" s="608" t="str">
        <f t="shared" si="58"/>
        <v>Media</v>
      </c>
      <c r="N1852" s="822">
        <v>518210</v>
      </c>
      <c r="O1852" s="822" t="s">
        <v>3860</v>
      </c>
      <c r="P1852" s="823">
        <v>7374</v>
      </c>
      <c r="Q1852" s="823" t="s">
        <v>3862</v>
      </c>
    </row>
    <row r="1853" spans="2:17" s="608" customFormat="1" x14ac:dyDescent="0.25">
      <c r="B1853" s="605" t="s">
        <v>4249</v>
      </c>
      <c r="C1853" s="606">
        <f t="shared" si="57"/>
        <v>541850</v>
      </c>
      <c r="D1853" s="607" t="s">
        <v>4250</v>
      </c>
      <c r="E1853" s="607" t="s">
        <v>3571</v>
      </c>
      <c r="F1853" s="607" t="s">
        <v>3572</v>
      </c>
      <c r="G1853" s="607" t="s">
        <v>1019</v>
      </c>
      <c r="H1853" s="607" t="s">
        <v>1019</v>
      </c>
      <c r="I1853" s="607" t="s">
        <v>1906</v>
      </c>
      <c r="J1853" s="608" t="str">
        <f t="shared" si="58"/>
        <v>Media</v>
      </c>
      <c r="N1853" s="822">
        <v>518210</v>
      </c>
      <c r="O1853" s="822" t="s">
        <v>3860</v>
      </c>
      <c r="P1853" s="823">
        <v>7379</v>
      </c>
      <c r="Q1853" s="823" t="s">
        <v>3864</v>
      </c>
    </row>
    <row r="1854" spans="2:17" s="608" customFormat="1" x14ac:dyDescent="0.25">
      <c r="B1854" s="605" t="s">
        <v>4253</v>
      </c>
      <c r="C1854" s="606">
        <f t="shared" si="57"/>
        <v>541860</v>
      </c>
      <c r="D1854" s="607" t="s">
        <v>4254</v>
      </c>
      <c r="E1854" s="607" t="s">
        <v>3786</v>
      </c>
      <c r="F1854" s="607" t="s">
        <v>3787</v>
      </c>
      <c r="G1854" s="607" t="s">
        <v>1019</v>
      </c>
      <c r="H1854" s="607" t="s">
        <v>1019</v>
      </c>
      <c r="I1854" s="607" t="s">
        <v>1906</v>
      </c>
      <c r="J1854" s="608" t="str">
        <f t="shared" si="58"/>
        <v>Media</v>
      </c>
      <c r="N1854" s="822">
        <v>518210</v>
      </c>
      <c r="O1854" s="822" t="s">
        <v>3860</v>
      </c>
      <c r="P1854" s="823">
        <v>7389</v>
      </c>
      <c r="Q1854" s="823" t="s">
        <v>1589</v>
      </c>
    </row>
    <row r="1855" spans="2:17" s="608" customFormat="1" x14ac:dyDescent="0.25">
      <c r="B1855" s="605" t="s">
        <v>4255</v>
      </c>
      <c r="C1855" s="606">
        <f t="shared" si="57"/>
        <v>541870</v>
      </c>
      <c r="D1855" s="607" t="s">
        <v>4256</v>
      </c>
      <c r="E1855" s="607" t="s">
        <v>3571</v>
      </c>
      <c r="F1855" s="607" t="s">
        <v>3572</v>
      </c>
      <c r="G1855" s="607" t="s">
        <v>1019</v>
      </c>
      <c r="H1855" s="607" t="s">
        <v>1019</v>
      </c>
      <c r="I1855" s="607" t="s">
        <v>1906</v>
      </c>
      <c r="J1855" s="608" t="str">
        <f t="shared" si="58"/>
        <v>Media</v>
      </c>
      <c r="N1855" s="822">
        <v>519110</v>
      </c>
      <c r="O1855" s="822" t="s">
        <v>3866</v>
      </c>
      <c r="P1855" s="823">
        <v>7383</v>
      </c>
      <c r="Q1855" s="823" t="s">
        <v>3866</v>
      </c>
    </row>
    <row r="1856" spans="2:17" s="608" customFormat="1" x14ac:dyDescent="0.25">
      <c r="B1856" s="605" t="s">
        <v>4255</v>
      </c>
      <c r="C1856" s="606">
        <f t="shared" si="57"/>
        <v>541870</v>
      </c>
      <c r="D1856" s="607" t="s">
        <v>4256</v>
      </c>
      <c r="E1856" s="607" t="s">
        <v>1588</v>
      </c>
      <c r="F1856" s="607" t="s">
        <v>1589</v>
      </c>
      <c r="G1856" s="607" t="s">
        <v>1019</v>
      </c>
      <c r="H1856" s="607" t="s">
        <v>1019</v>
      </c>
      <c r="I1856" s="607" t="s">
        <v>1906</v>
      </c>
      <c r="J1856" s="608" t="str">
        <f t="shared" si="58"/>
        <v>Media</v>
      </c>
      <c r="N1856" s="822">
        <v>519120</v>
      </c>
      <c r="O1856" s="822" t="s">
        <v>3869</v>
      </c>
      <c r="P1856" s="823">
        <v>7829</v>
      </c>
      <c r="Q1856" s="823" t="s">
        <v>3801</v>
      </c>
    </row>
    <row r="1857" spans="2:17" s="608" customFormat="1" x14ac:dyDescent="0.25">
      <c r="B1857" s="605" t="s">
        <v>4257</v>
      </c>
      <c r="C1857" s="606">
        <f t="shared" si="57"/>
        <v>541890</v>
      </c>
      <c r="D1857" s="607" t="s">
        <v>4258</v>
      </c>
      <c r="E1857" s="607" t="s">
        <v>3224</v>
      </c>
      <c r="F1857" s="607" t="s">
        <v>3225</v>
      </c>
      <c r="G1857" s="607" t="s">
        <v>1019</v>
      </c>
      <c r="H1857" s="607" t="s">
        <v>1019</v>
      </c>
      <c r="I1857" s="607" t="s">
        <v>1906</v>
      </c>
      <c r="J1857" s="608" t="str">
        <f t="shared" si="58"/>
        <v>Media</v>
      </c>
      <c r="N1857" s="822">
        <v>519120</v>
      </c>
      <c r="O1857" s="822" t="s">
        <v>3869</v>
      </c>
      <c r="P1857" s="823">
        <v>8231</v>
      </c>
      <c r="Q1857" s="823" t="s">
        <v>3871</v>
      </c>
    </row>
    <row r="1858" spans="2:17" s="608" customFormat="1" x14ac:dyDescent="0.25">
      <c r="B1858" s="605" t="s">
        <v>4257</v>
      </c>
      <c r="C1858" s="606">
        <f t="shared" ref="C1858:C1921" si="59">B1858+0</f>
        <v>541890</v>
      </c>
      <c r="D1858" s="607" t="s">
        <v>4258</v>
      </c>
      <c r="E1858" s="607" t="s">
        <v>3571</v>
      </c>
      <c r="F1858" s="607" t="s">
        <v>3572</v>
      </c>
      <c r="G1858" s="607" t="s">
        <v>1019</v>
      </c>
      <c r="H1858" s="607" t="s">
        <v>1019</v>
      </c>
      <c r="I1858" s="607" t="s">
        <v>1906</v>
      </c>
      <c r="J1858" s="608" t="str">
        <f t="shared" si="58"/>
        <v>Media</v>
      </c>
      <c r="N1858" s="822">
        <v>519130</v>
      </c>
      <c r="O1858" s="822" t="s">
        <v>3873</v>
      </c>
      <c r="P1858" s="823">
        <v>2711</v>
      </c>
      <c r="Q1858" s="823" t="s">
        <v>3773</v>
      </c>
    </row>
    <row r="1859" spans="2:17" s="608" customFormat="1" x14ac:dyDescent="0.25">
      <c r="B1859" s="605" t="s">
        <v>4257</v>
      </c>
      <c r="C1859" s="606">
        <f t="shared" si="59"/>
        <v>541890</v>
      </c>
      <c r="D1859" s="607" t="s">
        <v>4258</v>
      </c>
      <c r="E1859" s="607" t="s">
        <v>1588</v>
      </c>
      <c r="F1859" s="607" t="s">
        <v>1589</v>
      </c>
      <c r="G1859" s="607" t="s">
        <v>1019</v>
      </c>
      <c r="H1859" s="607" t="s">
        <v>1019</v>
      </c>
      <c r="I1859" s="607" t="s">
        <v>1906</v>
      </c>
      <c r="J1859" s="608" t="str">
        <f t="shared" si="58"/>
        <v>Media</v>
      </c>
      <c r="N1859" s="822">
        <v>519130</v>
      </c>
      <c r="O1859" s="822" t="s">
        <v>3873</v>
      </c>
      <c r="P1859" s="823">
        <v>2721</v>
      </c>
      <c r="Q1859" s="823" t="s">
        <v>3777</v>
      </c>
    </row>
    <row r="1860" spans="2:17" s="608" customFormat="1" x14ac:dyDescent="0.25">
      <c r="B1860" s="605" t="s">
        <v>4259</v>
      </c>
      <c r="C1860" s="606">
        <f t="shared" si="59"/>
        <v>541910</v>
      </c>
      <c r="D1860" s="607" t="s">
        <v>4260</v>
      </c>
      <c r="E1860" s="605" t="s">
        <v>4234</v>
      </c>
      <c r="F1860" s="607" t="s">
        <v>4235</v>
      </c>
      <c r="G1860" s="607" t="s">
        <v>1019</v>
      </c>
      <c r="H1860" s="607" t="s">
        <v>1019</v>
      </c>
      <c r="I1860" s="607" t="s">
        <v>1921</v>
      </c>
      <c r="J1860" s="608" t="str">
        <f t="shared" si="58"/>
        <v>Commercial &amp; Professional Services</v>
      </c>
      <c r="N1860" s="822">
        <v>519130</v>
      </c>
      <c r="O1860" s="822" t="s">
        <v>3873</v>
      </c>
      <c r="P1860" s="823">
        <v>2731</v>
      </c>
      <c r="Q1860" s="823" t="s">
        <v>3783</v>
      </c>
    </row>
    <row r="1861" spans="2:17" s="608" customFormat="1" x14ac:dyDescent="0.25">
      <c r="B1861" s="605" t="s">
        <v>4261</v>
      </c>
      <c r="C1861" s="606">
        <f t="shared" si="59"/>
        <v>541921</v>
      </c>
      <c r="D1861" s="607" t="s">
        <v>4262</v>
      </c>
      <c r="E1861" s="605" t="s">
        <v>4263</v>
      </c>
      <c r="F1861" s="607" t="s">
        <v>4264</v>
      </c>
      <c r="G1861" s="607" t="s">
        <v>1019</v>
      </c>
      <c r="H1861" s="607" t="s">
        <v>1019</v>
      </c>
      <c r="I1861" s="607" t="s">
        <v>1921</v>
      </c>
      <c r="J1861" s="608" t="str">
        <f t="shared" si="58"/>
        <v>Commercial &amp; Professional Services</v>
      </c>
      <c r="N1861" s="822">
        <v>519130</v>
      </c>
      <c r="O1861" s="822" t="s">
        <v>3873</v>
      </c>
      <c r="P1861" s="823">
        <v>2741</v>
      </c>
      <c r="Q1861" s="823" t="s">
        <v>3779</v>
      </c>
    </row>
    <row r="1862" spans="2:17" s="608" customFormat="1" x14ac:dyDescent="0.25">
      <c r="B1862" s="605" t="s">
        <v>4265</v>
      </c>
      <c r="C1862" s="606">
        <f t="shared" si="59"/>
        <v>541922</v>
      </c>
      <c r="D1862" s="607" t="s">
        <v>3574</v>
      </c>
      <c r="E1862" s="605" t="s">
        <v>3573</v>
      </c>
      <c r="F1862" s="607" t="s">
        <v>3574</v>
      </c>
      <c r="G1862" s="607" t="s">
        <v>1019</v>
      </c>
      <c r="H1862" s="607" t="s">
        <v>1019</v>
      </c>
      <c r="I1862" s="607" t="s">
        <v>1921</v>
      </c>
      <c r="J1862" s="608" t="str">
        <f t="shared" si="58"/>
        <v>Commercial &amp; Professional Services</v>
      </c>
      <c r="N1862" s="822">
        <v>519130</v>
      </c>
      <c r="O1862" s="822" t="s">
        <v>3873</v>
      </c>
      <c r="P1862" s="823">
        <v>2771</v>
      </c>
      <c r="Q1862" s="823" t="s">
        <v>1914</v>
      </c>
    </row>
    <row r="1863" spans="2:17" s="608" customFormat="1" x14ac:dyDescent="0.25">
      <c r="B1863" s="605" t="s">
        <v>4265</v>
      </c>
      <c r="C1863" s="606">
        <f t="shared" si="59"/>
        <v>541922</v>
      </c>
      <c r="D1863" s="607" t="s">
        <v>3574</v>
      </c>
      <c r="E1863" s="607" t="s">
        <v>4184</v>
      </c>
      <c r="F1863" s="607" t="s">
        <v>4185</v>
      </c>
      <c r="G1863" s="607" t="s">
        <v>1019</v>
      </c>
      <c r="H1863" s="607" t="s">
        <v>1019</v>
      </c>
      <c r="I1863" s="607" t="s">
        <v>1921</v>
      </c>
      <c r="J1863" s="608" t="str">
        <f t="shared" si="58"/>
        <v>Commercial &amp; Professional Services</v>
      </c>
      <c r="N1863" s="822">
        <v>519130</v>
      </c>
      <c r="O1863" s="822" t="s">
        <v>3873</v>
      </c>
      <c r="P1863" s="823">
        <v>8999</v>
      </c>
      <c r="Q1863" s="823" t="s">
        <v>3817</v>
      </c>
    </row>
    <row r="1864" spans="2:17" s="608" customFormat="1" x14ac:dyDescent="0.25">
      <c r="B1864" s="605" t="s">
        <v>4266</v>
      </c>
      <c r="C1864" s="606">
        <f t="shared" si="59"/>
        <v>541930</v>
      </c>
      <c r="D1864" s="607" t="s">
        <v>4267</v>
      </c>
      <c r="E1864" s="605" t="s">
        <v>1588</v>
      </c>
      <c r="F1864" s="607" t="s">
        <v>1589</v>
      </c>
      <c r="G1864" s="607" t="s">
        <v>1019</v>
      </c>
      <c r="H1864" s="607" t="s">
        <v>1019</v>
      </c>
      <c r="I1864" s="607" t="s">
        <v>1921</v>
      </c>
      <c r="J1864" s="608" t="str">
        <f t="shared" si="58"/>
        <v>Commercial &amp; Professional Services</v>
      </c>
      <c r="N1864" s="822">
        <v>519190</v>
      </c>
      <c r="O1864" s="822" t="s">
        <v>3875</v>
      </c>
      <c r="P1864" s="823">
        <v>7389</v>
      </c>
      <c r="Q1864" s="823" t="s">
        <v>1589</v>
      </c>
    </row>
    <row r="1865" spans="2:17" s="608" customFormat="1" x14ac:dyDescent="0.25">
      <c r="B1865" s="605" t="s">
        <v>4268</v>
      </c>
      <c r="C1865" s="606">
        <f t="shared" si="59"/>
        <v>541940</v>
      </c>
      <c r="D1865" s="607" t="s">
        <v>4269</v>
      </c>
      <c r="E1865" s="605" t="s">
        <v>4270</v>
      </c>
      <c r="F1865" s="607" t="s">
        <v>4271</v>
      </c>
      <c r="G1865" s="607" t="s">
        <v>1594</v>
      </c>
      <c r="H1865" s="607" t="s">
        <v>1594</v>
      </c>
      <c r="I1865" s="607" t="s">
        <v>1921</v>
      </c>
      <c r="J1865" s="608" t="str">
        <f t="shared" si="58"/>
        <v>Commercial &amp; Professional Services</v>
      </c>
      <c r="N1865" s="822">
        <v>521110</v>
      </c>
      <c r="O1865" s="822" t="s">
        <v>3877</v>
      </c>
      <c r="P1865" s="823">
        <v>6011</v>
      </c>
      <c r="Q1865" s="823" t="s">
        <v>3879</v>
      </c>
    </row>
    <row r="1866" spans="2:17" s="608" customFormat="1" x14ac:dyDescent="0.25">
      <c r="B1866" s="605" t="s">
        <v>4268</v>
      </c>
      <c r="C1866" s="606">
        <f t="shared" si="59"/>
        <v>541940</v>
      </c>
      <c r="D1866" s="607" t="s">
        <v>4269</v>
      </c>
      <c r="E1866" s="605" t="s">
        <v>4272</v>
      </c>
      <c r="F1866" s="607" t="s">
        <v>4273</v>
      </c>
      <c r="G1866" s="607" t="s">
        <v>1594</v>
      </c>
      <c r="H1866" s="607" t="s">
        <v>1594</v>
      </c>
      <c r="I1866" s="607" t="s">
        <v>1921</v>
      </c>
      <c r="J1866" s="608" t="str">
        <f t="shared" si="58"/>
        <v>Commercial &amp; Professional Services</v>
      </c>
      <c r="N1866" s="822">
        <v>522110</v>
      </c>
      <c r="O1866" s="822" t="s">
        <v>3883</v>
      </c>
      <c r="P1866" s="823">
        <v>6021</v>
      </c>
      <c r="Q1866" s="823" t="s">
        <v>3885</v>
      </c>
    </row>
    <row r="1867" spans="2:17" s="608" customFormat="1" x14ac:dyDescent="0.25">
      <c r="B1867" s="605" t="s">
        <v>4268</v>
      </c>
      <c r="C1867" s="606">
        <f t="shared" si="59"/>
        <v>541940</v>
      </c>
      <c r="D1867" s="607" t="s">
        <v>4269</v>
      </c>
      <c r="E1867" s="605" t="s">
        <v>4175</v>
      </c>
      <c r="F1867" s="607" t="s">
        <v>4174</v>
      </c>
      <c r="G1867" s="607" t="s">
        <v>1019</v>
      </c>
      <c r="H1867" s="607" t="s">
        <v>1019</v>
      </c>
      <c r="I1867" s="607" t="s">
        <v>1921</v>
      </c>
      <c r="J1867" s="608" t="str">
        <f t="shared" si="58"/>
        <v>Commercial &amp; Professional Services</v>
      </c>
      <c r="N1867" s="822">
        <v>522110</v>
      </c>
      <c r="O1867" s="822" t="s">
        <v>3883</v>
      </c>
      <c r="P1867" s="823">
        <v>6022</v>
      </c>
      <c r="Q1867" s="823" t="s">
        <v>3887</v>
      </c>
    </row>
    <row r="1868" spans="2:17" s="608" customFormat="1" x14ac:dyDescent="0.25">
      <c r="B1868" s="605" t="s">
        <v>4274</v>
      </c>
      <c r="C1868" s="606">
        <f t="shared" si="59"/>
        <v>541990</v>
      </c>
      <c r="D1868" s="607" t="s">
        <v>4275</v>
      </c>
      <c r="E1868" s="607" t="s">
        <v>3607</v>
      </c>
      <c r="F1868" s="607" t="s">
        <v>3608</v>
      </c>
      <c r="G1868" s="607" t="s">
        <v>1019</v>
      </c>
      <c r="H1868" s="607" t="s">
        <v>1019</v>
      </c>
      <c r="I1868" s="607" t="s">
        <v>1921</v>
      </c>
      <c r="J1868" s="608" t="str">
        <f t="shared" si="58"/>
        <v>Commercial &amp; Professional Services</v>
      </c>
      <c r="N1868" s="822">
        <v>522110</v>
      </c>
      <c r="O1868" s="822" t="s">
        <v>3883</v>
      </c>
      <c r="P1868" s="823">
        <v>6029</v>
      </c>
      <c r="Q1868" s="823" t="s">
        <v>3889</v>
      </c>
    </row>
    <row r="1869" spans="2:17" s="608" customFormat="1" x14ac:dyDescent="0.25">
      <c r="B1869" s="605" t="s">
        <v>4274</v>
      </c>
      <c r="C1869" s="606">
        <f t="shared" si="59"/>
        <v>541990</v>
      </c>
      <c r="D1869" s="607" t="s">
        <v>4275</v>
      </c>
      <c r="E1869" s="607" t="s">
        <v>4096</v>
      </c>
      <c r="F1869" s="607" t="s">
        <v>4097</v>
      </c>
      <c r="G1869" s="607" t="s">
        <v>1019</v>
      </c>
      <c r="H1869" s="607" t="s">
        <v>1019</v>
      </c>
      <c r="I1869" s="607" t="s">
        <v>1921</v>
      </c>
      <c r="J1869" s="608" t="str">
        <f t="shared" si="58"/>
        <v>Commercial &amp; Professional Services</v>
      </c>
      <c r="N1869" s="822">
        <v>522110</v>
      </c>
      <c r="O1869" s="822" t="s">
        <v>3883</v>
      </c>
      <c r="P1869" s="823">
        <v>6081</v>
      </c>
      <c r="Q1869" s="823" t="s">
        <v>3891</v>
      </c>
    </row>
    <row r="1870" spans="2:17" s="608" customFormat="1" x14ac:dyDescent="0.25">
      <c r="B1870" s="605" t="s">
        <v>4274</v>
      </c>
      <c r="C1870" s="606">
        <f t="shared" si="59"/>
        <v>541990</v>
      </c>
      <c r="D1870" s="607" t="s">
        <v>4275</v>
      </c>
      <c r="E1870" s="607" t="s">
        <v>1588</v>
      </c>
      <c r="F1870" s="607" t="s">
        <v>1589</v>
      </c>
      <c r="G1870" s="607" t="s">
        <v>1019</v>
      </c>
      <c r="H1870" s="607" t="s">
        <v>1019</v>
      </c>
      <c r="I1870" s="607" t="s">
        <v>1921</v>
      </c>
      <c r="J1870" s="608" t="str">
        <f t="shared" si="58"/>
        <v>Commercial &amp; Professional Services</v>
      </c>
      <c r="N1870" s="822">
        <v>522120</v>
      </c>
      <c r="O1870" s="822" t="s">
        <v>3893</v>
      </c>
      <c r="P1870" s="823">
        <v>6035</v>
      </c>
      <c r="Q1870" s="823" t="s">
        <v>3895</v>
      </c>
    </row>
    <row r="1871" spans="2:17" s="608" customFormat="1" x14ac:dyDescent="0.25">
      <c r="B1871" s="605" t="s">
        <v>4274</v>
      </c>
      <c r="C1871" s="606">
        <f t="shared" si="59"/>
        <v>541990</v>
      </c>
      <c r="D1871" s="607" t="s">
        <v>4275</v>
      </c>
      <c r="E1871" s="607" t="s">
        <v>3816</v>
      </c>
      <c r="F1871" s="607" t="s">
        <v>3817</v>
      </c>
      <c r="G1871" s="607" t="s">
        <v>1019</v>
      </c>
      <c r="H1871" s="607" t="s">
        <v>1019</v>
      </c>
      <c r="I1871" s="607" t="s">
        <v>1921</v>
      </c>
      <c r="J1871" s="608" t="str">
        <f t="shared" ref="J1871:J1934" si="60">PROPER(I1871)</f>
        <v>Commercial &amp; Professional Services</v>
      </c>
      <c r="N1871" s="822">
        <v>522120</v>
      </c>
      <c r="O1871" s="822" t="s">
        <v>3893</v>
      </c>
      <c r="P1871" s="823">
        <v>6036</v>
      </c>
      <c r="Q1871" s="823" t="s">
        <v>3898</v>
      </c>
    </row>
    <row r="1872" spans="2:17" s="608" customFormat="1" x14ac:dyDescent="0.25">
      <c r="B1872" s="605" t="s">
        <v>4276</v>
      </c>
      <c r="C1872" s="606">
        <f t="shared" si="59"/>
        <v>551111</v>
      </c>
      <c r="D1872" s="607" t="s">
        <v>4277</v>
      </c>
      <c r="E1872" s="607" t="s">
        <v>4278</v>
      </c>
      <c r="F1872" s="607" t="s">
        <v>4279</v>
      </c>
      <c r="G1872" s="607" t="s">
        <v>3880</v>
      </c>
      <c r="H1872" s="607" t="s">
        <v>3880</v>
      </c>
      <c r="I1872" s="607" t="s">
        <v>3896</v>
      </c>
      <c r="J1872" s="608" t="str">
        <f t="shared" si="60"/>
        <v>Diversified Financials</v>
      </c>
      <c r="N1872" s="822">
        <v>522130</v>
      </c>
      <c r="O1872" s="822" t="s">
        <v>3900</v>
      </c>
      <c r="P1872" s="823">
        <v>6061</v>
      </c>
      <c r="Q1872" s="823" t="s">
        <v>3902</v>
      </c>
    </row>
    <row r="1873" spans="2:17" s="608" customFormat="1" x14ac:dyDescent="0.25">
      <c r="B1873" s="605" t="s">
        <v>4280</v>
      </c>
      <c r="C1873" s="606">
        <f t="shared" si="59"/>
        <v>551112</v>
      </c>
      <c r="D1873" s="607" t="s">
        <v>4281</v>
      </c>
      <c r="E1873" s="607" t="s">
        <v>4282</v>
      </c>
      <c r="F1873" s="607" t="s">
        <v>4283</v>
      </c>
      <c r="G1873" s="607" t="s">
        <v>3880</v>
      </c>
      <c r="H1873" s="607" t="s">
        <v>3880</v>
      </c>
      <c r="I1873" s="607" t="s">
        <v>3896</v>
      </c>
      <c r="J1873" s="608" t="str">
        <f t="shared" si="60"/>
        <v>Diversified Financials</v>
      </c>
      <c r="N1873" s="822">
        <v>522130</v>
      </c>
      <c r="O1873" s="822" t="s">
        <v>3900</v>
      </c>
      <c r="P1873" s="823">
        <v>6062</v>
      </c>
      <c r="Q1873" s="823" t="s">
        <v>3904</v>
      </c>
    </row>
    <row r="1874" spans="2:17" s="608" customFormat="1" x14ac:dyDescent="0.25">
      <c r="B1874" s="605" t="s">
        <v>4284</v>
      </c>
      <c r="C1874" s="606">
        <f t="shared" si="59"/>
        <v>551114</v>
      </c>
      <c r="D1874" s="607" t="s">
        <v>4285</v>
      </c>
      <c r="E1874" s="605" t="s">
        <v>3</v>
      </c>
      <c r="F1874" s="607" t="s">
        <v>958</v>
      </c>
      <c r="G1874" s="607" t="s">
        <v>1594</v>
      </c>
      <c r="H1874" s="607" t="s">
        <v>1594</v>
      </c>
      <c r="I1874" s="607" t="s">
        <v>1921</v>
      </c>
      <c r="J1874" s="608" t="str">
        <f t="shared" si="60"/>
        <v>Commercial &amp; Professional Services</v>
      </c>
      <c r="N1874" s="822">
        <v>522190</v>
      </c>
      <c r="O1874" s="822" t="s">
        <v>3906</v>
      </c>
      <c r="P1874" s="823">
        <v>6022</v>
      </c>
      <c r="Q1874" s="823" t="s">
        <v>3887</v>
      </c>
    </row>
    <row r="1875" spans="2:17" s="608" customFormat="1" x14ac:dyDescent="0.25">
      <c r="B1875" s="605" t="s">
        <v>4286</v>
      </c>
      <c r="C1875" s="606">
        <f t="shared" si="59"/>
        <v>561110</v>
      </c>
      <c r="D1875" s="607" t="s">
        <v>4287</v>
      </c>
      <c r="E1875" s="605" t="s">
        <v>1256</v>
      </c>
      <c r="F1875" s="607" t="s">
        <v>1257</v>
      </c>
      <c r="G1875" s="607" t="s">
        <v>1019</v>
      </c>
      <c r="H1875" s="607" t="s">
        <v>1019</v>
      </c>
      <c r="I1875" s="607" t="s">
        <v>1921</v>
      </c>
      <c r="J1875" s="608" t="str">
        <f t="shared" si="60"/>
        <v>Commercial &amp; Professional Services</v>
      </c>
      <c r="N1875" s="822">
        <v>522210</v>
      </c>
      <c r="O1875" s="822" t="s">
        <v>3908</v>
      </c>
      <c r="P1875" s="823">
        <v>6021</v>
      </c>
      <c r="Q1875" s="823" t="s">
        <v>3885</v>
      </c>
    </row>
    <row r="1876" spans="2:17" s="608" customFormat="1" x14ac:dyDescent="0.25">
      <c r="B1876" s="605" t="s">
        <v>4288</v>
      </c>
      <c r="C1876" s="606">
        <f t="shared" si="59"/>
        <v>561210</v>
      </c>
      <c r="D1876" s="607" t="s">
        <v>4289</v>
      </c>
      <c r="E1876" s="605" t="s">
        <v>4290</v>
      </c>
      <c r="F1876" s="607" t="s">
        <v>4289</v>
      </c>
      <c r="G1876" s="607" t="s">
        <v>1019</v>
      </c>
      <c r="H1876" s="607" t="s">
        <v>1019</v>
      </c>
      <c r="I1876" s="607" t="s">
        <v>1921</v>
      </c>
      <c r="J1876" s="608" t="str">
        <f t="shared" si="60"/>
        <v>Commercial &amp; Professional Services</v>
      </c>
      <c r="N1876" s="822">
        <v>522210</v>
      </c>
      <c r="O1876" s="822" t="s">
        <v>3908</v>
      </c>
      <c r="P1876" s="823">
        <v>6022</v>
      </c>
      <c r="Q1876" s="823" t="s">
        <v>3887</v>
      </c>
    </row>
    <row r="1877" spans="2:17" s="608" customFormat="1" x14ac:dyDescent="0.25">
      <c r="B1877" s="605" t="s">
        <v>4291</v>
      </c>
      <c r="C1877" s="606">
        <f t="shared" si="59"/>
        <v>561311</v>
      </c>
      <c r="D1877" s="607" t="s">
        <v>4292</v>
      </c>
      <c r="E1877" s="605" t="s">
        <v>4096</v>
      </c>
      <c r="F1877" s="607" t="s">
        <v>4097</v>
      </c>
      <c r="G1877" s="607" t="s">
        <v>1019</v>
      </c>
      <c r="H1877" s="607" t="s">
        <v>1019</v>
      </c>
      <c r="I1877" s="607" t="s">
        <v>1921</v>
      </c>
      <c r="J1877" s="608" t="str">
        <f t="shared" si="60"/>
        <v>Commercial &amp; Professional Services</v>
      </c>
      <c r="N1877" s="822">
        <v>522210</v>
      </c>
      <c r="O1877" s="822" t="s">
        <v>3908</v>
      </c>
      <c r="P1877" s="823">
        <v>6141</v>
      </c>
      <c r="Q1877" s="823" t="s">
        <v>3910</v>
      </c>
    </row>
    <row r="1878" spans="2:17" s="608" customFormat="1" x14ac:dyDescent="0.25">
      <c r="B1878" s="605" t="s">
        <v>4291</v>
      </c>
      <c r="C1878" s="606">
        <f t="shared" si="59"/>
        <v>561311</v>
      </c>
      <c r="D1878" s="607" t="s">
        <v>4292</v>
      </c>
      <c r="E1878" s="605" t="s">
        <v>4207</v>
      </c>
      <c r="F1878" s="607" t="s">
        <v>4208</v>
      </c>
      <c r="G1878" s="607" t="s">
        <v>1019</v>
      </c>
      <c r="H1878" s="607" t="s">
        <v>1019</v>
      </c>
      <c r="I1878" s="607" t="s">
        <v>1921</v>
      </c>
      <c r="J1878" s="608" t="str">
        <f t="shared" si="60"/>
        <v>Commercial &amp; Professional Services</v>
      </c>
      <c r="N1878" s="822">
        <v>522210</v>
      </c>
      <c r="O1878" s="822" t="s">
        <v>3908</v>
      </c>
      <c r="P1878" s="823">
        <v>6153</v>
      </c>
      <c r="Q1878" s="823" t="s">
        <v>3912</v>
      </c>
    </row>
    <row r="1879" spans="2:17" s="608" customFormat="1" x14ac:dyDescent="0.25">
      <c r="B1879" s="605" t="s">
        <v>4291</v>
      </c>
      <c r="C1879" s="606">
        <f t="shared" si="59"/>
        <v>561311</v>
      </c>
      <c r="D1879" s="607" t="s">
        <v>4292</v>
      </c>
      <c r="E1879" s="605" t="s">
        <v>2762</v>
      </c>
      <c r="F1879" s="607" t="s">
        <v>2763</v>
      </c>
      <c r="G1879" s="607" t="s">
        <v>1019</v>
      </c>
      <c r="H1879" s="607" t="s">
        <v>1019</v>
      </c>
      <c r="I1879" s="607" t="s">
        <v>1921</v>
      </c>
      <c r="J1879" s="608" t="str">
        <f t="shared" si="60"/>
        <v>Commercial &amp; Professional Services</v>
      </c>
      <c r="N1879" s="822">
        <v>522220</v>
      </c>
      <c r="O1879" s="822" t="s">
        <v>3914</v>
      </c>
      <c r="P1879" s="823">
        <v>6141</v>
      </c>
      <c r="Q1879" s="823" t="s">
        <v>3910</v>
      </c>
    </row>
    <row r="1880" spans="2:17" s="608" customFormat="1" x14ac:dyDescent="0.25">
      <c r="B1880" s="605" t="s">
        <v>4291</v>
      </c>
      <c r="C1880" s="606">
        <f t="shared" si="59"/>
        <v>561311</v>
      </c>
      <c r="D1880" s="607" t="s">
        <v>4292</v>
      </c>
      <c r="E1880" s="607" t="s">
        <v>3824</v>
      </c>
      <c r="F1880" s="607" t="s">
        <v>3825</v>
      </c>
      <c r="G1880" s="607" t="s">
        <v>1019</v>
      </c>
      <c r="H1880" s="607" t="s">
        <v>1019</v>
      </c>
      <c r="I1880" s="607" t="s">
        <v>1921</v>
      </c>
      <c r="J1880" s="608" t="str">
        <f t="shared" si="60"/>
        <v>Commercial &amp; Professional Services</v>
      </c>
      <c r="N1880" s="822">
        <v>522220</v>
      </c>
      <c r="O1880" s="822" t="s">
        <v>3914</v>
      </c>
      <c r="P1880" s="823">
        <v>6153</v>
      </c>
      <c r="Q1880" s="823" t="s">
        <v>3912</v>
      </c>
    </row>
    <row r="1881" spans="2:17" s="608" customFormat="1" x14ac:dyDescent="0.25">
      <c r="B1881" s="605" t="s">
        <v>4293</v>
      </c>
      <c r="C1881" s="606">
        <f t="shared" si="59"/>
        <v>561312</v>
      </c>
      <c r="D1881" s="607" t="s">
        <v>4294</v>
      </c>
      <c r="E1881" s="605" t="s">
        <v>4207</v>
      </c>
      <c r="F1881" s="607" t="s">
        <v>4208</v>
      </c>
      <c r="G1881" s="607" t="s">
        <v>1019</v>
      </c>
      <c r="H1881" s="607" t="s">
        <v>1019</v>
      </c>
      <c r="I1881" s="607" t="s">
        <v>1921</v>
      </c>
      <c r="J1881" s="608" t="str">
        <f t="shared" si="60"/>
        <v>Commercial &amp; Professional Services</v>
      </c>
      <c r="N1881" s="822">
        <v>522220</v>
      </c>
      <c r="O1881" s="822" t="s">
        <v>3914</v>
      </c>
      <c r="P1881" s="823">
        <v>6159</v>
      </c>
      <c r="Q1881" s="823" t="s">
        <v>3917</v>
      </c>
    </row>
    <row r="1882" spans="2:17" s="608" customFormat="1" x14ac:dyDescent="0.25">
      <c r="B1882" s="605" t="s">
        <v>4293</v>
      </c>
      <c r="C1882" s="606">
        <f t="shared" si="59"/>
        <v>561312</v>
      </c>
      <c r="D1882" s="607" t="s">
        <v>4294</v>
      </c>
      <c r="E1882" s="605" t="s">
        <v>4203</v>
      </c>
      <c r="F1882" s="607" t="s">
        <v>4204</v>
      </c>
      <c r="G1882" s="607" t="s">
        <v>1019</v>
      </c>
      <c r="H1882" s="607" t="s">
        <v>1019</v>
      </c>
      <c r="I1882" s="607" t="s">
        <v>1921</v>
      </c>
      <c r="J1882" s="608" t="str">
        <f t="shared" si="60"/>
        <v>Commercial &amp; Professional Services</v>
      </c>
      <c r="N1882" s="822">
        <v>522291</v>
      </c>
      <c r="O1882" s="822" t="s">
        <v>3919</v>
      </c>
      <c r="P1882" s="823">
        <v>6141</v>
      </c>
      <c r="Q1882" s="823" t="s">
        <v>3910</v>
      </c>
    </row>
    <row r="1883" spans="2:17" s="608" customFormat="1" x14ac:dyDescent="0.25">
      <c r="B1883" s="605" t="s">
        <v>4293</v>
      </c>
      <c r="C1883" s="606">
        <f t="shared" si="59"/>
        <v>561312</v>
      </c>
      <c r="D1883" s="607" t="s">
        <v>4294</v>
      </c>
      <c r="E1883" s="605" t="s">
        <v>3816</v>
      </c>
      <c r="F1883" s="607" t="s">
        <v>3817</v>
      </c>
      <c r="G1883" s="607" t="s">
        <v>1019</v>
      </c>
      <c r="H1883" s="607" t="s">
        <v>1019</v>
      </c>
      <c r="I1883" s="607" t="s">
        <v>1921</v>
      </c>
      <c r="J1883" s="608" t="str">
        <f t="shared" si="60"/>
        <v>Commercial &amp; Professional Services</v>
      </c>
      <c r="N1883" s="822">
        <v>522292</v>
      </c>
      <c r="O1883" s="822" t="s">
        <v>3921</v>
      </c>
      <c r="P1883" s="823">
        <v>6111</v>
      </c>
      <c r="Q1883" s="823" t="s">
        <v>3923</v>
      </c>
    </row>
    <row r="1884" spans="2:17" s="608" customFormat="1" x14ac:dyDescent="0.25">
      <c r="B1884" s="605" t="s">
        <v>4295</v>
      </c>
      <c r="C1884" s="606">
        <f t="shared" si="59"/>
        <v>561320</v>
      </c>
      <c r="D1884" s="607" t="s">
        <v>4296</v>
      </c>
      <c r="E1884" s="605" t="s">
        <v>4297</v>
      </c>
      <c r="F1884" s="607" t="s">
        <v>4298</v>
      </c>
      <c r="G1884" s="607" t="s">
        <v>1019</v>
      </c>
      <c r="H1884" s="607" t="s">
        <v>1019</v>
      </c>
      <c r="I1884" s="607" t="s">
        <v>1921</v>
      </c>
      <c r="J1884" s="608" t="str">
        <f t="shared" si="60"/>
        <v>Commercial &amp; Professional Services</v>
      </c>
      <c r="N1884" s="822">
        <v>522292</v>
      </c>
      <c r="O1884" s="822" t="s">
        <v>3921</v>
      </c>
      <c r="P1884" s="823">
        <v>6159</v>
      </c>
      <c r="Q1884" s="823" t="s">
        <v>3917</v>
      </c>
    </row>
    <row r="1885" spans="2:17" s="608" customFormat="1" x14ac:dyDescent="0.25">
      <c r="B1885" s="605" t="s">
        <v>4299</v>
      </c>
      <c r="C1885" s="606">
        <f t="shared" si="59"/>
        <v>561330</v>
      </c>
      <c r="D1885" s="607" t="s">
        <v>4300</v>
      </c>
      <c r="E1885" s="605" t="s">
        <v>4297</v>
      </c>
      <c r="F1885" s="607" t="s">
        <v>4298</v>
      </c>
      <c r="G1885" s="607" t="s">
        <v>1019</v>
      </c>
      <c r="H1885" s="607" t="s">
        <v>1019</v>
      </c>
      <c r="I1885" s="607" t="s">
        <v>1921</v>
      </c>
      <c r="J1885" s="608" t="str">
        <f t="shared" si="60"/>
        <v>Commercial &amp; Professional Services</v>
      </c>
      <c r="N1885" s="822">
        <v>522292</v>
      </c>
      <c r="O1885" s="822" t="s">
        <v>3921</v>
      </c>
      <c r="P1885" s="823">
        <v>6162</v>
      </c>
      <c r="Q1885" s="823" t="s">
        <v>3925</v>
      </c>
    </row>
    <row r="1886" spans="2:17" s="608" customFormat="1" x14ac:dyDescent="0.25">
      <c r="B1886" s="605" t="s">
        <v>4301</v>
      </c>
      <c r="C1886" s="606">
        <f t="shared" si="59"/>
        <v>561410</v>
      </c>
      <c r="D1886" s="607" t="s">
        <v>4302</v>
      </c>
      <c r="E1886" s="605" t="s">
        <v>4303</v>
      </c>
      <c r="F1886" s="607" t="s">
        <v>4304</v>
      </c>
      <c r="G1886" s="607" t="s">
        <v>1019</v>
      </c>
      <c r="H1886" s="607" t="s">
        <v>1019</v>
      </c>
      <c r="I1886" s="607" t="s">
        <v>1921</v>
      </c>
      <c r="J1886" s="608" t="str">
        <f t="shared" si="60"/>
        <v>Commercial &amp; Professional Services</v>
      </c>
      <c r="N1886" s="822">
        <v>522293</v>
      </c>
      <c r="O1886" s="822" t="s">
        <v>3927</v>
      </c>
      <c r="P1886" s="823">
        <v>6081</v>
      </c>
      <c r="Q1886" s="823" t="s">
        <v>3891</v>
      </c>
    </row>
    <row r="1887" spans="2:17" s="608" customFormat="1" x14ac:dyDescent="0.25">
      <c r="B1887" s="605" t="s">
        <v>4301</v>
      </c>
      <c r="C1887" s="606">
        <f t="shared" si="59"/>
        <v>561410</v>
      </c>
      <c r="D1887" s="607" t="s">
        <v>4302</v>
      </c>
      <c r="E1887" s="605" t="s">
        <v>1588</v>
      </c>
      <c r="F1887" s="607" t="s">
        <v>1589</v>
      </c>
      <c r="G1887" s="607" t="s">
        <v>1019</v>
      </c>
      <c r="H1887" s="607" t="s">
        <v>1019</v>
      </c>
      <c r="I1887" s="607" t="s">
        <v>1921</v>
      </c>
      <c r="J1887" s="608" t="str">
        <f t="shared" si="60"/>
        <v>Commercial &amp; Professional Services</v>
      </c>
      <c r="N1887" s="822">
        <v>522293</v>
      </c>
      <c r="O1887" s="822" t="s">
        <v>3927</v>
      </c>
      <c r="P1887" s="823">
        <v>6082</v>
      </c>
      <c r="Q1887" s="823" t="s">
        <v>3929</v>
      </c>
    </row>
    <row r="1888" spans="2:17" s="608" customFormat="1" x14ac:dyDescent="0.25">
      <c r="B1888" s="605" t="s">
        <v>4305</v>
      </c>
      <c r="C1888" s="606">
        <f t="shared" si="59"/>
        <v>561421</v>
      </c>
      <c r="D1888" s="607" t="s">
        <v>4306</v>
      </c>
      <c r="E1888" s="605" t="s">
        <v>1588</v>
      </c>
      <c r="F1888" s="607" t="s">
        <v>1589</v>
      </c>
      <c r="G1888" s="607" t="s">
        <v>1019</v>
      </c>
      <c r="H1888" s="607" t="s">
        <v>1019</v>
      </c>
      <c r="I1888" s="607" t="s">
        <v>1921</v>
      </c>
      <c r="J1888" s="608" t="str">
        <f t="shared" si="60"/>
        <v>Commercial &amp; Professional Services</v>
      </c>
      <c r="N1888" s="822">
        <v>522293</v>
      </c>
      <c r="O1888" s="822" t="s">
        <v>3927</v>
      </c>
      <c r="P1888" s="823">
        <v>6111</v>
      </c>
      <c r="Q1888" s="823" t="s">
        <v>3923</v>
      </c>
    </row>
    <row r="1889" spans="2:17" s="608" customFormat="1" x14ac:dyDescent="0.25">
      <c r="B1889" s="605" t="s">
        <v>4307</v>
      </c>
      <c r="C1889" s="606">
        <f t="shared" si="59"/>
        <v>561422</v>
      </c>
      <c r="D1889" s="607" t="s">
        <v>4308</v>
      </c>
      <c r="E1889" s="605" t="s">
        <v>1588</v>
      </c>
      <c r="F1889" s="607" t="s">
        <v>1589</v>
      </c>
      <c r="G1889" s="607" t="s">
        <v>1019</v>
      </c>
      <c r="H1889" s="607" t="s">
        <v>1019</v>
      </c>
      <c r="I1889" s="607" t="s">
        <v>1921</v>
      </c>
      <c r="J1889" s="608" t="str">
        <f t="shared" si="60"/>
        <v>Commercial &amp; Professional Services</v>
      </c>
      <c r="N1889" s="822">
        <v>522293</v>
      </c>
      <c r="O1889" s="822" t="s">
        <v>3927</v>
      </c>
      <c r="P1889" s="823">
        <v>6159</v>
      </c>
      <c r="Q1889" s="823" t="s">
        <v>3917</v>
      </c>
    </row>
    <row r="1890" spans="2:17" s="608" customFormat="1" x14ac:dyDescent="0.25">
      <c r="B1890" s="605" t="s">
        <v>4309</v>
      </c>
      <c r="C1890" s="606">
        <f t="shared" si="59"/>
        <v>561431</v>
      </c>
      <c r="D1890" s="607" t="s">
        <v>4310</v>
      </c>
      <c r="E1890" s="605" t="s">
        <v>1588</v>
      </c>
      <c r="F1890" s="607" t="s">
        <v>1589</v>
      </c>
      <c r="G1890" s="607" t="s">
        <v>1019</v>
      </c>
      <c r="H1890" s="607" t="s">
        <v>1019</v>
      </c>
      <c r="I1890" s="607" t="s">
        <v>1921</v>
      </c>
      <c r="J1890" s="608" t="str">
        <f t="shared" si="60"/>
        <v>Commercial &amp; Professional Services</v>
      </c>
      <c r="N1890" s="822">
        <v>522294</v>
      </c>
      <c r="O1890" s="822" t="s">
        <v>3931</v>
      </c>
      <c r="P1890" s="823">
        <v>6111</v>
      </c>
      <c r="Q1890" s="823" t="s">
        <v>3923</v>
      </c>
    </row>
    <row r="1891" spans="2:17" s="608" customFormat="1" x14ac:dyDescent="0.25">
      <c r="B1891" s="605" t="s">
        <v>4311</v>
      </c>
      <c r="C1891" s="606">
        <f t="shared" si="59"/>
        <v>561439</v>
      </c>
      <c r="D1891" s="607" t="s">
        <v>4312</v>
      </c>
      <c r="E1891" s="605" t="s">
        <v>1917</v>
      </c>
      <c r="F1891" s="607" t="s">
        <v>1918</v>
      </c>
      <c r="G1891" s="607" t="s">
        <v>1019</v>
      </c>
      <c r="H1891" s="607" t="s">
        <v>1019</v>
      </c>
      <c r="I1891" s="607" t="s">
        <v>1921</v>
      </c>
      <c r="J1891" s="608" t="str">
        <f t="shared" si="60"/>
        <v>Commercial &amp; Professional Services</v>
      </c>
      <c r="N1891" s="822">
        <v>522294</v>
      </c>
      <c r="O1891" s="822" t="s">
        <v>3931</v>
      </c>
      <c r="P1891" s="823">
        <v>6159</v>
      </c>
      <c r="Q1891" s="823" t="s">
        <v>3917</v>
      </c>
    </row>
    <row r="1892" spans="2:17" s="608" customFormat="1" x14ac:dyDescent="0.25">
      <c r="B1892" s="605" t="s">
        <v>4311</v>
      </c>
      <c r="C1892" s="606">
        <f t="shared" si="59"/>
        <v>561439</v>
      </c>
      <c r="D1892" s="607" t="s">
        <v>4312</v>
      </c>
      <c r="E1892" s="605" t="s">
        <v>1588</v>
      </c>
      <c r="F1892" s="607" t="s">
        <v>1589</v>
      </c>
      <c r="G1892" s="607" t="s">
        <v>1019</v>
      </c>
      <c r="H1892" s="607" t="s">
        <v>1019</v>
      </c>
      <c r="I1892" s="607" t="s">
        <v>1921</v>
      </c>
      <c r="J1892" s="608" t="str">
        <f t="shared" si="60"/>
        <v>Commercial &amp; Professional Services</v>
      </c>
      <c r="N1892" s="822">
        <v>522298</v>
      </c>
      <c r="O1892" s="822" t="s">
        <v>3933</v>
      </c>
      <c r="P1892" s="823">
        <v>5932</v>
      </c>
      <c r="Q1892" s="823" t="s">
        <v>3520</v>
      </c>
    </row>
    <row r="1893" spans="2:17" s="608" customFormat="1" x14ac:dyDescent="0.25">
      <c r="B1893" s="605" t="s">
        <v>4313</v>
      </c>
      <c r="C1893" s="606">
        <f t="shared" si="59"/>
        <v>561440</v>
      </c>
      <c r="D1893" s="607" t="s">
        <v>4314</v>
      </c>
      <c r="E1893" s="605" t="s">
        <v>4315</v>
      </c>
      <c r="F1893" s="607" t="s">
        <v>4316</v>
      </c>
      <c r="G1893" s="607" t="s">
        <v>1019</v>
      </c>
      <c r="H1893" s="607" t="s">
        <v>1019</v>
      </c>
      <c r="I1893" s="607" t="s">
        <v>1921</v>
      </c>
      <c r="J1893" s="608" t="str">
        <f t="shared" si="60"/>
        <v>Commercial &amp; Professional Services</v>
      </c>
      <c r="N1893" s="822">
        <v>522298</v>
      </c>
      <c r="O1893" s="822" t="s">
        <v>3933</v>
      </c>
      <c r="P1893" s="823">
        <v>6019</v>
      </c>
      <c r="Q1893" s="823" t="s">
        <v>3935</v>
      </c>
    </row>
    <row r="1894" spans="2:17" s="608" customFormat="1" x14ac:dyDescent="0.25">
      <c r="B1894" s="605" t="s">
        <v>4313</v>
      </c>
      <c r="C1894" s="606">
        <f t="shared" si="59"/>
        <v>561440</v>
      </c>
      <c r="D1894" s="607" t="s">
        <v>4314</v>
      </c>
      <c r="E1894" s="605" t="s">
        <v>1588</v>
      </c>
      <c r="F1894" s="607" t="s">
        <v>1589</v>
      </c>
      <c r="G1894" s="607" t="s">
        <v>1019</v>
      </c>
      <c r="H1894" s="607" t="s">
        <v>1019</v>
      </c>
      <c r="I1894" s="607" t="s">
        <v>1921</v>
      </c>
      <c r="J1894" s="608" t="str">
        <f t="shared" si="60"/>
        <v>Commercial &amp; Professional Services</v>
      </c>
      <c r="N1894" s="822">
        <v>522298</v>
      </c>
      <c r="O1894" s="822" t="s">
        <v>3933</v>
      </c>
      <c r="P1894" s="823">
        <v>6081</v>
      </c>
      <c r="Q1894" s="823" t="s">
        <v>3891</v>
      </c>
    </row>
    <row r="1895" spans="2:17" s="608" customFormat="1" x14ac:dyDescent="0.25">
      <c r="B1895" s="605" t="s">
        <v>4317</v>
      </c>
      <c r="C1895" s="606">
        <f t="shared" si="59"/>
        <v>561450</v>
      </c>
      <c r="D1895" s="607" t="s">
        <v>4318</v>
      </c>
      <c r="E1895" s="605" t="s">
        <v>4319</v>
      </c>
      <c r="F1895" s="607" t="s">
        <v>4320</v>
      </c>
      <c r="G1895" s="607" t="s">
        <v>1019</v>
      </c>
      <c r="H1895" s="607" t="s">
        <v>1019</v>
      </c>
      <c r="I1895" s="607" t="s">
        <v>1921</v>
      </c>
      <c r="J1895" s="608" t="str">
        <f t="shared" si="60"/>
        <v>Commercial &amp; Professional Services</v>
      </c>
      <c r="N1895" s="822">
        <v>522298</v>
      </c>
      <c r="O1895" s="822" t="s">
        <v>3933</v>
      </c>
      <c r="P1895" s="823">
        <v>6082</v>
      </c>
      <c r="Q1895" s="823" t="s">
        <v>3929</v>
      </c>
    </row>
    <row r="1896" spans="2:17" s="608" customFormat="1" x14ac:dyDescent="0.25">
      <c r="B1896" s="605" t="s">
        <v>4321</v>
      </c>
      <c r="C1896" s="606">
        <f t="shared" si="59"/>
        <v>561491</v>
      </c>
      <c r="D1896" s="607" t="s">
        <v>4322</v>
      </c>
      <c r="E1896" s="605" t="s">
        <v>1588</v>
      </c>
      <c r="F1896" s="607" t="s">
        <v>1589</v>
      </c>
      <c r="G1896" s="607" t="s">
        <v>1019</v>
      </c>
      <c r="H1896" s="607" t="s">
        <v>1019</v>
      </c>
      <c r="I1896" s="607" t="s">
        <v>1921</v>
      </c>
      <c r="J1896" s="608" t="str">
        <f t="shared" si="60"/>
        <v>Commercial &amp; Professional Services</v>
      </c>
      <c r="N1896" s="822">
        <v>522298</v>
      </c>
      <c r="O1896" s="822" t="s">
        <v>3933</v>
      </c>
      <c r="P1896" s="823">
        <v>6111</v>
      </c>
      <c r="Q1896" s="823" t="s">
        <v>3923</v>
      </c>
    </row>
    <row r="1897" spans="2:17" s="608" customFormat="1" x14ac:dyDescent="0.25">
      <c r="B1897" s="605" t="s">
        <v>4323</v>
      </c>
      <c r="C1897" s="606">
        <f t="shared" si="59"/>
        <v>561492</v>
      </c>
      <c r="D1897" s="607" t="s">
        <v>4324</v>
      </c>
      <c r="E1897" s="605" t="s">
        <v>4303</v>
      </c>
      <c r="F1897" s="607" t="s">
        <v>4304</v>
      </c>
      <c r="G1897" s="607" t="s">
        <v>1019</v>
      </c>
      <c r="H1897" s="607" t="s">
        <v>1019</v>
      </c>
      <c r="I1897" s="607" t="s">
        <v>1921</v>
      </c>
      <c r="J1897" s="608" t="str">
        <f t="shared" si="60"/>
        <v>Commercial &amp; Professional Services</v>
      </c>
      <c r="N1897" s="822">
        <v>522298</v>
      </c>
      <c r="O1897" s="822" t="s">
        <v>3933</v>
      </c>
      <c r="P1897" s="823">
        <v>6141</v>
      </c>
      <c r="Q1897" s="823" t="s">
        <v>3910</v>
      </c>
    </row>
    <row r="1898" spans="2:17" s="608" customFormat="1" x14ac:dyDescent="0.25">
      <c r="B1898" s="605" t="s">
        <v>4325</v>
      </c>
      <c r="C1898" s="606">
        <f t="shared" si="59"/>
        <v>561499</v>
      </c>
      <c r="D1898" s="607" t="s">
        <v>4326</v>
      </c>
      <c r="E1898" s="605" t="s">
        <v>1588</v>
      </c>
      <c r="F1898" s="607" t="s">
        <v>1589</v>
      </c>
      <c r="G1898" s="607" t="s">
        <v>1019</v>
      </c>
      <c r="H1898" s="607" t="s">
        <v>1019</v>
      </c>
      <c r="I1898" s="607" t="s">
        <v>1921</v>
      </c>
      <c r="J1898" s="608" t="str">
        <f t="shared" si="60"/>
        <v>Commercial &amp; Professional Services</v>
      </c>
      <c r="N1898" s="822">
        <v>522298</v>
      </c>
      <c r="O1898" s="822" t="s">
        <v>3933</v>
      </c>
      <c r="P1898" s="823">
        <v>6153</v>
      </c>
      <c r="Q1898" s="823" t="s">
        <v>3912</v>
      </c>
    </row>
    <row r="1899" spans="2:17" s="608" customFormat="1" x14ac:dyDescent="0.25">
      <c r="B1899" s="605" t="s">
        <v>4327</v>
      </c>
      <c r="C1899" s="606">
        <f t="shared" si="59"/>
        <v>561510</v>
      </c>
      <c r="D1899" s="607" t="s">
        <v>4328</v>
      </c>
      <c r="E1899" s="605" t="s">
        <v>4329</v>
      </c>
      <c r="F1899" s="607" t="s">
        <v>4328</v>
      </c>
      <c r="G1899" s="607" t="s">
        <v>1594</v>
      </c>
      <c r="H1899" s="607" t="s">
        <v>1594</v>
      </c>
      <c r="I1899" s="607" t="s">
        <v>1921</v>
      </c>
      <c r="J1899" s="608" t="str">
        <f t="shared" si="60"/>
        <v>Commercial &amp; Professional Services</v>
      </c>
      <c r="N1899" s="822">
        <v>522298</v>
      </c>
      <c r="O1899" s="822" t="s">
        <v>3933</v>
      </c>
      <c r="P1899" s="823">
        <v>6159</v>
      </c>
      <c r="Q1899" s="823" t="s">
        <v>3917</v>
      </c>
    </row>
    <row r="1900" spans="2:17" s="608" customFormat="1" x14ac:dyDescent="0.25">
      <c r="B1900" s="605" t="s">
        <v>4330</v>
      </c>
      <c r="C1900" s="606">
        <f t="shared" si="59"/>
        <v>561520</v>
      </c>
      <c r="D1900" s="607" t="s">
        <v>4331</v>
      </c>
      <c r="E1900" s="605" t="s">
        <v>4332</v>
      </c>
      <c r="F1900" s="607" t="s">
        <v>4331</v>
      </c>
      <c r="G1900" s="607" t="s">
        <v>1594</v>
      </c>
      <c r="H1900" s="607" t="s">
        <v>1594</v>
      </c>
      <c r="I1900" s="607" t="s">
        <v>1921</v>
      </c>
      <c r="J1900" s="608" t="str">
        <f t="shared" si="60"/>
        <v>Commercial &amp; Professional Services</v>
      </c>
      <c r="N1900" s="822">
        <v>522310</v>
      </c>
      <c r="O1900" s="822" t="s">
        <v>3937</v>
      </c>
      <c r="P1900" s="823">
        <v>6163</v>
      </c>
      <c r="Q1900" s="823" t="s">
        <v>3939</v>
      </c>
    </row>
    <row r="1901" spans="2:17" s="608" customFormat="1" x14ac:dyDescent="0.25">
      <c r="B1901" s="605" t="s">
        <v>4333</v>
      </c>
      <c r="C1901" s="606">
        <f t="shared" si="59"/>
        <v>561591</v>
      </c>
      <c r="D1901" s="607" t="s">
        <v>4334</v>
      </c>
      <c r="E1901" s="605" t="s">
        <v>1588</v>
      </c>
      <c r="F1901" s="607" t="s">
        <v>1589</v>
      </c>
      <c r="G1901" s="607" t="s">
        <v>1594</v>
      </c>
      <c r="H1901" s="607" t="s">
        <v>1594</v>
      </c>
      <c r="I1901" s="610" t="s">
        <v>3018</v>
      </c>
      <c r="J1901" s="608" t="str">
        <f t="shared" si="60"/>
        <v>Leisure Equipment And Products</v>
      </c>
      <c r="N1901" s="822">
        <v>522320</v>
      </c>
      <c r="O1901" s="822" t="s">
        <v>3941</v>
      </c>
      <c r="P1901" s="823">
        <v>6099</v>
      </c>
      <c r="Q1901" s="823" t="s">
        <v>3943</v>
      </c>
    </row>
    <row r="1902" spans="2:17" s="608" customFormat="1" x14ac:dyDescent="0.25">
      <c r="B1902" s="605" t="s">
        <v>4335</v>
      </c>
      <c r="C1902" s="606">
        <f t="shared" si="59"/>
        <v>561599</v>
      </c>
      <c r="D1902" s="607" t="s">
        <v>4336</v>
      </c>
      <c r="E1902" s="605" t="s">
        <v>3743</v>
      </c>
      <c r="F1902" s="607" t="s">
        <v>3744</v>
      </c>
      <c r="G1902" s="607" t="s">
        <v>1594</v>
      </c>
      <c r="H1902" s="607" t="s">
        <v>1594</v>
      </c>
      <c r="I1902" s="607" t="s">
        <v>1921</v>
      </c>
      <c r="J1902" s="608" t="str">
        <f t="shared" si="60"/>
        <v>Commercial &amp; Professional Services</v>
      </c>
      <c r="N1902" s="822">
        <v>522320</v>
      </c>
      <c r="O1902" s="822" t="s">
        <v>3941</v>
      </c>
      <c r="P1902" s="823">
        <v>6153</v>
      </c>
      <c r="Q1902" s="823" t="s">
        <v>3912</v>
      </c>
    </row>
    <row r="1903" spans="2:17" s="608" customFormat="1" x14ac:dyDescent="0.25">
      <c r="B1903" s="605" t="s">
        <v>4335</v>
      </c>
      <c r="C1903" s="606">
        <f t="shared" si="59"/>
        <v>561599</v>
      </c>
      <c r="D1903" s="607" t="s">
        <v>4336</v>
      </c>
      <c r="E1903" s="605" t="s">
        <v>1588</v>
      </c>
      <c r="F1903" s="607" t="s">
        <v>1589</v>
      </c>
      <c r="G1903" s="607" t="s">
        <v>1594</v>
      </c>
      <c r="H1903" s="607" t="s">
        <v>1594</v>
      </c>
      <c r="I1903" s="610" t="s">
        <v>3018</v>
      </c>
      <c r="J1903" s="608" t="str">
        <f t="shared" si="60"/>
        <v>Leisure Equipment And Products</v>
      </c>
      <c r="N1903" s="822">
        <v>522320</v>
      </c>
      <c r="O1903" s="822" t="s">
        <v>3941</v>
      </c>
      <c r="P1903" s="823">
        <v>7389</v>
      </c>
      <c r="Q1903" s="823" t="s">
        <v>1589</v>
      </c>
    </row>
    <row r="1904" spans="2:17" s="608" customFormat="1" x14ac:dyDescent="0.25">
      <c r="B1904" s="605" t="s">
        <v>4335</v>
      </c>
      <c r="C1904" s="606">
        <f t="shared" si="59"/>
        <v>561599</v>
      </c>
      <c r="D1904" s="607" t="s">
        <v>4336</v>
      </c>
      <c r="E1904" s="607" t="s">
        <v>3824</v>
      </c>
      <c r="F1904" s="607" t="s">
        <v>3825</v>
      </c>
      <c r="G1904" s="607" t="s">
        <v>1594</v>
      </c>
      <c r="H1904" s="607" t="s">
        <v>1594</v>
      </c>
      <c r="I1904" s="610" t="s">
        <v>3018</v>
      </c>
      <c r="J1904" s="608" t="str">
        <f t="shared" si="60"/>
        <v>Leisure Equipment And Products</v>
      </c>
      <c r="N1904" s="822">
        <v>522390</v>
      </c>
      <c r="O1904" s="822" t="s">
        <v>3945</v>
      </c>
      <c r="P1904" s="823">
        <v>6099</v>
      </c>
      <c r="Q1904" s="823" t="s">
        <v>3943</v>
      </c>
    </row>
    <row r="1905" spans="2:17" s="608" customFormat="1" x14ac:dyDescent="0.25">
      <c r="B1905" s="605" t="s">
        <v>4335</v>
      </c>
      <c r="C1905" s="606">
        <f t="shared" si="59"/>
        <v>561599</v>
      </c>
      <c r="D1905" s="607" t="s">
        <v>4336</v>
      </c>
      <c r="E1905" s="607" t="s">
        <v>3689</v>
      </c>
      <c r="F1905" s="607" t="s">
        <v>3690</v>
      </c>
      <c r="G1905" s="607" t="s">
        <v>1594</v>
      </c>
      <c r="H1905" s="607" t="s">
        <v>1594</v>
      </c>
      <c r="I1905" s="610" t="s">
        <v>3018</v>
      </c>
      <c r="J1905" s="608" t="str">
        <f t="shared" si="60"/>
        <v>Leisure Equipment And Products</v>
      </c>
      <c r="N1905" s="822">
        <v>522390</v>
      </c>
      <c r="O1905" s="822" t="s">
        <v>3945</v>
      </c>
      <c r="P1905" s="823">
        <v>6162</v>
      </c>
      <c r="Q1905" s="823" t="s">
        <v>3925</v>
      </c>
    </row>
    <row r="1906" spans="2:17" s="608" customFormat="1" x14ac:dyDescent="0.25">
      <c r="B1906" s="605" t="s">
        <v>4335</v>
      </c>
      <c r="C1906" s="606">
        <f t="shared" si="59"/>
        <v>561599</v>
      </c>
      <c r="D1906" s="607" t="s">
        <v>4336</v>
      </c>
      <c r="E1906" s="605" t="s">
        <v>4337</v>
      </c>
      <c r="F1906" s="607" t="s">
        <v>4338</v>
      </c>
      <c r="G1906" s="607" t="s">
        <v>1594</v>
      </c>
      <c r="H1906" s="607" t="s">
        <v>1594</v>
      </c>
      <c r="I1906" s="610" t="s">
        <v>3018</v>
      </c>
      <c r="J1906" s="608" t="str">
        <f t="shared" si="60"/>
        <v>Leisure Equipment And Products</v>
      </c>
      <c r="N1906" s="822">
        <v>523110</v>
      </c>
      <c r="O1906" s="822" t="s">
        <v>3947</v>
      </c>
      <c r="P1906" s="823">
        <v>6211</v>
      </c>
      <c r="Q1906" s="823" t="s">
        <v>3949</v>
      </c>
    </row>
    <row r="1907" spans="2:17" s="608" customFormat="1" x14ac:dyDescent="0.25">
      <c r="B1907" s="605" t="s">
        <v>4339</v>
      </c>
      <c r="C1907" s="606">
        <f t="shared" si="59"/>
        <v>561611</v>
      </c>
      <c r="D1907" s="607" t="s">
        <v>4340</v>
      </c>
      <c r="E1907" s="607" t="s">
        <v>4341</v>
      </c>
      <c r="F1907" s="607" t="s">
        <v>4342</v>
      </c>
      <c r="G1907" s="607" t="s">
        <v>1019</v>
      </c>
      <c r="H1907" s="607" t="s">
        <v>1019</v>
      </c>
      <c r="I1907" s="607" t="s">
        <v>1921</v>
      </c>
      <c r="J1907" s="608" t="str">
        <f t="shared" si="60"/>
        <v>Commercial &amp; Professional Services</v>
      </c>
      <c r="N1907" s="822">
        <v>523120</v>
      </c>
      <c r="O1907" s="822" t="s">
        <v>3951</v>
      </c>
      <c r="P1907" s="823">
        <v>6211</v>
      </c>
      <c r="Q1907" s="823" t="s">
        <v>3949</v>
      </c>
    </row>
    <row r="1908" spans="2:17" s="608" customFormat="1" x14ac:dyDescent="0.25">
      <c r="B1908" s="605" t="s">
        <v>4343</v>
      </c>
      <c r="C1908" s="606">
        <f t="shared" si="59"/>
        <v>561612</v>
      </c>
      <c r="D1908" s="607" t="s">
        <v>4344</v>
      </c>
      <c r="E1908" s="607" t="s">
        <v>4341</v>
      </c>
      <c r="F1908" s="607" t="s">
        <v>4342</v>
      </c>
      <c r="G1908" s="607" t="s">
        <v>1019</v>
      </c>
      <c r="H1908" s="607" t="s">
        <v>1019</v>
      </c>
      <c r="I1908" s="607" t="s">
        <v>1921</v>
      </c>
      <c r="J1908" s="608" t="str">
        <f t="shared" si="60"/>
        <v>Commercial &amp; Professional Services</v>
      </c>
      <c r="N1908" s="822">
        <v>523130</v>
      </c>
      <c r="O1908" s="822" t="s">
        <v>3953</v>
      </c>
      <c r="P1908" s="823">
        <v>6099</v>
      </c>
      <c r="Q1908" s="823" t="s">
        <v>3943</v>
      </c>
    </row>
    <row r="1909" spans="2:17" s="608" customFormat="1" x14ac:dyDescent="0.25">
      <c r="B1909" s="605" t="s">
        <v>4345</v>
      </c>
      <c r="C1909" s="606">
        <f t="shared" si="59"/>
        <v>561613</v>
      </c>
      <c r="D1909" s="607" t="s">
        <v>4346</v>
      </c>
      <c r="E1909" s="607" t="s">
        <v>4341</v>
      </c>
      <c r="F1909" s="607" t="s">
        <v>4342</v>
      </c>
      <c r="G1909" s="607" t="s">
        <v>1019</v>
      </c>
      <c r="H1909" s="607" t="s">
        <v>1019</v>
      </c>
      <c r="I1909" s="607" t="s">
        <v>1921</v>
      </c>
      <c r="J1909" s="608" t="str">
        <f t="shared" si="60"/>
        <v>Commercial &amp; Professional Services</v>
      </c>
      <c r="N1909" s="822">
        <v>523130</v>
      </c>
      <c r="O1909" s="822" t="s">
        <v>3953</v>
      </c>
      <c r="P1909" s="823">
        <v>6221</v>
      </c>
      <c r="Q1909" s="823" t="s">
        <v>3955</v>
      </c>
    </row>
    <row r="1910" spans="2:17" s="608" customFormat="1" x14ac:dyDescent="0.25">
      <c r="B1910" s="605" t="s">
        <v>4347</v>
      </c>
      <c r="C1910" s="606">
        <f t="shared" si="59"/>
        <v>561621</v>
      </c>
      <c r="D1910" s="607" t="s">
        <v>4348</v>
      </c>
      <c r="E1910" s="607" t="s">
        <v>4349</v>
      </c>
      <c r="F1910" s="607" t="s">
        <v>4350</v>
      </c>
      <c r="G1910" s="607" t="s">
        <v>1019</v>
      </c>
      <c r="H1910" s="607" t="s">
        <v>1019</v>
      </c>
      <c r="I1910" s="607" t="s">
        <v>1921</v>
      </c>
      <c r="J1910" s="608" t="str">
        <f t="shared" si="60"/>
        <v>Commercial &amp; Professional Services</v>
      </c>
      <c r="N1910" s="822">
        <v>523130</v>
      </c>
      <c r="O1910" s="822" t="s">
        <v>3953</v>
      </c>
      <c r="P1910" s="823">
        <v>6799</v>
      </c>
      <c r="Q1910" s="823" t="s">
        <v>3957</v>
      </c>
    </row>
    <row r="1911" spans="2:17" s="608" customFormat="1" x14ac:dyDescent="0.25">
      <c r="B1911" s="605" t="s">
        <v>4351</v>
      </c>
      <c r="C1911" s="606">
        <f t="shared" si="59"/>
        <v>561622</v>
      </c>
      <c r="D1911" s="607" t="s">
        <v>4352</v>
      </c>
      <c r="E1911" s="607" t="s">
        <v>1070</v>
      </c>
      <c r="F1911" s="607" t="s">
        <v>1071</v>
      </c>
      <c r="G1911" s="607" t="s">
        <v>1019</v>
      </c>
      <c r="H1911" s="607" t="s">
        <v>1019</v>
      </c>
      <c r="I1911" s="607" t="s">
        <v>1921</v>
      </c>
      <c r="J1911" s="608" t="str">
        <f t="shared" si="60"/>
        <v>Commercial &amp; Professional Services</v>
      </c>
      <c r="N1911" s="822">
        <v>523140</v>
      </c>
      <c r="O1911" s="822" t="s">
        <v>3959</v>
      </c>
      <c r="P1911" s="823">
        <v>6221</v>
      </c>
      <c r="Q1911" s="823" t="s">
        <v>3955</v>
      </c>
    </row>
    <row r="1912" spans="2:17" s="608" customFormat="1" x14ac:dyDescent="0.25">
      <c r="B1912" s="605" t="s">
        <v>4353</v>
      </c>
      <c r="C1912" s="606">
        <f t="shared" si="59"/>
        <v>561710</v>
      </c>
      <c r="D1912" s="607" t="s">
        <v>4354</v>
      </c>
      <c r="E1912" s="605" t="s">
        <v>3704</v>
      </c>
      <c r="F1912" s="607" t="s">
        <v>3705</v>
      </c>
      <c r="G1912" s="607" t="s">
        <v>1594</v>
      </c>
      <c r="H1912" s="607" t="s">
        <v>1594</v>
      </c>
      <c r="I1912" s="607" t="s">
        <v>1921</v>
      </c>
      <c r="J1912" s="608" t="str">
        <f t="shared" si="60"/>
        <v>Commercial &amp; Professional Services</v>
      </c>
      <c r="N1912" s="822">
        <v>523190</v>
      </c>
      <c r="O1912" s="822" t="s">
        <v>6012</v>
      </c>
      <c r="P1912" s="823"/>
      <c r="Q1912" s="823" t="s">
        <v>958</v>
      </c>
    </row>
    <row r="1913" spans="2:17" s="608" customFormat="1" x14ac:dyDescent="0.25">
      <c r="B1913" s="605" t="s">
        <v>4353</v>
      </c>
      <c r="C1913" s="606">
        <f t="shared" si="59"/>
        <v>561710</v>
      </c>
      <c r="D1913" s="607" t="s">
        <v>4354</v>
      </c>
      <c r="E1913" s="607" t="s">
        <v>4355</v>
      </c>
      <c r="F1913" s="607" t="s">
        <v>4356</v>
      </c>
      <c r="G1913" s="607" t="s">
        <v>1019</v>
      </c>
      <c r="H1913" s="607" t="s">
        <v>1019</v>
      </c>
      <c r="I1913" s="607" t="s">
        <v>1921</v>
      </c>
      <c r="J1913" s="608" t="str">
        <f t="shared" si="60"/>
        <v>Commercial &amp; Professional Services</v>
      </c>
      <c r="N1913" s="822">
        <v>523210</v>
      </c>
      <c r="O1913" s="822" t="s">
        <v>3961</v>
      </c>
      <c r="P1913" s="823">
        <v>6231</v>
      </c>
      <c r="Q1913" s="823" t="s">
        <v>3963</v>
      </c>
    </row>
    <row r="1914" spans="2:17" s="608" customFormat="1" x14ac:dyDescent="0.25">
      <c r="B1914" s="605" t="s">
        <v>4357</v>
      </c>
      <c r="C1914" s="606">
        <f t="shared" si="59"/>
        <v>561720</v>
      </c>
      <c r="D1914" s="607" t="s">
        <v>4358</v>
      </c>
      <c r="E1914" s="605" t="s">
        <v>3698</v>
      </c>
      <c r="F1914" s="607" t="s">
        <v>3699</v>
      </c>
      <c r="G1914" s="607" t="s">
        <v>1594</v>
      </c>
      <c r="H1914" s="607" t="s">
        <v>1594</v>
      </c>
      <c r="I1914" s="607" t="s">
        <v>1921</v>
      </c>
      <c r="J1914" s="608" t="str">
        <f t="shared" si="60"/>
        <v>Commercial &amp; Professional Services</v>
      </c>
      <c r="N1914" s="822">
        <v>523910</v>
      </c>
      <c r="O1914" s="822" t="s">
        <v>3965</v>
      </c>
      <c r="P1914" s="823">
        <v>6153</v>
      </c>
      <c r="Q1914" s="823" t="s">
        <v>3912</v>
      </c>
    </row>
    <row r="1915" spans="2:17" s="608" customFormat="1" x14ac:dyDescent="0.25">
      <c r="B1915" s="605" t="s">
        <v>4357</v>
      </c>
      <c r="C1915" s="606">
        <f t="shared" si="59"/>
        <v>561720</v>
      </c>
      <c r="D1915" s="607" t="s">
        <v>4358</v>
      </c>
      <c r="E1915" s="605" t="s">
        <v>4355</v>
      </c>
      <c r="F1915" s="607" t="s">
        <v>4356</v>
      </c>
      <c r="G1915" s="607" t="s">
        <v>1019</v>
      </c>
      <c r="H1915" s="607" t="s">
        <v>1019</v>
      </c>
      <c r="I1915" s="607" t="s">
        <v>1921</v>
      </c>
      <c r="J1915" s="608" t="str">
        <f t="shared" si="60"/>
        <v>Commercial &amp; Professional Services</v>
      </c>
      <c r="N1915" s="822">
        <v>523910</v>
      </c>
      <c r="O1915" s="822" t="s">
        <v>3965</v>
      </c>
      <c r="P1915" s="823">
        <v>6211</v>
      </c>
      <c r="Q1915" s="823" t="s">
        <v>3949</v>
      </c>
    </row>
    <row r="1916" spans="2:17" s="608" customFormat="1" x14ac:dyDescent="0.25">
      <c r="B1916" s="605" t="s">
        <v>4357</v>
      </c>
      <c r="C1916" s="606">
        <f t="shared" si="59"/>
        <v>561720</v>
      </c>
      <c r="D1916" s="607" t="s">
        <v>4358</v>
      </c>
      <c r="E1916" s="607" t="s">
        <v>4359</v>
      </c>
      <c r="F1916" s="607" t="s">
        <v>4360</v>
      </c>
      <c r="G1916" s="607" t="s">
        <v>1019</v>
      </c>
      <c r="H1916" s="607" t="s">
        <v>1019</v>
      </c>
      <c r="I1916" s="607" t="s">
        <v>1921</v>
      </c>
      <c r="J1916" s="608" t="str">
        <f t="shared" si="60"/>
        <v>Commercial &amp; Professional Services</v>
      </c>
      <c r="N1916" s="822">
        <v>523910</v>
      </c>
      <c r="O1916" s="822" t="s">
        <v>3965</v>
      </c>
      <c r="P1916" s="823">
        <v>6792</v>
      </c>
      <c r="Q1916" s="823" t="s">
        <v>3967</v>
      </c>
    </row>
    <row r="1917" spans="2:17" s="608" customFormat="1" x14ac:dyDescent="0.25">
      <c r="B1917" s="605" t="s">
        <v>4361</v>
      </c>
      <c r="C1917" s="606">
        <f t="shared" si="59"/>
        <v>561730</v>
      </c>
      <c r="D1917" s="607" t="s">
        <v>4362</v>
      </c>
      <c r="E1917" s="605" t="s">
        <v>4363</v>
      </c>
      <c r="F1917" s="607" t="s">
        <v>4364</v>
      </c>
      <c r="G1917" s="607" t="s">
        <v>1594</v>
      </c>
      <c r="H1917" s="607" t="s">
        <v>1594</v>
      </c>
      <c r="I1917" s="607" t="s">
        <v>1921</v>
      </c>
      <c r="J1917" s="608" t="str">
        <f t="shared" si="60"/>
        <v>Commercial &amp; Professional Services</v>
      </c>
      <c r="N1917" s="822">
        <v>523910</v>
      </c>
      <c r="O1917" s="822" t="s">
        <v>3965</v>
      </c>
      <c r="P1917" s="823">
        <v>6799</v>
      </c>
      <c r="Q1917" s="823" t="s">
        <v>3957</v>
      </c>
    </row>
    <row r="1918" spans="2:17" s="608" customFormat="1" x14ac:dyDescent="0.25">
      <c r="B1918" s="605" t="s">
        <v>4361</v>
      </c>
      <c r="C1918" s="606">
        <f t="shared" si="59"/>
        <v>561730</v>
      </c>
      <c r="D1918" s="607" t="s">
        <v>4362</v>
      </c>
      <c r="E1918" s="607" t="s">
        <v>4365</v>
      </c>
      <c r="F1918" s="607" t="s">
        <v>4366</v>
      </c>
      <c r="G1918" s="607" t="s">
        <v>1019</v>
      </c>
      <c r="H1918" s="607" t="s">
        <v>1019</v>
      </c>
      <c r="I1918" s="607" t="s">
        <v>1921</v>
      </c>
      <c r="J1918" s="608" t="str">
        <f t="shared" si="60"/>
        <v>Commercial &amp; Professional Services</v>
      </c>
      <c r="N1918" s="822">
        <v>523920</v>
      </c>
      <c r="O1918" s="822" t="s">
        <v>3969</v>
      </c>
      <c r="P1918" s="823">
        <v>6282</v>
      </c>
      <c r="Q1918" s="823" t="s">
        <v>3971</v>
      </c>
    </row>
    <row r="1919" spans="2:17" s="608" customFormat="1" x14ac:dyDescent="0.25">
      <c r="B1919" s="605" t="s">
        <v>4367</v>
      </c>
      <c r="C1919" s="606">
        <f t="shared" si="59"/>
        <v>561740</v>
      </c>
      <c r="D1919" s="607" t="s">
        <v>4368</v>
      </c>
      <c r="E1919" s="607" t="s">
        <v>4369</v>
      </c>
      <c r="F1919" s="607" t="s">
        <v>4370</v>
      </c>
      <c r="G1919" s="607" t="s">
        <v>1019</v>
      </c>
      <c r="H1919" s="607" t="s">
        <v>1019</v>
      </c>
      <c r="I1919" s="607" t="s">
        <v>1921</v>
      </c>
      <c r="J1919" s="608" t="str">
        <f t="shared" si="60"/>
        <v>Commercial &amp; Professional Services</v>
      </c>
      <c r="N1919" s="822">
        <v>523920</v>
      </c>
      <c r="O1919" s="822" t="s">
        <v>3969</v>
      </c>
      <c r="P1919" s="823">
        <v>6371</v>
      </c>
      <c r="Q1919" s="823" t="s">
        <v>3975</v>
      </c>
    </row>
    <row r="1920" spans="2:17" s="608" customFormat="1" x14ac:dyDescent="0.25">
      <c r="B1920" s="605" t="s">
        <v>4371</v>
      </c>
      <c r="C1920" s="606">
        <f t="shared" si="59"/>
        <v>561790</v>
      </c>
      <c r="D1920" s="607" t="s">
        <v>4372</v>
      </c>
      <c r="E1920" s="607" t="s">
        <v>1278</v>
      </c>
      <c r="F1920" s="607" t="s">
        <v>1279</v>
      </c>
      <c r="G1920" s="607" t="s">
        <v>1019</v>
      </c>
      <c r="H1920" s="607" t="s">
        <v>1019</v>
      </c>
      <c r="I1920" s="607" t="s">
        <v>1255</v>
      </c>
      <c r="J1920" s="608" t="str">
        <f t="shared" si="60"/>
        <v>Construction</v>
      </c>
      <c r="N1920" s="822">
        <v>523920</v>
      </c>
      <c r="O1920" s="822" t="s">
        <v>3969</v>
      </c>
      <c r="P1920" s="823">
        <v>6733</v>
      </c>
      <c r="Q1920" s="823" t="s">
        <v>3977</v>
      </c>
    </row>
    <row r="1921" spans="2:17" s="608" customFormat="1" x14ac:dyDescent="0.25">
      <c r="B1921" s="605" t="s">
        <v>4371</v>
      </c>
      <c r="C1921" s="606">
        <f t="shared" si="59"/>
        <v>561790</v>
      </c>
      <c r="D1921" s="607" t="s">
        <v>4372</v>
      </c>
      <c r="E1921" s="605" t="s">
        <v>3704</v>
      </c>
      <c r="F1921" s="607" t="s">
        <v>3705</v>
      </c>
      <c r="G1921" s="607" t="s">
        <v>1594</v>
      </c>
      <c r="H1921" s="607" t="s">
        <v>1594</v>
      </c>
      <c r="I1921" s="607" t="s">
        <v>1921</v>
      </c>
      <c r="J1921" s="608" t="str">
        <f t="shared" si="60"/>
        <v>Commercial &amp; Professional Services</v>
      </c>
      <c r="N1921" s="822">
        <v>523920</v>
      </c>
      <c r="O1921" s="822" t="s">
        <v>3969</v>
      </c>
      <c r="P1921" s="823">
        <v>6799</v>
      </c>
      <c r="Q1921" s="823" t="s">
        <v>3957</v>
      </c>
    </row>
    <row r="1922" spans="2:17" s="608" customFormat="1" x14ac:dyDescent="0.25">
      <c r="B1922" s="605" t="s">
        <v>4371</v>
      </c>
      <c r="C1922" s="606">
        <f t="shared" ref="C1922:C1985" si="61">B1922+0</f>
        <v>561790</v>
      </c>
      <c r="D1922" s="607" t="s">
        <v>4372</v>
      </c>
      <c r="E1922" s="605" t="s">
        <v>4359</v>
      </c>
      <c r="F1922" s="607" t="s">
        <v>4360</v>
      </c>
      <c r="G1922" s="607" t="s">
        <v>1019</v>
      </c>
      <c r="H1922" s="607" t="s">
        <v>1019</v>
      </c>
      <c r="I1922" s="607" t="s">
        <v>1921</v>
      </c>
      <c r="J1922" s="608" t="str">
        <f t="shared" si="60"/>
        <v>Commercial &amp; Professional Services</v>
      </c>
      <c r="N1922" s="822">
        <v>523930</v>
      </c>
      <c r="O1922" s="822" t="s">
        <v>3971</v>
      </c>
      <c r="P1922" s="823">
        <v>6282</v>
      </c>
      <c r="Q1922" s="823" t="s">
        <v>3971</v>
      </c>
    </row>
    <row r="1923" spans="2:17" s="608" customFormat="1" x14ac:dyDescent="0.25">
      <c r="B1923" s="605" t="s">
        <v>4371</v>
      </c>
      <c r="C1923" s="606">
        <f t="shared" si="61"/>
        <v>561790</v>
      </c>
      <c r="D1923" s="607" t="s">
        <v>4372</v>
      </c>
      <c r="E1923" s="605" t="s">
        <v>1588</v>
      </c>
      <c r="F1923" s="607" t="s">
        <v>1589</v>
      </c>
      <c r="G1923" s="607" t="s">
        <v>1019</v>
      </c>
      <c r="H1923" s="607" t="s">
        <v>1019</v>
      </c>
      <c r="I1923" s="607" t="s">
        <v>1921</v>
      </c>
      <c r="J1923" s="608" t="str">
        <f t="shared" si="60"/>
        <v>Commercial &amp; Professional Services</v>
      </c>
      <c r="N1923" s="822">
        <v>523991</v>
      </c>
      <c r="O1923" s="822" t="s">
        <v>3980</v>
      </c>
      <c r="P1923" s="823">
        <v>6091</v>
      </c>
      <c r="Q1923" s="823" t="s">
        <v>3982</v>
      </c>
    </row>
    <row r="1924" spans="2:17" s="608" customFormat="1" x14ac:dyDescent="0.25">
      <c r="B1924" s="605" t="s">
        <v>4371</v>
      </c>
      <c r="C1924" s="606">
        <f t="shared" si="61"/>
        <v>561790</v>
      </c>
      <c r="D1924" s="607" t="s">
        <v>4372</v>
      </c>
      <c r="E1924" s="607" t="s">
        <v>1070</v>
      </c>
      <c r="F1924" s="607" t="s">
        <v>1071</v>
      </c>
      <c r="G1924" s="607" t="s">
        <v>1019</v>
      </c>
      <c r="H1924" s="607" t="s">
        <v>1019</v>
      </c>
      <c r="I1924" s="607" t="s">
        <v>1921</v>
      </c>
      <c r="J1924" s="608" t="str">
        <f t="shared" si="60"/>
        <v>Commercial &amp; Professional Services</v>
      </c>
      <c r="N1924" s="822">
        <v>523991</v>
      </c>
      <c r="O1924" s="822" t="s">
        <v>3980</v>
      </c>
      <c r="P1924" s="823">
        <v>6099</v>
      </c>
      <c r="Q1924" s="823" t="s">
        <v>3943</v>
      </c>
    </row>
    <row r="1925" spans="2:17" s="608" customFormat="1" x14ac:dyDescent="0.25">
      <c r="B1925" s="605" t="s">
        <v>4373</v>
      </c>
      <c r="C1925" s="606">
        <f t="shared" si="61"/>
        <v>561910</v>
      </c>
      <c r="D1925" s="607" t="s">
        <v>4374</v>
      </c>
      <c r="E1925" s="605" t="s">
        <v>1588</v>
      </c>
      <c r="F1925" s="607" t="s">
        <v>1589</v>
      </c>
      <c r="G1925" s="607" t="s">
        <v>1019</v>
      </c>
      <c r="H1925" s="607" t="s">
        <v>1019</v>
      </c>
      <c r="I1925" s="607" t="s">
        <v>1921</v>
      </c>
      <c r="J1925" s="608" t="str">
        <f t="shared" si="60"/>
        <v>Commercial &amp; Professional Services</v>
      </c>
      <c r="N1925" s="822">
        <v>523991</v>
      </c>
      <c r="O1925" s="822" t="s">
        <v>3980</v>
      </c>
      <c r="P1925" s="823">
        <v>6289</v>
      </c>
      <c r="Q1925" s="823" t="s">
        <v>3984</v>
      </c>
    </row>
    <row r="1926" spans="2:17" s="608" customFormat="1" x14ac:dyDescent="0.25">
      <c r="B1926" s="605" t="s">
        <v>4375</v>
      </c>
      <c r="C1926" s="606">
        <f t="shared" si="61"/>
        <v>561920</v>
      </c>
      <c r="D1926" s="607" t="s">
        <v>4376</v>
      </c>
      <c r="E1926" s="605" t="s">
        <v>1588</v>
      </c>
      <c r="F1926" s="607" t="s">
        <v>1589</v>
      </c>
      <c r="G1926" s="607" t="s">
        <v>1019</v>
      </c>
      <c r="H1926" s="607" t="s">
        <v>1019</v>
      </c>
      <c r="I1926" s="607" t="s">
        <v>1921</v>
      </c>
      <c r="J1926" s="608" t="str">
        <f t="shared" si="60"/>
        <v>Commercial &amp; Professional Services</v>
      </c>
      <c r="N1926" s="822">
        <v>523991</v>
      </c>
      <c r="O1926" s="822" t="s">
        <v>3980</v>
      </c>
      <c r="P1926" s="823">
        <v>6733</v>
      </c>
      <c r="Q1926" s="823" t="s">
        <v>3977</v>
      </c>
    </row>
    <row r="1927" spans="2:17" s="608" customFormat="1" x14ac:dyDescent="0.25">
      <c r="B1927" s="605" t="s">
        <v>4377</v>
      </c>
      <c r="C1927" s="606">
        <f t="shared" si="61"/>
        <v>561990</v>
      </c>
      <c r="D1927" s="607" t="s">
        <v>4378</v>
      </c>
      <c r="E1927" s="605" t="s">
        <v>4096</v>
      </c>
      <c r="F1927" s="607" t="s">
        <v>4097</v>
      </c>
      <c r="G1927" s="607" t="s">
        <v>1019</v>
      </c>
      <c r="H1927" s="607" t="s">
        <v>1019</v>
      </c>
      <c r="I1927" s="607" t="s">
        <v>1921</v>
      </c>
      <c r="J1927" s="608" t="str">
        <f t="shared" si="60"/>
        <v>Commercial &amp; Professional Services</v>
      </c>
      <c r="N1927" s="822">
        <v>523999</v>
      </c>
      <c r="O1927" s="822" t="s">
        <v>3986</v>
      </c>
      <c r="P1927" s="823">
        <v>6211</v>
      </c>
      <c r="Q1927" s="823" t="s">
        <v>3949</v>
      </c>
    </row>
    <row r="1928" spans="2:17" s="608" customFormat="1" x14ac:dyDescent="0.25">
      <c r="B1928" s="605" t="s">
        <v>4377</v>
      </c>
      <c r="C1928" s="606">
        <f t="shared" si="61"/>
        <v>561990</v>
      </c>
      <c r="D1928" s="607" t="s">
        <v>4378</v>
      </c>
      <c r="E1928" s="605" t="s">
        <v>1588</v>
      </c>
      <c r="F1928" s="607" t="s">
        <v>1589</v>
      </c>
      <c r="G1928" s="607" t="s">
        <v>1019</v>
      </c>
      <c r="H1928" s="607" t="s">
        <v>1019</v>
      </c>
      <c r="I1928" s="607" t="s">
        <v>1921</v>
      </c>
      <c r="J1928" s="608" t="str">
        <f t="shared" si="60"/>
        <v>Commercial &amp; Professional Services</v>
      </c>
      <c r="N1928" s="822">
        <v>523999</v>
      </c>
      <c r="O1928" s="822" t="s">
        <v>3986</v>
      </c>
      <c r="P1928" s="823">
        <v>6289</v>
      </c>
      <c r="Q1928" s="823" t="s">
        <v>3984</v>
      </c>
    </row>
    <row r="1929" spans="2:17" s="608" customFormat="1" x14ac:dyDescent="0.25">
      <c r="B1929" s="605" t="s">
        <v>4379</v>
      </c>
      <c r="C1929" s="606">
        <f t="shared" si="61"/>
        <v>562111</v>
      </c>
      <c r="D1929" s="607" t="s">
        <v>4380</v>
      </c>
      <c r="E1929" s="605" t="s">
        <v>3615</v>
      </c>
      <c r="F1929" s="607" t="s">
        <v>3616</v>
      </c>
      <c r="G1929" s="607" t="s">
        <v>1019</v>
      </c>
      <c r="H1929" s="607" t="s">
        <v>1019</v>
      </c>
      <c r="I1929" s="607" t="s">
        <v>4381</v>
      </c>
      <c r="J1929" s="608" t="str">
        <f t="shared" si="60"/>
        <v>Sanitary Services</v>
      </c>
      <c r="N1929" s="822">
        <v>524113</v>
      </c>
      <c r="O1929" s="822" t="s">
        <v>3988</v>
      </c>
      <c r="P1929" s="823">
        <v>6311</v>
      </c>
      <c r="Q1929" s="823" t="s">
        <v>3990</v>
      </c>
    </row>
    <row r="1930" spans="2:17" s="608" customFormat="1" x14ac:dyDescent="0.25">
      <c r="B1930" s="605" t="s">
        <v>4382</v>
      </c>
      <c r="C1930" s="606">
        <f t="shared" si="61"/>
        <v>562112</v>
      </c>
      <c r="D1930" s="607" t="s">
        <v>4383</v>
      </c>
      <c r="E1930" s="605" t="s">
        <v>3615</v>
      </c>
      <c r="F1930" s="607" t="s">
        <v>3616</v>
      </c>
      <c r="G1930" s="607" t="s">
        <v>1019</v>
      </c>
      <c r="H1930" s="607" t="s">
        <v>1019</v>
      </c>
      <c r="I1930" s="607" t="s">
        <v>4381</v>
      </c>
      <c r="J1930" s="608" t="str">
        <f t="shared" si="60"/>
        <v>Sanitary Services</v>
      </c>
      <c r="N1930" s="822">
        <v>524113</v>
      </c>
      <c r="O1930" s="822" t="s">
        <v>3988</v>
      </c>
      <c r="P1930" s="823">
        <v>6321</v>
      </c>
      <c r="Q1930" s="823" t="s">
        <v>3993</v>
      </c>
    </row>
    <row r="1931" spans="2:17" s="608" customFormat="1" x14ac:dyDescent="0.25">
      <c r="B1931" s="605" t="s">
        <v>4384</v>
      </c>
      <c r="C1931" s="606">
        <f t="shared" si="61"/>
        <v>562119</v>
      </c>
      <c r="D1931" s="607" t="s">
        <v>4385</v>
      </c>
      <c r="E1931" s="605" t="s">
        <v>3615</v>
      </c>
      <c r="F1931" s="607" t="s">
        <v>3616</v>
      </c>
      <c r="G1931" s="607" t="s">
        <v>1019</v>
      </c>
      <c r="H1931" s="607" t="s">
        <v>1019</v>
      </c>
      <c r="I1931" s="607" t="s">
        <v>4381</v>
      </c>
      <c r="J1931" s="608" t="str">
        <f t="shared" si="60"/>
        <v>Sanitary Services</v>
      </c>
      <c r="N1931" s="822">
        <v>524114</v>
      </c>
      <c r="O1931" s="822" t="s">
        <v>3995</v>
      </c>
      <c r="P1931" s="823">
        <v>6321</v>
      </c>
      <c r="Q1931" s="823" t="s">
        <v>3993</v>
      </c>
    </row>
    <row r="1932" spans="2:17" s="608" customFormat="1" x14ac:dyDescent="0.25">
      <c r="B1932" s="605" t="s">
        <v>4386</v>
      </c>
      <c r="C1932" s="606">
        <f t="shared" si="61"/>
        <v>562211</v>
      </c>
      <c r="D1932" s="607" t="s">
        <v>4387</v>
      </c>
      <c r="E1932" s="605" t="s">
        <v>4388</v>
      </c>
      <c r="F1932" s="607" t="s">
        <v>4389</v>
      </c>
      <c r="G1932" s="607" t="s">
        <v>1019</v>
      </c>
      <c r="H1932" s="607" t="s">
        <v>1019</v>
      </c>
      <c r="I1932" s="607" t="s">
        <v>4381</v>
      </c>
      <c r="J1932" s="608" t="str">
        <f t="shared" si="60"/>
        <v>Sanitary Services</v>
      </c>
      <c r="N1932" s="822">
        <v>524114</v>
      </c>
      <c r="O1932" s="822" t="s">
        <v>3995</v>
      </c>
      <c r="P1932" s="823">
        <v>6324</v>
      </c>
      <c r="Q1932" s="823" t="s">
        <v>3997</v>
      </c>
    </row>
    <row r="1933" spans="2:17" s="608" customFormat="1" x14ac:dyDescent="0.25">
      <c r="B1933" s="605" t="s">
        <v>4390</v>
      </c>
      <c r="C1933" s="606">
        <f t="shared" si="61"/>
        <v>562212</v>
      </c>
      <c r="D1933" s="607" t="s">
        <v>4391</v>
      </c>
      <c r="E1933" s="605" t="s">
        <v>4388</v>
      </c>
      <c r="F1933" s="607" t="s">
        <v>4389</v>
      </c>
      <c r="G1933" s="607" t="s">
        <v>1019</v>
      </c>
      <c r="H1933" s="607" t="s">
        <v>1019</v>
      </c>
      <c r="I1933" s="607" t="s">
        <v>4381</v>
      </c>
      <c r="J1933" s="608" t="str">
        <f t="shared" si="60"/>
        <v>Sanitary Services</v>
      </c>
      <c r="N1933" s="822">
        <v>524126</v>
      </c>
      <c r="O1933" s="822" t="s">
        <v>3999</v>
      </c>
      <c r="P1933" s="823">
        <v>6331</v>
      </c>
      <c r="Q1933" s="823" t="s">
        <v>4001</v>
      </c>
    </row>
    <row r="1934" spans="2:17" s="608" customFormat="1" x14ac:dyDescent="0.25">
      <c r="B1934" s="605" t="s">
        <v>4392</v>
      </c>
      <c r="C1934" s="606">
        <f t="shared" si="61"/>
        <v>562213</v>
      </c>
      <c r="D1934" s="607" t="s">
        <v>4393</v>
      </c>
      <c r="E1934" s="605" t="s">
        <v>4388</v>
      </c>
      <c r="F1934" s="607" t="s">
        <v>4389</v>
      </c>
      <c r="G1934" s="607" t="s">
        <v>1019</v>
      </c>
      <c r="H1934" s="607" t="s">
        <v>1019</v>
      </c>
      <c r="I1934" s="607" t="s">
        <v>4381</v>
      </c>
      <c r="J1934" s="608" t="str">
        <f t="shared" si="60"/>
        <v>Sanitary Services</v>
      </c>
      <c r="N1934" s="822">
        <v>524126</v>
      </c>
      <c r="O1934" s="822" t="s">
        <v>3999</v>
      </c>
      <c r="P1934" s="823">
        <v>6351</v>
      </c>
      <c r="Q1934" s="823" t="s">
        <v>4003</v>
      </c>
    </row>
    <row r="1935" spans="2:17" s="608" customFormat="1" x14ac:dyDescent="0.25">
      <c r="B1935" s="605" t="s">
        <v>4394</v>
      </c>
      <c r="C1935" s="606">
        <f t="shared" si="61"/>
        <v>562219</v>
      </c>
      <c r="D1935" s="607" t="s">
        <v>4395</v>
      </c>
      <c r="E1935" s="605" t="s">
        <v>4388</v>
      </c>
      <c r="F1935" s="607" t="s">
        <v>4389</v>
      </c>
      <c r="G1935" s="607" t="s">
        <v>1019</v>
      </c>
      <c r="H1935" s="607" t="s">
        <v>1019</v>
      </c>
      <c r="I1935" s="607" t="s">
        <v>4381</v>
      </c>
      <c r="J1935" s="608" t="str">
        <f t="shared" ref="J1935:J1998" si="62">PROPER(I1935)</f>
        <v>Sanitary Services</v>
      </c>
      <c r="N1935" s="822">
        <v>524127</v>
      </c>
      <c r="O1935" s="822" t="s">
        <v>4005</v>
      </c>
      <c r="P1935" s="823">
        <v>6361</v>
      </c>
      <c r="Q1935" s="823" t="s">
        <v>4007</v>
      </c>
    </row>
    <row r="1936" spans="2:17" s="608" customFormat="1" x14ac:dyDescent="0.25">
      <c r="B1936" s="605" t="s">
        <v>4396</v>
      </c>
      <c r="C1936" s="606">
        <f t="shared" si="61"/>
        <v>562910</v>
      </c>
      <c r="D1936" s="607" t="s">
        <v>4397</v>
      </c>
      <c r="E1936" s="607" t="s">
        <v>1278</v>
      </c>
      <c r="F1936" s="607" t="s">
        <v>1279</v>
      </c>
      <c r="G1936" s="607" t="s">
        <v>1019</v>
      </c>
      <c r="H1936" s="607" t="s">
        <v>1019</v>
      </c>
      <c r="I1936" s="607" t="s">
        <v>1255</v>
      </c>
      <c r="J1936" s="608" t="str">
        <f t="shared" si="62"/>
        <v>Construction</v>
      </c>
      <c r="N1936" s="822">
        <v>524128</v>
      </c>
      <c r="O1936" s="822" t="s">
        <v>4009</v>
      </c>
      <c r="P1936" s="823">
        <v>6311</v>
      </c>
      <c r="Q1936" s="823" t="s">
        <v>3990</v>
      </c>
    </row>
    <row r="1937" spans="2:17" s="608" customFormat="1" x14ac:dyDescent="0.25">
      <c r="B1937" s="605" t="s">
        <v>4396</v>
      </c>
      <c r="C1937" s="606">
        <f t="shared" si="61"/>
        <v>562910</v>
      </c>
      <c r="D1937" s="607" t="s">
        <v>4397</v>
      </c>
      <c r="E1937" s="605" t="s">
        <v>3704</v>
      </c>
      <c r="F1937" s="607" t="s">
        <v>3705</v>
      </c>
      <c r="G1937" s="607" t="s">
        <v>1019</v>
      </c>
      <c r="H1937" s="607" t="s">
        <v>1019</v>
      </c>
      <c r="I1937" s="607" t="s">
        <v>4381</v>
      </c>
      <c r="J1937" s="608" t="str">
        <f t="shared" si="62"/>
        <v>Sanitary Services</v>
      </c>
      <c r="N1937" s="822">
        <v>524128</v>
      </c>
      <c r="O1937" s="822" t="s">
        <v>4009</v>
      </c>
      <c r="P1937" s="823">
        <v>6331</v>
      </c>
      <c r="Q1937" s="823" t="s">
        <v>4001</v>
      </c>
    </row>
    <row r="1938" spans="2:17" s="608" customFormat="1" x14ac:dyDescent="0.25">
      <c r="B1938" s="605" t="s">
        <v>4398</v>
      </c>
      <c r="C1938" s="606">
        <f t="shared" si="61"/>
        <v>562920</v>
      </c>
      <c r="D1938" s="607" t="s">
        <v>4399</v>
      </c>
      <c r="E1938" s="605" t="s">
        <v>4388</v>
      </c>
      <c r="F1938" s="607" t="s">
        <v>4389</v>
      </c>
      <c r="G1938" s="607" t="s">
        <v>1019</v>
      </c>
      <c r="H1938" s="607" t="s">
        <v>1019</v>
      </c>
      <c r="I1938" s="607" t="s">
        <v>4381</v>
      </c>
      <c r="J1938" s="608" t="str">
        <f t="shared" si="62"/>
        <v>Sanitary Services</v>
      </c>
      <c r="N1938" s="822">
        <v>524128</v>
      </c>
      <c r="O1938" s="822" t="s">
        <v>4009</v>
      </c>
      <c r="P1938" s="823">
        <v>6351</v>
      </c>
      <c r="Q1938" s="823" t="s">
        <v>4003</v>
      </c>
    </row>
    <row r="1939" spans="2:17" s="608" customFormat="1" x14ac:dyDescent="0.25">
      <c r="B1939" s="605" t="s">
        <v>4400</v>
      </c>
      <c r="C1939" s="606">
        <f t="shared" si="61"/>
        <v>562991</v>
      </c>
      <c r="D1939" s="607" t="s">
        <v>4401</v>
      </c>
      <c r="E1939" s="605" t="s">
        <v>4092</v>
      </c>
      <c r="F1939" s="607" t="s">
        <v>4093</v>
      </c>
      <c r="G1939" s="607" t="s">
        <v>1019</v>
      </c>
      <c r="H1939" s="607" t="s">
        <v>1019</v>
      </c>
      <c r="I1939" s="607" t="s">
        <v>1921</v>
      </c>
      <c r="J1939" s="608" t="str">
        <f t="shared" si="62"/>
        <v>Commercial &amp; Professional Services</v>
      </c>
      <c r="N1939" s="822">
        <v>524128</v>
      </c>
      <c r="O1939" s="822" t="s">
        <v>4009</v>
      </c>
      <c r="P1939" s="823">
        <v>6399</v>
      </c>
      <c r="Q1939" s="823" t="s">
        <v>4011</v>
      </c>
    </row>
    <row r="1940" spans="2:17" s="608" customFormat="1" x14ac:dyDescent="0.25">
      <c r="B1940" s="605" t="s">
        <v>4400</v>
      </c>
      <c r="C1940" s="606">
        <f t="shared" si="61"/>
        <v>562991</v>
      </c>
      <c r="D1940" s="607" t="s">
        <v>4401</v>
      </c>
      <c r="E1940" s="605" t="s">
        <v>1070</v>
      </c>
      <c r="F1940" s="607" t="s">
        <v>1071</v>
      </c>
      <c r="G1940" s="607" t="s">
        <v>1019</v>
      </c>
      <c r="H1940" s="607" t="s">
        <v>1019</v>
      </c>
      <c r="I1940" s="607" t="s">
        <v>1921</v>
      </c>
      <c r="J1940" s="608" t="str">
        <f t="shared" si="62"/>
        <v>Commercial &amp; Professional Services</v>
      </c>
      <c r="N1940" s="822">
        <v>524130</v>
      </c>
      <c r="O1940" s="822" t="s">
        <v>4013</v>
      </c>
      <c r="P1940" s="823">
        <v>6311</v>
      </c>
      <c r="Q1940" s="823" t="s">
        <v>3990</v>
      </c>
    </row>
    <row r="1941" spans="2:17" s="608" customFormat="1" x14ac:dyDescent="0.25">
      <c r="B1941" s="605" t="s">
        <v>4402</v>
      </c>
      <c r="C1941" s="606">
        <f t="shared" si="61"/>
        <v>562998</v>
      </c>
      <c r="D1941" s="607" t="s">
        <v>4403</v>
      </c>
      <c r="E1941" s="605" t="s">
        <v>3704</v>
      </c>
      <c r="F1941" s="607" t="s">
        <v>3705</v>
      </c>
      <c r="G1941" s="607" t="s">
        <v>1019</v>
      </c>
      <c r="H1941" s="607" t="s">
        <v>1019</v>
      </c>
      <c r="I1941" s="607" t="s">
        <v>4381</v>
      </c>
      <c r="J1941" s="608" t="str">
        <f t="shared" si="62"/>
        <v>Sanitary Services</v>
      </c>
      <c r="N1941" s="822">
        <v>524130</v>
      </c>
      <c r="O1941" s="822" t="s">
        <v>4013</v>
      </c>
      <c r="P1941" s="823">
        <v>6321</v>
      </c>
      <c r="Q1941" s="823" t="s">
        <v>3993</v>
      </c>
    </row>
    <row r="1942" spans="2:17" s="608" customFormat="1" x14ac:dyDescent="0.25">
      <c r="B1942" s="605" t="s">
        <v>4402</v>
      </c>
      <c r="C1942" s="606">
        <f t="shared" si="61"/>
        <v>562998</v>
      </c>
      <c r="D1942" s="607" t="s">
        <v>4403</v>
      </c>
      <c r="E1942" s="607" t="s">
        <v>1070</v>
      </c>
      <c r="F1942" s="607" t="s">
        <v>1071</v>
      </c>
      <c r="G1942" s="607" t="s">
        <v>1019</v>
      </c>
      <c r="H1942" s="607" t="s">
        <v>1019</v>
      </c>
      <c r="I1942" s="607" t="s">
        <v>1921</v>
      </c>
      <c r="J1942" s="608" t="str">
        <f t="shared" si="62"/>
        <v>Commercial &amp; Professional Services</v>
      </c>
      <c r="N1942" s="822">
        <v>524130</v>
      </c>
      <c r="O1942" s="822" t="s">
        <v>4013</v>
      </c>
      <c r="P1942" s="823">
        <v>6324</v>
      </c>
      <c r="Q1942" s="823" t="s">
        <v>3997</v>
      </c>
    </row>
    <row r="1943" spans="2:17" s="608" customFormat="1" x14ac:dyDescent="0.25">
      <c r="B1943" s="605" t="s">
        <v>4404</v>
      </c>
      <c r="C1943" s="606">
        <f t="shared" si="61"/>
        <v>611110</v>
      </c>
      <c r="D1943" s="607" t="s">
        <v>4405</v>
      </c>
      <c r="E1943" s="607" t="s">
        <v>4406</v>
      </c>
      <c r="F1943" s="607" t="s">
        <v>4405</v>
      </c>
      <c r="G1943" s="607" t="s">
        <v>1594</v>
      </c>
      <c r="H1943" s="607" t="s">
        <v>1594</v>
      </c>
      <c r="I1943" s="607" t="s">
        <v>4407</v>
      </c>
      <c r="J1943" s="608" t="str">
        <f t="shared" si="62"/>
        <v>Education And Training Facilities</v>
      </c>
      <c r="N1943" s="822">
        <v>524130</v>
      </c>
      <c r="O1943" s="822" t="s">
        <v>4013</v>
      </c>
      <c r="P1943" s="823">
        <v>6331</v>
      </c>
      <c r="Q1943" s="823" t="s">
        <v>4001</v>
      </c>
    </row>
    <row r="1944" spans="2:17" s="608" customFormat="1" x14ac:dyDescent="0.25">
      <c r="B1944" s="605" t="s">
        <v>4408</v>
      </c>
      <c r="C1944" s="606">
        <f t="shared" si="61"/>
        <v>611210</v>
      </c>
      <c r="D1944" s="607" t="s">
        <v>4409</v>
      </c>
      <c r="E1944" s="607" t="s">
        <v>4410</v>
      </c>
      <c r="F1944" s="607" t="s">
        <v>4409</v>
      </c>
      <c r="G1944" s="607" t="s">
        <v>1594</v>
      </c>
      <c r="H1944" s="607" t="s">
        <v>1594</v>
      </c>
      <c r="I1944" s="607" t="s">
        <v>4407</v>
      </c>
      <c r="J1944" s="608" t="str">
        <f t="shared" si="62"/>
        <v>Education And Training Facilities</v>
      </c>
      <c r="N1944" s="822">
        <v>524130</v>
      </c>
      <c r="O1944" s="822" t="s">
        <v>4013</v>
      </c>
      <c r="P1944" s="823">
        <v>6351</v>
      </c>
      <c r="Q1944" s="823" t="s">
        <v>4003</v>
      </c>
    </row>
    <row r="1945" spans="2:17" s="608" customFormat="1" x14ac:dyDescent="0.25">
      <c r="B1945" s="605" t="s">
        <v>4411</v>
      </c>
      <c r="C1945" s="606">
        <f t="shared" si="61"/>
        <v>611310</v>
      </c>
      <c r="D1945" s="607" t="s">
        <v>4412</v>
      </c>
      <c r="E1945" s="607" t="s">
        <v>4413</v>
      </c>
      <c r="F1945" s="607" t="s">
        <v>4414</v>
      </c>
      <c r="G1945" s="607" t="s">
        <v>1594</v>
      </c>
      <c r="H1945" s="607" t="s">
        <v>1594</v>
      </c>
      <c r="I1945" s="607" t="s">
        <v>4407</v>
      </c>
      <c r="J1945" s="608" t="str">
        <f t="shared" si="62"/>
        <v>Education And Training Facilities</v>
      </c>
      <c r="N1945" s="822">
        <v>524130</v>
      </c>
      <c r="O1945" s="822" t="s">
        <v>4013</v>
      </c>
      <c r="P1945" s="823">
        <v>6361</v>
      </c>
      <c r="Q1945" s="823" t="s">
        <v>4007</v>
      </c>
    </row>
    <row r="1946" spans="2:17" s="608" customFormat="1" x14ac:dyDescent="0.25">
      <c r="B1946" s="605" t="s">
        <v>4415</v>
      </c>
      <c r="C1946" s="606">
        <f t="shared" si="61"/>
        <v>611410</v>
      </c>
      <c r="D1946" s="607" t="s">
        <v>4416</v>
      </c>
      <c r="E1946" s="607" t="s">
        <v>4417</v>
      </c>
      <c r="F1946" s="607" t="s">
        <v>4416</v>
      </c>
      <c r="G1946" s="607" t="s">
        <v>1594</v>
      </c>
      <c r="H1946" s="607" t="s">
        <v>1594</v>
      </c>
      <c r="I1946" s="607" t="s">
        <v>4407</v>
      </c>
      <c r="J1946" s="608" t="str">
        <f t="shared" si="62"/>
        <v>Education And Training Facilities</v>
      </c>
      <c r="N1946" s="822">
        <v>524210</v>
      </c>
      <c r="O1946" s="822" t="s">
        <v>4015</v>
      </c>
      <c r="P1946" s="823">
        <v>6411</v>
      </c>
      <c r="Q1946" s="823" t="s">
        <v>4017</v>
      </c>
    </row>
    <row r="1947" spans="2:17" s="608" customFormat="1" x14ac:dyDescent="0.25">
      <c r="B1947" s="605" t="s">
        <v>4418</v>
      </c>
      <c r="C1947" s="606">
        <f t="shared" si="61"/>
        <v>611420</v>
      </c>
      <c r="D1947" s="607" t="s">
        <v>4419</v>
      </c>
      <c r="E1947" s="607" t="s">
        <v>4420</v>
      </c>
      <c r="F1947" s="607" t="s">
        <v>4421</v>
      </c>
      <c r="G1947" s="607" t="s">
        <v>1594</v>
      </c>
      <c r="H1947" s="607" t="s">
        <v>1594</v>
      </c>
      <c r="I1947" s="607" t="s">
        <v>4407</v>
      </c>
      <c r="J1947" s="608" t="str">
        <f t="shared" si="62"/>
        <v>Education And Training Facilities</v>
      </c>
      <c r="N1947" s="822">
        <v>524291</v>
      </c>
      <c r="O1947" s="822" t="s">
        <v>4020</v>
      </c>
      <c r="P1947" s="823">
        <v>6411</v>
      </c>
      <c r="Q1947" s="823" t="s">
        <v>4017</v>
      </c>
    </row>
    <row r="1948" spans="2:17" s="608" customFormat="1" x14ac:dyDescent="0.25">
      <c r="B1948" s="605" t="s">
        <v>4422</v>
      </c>
      <c r="C1948" s="606">
        <f t="shared" si="61"/>
        <v>611430</v>
      </c>
      <c r="D1948" s="607" t="s">
        <v>4423</v>
      </c>
      <c r="E1948" s="607" t="s">
        <v>4424</v>
      </c>
      <c r="F1948" s="607" t="s">
        <v>4425</v>
      </c>
      <c r="G1948" s="607" t="s">
        <v>1594</v>
      </c>
      <c r="H1948" s="607" t="s">
        <v>1594</v>
      </c>
      <c r="I1948" s="607" t="s">
        <v>4407</v>
      </c>
      <c r="J1948" s="608" t="str">
        <f t="shared" si="62"/>
        <v>Education And Training Facilities</v>
      </c>
      <c r="N1948" s="822">
        <v>524292</v>
      </c>
      <c r="O1948" s="822" t="s">
        <v>4023</v>
      </c>
      <c r="P1948" s="823">
        <v>6371</v>
      </c>
      <c r="Q1948" s="823" t="s">
        <v>3975</v>
      </c>
    </row>
    <row r="1949" spans="2:17" s="608" customFormat="1" x14ac:dyDescent="0.25">
      <c r="B1949" s="605" t="s">
        <v>4426</v>
      </c>
      <c r="C1949" s="606">
        <f t="shared" si="61"/>
        <v>611511</v>
      </c>
      <c r="D1949" s="607" t="s">
        <v>4427</v>
      </c>
      <c r="E1949" s="607" t="s">
        <v>4428</v>
      </c>
      <c r="F1949" s="607" t="s">
        <v>4429</v>
      </c>
      <c r="G1949" s="607" t="s">
        <v>1594</v>
      </c>
      <c r="H1949" s="607" t="s">
        <v>1594</v>
      </c>
      <c r="I1949" s="607" t="s">
        <v>4407</v>
      </c>
      <c r="J1949" s="608" t="str">
        <f t="shared" si="62"/>
        <v>Education And Training Facilities</v>
      </c>
      <c r="N1949" s="822">
        <v>524292</v>
      </c>
      <c r="O1949" s="822" t="s">
        <v>4023</v>
      </c>
      <c r="P1949" s="823">
        <v>6411</v>
      </c>
      <c r="Q1949" s="823" t="s">
        <v>4017</v>
      </c>
    </row>
    <row r="1950" spans="2:17" s="608" customFormat="1" x14ac:dyDescent="0.25">
      <c r="B1950" s="605" t="s">
        <v>4426</v>
      </c>
      <c r="C1950" s="606">
        <f t="shared" si="61"/>
        <v>611511</v>
      </c>
      <c r="D1950" s="607" t="s">
        <v>4427</v>
      </c>
      <c r="E1950" s="607" t="s">
        <v>4430</v>
      </c>
      <c r="F1950" s="607" t="s">
        <v>4431</v>
      </c>
      <c r="G1950" s="607" t="s">
        <v>1594</v>
      </c>
      <c r="H1950" s="607" t="s">
        <v>1594</v>
      </c>
      <c r="I1950" s="607" t="s">
        <v>4407</v>
      </c>
      <c r="J1950" s="608" t="str">
        <f t="shared" si="62"/>
        <v>Education And Training Facilities</v>
      </c>
      <c r="N1950" s="822">
        <v>524298</v>
      </c>
      <c r="O1950" s="822" t="s">
        <v>4025</v>
      </c>
      <c r="P1950" s="823">
        <v>6411</v>
      </c>
      <c r="Q1950" s="823" t="s">
        <v>4017</v>
      </c>
    </row>
    <row r="1951" spans="2:17" s="608" customFormat="1" x14ac:dyDescent="0.25">
      <c r="B1951" s="605" t="s">
        <v>4432</v>
      </c>
      <c r="C1951" s="606">
        <f t="shared" si="61"/>
        <v>611512</v>
      </c>
      <c r="D1951" s="607" t="s">
        <v>4433</v>
      </c>
      <c r="E1951" s="607" t="s">
        <v>4434</v>
      </c>
      <c r="F1951" s="607" t="s">
        <v>4435</v>
      </c>
      <c r="G1951" s="607" t="s">
        <v>1594</v>
      </c>
      <c r="H1951" s="607" t="s">
        <v>1594</v>
      </c>
      <c r="I1951" s="607" t="s">
        <v>4407</v>
      </c>
      <c r="J1951" s="608" t="str">
        <f t="shared" si="62"/>
        <v>Education And Training Facilities</v>
      </c>
      <c r="N1951" s="822">
        <v>524424</v>
      </c>
      <c r="O1951" s="822" t="s">
        <v>6013</v>
      </c>
      <c r="P1951" s="823"/>
      <c r="Q1951" s="823" t="s">
        <v>958</v>
      </c>
    </row>
    <row r="1952" spans="2:17" s="608" customFormat="1" x14ac:dyDescent="0.25">
      <c r="B1952" s="605" t="s">
        <v>4432</v>
      </c>
      <c r="C1952" s="606">
        <f t="shared" si="61"/>
        <v>611512</v>
      </c>
      <c r="D1952" s="607" t="s">
        <v>4433</v>
      </c>
      <c r="E1952" s="607" t="s">
        <v>4424</v>
      </c>
      <c r="F1952" s="607" t="s">
        <v>4425</v>
      </c>
      <c r="G1952" s="607" t="s">
        <v>1594</v>
      </c>
      <c r="H1952" s="607" t="s">
        <v>1594</v>
      </c>
      <c r="I1952" s="607" t="s">
        <v>4407</v>
      </c>
      <c r="J1952" s="608" t="str">
        <f t="shared" si="62"/>
        <v>Education And Training Facilities</v>
      </c>
      <c r="N1952" s="822">
        <v>525110</v>
      </c>
      <c r="O1952" s="822" t="s">
        <v>4027</v>
      </c>
      <c r="P1952" s="823">
        <v>6371</v>
      </c>
      <c r="Q1952" s="823" t="s">
        <v>3975</v>
      </c>
    </row>
    <row r="1953" spans="2:17" s="608" customFormat="1" x14ac:dyDescent="0.25">
      <c r="B1953" s="605" t="s">
        <v>4436</v>
      </c>
      <c r="C1953" s="606">
        <f t="shared" si="61"/>
        <v>611513</v>
      </c>
      <c r="D1953" s="607" t="s">
        <v>4437</v>
      </c>
      <c r="E1953" s="607" t="s">
        <v>4434</v>
      </c>
      <c r="F1953" s="607" t="s">
        <v>4435</v>
      </c>
      <c r="G1953" s="607" t="s">
        <v>1594</v>
      </c>
      <c r="H1953" s="607" t="s">
        <v>1594</v>
      </c>
      <c r="I1953" s="607" t="s">
        <v>4407</v>
      </c>
      <c r="J1953" s="608" t="str">
        <f t="shared" si="62"/>
        <v>Education And Training Facilities</v>
      </c>
      <c r="N1953" s="822">
        <v>525120</v>
      </c>
      <c r="O1953" s="822" t="s">
        <v>4029</v>
      </c>
      <c r="P1953" s="823">
        <v>6371</v>
      </c>
      <c r="Q1953" s="823" t="s">
        <v>3975</v>
      </c>
    </row>
    <row r="1954" spans="2:17" s="608" customFormat="1" x14ac:dyDescent="0.25">
      <c r="B1954" s="605" t="s">
        <v>4438</v>
      </c>
      <c r="C1954" s="606">
        <f t="shared" si="61"/>
        <v>611519</v>
      </c>
      <c r="D1954" s="607" t="s">
        <v>4439</v>
      </c>
      <c r="E1954" s="607" t="s">
        <v>4420</v>
      </c>
      <c r="F1954" s="607" t="s">
        <v>4421</v>
      </c>
      <c r="G1954" s="607" t="s">
        <v>1594</v>
      </c>
      <c r="H1954" s="607" t="s">
        <v>1594</v>
      </c>
      <c r="I1954" s="607" t="s">
        <v>4407</v>
      </c>
      <c r="J1954" s="608" t="str">
        <f t="shared" si="62"/>
        <v>Education And Training Facilities</v>
      </c>
      <c r="N1954" s="822">
        <v>525190</v>
      </c>
      <c r="O1954" s="822" t="s">
        <v>4031</v>
      </c>
      <c r="P1954" s="823">
        <v>6321</v>
      </c>
      <c r="Q1954" s="823" t="s">
        <v>3993</v>
      </c>
    </row>
    <row r="1955" spans="2:17" s="608" customFormat="1" x14ac:dyDescent="0.25">
      <c r="B1955" s="605" t="s">
        <v>4438</v>
      </c>
      <c r="C1955" s="606">
        <f t="shared" si="61"/>
        <v>611519</v>
      </c>
      <c r="D1955" s="607" t="s">
        <v>4439</v>
      </c>
      <c r="E1955" s="607" t="s">
        <v>4434</v>
      </c>
      <c r="F1955" s="607" t="s">
        <v>4435</v>
      </c>
      <c r="G1955" s="607" t="s">
        <v>1594</v>
      </c>
      <c r="H1955" s="607" t="s">
        <v>1594</v>
      </c>
      <c r="I1955" s="607" t="s">
        <v>4407</v>
      </c>
      <c r="J1955" s="608" t="str">
        <f t="shared" si="62"/>
        <v>Education And Training Facilities</v>
      </c>
      <c r="N1955" s="822">
        <v>525190</v>
      </c>
      <c r="O1955" s="822" t="s">
        <v>4031</v>
      </c>
      <c r="P1955" s="823">
        <v>6324</v>
      </c>
      <c r="Q1955" s="823" t="s">
        <v>3997</v>
      </c>
    </row>
    <row r="1956" spans="2:17" s="608" customFormat="1" x14ac:dyDescent="0.25">
      <c r="B1956" s="605" t="s">
        <v>4438</v>
      </c>
      <c r="C1956" s="606">
        <f t="shared" si="61"/>
        <v>611519</v>
      </c>
      <c r="D1956" s="607" t="s">
        <v>4439</v>
      </c>
      <c r="E1956" s="607" t="s">
        <v>4424</v>
      </c>
      <c r="F1956" s="607" t="s">
        <v>4425</v>
      </c>
      <c r="G1956" s="607" t="s">
        <v>1594</v>
      </c>
      <c r="H1956" s="607" t="s">
        <v>1594</v>
      </c>
      <c r="I1956" s="607" t="s">
        <v>4407</v>
      </c>
      <c r="J1956" s="608" t="str">
        <f t="shared" si="62"/>
        <v>Education And Training Facilities</v>
      </c>
      <c r="N1956" s="822">
        <v>525190</v>
      </c>
      <c r="O1956" s="822" t="s">
        <v>4031</v>
      </c>
      <c r="P1956" s="823">
        <v>6331</v>
      </c>
      <c r="Q1956" s="823" t="s">
        <v>4001</v>
      </c>
    </row>
    <row r="1957" spans="2:17" s="608" customFormat="1" x14ac:dyDescent="0.25">
      <c r="B1957" s="605" t="s">
        <v>4440</v>
      </c>
      <c r="C1957" s="606">
        <f t="shared" si="61"/>
        <v>611610</v>
      </c>
      <c r="D1957" s="607" t="s">
        <v>4441</v>
      </c>
      <c r="E1957" s="607" t="s">
        <v>4442</v>
      </c>
      <c r="F1957" s="607" t="s">
        <v>4443</v>
      </c>
      <c r="G1957" s="607" t="s">
        <v>1594</v>
      </c>
      <c r="H1957" s="607" t="s">
        <v>1594</v>
      </c>
      <c r="I1957" s="607" t="s">
        <v>4407</v>
      </c>
      <c r="J1957" s="608" t="str">
        <f t="shared" si="62"/>
        <v>Education And Training Facilities</v>
      </c>
      <c r="N1957" s="822">
        <v>525190</v>
      </c>
      <c r="O1957" s="822" t="s">
        <v>4031</v>
      </c>
      <c r="P1957" s="823">
        <v>6733</v>
      </c>
      <c r="Q1957" s="823" t="s">
        <v>3977</v>
      </c>
    </row>
    <row r="1958" spans="2:17" s="608" customFormat="1" x14ac:dyDescent="0.25">
      <c r="B1958" s="605" t="s">
        <v>4440</v>
      </c>
      <c r="C1958" s="606">
        <f t="shared" si="61"/>
        <v>611610</v>
      </c>
      <c r="D1958" s="607" t="s">
        <v>4441</v>
      </c>
      <c r="E1958" s="607" t="s">
        <v>4424</v>
      </c>
      <c r="F1958" s="607" t="s">
        <v>4425</v>
      </c>
      <c r="G1958" s="607" t="s">
        <v>1594</v>
      </c>
      <c r="H1958" s="607" t="s">
        <v>1594</v>
      </c>
      <c r="I1958" s="607" t="s">
        <v>4407</v>
      </c>
      <c r="J1958" s="608" t="str">
        <f t="shared" si="62"/>
        <v>Education And Training Facilities</v>
      </c>
      <c r="N1958" s="822">
        <v>525910</v>
      </c>
      <c r="O1958" s="822" t="s">
        <v>4033</v>
      </c>
      <c r="P1958" s="823">
        <v>6722</v>
      </c>
      <c r="Q1958" s="823" t="s">
        <v>4035</v>
      </c>
    </row>
    <row r="1959" spans="2:17" s="608" customFormat="1" x14ac:dyDescent="0.25">
      <c r="B1959" s="605" t="s">
        <v>4444</v>
      </c>
      <c r="C1959" s="606">
        <f t="shared" si="61"/>
        <v>611620</v>
      </c>
      <c r="D1959" s="607" t="s">
        <v>4445</v>
      </c>
      <c r="E1959" s="607" t="s">
        <v>3689</v>
      </c>
      <c r="F1959" s="607" t="s">
        <v>3690</v>
      </c>
      <c r="G1959" s="607" t="s">
        <v>1594</v>
      </c>
      <c r="H1959" s="607" t="s">
        <v>1594</v>
      </c>
      <c r="I1959" s="607" t="s">
        <v>4407</v>
      </c>
      <c r="J1959" s="608" t="str">
        <f t="shared" si="62"/>
        <v>Education And Training Facilities</v>
      </c>
      <c r="N1959" s="822">
        <v>525920</v>
      </c>
      <c r="O1959" s="822" t="s">
        <v>4037</v>
      </c>
      <c r="P1959" s="823">
        <v>6733</v>
      </c>
      <c r="Q1959" s="823" t="s">
        <v>3977</v>
      </c>
    </row>
    <row r="1960" spans="2:17" s="608" customFormat="1" x14ac:dyDescent="0.25">
      <c r="B1960" s="605" t="s">
        <v>4444</v>
      </c>
      <c r="C1960" s="606">
        <f t="shared" si="61"/>
        <v>611620</v>
      </c>
      <c r="D1960" s="607" t="s">
        <v>4445</v>
      </c>
      <c r="E1960" s="607" t="s">
        <v>4424</v>
      </c>
      <c r="F1960" s="607" t="s">
        <v>4425</v>
      </c>
      <c r="G1960" s="607" t="s">
        <v>1594</v>
      </c>
      <c r="H1960" s="607" t="s">
        <v>1594</v>
      </c>
      <c r="I1960" s="607" t="s">
        <v>4407</v>
      </c>
      <c r="J1960" s="608" t="str">
        <f t="shared" si="62"/>
        <v>Education And Training Facilities</v>
      </c>
      <c r="N1960" s="822">
        <v>525990</v>
      </c>
      <c r="O1960" s="822" t="s">
        <v>4039</v>
      </c>
      <c r="P1960" s="823">
        <v>6371</v>
      </c>
      <c r="Q1960" s="823" t="s">
        <v>3975</v>
      </c>
    </row>
    <row r="1961" spans="2:17" s="608" customFormat="1" x14ac:dyDescent="0.25">
      <c r="B1961" s="605" t="s">
        <v>4446</v>
      </c>
      <c r="C1961" s="606">
        <f t="shared" si="61"/>
        <v>611630</v>
      </c>
      <c r="D1961" s="607" t="s">
        <v>4447</v>
      </c>
      <c r="E1961" s="607" t="s">
        <v>4424</v>
      </c>
      <c r="F1961" s="607" t="s">
        <v>4425</v>
      </c>
      <c r="G1961" s="607" t="s">
        <v>1594</v>
      </c>
      <c r="H1961" s="607" t="s">
        <v>1594</v>
      </c>
      <c r="I1961" s="607" t="s">
        <v>4407</v>
      </c>
      <c r="J1961" s="608" t="str">
        <f t="shared" si="62"/>
        <v>Education And Training Facilities</v>
      </c>
      <c r="N1961" s="822">
        <v>525990</v>
      </c>
      <c r="O1961" s="822" t="s">
        <v>4039</v>
      </c>
      <c r="P1961" s="823">
        <v>6726</v>
      </c>
      <c r="Q1961" s="823" t="s">
        <v>4041</v>
      </c>
    </row>
    <row r="1962" spans="2:17" s="608" customFormat="1" x14ac:dyDescent="0.25">
      <c r="B1962" s="605" t="s">
        <v>4448</v>
      </c>
      <c r="C1962" s="606">
        <f t="shared" si="61"/>
        <v>611691</v>
      </c>
      <c r="D1962" s="607" t="s">
        <v>4449</v>
      </c>
      <c r="E1962" s="607" t="s">
        <v>4424</v>
      </c>
      <c r="F1962" s="607" t="s">
        <v>4425</v>
      </c>
      <c r="G1962" s="607" t="s">
        <v>1594</v>
      </c>
      <c r="H1962" s="607" t="s">
        <v>1594</v>
      </c>
      <c r="I1962" s="607" t="s">
        <v>4407</v>
      </c>
      <c r="J1962" s="608" t="str">
        <f t="shared" si="62"/>
        <v>Education And Training Facilities</v>
      </c>
      <c r="N1962" s="822">
        <v>525990</v>
      </c>
      <c r="O1962" s="822" t="s">
        <v>4039</v>
      </c>
      <c r="P1962" s="823">
        <v>6798</v>
      </c>
      <c r="Q1962" s="823" t="s">
        <v>4043</v>
      </c>
    </row>
    <row r="1963" spans="2:17" s="608" customFormat="1" x14ac:dyDescent="0.25">
      <c r="B1963" s="605" t="s">
        <v>4450</v>
      </c>
      <c r="C1963" s="606">
        <f t="shared" si="61"/>
        <v>611692</v>
      </c>
      <c r="D1963" s="607" t="s">
        <v>4451</v>
      </c>
      <c r="E1963" s="607" t="s">
        <v>4424</v>
      </c>
      <c r="F1963" s="607" t="s">
        <v>4425</v>
      </c>
      <c r="G1963" s="607" t="s">
        <v>1594</v>
      </c>
      <c r="H1963" s="607" t="s">
        <v>1594</v>
      </c>
      <c r="I1963" s="607" t="s">
        <v>4407</v>
      </c>
      <c r="J1963" s="608" t="str">
        <f t="shared" si="62"/>
        <v>Education And Training Facilities</v>
      </c>
      <c r="N1963" s="822">
        <v>531110</v>
      </c>
      <c r="O1963" s="822" t="s">
        <v>4047</v>
      </c>
      <c r="P1963" s="823">
        <v>6513</v>
      </c>
      <c r="Q1963" s="823" t="s">
        <v>4049</v>
      </c>
    </row>
    <row r="1964" spans="2:17" s="608" customFormat="1" x14ac:dyDescent="0.25">
      <c r="B1964" s="605" t="s">
        <v>4452</v>
      </c>
      <c r="C1964" s="606">
        <f t="shared" si="61"/>
        <v>611699</v>
      </c>
      <c r="D1964" s="607" t="s">
        <v>4453</v>
      </c>
      <c r="E1964" s="607" t="s">
        <v>3689</v>
      </c>
      <c r="F1964" s="607" t="s">
        <v>3690</v>
      </c>
      <c r="G1964" s="607" t="s">
        <v>1594</v>
      </c>
      <c r="H1964" s="607" t="s">
        <v>1594</v>
      </c>
      <c r="I1964" s="607" t="s">
        <v>4407</v>
      </c>
      <c r="J1964" s="608" t="str">
        <f t="shared" si="62"/>
        <v>Education And Training Facilities</v>
      </c>
      <c r="N1964" s="822">
        <v>531110</v>
      </c>
      <c r="O1964" s="822" t="s">
        <v>4047</v>
      </c>
      <c r="P1964" s="823">
        <v>6514</v>
      </c>
      <c r="Q1964" s="823" t="s">
        <v>4051</v>
      </c>
    </row>
    <row r="1965" spans="2:17" s="608" customFormat="1" x14ac:dyDescent="0.25">
      <c r="B1965" s="605" t="s">
        <v>4452</v>
      </c>
      <c r="C1965" s="606">
        <f t="shared" si="61"/>
        <v>611699</v>
      </c>
      <c r="D1965" s="607" t="s">
        <v>4453</v>
      </c>
      <c r="E1965" s="607" t="s">
        <v>4424</v>
      </c>
      <c r="F1965" s="607" t="s">
        <v>4425</v>
      </c>
      <c r="G1965" s="607" t="s">
        <v>1594</v>
      </c>
      <c r="H1965" s="607" t="s">
        <v>1594</v>
      </c>
      <c r="I1965" s="607" t="s">
        <v>4407</v>
      </c>
      <c r="J1965" s="608" t="str">
        <f t="shared" si="62"/>
        <v>Education And Training Facilities</v>
      </c>
      <c r="N1965" s="822">
        <v>531110</v>
      </c>
      <c r="O1965" s="822" t="s">
        <v>4047</v>
      </c>
      <c r="P1965" s="823">
        <v>6531</v>
      </c>
      <c r="Q1965" s="823" t="s">
        <v>4053</v>
      </c>
    </row>
    <row r="1966" spans="2:17" s="608" customFormat="1" x14ac:dyDescent="0.25">
      <c r="B1966" s="605" t="s">
        <v>4454</v>
      </c>
      <c r="C1966" s="606">
        <f t="shared" si="61"/>
        <v>611710</v>
      </c>
      <c r="D1966" s="607" t="s">
        <v>4455</v>
      </c>
      <c r="E1966" s="607" t="s">
        <v>4424</v>
      </c>
      <c r="F1966" s="607" t="s">
        <v>4425</v>
      </c>
      <c r="G1966" s="607" t="s">
        <v>1594</v>
      </c>
      <c r="H1966" s="607" t="s">
        <v>1594</v>
      </c>
      <c r="I1966" s="607" t="s">
        <v>1921</v>
      </c>
      <c r="J1966" s="608" t="str">
        <f t="shared" si="62"/>
        <v>Commercial &amp; Professional Services</v>
      </c>
      <c r="N1966" s="822">
        <v>531110</v>
      </c>
      <c r="O1966" s="822" t="s">
        <v>4047</v>
      </c>
      <c r="P1966" s="823">
        <v>6798</v>
      </c>
      <c r="Q1966" s="823" t="s">
        <v>4043</v>
      </c>
    </row>
    <row r="1967" spans="2:17" s="608" customFormat="1" x14ac:dyDescent="0.25">
      <c r="B1967" s="605" t="s">
        <v>4454</v>
      </c>
      <c r="C1967" s="606">
        <f t="shared" si="61"/>
        <v>611710</v>
      </c>
      <c r="D1967" s="607" t="s">
        <v>4455</v>
      </c>
      <c r="E1967" s="607" t="s">
        <v>4158</v>
      </c>
      <c r="F1967" s="607" t="s">
        <v>4159</v>
      </c>
      <c r="G1967" s="607" t="s">
        <v>1594</v>
      </c>
      <c r="H1967" s="607" t="s">
        <v>1594</v>
      </c>
      <c r="I1967" s="607" t="s">
        <v>1921</v>
      </c>
      <c r="J1967" s="608" t="str">
        <f t="shared" si="62"/>
        <v>Commercial &amp; Professional Services</v>
      </c>
      <c r="N1967" s="822">
        <v>531111</v>
      </c>
      <c r="O1967" s="822" t="s">
        <v>4047</v>
      </c>
      <c r="P1967" s="823"/>
      <c r="Q1967" s="823" t="s">
        <v>958</v>
      </c>
    </row>
    <row r="1968" spans="2:17" s="608" customFormat="1" x14ac:dyDescent="0.25">
      <c r="B1968" s="605" t="s">
        <v>4456</v>
      </c>
      <c r="C1968" s="606">
        <f t="shared" si="61"/>
        <v>621111</v>
      </c>
      <c r="D1968" s="607" t="s">
        <v>4457</v>
      </c>
      <c r="E1968" s="607" t="s">
        <v>4458</v>
      </c>
      <c r="F1968" s="607" t="s">
        <v>4459</v>
      </c>
      <c r="G1968" s="607" t="s">
        <v>2021</v>
      </c>
      <c r="H1968" s="607" t="s">
        <v>2021</v>
      </c>
      <c r="I1968" s="607" t="s">
        <v>2713</v>
      </c>
      <c r="J1968" s="608" t="str">
        <f t="shared" si="62"/>
        <v>Healthcare Provdr And Svs</v>
      </c>
      <c r="N1968" s="822">
        <v>531112</v>
      </c>
      <c r="O1968" s="822" t="s">
        <v>4047</v>
      </c>
      <c r="P1968" s="823"/>
      <c r="Q1968" s="823" t="s">
        <v>958</v>
      </c>
    </row>
    <row r="1969" spans="2:17" s="608" customFormat="1" x14ac:dyDescent="0.25">
      <c r="B1969" s="605" t="s">
        <v>4456</v>
      </c>
      <c r="C1969" s="606">
        <f t="shared" si="61"/>
        <v>621111</v>
      </c>
      <c r="D1969" s="607" t="s">
        <v>4457</v>
      </c>
      <c r="E1969" s="607" t="s">
        <v>4460</v>
      </c>
      <c r="F1969" s="607" t="s">
        <v>4461</v>
      </c>
      <c r="G1969" s="607" t="s">
        <v>2021</v>
      </c>
      <c r="H1969" s="607" t="s">
        <v>2021</v>
      </c>
      <c r="I1969" s="607" t="s">
        <v>2713</v>
      </c>
      <c r="J1969" s="608" t="str">
        <f t="shared" si="62"/>
        <v>Healthcare Provdr And Svs</v>
      </c>
      <c r="N1969" s="822">
        <v>531120</v>
      </c>
      <c r="O1969" s="822" t="s">
        <v>4055</v>
      </c>
      <c r="P1969" s="823">
        <v>6512</v>
      </c>
      <c r="Q1969" s="823" t="s">
        <v>4057</v>
      </c>
    </row>
    <row r="1970" spans="2:17" s="608" customFormat="1" x14ac:dyDescent="0.25">
      <c r="B1970" s="605" t="s">
        <v>4462</v>
      </c>
      <c r="C1970" s="606">
        <f t="shared" si="61"/>
        <v>621112</v>
      </c>
      <c r="D1970" s="607" t="s">
        <v>4463</v>
      </c>
      <c r="E1970" s="607" t="s">
        <v>4458</v>
      </c>
      <c r="F1970" s="607" t="s">
        <v>4459</v>
      </c>
      <c r="G1970" s="607" t="s">
        <v>2021</v>
      </c>
      <c r="H1970" s="607" t="s">
        <v>2021</v>
      </c>
      <c r="I1970" s="607" t="s">
        <v>2713</v>
      </c>
      <c r="J1970" s="608" t="str">
        <f t="shared" si="62"/>
        <v>Healthcare Provdr And Svs</v>
      </c>
      <c r="N1970" s="822">
        <v>531120</v>
      </c>
      <c r="O1970" s="822" t="s">
        <v>4055</v>
      </c>
      <c r="P1970" s="823">
        <v>6798</v>
      </c>
      <c r="Q1970" s="823" t="s">
        <v>4043</v>
      </c>
    </row>
    <row r="1971" spans="2:17" s="608" customFormat="1" x14ac:dyDescent="0.25">
      <c r="B1971" s="605" t="s">
        <v>4462</v>
      </c>
      <c r="C1971" s="606">
        <f t="shared" si="61"/>
        <v>621112</v>
      </c>
      <c r="D1971" s="607" t="s">
        <v>4463</v>
      </c>
      <c r="E1971" s="607" t="s">
        <v>4460</v>
      </c>
      <c r="F1971" s="607" t="s">
        <v>4461</v>
      </c>
      <c r="G1971" s="607" t="s">
        <v>2021</v>
      </c>
      <c r="H1971" s="607" t="s">
        <v>2021</v>
      </c>
      <c r="I1971" s="607" t="s">
        <v>2713</v>
      </c>
      <c r="J1971" s="608" t="str">
        <f t="shared" si="62"/>
        <v>Healthcare Provdr And Svs</v>
      </c>
      <c r="N1971" s="822">
        <v>531130</v>
      </c>
      <c r="O1971" s="822" t="s">
        <v>4059</v>
      </c>
      <c r="P1971" s="823">
        <v>4225</v>
      </c>
      <c r="Q1971" s="823" t="s">
        <v>3758</v>
      </c>
    </row>
    <row r="1972" spans="2:17" s="608" customFormat="1" x14ac:dyDescent="0.25">
      <c r="B1972" s="605" t="s">
        <v>4464</v>
      </c>
      <c r="C1972" s="606">
        <f t="shared" si="61"/>
        <v>621210</v>
      </c>
      <c r="D1972" s="607" t="s">
        <v>4465</v>
      </c>
      <c r="E1972" s="607" t="s">
        <v>4466</v>
      </c>
      <c r="F1972" s="607" t="s">
        <v>4467</v>
      </c>
      <c r="G1972" s="607" t="s">
        <v>2021</v>
      </c>
      <c r="H1972" s="607" t="s">
        <v>2021</v>
      </c>
      <c r="I1972" s="607" t="s">
        <v>2713</v>
      </c>
      <c r="J1972" s="608" t="str">
        <f t="shared" si="62"/>
        <v>Healthcare Provdr And Svs</v>
      </c>
      <c r="N1972" s="822">
        <v>531130</v>
      </c>
      <c r="O1972" s="822" t="s">
        <v>4059</v>
      </c>
      <c r="P1972" s="823">
        <v>6798</v>
      </c>
      <c r="Q1972" s="823" t="s">
        <v>4043</v>
      </c>
    </row>
    <row r="1973" spans="2:17" s="608" customFormat="1" x14ac:dyDescent="0.25">
      <c r="B1973" s="605" t="s">
        <v>4468</v>
      </c>
      <c r="C1973" s="606">
        <f t="shared" si="61"/>
        <v>621310</v>
      </c>
      <c r="D1973" s="607" t="s">
        <v>4469</v>
      </c>
      <c r="E1973" s="607" t="s">
        <v>4470</v>
      </c>
      <c r="F1973" s="607" t="s">
        <v>4471</v>
      </c>
      <c r="G1973" s="607" t="s">
        <v>2021</v>
      </c>
      <c r="H1973" s="607" t="s">
        <v>2021</v>
      </c>
      <c r="I1973" s="607" t="s">
        <v>2713</v>
      </c>
      <c r="J1973" s="608" t="str">
        <f t="shared" si="62"/>
        <v>Healthcare Provdr And Svs</v>
      </c>
      <c r="N1973" s="822">
        <v>531190</v>
      </c>
      <c r="O1973" s="822" t="s">
        <v>4061</v>
      </c>
      <c r="P1973" s="823">
        <v>6515</v>
      </c>
      <c r="Q1973" s="823" t="s">
        <v>4063</v>
      </c>
    </row>
    <row r="1974" spans="2:17" s="608" customFormat="1" x14ac:dyDescent="0.25">
      <c r="B1974" s="605" t="s">
        <v>4472</v>
      </c>
      <c r="C1974" s="606">
        <f t="shared" si="61"/>
        <v>621320</v>
      </c>
      <c r="D1974" s="607" t="s">
        <v>4473</v>
      </c>
      <c r="E1974" s="607" t="s">
        <v>4474</v>
      </c>
      <c r="F1974" s="607" t="s">
        <v>4475</v>
      </c>
      <c r="G1974" s="607" t="s">
        <v>2021</v>
      </c>
      <c r="H1974" s="607" t="s">
        <v>2021</v>
      </c>
      <c r="I1974" s="607" t="s">
        <v>2713</v>
      </c>
      <c r="J1974" s="608" t="str">
        <f t="shared" si="62"/>
        <v>Healthcare Provdr And Svs</v>
      </c>
      <c r="N1974" s="822">
        <v>531190</v>
      </c>
      <c r="O1974" s="822" t="s">
        <v>4061</v>
      </c>
      <c r="P1974" s="823">
        <v>6517</v>
      </c>
      <c r="Q1974" s="823" t="s">
        <v>4065</v>
      </c>
    </row>
    <row r="1975" spans="2:17" s="608" customFormat="1" x14ac:dyDescent="0.25">
      <c r="B1975" s="605" t="s">
        <v>4476</v>
      </c>
      <c r="C1975" s="606">
        <f t="shared" si="61"/>
        <v>621330</v>
      </c>
      <c r="D1975" s="607" t="s">
        <v>4477</v>
      </c>
      <c r="E1975" s="607" t="s">
        <v>4478</v>
      </c>
      <c r="F1975" s="607" t="s">
        <v>4479</v>
      </c>
      <c r="G1975" s="607" t="s">
        <v>2021</v>
      </c>
      <c r="H1975" s="607" t="s">
        <v>2021</v>
      </c>
      <c r="I1975" s="607" t="s">
        <v>2713</v>
      </c>
      <c r="J1975" s="608" t="str">
        <f t="shared" si="62"/>
        <v>Healthcare Provdr And Svs</v>
      </c>
      <c r="N1975" s="822">
        <v>531190</v>
      </c>
      <c r="O1975" s="822" t="s">
        <v>4061</v>
      </c>
      <c r="P1975" s="823">
        <v>6519</v>
      </c>
      <c r="Q1975" s="823" t="s">
        <v>4067</v>
      </c>
    </row>
    <row r="1976" spans="2:17" s="608" customFormat="1" x14ac:dyDescent="0.25">
      <c r="B1976" s="605" t="s">
        <v>4480</v>
      </c>
      <c r="C1976" s="606">
        <f t="shared" si="61"/>
        <v>621340</v>
      </c>
      <c r="D1976" s="607" t="s">
        <v>4481</v>
      </c>
      <c r="E1976" s="607" t="s">
        <v>4478</v>
      </c>
      <c r="F1976" s="607" t="s">
        <v>4479</v>
      </c>
      <c r="G1976" s="607" t="s">
        <v>2021</v>
      </c>
      <c r="H1976" s="607" t="s">
        <v>2021</v>
      </c>
      <c r="I1976" s="607" t="s">
        <v>2713</v>
      </c>
      <c r="J1976" s="608" t="str">
        <f t="shared" si="62"/>
        <v>Healthcare Provdr And Svs</v>
      </c>
      <c r="N1976" s="822">
        <v>531190</v>
      </c>
      <c r="O1976" s="822" t="s">
        <v>4061</v>
      </c>
      <c r="P1976" s="823">
        <v>6798</v>
      </c>
      <c r="Q1976" s="823" t="s">
        <v>4043</v>
      </c>
    </row>
    <row r="1977" spans="2:17" s="608" customFormat="1" x14ac:dyDescent="0.25">
      <c r="B1977" s="605" t="s">
        <v>4482</v>
      </c>
      <c r="C1977" s="606">
        <f t="shared" si="61"/>
        <v>621391</v>
      </c>
      <c r="D1977" s="607" t="s">
        <v>4483</v>
      </c>
      <c r="E1977" s="607" t="s">
        <v>4484</v>
      </c>
      <c r="F1977" s="607" t="s">
        <v>4485</v>
      </c>
      <c r="G1977" s="607" t="s">
        <v>2021</v>
      </c>
      <c r="H1977" s="607" t="s">
        <v>2021</v>
      </c>
      <c r="I1977" s="607" t="s">
        <v>2713</v>
      </c>
      <c r="J1977" s="608" t="str">
        <f t="shared" si="62"/>
        <v>Healthcare Provdr And Svs</v>
      </c>
      <c r="N1977" s="822">
        <v>531210</v>
      </c>
      <c r="O1977" s="822" t="s">
        <v>4069</v>
      </c>
      <c r="P1977" s="823">
        <v>6531</v>
      </c>
      <c r="Q1977" s="823" t="s">
        <v>4053</v>
      </c>
    </row>
    <row r="1978" spans="2:17" s="608" customFormat="1" x14ac:dyDescent="0.25">
      <c r="B1978" s="605" t="s">
        <v>4486</v>
      </c>
      <c r="C1978" s="606">
        <f t="shared" si="61"/>
        <v>621399</v>
      </c>
      <c r="D1978" s="607" t="s">
        <v>4487</v>
      </c>
      <c r="E1978" s="607" t="s">
        <v>4478</v>
      </c>
      <c r="F1978" s="607" t="s">
        <v>4479</v>
      </c>
      <c r="G1978" s="607" t="s">
        <v>2021</v>
      </c>
      <c r="H1978" s="607" t="s">
        <v>2021</v>
      </c>
      <c r="I1978" s="607" t="s">
        <v>2713</v>
      </c>
      <c r="J1978" s="608" t="str">
        <f t="shared" si="62"/>
        <v>Healthcare Provdr And Svs</v>
      </c>
      <c r="N1978" s="822">
        <v>531311</v>
      </c>
      <c r="O1978" s="822" t="s">
        <v>4071</v>
      </c>
      <c r="P1978" s="823">
        <v>6531</v>
      </c>
      <c r="Q1978" s="823" t="s">
        <v>4053</v>
      </c>
    </row>
    <row r="1979" spans="2:17" s="608" customFormat="1" x14ac:dyDescent="0.25">
      <c r="B1979" s="605" t="s">
        <v>4486</v>
      </c>
      <c r="C1979" s="606">
        <f t="shared" si="61"/>
        <v>621399</v>
      </c>
      <c r="D1979" s="607" t="s">
        <v>4487</v>
      </c>
      <c r="E1979" s="607" t="s">
        <v>4488</v>
      </c>
      <c r="F1979" s="607" t="s">
        <v>4489</v>
      </c>
      <c r="G1979" s="607" t="s">
        <v>2021</v>
      </c>
      <c r="H1979" s="607" t="s">
        <v>2021</v>
      </c>
      <c r="I1979" s="607" t="s">
        <v>2713</v>
      </c>
      <c r="J1979" s="608" t="str">
        <f t="shared" si="62"/>
        <v>Healthcare Provdr And Svs</v>
      </c>
      <c r="N1979" s="822">
        <v>531312</v>
      </c>
      <c r="O1979" s="822" t="s">
        <v>4073</v>
      </c>
      <c r="P1979" s="823">
        <v>6531</v>
      </c>
      <c r="Q1979" s="823" t="s">
        <v>4053</v>
      </c>
    </row>
    <row r="1980" spans="2:17" s="608" customFormat="1" x14ac:dyDescent="0.25">
      <c r="B1980" s="605" t="s">
        <v>4490</v>
      </c>
      <c r="C1980" s="606">
        <f t="shared" si="61"/>
        <v>621410</v>
      </c>
      <c r="D1980" s="607" t="s">
        <v>4491</v>
      </c>
      <c r="E1980" s="607" t="s">
        <v>4488</v>
      </c>
      <c r="F1980" s="607" t="s">
        <v>4489</v>
      </c>
      <c r="G1980" s="607" t="s">
        <v>2021</v>
      </c>
      <c r="H1980" s="607" t="s">
        <v>2021</v>
      </c>
      <c r="I1980" s="607" t="s">
        <v>2713</v>
      </c>
      <c r="J1980" s="608" t="str">
        <f t="shared" si="62"/>
        <v>Healthcare Provdr And Svs</v>
      </c>
      <c r="N1980" s="822">
        <v>531320</v>
      </c>
      <c r="O1980" s="822" t="s">
        <v>4075</v>
      </c>
      <c r="P1980" s="823">
        <v>6531</v>
      </c>
      <c r="Q1980" s="823" t="s">
        <v>4053</v>
      </c>
    </row>
    <row r="1981" spans="2:17" s="608" customFormat="1" x14ac:dyDescent="0.25">
      <c r="B1981" s="605" t="s">
        <v>4490</v>
      </c>
      <c r="C1981" s="606">
        <f t="shared" si="61"/>
        <v>621410</v>
      </c>
      <c r="D1981" s="607" t="s">
        <v>4491</v>
      </c>
      <c r="E1981" s="607" t="s">
        <v>4184</v>
      </c>
      <c r="F1981" s="607" t="s">
        <v>4185</v>
      </c>
      <c r="G1981" s="607" t="s">
        <v>2021</v>
      </c>
      <c r="H1981" s="607" t="s">
        <v>2021</v>
      </c>
      <c r="I1981" s="607" t="s">
        <v>2713</v>
      </c>
      <c r="J1981" s="608" t="str">
        <f t="shared" si="62"/>
        <v>Healthcare Provdr And Svs</v>
      </c>
      <c r="N1981" s="822">
        <v>531390</v>
      </c>
      <c r="O1981" s="822" t="s">
        <v>4077</v>
      </c>
      <c r="P1981" s="823">
        <v>6531</v>
      </c>
      <c r="Q1981" s="823" t="s">
        <v>4053</v>
      </c>
    </row>
    <row r="1982" spans="2:17" s="608" customFormat="1" x14ac:dyDescent="0.25">
      <c r="B1982" s="605" t="s">
        <v>4492</v>
      </c>
      <c r="C1982" s="606">
        <f t="shared" si="61"/>
        <v>621420</v>
      </c>
      <c r="D1982" s="607" t="s">
        <v>4493</v>
      </c>
      <c r="E1982" s="607" t="s">
        <v>4488</v>
      </c>
      <c r="F1982" s="607" t="s">
        <v>4489</v>
      </c>
      <c r="G1982" s="607" t="s">
        <v>2021</v>
      </c>
      <c r="H1982" s="607" t="s">
        <v>2021</v>
      </c>
      <c r="I1982" s="607" t="s">
        <v>2713</v>
      </c>
      <c r="J1982" s="608" t="str">
        <f t="shared" si="62"/>
        <v>Healthcare Provdr And Svs</v>
      </c>
      <c r="N1982" s="822">
        <v>532111</v>
      </c>
      <c r="O1982" s="822" t="s">
        <v>4079</v>
      </c>
      <c r="P1982" s="823">
        <v>7514</v>
      </c>
      <c r="Q1982" s="823" t="s">
        <v>4079</v>
      </c>
    </row>
    <row r="1983" spans="2:17" s="608" customFormat="1" x14ac:dyDescent="0.25">
      <c r="B1983" s="605" t="s">
        <v>4494</v>
      </c>
      <c r="C1983" s="606">
        <f t="shared" si="61"/>
        <v>621491</v>
      </c>
      <c r="D1983" s="607" t="s">
        <v>4495</v>
      </c>
      <c r="E1983" s="607" t="s">
        <v>4458</v>
      </c>
      <c r="F1983" s="607" t="s">
        <v>4459</v>
      </c>
      <c r="G1983" s="607" t="s">
        <v>2021</v>
      </c>
      <c r="H1983" s="607" t="s">
        <v>2021</v>
      </c>
      <c r="I1983" s="607" t="s">
        <v>2713</v>
      </c>
      <c r="J1983" s="608" t="str">
        <f t="shared" si="62"/>
        <v>Healthcare Provdr And Svs</v>
      </c>
      <c r="N1983" s="822">
        <v>532112</v>
      </c>
      <c r="O1983" s="822" t="s">
        <v>4082</v>
      </c>
      <c r="P1983" s="823">
        <v>7515</v>
      </c>
      <c r="Q1983" s="823" t="s">
        <v>4082</v>
      </c>
    </row>
    <row r="1984" spans="2:17" s="608" customFormat="1" x14ac:dyDescent="0.25">
      <c r="B1984" s="605" t="s">
        <v>4496</v>
      </c>
      <c r="C1984" s="606">
        <f t="shared" si="61"/>
        <v>621492</v>
      </c>
      <c r="D1984" s="607" t="s">
        <v>4497</v>
      </c>
      <c r="E1984" s="607" t="s">
        <v>4498</v>
      </c>
      <c r="F1984" s="607" t="s">
        <v>4497</v>
      </c>
      <c r="G1984" s="607" t="s">
        <v>2021</v>
      </c>
      <c r="H1984" s="607" t="s">
        <v>2021</v>
      </c>
      <c r="I1984" s="607" t="s">
        <v>2713</v>
      </c>
      <c r="J1984" s="608" t="str">
        <f t="shared" si="62"/>
        <v>Healthcare Provdr And Svs</v>
      </c>
      <c r="N1984" s="822">
        <v>532120</v>
      </c>
      <c r="O1984" s="822" t="s">
        <v>4085</v>
      </c>
      <c r="P1984" s="823">
        <v>7513</v>
      </c>
      <c r="Q1984" s="823" t="s">
        <v>4087</v>
      </c>
    </row>
    <row r="1985" spans="2:17" s="608" customFormat="1" x14ac:dyDescent="0.25">
      <c r="B1985" s="605" t="s">
        <v>4499</v>
      </c>
      <c r="C1985" s="606">
        <f t="shared" si="61"/>
        <v>621493</v>
      </c>
      <c r="D1985" s="607" t="s">
        <v>4500</v>
      </c>
      <c r="E1985" s="607" t="s">
        <v>4458</v>
      </c>
      <c r="F1985" s="607" t="s">
        <v>4459</v>
      </c>
      <c r="G1985" s="607" t="s">
        <v>2021</v>
      </c>
      <c r="H1985" s="607" t="s">
        <v>2021</v>
      </c>
      <c r="I1985" s="607" t="s">
        <v>2713</v>
      </c>
      <c r="J1985" s="608" t="str">
        <f t="shared" si="62"/>
        <v>Healthcare Provdr And Svs</v>
      </c>
      <c r="N1985" s="822">
        <v>532120</v>
      </c>
      <c r="O1985" s="822" t="s">
        <v>4085</v>
      </c>
      <c r="P1985" s="823">
        <v>7519</v>
      </c>
      <c r="Q1985" s="823" t="s">
        <v>4089</v>
      </c>
    </row>
    <row r="1986" spans="2:17" s="608" customFormat="1" x14ac:dyDescent="0.25">
      <c r="B1986" s="605" t="s">
        <v>4501</v>
      </c>
      <c r="C1986" s="606">
        <f t="shared" ref="C1986:C2049" si="63">B1986+0</f>
        <v>621498</v>
      </c>
      <c r="D1986" s="607" t="s">
        <v>4502</v>
      </c>
      <c r="E1986" s="607" t="s">
        <v>4488</v>
      </c>
      <c r="F1986" s="607" t="s">
        <v>4489</v>
      </c>
      <c r="G1986" s="607" t="s">
        <v>2021</v>
      </c>
      <c r="H1986" s="607" t="s">
        <v>2021</v>
      </c>
      <c r="I1986" s="607" t="s">
        <v>2713</v>
      </c>
      <c r="J1986" s="608" t="str">
        <f t="shared" si="62"/>
        <v>Healthcare Provdr And Svs</v>
      </c>
      <c r="N1986" s="822">
        <v>532210</v>
      </c>
      <c r="O1986" s="822" t="s">
        <v>4091</v>
      </c>
      <c r="P1986" s="823">
        <v>7359</v>
      </c>
      <c r="Q1986" s="823" t="s">
        <v>4093</v>
      </c>
    </row>
    <row r="1987" spans="2:17" s="608" customFormat="1" x14ac:dyDescent="0.25">
      <c r="B1987" s="605" t="s">
        <v>4503</v>
      </c>
      <c r="C1987" s="606">
        <f t="shared" si="63"/>
        <v>621511</v>
      </c>
      <c r="D1987" s="607" t="s">
        <v>4504</v>
      </c>
      <c r="E1987" s="607" t="s">
        <v>4505</v>
      </c>
      <c r="F1987" s="607" t="s">
        <v>4504</v>
      </c>
      <c r="G1987" s="607" t="s">
        <v>2021</v>
      </c>
      <c r="H1987" s="607" t="s">
        <v>2021</v>
      </c>
      <c r="I1987" s="607" t="s">
        <v>2713</v>
      </c>
      <c r="J1987" s="608" t="str">
        <f t="shared" si="62"/>
        <v>Healthcare Provdr And Svs</v>
      </c>
      <c r="N1987" s="823">
        <v>532220</v>
      </c>
      <c r="O1987" s="823" t="s">
        <v>4095</v>
      </c>
      <c r="P1987" s="823"/>
      <c r="Q1987" s="823" t="s">
        <v>958</v>
      </c>
    </row>
    <row r="1988" spans="2:17" s="608" customFormat="1" x14ac:dyDescent="0.25">
      <c r="B1988" s="605" t="s">
        <v>4506</v>
      </c>
      <c r="C1988" s="606">
        <f t="shared" si="63"/>
        <v>621512</v>
      </c>
      <c r="D1988" s="607" t="s">
        <v>4507</v>
      </c>
      <c r="E1988" s="607" t="s">
        <v>4505</v>
      </c>
      <c r="F1988" s="607" t="s">
        <v>4504</v>
      </c>
      <c r="G1988" s="607" t="s">
        <v>2021</v>
      </c>
      <c r="H1988" s="607" t="s">
        <v>2021</v>
      </c>
      <c r="I1988" s="607" t="s">
        <v>2713</v>
      </c>
      <c r="J1988" s="608" t="str">
        <f t="shared" si="62"/>
        <v>Healthcare Provdr And Svs</v>
      </c>
      <c r="N1988" s="822">
        <v>532230</v>
      </c>
      <c r="O1988" s="822" t="s">
        <v>6014</v>
      </c>
      <c r="P1988" s="823"/>
      <c r="Q1988" s="823" t="s">
        <v>958</v>
      </c>
    </row>
    <row r="1989" spans="2:17" s="608" customFormat="1" x14ac:dyDescent="0.25">
      <c r="B1989" s="605" t="s">
        <v>4508</v>
      </c>
      <c r="C1989" s="606">
        <f t="shared" si="63"/>
        <v>621610</v>
      </c>
      <c r="D1989" s="607" t="s">
        <v>4509</v>
      </c>
      <c r="E1989" s="607" t="s">
        <v>4510</v>
      </c>
      <c r="F1989" s="607" t="s">
        <v>4509</v>
      </c>
      <c r="G1989" s="607" t="s">
        <v>2021</v>
      </c>
      <c r="H1989" s="607" t="s">
        <v>2021</v>
      </c>
      <c r="I1989" s="607" t="s">
        <v>2713</v>
      </c>
      <c r="J1989" s="608" t="str">
        <f t="shared" si="62"/>
        <v>Healthcare Provdr And Svs</v>
      </c>
      <c r="N1989" s="822">
        <v>532281</v>
      </c>
      <c r="O1989" s="822" t="s">
        <v>4095</v>
      </c>
      <c r="P1989" s="823">
        <v>7299</v>
      </c>
      <c r="Q1989" s="823" t="s">
        <v>4097</v>
      </c>
    </row>
    <row r="1990" spans="2:17" s="608" customFormat="1" x14ac:dyDescent="0.25">
      <c r="B1990" s="605" t="s">
        <v>4511</v>
      </c>
      <c r="C1990" s="606">
        <f t="shared" si="63"/>
        <v>621910</v>
      </c>
      <c r="D1990" s="607" t="s">
        <v>4512</v>
      </c>
      <c r="E1990" s="607" t="s">
        <v>3653</v>
      </c>
      <c r="F1990" s="607" t="s">
        <v>3654</v>
      </c>
      <c r="G1990" s="607" t="s">
        <v>2021</v>
      </c>
      <c r="H1990" s="607" t="s">
        <v>2021</v>
      </c>
      <c r="I1990" s="607" t="s">
        <v>2713</v>
      </c>
      <c r="J1990" s="608" t="str">
        <f t="shared" si="62"/>
        <v>Healthcare Provdr And Svs</v>
      </c>
      <c r="N1990" s="822">
        <v>532281</v>
      </c>
      <c r="O1990" s="822" t="s">
        <v>4095</v>
      </c>
      <c r="P1990" s="823">
        <v>7819</v>
      </c>
      <c r="Q1990" s="823" t="s">
        <v>2763</v>
      </c>
    </row>
    <row r="1991" spans="2:17" s="608" customFormat="1" x14ac:dyDescent="0.25">
      <c r="B1991" s="605" t="s">
        <v>4511</v>
      </c>
      <c r="C1991" s="606">
        <f t="shared" si="63"/>
        <v>621910</v>
      </c>
      <c r="D1991" s="607" t="s">
        <v>4512</v>
      </c>
      <c r="E1991" s="607" t="s">
        <v>3565</v>
      </c>
      <c r="F1991" s="607" t="s">
        <v>3566</v>
      </c>
      <c r="G1991" s="607" t="s">
        <v>2021</v>
      </c>
      <c r="H1991" s="607" t="s">
        <v>2021</v>
      </c>
      <c r="I1991" s="607" t="s">
        <v>2713</v>
      </c>
      <c r="J1991" s="608" t="str">
        <f t="shared" si="62"/>
        <v>Healthcare Provdr And Svs</v>
      </c>
      <c r="N1991" s="822">
        <v>532282</v>
      </c>
      <c r="O1991" s="822" t="s">
        <v>4099</v>
      </c>
      <c r="P1991" s="823">
        <v>7841</v>
      </c>
      <c r="Q1991" s="823" t="s">
        <v>4101</v>
      </c>
    </row>
    <row r="1992" spans="2:17" s="608" customFormat="1" x14ac:dyDescent="0.25">
      <c r="B1992" s="605" t="s">
        <v>4513</v>
      </c>
      <c r="C1992" s="606">
        <f t="shared" si="63"/>
        <v>621991</v>
      </c>
      <c r="D1992" s="607" t="s">
        <v>4514</v>
      </c>
      <c r="E1992" s="607" t="s">
        <v>4184</v>
      </c>
      <c r="F1992" s="607" t="s">
        <v>4185</v>
      </c>
      <c r="G1992" s="607" t="s">
        <v>2021</v>
      </c>
      <c r="H1992" s="607" t="s">
        <v>2021</v>
      </c>
      <c r="I1992" s="607" t="s">
        <v>2713</v>
      </c>
      <c r="J1992" s="608" t="str">
        <f t="shared" si="62"/>
        <v>Healthcare Provdr And Svs</v>
      </c>
      <c r="N1992" s="822">
        <v>532283</v>
      </c>
      <c r="O1992" s="822" t="s">
        <v>4103</v>
      </c>
      <c r="P1992" s="823">
        <v>7352</v>
      </c>
      <c r="Q1992" s="823" t="s">
        <v>4105</v>
      </c>
    </row>
    <row r="1993" spans="2:17" s="608" customFormat="1" x14ac:dyDescent="0.25">
      <c r="B1993" s="605" t="s">
        <v>4515</v>
      </c>
      <c r="C1993" s="606">
        <f t="shared" si="63"/>
        <v>621999</v>
      </c>
      <c r="D1993" s="607" t="s">
        <v>4516</v>
      </c>
      <c r="E1993" s="607" t="s">
        <v>4184</v>
      </c>
      <c r="F1993" s="607" t="s">
        <v>4185</v>
      </c>
      <c r="G1993" s="607" t="s">
        <v>2021</v>
      </c>
      <c r="H1993" s="607" t="s">
        <v>2021</v>
      </c>
      <c r="I1993" s="607" t="s">
        <v>2713</v>
      </c>
      <c r="J1993" s="608" t="str">
        <f t="shared" si="62"/>
        <v>Healthcare Provdr And Svs</v>
      </c>
      <c r="N1993" s="822">
        <v>532284</v>
      </c>
      <c r="O1993" s="822" t="s">
        <v>4107</v>
      </c>
      <c r="P1993" s="823">
        <v>7999</v>
      </c>
      <c r="Q1993" s="823" t="s">
        <v>3690</v>
      </c>
    </row>
    <row r="1994" spans="2:17" s="608" customFormat="1" x14ac:dyDescent="0.25">
      <c r="B1994" s="605" t="s">
        <v>4517</v>
      </c>
      <c r="C1994" s="606">
        <f t="shared" si="63"/>
        <v>622110</v>
      </c>
      <c r="D1994" s="607" t="s">
        <v>4518</v>
      </c>
      <c r="E1994" s="607" t="s">
        <v>4519</v>
      </c>
      <c r="F1994" s="607" t="s">
        <v>4518</v>
      </c>
      <c r="G1994" s="607" t="s">
        <v>2021</v>
      </c>
      <c r="H1994" s="607" t="s">
        <v>2021</v>
      </c>
      <c r="I1994" s="607" t="s">
        <v>2713</v>
      </c>
      <c r="J1994" s="608" t="str">
        <f t="shared" si="62"/>
        <v>Healthcare Provdr And Svs</v>
      </c>
      <c r="N1994" s="822">
        <v>532289</v>
      </c>
      <c r="O1994" s="822" t="s">
        <v>4109</v>
      </c>
      <c r="P1994" s="823">
        <v>7359</v>
      </c>
      <c r="Q1994" s="823" t="s">
        <v>4093</v>
      </c>
    </row>
    <row r="1995" spans="2:17" s="608" customFormat="1" x14ac:dyDescent="0.25">
      <c r="B1995" s="605" t="s">
        <v>4517</v>
      </c>
      <c r="C1995" s="606">
        <f t="shared" si="63"/>
        <v>622110</v>
      </c>
      <c r="D1995" s="607" t="s">
        <v>4518</v>
      </c>
      <c r="E1995" s="607" t="s">
        <v>4520</v>
      </c>
      <c r="F1995" s="607" t="s">
        <v>4521</v>
      </c>
      <c r="G1995" s="607" t="s">
        <v>2021</v>
      </c>
      <c r="H1995" s="607" t="s">
        <v>2021</v>
      </c>
      <c r="I1995" s="607" t="s">
        <v>2713</v>
      </c>
      <c r="J1995" s="608" t="str">
        <f t="shared" si="62"/>
        <v>Healthcare Provdr And Svs</v>
      </c>
      <c r="N1995" s="823">
        <v>532291</v>
      </c>
      <c r="O1995" s="823" t="s">
        <v>4103</v>
      </c>
      <c r="P1995" s="823"/>
      <c r="Q1995" s="823" t="s">
        <v>958</v>
      </c>
    </row>
    <row r="1996" spans="2:17" s="608" customFormat="1" x14ac:dyDescent="0.25">
      <c r="B1996" s="605" t="s">
        <v>4522</v>
      </c>
      <c r="C1996" s="606">
        <f t="shared" si="63"/>
        <v>622210</v>
      </c>
      <c r="D1996" s="607" t="s">
        <v>4523</v>
      </c>
      <c r="E1996" s="607" t="s">
        <v>4524</v>
      </c>
      <c r="F1996" s="607" t="s">
        <v>4525</v>
      </c>
      <c r="G1996" s="607" t="s">
        <v>2021</v>
      </c>
      <c r="H1996" s="607" t="s">
        <v>2021</v>
      </c>
      <c r="I1996" s="607" t="s">
        <v>2713</v>
      </c>
      <c r="J1996" s="608" t="str">
        <f t="shared" si="62"/>
        <v>Healthcare Provdr And Svs</v>
      </c>
      <c r="N1996" s="823">
        <v>532292</v>
      </c>
      <c r="O1996" s="823" t="s">
        <v>4107</v>
      </c>
      <c r="P1996" s="823"/>
      <c r="Q1996" s="823" t="s">
        <v>958</v>
      </c>
    </row>
    <row r="1997" spans="2:17" s="608" customFormat="1" x14ac:dyDescent="0.25">
      <c r="B1997" s="605" t="s">
        <v>4522</v>
      </c>
      <c r="C1997" s="606">
        <f t="shared" si="63"/>
        <v>622210</v>
      </c>
      <c r="D1997" s="607" t="s">
        <v>4523</v>
      </c>
      <c r="E1997" s="607" t="s">
        <v>4520</v>
      </c>
      <c r="F1997" s="607" t="s">
        <v>4521</v>
      </c>
      <c r="G1997" s="607" t="s">
        <v>2021</v>
      </c>
      <c r="H1997" s="607" t="s">
        <v>2021</v>
      </c>
      <c r="I1997" s="607" t="s">
        <v>2713</v>
      </c>
      <c r="J1997" s="608" t="str">
        <f t="shared" si="62"/>
        <v>Healthcare Provdr And Svs</v>
      </c>
      <c r="N1997" s="823">
        <v>532299</v>
      </c>
      <c r="O1997" s="823" t="s">
        <v>4109</v>
      </c>
      <c r="P1997" s="823"/>
      <c r="Q1997" s="823" t="s">
        <v>958</v>
      </c>
    </row>
    <row r="1998" spans="2:17" s="608" customFormat="1" x14ac:dyDescent="0.25">
      <c r="B1998" s="605" t="s">
        <v>4526</v>
      </c>
      <c r="C1998" s="606">
        <f t="shared" si="63"/>
        <v>622310</v>
      </c>
      <c r="D1998" s="607" t="s">
        <v>4527</v>
      </c>
      <c r="E1998" s="607" t="s">
        <v>4520</v>
      </c>
      <c r="F1998" s="607" t="s">
        <v>4521</v>
      </c>
      <c r="G1998" s="607" t="s">
        <v>2021</v>
      </c>
      <c r="H1998" s="607" t="s">
        <v>2021</v>
      </c>
      <c r="I1998" s="607" t="s">
        <v>2713</v>
      </c>
      <c r="J1998" s="608" t="str">
        <f t="shared" si="62"/>
        <v>Healthcare Provdr And Svs</v>
      </c>
      <c r="N1998" s="822">
        <v>532310</v>
      </c>
      <c r="O1998" s="822" t="s">
        <v>4111</v>
      </c>
      <c r="P1998" s="823">
        <v>7359</v>
      </c>
      <c r="Q1998" s="823" t="s">
        <v>4093</v>
      </c>
    </row>
    <row r="1999" spans="2:17" s="608" customFormat="1" x14ac:dyDescent="0.25">
      <c r="B1999" s="605" t="s">
        <v>4528</v>
      </c>
      <c r="C1999" s="606">
        <f t="shared" si="63"/>
        <v>623110</v>
      </c>
      <c r="D1999" s="607" t="s">
        <v>4529</v>
      </c>
      <c r="E1999" s="607" t="s">
        <v>4530</v>
      </c>
      <c r="F1999" s="607" t="s">
        <v>4531</v>
      </c>
      <c r="G1999" s="607" t="s">
        <v>2021</v>
      </c>
      <c r="H1999" s="607" t="s">
        <v>2021</v>
      </c>
      <c r="I1999" s="607" t="s">
        <v>2713</v>
      </c>
      <c r="J1999" s="608" t="str">
        <f t="shared" ref="J1999:J2062" si="64">PROPER(I1999)</f>
        <v>Healthcare Provdr And Svs</v>
      </c>
      <c r="N1999" s="822">
        <v>532411</v>
      </c>
      <c r="O1999" s="822" t="s">
        <v>4113</v>
      </c>
      <c r="P1999" s="823">
        <v>4499</v>
      </c>
      <c r="Q1999" s="823" t="s">
        <v>3608</v>
      </c>
    </row>
    <row r="2000" spans="2:17" s="608" customFormat="1" x14ac:dyDescent="0.25">
      <c r="B2000" s="605" t="s">
        <v>4528</v>
      </c>
      <c r="C2000" s="606">
        <f t="shared" si="63"/>
        <v>623110</v>
      </c>
      <c r="D2000" s="607" t="s">
        <v>4529</v>
      </c>
      <c r="E2000" s="607" t="s">
        <v>4532</v>
      </c>
      <c r="F2000" s="607" t="s">
        <v>4533</v>
      </c>
      <c r="G2000" s="607" t="s">
        <v>2021</v>
      </c>
      <c r="H2000" s="607" t="s">
        <v>2021</v>
      </c>
      <c r="I2000" s="607" t="s">
        <v>2713</v>
      </c>
      <c r="J2000" s="608" t="str">
        <f t="shared" si="64"/>
        <v>Healthcare Provdr And Svs</v>
      </c>
      <c r="N2000" s="822">
        <v>532411</v>
      </c>
      <c r="O2000" s="822" t="s">
        <v>4113</v>
      </c>
      <c r="P2000" s="823">
        <v>4741</v>
      </c>
      <c r="Q2000" s="823" t="s">
        <v>3711</v>
      </c>
    </row>
    <row r="2001" spans="2:17" s="608" customFormat="1" x14ac:dyDescent="0.25">
      <c r="B2001" s="605" t="s">
        <v>4528</v>
      </c>
      <c r="C2001" s="606">
        <f t="shared" si="63"/>
        <v>623110</v>
      </c>
      <c r="D2001" s="607" t="s">
        <v>4529</v>
      </c>
      <c r="E2001" s="607" t="s">
        <v>4534</v>
      </c>
      <c r="F2001" s="607" t="s">
        <v>4535</v>
      </c>
      <c r="G2001" s="607" t="s">
        <v>2021</v>
      </c>
      <c r="H2001" s="607" t="s">
        <v>2021</v>
      </c>
      <c r="I2001" s="607" t="s">
        <v>2713</v>
      </c>
      <c r="J2001" s="608" t="str">
        <f t="shared" si="64"/>
        <v>Healthcare Provdr And Svs</v>
      </c>
      <c r="N2001" s="822">
        <v>532411</v>
      </c>
      <c r="O2001" s="822" t="s">
        <v>4113</v>
      </c>
      <c r="P2001" s="823">
        <v>7359</v>
      </c>
      <c r="Q2001" s="823" t="s">
        <v>4093</v>
      </c>
    </row>
    <row r="2002" spans="2:17" s="608" customFormat="1" x14ac:dyDescent="0.25">
      <c r="B2002" s="605" t="s">
        <v>4536</v>
      </c>
      <c r="C2002" s="606">
        <f t="shared" si="63"/>
        <v>623210</v>
      </c>
      <c r="D2002" s="607" t="s">
        <v>4537</v>
      </c>
      <c r="E2002" s="607" t="s">
        <v>4530</v>
      </c>
      <c r="F2002" s="607" t="s">
        <v>4531</v>
      </c>
      <c r="G2002" s="607" t="s">
        <v>2021</v>
      </c>
      <c r="H2002" s="607" t="s">
        <v>2021</v>
      </c>
      <c r="I2002" s="607" t="s">
        <v>2713</v>
      </c>
      <c r="J2002" s="608" t="str">
        <f t="shared" si="64"/>
        <v>Healthcare Provdr And Svs</v>
      </c>
      <c r="N2002" s="822">
        <v>532412</v>
      </c>
      <c r="O2002" s="822" t="s">
        <v>4115</v>
      </c>
      <c r="P2002" s="823">
        <v>7353</v>
      </c>
      <c r="Q2002" s="823" t="s">
        <v>1371</v>
      </c>
    </row>
    <row r="2003" spans="2:17" s="608" customFormat="1" x14ac:dyDescent="0.25">
      <c r="B2003" s="605" t="s">
        <v>4536</v>
      </c>
      <c r="C2003" s="606">
        <f t="shared" si="63"/>
        <v>623210</v>
      </c>
      <c r="D2003" s="607" t="s">
        <v>4537</v>
      </c>
      <c r="E2003" s="607" t="s">
        <v>4532</v>
      </c>
      <c r="F2003" s="607" t="s">
        <v>4533</v>
      </c>
      <c r="G2003" s="607" t="s">
        <v>2021</v>
      </c>
      <c r="H2003" s="607" t="s">
        <v>2021</v>
      </c>
      <c r="I2003" s="607" t="s">
        <v>2713</v>
      </c>
      <c r="J2003" s="608" t="str">
        <f t="shared" si="64"/>
        <v>Healthcare Provdr And Svs</v>
      </c>
      <c r="N2003" s="822">
        <v>532412</v>
      </c>
      <c r="O2003" s="822" t="s">
        <v>4115</v>
      </c>
      <c r="P2003" s="823">
        <v>7359</v>
      </c>
      <c r="Q2003" s="823" t="s">
        <v>4093</v>
      </c>
    </row>
    <row r="2004" spans="2:17" s="608" customFormat="1" x14ac:dyDescent="0.25">
      <c r="B2004" s="605" t="s">
        <v>4536</v>
      </c>
      <c r="C2004" s="606">
        <f t="shared" si="63"/>
        <v>623210</v>
      </c>
      <c r="D2004" s="607" t="s">
        <v>4537</v>
      </c>
      <c r="E2004" s="607" t="s">
        <v>4534</v>
      </c>
      <c r="F2004" s="607" t="s">
        <v>4535</v>
      </c>
      <c r="G2004" s="607" t="s">
        <v>2021</v>
      </c>
      <c r="H2004" s="607" t="s">
        <v>2021</v>
      </c>
      <c r="I2004" s="607" t="s">
        <v>2713</v>
      </c>
      <c r="J2004" s="608" t="str">
        <f t="shared" si="64"/>
        <v>Healthcare Provdr And Svs</v>
      </c>
      <c r="N2004" s="822">
        <v>532420</v>
      </c>
      <c r="O2004" s="822" t="s">
        <v>4117</v>
      </c>
      <c r="P2004" s="823">
        <v>7359</v>
      </c>
      <c r="Q2004" s="823" t="s">
        <v>4093</v>
      </c>
    </row>
    <row r="2005" spans="2:17" s="608" customFormat="1" x14ac:dyDescent="0.25">
      <c r="B2005" s="605" t="s">
        <v>4536</v>
      </c>
      <c r="C2005" s="606">
        <f t="shared" si="63"/>
        <v>623210</v>
      </c>
      <c r="D2005" s="607" t="s">
        <v>4537</v>
      </c>
      <c r="E2005" s="607" t="s">
        <v>4538</v>
      </c>
      <c r="F2005" s="607" t="s">
        <v>4539</v>
      </c>
      <c r="G2005" s="607" t="s">
        <v>2021</v>
      </c>
      <c r="H2005" s="607" t="s">
        <v>2021</v>
      </c>
      <c r="I2005" s="607" t="s">
        <v>2713</v>
      </c>
      <c r="J2005" s="608" t="str">
        <f t="shared" si="64"/>
        <v>Healthcare Provdr And Svs</v>
      </c>
      <c r="N2005" s="822">
        <v>532420</v>
      </c>
      <c r="O2005" s="822" t="s">
        <v>4117</v>
      </c>
      <c r="P2005" s="823">
        <v>7377</v>
      </c>
      <c r="Q2005" s="823" t="s">
        <v>4119</v>
      </c>
    </row>
    <row r="2006" spans="2:17" s="608" customFormat="1" x14ac:dyDescent="0.25">
      <c r="B2006" s="605" t="s">
        <v>4540</v>
      </c>
      <c r="C2006" s="606">
        <f t="shared" si="63"/>
        <v>623220</v>
      </c>
      <c r="D2006" s="607" t="s">
        <v>4541</v>
      </c>
      <c r="E2006" s="607" t="s">
        <v>4538</v>
      </c>
      <c r="F2006" s="607" t="s">
        <v>4539</v>
      </c>
      <c r="G2006" s="607" t="s">
        <v>2021</v>
      </c>
      <c r="H2006" s="607" t="s">
        <v>2021</v>
      </c>
      <c r="I2006" s="607" t="s">
        <v>2713</v>
      </c>
      <c r="J2006" s="608" t="str">
        <f t="shared" si="64"/>
        <v>Healthcare Provdr And Svs</v>
      </c>
      <c r="N2006" s="822">
        <v>532490</v>
      </c>
      <c r="O2006" s="822" t="s">
        <v>4121</v>
      </c>
      <c r="P2006" s="823">
        <v>7352</v>
      </c>
      <c r="Q2006" s="823" t="s">
        <v>4105</v>
      </c>
    </row>
    <row r="2007" spans="2:17" s="608" customFormat="1" x14ac:dyDescent="0.25">
      <c r="B2007" s="605" t="s">
        <v>4542</v>
      </c>
      <c r="C2007" s="606">
        <f t="shared" si="63"/>
        <v>623311</v>
      </c>
      <c r="D2007" s="607" t="s">
        <v>4543</v>
      </c>
      <c r="E2007" s="607" t="s">
        <v>4530</v>
      </c>
      <c r="F2007" s="607" t="s">
        <v>4531</v>
      </c>
      <c r="G2007" s="607" t="s">
        <v>2021</v>
      </c>
      <c r="H2007" s="607" t="s">
        <v>2021</v>
      </c>
      <c r="I2007" s="607" t="s">
        <v>2713</v>
      </c>
      <c r="J2007" s="608" t="str">
        <f t="shared" si="64"/>
        <v>Healthcare Provdr And Svs</v>
      </c>
      <c r="N2007" s="822">
        <v>532490</v>
      </c>
      <c r="O2007" s="822" t="s">
        <v>4121</v>
      </c>
      <c r="P2007" s="823">
        <v>7359</v>
      </c>
      <c r="Q2007" s="823" t="s">
        <v>4093</v>
      </c>
    </row>
    <row r="2008" spans="2:17" s="608" customFormat="1" x14ac:dyDescent="0.25">
      <c r="B2008" s="605" t="s">
        <v>4542</v>
      </c>
      <c r="C2008" s="606">
        <f t="shared" si="63"/>
        <v>623311</v>
      </c>
      <c r="D2008" s="607" t="s">
        <v>4543</v>
      </c>
      <c r="E2008" s="607" t="s">
        <v>4532</v>
      </c>
      <c r="F2008" s="607" t="s">
        <v>4533</v>
      </c>
      <c r="G2008" s="607" t="s">
        <v>2021</v>
      </c>
      <c r="H2008" s="607" t="s">
        <v>2021</v>
      </c>
      <c r="I2008" s="607" t="s">
        <v>2713</v>
      </c>
      <c r="J2008" s="608" t="str">
        <f t="shared" si="64"/>
        <v>Healthcare Provdr And Svs</v>
      </c>
      <c r="N2008" s="822">
        <v>532490</v>
      </c>
      <c r="O2008" s="822" t="s">
        <v>4121</v>
      </c>
      <c r="P2008" s="823">
        <v>7819</v>
      </c>
      <c r="Q2008" s="823" t="s">
        <v>2763</v>
      </c>
    </row>
    <row r="2009" spans="2:17" s="608" customFormat="1" x14ac:dyDescent="0.25">
      <c r="B2009" s="605" t="s">
        <v>4542</v>
      </c>
      <c r="C2009" s="606">
        <f t="shared" si="63"/>
        <v>623311</v>
      </c>
      <c r="D2009" s="607" t="s">
        <v>4543</v>
      </c>
      <c r="E2009" s="607" t="s">
        <v>4534</v>
      </c>
      <c r="F2009" s="607" t="s">
        <v>4535</v>
      </c>
      <c r="G2009" s="607" t="s">
        <v>2021</v>
      </c>
      <c r="H2009" s="607" t="s">
        <v>2021</v>
      </c>
      <c r="I2009" s="607" t="s">
        <v>2713</v>
      </c>
      <c r="J2009" s="608" t="str">
        <f t="shared" si="64"/>
        <v>Healthcare Provdr And Svs</v>
      </c>
      <c r="N2009" s="822">
        <v>532490</v>
      </c>
      <c r="O2009" s="822" t="s">
        <v>4121</v>
      </c>
      <c r="P2009" s="823">
        <v>7922</v>
      </c>
      <c r="Q2009" s="823" t="s">
        <v>3825</v>
      </c>
    </row>
    <row r="2010" spans="2:17" s="608" customFormat="1" x14ac:dyDescent="0.25">
      <c r="B2010" s="605" t="s">
        <v>4544</v>
      </c>
      <c r="C2010" s="606">
        <f t="shared" si="63"/>
        <v>623312</v>
      </c>
      <c r="D2010" s="607" t="s">
        <v>4545</v>
      </c>
      <c r="E2010" s="607" t="s">
        <v>4538</v>
      </c>
      <c r="F2010" s="607" t="s">
        <v>4539</v>
      </c>
      <c r="G2010" s="607" t="s">
        <v>2021</v>
      </c>
      <c r="H2010" s="607" t="s">
        <v>2021</v>
      </c>
      <c r="I2010" s="607" t="s">
        <v>2713</v>
      </c>
      <c r="J2010" s="608" t="str">
        <f t="shared" si="64"/>
        <v>Healthcare Provdr And Svs</v>
      </c>
      <c r="N2010" s="822">
        <v>533110</v>
      </c>
      <c r="O2010" s="822" t="s">
        <v>4123</v>
      </c>
      <c r="P2010" s="823">
        <v>6792</v>
      </c>
      <c r="Q2010" s="823" t="s">
        <v>3967</v>
      </c>
    </row>
    <row r="2011" spans="2:17" s="608" customFormat="1" x14ac:dyDescent="0.25">
      <c r="B2011" s="605" t="s">
        <v>4546</v>
      </c>
      <c r="C2011" s="606">
        <f t="shared" si="63"/>
        <v>623990</v>
      </c>
      <c r="D2011" s="607" t="s">
        <v>4547</v>
      </c>
      <c r="E2011" s="607" t="s">
        <v>4538</v>
      </c>
      <c r="F2011" s="607" t="s">
        <v>4539</v>
      </c>
      <c r="G2011" s="607" t="s">
        <v>2021</v>
      </c>
      <c r="H2011" s="607" t="s">
        <v>2021</v>
      </c>
      <c r="I2011" s="607" t="s">
        <v>2713</v>
      </c>
      <c r="J2011" s="608" t="str">
        <f t="shared" si="64"/>
        <v>Healthcare Provdr And Svs</v>
      </c>
      <c r="N2011" s="822">
        <v>533110</v>
      </c>
      <c r="O2011" s="822" t="s">
        <v>4123</v>
      </c>
      <c r="P2011" s="823">
        <v>6794</v>
      </c>
      <c r="Q2011" s="823" t="s">
        <v>4125</v>
      </c>
    </row>
    <row r="2012" spans="2:17" s="608" customFormat="1" x14ac:dyDescent="0.25">
      <c r="B2012" s="605" t="s">
        <v>4548</v>
      </c>
      <c r="C2012" s="606">
        <f t="shared" si="63"/>
        <v>624110</v>
      </c>
      <c r="D2012" s="607" t="s">
        <v>4549</v>
      </c>
      <c r="E2012" s="607" t="s">
        <v>4550</v>
      </c>
      <c r="F2012" s="607" t="s">
        <v>4551</v>
      </c>
      <c r="G2012" s="607" t="s">
        <v>2021</v>
      </c>
      <c r="H2012" s="607" t="s">
        <v>2021</v>
      </c>
      <c r="I2012" s="607" t="s">
        <v>2713</v>
      </c>
      <c r="J2012" s="608" t="str">
        <f t="shared" si="64"/>
        <v>Healthcare Provdr And Svs</v>
      </c>
      <c r="N2012" s="822">
        <v>541110</v>
      </c>
      <c r="O2012" s="822" t="s">
        <v>4127</v>
      </c>
      <c r="P2012" s="823">
        <v>8111</v>
      </c>
      <c r="Q2012" s="823" t="s">
        <v>4129</v>
      </c>
    </row>
    <row r="2013" spans="2:17" s="608" customFormat="1" x14ac:dyDescent="0.25">
      <c r="B2013" s="605" t="s">
        <v>4552</v>
      </c>
      <c r="C2013" s="606">
        <f t="shared" si="63"/>
        <v>624120</v>
      </c>
      <c r="D2013" s="607" t="s">
        <v>4553</v>
      </c>
      <c r="E2013" s="607" t="s">
        <v>4550</v>
      </c>
      <c r="F2013" s="607" t="s">
        <v>4551</v>
      </c>
      <c r="G2013" s="607" t="s">
        <v>2021</v>
      </c>
      <c r="H2013" s="607" t="s">
        <v>2021</v>
      </c>
      <c r="I2013" s="607" t="s">
        <v>2713</v>
      </c>
      <c r="J2013" s="608" t="str">
        <f t="shared" si="64"/>
        <v>Healthcare Provdr And Svs</v>
      </c>
      <c r="N2013" s="822">
        <v>541120</v>
      </c>
      <c r="O2013" s="822" t="s">
        <v>4131</v>
      </c>
      <c r="P2013" s="823"/>
      <c r="Q2013" s="823" t="s">
        <v>958</v>
      </c>
    </row>
    <row r="2014" spans="2:17" s="608" customFormat="1" x14ac:dyDescent="0.25">
      <c r="B2014" s="605" t="s">
        <v>4554</v>
      </c>
      <c r="C2014" s="606">
        <f t="shared" si="63"/>
        <v>624190</v>
      </c>
      <c r="D2014" s="607" t="s">
        <v>4555</v>
      </c>
      <c r="E2014" s="607" t="s">
        <v>4550</v>
      </c>
      <c r="F2014" s="607" t="s">
        <v>4551</v>
      </c>
      <c r="G2014" s="607" t="s">
        <v>2021</v>
      </c>
      <c r="H2014" s="607" t="s">
        <v>2021</v>
      </c>
      <c r="I2014" s="607" t="s">
        <v>2713</v>
      </c>
      <c r="J2014" s="608" t="str">
        <f t="shared" si="64"/>
        <v>Healthcare Provdr And Svs</v>
      </c>
      <c r="N2014" s="822">
        <v>541191</v>
      </c>
      <c r="O2014" s="822" t="s">
        <v>4133</v>
      </c>
      <c r="P2014" s="823">
        <v>6541</v>
      </c>
      <c r="Q2014" s="823" t="s">
        <v>4135</v>
      </c>
    </row>
    <row r="2015" spans="2:17" s="608" customFormat="1" x14ac:dyDescent="0.25">
      <c r="B2015" s="605" t="s">
        <v>4556</v>
      </c>
      <c r="C2015" s="606">
        <f t="shared" si="63"/>
        <v>624210</v>
      </c>
      <c r="D2015" s="607" t="s">
        <v>4557</v>
      </c>
      <c r="E2015" s="607" t="s">
        <v>4550</v>
      </c>
      <c r="F2015" s="607" t="s">
        <v>4551</v>
      </c>
      <c r="G2015" s="607" t="s">
        <v>2021</v>
      </c>
      <c r="H2015" s="607" t="s">
        <v>2021</v>
      </c>
      <c r="I2015" s="607" t="s">
        <v>2713</v>
      </c>
      <c r="J2015" s="608" t="str">
        <f t="shared" si="64"/>
        <v>Healthcare Provdr And Svs</v>
      </c>
      <c r="N2015" s="822">
        <v>541199</v>
      </c>
      <c r="O2015" s="822" t="s">
        <v>4137</v>
      </c>
      <c r="P2015" s="823">
        <v>7389</v>
      </c>
      <c r="Q2015" s="823" t="s">
        <v>1589</v>
      </c>
    </row>
    <row r="2016" spans="2:17" s="608" customFormat="1" x14ac:dyDescent="0.25">
      <c r="B2016" s="605" t="s">
        <v>4558</v>
      </c>
      <c r="C2016" s="606">
        <f t="shared" si="63"/>
        <v>624221</v>
      </c>
      <c r="D2016" s="607" t="s">
        <v>4559</v>
      </c>
      <c r="E2016" s="607" t="s">
        <v>4550</v>
      </c>
      <c r="F2016" s="607" t="s">
        <v>4551</v>
      </c>
      <c r="G2016" s="607" t="s">
        <v>2021</v>
      </c>
      <c r="H2016" s="607" t="s">
        <v>2021</v>
      </c>
      <c r="I2016" s="607" t="s">
        <v>2713</v>
      </c>
      <c r="J2016" s="608" t="str">
        <f t="shared" si="64"/>
        <v>Healthcare Provdr And Svs</v>
      </c>
      <c r="N2016" s="822">
        <v>541211</v>
      </c>
      <c r="O2016" s="822" t="s">
        <v>4139</v>
      </c>
      <c r="P2016" s="823">
        <v>8721</v>
      </c>
      <c r="Q2016" s="823" t="s">
        <v>4141</v>
      </c>
    </row>
    <row r="2017" spans="2:17" s="608" customFormat="1" x14ac:dyDescent="0.25">
      <c r="B2017" s="605" t="s">
        <v>4560</v>
      </c>
      <c r="C2017" s="606">
        <f t="shared" si="63"/>
        <v>624229</v>
      </c>
      <c r="D2017" s="607" t="s">
        <v>4561</v>
      </c>
      <c r="E2017" s="607" t="s">
        <v>4550</v>
      </c>
      <c r="F2017" s="607" t="s">
        <v>4551</v>
      </c>
      <c r="G2017" s="607" t="s">
        <v>2021</v>
      </c>
      <c r="H2017" s="607" t="s">
        <v>2021</v>
      </c>
      <c r="I2017" s="607" t="s">
        <v>2713</v>
      </c>
      <c r="J2017" s="608" t="str">
        <f t="shared" si="64"/>
        <v>Healthcare Provdr And Svs</v>
      </c>
      <c r="N2017" s="822">
        <v>541213</v>
      </c>
      <c r="O2017" s="822" t="s">
        <v>4143</v>
      </c>
      <c r="P2017" s="823">
        <v>7291</v>
      </c>
      <c r="Q2017" s="823" t="s">
        <v>4145</v>
      </c>
    </row>
    <row r="2018" spans="2:17" s="608" customFormat="1" x14ac:dyDescent="0.25">
      <c r="B2018" s="605" t="s">
        <v>4562</v>
      </c>
      <c r="C2018" s="606">
        <f t="shared" si="63"/>
        <v>624230</v>
      </c>
      <c r="D2018" s="607" t="s">
        <v>4563</v>
      </c>
      <c r="E2018" s="607" t="s">
        <v>4550</v>
      </c>
      <c r="F2018" s="607" t="s">
        <v>4551</v>
      </c>
      <c r="G2018" s="607" t="s">
        <v>2021</v>
      </c>
      <c r="H2018" s="607" t="s">
        <v>2021</v>
      </c>
      <c r="I2018" s="607" t="s">
        <v>2713</v>
      </c>
      <c r="J2018" s="608" t="str">
        <f t="shared" si="64"/>
        <v>Healthcare Provdr And Svs</v>
      </c>
      <c r="N2018" s="822">
        <v>541214</v>
      </c>
      <c r="O2018" s="822" t="s">
        <v>4147</v>
      </c>
      <c r="P2018" s="823">
        <v>7819</v>
      </c>
      <c r="Q2018" s="823" t="s">
        <v>2763</v>
      </c>
    </row>
    <row r="2019" spans="2:17" s="608" customFormat="1" x14ac:dyDescent="0.25">
      <c r="B2019" s="605" t="s">
        <v>4564</v>
      </c>
      <c r="C2019" s="606">
        <f t="shared" si="63"/>
        <v>624310</v>
      </c>
      <c r="D2019" s="607" t="s">
        <v>4565</v>
      </c>
      <c r="E2019" s="607" t="s">
        <v>4566</v>
      </c>
      <c r="F2019" s="607" t="s">
        <v>4567</v>
      </c>
      <c r="G2019" s="607" t="s">
        <v>2021</v>
      </c>
      <c r="H2019" s="607" t="s">
        <v>2021</v>
      </c>
      <c r="I2019" s="607" t="s">
        <v>2713</v>
      </c>
      <c r="J2019" s="608" t="str">
        <f t="shared" si="64"/>
        <v>Healthcare Provdr And Svs</v>
      </c>
      <c r="N2019" s="822">
        <v>541214</v>
      </c>
      <c r="O2019" s="822" t="s">
        <v>4147</v>
      </c>
      <c r="P2019" s="823">
        <v>8721</v>
      </c>
      <c r="Q2019" s="823" t="s">
        <v>4141</v>
      </c>
    </row>
    <row r="2020" spans="2:17" s="608" customFormat="1" x14ac:dyDescent="0.25">
      <c r="B2020" s="605" t="s">
        <v>4568</v>
      </c>
      <c r="C2020" s="606">
        <f t="shared" si="63"/>
        <v>624410</v>
      </c>
      <c r="D2020" s="607" t="s">
        <v>4569</v>
      </c>
      <c r="E2020" s="607" t="s">
        <v>4570</v>
      </c>
      <c r="F2020" s="607" t="s">
        <v>4569</v>
      </c>
      <c r="G2020" s="607" t="s">
        <v>2021</v>
      </c>
      <c r="H2020" s="607" t="s">
        <v>2021</v>
      </c>
      <c r="I2020" s="607" t="s">
        <v>2713</v>
      </c>
      <c r="J2020" s="608" t="str">
        <f t="shared" si="64"/>
        <v>Healthcare Provdr And Svs</v>
      </c>
      <c r="N2020" s="822">
        <v>541219</v>
      </c>
      <c r="O2020" s="822" t="s">
        <v>4149</v>
      </c>
      <c r="P2020" s="823">
        <v>8721</v>
      </c>
      <c r="Q2020" s="823" t="s">
        <v>4141</v>
      </c>
    </row>
    <row r="2021" spans="2:17" s="608" customFormat="1" x14ac:dyDescent="0.25">
      <c r="B2021" s="605" t="s">
        <v>4571</v>
      </c>
      <c r="C2021" s="606">
        <f t="shared" si="63"/>
        <v>711110</v>
      </c>
      <c r="D2021" s="607" t="s">
        <v>4572</v>
      </c>
      <c r="E2021" s="607" t="s">
        <v>4573</v>
      </c>
      <c r="F2021" s="607" t="s">
        <v>4574</v>
      </c>
      <c r="G2021" s="607" t="s">
        <v>1594</v>
      </c>
      <c r="H2021" s="607" t="s">
        <v>1594</v>
      </c>
      <c r="I2021" s="607" t="s">
        <v>3691</v>
      </c>
      <c r="J2021" s="608" t="str">
        <f t="shared" si="64"/>
        <v>Hotel Restaurant Leisure Ctr</v>
      </c>
      <c r="N2021" s="822">
        <v>541310</v>
      </c>
      <c r="O2021" s="822" t="s">
        <v>4151</v>
      </c>
      <c r="P2021" s="823">
        <v>8712</v>
      </c>
      <c r="Q2021" s="823" t="s">
        <v>4151</v>
      </c>
    </row>
    <row r="2022" spans="2:17" s="608" customFormat="1" x14ac:dyDescent="0.25">
      <c r="B2022" s="605" t="s">
        <v>4571</v>
      </c>
      <c r="C2022" s="606">
        <f t="shared" si="63"/>
        <v>711110</v>
      </c>
      <c r="D2022" s="607" t="s">
        <v>4572</v>
      </c>
      <c r="E2022" s="607" t="s">
        <v>3824</v>
      </c>
      <c r="F2022" s="607" t="s">
        <v>3825</v>
      </c>
      <c r="G2022" s="607" t="s">
        <v>1594</v>
      </c>
      <c r="H2022" s="607" t="s">
        <v>1594</v>
      </c>
      <c r="I2022" s="607" t="s">
        <v>3691</v>
      </c>
      <c r="J2022" s="608" t="str">
        <f t="shared" si="64"/>
        <v>Hotel Restaurant Leisure Ctr</v>
      </c>
      <c r="N2022" s="822">
        <v>541320</v>
      </c>
      <c r="O2022" s="822" t="s">
        <v>4155</v>
      </c>
      <c r="P2022" s="823">
        <v>781</v>
      </c>
      <c r="Q2022" s="823" t="s">
        <v>4157</v>
      </c>
    </row>
    <row r="2023" spans="2:17" s="608" customFormat="1" x14ac:dyDescent="0.25">
      <c r="B2023" s="605" t="s">
        <v>4575</v>
      </c>
      <c r="C2023" s="606">
        <f t="shared" si="63"/>
        <v>711120</v>
      </c>
      <c r="D2023" s="607" t="s">
        <v>4576</v>
      </c>
      <c r="E2023" s="607" t="s">
        <v>3824</v>
      </c>
      <c r="F2023" s="607" t="s">
        <v>3825</v>
      </c>
      <c r="G2023" s="607" t="s">
        <v>1594</v>
      </c>
      <c r="H2023" s="607" t="s">
        <v>1594</v>
      </c>
      <c r="I2023" s="607" t="s">
        <v>3691</v>
      </c>
      <c r="J2023" s="608" t="str">
        <f t="shared" si="64"/>
        <v>Hotel Restaurant Leisure Ctr</v>
      </c>
      <c r="N2023" s="822">
        <v>541320</v>
      </c>
      <c r="O2023" s="822" t="s">
        <v>4155</v>
      </c>
      <c r="P2023" s="823">
        <v>8748</v>
      </c>
      <c r="Q2023" s="823" t="s">
        <v>4159</v>
      </c>
    </row>
    <row r="2024" spans="2:17" s="608" customFormat="1" x14ac:dyDescent="0.25">
      <c r="B2024" s="605" t="s">
        <v>4577</v>
      </c>
      <c r="C2024" s="606">
        <f t="shared" si="63"/>
        <v>711130</v>
      </c>
      <c r="D2024" s="607" t="s">
        <v>4578</v>
      </c>
      <c r="E2024" s="607" t="s">
        <v>4579</v>
      </c>
      <c r="F2024" s="607" t="s">
        <v>4580</v>
      </c>
      <c r="G2024" s="607" t="s">
        <v>1594</v>
      </c>
      <c r="H2024" s="607" t="s">
        <v>1594</v>
      </c>
      <c r="I2024" s="607" t="s">
        <v>3691</v>
      </c>
      <c r="J2024" s="608" t="str">
        <f t="shared" si="64"/>
        <v>Hotel Restaurant Leisure Ctr</v>
      </c>
      <c r="N2024" s="822">
        <v>541330</v>
      </c>
      <c r="O2024" s="822" t="s">
        <v>4161</v>
      </c>
      <c r="P2024" s="823">
        <v>8711</v>
      </c>
      <c r="Q2024" s="823" t="s">
        <v>4161</v>
      </c>
    </row>
    <row r="2025" spans="2:17" s="608" customFormat="1" x14ac:dyDescent="0.25">
      <c r="B2025" s="605" t="s">
        <v>4581</v>
      </c>
      <c r="C2025" s="606">
        <f t="shared" si="63"/>
        <v>711190</v>
      </c>
      <c r="D2025" s="607" t="s">
        <v>4582</v>
      </c>
      <c r="E2025" s="607" t="s">
        <v>4579</v>
      </c>
      <c r="F2025" s="607" t="s">
        <v>4580</v>
      </c>
      <c r="G2025" s="607" t="s">
        <v>1594</v>
      </c>
      <c r="H2025" s="607" t="s">
        <v>1594</v>
      </c>
      <c r="I2025" s="607" t="s">
        <v>3691</v>
      </c>
      <c r="J2025" s="608" t="str">
        <f t="shared" si="64"/>
        <v>Hotel Restaurant Leisure Ctr</v>
      </c>
      <c r="N2025" s="822">
        <v>541330</v>
      </c>
      <c r="O2025" s="822" t="s">
        <v>4161</v>
      </c>
      <c r="P2025" s="823">
        <v>8748</v>
      </c>
      <c r="Q2025" s="823" t="s">
        <v>4159</v>
      </c>
    </row>
    <row r="2026" spans="2:17" s="608" customFormat="1" x14ac:dyDescent="0.25">
      <c r="B2026" s="605" t="s">
        <v>4581</v>
      </c>
      <c r="C2026" s="606">
        <f t="shared" si="63"/>
        <v>711190</v>
      </c>
      <c r="D2026" s="607" t="s">
        <v>4582</v>
      </c>
      <c r="E2026" s="607" t="s">
        <v>3689</v>
      </c>
      <c r="F2026" s="607" t="s">
        <v>3690</v>
      </c>
      <c r="G2026" s="607" t="s">
        <v>1594</v>
      </c>
      <c r="H2026" s="607" t="s">
        <v>1594</v>
      </c>
      <c r="I2026" s="607" t="s">
        <v>3691</v>
      </c>
      <c r="J2026" s="608" t="str">
        <f t="shared" si="64"/>
        <v>Hotel Restaurant Leisure Ctr</v>
      </c>
      <c r="N2026" s="822">
        <v>541340</v>
      </c>
      <c r="O2026" s="822" t="s">
        <v>4164</v>
      </c>
      <c r="P2026" s="823">
        <v>7389</v>
      </c>
      <c r="Q2026" s="823" t="s">
        <v>1589</v>
      </c>
    </row>
    <row r="2027" spans="2:17" s="608" customFormat="1" x14ac:dyDescent="0.25">
      <c r="B2027" s="605" t="s">
        <v>4583</v>
      </c>
      <c r="C2027" s="606">
        <f t="shared" si="63"/>
        <v>711211</v>
      </c>
      <c r="D2027" s="607" t="s">
        <v>4584</v>
      </c>
      <c r="E2027" s="607" t="s">
        <v>4585</v>
      </c>
      <c r="F2027" s="607" t="s">
        <v>4586</v>
      </c>
      <c r="G2027" s="607" t="s">
        <v>1594</v>
      </c>
      <c r="H2027" s="607" t="s">
        <v>1594</v>
      </c>
      <c r="I2027" s="607" t="s">
        <v>3691</v>
      </c>
      <c r="J2027" s="608" t="str">
        <f t="shared" si="64"/>
        <v>Hotel Restaurant Leisure Ctr</v>
      </c>
      <c r="N2027" s="822">
        <v>541350</v>
      </c>
      <c r="O2027" s="822" t="s">
        <v>4166</v>
      </c>
      <c r="P2027" s="823">
        <v>7389</v>
      </c>
      <c r="Q2027" s="823" t="s">
        <v>1589</v>
      </c>
    </row>
    <row r="2028" spans="2:17" s="608" customFormat="1" x14ac:dyDescent="0.25">
      <c r="B2028" s="605" t="s">
        <v>4587</v>
      </c>
      <c r="C2028" s="606">
        <f t="shared" si="63"/>
        <v>711212</v>
      </c>
      <c r="D2028" s="607" t="s">
        <v>4588</v>
      </c>
      <c r="E2028" s="607" t="s">
        <v>4589</v>
      </c>
      <c r="F2028" s="607" t="s">
        <v>4590</v>
      </c>
      <c r="G2028" s="607" t="s">
        <v>1594</v>
      </c>
      <c r="H2028" s="607" t="s">
        <v>1594</v>
      </c>
      <c r="I2028" s="607" t="s">
        <v>3691</v>
      </c>
      <c r="J2028" s="608" t="str">
        <f t="shared" si="64"/>
        <v>Hotel Restaurant Leisure Ctr</v>
      </c>
      <c r="N2028" s="822">
        <v>541360</v>
      </c>
      <c r="O2028" s="822" t="s">
        <v>4168</v>
      </c>
      <c r="P2028" s="823">
        <v>1081</v>
      </c>
      <c r="Q2028" s="823" t="s">
        <v>1196</v>
      </c>
    </row>
    <row r="2029" spans="2:17" s="608" customFormat="1" x14ac:dyDescent="0.25">
      <c r="B2029" s="605" t="s">
        <v>4591</v>
      </c>
      <c r="C2029" s="606">
        <f t="shared" si="63"/>
        <v>711219</v>
      </c>
      <c r="D2029" s="607" t="s">
        <v>4592</v>
      </c>
      <c r="E2029" s="607" t="s">
        <v>4589</v>
      </c>
      <c r="F2029" s="607" t="s">
        <v>4590</v>
      </c>
      <c r="G2029" s="607" t="s">
        <v>1594</v>
      </c>
      <c r="H2029" s="607" t="s">
        <v>1594</v>
      </c>
      <c r="I2029" s="607" t="s">
        <v>3691</v>
      </c>
      <c r="J2029" s="608" t="str">
        <f t="shared" si="64"/>
        <v>Hotel Restaurant Leisure Ctr</v>
      </c>
      <c r="N2029" s="822">
        <v>541360</v>
      </c>
      <c r="O2029" s="822" t="s">
        <v>4168</v>
      </c>
      <c r="P2029" s="823">
        <v>1382</v>
      </c>
      <c r="Q2029" s="823" t="s">
        <v>1186</v>
      </c>
    </row>
    <row r="2030" spans="2:17" s="608" customFormat="1" x14ac:dyDescent="0.25">
      <c r="B2030" s="605" t="s">
        <v>4591</v>
      </c>
      <c r="C2030" s="606">
        <f t="shared" si="63"/>
        <v>711219</v>
      </c>
      <c r="D2030" s="607" t="s">
        <v>4592</v>
      </c>
      <c r="E2030" s="607" t="s">
        <v>3689</v>
      </c>
      <c r="F2030" s="607" t="s">
        <v>3690</v>
      </c>
      <c r="G2030" s="607" t="s">
        <v>1594</v>
      </c>
      <c r="H2030" s="607" t="s">
        <v>1594</v>
      </c>
      <c r="I2030" s="607" t="s">
        <v>3691</v>
      </c>
      <c r="J2030" s="608" t="str">
        <f t="shared" si="64"/>
        <v>Hotel Restaurant Leisure Ctr</v>
      </c>
      <c r="N2030" s="822">
        <v>541360</v>
      </c>
      <c r="O2030" s="822" t="s">
        <v>4168</v>
      </c>
      <c r="P2030" s="823">
        <v>1481</v>
      </c>
      <c r="Q2030" s="823" t="s">
        <v>1200</v>
      </c>
    </row>
    <row r="2031" spans="2:17" s="608" customFormat="1" x14ac:dyDescent="0.25">
      <c r="B2031" s="605" t="s">
        <v>4593</v>
      </c>
      <c r="C2031" s="606">
        <f t="shared" si="63"/>
        <v>711310</v>
      </c>
      <c r="D2031" s="607" t="s">
        <v>4594</v>
      </c>
      <c r="E2031" s="607" t="s">
        <v>4056</v>
      </c>
      <c r="F2031" s="607" t="s">
        <v>4057</v>
      </c>
      <c r="G2031" s="607" t="s">
        <v>1594</v>
      </c>
      <c r="H2031" s="607" t="s">
        <v>1594</v>
      </c>
      <c r="I2031" s="607" t="s">
        <v>3691</v>
      </c>
      <c r="J2031" s="608" t="str">
        <f t="shared" si="64"/>
        <v>Hotel Restaurant Leisure Ctr</v>
      </c>
      <c r="N2031" s="822">
        <v>541360</v>
      </c>
      <c r="O2031" s="822" t="s">
        <v>4168</v>
      </c>
      <c r="P2031" s="823">
        <v>8713</v>
      </c>
      <c r="Q2031" s="823" t="s">
        <v>4170</v>
      </c>
    </row>
    <row r="2032" spans="2:17" s="608" customFormat="1" x14ac:dyDescent="0.25">
      <c r="B2032" s="605" t="s">
        <v>4593</v>
      </c>
      <c r="C2032" s="606">
        <f t="shared" si="63"/>
        <v>711310</v>
      </c>
      <c r="D2032" s="607" t="s">
        <v>4594</v>
      </c>
      <c r="E2032" s="607" t="s">
        <v>1588</v>
      </c>
      <c r="F2032" s="607" t="s">
        <v>1589</v>
      </c>
      <c r="G2032" s="607" t="s">
        <v>1594</v>
      </c>
      <c r="H2032" s="607" t="s">
        <v>1594</v>
      </c>
      <c r="I2032" s="607" t="s">
        <v>3691</v>
      </c>
      <c r="J2032" s="608" t="str">
        <f t="shared" si="64"/>
        <v>Hotel Restaurant Leisure Ctr</v>
      </c>
      <c r="N2032" s="822">
        <v>541370</v>
      </c>
      <c r="O2032" s="822" t="s">
        <v>4172</v>
      </c>
      <c r="P2032" s="823">
        <v>7389</v>
      </c>
      <c r="Q2032" s="823" t="s">
        <v>1589</v>
      </c>
    </row>
    <row r="2033" spans="2:17" s="608" customFormat="1" x14ac:dyDescent="0.25">
      <c r="B2033" s="605" t="s">
        <v>4593</v>
      </c>
      <c r="C2033" s="606">
        <f t="shared" si="63"/>
        <v>711310</v>
      </c>
      <c r="D2033" s="607" t="s">
        <v>4594</v>
      </c>
      <c r="E2033" s="607" t="s">
        <v>3824</v>
      </c>
      <c r="F2033" s="607" t="s">
        <v>3825</v>
      </c>
      <c r="G2033" s="607" t="s">
        <v>1594</v>
      </c>
      <c r="H2033" s="607" t="s">
        <v>1594</v>
      </c>
      <c r="I2033" s="607" t="s">
        <v>3691</v>
      </c>
      <c r="J2033" s="608" t="str">
        <f t="shared" si="64"/>
        <v>Hotel Restaurant Leisure Ctr</v>
      </c>
      <c r="N2033" s="822">
        <v>541370</v>
      </c>
      <c r="O2033" s="822" t="s">
        <v>4172</v>
      </c>
      <c r="P2033" s="823">
        <v>8713</v>
      </c>
      <c r="Q2033" s="823" t="s">
        <v>4170</v>
      </c>
    </row>
    <row r="2034" spans="2:17" s="608" customFormat="1" x14ac:dyDescent="0.25">
      <c r="B2034" s="605" t="s">
        <v>4593</v>
      </c>
      <c r="C2034" s="606">
        <f t="shared" si="63"/>
        <v>711310</v>
      </c>
      <c r="D2034" s="607" t="s">
        <v>4594</v>
      </c>
      <c r="E2034" s="607" t="s">
        <v>4585</v>
      </c>
      <c r="F2034" s="607" t="s">
        <v>4586</v>
      </c>
      <c r="G2034" s="607" t="s">
        <v>1594</v>
      </c>
      <c r="H2034" s="607" t="s">
        <v>1594</v>
      </c>
      <c r="I2034" s="607" t="s">
        <v>3691</v>
      </c>
      <c r="J2034" s="608" t="str">
        <f t="shared" si="64"/>
        <v>Hotel Restaurant Leisure Ctr</v>
      </c>
      <c r="N2034" s="825">
        <v>541380</v>
      </c>
      <c r="O2034" s="825" t="s">
        <v>4174</v>
      </c>
      <c r="P2034" s="825">
        <v>8734</v>
      </c>
      <c r="Q2034" s="825" t="s">
        <v>4174</v>
      </c>
    </row>
    <row r="2035" spans="2:17" s="608" customFormat="1" x14ac:dyDescent="0.25">
      <c r="B2035" s="605" t="s">
        <v>4593</v>
      </c>
      <c r="C2035" s="606">
        <f t="shared" si="63"/>
        <v>711310</v>
      </c>
      <c r="D2035" s="607" t="s">
        <v>4594</v>
      </c>
      <c r="E2035" s="607" t="s">
        <v>3689</v>
      </c>
      <c r="F2035" s="607" t="s">
        <v>3690</v>
      </c>
      <c r="G2035" s="607" t="s">
        <v>1594</v>
      </c>
      <c r="H2035" s="607" t="s">
        <v>1594</v>
      </c>
      <c r="I2035" s="607" t="s">
        <v>3691</v>
      </c>
      <c r="J2035" s="608" t="str">
        <f t="shared" si="64"/>
        <v>Hotel Restaurant Leisure Ctr</v>
      </c>
      <c r="N2035" s="822">
        <v>541410</v>
      </c>
      <c r="O2035" s="822" t="s">
        <v>4177</v>
      </c>
      <c r="P2035" s="823">
        <v>7389</v>
      </c>
      <c r="Q2035" s="823" t="s">
        <v>1589</v>
      </c>
    </row>
    <row r="2036" spans="2:17" s="608" customFormat="1" x14ac:dyDescent="0.25">
      <c r="B2036" s="605" t="s">
        <v>4595</v>
      </c>
      <c r="C2036" s="606">
        <f t="shared" si="63"/>
        <v>711320</v>
      </c>
      <c r="D2036" s="607" t="s">
        <v>4596</v>
      </c>
      <c r="E2036" s="607" t="s">
        <v>1588</v>
      </c>
      <c r="F2036" s="607" t="s">
        <v>1589</v>
      </c>
      <c r="G2036" s="607" t="s">
        <v>1594</v>
      </c>
      <c r="H2036" s="607" t="s">
        <v>1594</v>
      </c>
      <c r="I2036" s="607" t="s">
        <v>3691</v>
      </c>
      <c r="J2036" s="608" t="str">
        <f t="shared" si="64"/>
        <v>Hotel Restaurant Leisure Ctr</v>
      </c>
      <c r="N2036" s="822">
        <v>541420</v>
      </c>
      <c r="O2036" s="822" t="s">
        <v>4179</v>
      </c>
      <c r="P2036" s="823">
        <v>7389</v>
      </c>
      <c r="Q2036" s="823" t="s">
        <v>1589</v>
      </c>
    </row>
    <row r="2037" spans="2:17" s="608" customFormat="1" x14ac:dyDescent="0.25">
      <c r="B2037" s="605" t="s">
        <v>4595</v>
      </c>
      <c r="C2037" s="606">
        <f t="shared" si="63"/>
        <v>711320</v>
      </c>
      <c r="D2037" s="607" t="s">
        <v>4596</v>
      </c>
      <c r="E2037" s="607" t="s">
        <v>3824</v>
      </c>
      <c r="F2037" s="607" t="s">
        <v>3825</v>
      </c>
      <c r="G2037" s="607" t="s">
        <v>1594</v>
      </c>
      <c r="H2037" s="607" t="s">
        <v>1594</v>
      </c>
      <c r="I2037" s="607" t="s">
        <v>3691</v>
      </c>
      <c r="J2037" s="608" t="str">
        <f t="shared" si="64"/>
        <v>Hotel Restaurant Leisure Ctr</v>
      </c>
      <c r="N2037" s="822">
        <v>541430</v>
      </c>
      <c r="O2037" s="822" t="s">
        <v>4181</v>
      </c>
      <c r="P2037" s="823">
        <v>7336</v>
      </c>
      <c r="Q2037" s="823" t="s">
        <v>4183</v>
      </c>
    </row>
    <row r="2038" spans="2:17" s="608" customFormat="1" x14ac:dyDescent="0.25">
      <c r="B2038" s="605" t="s">
        <v>4595</v>
      </c>
      <c r="C2038" s="606">
        <f t="shared" si="63"/>
        <v>711320</v>
      </c>
      <c r="D2038" s="607" t="s">
        <v>4596</v>
      </c>
      <c r="E2038" s="607" t="s">
        <v>4585</v>
      </c>
      <c r="F2038" s="607" t="s">
        <v>4586</v>
      </c>
      <c r="G2038" s="607" t="s">
        <v>1594</v>
      </c>
      <c r="H2038" s="607" t="s">
        <v>1594</v>
      </c>
      <c r="I2038" s="607" t="s">
        <v>3691</v>
      </c>
      <c r="J2038" s="608" t="str">
        <f t="shared" si="64"/>
        <v>Hotel Restaurant Leisure Ctr</v>
      </c>
      <c r="N2038" s="822">
        <v>541430</v>
      </c>
      <c r="O2038" s="822" t="s">
        <v>4181</v>
      </c>
      <c r="P2038" s="823">
        <v>8099</v>
      </c>
      <c r="Q2038" s="823" t="s">
        <v>4185</v>
      </c>
    </row>
    <row r="2039" spans="2:17" s="608" customFormat="1" x14ac:dyDescent="0.25">
      <c r="B2039" s="605" t="s">
        <v>4595</v>
      </c>
      <c r="C2039" s="606">
        <f t="shared" si="63"/>
        <v>711320</v>
      </c>
      <c r="D2039" s="607" t="s">
        <v>4596</v>
      </c>
      <c r="E2039" s="607" t="s">
        <v>3689</v>
      </c>
      <c r="F2039" s="607" t="s">
        <v>3690</v>
      </c>
      <c r="G2039" s="607" t="s">
        <v>1594</v>
      </c>
      <c r="H2039" s="607" t="s">
        <v>1594</v>
      </c>
      <c r="I2039" s="607" t="s">
        <v>3691</v>
      </c>
      <c r="J2039" s="608" t="str">
        <f t="shared" si="64"/>
        <v>Hotel Restaurant Leisure Ctr</v>
      </c>
      <c r="N2039" s="822">
        <v>541490</v>
      </c>
      <c r="O2039" s="822" t="s">
        <v>4187</v>
      </c>
      <c r="P2039" s="823">
        <v>7389</v>
      </c>
      <c r="Q2039" s="823" t="s">
        <v>1589</v>
      </c>
    </row>
    <row r="2040" spans="2:17" s="608" customFormat="1" x14ac:dyDescent="0.25">
      <c r="B2040" s="605" t="s">
        <v>4597</v>
      </c>
      <c r="C2040" s="606">
        <f t="shared" si="63"/>
        <v>711410</v>
      </c>
      <c r="D2040" s="607" t="s">
        <v>4598</v>
      </c>
      <c r="E2040" s="607" t="s">
        <v>1588</v>
      </c>
      <c r="F2040" s="607" t="s">
        <v>1589</v>
      </c>
      <c r="G2040" s="607" t="s">
        <v>1594</v>
      </c>
      <c r="H2040" s="607" t="s">
        <v>1594</v>
      </c>
      <c r="I2040" s="607" t="s">
        <v>3691</v>
      </c>
      <c r="J2040" s="608" t="str">
        <f t="shared" si="64"/>
        <v>Hotel Restaurant Leisure Ctr</v>
      </c>
      <c r="N2040" s="822">
        <v>541511</v>
      </c>
      <c r="O2040" s="822" t="s">
        <v>4189</v>
      </c>
      <c r="P2040" s="823">
        <v>7371</v>
      </c>
      <c r="Q2040" s="823" t="s">
        <v>4189</v>
      </c>
    </row>
    <row r="2041" spans="2:17" s="608" customFormat="1" x14ac:dyDescent="0.25">
      <c r="B2041" s="605" t="s">
        <v>4597</v>
      </c>
      <c r="C2041" s="606">
        <f t="shared" si="63"/>
        <v>711410</v>
      </c>
      <c r="D2041" s="607" t="s">
        <v>4598</v>
      </c>
      <c r="E2041" s="607" t="s">
        <v>3824</v>
      </c>
      <c r="F2041" s="607" t="s">
        <v>3825</v>
      </c>
      <c r="G2041" s="607" t="s">
        <v>1594</v>
      </c>
      <c r="H2041" s="607" t="s">
        <v>1594</v>
      </c>
      <c r="I2041" s="607" t="s">
        <v>3691</v>
      </c>
      <c r="J2041" s="608" t="str">
        <f t="shared" si="64"/>
        <v>Hotel Restaurant Leisure Ctr</v>
      </c>
      <c r="N2041" s="822">
        <v>541512</v>
      </c>
      <c r="O2041" s="822" t="s">
        <v>4192</v>
      </c>
      <c r="P2041" s="823">
        <v>7373</v>
      </c>
      <c r="Q2041" s="823" t="s">
        <v>4194</v>
      </c>
    </row>
    <row r="2042" spans="2:17" s="608" customFormat="1" x14ac:dyDescent="0.25">
      <c r="B2042" s="605" t="s">
        <v>4597</v>
      </c>
      <c r="C2042" s="606">
        <f t="shared" si="63"/>
        <v>711410</v>
      </c>
      <c r="D2042" s="607" t="s">
        <v>4598</v>
      </c>
      <c r="E2042" s="607" t="s">
        <v>4585</v>
      </c>
      <c r="F2042" s="607" t="s">
        <v>4586</v>
      </c>
      <c r="G2042" s="607" t="s">
        <v>1594</v>
      </c>
      <c r="H2042" s="607" t="s">
        <v>1594</v>
      </c>
      <c r="I2042" s="607" t="s">
        <v>3691</v>
      </c>
      <c r="J2042" s="608" t="str">
        <f t="shared" si="64"/>
        <v>Hotel Restaurant Leisure Ctr</v>
      </c>
      <c r="N2042" s="822">
        <v>541512</v>
      </c>
      <c r="O2042" s="822" t="s">
        <v>4192</v>
      </c>
      <c r="P2042" s="823">
        <v>7379</v>
      </c>
      <c r="Q2042" s="823" t="s">
        <v>3864</v>
      </c>
    </row>
    <row r="2043" spans="2:17" s="608" customFormat="1" x14ac:dyDescent="0.25">
      <c r="B2043" s="605" t="s">
        <v>4599</v>
      </c>
      <c r="C2043" s="606">
        <f t="shared" si="63"/>
        <v>711510</v>
      </c>
      <c r="D2043" s="607" t="s">
        <v>4600</v>
      </c>
      <c r="E2043" s="607" t="s">
        <v>3867</v>
      </c>
      <c r="F2043" s="607" t="s">
        <v>3866</v>
      </c>
      <c r="G2043" s="607" t="s">
        <v>1594</v>
      </c>
      <c r="H2043" s="607" t="s">
        <v>1594</v>
      </c>
      <c r="I2043" s="607" t="s">
        <v>3691</v>
      </c>
      <c r="J2043" s="608" t="str">
        <f t="shared" si="64"/>
        <v>Hotel Restaurant Leisure Ctr</v>
      </c>
      <c r="N2043" s="822">
        <v>541513</v>
      </c>
      <c r="O2043" s="822" t="s">
        <v>4196</v>
      </c>
      <c r="P2043" s="823">
        <v>7376</v>
      </c>
      <c r="Q2043" s="823" t="s">
        <v>4198</v>
      </c>
    </row>
    <row r="2044" spans="2:17" s="608" customFormat="1" x14ac:dyDescent="0.25">
      <c r="B2044" s="605" t="s">
        <v>4599</v>
      </c>
      <c r="C2044" s="606">
        <f t="shared" si="63"/>
        <v>711510</v>
      </c>
      <c r="D2044" s="607" t="s">
        <v>4600</v>
      </c>
      <c r="E2044" s="607" t="s">
        <v>1070</v>
      </c>
      <c r="F2044" s="607" t="s">
        <v>1071</v>
      </c>
      <c r="G2044" s="607" t="s">
        <v>1594</v>
      </c>
      <c r="H2044" s="607" t="s">
        <v>1594</v>
      </c>
      <c r="I2044" s="607" t="s">
        <v>3691</v>
      </c>
      <c r="J2044" s="608" t="str">
        <f t="shared" si="64"/>
        <v>Hotel Restaurant Leisure Ctr</v>
      </c>
      <c r="N2044" s="822">
        <v>541519</v>
      </c>
      <c r="O2044" s="822" t="s">
        <v>4200</v>
      </c>
      <c r="P2044" s="823">
        <v>7379</v>
      </c>
      <c r="Q2044" s="823" t="s">
        <v>3864</v>
      </c>
    </row>
    <row r="2045" spans="2:17" s="608" customFormat="1" x14ac:dyDescent="0.25">
      <c r="B2045" s="605" t="s">
        <v>4599</v>
      </c>
      <c r="C2045" s="606">
        <f t="shared" si="63"/>
        <v>711510</v>
      </c>
      <c r="D2045" s="607" t="s">
        <v>4600</v>
      </c>
      <c r="E2045" s="607" t="s">
        <v>2762</v>
      </c>
      <c r="F2045" s="607" t="s">
        <v>2763</v>
      </c>
      <c r="G2045" s="607" t="s">
        <v>1594</v>
      </c>
      <c r="H2045" s="607" t="s">
        <v>1594</v>
      </c>
      <c r="I2045" s="607" t="s">
        <v>3691</v>
      </c>
      <c r="J2045" s="608" t="str">
        <f t="shared" si="64"/>
        <v>Hotel Restaurant Leisure Ctr</v>
      </c>
      <c r="N2045" s="822">
        <v>541611</v>
      </c>
      <c r="O2045" s="822" t="s">
        <v>4202</v>
      </c>
      <c r="P2045" s="823">
        <v>8742</v>
      </c>
      <c r="Q2045" s="823" t="s">
        <v>4204</v>
      </c>
    </row>
    <row r="2046" spans="2:17" s="608" customFormat="1" x14ac:dyDescent="0.25">
      <c r="B2046" s="605" t="s">
        <v>4599</v>
      </c>
      <c r="C2046" s="606">
        <f t="shared" si="63"/>
        <v>711510</v>
      </c>
      <c r="D2046" s="607" t="s">
        <v>4600</v>
      </c>
      <c r="E2046" s="607" t="s">
        <v>3824</v>
      </c>
      <c r="F2046" s="607" t="s">
        <v>3825</v>
      </c>
      <c r="G2046" s="607" t="s">
        <v>1594</v>
      </c>
      <c r="H2046" s="607" t="s">
        <v>1594</v>
      </c>
      <c r="I2046" s="607" t="s">
        <v>3691</v>
      </c>
      <c r="J2046" s="608" t="str">
        <f t="shared" si="64"/>
        <v>Hotel Restaurant Leisure Ctr</v>
      </c>
      <c r="N2046" s="822">
        <v>541612</v>
      </c>
      <c r="O2046" s="822" t="s">
        <v>4206</v>
      </c>
      <c r="P2046" s="823">
        <v>7361</v>
      </c>
      <c r="Q2046" s="823" t="s">
        <v>4208</v>
      </c>
    </row>
    <row r="2047" spans="2:17" s="608" customFormat="1" x14ac:dyDescent="0.25">
      <c r="B2047" s="605" t="s">
        <v>4599</v>
      </c>
      <c r="C2047" s="606">
        <f t="shared" si="63"/>
        <v>711510</v>
      </c>
      <c r="D2047" s="607" t="s">
        <v>4600</v>
      </c>
      <c r="E2047" s="607" t="s">
        <v>4579</v>
      </c>
      <c r="F2047" s="607" t="s">
        <v>4580</v>
      </c>
      <c r="G2047" s="607" t="s">
        <v>1594</v>
      </c>
      <c r="H2047" s="607" t="s">
        <v>1594</v>
      </c>
      <c r="I2047" s="607" t="s">
        <v>3691</v>
      </c>
      <c r="J2047" s="608" t="str">
        <f t="shared" si="64"/>
        <v>Hotel Restaurant Leisure Ctr</v>
      </c>
      <c r="N2047" s="822">
        <v>541612</v>
      </c>
      <c r="O2047" s="822" t="s">
        <v>4206</v>
      </c>
      <c r="P2047" s="823">
        <v>8742</v>
      </c>
      <c r="Q2047" s="823" t="s">
        <v>4204</v>
      </c>
    </row>
    <row r="2048" spans="2:17" s="608" customFormat="1" x14ac:dyDescent="0.25">
      <c r="B2048" s="605" t="s">
        <v>4599</v>
      </c>
      <c r="C2048" s="606">
        <f t="shared" si="63"/>
        <v>711510</v>
      </c>
      <c r="D2048" s="607" t="s">
        <v>4600</v>
      </c>
      <c r="E2048" s="607" t="s">
        <v>3816</v>
      </c>
      <c r="F2048" s="607" t="s">
        <v>3817</v>
      </c>
      <c r="G2048" s="607" t="s">
        <v>1594</v>
      </c>
      <c r="H2048" s="607" t="s">
        <v>1594</v>
      </c>
      <c r="I2048" s="607" t="s">
        <v>3691</v>
      </c>
      <c r="J2048" s="608" t="str">
        <f t="shared" si="64"/>
        <v>Hotel Restaurant Leisure Ctr</v>
      </c>
      <c r="N2048" s="822">
        <v>541612</v>
      </c>
      <c r="O2048" s="822" t="s">
        <v>4206</v>
      </c>
      <c r="P2048" s="823">
        <v>8999</v>
      </c>
      <c r="Q2048" s="823" t="s">
        <v>3817</v>
      </c>
    </row>
    <row r="2049" spans="2:17" s="608" customFormat="1" x14ac:dyDescent="0.25">
      <c r="B2049" s="605" t="s">
        <v>4601</v>
      </c>
      <c r="C2049" s="606">
        <f t="shared" si="63"/>
        <v>712110</v>
      </c>
      <c r="D2049" s="607" t="s">
        <v>4602</v>
      </c>
      <c r="E2049" s="607" t="s">
        <v>4603</v>
      </c>
      <c r="F2049" s="607" t="s">
        <v>4604</v>
      </c>
      <c r="G2049" s="607" t="s">
        <v>1594</v>
      </c>
      <c r="H2049" s="607" t="s">
        <v>1594</v>
      </c>
      <c r="I2049" s="607" t="s">
        <v>3691</v>
      </c>
      <c r="J2049" s="608" t="str">
        <f t="shared" si="64"/>
        <v>Hotel Restaurant Leisure Ctr</v>
      </c>
      <c r="N2049" s="822">
        <v>541613</v>
      </c>
      <c r="O2049" s="822" t="s">
        <v>4210</v>
      </c>
      <c r="P2049" s="823">
        <v>8742</v>
      </c>
      <c r="Q2049" s="823" t="s">
        <v>4204</v>
      </c>
    </row>
    <row r="2050" spans="2:17" s="608" customFormat="1" x14ac:dyDescent="0.25">
      <c r="B2050" s="605" t="s">
        <v>4605</v>
      </c>
      <c r="C2050" s="606">
        <f t="shared" ref="C2050:C2113" si="65">B2050+0</f>
        <v>712120</v>
      </c>
      <c r="D2050" s="607" t="s">
        <v>4606</v>
      </c>
      <c r="E2050" s="607" t="s">
        <v>4603</v>
      </c>
      <c r="F2050" s="607" t="s">
        <v>4604</v>
      </c>
      <c r="G2050" s="607" t="s">
        <v>1594</v>
      </c>
      <c r="H2050" s="607" t="s">
        <v>1594</v>
      </c>
      <c r="I2050" s="607" t="s">
        <v>3691</v>
      </c>
      <c r="J2050" s="608" t="str">
        <f t="shared" si="64"/>
        <v>Hotel Restaurant Leisure Ctr</v>
      </c>
      <c r="N2050" s="822">
        <v>541614</v>
      </c>
      <c r="O2050" s="822" t="s">
        <v>4212</v>
      </c>
      <c r="P2050" s="823">
        <v>4731</v>
      </c>
      <c r="Q2050" s="823" t="s">
        <v>3736</v>
      </c>
    </row>
    <row r="2051" spans="2:17" s="608" customFormat="1" x14ac:dyDescent="0.25">
      <c r="B2051" s="605" t="s">
        <v>4607</v>
      </c>
      <c r="C2051" s="606">
        <f t="shared" si="65"/>
        <v>712130</v>
      </c>
      <c r="D2051" s="607" t="s">
        <v>4608</v>
      </c>
      <c r="E2051" s="607" t="s">
        <v>4609</v>
      </c>
      <c r="F2051" s="607" t="s">
        <v>4610</v>
      </c>
      <c r="G2051" s="607" t="s">
        <v>1594</v>
      </c>
      <c r="H2051" s="607" t="s">
        <v>1594</v>
      </c>
      <c r="I2051" s="607" t="s">
        <v>3691</v>
      </c>
      <c r="J2051" s="608" t="str">
        <f t="shared" si="64"/>
        <v>Hotel Restaurant Leisure Ctr</v>
      </c>
      <c r="N2051" s="822">
        <v>541614</v>
      </c>
      <c r="O2051" s="822" t="s">
        <v>4212</v>
      </c>
      <c r="P2051" s="823">
        <v>8742</v>
      </c>
      <c r="Q2051" s="823" t="s">
        <v>4204</v>
      </c>
    </row>
    <row r="2052" spans="2:17" s="608" customFormat="1" x14ac:dyDescent="0.25">
      <c r="B2052" s="605" t="s">
        <v>4611</v>
      </c>
      <c r="C2052" s="606">
        <f t="shared" si="65"/>
        <v>712190</v>
      </c>
      <c r="D2052" s="607" t="s">
        <v>4612</v>
      </c>
      <c r="E2052" s="607" t="s">
        <v>3689</v>
      </c>
      <c r="F2052" s="607" t="s">
        <v>3690</v>
      </c>
      <c r="G2052" s="607" t="s">
        <v>1594</v>
      </c>
      <c r="H2052" s="607" t="s">
        <v>1594</v>
      </c>
      <c r="I2052" s="607" t="s">
        <v>3691</v>
      </c>
      <c r="J2052" s="608" t="str">
        <f t="shared" si="64"/>
        <v>Hotel Restaurant Leisure Ctr</v>
      </c>
      <c r="N2052" s="822">
        <v>541618</v>
      </c>
      <c r="O2052" s="822" t="s">
        <v>4214</v>
      </c>
      <c r="P2052" s="823">
        <v>8748</v>
      </c>
      <c r="Q2052" s="823" t="s">
        <v>4159</v>
      </c>
    </row>
    <row r="2053" spans="2:17" s="608" customFormat="1" x14ac:dyDescent="0.25">
      <c r="B2053" s="605" t="s">
        <v>4611</v>
      </c>
      <c r="C2053" s="606">
        <f t="shared" si="65"/>
        <v>712190</v>
      </c>
      <c r="D2053" s="607" t="s">
        <v>4612</v>
      </c>
      <c r="E2053" s="607" t="s">
        <v>4609</v>
      </c>
      <c r="F2053" s="607" t="s">
        <v>4610</v>
      </c>
      <c r="G2053" s="607" t="s">
        <v>1594</v>
      </c>
      <c r="H2053" s="607" t="s">
        <v>1594</v>
      </c>
      <c r="I2053" s="607" t="s">
        <v>3691</v>
      </c>
      <c r="J2053" s="608" t="str">
        <f t="shared" si="64"/>
        <v>Hotel Restaurant Leisure Ctr</v>
      </c>
      <c r="N2053" s="825">
        <v>541620</v>
      </c>
      <c r="O2053" s="825" t="s">
        <v>4216</v>
      </c>
      <c r="P2053" s="825">
        <v>8999</v>
      </c>
      <c r="Q2053" s="825" t="s">
        <v>3817</v>
      </c>
    </row>
    <row r="2054" spans="2:17" s="608" customFormat="1" x14ac:dyDescent="0.25">
      <c r="B2054" s="605" t="s">
        <v>4613</v>
      </c>
      <c r="C2054" s="606">
        <f t="shared" si="65"/>
        <v>713110</v>
      </c>
      <c r="D2054" s="607" t="s">
        <v>4614</v>
      </c>
      <c r="E2054" s="607" t="s">
        <v>4615</v>
      </c>
      <c r="F2054" s="607" t="s">
        <v>4616</v>
      </c>
      <c r="G2054" s="607" t="s">
        <v>1594</v>
      </c>
      <c r="H2054" s="607" t="s">
        <v>1594</v>
      </c>
      <c r="I2054" s="607" t="s">
        <v>3691</v>
      </c>
      <c r="J2054" s="608" t="str">
        <f t="shared" si="64"/>
        <v>Hotel Restaurant Leisure Ctr</v>
      </c>
      <c r="N2054" s="822">
        <v>541690</v>
      </c>
      <c r="O2054" s="822" t="s">
        <v>4218</v>
      </c>
      <c r="P2054" s="823">
        <v>781</v>
      </c>
      <c r="Q2054" s="823" t="s">
        <v>4157</v>
      </c>
    </row>
    <row r="2055" spans="2:17" s="608" customFormat="1" x14ac:dyDescent="0.25">
      <c r="B2055" s="605" t="s">
        <v>4617</v>
      </c>
      <c r="C2055" s="606">
        <f t="shared" si="65"/>
        <v>713120</v>
      </c>
      <c r="D2055" s="607" t="s">
        <v>4618</v>
      </c>
      <c r="E2055" s="607" t="s">
        <v>4619</v>
      </c>
      <c r="F2055" s="607" t="s">
        <v>4620</v>
      </c>
      <c r="G2055" s="607" t="s">
        <v>1594</v>
      </c>
      <c r="H2055" s="607" t="s">
        <v>1594</v>
      </c>
      <c r="I2055" s="607" t="s">
        <v>3691</v>
      </c>
      <c r="J2055" s="608" t="str">
        <f t="shared" si="64"/>
        <v>Hotel Restaurant Leisure Ctr</v>
      </c>
      <c r="N2055" s="822">
        <v>541690</v>
      </c>
      <c r="O2055" s="822" t="s">
        <v>4218</v>
      </c>
      <c r="P2055" s="823">
        <v>7819</v>
      </c>
      <c r="Q2055" s="823" t="s">
        <v>2763</v>
      </c>
    </row>
    <row r="2056" spans="2:17" s="608" customFormat="1" x14ac:dyDescent="0.25">
      <c r="B2056" s="605" t="s">
        <v>4621</v>
      </c>
      <c r="C2056" s="606">
        <f t="shared" si="65"/>
        <v>713210</v>
      </c>
      <c r="D2056" s="607" t="s">
        <v>4622</v>
      </c>
      <c r="E2056" s="607" t="s">
        <v>3689</v>
      </c>
      <c r="F2056" s="607" t="s">
        <v>3690</v>
      </c>
      <c r="G2056" s="607" t="s">
        <v>1594</v>
      </c>
      <c r="H2056" s="607" t="s">
        <v>1594</v>
      </c>
      <c r="I2056" s="607" t="s">
        <v>3691</v>
      </c>
      <c r="J2056" s="608" t="str">
        <f t="shared" si="64"/>
        <v>Hotel Restaurant Leisure Ctr</v>
      </c>
      <c r="N2056" s="822">
        <v>541690</v>
      </c>
      <c r="O2056" s="822" t="s">
        <v>4218</v>
      </c>
      <c r="P2056" s="823">
        <v>8748</v>
      </c>
      <c r="Q2056" s="823" t="s">
        <v>4159</v>
      </c>
    </row>
    <row r="2057" spans="2:17" s="608" customFormat="1" x14ac:dyDescent="0.25">
      <c r="B2057" s="605" t="s">
        <v>4623</v>
      </c>
      <c r="C2057" s="606">
        <f t="shared" si="65"/>
        <v>713290</v>
      </c>
      <c r="D2057" s="607" t="s">
        <v>4624</v>
      </c>
      <c r="E2057" s="607" t="s">
        <v>4619</v>
      </c>
      <c r="F2057" s="607" t="s">
        <v>4620</v>
      </c>
      <c r="G2057" s="607" t="s">
        <v>1594</v>
      </c>
      <c r="H2057" s="607" t="s">
        <v>1594</v>
      </c>
      <c r="I2057" s="607" t="s">
        <v>3691</v>
      </c>
      <c r="J2057" s="608" t="str">
        <f t="shared" si="64"/>
        <v>Hotel Restaurant Leisure Ctr</v>
      </c>
      <c r="N2057" s="822">
        <v>541690</v>
      </c>
      <c r="O2057" s="822" t="s">
        <v>4218</v>
      </c>
      <c r="P2057" s="823">
        <v>8999</v>
      </c>
      <c r="Q2057" s="823" t="s">
        <v>3817</v>
      </c>
    </row>
    <row r="2058" spans="2:17" s="608" customFormat="1" x14ac:dyDescent="0.25">
      <c r="B2058" s="605" t="s">
        <v>4623</v>
      </c>
      <c r="C2058" s="606">
        <f t="shared" si="65"/>
        <v>713290</v>
      </c>
      <c r="D2058" s="607" t="s">
        <v>4624</v>
      </c>
      <c r="E2058" s="607" t="s">
        <v>3689</v>
      </c>
      <c r="F2058" s="607" t="s">
        <v>3690</v>
      </c>
      <c r="G2058" s="607" t="s">
        <v>1594</v>
      </c>
      <c r="H2058" s="607" t="s">
        <v>1594</v>
      </c>
      <c r="I2058" s="607" t="s">
        <v>3691</v>
      </c>
      <c r="J2058" s="608" t="str">
        <f t="shared" si="64"/>
        <v>Hotel Restaurant Leisure Ctr</v>
      </c>
      <c r="N2058" s="822">
        <v>541710</v>
      </c>
      <c r="O2058" s="822" t="s">
        <v>6015</v>
      </c>
      <c r="P2058" s="823"/>
      <c r="Q2058" s="823" t="s">
        <v>958</v>
      </c>
    </row>
    <row r="2059" spans="2:17" s="608" customFormat="1" x14ac:dyDescent="0.25">
      <c r="B2059" s="605" t="s">
        <v>4625</v>
      </c>
      <c r="C2059" s="606">
        <f t="shared" si="65"/>
        <v>713910</v>
      </c>
      <c r="D2059" s="607" t="s">
        <v>4626</v>
      </c>
      <c r="E2059" s="607" t="s">
        <v>4627</v>
      </c>
      <c r="F2059" s="607" t="s">
        <v>4628</v>
      </c>
      <c r="G2059" s="607" t="s">
        <v>1594</v>
      </c>
      <c r="H2059" s="607" t="s">
        <v>1594</v>
      </c>
      <c r="I2059" s="607" t="s">
        <v>3691</v>
      </c>
      <c r="J2059" s="608" t="str">
        <f t="shared" si="64"/>
        <v>Hotel Restaurant Leisure Ctr</v>
      </c>
      <c r="N2059" s="823">
        <v>541711</v>
      </c>
      <c r="O2059" s="823" t="s">
        <v>6016</v>
      </c>
      <c r="P2059" s="823"/>
      <c r="Q2059" s="823" t="s">
        <v>958</v>
      </c>
    </row>
    <row r="2060" spans="2:17" s="608" customFormat="1" x14ac:dyDescent="0.25">
      <c r="B2060" s="605" t="s">
        <v>4625</v>
      </c>
      <c r="C2060" s="606">
        <f t="shared" si="65"/>
        <v>713910</v>
      </c>
      <c r="D2060" s="607" t="s">
        <v>4626</v>
      </c>
      <c r="E2060" s="607" t="s">
        <v>3575</v>
      </c>
      <c r="F2060" s="607" t="s">
        <v>3576</v>
      </c>
      <c r="G2060" s="607" t="s">
        <v>1594</v>
      </c>
      <c r="H2060" s="607" t="s">
        <v>1594</v>
      </c>
      <c r="I2060" s="607" t="s">
        <v>3691</v>
      </c>
      <c r="J2060" s="608" t="str">
        <f t="shared" si="64"/>
        <v>Hotel Restaurant Leisure Ctr</v>
      </c>
      <c r="N2060" s="823">
        <v>541711</v>
      </c>
      <c r="O2060" s="823" t="s">
        <v>6017</v>
      </c>
      <c r="P2060" s="823"/>
      <c r="Q2060" s="823" t="s">
        <v>958</v>
      </c>
    </row>
    <row r="2061" spans="2:17" s="608" customFormat="1" x14ac:dyDescent="0.25">
      <c r="B2061" s="605" t="s">
        <v>4629</v>
      </c>
      <c r="C2061" s="606">
        <f t="shared" si="65"/>
        <v>713920</v>
      </c>
      <c r="D2061" s="607" t="s">
        <v>4630</v>
      </c>
      <c r="E2061" s="607" t="s">
        <v>3689</v>
      </c>
      <c r="F2061" s="607" t="s">
        <v>3690</v>
      </c>
      <c r="G2061" s="607" t="s">
        <v>1594</v>
      </c>
      <c r="H2061" s="607" t="s">
        <v>1594</v>
      </c>
      <c r="I2061" s="607" t="s">
        <v>3691</v>
      </c>
      <c r="J2061" s="608" t="str">
        <f t="shared" si="64"/>
        <v>Hotel Restaurant Leisure Ctr</v>
      </c>
      <c r="N2061" s="823">
        <v>541711</v>
      </c>
      <c r="O2061" s="823" t="s">
        <v>6018</v>
      </c>
      <c r="P2061" s="823"/>
      <c r="Q2061" s="823" t="s">
        <v>958</v>
      </c>
    </row>
    <row r="2062" spans="2:17" s="608" customFormat="1" x14ac:dyDescent="0.25">
      <c r="B2062" s="605" t="s">
        <v>4631</v>
      </c>
      <c r="C2062" s="606">
        <f t="shared" si="65"/>
        <v>713930</v>
      </c>
      <c r="D2062" s="607" t="s">
        <v>4632</v>
      </c>
      <c r="E2062" s="607" t="s">
        <v>4633</v>
      </c>
      <c r="F2062" s="607" t="s">
        <v>4632</v>
      </c>
      <c r="G2062" s="607" t="s">
        <v>1594</v>
      </c>
      <c r="H2062" s="607" t="s">
        <v>1594</v>
      </c>
      <c r="I2062" s="607" t="s">
        <v>3691</v>
      </c>
      <c r="J2062" s="608" t="str">
        <f t="shared" si="64"/>
        <v>Hotel Restaurant Leisure Ctr</v>
      </c>
      <c r="N2062" s="823">
        <v>541712</v>
      </c>
      <c r="O2062" s="823" t="s">
        <v>6019</v>
      </c>
      <c r="P2062" s="823"/>
      <c r="Q2062" s="823" t="s">
        <v>958</v>
      </c>
    </row>
    <row r="2063" spans="2:17" s="608" customFormat="1" x14ac:dyDescent="0.25">
      <c r="B2063" s="605" t="s">
        <v>4634</v>
      </c>
      <c r="C2063" s="606">
        <f t="shared" si="65"/>
        <v>713940</v>
      </c>
      <c r="D2063" s="607" t="s">
        <v>4635</v>
      </c>
      <c r="E2063" s="607" t="s">
        <v>4636</v>
      </c>
      <c r="F2063" s="607" t="s">
        <v>4637</v>
      </c>
      <c r="G2063" s="607" t="s">
        <v>1594</v>
      </c>
      <c r="H2063" s="607" t="s">
        <v>1594</v>
      </c>
      <c r="I2063" s="607" t="s">
        <v>3691</v>
      </c>
      <c r="J2063" s="608" t="str">
        <f t="shared" ref="J2063:J2126" si="66">PROPER(I2063)</f>
        <v>Hotel Restaurant Leisure Ctr</v>
      </c>
      <c r="N2063" s="823">
        <v>541712</v>
      </c>
      <c r="O2063" s="823" t="s">
        <v>6020</v>
      </c>
      <c r="P2063" s="823"/>
      <c r="Q2063" s="823" t="s">
        <v>958</v>
      </c>
    </row>
    <row r="2064" spans="2:17" s="608" customFormat="1" x14ac:dyDescent="0.25">
      <c r="B2064" s="605" t="s">
        <v>4634</v>
      </c>
      <c r="C2064" s="606">
        <f t="shared" si="65"/>
        <v>713940</v>
      </c>
      <c r="D2064" s="607" t="s">
        <v>4635</v>
      </c>
      <c r="E2064" s="607" t="s">
        <v>3575</v>
      </c>
      <c r="F2064" s="607" t="s">
        <v>3576</v>
      </c>
      <c r="G2064" s="607" t="s">
        <v>1594</v>
      </c>
      <c r="H2064" s="607" t="s">
        <v>1594</v>
      </c>
      <c r="I2064" s="607" t="s">
        <v>3691</v>
      </c>
      <c r="J2064" s="608" t="str">
        <f t="shared" si="66"/>
        <v>Hotel Restaurant Leisure Ctr</v>
      </c>
      <c r="N2064" s="823">
        <v>541712</v>
      </c>
      <c r="O2064" s="823" t="s">
        <v>6021</v>
      </c>
      <c r="P2064" s="823"/>
      <c r="Q2064" s="823" t="s">
        <v>958</v>
      </c>
    </row>
    <row r="2065" spans="2:17" s="608" customFormat="1" x14ac:dyDescent="0.25">
      <c r="B2065" s="605" t="s">
        <v>4634</v>
      </c>
      <c r="C2065" s="606">
        <f t="shared" si="65"/>
        <v>713940</v>
      </c>
      <c r="D2065" s="607" t="s">
        <v>4635</v>
      </c>
      <c r="E2065" s="607" t="s">
        <v>3689</v>
      </c>
      <c r="F2065" s="607" t="s">
        <v>3690</v>
      </c>
      <c r="G2065" s="607" t="s">
        <v>1594</v>
      </c>
      <c r="H2065" s="607" t="s">
        <v>1594</v>
      </c>
      <c r="I2065" s="607" t="s">
        <v>3691</v>
      </c>
      <c r="J2065" s="608" t="str">
        <f t="shared" si="66"/>
        <v>Hotel Restaurant Leisure Ctr</v>
      </c>
      <c r="N2065" s="822">
        <v>541713</v>
      </c>
      <c r="O2065" s="822" t="s">
        <v>4220</v>
      </c>
      <c r="P2065" s="823">
        <v>3721</v>
      </c>
      <c r="Q2065" s="823" t="s">
        <v>2892</v>
      </c>
    </row>
    <row r="2066" spans="2:17" s="608" customFormat="1" x14ac:dyDescent="0.25">
      <c r="B2066" s="605" t="s">
        <v>4638</v>
      </c>
      <c r="C2066" s="606">
        <f t="shared" si="65"/>
        <v>713950</v>
      </c>
      <c r="D2066" s="607" t="s">
        <v>4639</v>
      </c>
      <c r="E2066" s="607" t="s">
        <v>4640</v>
      </c>
      <c r="F2066" s="607" t="s">
        <v>4639</v>
      </c>
      <c r="G2066" s="607" t="s">
        <v>1594</v>
      </c>
      <c r="H2066" s="607" t="s">
        <v>1594</v>
      </c>
      <c r="I2066" s="607" t="s">
        <v>3691</v>
      </c>
      <c r="J2066" s="608" t="str">
        <f t="shared" si="66"/>
        <v>Hotel Restaurant Leisure Ctr</v>
      </c>
      <c r="N2066" s="822">
        <v>541713</v>
      </c>
      <c r="O2066" s="822" t="s">
        <v>4220</v>
      </c>
      <c r="P2066" s="823">
        <v>3724</v>
      </c>
      <c r="Q2066" s="823" t="s">
        <v>2897</v>
      </c>
    </row>
    <row r="2067" spans="2:17" s="608" customFormat="1" x14ac:dyDescent="0.25">
      <c r="B2067" s="605" t="s">
        <v>4641</v>
      </c>
      <c r="C2067" s="606">
        <f t="shared" si="65"/>
        <v>713990</v>
      </c>
      <c r="D2067" s="607" t="s">
        <v>4642</v>
      </c>
      <c r="E2067" s="607" t="s">
        <v>4442</v>
      </c>
      <c r="F2067" s="607" t="s">
        <v>4443</v>
      </c>
      <c r="G2067" s="607" t="s">
        <v>1594</v>
      </c>
      <c r="H2067" s="607" t="s">
        <v>1594</v>
      </c>
      <c r="I2067" s="607" t="s">
        <v>3691</v>
      </c>
      <c r="J2067" s="608" t="str">
        <f t="shared" si="66"/>
        <v>Hotel Restaurant Leisure Ctr</v>
      </c>
      <c r="N2067" s="822">
        <v>541713</v>
      </c>
      <c r="O2067" s="822" t="s">
        <v>4220</v>
      </c>
      <c r="P2067" s="823">
        <v>3728</v>
      </c>
      <c r="Q2067" s="823" t="s">
        <v>2437</v>
      </c>
    </row>
    <row r="2068" spans="2:17" s="608" customFormat="1" x14ac:dyDescent="0.25">
      <c r="B2068" s="605" t="s">
        <v>4641</v>
      </c>
      <c r="C2068" s="606">
        <f t="shared" si="65"/>
        <v>713990</v>
      </c>
      <c r="D2068" s="607" t="s">
        <v>4642</v>
      </c>
      <c r="E2068" s="607" t="s">
        <v>4619</v>
      </c>
      <c r="F2068" s="607" t="s">
        <v>4620</v>
      </c>
      <c r="G2068" s="607" t="s">
        <v>1594</v>
      </c>
      <c r="H2068" s="607" t="s">
        <v>1594</v>
      </c>
      <c r="I2068" s="607" t="s">
        <v>3691</v>
      </c>
      <c r="J2068" s="608" t="str">
        <f t="shared" si="66"/>
        <v>Hotel Restaurant Leisure Ctr</v>
      </c>
      <c r="N2068" s="822">
        <v>541713</v>
      </c>
      <c r="O2068" s="822" t="s">
        <v>4220</v>
      </c>
      <c r="P2068" s="823">
        <v>3761</v>
      </c>
      <c r="Q2068" s="823" t="s">
        <v>2903</v>
      </c>
    </row>
    <row r="2069" spans="2:17" s="608" customFormat="1" x14ac:dyDescent="0.25">
      <c r="B2069" s="605" t="s">
        <v>4641</v>
      </c>
      <c r="C2069" s="606">
        <f t="shared" si="65"/>
        <v>713990</v>
      </c>
      <c r="D2069" s="607" t="s">
        <v>4642</v>
      </c>
      <c r="E2069" s="607" t="s">
        <v>3575</v>
      </c>
      <c r="F2069" s="607" t="s">
        <v>3576</v>
      </c>
      <c r="G2069" s="607" t="s">
        <v>1594</v>
      </c>
      <c r="H2069" s="607" t="s">
        <v>1594</v>
      </c>
      <c r="I2069" s="607" t="s">
        <v>3691</v>
      </c>
      <c r="J2069" s="608" t="str">
        <f t="shared" si="66"/>
        <v>Hotel Restaurant Leisure Ctr</v>
      </c>
      <c r="N2069" s="822">
        <v>541713</v>
      </c>
      <c r="O2069" s="822" t="s">
        <v>4220</v>
      </c>
      <c r="P2069" s="823">
        <v>3764</v>
      </c>
      <c r="Q2069" s="823" t="s">
        <v>2907</v>
      </c>
    </row>
    <row r="2070" spans="2:17" s="608" customFormat="1" x14ac:dyDescent="0.25">
      <c r="B2070" s="605" t="s">
        <v>4641</v>
      </c>
      <c r="C2070" s="606">
        <f t="shared" si="65"/>
        <v>713990</v>
      </c>
      <c r="D2070" s="607" t="s">
        <v>4642</v>
      </c>
      <c r="E2070" s="607" t="s">
        <v>3689</v>
      </c>
      <c r="F2070" s="607" t="s">
        <v>3690</v>
      </c>
      <c r="G2070" s="607" t="s">
        <v>1594</v>
      </c>
      <c r="H2070" s="607" t="s">
        <v>1594</v>
      </c>
      <c r="I2070" s="607" t="s">
        <v>3691</v>
      </c>
      <c r="J2070" s="608" t="str">
        <f t="shared" si="66"/>
        <v>Hotel Restaurant Leisure Ctr</v>
      </c>
      <c r="N2070" s="822">
        <v>541713</v>
      </c>
      <c r="O2070" s="822" t="s">
        <v>4220</v>
      </c>
      <c r="P2070" s="823">
        <v>3769</v>
      </c>
      <c r="Q2070" s="823" t="s">
        <v>2911</v>
      </c>
    </row>
    <row r="2071" spans="2:17" s="608" customFormat="1" x14ac:dyDescent="0.25">
      <c r="B2071" s="605" t="s">
        <v>4643</v>
      </c>
      <c r="C2071" s="606">
        <f t="shared" si="65"/>
        <v>721110</v>
      </c>
      <c r="D2071" s="607" t="s">
        <v>4644</v>
      </c>
      <c r="E2071" s="607" t="s">
        <v>4645</v>
      </c>
      <c r="F2071" s="607" t="s">
        <v>4646</v>
      </c>
      <c r="G2071" s="607" t="s">
        <v>1594</v>
      </c>
      <c r="H2071" s="607" t="s">
        <v>1594</v>
      </c>
      <c r="I2071" s="607" t="s">
        <v>3691</v>
      </c>
      <c r="J2071" s="608" t="str">
        <f t="shared" si="66"/>
        <v>Hotel Restaurant Leisure Ctr</v>
      </c>
      <c r="N2071" s="822">
        <v>541713</v>
      </c>
      <c r="O2071" s="822" t="s">
        <v>4220</v>
      </c>
      <c r="P2071" s="823">
        <v>8731</v>
      </c>
      <c r="Q2071" s="823" t="s">
        <v>4222</v>
      </c>
    </row>
    <row r="2072" spans="2:17" s="608" customFormat="1" x14ac:dyDescent="0.25">
      <c r="B2072" s="605" t="s">
        <v>4643</v>
      </c>
      <c r="C2072" s="606">
        <f t="shared" si="65"/>
        <v>721110</v>
      </c>
      <c r="D2072" s="607" t="s">
        <v>4644</v>
      </c>
      <c r="E2072" s="607" t="s">
        <v>4647</v>
      </c>
      <c r="F2072" s="607" t="s">
        <v>4648</v>
      </c>
      <c r="G2072" s="607" t="s">
        <v>1594</v>
      </c>
      <c r="H2072" s="607" t="s">
        <v>1594</v>
      </c>
      <c r="I2072" s="607" t="s">
        <v>3691</v>
      </c>
      <c r="J2072" s="608" t="str">
        <f t="shared" si="66"/>
        <v>Hotel Restaurant Leisure Ctr</v>
      </c>
      <c r="N2072" s="822">
        <v>541713</v>
      </c>
      <c r="O2072" s="822" t="s">
        <v>4220</v>
      </c>
      <c r="P2072" s="823">
        <v>8733</v>
      </c>
      <c r="Q2072" s="823" t="s">
        <v>4225</v>
      </c>
    </row>
    <row r="2073" spans="2:17" s="608" customFormat="1" x14ac:dyDescent="0.25">
      <c r="B2073" s="605" t="s">
        <v>4649</v>
      </c>
      <c r="C2073" s="606">
        <f t="shared" si="65"/>
        <v>721120</v>
      </c>
      <c r="D2073" s="607" t="s">
        <v>4650</v>
      </c>
      <c r="E2073" s="607" t="s">
        <v>4645</v>
      </c>
      <c r="F2073" s="607" t="s">
        <v>4646</v>
      </c>
      <c r="G2073" s="607" t="s">
        <v>1594</v>
      </c>
      <c r="H2073" s="607" t="s">
        <v>1594</v>
      </c>
      <c r="I2073" s="607" t="s">
        <v>3691</v>
      </c>
      <c r="J2073" s="608" t="str">
        <f t="shared" si="66"/>
        <v>Hotel Restaurant Leisure Ctr</v>
      </c>
      <c r="N2073" s="822">
        <v>541714</v>
      </c>
      <c r="O2073" s="822" t="s">
        <v>4227</v>
      </c>
      <c r="P2073" s="823">
        <v>3721</v>
      </c>
      <c r="Q2073" s="823" t="s">
        <v>2892</v>
      </c>
    </row>
    <row r="2074" spans="2:17" s="608" customFormat="1" x14ac:dyDescent="0.25">
      <c r="B2074" s="605" t="s">
        <v>4651</v>
      </c>
      <c r="C2074" s="606">
        <f t="shared" si="65"/>
        <v>721191</v>
      </c>
      <c r="D2074" s="607" t="s">
        <v>4652</v>
      </c>
      <c r="E2074" s="607" t="s">
        <v>4645</v>
      </c>
      <c r="F2074" s="607" t="s">
        <v>4646</v>
      </c>
      <c r="G2074" s="607" t="s">
        <v>1594</v>
      </c>
      <c r="H2074" s="607" t="s">
        <v>1594</v>
      </c>
      <c r="I2074" s="607" t="s">
        <v>3691</v>
      </c>
      <c r="J2074" s="608" t="str">
        <f t="shared" si="66"/>
        <v>Hotel Restaurant Leisure Ctr</v>
      </c>
      <c r="N2074" s="822">
        <v>541714</v>
      </c>
      <c r="O2074" s="822" t="s">
        <v>4227</v>
      </c>
      <c r="P2074" s="823">
        <v>3724</v>
      </c>
      <c r="Q2074" s="823" t="s">
        <v>2897</v>
      </c>
    </row>
    <row r="2075" spans="2:17" s="608" customFormat="1" x14ac:dyDescent="0.25">
      <c r="B2075" s="605" t="s">
        <v>4653</v>
      </c>
      <c r="C2075" s="606">
        <f t="shared" si="65"/>
        <v>721199</v>
      </c>
      <c r="D2075" s="607" t="s">
        <v>4654</v>
      </c>
      <c r="E2075" s="607" t="s">
        <v>4645</v>
      </c>
      <c r="F2075" s="607" t="s">
        <v>4646</v>
      </c>
      <c r="G2075" s="607" t="s">
        <v>1594</v>
      </c>
      <c r="H2075" s="607" t="s">
        <v>1594</v>
      </c>
      <c r="I2075" s="607" t="s">
        <v>3691</v>
      </c>
      <c r="J2075" s="608" t="str">
        <f t="shared" si="66"/>
        <v>Hotel Restaurant Leisure Ctr</v>
      </c>
      <c r="N2075" s="822">
        <v>541714</v>
      </c>
      <c r="O2075" s="822" t="s">
        <v>4227</v>
      </c>
      <c r="P2075" s="823">
        <v>3728</v>
      </c>
      <c r="Q2075" s="823" t="s">
        <v>2437</v>
      </c>
    </row>
    <row r="2076" spans="2:17" s="608" customFormat="1" x14ac:dyDescent="0.25">
      <c r="B2076" s="605" t="s">
        <v>4655</v>
      </c>
      <c r="C2076" s="606">
        <f t="shared" si="65"/>
        <v>721211</v>
      </c>
      <c r="D2076" s="607" t="s">
        <v>4656</v>
      </c>
      <c r="E2076" s="607" t="s">
        <v>4657</v>
      </c>
      <c r="F2076" s="607" t="s">
        <v>4658</v>
      </c>
      <c r="G2076" s="607" t="s">
        <v>1594</v>
      </c>
      <c r="H2076" s="607" t="s">
        <v>1594</v>
      </c>
      <c r="I2076" s="607" t="s">
        <v>3691</v>
      </c>
      <c r="J2076" s="608" t="str">
        <f t="shared" si="66"/>
        <v>Hotel Restaurant Leisure Ctr</v>
      </c>
      <c r="N2076" s="822">
        <v>541714</v>
      </c>
      <c r="O2076" s="822" t="s">
        <v>4227</v>
      </c>
      <c r="P2076" s="823">
        <v>3761</v>
      </c>
      <c r="Q2076" s="823" t="s">
        <v>2903</v>
      </c>
    </row>
    <row r="2077" spans="2:17" s="608" customFormat="1" x14ac:dyDescent="0.25">
      <c r="B2077" s="605" t="s">
        <v>4659</v>
      </c>
      <c r="C2077" s="606">
        <f t="shared" si="65"/>
        <v>721214</v>
      </c>
      <c r="D2077" s="607" t="s">
        <v>4660</v>
      </c>
      <c r="E2077" s="607" t="s">
        <v>4661</v>
      </c>
      <c r="F2077" s="607" t="s">
        <v>4662</v>
      </c>
      <c r="G2077" s="607" t="s">
        <v>1594</v>
      </c>
      <c r="H2077" s="607" t="s">
        <v>1594</v>
      </c>
      <c r="I2077" s="607" t="s">
        <v>3691</v>
      </c>
      <c r="J2077" s="608" t="str">
        <f t="shared" si="66"/>
        <v>Hotel Restaurant Leisure Ctr</v>
      </c>
      <c r="N2077" s="822">
        <v>541714</v>
      </c>
      <c r="O2077" s="822" t="s">
        <v>4227</v>
      </c>
      <c r="P2077" s="823">
        <v>3764</v>
      </c>
      <c r="Q2077" s="823" t="s">
        <v>2907</v>
      </c>
    </row>
    <row r="2078" spans="2:17" s="608" customFormat="1" x14ac:dyDescent="0.25">
      <c r="B2078" s="605" t="s">
        <v>4663</v>
      </c>
      <c r="C2078" s="606">
        <f t="shared" si="65"/>
        <v>721310</v>
      </c>
      <c r="D2078" s="607" t="s">
        <v>4664</v>
      </c>
      <c r="E2078" s="607" t="s">
        <v>4665</v>
      </c>
      <c r="F2078" s="607" t="s">
        <v>4666</v>
      </c>
      <c r="G2078" s="607" t="s">
        <v>1594</v>
      </c>
      <c r="H2078" s="607" t="s">
        <v>1594</v>
      </c>
      <c r="I2078" s="607" t="s">
        <v>3691</v>
      </c>
      <c r="J2078" s="608" t="str">
        <f t="shared" si="66"/>
        <v>Hotel Restaurant Leisure Ctr</v>
      </c>
      <c r="N2078" s="822">
        <v>541714</v>
      </c>
      <c r="O2078" s="822" t="s">
        <v>4227</v>
      </c>
      <c r="P2078" s="823">
        <v>3769</v>
      </c>
      <c r="Q2078" s="823" t="s">
        <v>2911</v>
      </c>
    </row>
    <row r="2079" spans="2:17" s="608" customFormat="1" x14ac:dyDescent="0.25">
      <c r="B2079" s="605" t="s">
        <v>4663</v>
      </c>
      <c r="C2079" s="606">
        <f t="shared" si="65"/>
        <v>721310</v>
      </c>
      <c r="D2079" s="607" t="s">
        <v>4664</v>
      </c>
      <c r="E2079" s="607" t="s">
        <v>4647</v>
      </c>
      <c r="F2079" s="607" t="s">
        <v>4648</v>
      </c>
      <c r="G2079" s="607" t="s">
        <v>1594</v>
      </c>
      <c r="H2079" s="607" t="s">
        <v>1594</v>
      </c>
      <c r="I2079" s="607" t="s">
        <v>3691</v>
      </c>
      <c r="J2079" s="608" t="str">
        <f t="shared" si="66"/>
        <v>Hotel Restaurant Leisure Ctr</v>
      </c>
      <c r="N2079" s="822">
        <v>541714</v>
      </c>
      <c r="O2079" s="822" t="s">
        <v>4227</v>
      </c>
      <c r="P2079" s="823">
        <v>8731</v>
      </c>
      <c r="Q2079" s="823" t="s">
        <v>4222</v>
      </c>
    </row>
    <row r="2080" spans="2:17" s="608" customFormat="1" x14ac:dyDescent="0.25">
      <c r="B2080" s="605" t="s">
        <v>4667</v>
      </c>
      <c r="C2080" s="606">
        <f t="shared" si="65"/>
        <v>722310</v>
      </c>
      <c r="D2080" s="607" t="s">
        <v>4668</v>
      </c>
      <c r="E2080" s="607" t="s">
        <v>3687</v>
      </c>
      <c r="F2080" s="607" t="s">
        <v>3688</v>
      </c>
      <c r="G2080" s="607" t="s">
        <v>1594</v>
      </c>
      <c r="H2080" s="607" t="s">
        <v>1594</v>
      </c>
      <c r="I2080" s="607" t="s">
        <v>3691</v>
      </c>
      <c r="J2080" s="608" t="str">
        <f t="shared" si="66"/>
        <v>Hotel Restaurant Leisure Ctr</v>
      </c>
      <c r="N2080" s="822">
        <v>541714</v>
      </c>
      <c r="O2080" s="822" t="s">
        <v>4227</v>
      </c>
      <c r="P2080" s="823">
        <v>8733</v>
      </c>
      <c r="Q2080" s="823" t="s">
        <v>4225</v>
      </c>
    </row>
    <row r="2081" spans="2:17" s="608" customFormat="1" x14ac:dyDescent="0.25">
      <c r="B2081" s="605" t="s">
        <v>4667</v>
      </c>
      <c r="C2081" s="606">
        <f t="shared" si="65"/>
        <v>722310</v>
      </c>
      <c r="D2081" s="607" t="s">
        <v>4668</v>
      </c>
      <c r="E2081" s="607" t="s">
        <v>4573</v>
      </c>
      <c r="F2081" s="607" t="s">
        <v>4574</v>
      </c>
      <c r="G2081" s="607" t="s">
        <v>1594</v>
      </c>
      <c r="H2081" s="607" t="s">
        <v>1594</v>
      </c>
      <c r="I2081" s="607" t="s">
        <v>3691</v>
      </c>
      <c r="J2081" s="608" t="str">
        <f t="shared" si="66"/>
        <v>Hotel Restaurant Leisure Ctr</v>
      </c>
      <c r="N2081" s="822">
        <v>541715</v>
      </c>
      <c r="O2081" s="822" t="s">
        <v>4230</v>
      </c>
      <c r="P2081" s="823">
        <v>3721</v>
      </c>
      <c r="Q2081" s="823" t="s">
        <v>2892</v>
      </c>
    </row>
    <row r="2082" spans="2:17" s="608" customFormat="1" x14ac:dyDescent="0.25">
      <c r="B2082" s="605" t="s">
        <v>4669</v>
      </c>
      <c r="C2082" s="606">
        <f t="shared" si="65"/>
        <v>722320</v>
      </c>
      <c r="D2082" s="607" t="s">
        <v>4670</v>
      </c>
      <c r="E2082" s="607" t="s">
        <v>4573</v>
      </c>
      <c r="F2082" s="607" t="s">
        <v>4574</v>
      </c>
      <c r="G2082" s="607" t="s">
        <v>1594</v>
      </c>
      <c r="H2082" s="607" t="s">
        <v>1594</v>
      </c>
      <c r="I2082" s="607" t="s">
        <v>3691</v>
      </c>
      <c r="J2082" s="608" t="str">
        <f t="shared" si="66"/>
        <v>Hotel Restaurant Leisure Ctr</v>
      </c>
      <c r="N2082" s="822">
        <v>541715</v>
      </c>
      <c r="O2082" s="822" t="s">
        <v>4230</v>
      </c>
      <c r="P2082" s="823">
        <v>3724</v>
      </c>
      <c r="Q2082" s="823" t="s">
        <v>2897</v>
      </c>
    </row>
    <row r="2083" spans="2:17" s="608" customFormat="1" x14ac:dyDescent="0.25">
      <c r="B2083" s="605" t="s">
        <v>4671</v>
      </c>
      <c r="C2083" s="606">
        <f t="shared" si="65"/>
        <v>722330</v>
      </c>
      <c r="D2083" s="607" t="s">
        <v>4672</v>
      </c>
      <c r="E2083" s="607" t="s">
        <v>3554</v>
      </c>
      <c r="F2083" s="607" t="s">
        <v>3555</v>
      </c>
      <c r="G2083" s="607" t="s">
        <v>1594</v>
      </c>
      <c r="H2083" s="607" t="s">
        <v>1594</v>
      </c>
      <c r="I2083" s="607" t="s">
        <v>3691</v>
      </c>
      <c r="J2083" s="608" t="str">
        <f t="shared" si="66"/>
        <v>Hotel Restaurant Leisure Ctr</v>
      </c>
      <c r="N2083" s="822">
        <v>541715</v>
      </c>
      <c r="O2083" s="822" t="s">
        <v>4230</v>
      </c>
      <c r="P2083" s="823">
        <v>3728</v>
      </c>
      <c r="Q2083" s="823" t="s">
        <v>2437</v>
      </c>
    </row>
    <row r="2084" spans="2:17" s="608" customFormat="1" x14ac:dyDescent="0.25">
      <c r="B2084" s="605" t="s">
        <v>4673</v>
      </c>
      <c r="C2084" s="606">
        <f t="shared" si="65"/>
        <v>722410</v>
      </c>
      <c r="D2084" s="607" t="s">
        <v>4674</v>
      </c>
      <c r="E2084" s="607" t="s">
        <v>4675</v>
      </c>
      <c r="F2084" s="607" t="s">
        <v>4676</v>
      </c>
      <c r="G2084" s="607" t="s">
        <v>1594</v>
      </c>
      <c r="H2084" s="607" t="s">
        <v>1594</v>
      </c>
      <c r="I2084" s="607" t="s">
        <v>3691</v>
      </c>
      <c r="J2084" s="608" t="str">
        <f t="shared" si="66"/>
        <v>Hotel Restaurant Leisure Ctr</v>
      </c>
      <c r="N2084" s="822">
        <v>541715</v>
      </c>
      <c r="O2084" s="822" t="s">
        <v>4230</v>
      </c>
      <c r="P2084" s="823">
        <v>3761</v>
      </c>
      <c r="Q2084" s="823" t="s">
        <v>2903</v>
      </c>
    </row>
    <row r="2085" spans="2:17" s="608" customFormat="1" x14ac:dyDescent="0.25">
      <c r="B2085" s="605" t="s">
        <v>4677</v>
      </c>
      <c r="C2085" s="606">
        <f t="shared" si="65"/>
        <v>722511</v>
      </c>
      <c r="D2085" s="607" t="s">
        <v>4678</v>
      </c>
      <c r="E2085" s="607" t="s">
        <v>4573</v>
      </c>
      <c r="F2085" s="607" t="s">
        <v>4574</v>
      </c>
      <c r="G2085" s="607" t="s">
        <v>1594</v>
      </c>
      <c r="H2085" s="607" t="s">
        <v>1594</v>
      </c>
      <c r="I2085" s="607" t="s">
        <v>3691</v>
      </c>
      <c r="J2085" s="608" t="str">
        <f t="shared" si="66"/>
        <v>Hotel Restaurant Leisure Ctr</v>
      </c>
      <c r="N2085" s="822">
        <v>541715</v>
      </c>
      <c r="O2085" s="822" t="s">
        <v>4230</v>
      </c>
      <c r="P2085" s="823">
        <v>3764</v>
      </c>
      <c r="Q2085" s="823" t="s">
        <v>2907</v>
      </c>
    </row>
    <row r="2086" spans="2:17" s="608" customFormat="1" x14ac:dyDescent="0.25">
      <c r="B2086" s="605" t="s">
        <v>4679</v>
      </c>
      <c r="C2086" s="606">
        <f t="shared" si="65"/>
        <v>722513</v>
      </c>
      <c r="D2086" s="607" t="s">
        <v>4680</v>
      </c>
      <c r="E2086" s="607" t="s">
        <v>4573</v>
      </c>
      <c r="F2086" s="607" t="s">
        <v>4574</v>
      </c>
      <c r="G2086" s="607" t="s">
        <v>1594</v>
      </c>
      <c r="H2086" s="607" t="s">
        <v>1594</v>
      </c>
      <c r="I2086" s="607" t="s">
        <v>3691</v>
      </c>
      <c r="J2086" s="608" t="str">
        <f t="shared" si="66"/>
        <v>Hotel Restaurant Leisure Ctr</v>
      </c>
      <c r="N2086" s="822">
        <v>541715</v>
      </c>
      <c r="O2086" s="822" t="s">
        <v>4230</v>
      </c>
      <c r="P2086" s="823">
        <v>3769</v>
      </c>
      <c r="Q2086" s="823" t="s">
        <v>2911</v>
      </c>
    </row>
    <row r="2087" spans="2:17" s="608" customFormat="1" x14ac:dyDescent="0.25">
      <c r="B2087" s="605" t="s">
        <v>4681</v>
      </c>
      <c r="C2087" s="606">
        <f t="shared" si="65"/>
        <v>722514</v>
      </c>
      <c r="D2087" s="607" t="s">
        <v>4682</v>
      </c>
      <c r="E2087" s="607" t="s">
        <v>4573</v>
      </c>
      <c r="F2087" s="607" t="s">
        <v>4574</v>
      </c>
      <c r="G2087" s="607" t="s">
        <v>1594</v>
      </c>
      <c r="H2087" s="607" t="s">
        <v>1594</v>
      </c>
      <c r="I2087" s="607" t="s">
        <v>3691</v>
      </c>
      <c r="J2087" s="608" t="str">
        <f t="shared" si="66"/>
        <v>Hotel Restaurant Leisure Ctr</v>
      </c>
      <c r="N2087" s="822">
        <v>541715</v>
      </c>
      <c r="O2087" s="822" t="s">
        <v>4230</v>
      </c>
      <c r="P2087" s="823">
        <v>8731</v>
      </c>
      <c r="Q2087" s="823" t="s">
        <v>4222</v>
      </c>
    </row>
    <row r="2088" spans="2:17" s="608" customFormat="1" x14ac:dyDescent="0.25">
      <c r="B2088" s="605" t="s">
        <v>4683</v>
      </c>
      <c r="C2088" s="606">
        <f t="shared" si="65"/>
        <v>722515</v>
      </c>
      <c r="D2088" s="607" t="s">
        <v>4684</v>
      </c>
      <c r="E2088" s="607" t="s">
        <v>1506</v>
      </c>
      <c r="F2088" s="607" t="s">
        <v>1505</v>
      </c>
      <c r="G2088" s="607" t="s">
        <v>1594</v>
      </c>
      <c r="H2088" s="607" t="s">
        <v>1594</v>
      </c>
      <c r="I2088" s="607" t="s">
        <v>3691</v>
      </c>
      <c r="J2088" s="608" t="str">
        <f t="shared" si="66"/>
        <v>Hotel Restaurant Leisure Ctr</v>
      </c>
      <c r="N2088" s="822">
        <v>541715</v>
      </c>
      <c r="O2088" s="822" t="s">
        <v>4230</v>
      </c>
      <c r="P2088" s="823">
        <v>8733</v>
      </c>
      <c r="Q2088" s="823" t="s">
        <v>4225</v>
      </c>
    </row>
    <row r="2089" spans="2:17" s="608" customFormat="1" x14ac:dyDescent="0.25">
      <c r="B2089" s="605" t="s">
        <v>4683</v>
      </c>
      <c r="C2089" s="606">
        <f t="shared" si="65"/>
        <v>722515</v>
      </c>
      <c r="D2089" s="607" t="s">
        <v>4684</v>
      </c>
      <c r="E2089" s="607" t="s">
        <v>4573</v>
      </c>
      <c r="F2089" s="607" t="s">
        <v>4574</v>
      </c>
      <c r="G2089" s="607" t="s">
        <v>1594</v>
      </c>
      <c r="H2089" s="607" t="s">
        <v>1594</v>
      </c>
      <c r="I2089" s="607" t="s">
        <v>3691</v>
      </c>
      <c r="J2089" s="608" t="str">
        <f t="shared" si="66"/>
        <v>Hotel Restaurant Leisure Ctr</v>
      </c>
      <c r="N2089" s="822">
        <v>541720</v>
      </c>
      <c r="O2089" s="822" t="s">
        <v>4233</v>
      </c>
      <c r="P2089" s="823">
        <v>8732</v>
      </c>
      <c r="Q2089" s="823" t="s">
        <v>4235</v>
      </c>
    </row>
    <row r="2090" spans="2:17" s="608" customFormat="1" x14ac:dyDescent="0.25">
      <c r="B2090" s="605" t="s">
        <v>4685</v>
      </c>
      <c r="C2090" s="606">
        <f t="shared" si="65"/>
        <v>811111</v>
      </c>
      <c r="D2090" s="607" t="s">
        <v>4686</v>
      </c>
      <c r="E2090" s="607" t="s">
        <v>4687</v>
      </c>
      <c r="F2090" s="607" t="s">
        <v>4688</v>
      </c>
      <c r="G2090" s="607" t="s">
        <v>1594</v>
      </c>
      <c r="H2090" s="607" t="s">
        <v>1594</v>
      </c>
      <c r="I2090" s="607" t="s">
        <v>2842</v>
      </c>
      <c r="J2090" s="608" t="str">
        <f t="shared" si="66"/>
        <v>Automobile</v>
      </c>
      <c r="N2090" s="822">
        <v>541720</v>
      </c>
      <c r="O2090" s="822" t="s">
        <v>4233</v>
      </c>
      <c r="P2090" s="823">
        <v>8733</v>
      </c>
      <c r="Q2090" s="823" t="s">
        <v>4225</v>
      </c>
    </row>
    <row r="2091" spans="2:17" s="608" customFormat="1" x14ac:dyDescent="0.25">
      <c r="B2091" s="605" t="s">
        <v>4689</v>
      </c>
      <c r="C2091" s="606">
        <f t="shared" si="65"/>
        <v>811112</v>
      </c>
      <c r="D2091" s="607" t="s">
        <v>4690</v>
      </c>
      <c r="E2091" s="607" t="s">
        <v>4691</v>
      </c>
      <c r="F2091" s="607" t="s">
        <v>4692</v>
      </c>
      <c r="G2091" s="607" t="s">
        <v>1594</v>
      </c>
      <c r="H2091" s="607" t="s">
        <v>1594</v>
      </c>
      <c r="I2091" s="607" t="s">
        <v>2842</v>
      </c>
      <c r="J2091" s="608" t="str">
        <f t="shared" si="66"/>
        <v>Automobile</v>
      </c>
      <c r="N2091" s="822">
        <v>541810</v>
      </c>
      <c r="O2091" s="822" t="s">
        <v>4237</v>
      </c>
      <c r="P2091" s="823">
        <v>7311</v>
      </c>
      <c r="Q2091" s="823" t="s">
        <v>4237</v>
      </c>
    </row>
    <row r="2092" spans="2:17" s="608" customFormat="1" x14ac:dyDescent="0.25">
      <c r="B2092" s="605" t="s">
        <v>4693</v>
      </c>
      <c r="C2092" s="606">
        <f t="shared" si="65"/>
        <v>811113</v>
      </c>
      <c r="D2092" s="607" t="s">
        <v>4694</v>
      </c>
      <c r="E2092" s="607" t="s">
        <v>4695</v>
      </c>
      <c r="F2092" s="607" t="s">
        <v>4696</v>
      </c>
      <c r="G2092" s="607" t="s">
        <v>1594</v>
      </c>
      <c r="H2092" s="607" t="s">
        <v>1594</v>
      </c>
      <c r="I2092" s="607" t="s">
        <v>2842</v>
      </c>
      <c r="J2092" s="608" t="str">
        <f t="shared" si="66"/>
        <v>Automobile</v>
      </c>
      <c r="N2092" s="822">
        <v>541820</v>
      </c>
      <c r="O2092" s="822" t="s">
        <v>4240</v>
      </c>
      <c r="P2092" s="823">
        <v>8743</v>
      </c>
      <c r="Q2092" s="823" t="s">
        <v>4242</v>
      </c>
    </row>
    <row r="2093" spans="2:17" s="608" customFormat="1" x14ac:dyDescent="0.25">
      <c r="B2093" s="605" t="s">
        <v>4697</v>
      </c>
      <c r="C2093" s="606">
        <f t="shared" si="65"/>
        <v>811118</v>
      </c>
      <c r="D2093" s="607" t="s">
        <v>4698</v>
      </c>
      <c r="E2093" s="607" t="s">
        <v>4699</v>
      </c>
      <c r="F2093" s="607" t="s">
        <v>4700</v>
      </c>
      <c r="G2093" s="607" t="s">
        <v>1594</v>
      </c>
      <c r="H2093" s="607" t="s">
        <v>1594</v>
      </c>
      <c r="I2093" s="607" t="s">
        <v>2842</v>
      </c>
      <c r="J2093" s="608" t="str">
        <f t="shared" si="66"/>
        <v>Automobile</v>
      </c>
      <c r="N2093" s="822">
        <v>541830</v>
      </c>
      <c r="O2093" s="822" t="s">
        <v>4244</v>
      </c>
      <c r="P2093" s="823">
        <v>7319</v>
      </c>
      <c r="Q2093" s="823" t="s">
        <v>3572</v>
      </c>
    </row>
    <row r="2094" spans="2:17" s="608" customFormat="1" x14ac:dyDescent="0.25">
      <c r="B2094" s="605" t="s">
        <v>4701</v>
      </c>
      <c r="C2094" s="606">
        <f t="shared" si="65"/>
        <v>811121</v>
      </c>
      <c r="D2094" s="607" t="s">
        <v>4702</v>
      </c>
      <c r="E2094" s="607" t="s">
        <v>4703</v>
      </c>
      <c r="F2094" s="607" t="s">
        <v>4704</v>
      </c>
      <c r="G2094" s="607" t="s">
        <v>1594</v>
      </c>
      <c r="H2094" s="607" t="s">
        <v>1594</v>
      </c>
      <c r="I2094" s="607" t="s">
        <v>2842</v>
      </c>
      <c r="J2094" s="608" t="str">
        <f t="shared" si="66"/>
        <v>Automobile</v>
      </c>
      <c r="N2094" s="822">
        <v>541840</v>
      </c>
      <c r="O2094" s="822" t="s">
        <v>4246</v>
      </c>
      <c r="P2094" s="823">
        <v>7313</v>
      </c>
      <c r="Q2094" s="823" t="s">
        <v>4248</v>
      </c>
    </row>
    <row r="2095" spans="2:17" s="608" customFormat="1" x14ac:dyDescent="0.25">
      <c r="B2095" s="605" t="s">
        <v>4705</v>
      </c>
      <c r="C2095" s="606">
        <f t="shared" si="65"/>
        <v>811122</v>
      </c>
      <c r="D2095" s="607" t="s">
        <v>4706</v>
      </c>
      <c r="E2095" s="607" t="s">
        <v>4707</v>
      </c>
      <c r="F2095" s="607" t="s">
        <v>4706</v>
      </c>
      <c r="G2095" s="607" t="s">
        <v>1594</v>
      </c>
      <c r="H2095" s="607" t="s">
        <v>1594</v>
      </c>
      <c r="I2095" s="607" t="s">
        <v>2842</v>
      </c>
      <c r="J2095" s="608" t="str">
        <f t="shared" si="66"/>
        <v>Automobile</v>
      </c>
      <c r="N2095" s="822">
        <v>541850</v>
      </c>
      <c r="O2095" s="822" t="s">
        <v>4250</v>
      </c>
      <c r="P2095" s="823">
        <v>7312</v>
      </c>
      <c r="Q2095" s="823" t="s">
        <v>4252</v>
      </c>
    </row>
    <row r="2096" spans="2:17" s="608" customFormat="1" x14ac:dyDescent="0.25">
      <c r="B2096" s="605" t="s">
        <v>4705</v>
      </c>
      <c r="C2096" s="606">
        <f t="shared" si="65"/>
        <v>811122</v>
      </c>
      <c r="D2096" s="607" t="s">
        <v>4706</v>
      </c>
      <c r="E2096" s="607" t="s">
        <v>3727</v>
      </c>
      <c r="F2096" s="607" t="s">
        <v>3728</v>
      </c>
      <c r="G2096" s="607" t="s">
        <v>1594</v>
      </c>
      <c r="H2096" s="607" t="s">
        <v>1594</v>
      </c>
      <c r="I2096" s="607" t="s">
        <v>2842</v>
      </c>
      <c r="J2096" s="608" t="str">
        <f t="shared" si="66"/>
        <v>Automobile</v>
      </c>
      <c r="N2096" s="822">
        <v>541850</v>
      </c>
      <c r="O2096" s="822" t="s">
        <v>4250</v>
      </c>
      <c r="P2096" s="823">
        <v>7319</v>
      </c>
      <c r="Q2096" s="823" t="s">
        <v>3572</v>
      </c>
    </row>
    <row r="2097" spans="2:17" s="608" customFormat="1" x14ac:dyDescent="0.25">
      <c r="B2097" s="605" t="s">
        <v>4708</v>
      </c>
      <c r="C2097" s="606">
        <f t="shared" si="65"/>
        <v>811191</v>
      </c>
      <c r="D2097" s="607" t="s">
        <v>4709</v>
      </c>
      <c r="E2097" s="607" t="s">
        <v>3727</v>
      </c>
      <c r="F2097" s="607" t="s">
        <v>3728</v>
      </c>
      <c r="G2097" s="607" t="s">
        <v>1594</v>
      </c>
      <c r="H2097" s="607" t="s">
        <v>1594</v>
      </c>
      <c r="I2097" s="607" t="s">
        <v>2842</v>
      </c>
      <c r="J2097" s="608" t="str">
        <f t="shared" si="66"/>
        <v>Automobile</v>
      </c>
      <c r="N2097" s="822">
        <v>541860</v>
      </c>
      <c r="O2097" s="822" t="s">
        <v>4254</v>
      </c>
      <c r="P2097" s="823">
        <v>7331</v>
      </c>
      <c r="Q2097" s="823" t="s">
        <v>3787</v>
      </c>
    </row>
    <row r="2098" spans="2:17" s="608" customFormat="1" x14ac:dyDescent="0.25">
      <c r="B2098" s="605" t="s">
        <v>4710</v>
      </c>
      <c r="C2098" s="606">
        <f t="shared" si="65"/>
        <v>811192</v>
      </c>
      <c r="D2098" s="607" t="s">
        <v>4711</v>
      </c>
      <c r="E2098" s="607" t="s">
        <v>4712</v>
      </c>
      <c r="F2098" s="607" t="s">
        <v>4713</v>
      </c>
      <c r="G2098" s="607" t="s">
        <v>1594</v>
      </c>
      <c r="H2098" s="607" t="s">
        <v>1594</v>
      </c>
      <c r="I2098" s="607" t="s">
        <v>2842</v>
      </c>
      <c r="J2098" s="608" t="str">
        <f t="shared" si="66"/>
        <v>Automobile</v>
      </c>
      <c r="N2098" s="822">
        <v>541870</v>
      </c>
      <c r="O2098" s="822" t="s">
        <v>4256</v>
      </c>
      <c r="P2098" s="823">
        <v>7319</v>
      </c>
      <c r="Q2098" s="823" t="s">
        <v>3572</v>
      </c>
    </row>
    <row r="2099" spans="2:17" s="608" customFormat="1" x14ac:dyDescent="0.25">
      <c r="B2099" s="605" t="s">
        <v>4714</v>
      </c>
      <c r="C2099" s="606">
        <f t="shared" si="65"/>
        <v>811198</v>
      </c>
      <c r="D2099" s="607" t="s">
        <v>4715</v>
      </c>
      <c r="E2099" s="607" t="s">
        <v>2126</v>
      </c>
      <c r="F2099" s="607" t="s">
        <v>2127</v>
      </c>
      <c r="G2099" s="607" t="s">
        <v>1594</v>
      </c>
      <c r="H2099" s="607" t="s">
        <v>1594</v>
      </c>
      <c r="I2099" s="607" t="s">
        <v>2842</v>
      </c>
      <c r="J2099" s="608" t="str">
        <f t="shared" si="66"/>
        <v>Automobile</v>
      </c>
      <c r="N2099" s="822">
        <v>541870</v>
      </c>
      <c r="O2099" s="822" t="s">
        <v>4256</v>
      </c>
      <c r="P2099" s="823">
        <v>7389</v>
      </c>
      <c r="Q2099" s="823" t="s">
        <v>1589</v>
      </c>
    </row>
    <row r="2100" spans="2:17" s="608" customFormat="1" x14ac:dyDescent="0.25">
      <c r="B2100" s="605" t="s">
        <v>4714</v>
      </c>
      <c r="C2100" s="606">
        <f t="shared" si="65"/>
        <v>811198</v>
      </c>
      <c r="D2100" s="607" t="s">
        <v>4715</v>
      </c>
      <c r="E2100" s="607" t="s">
        <v>4699</v>
      </c>
      <c r="F2100" s="607" t="s">
        <v>4700</v>
      </c>
      <c r="G2100" s="607" t="s">
        <v>1594</v>
      </c>
      <c r="H2100" s="607" t="s">
        <v>1594</v>
      </c>
      <c r="I2100" s="607" t="s">
        <v>2842</v>
      </c>
      <c r="J2100" s="608" t="str">
        <f t="shared" si="66"/>
        <v>Automobile</v>
      </c>
      <c r="N2100" s="822">
        <v>541890</v>
      </c>
      <c r="O2100" s="822" t="s">
        <v>4258</v>
      </c>
      <c r="P2100" s="823">
        <v>5199</v>
      </c>
      <c r="Q2100" s="823" t="s">
        <v>3225</v>
      </c>
    </row>
    <row r="2101" spans="2:17" s="608" customFormat="1" x14ac:dyDescent="0.25">
      <c r="B2101" s="605" t="s">
        <v>4714</v>
      </c>
      <c r="C2101" s="606">
        <f t="shared" si="65"/>
        <v>811198</v>
      </c>
      <c r="D2101" s="607" t="s">
        <v>4715</v>
      </c>
      <c r="E2101" s="607" t="s">
        <v>3727</v>
      </c>
      <c r="F2101" s="607" t="s">
        <v>3728</v>
      </c>
      <c r="G2101" s="607" t="s">
        <v>1594</v>
      </c>
      <c r="H2101" s="607" t="s">
        <v>1594</v>
      </c>
      <c r="I2101" s="607" t="s">
        <v>2842</v>
      </c>
      <c r="J2101" s="608" t="str">
        <f t="shared" si="66"/>
        <v>Automobile</v>
      </c>
      <c r="N2101" s="822">
        <v>541890</v>
      </c>
      <c r="O2101" s="822" t="s">
        <v>4258</v>
      </c>
      <c r="P2101" s="823">
        <v>7319</v>
      </c>
      <c r="Q2101" s="823" t="s">
        <v>3572</v>
      </c>
    </row>
    <row r="2102" spans="2:17" s="608" customFormat="1" x14ac:dyDescent="0.25">
      <c r="B2102" s="605" t="s">
        <v>4716</v>
      </c>
      <c r="C2102" s="606">
        <f t="shared" si="65"/>
        <v>811211</v>
      </c>
      <c r="D2102" s="607" t="s">
        <v>4717</v>
      </c>
      <c r="E2102" s="605" t="s">
        <v>1344</v>
      </c>
      <c r="F2102" s="607" t="s">
        <v>1345</v>
      </c>
      <c r="G2102" s="607" t="s">
        <v>1594</v>
      </c>
      <c r="H2102" s="607" t="s">
        <v>1594</v>
      </c>
      <c r="I2102" s="608" t="s">
        <v>2529</v>
      </c>
      <c r="J2102" s="608" t="str">
        <f t="shared" si="66"/>
        <v>Consumer Electronics</v>
      </c>
      <c r="N2102" s="822">
        <v>541890</v>
      </c>
      <c r="O2102" s="822" t="s">
        <v>4258</v>
      </c>
      <c r="P2102" s="823">
        <v>7389</v>
      </c>
      <c r="Q2102" s="823" t="s">
        <v>1589</v>
      </c>
    </row>
    <row r="2103" spans="2:17" s="608" customFormat="1" x14ac:dyDescent="0.25">
      <c r="B2103" s="605" t="s">
        <v>4716</v>
      </c>
      <c r="C2103" s="606">
        <f t="shared" si="65"/>
        <v>811211</v>
      </c>
      <c r="D2103" s="607" t="s">
        <v>4717</v>
      </c>
      <c r="E2103" s="605" t="s">
        <v>3367</v>
      </c>
      <c r="F2103" s="607" t="s">
        <v>3368</v>
      </c>
      <c r="G2103" s="607" t="s">
        <v>1594</v>
      </c>
      <c r="H2103" s="607" t="s">
        <v>1594</v>
      </c>
      <c r="I2103" s="608" t="s">
        <v>2529</v>
      </c>
      <c r="J2103" s="608" t="str">
        <f t="shared" si="66"/>
        <v>Consumer Electronics</v>
      </c>
      <c r="N2103" s="822">
        <v>541910</v>
      </c>
      <c r="O2103" s="822" t="s">
        <v>4260</v>
      </c>
      <c r="P2103" s="823">
        <v>8732</v>
      </c>
      <c r="Q2103" s="823" t="s">
        <v>4235</v>
      </c>
    </row>
    <row r="2104" spans="2:17" s="608" customFormat="1" x14ac:dyDescent="0.25">
      <c r="B2104" s="605" t="s">
        <v>4716</v>
      </c>
      <c r="C2104" s="606">
        <f t="shared" si="65"/>
        <v>811211</v>
      </c>
      <c r="D2104" s="607" t="s">
        <v>4717</v>
      </c>
      <c r="E2104" s="605" t="s">
        <v>1070</v>
      </c>
      <c r="F2104" s="607" t="s">
        <v>1071</v>
      </c>
      <c r="G2104" s="607" t="s">
        <v>1594</v>
      </c>
      <c r="H2104" s="607" t="s">
        <v>1594</v>
      </c>
      <c r="I2104" s="608" t="s">
        <v>2529</v>
      </c>
      <c r="J2104" s="608" t="str">
        <f t="shared" si="66"/>
        <v>Consumer Electronics</v>
      </c>
      <c r="N2104" s="822">
        <v>541921</v>
      </c>
      <c r="O2104" s="822" t="s">
        <v>4262</v>
      </c>
      <c r="P2104" s="823">
        <v>7221</v>
      </c>
      <c r="Q2104" s="823" t="s">
        <v>4264</v>
      </c>
    </row>
    <row r="2105" spans="2:17" s="608" customFormat="1" ht="30" x14ac:dyDescent="0.25">
      <c r="B2105" s="605" t="s">
        <v>4718</v>
      </c>
      <c r="C2105" s="606">
        <f t="shared" si="65"/>
        <v>811212</v>
      </c>
      <c r="D2105" s="607" t="s">
        <v>4719</v>
      </c>
      <c r="E2105" s="607" t="s">
        <v>3377</v>
      </c>
      <c r="F2105" s="607" t="s">
        <v>3378</v>
      </c>
      <c r="G2105" s="609" t="s">
        <v>2509</v>
      </c>
      <c r="H2105" s="607" t="s">
        <v>2509</v>
      </c>
      <c r="I2105" s="610" t="s">
        <v>2510</v>
      </c>
      <c r="J2105" s="608" t="str">
        <f t="shared" si="66"/>
        <v>Technology Hardwr Equip</v>
      </c>
      <c r="N2105" s="822">
        <v>541922</v>
      </c>
      <c r="O2105" s="822" t="s">
        <v>3574</v>
      </c>
      <c r="P2105" s="823">
        <v>7335</v>
      </c>
      <c r="Q2105" s="823" t="s">
        <v>3574</v>
      </c>
    </row>
    <row r="2106" spans="2:17" s="608" customFormat="1" ht="30" x14ac:dyDescent="0.25">
      <c r="B2106" s="605" t="s">
        <v>4718</v>
      </c>
      <c r="C2106" s="606">
        <f t="shared" si="65"/>
        <v>811212</v>
      </c>
      <c r="D2106" s="607" t="s">
        <v>4719</v>
      </c>
      <c r="E2106" s="607" t="s">
        <v>3367</v>
      </c>
      <c r="F2106" s="607" t="s">
        <v>3368</v>
      </c>
      <c r="G2106" s="609" t="s">
        <v>2509</v>
      </c>
      <c r="H2106" s="607" t="s">
        <v>2509</v>
      </c>
      <c r="I2106" s="610" t="s">
        <v>2510</v>
      </c>
      <c r="J2106" s="608" t="str">
        <f t="shared" si="66"/>
        <v>Technology Hardwr Equip</v>
      </c>
      <c r="N2106" s="822">
        <v>541922</v>
      </c>
      <c r="O2106" s="822" t="s">
        <v>3574</v>
      </c>
      <c r="P2106" s="823">
        <v>8099</v>
      </c>
      <c r="Q2106" s="823" t="s">
        <v>4185</v>
      </c>
    </row>
    <row r="2107" spans="2:17" s="608" customFormat="1" ht="30" x14ac:dyDescent="0.25">
      <c r="B2107" s="605" t="s">
        <v>4718</v>
      </c>
      <c r="C2107" s="606">
        <f t="shared" si="65"/>
        <v>811212</v>
      </c>
      <c r="D2107" s="607" t="s">
        <v>4719</v>
      </c>
      <c r="E2107" s="607" t="s">
        <v>1070</v>
      </c>
      <c r="F2107" s="607" t="s">
        <v>1071</v>
      </c>
      <c r="G2107" s="609" t="s">
        <v>2509</v>
      </c>
      <c r="H2107" s="607" t="s">
        <v>2509</v>
      </c>
      <c r="I2107" s="610" t="s">
        <v>2510</v>
      </c>
      <c r="J2107" s="608" t="str">
        <f t="shared" si="66"/>
        <v>Technology Hardwr Equip</v>
      </c>
      <c r="N2107" s="822">
        <v>541930</v>
      </c>
      <c r="O2107" s="822" t="s">
        <v>4267</v>
      </c>
      <c r="P2107" s="823">
        <v>7389</v>
      </c>
      <c r="Q2107" s="823" t="s">
        <v>1589</v>
      </c>
    </row>
    <row r="2108" spans="2:17" s="608" customFormat="1" x14ac:dyDescent="0.25">
      <c r="B2108" s="605" t="s">
        <v>4720</v>
      </c>
      <c r="C2108" s="606">
        <f t="shared" si="65"/>
        <v>811213</v>
      </c>
      <c r="D2108" s="607" t="s">
        <v>4721</v>
      </c>
      <c r="E2108" s="605" t="s">
        <v>1344</v>
      </c>
      <c r="F2108" s="607" t="s">
        <v>1345</v>
      </c>
      <c r="G2108" s="607" t="s">
        <v>1594</v>
      </c>
      <c r="H2108" s="607" t="s">
        <v>1594</v>
      </c>
      <c r="I2108" s="608" t="s">
        <v>2529</v>
      </c>
      <c r="J2108" s="608" t="str">
        <f t="shared" si="66"/>
        <v>Consumer Electronics</v>
      </c>
      <c r="N2108" s="822">
        <v>541940</v>
      </c>
      <c r="O2108" s="822" t="s">
        <v>4269</v>
      </c>
      <c r="P2108" s="823">
        <v>741</v>
      </c>
      <c r="Q2108" s="823" t="s">
        <v>4271</v>
      </c>
    </row>
    <row r="2109" spans="2:17" s="608" customFormat="1" x14ac:dyDescent="0.25">
      <c r="B2109" s="605" t="s">
        <v>4720</v>
      </c>
      <c r="C2109" s="606">
        <f t="shared" si="65"/>
        <v>811213</v>
      </c>
      <c r="D2109" s="607" t="s">
        <v>4721</v>
      </c>
      <c r="E2109" s="605" t="s">
        <v>3367</v>
      </c>
      <c r="F2109" s="607" t="s">
        <v>3368</v>
      </c>
      <c r="G2109" s="607" t="s">
        <v>1594</v>
      </c>
      <c r="H2109" s="607" t="s">
        <v>1594</v>
      </c>
      <c r="I2109" s="608" t="s">
        <v>2529</v>
      </c>
      <c r="J2109" s="608" t="str">
        <f t="shared" si="66"/>
        <v>Consumer Electronics</v>
      </c>
      <c r="N2109" s="822">
        <v>541940</v>
      </c>
      <c r="O2109" s="822" t="s">
        <v>4269</v>
      </c>
      <c r="P2109" s="823">
        <v>742</v>
      </c>
      <c r="Q2109" s="823" t="s">
        <v>4273</v>
      </c>
    </row>
    <row r="2110" spans="2:17" s="608" customFormat="1" x14ac:dyDescent="0.25">
      <c r="B2110" s="605" t="s">
        <v>4722</v>
      </c>
      <c r="C2110" s="606">
        <f t="shared" si="65"/>
        <v>811219</v>
      </c>
      <c r="D2110" s="607" t="s">
        <v>4723</v>
      </c>
      <c r="E2110" s="605" t="s">
        <v>3367</v>
      </c>
      <c r="F2110" s="607" t="s">
        <v>3368</v>
      </c>
      <c r="G2110" s="607" t="s">
        <v>1594</v>
      </c>
      <c r="H2110" s="607" t="s">
        <v>1594</v>
      </c>
      <c r="I2110" s="608" t="s">
        <v>2529</v>
      </c>
      <c r="J2110" s="608" t="str">
        <f t="shared" si="66"/>
        <v>Consumer Electronics</v>
      </c>
      <c r="N2110" s="822">
        <v>541940</v>
      </c>
      <c r="O2110" s="822" t="s">
        <v>4269</v>
      </c>
      <c r="P2110" s="823">
        <v>8734</v>
      </c>
      <c r="Q2110" s="823" t="s">
        <v>4174</v>
      </c>
    </row>
    <row r="2111" spans="2:17" s="608" customFormat="1" x14ac:dyDescent="0.25">
      <c r="B2111" s="605" t="s">
        <v>4722</v>
      </c>
      <c r="C2111" s="606">
        <f t="shared" si="65"/>
        <v>811219</v>
      </c>
      <c r="D2111" s="607" t="s">
        <v>4723</v>
      </c>
      <c r="E2111" s="605" t="s">
        <v>1070</v>
      </c>
      <c r="F2111" s="607" t="s">
        <v>1071</v>
      </c>
      <c r="G2111" s="607" t="s">
        <v>1594</v>
      </c>
      <c r="H2111" s="607" t="s">
        <v>1594</v>
      </c>
      <c r="I2111" s="608" t="s">
        <v>2529</v>
      </c>
      <c r="J2111" s="608" t="str">
        <f t="shared" si="66"/>
        <v>Consumer Electronics</v>
      </c>
      <c r="N2111" s="822">
        <v>541990</v>
      </c>
      <c r="O2111" s="822" t="s">
        <v>4275</v>
      </c>
      <c r="P2111" s="823">
        <v>4499</v>
      </c>
      <c r="Q2111" s="823" t="s">
        <v>3608</v>
      </c>
    </row>
    <row r="2112" spans="2:17" s="608" customFormat="1" ht="30" x14ac:dyDescent="0.25">
      <c r="B2112" s="605" t="s">
        <v>4724</v>
      </c>
      <c r="C2112" s="606">
        <f t="shared" si="65"/>
        <v>811310</v>
      </c>
      <c r="D2112" s="607" t="s">
        <v>4725</v>
      </c>
      <c r="E2112" s="607" t="s">
        <v>3365</v>
      </c>
      <c r="F2112" s="607" t="s">
        <v>3366</v>
      </c>
      <c r="G2112" s="607" t="s">
        <v>1019</v>
      </c>
      <c r="H2112" s="607" t="s">
        <v>1019</v>
      </c>
      <c r="I2112" s="607" t="s">
        <v>2476</v>
      </c>
      <c r="J2112" s="608" t="str">
        <f t="shared" si="66"/>
        <v>Machinery</v>
      </c>
      <c r="N2112" s="822">
        <v>541990</v>
      </c>
      <c r="O2112" s="822" t="s">
        <v>4275</v>
      </c>
      <c r="P2112" s="823">
        <v>7299</v>
      </c>
      <c r="Q2112" s="823" t="s">
        <v>4097</v>
      </c>
    </row>
    <row r="2113" spans="2:17" s="608" customFormat="1" ht="30" x14ac:dyDescent="0.25">
      <c r="B2113" s="605" t="s">
        <v>4724</v>
      </c>
      <c r="C2113" s="606">
        <f t="shared" si="65"/>
        <v>811310</v>
      </c>
      <c r="D2113" s="607" t="s">
        <v>4725</v>
      </c>
      <c r="E2113" s="607" t="s">
        <v>4726</v>
      </c>
      <c r="F2113" s="607" t="s">
        <v>4727</v>
      </c>
      <c r="G2113" s="607" t="s">
        <v>1019</v>
      </c>
      <c r="H2113" s="607" t="s">
        <v>1019</v>
      </c>
      <c r="I2113" s="607" t="s">
        <v>2476</v>
      </c>
      <c r="J2113" s="608" t="str">
        <f t="shared" si="66"/>
        <v>Machinery</v>
      </c>
      <c r="N2113" s="822">
        <v>541990</v>
      </c>
      <c r="O2113" s="822" t="s">
        <v>4275</v>
      </c>
      <c r="P2113" s="823">
        <v>7389</v>
      </c>
      <c r="Q2113" s="823" t="s">
        <v>1589</v>
      </c>
    </row>
    <row r="2114" spans="2:17" s="608" customFormat="1" ht="30" x14ac:dyDescent="0.25">
      <c r="B2114" s="605" t="s">
        <v>4724</v>
      </c>
      <c r="C2114" s="606">
        <f t="shared" ref="C2114:C2177" si="67">B2114+0</f>
        <v>811310</v>
      </c>
      <c r="D2114" s="607" t="s">
        <v>4725</v>
      </c>
      <c r="E2114" s="607" t="s">
        <v>2800</v>
      </c>
      <c r="F2114" s="607" t="s">
        <v>2801</v>
      </c>
      <c r="G2114" s="607" t="s">
        <v>1019</v>
      </c>
      <c r="H2114" s="607" t="s">
        <v>1019</v>
      </c>
      <c r="I2114" s="607" t="s">
        <v>2476</v>
      </c>
      <c r="J2114" s="608" t="str">
        <f t="shared" si="66"/>
        <v>Machinery</v>
      </c>
      <c r="N2114" s="822">
        <v>541990</v>
      </c>
      <c r="O2114" s="822" t="s">
        <v>4275</v>
      </c>
      <c r="P2114" s="823">
        <v>8999</v>
      </c>
      <c r="Q2114" s="823" t="s">
        <v>3817</v>
      </c>
    </row>
    <row r="2115" spans="2:17" s="608" customFormat="1" ht="30" x14ac:dyDescent="0.25">
      <c r="B2115" s="605" t="s">
        <v>4724</v>
      </c>
      <c r="C2115" s="606">
        <f t="shared" si="67"/>
        <v>811310</v>
      </c>
      <c r="D2115" s="607" t="s">
        <v>4725</v>
      </c>
      <c r="E2115" s="607" t="s">
        <v>1070</v>
      </c>
      <c r="F2115" s="607" t="s">
        <v>1071</v>
      </c>
      <c r="G2115" s="607" t="s">
        <v>1019</v>
      </c>
      <c r="H2115" s="607" t="s">
        <v>1019</v>
      </c>
      <c r="I2115" s="607" t="s">
        <v>2476</v>
      </c>
      <c r="J2115" s="608" t="str">
        <f t="shared" si="66"/>
        <v>Machinery</v>
      </c>
      <c r="N2115" s="822">
        <v>551111</v>
      </c>
      <c r="O2115" s="822" t="s">
        <v>4277</v>
      </c>
      <c r="P2115" s="823">
        <v>6712</v>
      </c>
      <c r="Q2115" s="823" t="s">
        <v>4279</v>
      </c>
    </row>
    <row r="2116" spans="2:17" s="608" customFormat="1" x14ac:dyDescent="0.25">
      <c r="B2116" s="605" t="s">
        <v>4728</v>
      </c>
      <c r="C2116" s="606">
        <f t="shared" si="67"/>
        <v>811411</v>
      </c>
      <c r="D2116" s="607" t="s">
        <v>4729</v>
      </c>
      <c r="E2116" s="607" t="s">
        <v>1070</v>
      </c>
      <c r="F2116" s="607" t="s">
        <v>1071</v>
      </c>
      <c r="G2116" s="607" t="s">
        <v>1594</v>
      </c>
      <c r="H2116" s="607" t="s">
        <v>1594</v>
      </c>
      <c r="I2116" s="607" t="s">
        <v>2673</v>
      </c>
      <c r="J2116" s="608" t="str">
        <f t="shared" si="66"/>
        <v>Household Appliances</v>
      </c>
      <c r="N2116" s="822">
        <v>551112</v>
      </c>
      <c r="O2116" s="822" t="s">
        <v>4281</v>
      </c>
      <c r="P2116" s="823">
        <v>6719</v>
      </c>
      <c r="Q2116" s="823" t="s">
        <v>4283</v>
      </c>
    </row>
    <row r="2117" spans="2:17" s="608" customFormat="1" x14ac:dyDescent="0.25">
      <c r="B2117" s="605" t="s">
        <v>4730</v>
      </c>
      <c r="C2117" s="606">
        <f t="shared" si="67"/>
        <v>811412</v>
      </c>
      <c r="D2117" s="607" t="s">
        <v>4731</v>
      </c>
      <c r="E2117" s="607" t="s">
        <v>3365</v>
      </c>
      <c r="F2117" s="607" t="s">
        <v>3366</v>
      </c>
      <c r="G2117" s="607" t="s">
        <v>1594</v>
      </c>
      <c r="H2117" s="607" t="s">
        <v>1594</v>
      </c>
      <c r="I2117" s="607" t="s">
        <v>2673</v>
      </c>
      <c r="J2117" s="608" t="str">
        <f t="shared" si="66"/>
        <v>Household Appliances</v>
      </c>
      <c r="N2117" s="822">
        <v>551114</v>
      </c>
      <c r="O2117" s="822" t="s">
        <v>4285</v>
      </c>
      <c r="P2117" s="823"/>
      <c r="Q2117" s="823" t="s">
        <v>958</v>
      </c>
    </row>
    <row r="2118" spans="2:17" s="608" customFormat="1" x14ac:dyDescent="0.25">
      <c r="B2118" s="605" t="s">
        <v>4730</v>
      </c>
      <c r="C2118" s="606">
        <f t="shared" si="67"/>
        <v>811412</v>
      </c>
      <c r="D2118" s="607" t="s">
        <v>4731</v>
      </c>
      <c r="E2118" s="607" t="s">
        <v>3367</v>
      </c>
      <c r="F2118" s="607" t="s">
        <v>3368</v>
      </c>
      <c r="G2118" s="607" t="s">
        <v>1594</v>
      </c>
      <c r="H2118" s="607" t="s">
        <v>1594</v>
      </c>
      <c r="I2118" s="607" t="s">
        <v>2673</v>
      </c>
      <c r="J2118" s="608" t="str">
        <f t="shared" si="66"/>
        <v>Household Appliances</v>
      </c>
      <c r="N2118" s="822">
        <v>551299</v>
      </c>
      <c r="O2118" s="822" t="s">
        <v>6022</v>
      </c>
      <c r="P2118" s="823"/>
      <c r="Q2118" s="823" t="s">
        <v>958</v>
      </c>
    </row>
    <row r="2119" spans="2:17" s="608" customFormat="1" x14ac:dyDescent="0.25">
      <c r="B2119" s="605" t="s">
        <v>4730</v>
      </c>
      <c r="C2119" s="606">
        <f t="shared" si="67"/>
        <v>811412</v>
      </c>
      <c r="D2119" s="607" t="s">
        <v>4731</v>
      </c>
      <c r="E2119" s="607" t="s">
        <v>1070</v>
      </c>
      <c r="F2119" s="607" t="s">
        <v>1071</v>
      </c>
      <c r="G2119" s="607" t="s">
        <v>1594</v>
      </c>
      <c r="H2119" s="607" t="s">
        <v>1594</v>
      </c>
      <c r="I2119" s="607" t="s">
        <v>2673</v>
      </c>
      <c r="J2119" s="608" t="str">
        <f t="shared" si="66"/>
        <v>Household Appliances</v>
      </c>
      <c r="N2119" s="822">
        <v>561000</v>
      </c>
      <c r="O2119" s="822" t="s">
        <v>6023</v>
      </c>
      <c r="P2119" s="823"/>
      <c r="Q2119" s="823" t="s">
        <v>958</v>
      </c>
    </row>
    <row r="2120" spans="2:17" s="608" customFormat="1" x14ac:dyDescent="0.25">
      <c r="B2120" s="605" t="s">
        <v>4732</v>
      </c>
      <c r="C2120" s="606">
        <f t="shared" si="67"/>
        <v>811420</v>
      </c>
      <c r="D2120" s="607" t="s">
        <v>4733</v>
      </c>
      <c r="E2120" s="607" t="s">
        <v>3698</v>
      </c>
      <c r="F2120" s="607" t="s">
        <v>3699</v>
      </c>
      <c r="G2120" s="607" t="s">
        <v>1594</v>
      </c>
      <c r="H2120" s="607" t="s">
        <v>1594</v>
      </c>
      <c r="I2120" s="607" t="s">
        <v>1595</v>
      </c>
      <c r="J2120" s="608" t="str">
        <f t="shared" si="66"/>
        <v>Home Furnishings</v>
      </c>
      <c r="N2120" s="822">
        <v>561110</v>
      </c>
      <c r="O2120" s="822" t="s">
        <v>4287</v>
      </c>
      <c r="P2120" s="823">
        <v>8741</v>
      </c>
      <c r="Q2120" s="823" t="s">
        <v>1257</v>
      </c>
    </row>
    <row r="2121" spans="2:17" s="608" customFormat="1" x14ac:dyDescent="0.25">
      <c r="B2121" s="605" t="s">
        <v>4732</v>
      </c>
      <c r="C2121" s="606">
        <f t="shared" si="67"/>
        <v>811420</v>
      </c>
      <c r="D2121" s="607" t="s">
        <v>4733</v>
      </c>
      <c r="E2121" s="607" t="s">
        <v>4734</v>
      </c>
      <c r="F2121" s="607" t="s">
        <v>4733</v>
      </c>
      <c r="G2121" s="607" t="s">
        <v>1594</v>
      </c>
      <c r="H2121" s="607" t="s">
        <v>1594</v>
      </c>
      <c r="I2121" s="607" t="s">
        <v>1595</v>
      </c>
      <c r="J2121" s="608" t="str">
        <f t="shared" si="66"/>
        <v>Home Furnishings</v>
      </c>
      <c r="N2121" s="822">
        <v>561210</v>
      </c>
      <c r="O2121" s="822" t="s">
        <v>4289</v>
      </c>
      <c r="P2121" s="823">
        <v>8744</v>
      </c>
      <c r="Q2121" s="823" t="s">
        <v>4289</v>
      </c>
    </row>
    <row r="2122" spans="2:17" s="608" customFormat="1" x14ac:dyDescent="0.25">
      <c r="B2122" s="605" t="s">
        <v>4735</v>
      </c>
      <c r="C2122" s="606">
        <f t="shared" si="67"/>
        <v>811430</v>
      </c>
      <c r="D2122" s="607" t="s">
        <v>4736</v>
      </c>
      <c r="E2122" s="607" t="s">
        <v>4737</v>
      </c>
      <c r="F2122" s="607" t="s">
        <v>4738</v>
      </c>
      <c r="G2122" s="607" t="s">
        <v>1594</v>
      </c>
      <c r="H2122" s="607" t="s">
        <v>1594</v>
      </c>
      <c r="I2122" s="607" t="s">
        <v>1608</v>
      </c>
      <c r="J2122" s="608" t="str">
        <f t="shared" si="66"/>
        <v>Textile Apparel Luxury Goods</v>
      </c>
      <c r="N2122" s="822">
        <v>561310</v>
      </c>
      <c r="O2122" s="822" t="s">
        <v>6024</v>
      </c>
      <c r="P2122" s="823"/>
      <c r="Q2122" s="823" t="s">
        <v>958</v>
      </c>
    </row>
    <row r="2123" spans="2:17" s="608" customFormat="1" x14ac:dyDescent="0.25">
      <c r="B2123" s="605" t="s">
        <v>4735</v>
      </c>
      <c r="C2123" s="606">
        <f t="shared" si="67"/>
        <v>811430</v>
      </c>
      <c r="D2123" s="607" t="s">
        <v>4736</v>
      </c>
      <c r="E2123" s="607" t="s">
        <v>1070</v>
      </c>
      <c r="F2123" s="607" t="s">
        <v>1071</v>
      </c>
      <c r="G2123" s="607" t="s">
        <v>1594</v>
      </c>
      <c r="H2123" s="607" t="s">
        <v>1594</v>
      </c>
      <c r="I2123" s="607" t="s">
        <v>1608</v>
      </c>
      <c r="J2123" s="608" t="str">
        <f t="shared" si="66"/>
        <v>Textile Apparel Luxury Goods</v>
      </c>
      <c r="N2123" s="822">
        <v>561311</v>
      </c>
      <c r="O2123" s="822" t="s">
        <v>4292</v>
      </c>
      <c r="P2123" s="823">
        <v>7299</v>
      </c>
      <c r="Q2123" s="823" t="s">
        <v>4097</v>
      </c>
    </row>
    <row r="2124" spans="2:17" s="608" customFormat="1" x14ac:dyDescent="0.25">
      <c r="B2124" s="605" t="s">
        <v>4739</v>
      </c>
      <c r="C2124" s="606">
        <f t="shared" si="67"/>
        <v>811490</v>
      </c>
      <c r="D2124" s="607" t="s">
        <v>4740</v>
      </c>
      <c r="E2124" s="607" t="s">
        <v>2921</v>
      </c>
      <c r="F2124" s="607" t="s">
        <v>2922</v>
      </c>
      <c r="G2124" s="607" t="s">
        <v>1594</v>
      </c>
      <c r="H2124" s="607" t="s">
        <v>1594</v>
      </c>
      <c r="I2124" s="607" t="s">
        <v>1595</v>
      </c>
      <c r="J2124" s="608" t="str">
        <f t="shared" si="66"/>
        <v>Home Furnishings</v>
      </c>
      <c r="N2124" s="822">
        <v>561311</v>
      </c>
      <c r="O2124" s="822" t="s">
        <v>4292</v>
      </c>
      <c r="P2124" s="823">
        <v>7361</v>
      </c>
      <c r="Q2124" s="823" t="s">
        <v>4208</v>
      </c>
    </row>
    <row r="2125" spans="2:17" s="608" customFormat="1" x14ac:dyDescent="0.25">
      <c r="B2125" s="605" t="s">
        <v>4739</v>
      </c>
      <c r="C2125" s="606">
        <f t="shared" si="67"/>
        <v>811490</v>
      </c>
      <c r="D2125" s="607" t="s">
        <v>4740</v>
      </c>
      <c r="E2125" s="607" t="s">
        <v>4741</v>
      </c>
      <c r="F2125" s="607" t="s">
        <v>4742</v>
      </c>
      <c r="G2125" s="607" t="s">
        <v>1594</v>
      </c>
      <c r="H2125" s="607" t="s">
        <v>1594</v>
      </c>
      <c r="I2125" s="607" t="s">
        <v>1595</v>
      </c>
      <c r="J2125" s="608" t="str">
        <f t="shared" si="66"/>
        <v>Home Furnishings</v>
      </c>
      <c r="N2125" s="822">
        <v>561311</v>
      </c>
      <c r="O2125" s="822" t="s">
        <v>4292</v>
      </c>
      <c r="P2125" s="823">
        <v>7819</v>
      </c>
      <c r="Q2125" s="823" t="s">
        <v>2763</v>
      </c>
    </row>
    <row r="2126" spans="2:17" s="608" customFormat="1" x14ac:dyDescent="0.25">
      <c r="B2126" s="605" t="s">
        <v>4739</v>
      </c>
      <c r="C2126" s="606">
        <f t="shared" si="67"/>
        <v>811490</v>
      </c>
      <c r="D2126" s="607" t="s">
        <v>4740</v>
      </c>
      <c r="E2126" s="607" t="s">
        <v>3470</v>
      </c>
      <c r="F2126" s="607" t="s">
        <v>3471</v>
      </c>
      <c r="G2126" s="607" t="s">
        <v>1594</v>
      </c>
      <c r="H2126" s="607" t="s">
        <v>1594</v>
      </c>
      <c r="I2126" s="607" t="s">
        <v>1595</v>
      </c>
      <c r="J2126" s="608" t="str">
        <f t="shared" si="66"/>
        <v>Home Furnishings</v>
      </c>
      <c r="N2126" s="822">
        <v>561311</v>
      </c>
      <c r="O2126" s="822" t="s">
        <v>4292</v>
      </c>
      <c r="P2126" s="823">
        <v>7922</v>
      </c>
      <c r="Q2126" s="823" t="s">
        <v>3825</v>
      </c>
    </row>
    <row r="2127" spans="2:17" s="608" customFormat="1" x14ac:dyDescent="0.25">
      <c r="B2127" s="605" t="s">
        <v>4739</v>
      </c>
      <c r="C2127" s="606">
        <f t="shared" si="67"/>
        <v>811490</v>
      </c>
      <c r="D2127" s="607" t="s">
        <v>4740</v>
      </c>
      <c r="E2127" s="607" t="s">
        <v>1070</v>
      </c>
      <c r="F2127" s="607" t="s">
        <v>1071</v>
      </c>
      <c r="G2127" s="607" t="s">
        <v>1594</v>
      </c>
      <c r="H2127" s="607" t="s">
        <v>1594</v>
      </c>
      <c r="I2127" s="607" t="s">
        <v>1595</v>
      </c>
      <c r="J2127" s="608" t="str">
        <f t="shared" ref="J2127:J2190" si="68">PROPER(I2127)</f>
        <v>Home Furnishings</v>
      </c>
      <c r="N2127" s="822">
        <v>561312</v>
      </c>
      <c r="O2127" s="822" t="s">
        <v>4294</v>
      </c>
      <c r="P2127" s="823">
        <v>7361</v>
      </c>
      <c r="Q2127" s="823" t="s">
        <v>4208</v>
      </c>
    </row>
    <row r="2128" spans="2:17" s="608" customFormat="1" x14ac:dyDescent="0.25">
      <c r="B2128" s="605" t="s">
        <v>4743</v>
      </c>
      <c r="C2128" s="606">
        <f t="shared" si="67"/>
        <v>812111</v>
      </c>
      <c r="D2128" s="607" t="s">
        <v>4431</v>
      </c>
      <c r="E2128" s="605" t="s">
        <v>4430</v>
      </c>
      <c r="F2128" s="607" t="s">
        <v>4431</v>
      </c>
      <c r="G2128" s="607" t="s">
        <v>1594</v>
      </c>
      <c r="H2128" s="607" t="s">
        <v>1594</v>
      </c>
      <c r="I2128" s="607" t="s">
        <v>1921</v>
      </c>
      <c r="J2128" s="608" t="str">
        <f t="shared" si="68"/>
        <v>Commercial &amp; Professional Services</v>
      </c>
      <c r="N2128" s="822">
        <v>561312</v>
      </c>
      <c r="O2128" s="822" t="s">
        <v>4294</v>
      </c>
      <c r="P2128" s="823">
        <v>8742</v>
      </c>
      <c r="Q2128" s="823" t="s">
        <v>4204</v>
      </c>
    </row>
    <row r="2129" spans="2:17" s="608" customFormat="1" x14ac:dyDescent="0.25">
      <c r="B2129" s="605" t="s">
        <v>4744</v>
      </c>
      <c r="C2129" s="606">
        <f t="shared" si="67"/>
        <v>812112</v>
      </c>
      <c r="D2129" s="607" t="s">
        <v>4745</v>
      </c>
      <c r="E2129" s="605" t="s">
        <v>4428</v>
      </c>
      <c r="F2129" s="607" t="s">
        <v>4429</v>
      </c>
      <c r="G2129" s="607" t="s">
        <v>1594</v>
      </c>
      <c r="H2129" s="607" t="s">
        <v>1594</v>
      </c>
      <c r="I2129" s="607" t="s">
        <v>1921</v>
      </c>
      <c r="J2129" s="608" t="str">
        <f t="shared" si="68"/>
        <v>Commercial &amp; Professional Services</v>
      </c>
      <c r="N2129" s="822">
        <v>561312</v>
      </c>
      <c r="O2129" s="822" t="s">
        <v>4294</v>
      </c>
      <c r="P2129" s="823">
        <v>8999</v>
      </c>
      <c r="Q2129" s="823" t="s">
        <v>3817</v>
      </c>
    </row>
    <row r="2130" spans="2:17" s="608" customFormat="1" x14ac:dyDescent="0.25">
      <c r="B2130" s="605" t="s">
        <v>4746</v>
      </c>
      <c r="C2130" s="606">
        <f t="shared" si="67"/>
        <v>812113</v>
      </c>
      <c r="D2130" s="607" t="s">
        <v>4747</v>
      </c>
      <c r="E2130" s="605" t="s">
        <v>4428</v>
      </c>
      <c r="F2130" s="607" t="s">
        <v>4429</v>
      </c>
      <c r="G2130" s="607" t="s">
        <v>1594</v>
      </c>
      <c r="H2130" s="607" t="s">
        <v>1594</v>
      </c>
      <c r="I2130" s="607" t="s">
        <v>1921</v>
      </c>
      <c r="J2130" s="608" t="str">
        <f t="shared" si="68"/>
        <v>Commercial &amp; Professional Services</v>
      </c>
      <c r="N2130" s="822">
        <v>561320</v>
      </c>
      <c r="O2130" s="822" t="s">
        <v>4296</v>
      </c>
      <c r="P2130" s="823">
        <v>7363</v>
      </c>
      <c r="Q2130" s="823" t="s">
        <v>4298</v>
      </c>
    </row>
    <row r="2131" spans="2:17" s="608" customFormat="1" x14ac:dyDescent="0.25">
      <c r="B2131" s="605" t="s">
        <v>4748</v>
      </c>
      <c r="C2131" s="606">
        <f t="shared" si="67"/>
        <v>812191</v>
      </c>
      <c r="D2131" s="607" t="s">
        <v>4749</v>
      </c>
      <c r="E2131" s="605" t="s">
        <v>4096</v>
      </c>
      <c r="F2131" s="607" t="s">
        <v>4097</v>
      </c>
      <c r="G2131" s="607" t="s">
        <v>1594</v>
      </c>
      <c r="H2131" s="607" t="s">
        <v>1594</v>
      </c>
      <c r="I2131" s="607" t="s">
        <v>1921</v>
      </c>
      <c r="J2131" s="608" t="str">
        <f t="shared" si="68"/>
        <v>Commercial &amp; Professional Services</v>
      </c>
      <c r="N2131" s="822">
        <v>561330</v>
      </c>
      <c r="O2131" s="822" t="s">
        <v>4300</v>
      </c>
      <c r="P2131" s="823">
        <v>7363</v>
      </c>
      <c r="Q2131" s="823" t="s">
        <v>4298</v>
      </c>
    </row>
    <row r="2132" spans="2:17" s="608" customFormat="1" x14ac:dyDescent="0.25">
      <c r="B2132" s="605" t="s">
        <v>4750</v>
      </c>
      <c r="C2132" s="606">
        <f t="shared" si="67"/>
        <v>812199</v>
      </c>
      <c r="D2132" s="607" t="s">
        <v>4751</v>
      </c>
      <c r="E2132" s="605" t="s">
        <v>4096</v>
      </c>
      <c r="F2132" s="607" t="s">
        <v>4097</v>
      </c>
      <c r="G2132" s="607" t="s">
        <v>1594</v>
      </c>
      <c r="H2132" s="607" t="s">
        <v>1594</v>
      </c>
      <c r="I2132" s="607" t="s">
        <v>1921</v>
      </c>
      <c r="J2132" s="608" t="str">
        <f t="shared" si="68"/>
        <v>Commercial &amp; Professional Services</v>
      </c>
      <c r="N2132" s="822">
        <v>561410</v>
      </c>
      <c r="O2132" s="822" t="s">
        <v>4302</v>
      </c>
      <c r="P2132" s="823">
        <v>7338</v>
      </c>
      <c r="Q2132" s="823" t="s">
        <v>4304</v>
      </c>
    </row>
    <row r="2133" spans="2:17" s="608" customFormat="1" x14ac:dyDescent="0.25">
      <c r="B2133" s="605" t="s">
        <v>4752</v>
      </c>
      <c r="C2133" s="606">
        <f t="shared" si="67"/>
        <v>812210</v>
      </c>
      <c r="D2133" s="607" t="s">
        <v>4753</v>
      </c>
      <c r="E2133" s="605" t="s">
        <v>4754</v>
      </c>
      <c r="F2133" s="607" t="s">
        <v>4755</v>
      </c>
      <c r="G2133" s="607" t="s">
        <v>1594</v>
      </c>
      <c r="H2133" s="607" t="s">
        <v>1594</v>
      </c>
      <c r="I2133" s="607" t="s">
        <v>1921</v>
      </c>
      <c r="J2133" s="608" t="str">
        <f t="shared" si="68"/>
        <v>Commercial &amp; Professional Services</v>
      </c>
      <c r="N2133" s="822">
        <v>561410</v>
      </c>
      <c r="O2133" s="822" t="s">
        <v>4302</v>
      </c>
      <c r="P2133" s="823">
        <v>7389</v>
      </c>
      <c r="Q2133" s="823" t="s">
        <v>1589</v>
      </c>
    </row>
    <row r="2134" spans="2:17" s="608" customFormat="1" x14ac:dyDescent="0.25">
      <c r="B2134" s="605" t="s">
        <v>4756</v>
      </c>
      <c r="C2134" s="606">
        <f t="shared" si="67"/>
        <v>812220</v>
      </c>
      <c r="D2134" s="607" t="s">
        <v>4757</v>
      </c>
      <c r="E2134" s="607" t="s">
        <v>4052</v>
      </c>
      <c r="F2134" s="607" t="s">
        <v>4053</v>
      </c>
      <c r="G2134" s="607" t="s">
        <v>4044</v>
      </c>
      <c r="H2134" s="607" t="s">
        <v>4044</v>
      </c>
      <c r="I2134" s="607" t="s">
        <v>1921</v>
      </c>
      <c r="J2134" s="608" t="str">
        <f t="shared" si="68"/>
        <v>Commercial &amp; Professional Services</v>
      </c>
      <c r="N2134" s="822">
        <v>561421</v>
      </c>
      <c r="O2134" s="822" t="s">
        <v>4306</v>
      </c>
      <c r="P2134" s="823">
        <v>7389</v>
      </c>
      <c r="Q2134" s="823" t="s">
        <v>1589</v>
      </c>
    </row>
    <row r="2135" spans="2:17" s="608" customFormat="1" x14ac:dyDescent="0.25">
      <c r="B2135" s="605" t="s">
        <v>4756</v>
      </c>
      <c r="C2135" s="606">
        <f t="shared" si="67"/>
        <v>812220</v>
      </c>
      <c r="D2135" s="607" t="s">
        <v>4757</v>
      </c>
      <c r="E2135" s="607" t="s">
        <v>4758</v>
      </c>
      <c r="F2135" s="607" t="s">
        <v>4759</v>
      </c>
      <c r="G2135" s="607" t="s">
        <v>4044</v>
      </c>
      <c r="H2135" s="607" t="s">
        <v>4044</v>
      </c>
      <c r="I2135" s="607" t="s">
        <v>1921</v>
      </c>
      <c r="J2135" s="608" t="str">
        <f t="shared" si="68"/>
        <v>Commercial &amp; Professional Services</v>
      </c>
      <c r="N2135" s="822">
        <v>561422</v>
      </c>
      <c r="O2135" s="822" t="s">
        <v>4308</v>
      </c>
      <c r="P2135" s="823">
        <v>7389</v>
      </c>
      <c r="Q2135" s="823" t="s">
        <v>1589</v>
      </c>
    </row>
    <row r="2136" spans="2:17" s="608" customFormat="1" x14ac:dyDescent="0.25">
      <c r="B2136" s="605" t="s">
        <v>4756</v>
      </c>
      <c r="C2136" s="606">
        <f t="shared" si="67"/>
        <v>812220</v>
      </c>
      <c r="D2136" s="607" t="s">
        <v>4757</v>
      </c>
      <c r="E2136" s="605" t="s">
        <v>4754</v>
      </c>
      <c r="F2136" s="607" t="s">
        <v>4755</v>
      </c>
      <c r="G2136" s="607" t="s">
        <v>1019</v>
      </c>
      <c r="H2136" s="607" t="s">
        <v>1019</v>
      </c>
      <c r="I2136" s="607" t="s">
        <v>1921</v>
      </c>
      <c r="J2136" s="608" t="str">
        <f t="shared" si="68"/>
        <v>Commercial &amp; Professional Services</v>
      </c>
      <c r="N2136" s="822">
        <v>561431</v>
      </c>
      <c r="O2136" s="822" t="s">
        <v>4310</v>
      </c>
      <c r="P2136" s="823">
        <v>7389</v>
      </c>
      <c r="Q2136" s="823" t="s">
        <v>1589</v>
      </c>
    </row>
    <row r="2137" spans="2:17" s="608" customFormat="1" x14ac:dyDescent="0.25">
      <c r="B2137" s="605" t="s">
        <v>4760</v>
      </c>
      <c r="C2137" s="606">
        <f t="shared" si="67"/>
        <v>812310</v>
      </c>
      <c r="D2137" s="607" t="s">
        <v>4761</v>
      </c>
      <c r="E2137" s="605" t="s">
        <v>4762</v>
      </c>
      <c r="F2137" s="607" t="s">
        <v>4763</v>
      </c>
      <c r="G2137" s="607" t="s">
        <v>1019</v>
      </c>
      <c r="H2137" s="607" t="s">
        <v>1019</v>
      </c>
      <c r="I2137" s="607" t="s">
        <v>1921</v>
      </c>
      <c r="J2137" s="608" t="str">
        <f t="shared" si="68"/>
        <v>Commercial &amp; Professional Services</v>
      </c>
      <c r="N2137" s="822">
        <v>561439</v>
      </c>
      <c r="O2137" s="822" t="s">
        <v>4312</v>
      </c>
      <c r="P2137" s="823">
        <v>7334</v>
      </c>
      <c r="Q2137" s="823" t="s">
        <v>1918</v>
      </c>
    </row>
    <row r="2138" spans="2:17" s="608" customFormat="1" x14ac:dyDescent="0.25">
      <c r="B2138" s="605" t="s">
        <v>4764</v>
      </c>
      <c r="C2138" s="606">
        <f t="shared" si="67"/>
        <v>812320</v>
      </c>
      <c r="D2138" s="607" t="s">
        <v>4765</v>
      </c>
      <c r="E2138" s="607" t="s">
        <v>4766</v>
      </c>
      <c r="F2138" s="607" t="s">
        <v>4767</v>
      </c>
      <c r="G2138" s="609" t="s">
        <v>1594</v>
      </c>
      <c r="H2138" s="607" t="s">
        <v>1594</v>
      </c>
      <c r="I2138" s="607" t="s">
        <v>1921</v>
      </c>
      <c r="J2138" s="608" t="str">
        <f t="shared" si="68"/>
        <v>Commercial &amp; Professional Services</v>
      </c>
      <c r="N2138" s="822">
        <v>561439</v>
      </c>
      <c r="O2138" s="822" t="s">
        <v>4312</v>
      </c>
      <c r="P2138" s="823">
        <v>7389</v>
      </c>
      <c r="Q2138" s="823" t="s">
        <v>1589</v>
      </c>
    </row>
    <row r="2139" spans="2:17" s="608" customFormat="1" x14ac:dyDescent="0.25">
      <c r="B2139" s="605" t="s">
        <v>4764</v>
      </c>
      <c r="C2139" s="606">
        <f t="shared" si="67"/>
        <v>812320</v>
      </c>
      <c r="D2139" s="607" t="s">
        <v>4765</v>
      </c>
      <c r="E2139" s="607" t="s">
        <v>4768</v>
      </c>
      <c r="F2139" s="607" t="s">
        <v>4769</v>
      </c>
      <c r="G2139" s="609" t="s">
        <v>1594</v>
      </c>
      <c r="H2139" s="607" t="s">
        <v>1594</v>
      </c>
      <c r="I2139" s="607" t="s">
        <v>1921</v>
      </c>
      <c r="J2139" s="608" t="str">
        <f t="shared" si="68"/>
        <v>Commercial &amp; Professional Services</v>
      </c>
      <c r="N2139" s="822">
        <v>561440</v>
      </c>
      <c r="O2139" s="822" t="s">
        <v>4314</v>
      </c>
      <c r="P2139" s="823">
        <v>7322</v>
      </c>
      <c r="Q2139" s="823" t="s">
        <v>4316</v>
      </c>
    </row>
    <row r="2140" spans="2:17" s="608" customFormat="1" x14ac:dyDescent="0.25">
      <c r="B2140" s="605" t="s">
        <v>4764</v>
      </c>
      <c r="C2140" s="606">
        <f t="shared" si="67"/>
        <v>812320</v>
      </c>
      <c r="D2140" s="607" t="s">
        <v>4765</v>
      </c>
      <c r="E2140" s="607" t="s">
        <v>4770</v>
      </c>
      <c r="F2140" s="607" t="s">
        <v>4771</v>
      </c>
      <c r="G2140" s="609" t="s">
        <v>1594</v>
      </c>
      <c r="H2140" s="607" t="s">
        <v>1594</v>
      </c>
      <c r="I2140" s="607" t="s">
        <v>1921</v>
      </c>
      <c r="J2140" s="608" t="str">
        <f t="shared" si="68"/>
        <v>Commercial &amp; Professional Services</v>
      </c>
      <c r="N2140" s="822">
        <v>561440</v>
      </c>
      <c r="O2140" s="822" t="s">
        <v>4314</v>
      </c>
      <c r="P2140" s="823">
        <v>7389</v>
      </c>
      <c r="Q2140" s="823" t="s">
        <v>1589</v>
      </c>
    </row>
    <row r="2141" spans="2:17" s="608" customFormat="1" x14ac:dyDescent="0.25">
      <c r="B2141" s="605" t="s">
        <v>4764</v>
      </c>
      <c r="C2141" s="606">
        <f t="shared" si="67"/>
        <v>812320</v>
      </c>
      <c r="D2141" s="607" t="s">
        <v>4765</v>
      </c>
      <c r="E2141" s="607" t="s">
        <v>4741</v>
      </c>
      <c r="F2141" s="607" t="s">
        <v>4742</v>
      </c>
      <c r="G2141" s="609" t="s">
        <v>1594</v>
      </c>
      <c r="H2141" s="607" t="s">
        <v>1594</v>
      </c>
      <c r="I2141" s="607" t="s">
        <v>1921</v>
      </c>
      <c r="J2141" s="608" t="str">
        <f t="shared" si="68"/>
        <v>Commercial &amp; Professional Services</v>
      </c>
      <c r="N2141" s="822">
        <v>561450</v>
      </c>
      <c r="O2141" s="822" t="s">
        <v>4318</v>
      </c>
      <c r="P2141" s="823">
        <v>7323</v>
      </c>
      <c r="Q2141" s="823" t="s">
        <v>4320</v>
      </c>
    </row>
    <row r="2142" spans="2:17" s="608" customFormat="1" x14ac:dyDescent="0.25">
      <c r="B2142" s="605" t="s">
        <v>4764</v>
      </c>
      <c r="C2142" s="606">
        <f t="shared" si="67"/>
        <v>812320</v>
      </c>
      <c r="D2142" s="607" t="s">
        <v>4765</v>
      </c>
      <c r="E2142" s="607" t="s">
        <v>4737</v>
      </c>
      <c r="F2142" s="607" t="s">
        <v>4738</v>
      </c>
      <c r="G2142" s="609" t="s">
        <v>1594</v>
      </c>
      <c r="H2142" s="607" t="s">
        <v>1594</v>
      </c>
      <c r="I2142" s="607" t="s">
        <v>1921</v>
      </c>
      <c r="J2142" s="608" t="str">
        <f t="shared" si="68"/>
        <v>Commercial &amp; Professional Services</v>
      </c>
      <c r="N2142" s="822">
        <v>561491</v>
      </c>
      <c r="O2142" s="822" t="s">
        <v>4322</v>
      </c>
      <c r="P2142" s="823">
        <v>7389</v>
      </c>
      <c r="Q2142" s="823" t="s">
        <v>1589</v>
      </c>
    </row>
    <row r="2143" spans="2:17" s="608" customFormat="1" x14ac:dyDescent="0.25">
      <c r="B2143" s="605" t="s">
        <v>4764</v>
      </c>
      <c r="C2143" s="606">
        <f t="shared" si="67"/>
        <v>812320</v>
      </c>
      <c r="D2143" s="607" t="s">
        <v>4765</v>
      </c>
      <c r="E2143" s="607" t="s">
        <v>1588</v>
      </c>
      <c r="F2143" s="607" t="s">
        <v>1589</v>
      </c>
      <c r="G2143" s="609" t="s">
        <v>1594</v>
      </c>
      <c r="H2143" s="607" t="s">
        <v>1594</v>
      </c>
      <c r="I2143" s="607" t="s">
        <v>1921</v>
      </c>
      <c r="J2143" s="608" t="str">
        <f t="shared" si="68"/>
        <v>Commercial &amp; Professional Services</v>
      </c>
      <c r="N2143" s="822">
        <v>561492</v>
      </c>
      <c r="O2143" s="822" t="s">
        <v>4324</v>
      </c>
      <c r="P2143" s="823">
        <v>7338</v>
      </c>
      <c r="Q2143" s="823" t="s">
        <v>4304</v>
      </c>
    </row>
    <row r="2144" spans="2:17" s="608" customFormat="1" x14ac:dyDescent="0.25">
      <c r="B2144" s="605" t="s">
        <v>4772</v>
      </c>
      <c r="C2144" s="606">
        <f t="shared" si="67"/>
        <v>812331</v>
      </c>
      <c r="D2144" s="607" t="s">
        <v>4773</v>
      </c>
      <c r="E2144" s="605" t="s">
        <v>4774</v>
      </c>
      <c r="F2144" s="607" t="s">
        <v>4773</v>
      </c>
      <c r="G2144" s="607" t="s">
        <v>1019</v>
      </c>
      <c r="H2144" s="607" t="s">
        <v>1019</v>
      </c>
      <c r="I2144" s="607" t="s">
        <v>1921</v>
      </c>
      <c r="J2144" s="608" t="str">
        <f t="shared" si="68"/>
        <v>Commercial &amp; Professional Services</v>
      </c>
      <c r="N2144" s="822">
        <v>561499</v>
      </c>
      <c r="O2144" s="822" t="s">
        <v>4326</v>
      </c>
      <c r="P2144" s="823">
        <v>7389</v>
      </c>
      <c r="Q2144" s="823" t="s">
        <v>1589</v>
      </c>
    </row>
    <row r="2145" spans="2:17" s="608" customFormat="1" x14ac:dyDescent="0.25">
      <c r="B2145" s="605" t="s">
        <v>4772</v>
      </c>
      <c r="C2145" s="606">
        <f t="shared" si="67"/>
        <v>812331</v>
      </c>
      <c r="D2145" s="607" t="s">
        <v>4773</v>
      </c>
      <c r="E2145" s="605" t="s">
        <v>4741</v>
      </c>
      <c r="F2145" s="607" t="s">
        <v>4742</v>
      </c>
      <c r="G2145" s="607" t="s">
        <v>1019</v>
      </c>
      <c r="H2145" s="607" t="s">
        <v>1019</v>
      </c>
      <c r="I2145" s="607" t="s">
        <v>1921</v>
      </c>
      <c r="J2145" s="608" t="str">
        <f t="shared" si="68"/>
        <v>Commercial &amp; Professional Services</v>
      </c>
      <c r="N2145" s="822">
        <v>561510</v>
      </c>
      <c r="O2145" s="822" t="s">
        <v>4328</v>
      </c>
      <c r="P2145" s="823">
        <v>4724</v>
      </c>
      <c r="Q2145" s="823" t="s">
        <v>4328</v>
      </c>
    </row>
    <row r="2146" spans="2:17" s="608" customFormat="1" x14ac:dyDescent="0.25">
      <c r="B2146" s="605" t="s">
        <v>4775</v>
      </c>
      <c r="C2146" s="606">
        <f t="shared" si="67"/>
        <v>812332</v>
      </c>
      <c r="D2146" s="607" t="s">
        <v>4776</v>
      </c>
      <c r="E2146" s="605" t="s">
        <v>4777</v>
      </c>
      <c r="F2146" s="607" t="s">
        <v>4776</v>
      </c>
      <c r="G2146" s="607" t="s">
        <v>1019</v>
      </c>
      <c r="H2146" s="607" t="s">
        <v>1019</v>
      </c>
      <c r="I2146" s="607" t="s">
        <v>1921</v>
      </c>
      <c r="J2146" s="608" t="str">
        <f t="shared" si="68"/>
        <v>Commercial &amp; Professional Services</v>
      </c>
      <c r="N2146" s="822">
        <v>561520</v>
      </c>
      <c r="O2146" s="822" t="s">
        <v>4331</v>
      </c>
      <c r="P2146" s="823">
        <v>4725</v>
      </c>
      <c r="Q2146" s="823" t="s">
        <v>4331</v>
      </c>
    </row>
    <row r="2147" spans="2:17" s="608" customFormat="1" x14ac:dyDescent="0.25">
      <c r="B2147" s="605" t="s">
        <v>4778</v>
      </c>
      <c r="C2147" s="606">
        <f t="shared" si="67"/>
        <v>812910</v>
      </c>
      <c r="D2147" s="607" t="s">
        <v>4779</v>
      </c>
      <c r="E2147" s="605" t="s">
        <v>1068</v>
      </c>
      <c r="F2147" s="607" t="s">
        <v>1069</v>
      </c>
      <c r="G2147" s="607" t="s">
        <v>1594</v>
      </c>
      <c r="H2147" s="607" t="s">
        <v>1594</v>
      </c>
      <c r="I2147" s="607" t="s">
        <v>1921</v>
      </c>
      <c r="J2147" s="608" t="str">
        <f t="shared" si="68"/>
        <v>Commercial &amp; Professional Services</v>
      </c>
      <c r="N2147" s="822">
        <v>561591</v>
      </c>
      <c r="O2147" s="822" t="s">
        <v>4334</v>
      </c>
      <c r="P2147" s="823">
        <v>7389</v>
      </c>
      <c r="Q2147" s="823" t="s">
        <v>1589</v>
      </c>
    </row>
    <row r="2148" spans="2:17" s="608" customFormat="1" x14ac:dyDescent="0.25">
      <c r="B2148" s="605" t="s">
        <v>4780</v>
      </c>
      <c r="C2148" s="606">
        <f t="shared" si="67"/>
        <v>812921</v>
      </c>
      <c r="D2148" s="607" t="s">
        <v>4781</v>
      </c>
      <c r="E2148" s="605" t="s">
        <v>4782</v>
      </c>
      <c r="F2148" s="607" t="s">
        <v>4783</v>
      </c>
      <c r="G2148" s="607" t="s">
        <v>1019</v>
      </c>
      <c r="H2148" s="607" t="s">
        <v>1019</v>
      </c>
      <c r="I2148" s="607" t="s">
        <v>1921</v>
      </c>
      <c r="J2148" s="608" t="str">
        <f t="shared" si="68"/>
        <v>Commercial &amp; Professional Services</v>
      </c>
      <c r="N2148" s="822">
        <v>561599</v>
      </c>
      <c r="O2148" s="822" t="s">
        <v>4336</v>
      </c>
      <c r="P2148" s="823">
        <v>4729</v>
      </c>
      <c r="Q2148" s="823" t="s">
        <v>3744</v>
      </c>
    </row>
    <row r="2149" spans="2:17" s="608" customFormat="1" x14ac:dyDescent="0.25">
      <c r="B2149" s="605" t="s">
        <v>4784</v>
      </c>
      <c r="C2149" s="606">
        <f t="shared" si="67"/>
        <v>812922</v>
      </c>
      <c r="D2149" s="607" t="s">
        <v>4785</v>
      </c>
      <c r="E2149" s="605" t="s">
        <v>4782</v>
      </c>
      <c r="F2149" s="607" t="s">
        <v>4783</v>
      </c>
      <c r="G2149" s="607" t="s">
        <v>1019</v>
      </c>
      <c r="H2149" s="607" t="s">
        <v>1019</v>
      </c>
      <c r="I2149" s="607" t="s">
        <v>1921</v>
      </c>
      <c r="J2149" s="608" t="str">
        <f t="shared" si="68"/>
        <v>Commercial &amp; Professional Services</v>
      </c>
      <c r="N2149" s="822">
        <v>561599</v>
      </c>
      <c r="O2149" s="822" t="s">
        <v>4336</v>
      </c>
      <c r="P2149" s="823">
        <v>7389</v>
      </c>
      <c r="Q2149" s="823" t="s">
        <v>1589</v>
      </c>
    </row>
    <row r="2150" spans="2:17" s="608" customFormat="1" x14ac:dyDescent="0.25">
      <c r="B2150" s="605" t="s">
        <v>4786</v>
      </c>
      <c r="C2150" s="606">
        <f t="shared" si="67"/>
        <v>812930</v>
      </c>
      <c r="D2150" s="607" t="s">
        <v>4787</v>
      </c>
      <c r="E2150" s="605" t="s">
        <v>4096</v>
      </c>
      <c r="F2150" s="607" t="s">
        <v>4097</v>
      </c>
      <c r="G2150" s="607" t="s">
        <v>1019</v>
      </c>
      <c r="H2150" s="607" t="s">
        <v>1019</v>
      </c>
      <c r="I2150" s="607" t="s">
        <v>1921</v>
      </c>
      <c r="J2150" s="608" t="str">
        <f t="shared" si="68"/>
        <v>Commercial &amp; Professional Services</v>
      </c>
      <c r="N2150" s="822">
        <v>561599</v>
      </c>
      <c r="O2150" s="822" t="s">
        <v>4336</v>
      </c>
      <c r="P2150" s="823">
        <v>7922</v>
      </c>
      <c r="Q2150" s="823" t="s">
        <v>3825</v>
      </c>
    </row>
    <row r="2151" spans="2:17" s="608" customFormat="1" x14ac:dyDescent="0.25">
      <c r="B2151" s="605" t="s">
        <v>4786</v>
      </c>
      <c r="C2151" s="606">
        <f t="shared" si="67"/>
        <v>812930</v>
      </c>
      <c r="D2151" s="607" t="s">
        <v>4787</v>
      </c>
      <c r="E2151" s="605" t="s">
        <v>4788</v>
      </c>
      <c r="F2151" s="607" t="s">
        <v>4789</v>
      </c>
      <c r="G2151" s="607" t="s">
        <v>1019</v>
      </c>
      <c r="H2151" s="607" t="s">
        <v>1019</v>
      </c>
      <c r="I2151" s="607" t="s">
        <v>1921</v>
      </c>
      <c r="J2151" s="608" t="str">
        <f t="shared" si="68"/>
        <v>Commercial &amp; Professional Services</v>
      </c>
      <c r="N2151" s="822">
        <v>561599</v>
      </c>
      <c r="O2151" s="822" t="s">
        <v>4336</v>
      </c>
      <c r="P2151" s="823">
        <v>7999</v>
      </c>
      <c r="Q2151" s="823" t="s">
        <v>3690</v>
      </c>
    </row>
    <row r="2152" spans="2:17" s="608" customFormat="1" x14ac:dyDescent="0.25">
      <c r="B2152" s="605" t="s">
        <v>4790</v>
      </c>
      <c r="C2152" s="606">
        <f t="shared" si="67"/>
        <v>812990</v>
      </c>
      <c r="D2152" s="607" t="s">
        <v>4791</v>
      </c>
      <c r="E2152" s="605" t="s">
        <v>3649</v>
      </c>
      <c r="F2152" s="607" t="s">
        <v>3650</v>
      </c>
      <c r="G2152" s="607" t="s">
        <v>1594</v>
      </c>
      <c r="H2152" s="607" t="s">
        <v>1594</v>
      </c>
      <c r="I2152" s="607" t="s">
        <v>1921</v>
      </c>
      <c r="J2152" s="608" t="str">
        <f t="shared" si="68"/>
        <v>Commercial &amp; Professional Services</v>
      </c>
      <c r="N2152" s="822">
        <v>561599</v>
      </c>
      <c r="O2152" s="822" t="s">
        <v>4336</v>
      </c>
      <c r="P2152" s="823">
        <v>8699</v>
      </c>
      <c r="Q2152" s="823" t="s">
        <v>4338</v>
      </c>
    </row>
    <row r="2153" spans="2:17" s="608" customFormat="1" x14ac:dyDescent="0.25">
      <c r="B2153" s="605" t="s">
        <v>4790</v>
      </c>
      <c r="C2153" s="606">
        <f t="shared" si="67"/>
        <v>812990</v>
      </c>
      <c r="D2153" s="607" t="s">
        <v>4791</v>
      </c>
      <c r="E2153" s="605" t="s">
        <v>4737</v>
      </c>
      <c r="F2153" s="607" t="s">
        <v>4738</v>
      </c>
      <c r="G2153" s="607" t="s">
        <v>1594</v>
      </c>
      <c r="H2153" s="607" t="s">
        <v>1594</v>
      </c>
      <c r="I2153" s="607" t="s">
        <v>1921</v>
      </c>
      <c r="J2153" s="608" t="str">
        <f t="shared" si="68"/>
        <v>Commercial &amp; Professional Services</v>
      </c>
      <c r="N2153" s="822">
        <v>561611</v>
      </c>
      <c r="O2153" s="822" t="s">
        <v>4340</v>
      </c>
      <c r="P2153" s="823">
        <v>7381</v>
      </c>
      <c r="Q2153" s="823" t="s">
        <v>4342</v>
      </c>
    </row>
    <row r="2154" spans="2:17" s="608" customFormat="1" x14ac:dyDescent="0.25">
      <c r="B2154" s="605" t="s">
        <v>4790</v>
      </c>
      <c r="C2154" s="606">
        <f t="shared" si="67"/>
        <v>812990</v>
      </c>
      <c r="D2154" s="607" t="s">
        <v>4791</v>
      </c>
      <c r="E2154" s="605" t="s">
        <v>4096</v>
      </c>
      <c r="F2154" s="607" t="s">
        <v>4097</v>
      </c>
      <c r="G2154" s="607" t="s">
        <v>1594</v>
      </c>
      <c r="H2154" s="607" t="s">
        <v>1594</v>
      </c>
      <c r="I2154" s="607" t="s">
        <v>1921</v>
      </c>
      <c r="J2154" s="608" t="str">
        <f t="shared" si="68"/>
        <v>Commercial &amp; Professional Services</v>
      </c>
      <c r="N2154" s="822">
        <v>561612</v>
      </c>
      <c r="O2154" s="822" t="s">
        <v>4344</v>
      </c>
      <c r="P2154" s="823">
        <v>7381</v>
      </c>
      <c r="Q2154" s="823" t="s">
        <v>4342</v>
      </c>
    </row>
    <row r="2155" spans="2:17" s="608" customFormat="1" x14ac:dyDescent="0.25">
      <c r="B2155" s="605" t="s">
        <v>4790</v>
      </c>
      <c r="C2155" s="606">
        <f t="shared" si="67"/>
        <v>812990</v>
      </c>
      <c r="D2155" s="607" t="s">
        <v>4791</v>
      </c>
      <c r="E2155" s="605" t="s">
        <v>1588</v>
      </c>
      <c r="F2155" s="607" t="s">
        <v>1589</v>
      </c>
      <c r="G2155" s="607" t="s">
        <v>1594</v>
      </c>
      <c r="H2155" s="607" t="s">
        <v>1594</v>
      </c>
      <c r="I2155" s="607" t="s">
        <v>1921</v>
      </c>
      <c r="J2155" s="608" t="str">
        <f t="shared" si="68"/>
        <v>Commercial &amp; Professional Services</v>
      </c>
      <c r="N2155" s="822">
        <v>561613</v>
      </c>
      <c r="O2155" s="822" t="s">
        <v>4346</v>
      </c>
      <c r="P2155" s="823">
        <v>7381</v>
      </c>
      <c r="Q2155" s="823" t="s">
        <v>4342</v>
      </c>
    </row>
    <row r="2156" spans="2:17" s="608" customFormat="1" x14ac:dyDescent="0.25">
      <c r="B2156" s="605" t="s">
        <v>4790</v>
      </c>
      <c r="C2156" s="606">
        <f t="shared" si="67"/>
        <v>812990</v>
      </c>
      <c r="D2156" s="607" t="s">
        <v>4791</v>
      </c>
      <c r="E2156" s="607" t="s">
        <v>3689</v>
      </c>
      <c r="F2156" s="607" t="s">
        <v>3690</v>
      </c>
      <c r="G2156" s="607" t="s">
        <v>1594</v>
      </c>
      <c r="H2156" s="607" t="s">
        <v>1594</v>
      </c>
      <c r="I2156" s="607" t="s">
        <v>1921</v>
      </c>
      <c r="J2156" s="608" t="str">
        <f t="shared" si="68"/>
        <v>Commercial &amp; Professional Services</v>
      </c>
      <c r="N2156" s="822">
        <v>561621</v>
      </c>
      <c r="O2156" s="822" t="s">
        <v>4348</v>
      </c>
      <c r="P2156" s="823">
        <v>7382</v>
      </c>
      <c r="Q2156" s="823" t="s">
        <v>4350</v>
      </c>
    </row>
    <row r="2157" spans="2:17" s="608" customFormat="1" x14ac:dyDescent="0.25">
      <c r="B2157" s="605" t="s">
        <v>4792</v>
      </c>
      <c r="C2157" s="606">
        <f t="shared" si="67"/>
        <v>813110</v>
      </c>
      <c r="D2157" s="607" t="s">
        <v>4793</v>
      </c>
      <c r="E2157" s="605" t="s">
        <v>4794</v>
      </c>
      <c r="F2157" s="607" t="s">
        <v>4793</v>
      </c>
      <c r="G2157" s="607" t="s">
        <v>1594</v>
      </c>
      <c r="H2157" s="607" t="s">
        <v>1594</v>
      </c>
      <c r="I2157" s="607" t="s">
        <v>4795</v>
      </c>
      <c r="J2157" s="608" t="str">
        <f t="shared" si="68"/>
        <v>Organizations And Associations</v>
      </c>
      <c r="N2157" s="822">
        <v>561622</v>
      </c>
      <c r="O2157" s="822" t="s">
        <v>4352</v>
      </c>
      <c r="P2157" s="823">
        <v>7699</v>
      </c>
      <c r="Q2157" s="823" t="s">
        <v>1071</v>
      </c>
    </row>
    <row r="2158" spans="2:17" s="608" customFormat="1" x14ac:dyDescent="0.25">
      <c r="B2158" s="605" t="s">
        <v>4796</v>
      </c>
      <c r="C2158" s="606">
        <f t="shared" si="67"/>
        <v>813211</v>
      </c>
      <c r="D2158" s="607" t="s">
        <v>4797</v>
      </c>
      <c r="E2158" s="607" t="s">
        <v>4798</v>
      </c>
      <c r="F2158" s="607" t="s">
        <v>4799</v>
      </c>
      <c r="G2158" s="607" t="s">
        <v>3880</v>
      </c>
      <c r="H2158" s="607" t="s">
        <v>3880</v>
      </c>
      <c r="I2158" s="607" t="s">
        <v>3896</v>
      </c>
      <c r="J2158" s="608" t="str">
        <f t="shared" si="68"/>
        <v>Diversified Financials</v>
      </c>
      <c r="N2158" s="822">
        <v>561710</v>
      </c>
      <c r="O2158" s="822" t="s">
        <v>4354</v>
      </c>
      <c r="P2158" s="823">
        <v>4959</v>
      </c>
      <c r="Q2158" s="823" t="s">
        <v>3705</v>
      </c>
    </row>
    <row r="2159" spans="2:17" s="608" customFormat="1" x14ac:dyDescent="0.25">
      <c r="B2159" s="605" t="s">
        <v>4800</v>
      </c>
      <c r="C2159" s="606">
        <f t="shared" si="67"/>
        <v>813212</v>
      </c>
      <c r="D2159" s="607" t="s">
        <v>4801</v>
      </c>
      <c r="E2159" s="605" t="s">
        <v>4802</v>
      </c>
      <c r="F2159" s="607" t="s">
        <v>4803</v>
      </c>
      <c r="G2159" s="607" t="s">
        <v>1594</v>
      </c>
      <c r="H2159" s="607" t="s">
        <v>1594</v>
      </c>
      <c r="I2159" s="607" t="s">
        <v>1921</v>
      </c>
      <c r="J2159" s="608" t="str">
        <f t="shared" si="68"/>
        <v>Commercial &amp; Professional Services</v>
      </c>
      <c r="N2159" s="822">
        <v>561710</v>
      </c>
      <c r="O2159" s="822" t="s">
        <v>4354</v>
      </c>
      <c r="P2159" s="823">
        <v>7342</v>
      </c>
      <c r="Q2159" s="823" t="s">
        <v>4356</v>
      </c>
    </row>
    <row r="2160" spans="2:17" s="608" customFormat="1" x14ac:dyDescent="0.25">
      <c r="B2160" s="605" t="s">
        <v>4804</v>
      </c>
      <c r="C2160" s="606">
        <f t="shared" si="67"/>
        <v>813219</v>
      </c>
      <c r="D2160" s="607" t="s">
        <v>4805</v>
      </c>
      <c r="E2160" s="605" t="s">
        <v>4802</v>
      </c>
      <c r="F2160" s="607" t="s">
        <v>4803</v>
      </c>
      <c r="G2160" s="607" t="s">
        <v>1594</v>
      </c>
      <c r="H2160" s="607" t="s">
        <v>1594</v>
      </c>
      <c r="I2160" s="607" t="s">
        <v>1921</v>
      </c>
      <c r="J2160" s="608" t="str">
        <f t="shared" si="68"/>
        <v>Commercial &amp; Professional Services</v>
      </c>
      <c r="N2160" s="822">
        <v>561720</v>
      </c>
      <c r="O2160" s="822" t="s">
        <v>4358</v>
      </c>
      <c r="P2160" s="823">
        <v>4581</v>
      </c>
      <c r="Q2160" s="823" t="s">
        <v>3699</v>
      </c>
    </row>
    <row r="2161" spans="2:17" s="608" customFormat="1" x14ac:dyDescent="0.25">
      <c r="B2161" s="605" t="s">
        <v>4806</v>
      </c>
      <c r="C2161" s="606">
        <f t="shared" si="67"/>
        <v>813311</v>
      </c>
      <c r="D2161" s="607" t="s">
        <v>4807</v>
      </c>
      <c r="E2161" s="605" t="s">
        <v>4802</v>
      </c>
      <c r="F2161" s="607" t="s">
        <v>4803</v>
      </c>
      <c r="G2161" s="607" t="s">
        <v>1594</v>
      </c>
      <c r="H2161" s="607" t="s">
        <v>1594</v>
      </c>
      <c r="I2161" s="607" t="s">
        <v>4795</v>
      </c>
      <c r="J2161" s="608" t="str">
        <f t="shared" si="68"/>
        <v>Organizations And Associations</v>
      </c>
      <c r="N2161" s="822">
        <v>561720</v>
      </c>
      <c r="O2161" s="822" t="s">
        <v>4358</v>
      </c>
      <c r="P2161" s="823">
        <v>7342</v>
      </c>
      <c r="Q2161" s="823" t="s">
        <v>4356</v>
      </c>
    </row>
    <row r="2162" spans="2:17" s="608" customFormat="1" x14ac:dyDescent="0.25">
      <c r="B2162" s="605" t="s">
        <v>4808</v>
      </c>
      <c r="C2162" s="606">
        <f t="shared" si="67"/>
        <v>813312</v>
      </c>
      <c r="D2162" s="607" t="s">
        <v>4809</v>
      </c>
      <c r="E2162" s="605" t="s">
        <v>4802</v>
      </c>
      <c r="F2162" s="607" t="s">
        <v>4803</v>
      </c>
      <c r="G2162" s="607" t="s">
        <v>1594</v>
      </c>
      <c r="H2162" s="607" t="s">
        <v>1594</v>
      </c>
      <c r="I2162" s="607" t="s">
        <v>4795</v>
      </c>
      <c r="J2162" s="608" t="str">
        <f t="shared" si="68"/>
        <v>Organizations And Associations</v>
      </c>
      <c r="N2162" s="822">
        <v>561720</v>
      </c>
      <c r="O2162" s="822" t="s">
        <v>4358</v>
      </c>
      <c r="P2162" s="823">
        <v>7349</v>
      </c>
      <c r="Q2162" s="823" t="s">
        <v>4360</v>
      </c>
    </row>
    <row r="2163" spans="2:17" s="608" customFormat="1" x14ac:dyDescent="0.25">
      <c r="B2163" s="605" t="s">
        <v>4808</v>
      </c>
      <c r="C2163" s="606">
        <f t="shared" si="67"/>
        <v>813312</v>
      </c>
      <c r="D2163" s="607" t="s">
        <v>4809</v>
      </c>
      <c r="E2163" s="605" t="s">
        <v>4337</v>
      </c>
      <c r="F2163" s="607" t="s">
        <v>4338</v>
      </c>
      <c r="G2163" s="607" t="s">
        <v>1594</v>
      </c>
      <c r="H2163" s="607" t="s">
        <v>1594</v>
      </c>
      <c r="I2163" s="607" t="s">
        <v>4795</v>
      </c>
      <c r="J2163" s="608" t="str">
        <f t="shared" si="68"/>
        <v>Organizations And Associations</v>
      </c>
      <c r="N2163" s="822">
        <v>561730</v>
      </c>
      <c r="O2163" s="822" t="s">
        <v>4362</v>
      </c>
      <c r="P2163" s="823">
        <v>782</v>
      </c>
      <c r="Q2163" s="823" t="s">
        <v>4364</v>
      </c>
    </row>
    <row r="2164" spans="2:17" s="608" customFormat="1" x14ac:dyDescent="0.25">
      <c r="B2164" s="605" t="s">
        <v>4810</v>
      </c>
      <c r="C2164" s="606">
        <f t="shared" si="67"/>
        <v>813319</v>
      </c>
      <c r="D2164" s="607" t="s">
        <v>4811</v>
      </c>
      <c r="E2164" s="605" t="s">
        <v>4802</v>
      </c>
      <c r="F2164" s="607" t="s">
        <v>4803</v>
      </c>
      <c r="G2164" s="607" t="s">
        <v>1594</v>
      </c>
      <c r="H2164" s="607" t="s">
        <v>1594</v>
      </c>
      <c r="I2164" s="607" t="s">
        <v>4795</v>
      </c>
      <c r="J2164" s="608" t="str">
        <f t="shared" si="68"/>
        <v>Organizations And Associations</v>
      </c>
      <c r="N2164" s="822">
        <v>561730</v>
      </c>
      <c r="O2164" s="822" t="s">
        <v>4362</v>
      </c>
      <c r="P2164" s="823">
        <v>783</v>
      </c>
      <c r="Q2164" s="823" t="s">
        <v>4366</v>
      </c>
    </row>
    <row r="2165" spans="2:17" s="608" customFormat="1" x14ac:dyDescent="0.25">
      <c r="B2165" s="605" t="s">
        <v>4810</v>
      </c>
      <c r="C2165" s="606">
        <f t="shared" si="67"/>
        <v>813319</v>
      </c>
      <c r="D2165" s="607" t="s">
        <v>4811</v>
      </c>
      <c r="E2165" s="605" t="s">
        <v>4812</v>
      </c>
      <c r="F2165" s="607" t="s">
        <v>4813</v>
      </c>
      <c r="G2165" s="607" t="s">
        <v>1594</v>
      </c>
      <c r="H2165" s="607" t="s">
        <v>1594</v>
      </c>
      <c r="I2165" s="607" t="s">
        <v>4795</v>
      </c>
      <c r="J2165" s="608" t="str">
        <f t="shared" si="68"/>
        <v>Organizations And Associations</v>
      </c>
      <c r="N2165" s="822">
        <v>561740</v>
      </c>
      <c r="O2165" s="822" t="s">
        <v>4368</v>
      </c>
      <c r="P2165" s="823">
        <v>7217</v>
      </c>
      <c r="Q2165" s="823" t="s">
        <v>4370</v>
      </c>
    </row>
    <row r="2166" spans="2:17" s="608" customFormat="1" x14ac:dyDescent="0.25">
      <c r="B2166" s="605" t="s">
        <v>4814</v>
      </c>
      <c r="C2166" s="606">
        <f t="shared" si="67"/>
        <v>813410</v>
      </c>
      <c r="D2166" s="607" t="s">
        <v>4815</v>
      </c>
      <c r="E2166" s="605" t="s">
        <v>4812</v>
      </c>
      <c r="F2166" s="607" t="s">
        <v>4813</v>
      </c>
      <c r="G2166" s="607" t="s">
        <v>1594</v>
      </c>
      <c r="H2166" s="607" t="s">
        <v>1594</v>
      </c>
      <c r="I2166" s="607" t="s">
        <v>4795</v>
      </c>
      <c r="J2166" s="608" t="str">
        <f t="shared" si="68"/>
        <v>Organizations And Associations</v>
      </c>
      <c r="N2166" s="822">
        <v>561790</v>
      </c>
      <c r="O2166" s="822" t="s">
        <v>4372</v>
      </c>
      <c r="P2166" s="823">
        <v>1799</v>
      </c>
      <c r="Q2166" s="823" t="s">
        <v>1279</v>
      </c>
    </row>
    <row r="2167" spans="2:17" s="608" customFormat="1" x14ac:dyDescent="0.25">
      <c r="B2167" s="605" t="s">
        <v>4814</v>
      </c>
      <c r="C2167" s="606">
        <f t="shared" si="67"/>
        <v>813410</v>
      </c>
      <c r="D2167" s="607" t="s">
        <v>4815</v>
      </c>
      <c r="E2167" s="605" t="s">
        <v>4337</v>
      </c>
      <c r="F2167" s="607" t="s">
        <v>4338</v>
      </c>
      <c r="G2167" s="607" t="s">
        <v>1594</v>
      </c>
      <c r="H2167" s="607" t="s">
        <v>1594</v>
      </c>
      <c r="I2167" s="607" t="s">
        <v>4795</v>
      </c>
      <c r="J2167" s="608" t="str">
        <f t="shared" si="68"/>
        <v>Organizations And Associations</v>
      </c>
      <c r="N2167" s="822">
        <v>561790</v>
      </c>
      <c r="O2167" s="822" t="s">
        <v>4372</v>
      </c>
      <c r="P2167" s="823">
        <v>4959</v>
      </c>
      <c r="Q2167" s="823" t="s">
        <v>3705</v>
      </c>
    </row>
    <row r="2168" spans="2:17" s="608" customFormat="1" x14ac:dyDescent="0.25">
      <c r="B2168" s="605" t="s">
        <v>4816</v>
      </c>
      <c r="C2168" s="606">
        <f t="shared" si="67"/>
        <v>813910</v>
      </c>
      <c r="D2168" s="607" t="s">
        <v>4817</v>
      </c>
      <c r="E2168" s="605" t="s">
        <v>4818</v>
      </c>
      <c r="F2168" s="607" t="s">
        <v>4817</v>
      </c>
      <c r="G2168" s="607" t="s">
        <v>1594</v>
      </c>
      <c r="H2168" s="607" t="s">
        <v>1594</v>
      </c>
      <c r="I2168" s="607" t="s">
        <v>4795</v>
      </c>
      <c r="J2168" s="608" t="str">
        <f t="shared" si="68"/>
        <v>Organizations And Associations</v>
      </c>
      <c r="N2168" s="822">
        <v>561790</v>
      </c>
      <c r="O2168" s="822" t="s">
        <v>4372</v>
      </c>
      <c r="P2168" s="823">
        <v>7349</v>
      </c>
      <c r="Q2168" s="823" t="s">
        <v>4360</v>
      </c>
    </row>
    <row r="2169" spans="2:17" s="608" customFormat="1" x14ac:dyDescent="0.25">
      <c r="B2169" s="605" t="s">
        <v>4816</v>
      </c>
      <c r="C2169" s="606">
        <f t="shared" si="67"/>
        <v>813910</v>
      </c>
      <c r="D2169" s="607" t="s">
        <v>4817</v>
      </c>
      <c r="E2169" s="605" t="s">
        <v>4337</v>
      </c>
      <c r="F2169" s="607" t="s">
        <v>4338</v>
      </c>
      <c r="G2169" s="607" t="s">
        <v>1594</v>
      </c>
      <c r="H2169" s="607" t="s">
        <v>1594</v>
      </c>
      <c r="I2169" s="607" t="s">
        <v>4795</v>
      </c>
      <c r="J2169" s="608" t="str">
        <f t="shared" si="68"/>
        <v>Organizations And Associations</v>
      </c>
      <c r="N2169" s="822">
        <v>561790</v>
      </c>
      <c r="O2169" s="822" t="s">
        <v>4372</v>
      </c>
      <c r="P2169" s="823">
        <v>7389</v>
      </c>
      <c r="Q2169" s="823" t="s">
        <v>1589</v>
      </c>
    </row>
    <row r="2170" spans="2:17" s="608" customFormat="1" x14ac:dyDescent="0.25">
      <c r="B2170" s="605" t="s">
        <v>4819</v>
      </c>
      <c r="C2170" s="606">
        <f t="shared" si="67"/>
        <v>813920</v>
      </c>
      <c r="D2170" s="607" t="s">
        <v>4820</v>
      </c>
      <c r="E2170" s="605" t="s">
        <v>4821</v>
      </c>
      <c r="F2170" s="607" t="s">
        <v>4820</v>
      </c>
      <c r="G2170" s="607" t="s">
        <v>1019</v>
      </c>
      <c r="H2170" s="607" t="s">
        <v>1019</v>
      </c>
      <c r="I2170" s="607" t="s">
        <v>1921</v>
      </c>
      <c r="J2170" s="608" t="str">
        <f t="shared" si="68"/>
        <v>Commercial &amp; Professional Services</v>
      </c>
      <c r="N2170" s="822">
        <v>561790</v>
      </c>
      <c r="O2170" s="822" t="s">
        <v>4372</v>
      </c>
      <c r="P2170" s="823">
        <v>7699</v>
      </c>
      <c r="Q2170" s="823" t="s">
        <v>1071</v>
      </c>
    </row>
    <row r="2171" spans="2:17" s="608" customFormat="1" x14ac:dyDescent="0.25">
      <c r="B2171" s="605" t="s">
        <v>4822</v>
      </c>
      <c r="C2171" s="606">
        <f t="shared" si="67"/>
        <v>813930</v>
      </c>
      <c r="D2171" s="607" t="s">
        <v>4823</v>
      </c>
      <c r="E2171" s="605" t="s">
        <v>4824</v>
      </c>
      <c r="F2171" s="607" t="s">
        <v>4825</v>
      </c>
      <c r="G2171" s="607" t="s">
        <v>1594</v>
      </c>
      <c r="H2171" s="607" t="s">
        <v>1594</v>
      </c>
      <c r="I2171" s="607" t="s">
        <v>4795</v>
      </c>
      <c r="J2171" s="608" t="str">
        <f t="shared" si="68"/>
        <v>Organizations And Associations</v>
      </c>
      <c r="N2171" s="822">
        <v>561910</v>
      </c>
      <c r="O2171" s="822" t="s">
        <v>4374</v>
      </c>
      <c r="P2171" s="823">
        <v>7389</v>
      </c>
      <c r="Q2171" s="823" t="s">
        <v>1589</v>
      </c>
    </row>
    <row r="2172" spans="2:17" s="608" customFormat="1" x14ac:dyDescent="0.25">
      <c r="B2172" s="605" t="s">
        <v>4826</v>
      </c>
      <c r="C2172" s="606">
        <f t="shared" si="67"/>
        <v>813940</v>
      </c>
      <c r="D2172" s="607" t="s">
        <v>4827</v>
      </c>
      <c r="E2172" s="605" t="s">
        <v>4828</v>
      </c>
      <c r="F2172" s="607" t="s">
        <v>4827</v>
      </c>
      <c r="G2172" s="607" t="s">
        <v>1594</v>
      </c>
      <c r="H2172" s="607" t="s">
        <v>1594</v>
      </c>
      <c r="I2172" s="607" t="s">
        <v>4795</v>
      </c>
      <c r="J2172" s="608" t="str">
        <f t="shared" si="68"/>
        <v>Organizations And Associations</v>
      </c>
      <c r="N2172" s="822">
        <v>561920</v>
      </c>
      <c r="O2172" s="822" t="s">
        <v>4376</v>
      </c>
      <c r="P2172" s="823">
        <v>7389</v>
      </c>
      <c r="Q2172" s="823" t="s">
        <v>1589</v>
      </c>
    </row>
    <row r="2173" spans="2:17" s="608" customFormat="1" x14ac:dyDescent="0.25">
      <c r="B2173" s="605" t="s">
        <v>4829</v>
      </c>
      <c r="C2173" s="606">
        <f t="shared" si="67"/>
        <v>813990</v>
      </c>
      <c r="D2173" s="607" t="s">
        <v>4830</v>
      </c>
      <c r="E2173" s="607" t="s">
        <v>4052</v>
      </c>
      <c r="F2173" s="607" t="s">
        <v>4053</v>
      </c>
      <c r="G2173" s="607" t="s">
        <v>4044</v>
      </c>
      <c r="H2173" s="607" t="s">
        <v>4044</v>
      </c>
      <c r="I2173" s="607" t="s">
        <v>4044</v>
      </c>
      <c r="J2173" s="608" t="str">
        <f t="shared" si="68"/>
        <v>Real Estate</v>
      </c>
      <c r="N2173" s="822">
        <v>561990</v>
      </c>
      <c r="O2173" s="822" t="s">
        <v>4378</v>
      </c>
      <c r="P2173" s="823">
        <v>7299</v>
      </c>
      <c r="Q2173" s="823" t="s">
        <v>4097</v>
      </c>
    </row>
    <row r="2174" spans="2:17" s="608" customFormat="1" x14ac:dyDescent="0.25">
      <c r="B2174" s="605" t="s">
        <v>4829</v>
      </c>
      <c r="C2174" s="606">
        <f t="shared" si="67"/>
        <v>813990</v>
      </c>
      <c r="D2174" s="607" t="s">
        <v>4830</v>
      </c>
      <c r="E2174" s="605" t="s">
        <v>4812</v>
      </c>
      <c r="F2174" s="607" t="s">
        <v>4813</v>
      </c>
      <c r="G2174" s="607" t="s">
        <v>1594</v>
      </c>
      <c r="H2174" s="607" t="s">
        <v>1594</v>
      </c>
      <c r="I2174" s="607" t="s">
        <v>4795</v>
      </c>
      <c r="J2174" s="608" t="str">
        <f t="shared" si="68"/>
        <v>Organizations And Associations</v>
      </c>
      <c r="N2174" s="822">
        <v>561990</v>
      </c>
      <c r="O2174" s="822" t="s">
        <v>4378</v>
      </c>
      <c r="P2174" s="823">
        <v>7389</v>
      </c>
      <c r="Q2174" s="823" t="s">
        <v>1589</v>
      </c>
    </row>
    <row r="2175" spans="2:17" s="608" customFormat="1" x14ac:dyDescent="0.25">
      <c r="B2175" s="605" t="s">
        <v>4829</v>
      </c>
      <c r="C2175" s="606">
        <f t="shared" si="67"/>
        <v>813990</v>
      </c>
      <c r="D2175" s="607" t="s">
        <v>4830</v>
      </c>
      <c r="E2175" s="605" t="s">
        <v>4337</v>
      </c>
      <c r="F2175" s="607" t="s">
        <v>4338</v>
      </c>
      <c r="G2175" s="607" t="s">
        <v>1594</v>
      </c>
      <c r="H2175" s="607" t="s">
        <v>1594</v>
      </c>
      <c r="I2175" s="607" t="s">
        <v>4795</v>
      </c>
      <c r="J2175" s="608" t="str">
        <f t="shared" si="68"/>
        <v>Organizations And Associations</v>
      </c>
      <c r="N2175" s="822">
        <v>562000</v>
      </c>
      <c r="O2175" s="822" t="s">
        <v>6025</v>
      </c>
      <c r="P2175" s="823"/>
      <c r="Q2175" s="823" t="s">
        <v>958</v>
      </c>
    </row>
    <row r="2176" spans="2:17" s="608" customFormat="1" x14ac:dyDescent="0.25">
      <c r="B2176" s="605" t="s">
        <v>4831</v>
      </c>
      <c r="C2176" s="606">
        <f t="shared" si="67"/>
        <v>814110</v>
      </c>
      <c r="D2176" s="607" t="s">
        <v>4832</v>
      </c>
      <c r="E2176" s="605" t="s">
        <v>4833</v>
      </c>
      <c r="F2176" s="607" t="s">
        <v>4832</v>
      </c>
      <c r="G2176" s="607" t="s">
        <v>1594</v>
      </c>
      <c r="H2176" s="607" t="s">
        <v>1594</v>
      </c>
      <c r="I2176" s="607" t="s">
        <v>4795</v>
      </c>
      <c r="J2176" s="608" t="str">
        <f t="shared" si="68"/>
        <v>Organizations And Associations</v>
      </c>
      <c r="N2176" s="822">
        <v>562111</v>
      </c>
      <c r="O2176" s="822" t="s">
        <v>4380</v>
      </c>
      <c r="P2176" s="823">
        <v>4212</v>
      </c>
      <c r="Q2176" s="823" t="s">
        <v>3616</v>
      </c>
    </row>
    <row r="2177" spans="2:17" s="608" customFormat="1" x14ac:dyDescent="0.25">
      <c r="B2177" s="605" t="s">
        <v>4834</v>
      </c>
      <c r="C2177" s="606">
        <f t="shared" si="67"/>
        <v>921110</v>
      </c>
      <c r="D2177" s="607" t="s">
        <v>4835</v>
      </c>
      <c r="E2177" s="605" t="s">
        <v>4836</v>
      </c>
      <c r="F2177" s="607" t="s">
        <v>4835</v>
      </c>
      <c r="G2177" s="607" t="s">
        <v>1594</v>
      </c>
      <c r="H2177" s="607" t="s">
        <v>1594</v>
      </c>
      <c r="I2177" s="607" t="s">
        <v>4837</v>
      </c>
      <c r="J2177" s="608" t="str">
        <f t="shared" si="68"/>
        <v>Public Administration</v>
      </c>
      <c r="N2177" s="822">
        <v>562112</v>
      </c>
      <c r="O2177" s="822" t="s">
        <v>4383</v>
      </c>
      <c r="P2177" s="823">
        <v>4212</v>
      </c>
      <c r="Q2177" s="823" t="s">
        <v>3616</v>
      </c>
    </row>
    <row r="2178" spans="2:17" s="608" customFormat="1" x14ac:dyDescent="0.25">
      <c r="B2178" s="605" t="s">
        <v>4838</v>
      </c>
      <c r="C2178" s="606">
        <f t="shared" ref="C2178:C2205" si="69">B2178+0</f>
        <v>921120</v>
      </c>
      <c r="D2178" s="607" t="s">
        <v>4839</v>
      </c>
      <c r="E2178" s="605" t="s">
        <v>4840</v>
      </c>
      <c r="F2178" s="607" t="s">
        <v>4839</v>
      </c>
      <c r="G2178" s="607" t="s">
        <v>1594</v>
      </c>
      <c r="H2178" s="607" t="s">
        <v>1594</v>
      </c>
      <c r="I2178" s="607" t="s">
        <v>4837</v>
      </c>
      <c r="J2178" s="608" t="str">
        <f t="shared" si="68"/>
        <v>Public Administration</v>
      </c>
      <c r="N2178" s="822">
        <v>562119</v>
      </c>
      <c r="O2178" s="822" t="s">
        <v>4385</v>
      </c>
      <c r="P2178" s="823">
        <v>4212</v>
      </c>
      <c r="Q2178" s="823" t="s">
        <v>3616</v>
      </c>
    </row>
    <row r="2179" spans="2:17" s="608" customFormat="1" x14ac:dyDescent="0.25">
      <c r="B2179" s="605" t="s">
        <v>4841</v>
      </c>
      <c r="C2179" s="606">
        <f t="shared" si="69"/>
        <v>921130</v>
      </c>
      <c r="D2179" s="607" t="s">
        <v>4842</v>
      </c>
      <c r="E2179" s="605" t="s">
        <v>4843</v>
      </c>
      <c r="F2179" s="607" t="s">
        <v>4844</v>
      </c>
      <c r="G2179" s="607" t="s">
        <v>1594</v>
      </c>
      <c r="H2179" s="607" t="s">
        <v>1594</v>
      </c>
      <c r="I2179" s="607" t="s">
        <v>4837</v>
      </c>
      <c r="J2179" s="608" t="str">
        <f t="shared" si="68"/>
        <v>Public Administration</v>
      </c>
      <c r="N2179" s="822">
        <v>562211</v>
      </c>
      <c r="O2179" s="822" t="s">
        <v>4387</v>
      </c>
      <c r="P2179" s="823">
        <v>4953</v>
      </c>
      <c r="Q2179" s="823" t="s">
        <v>4389</v>
      </c>
    </row>
    <row r="2180" spans="2:17" s="608" customFormat="1" x14ac:dyDescent="0.25">
      <c r="B2180" s="605" t="s">
        <v>4845</v>
      </c>
      <c r="C2180" s="606">
        <f t="shared" si="69"/>
        <v>921140</v>
      </c>
      <c r="D2180" s="607" t="s">
        <v>4846</v>
      </c>
      <c r="E2180" s="605" t="s">
        <v>4847</v>
      </c>
      <c r="F2180" s="607" t="s">
        <v>4848</v>
      </c>
      <c r="G2180" s="607" t="s">
        <v>1594</v>
      </c>
      <c r="H2180" s="607" t="s">
        <v>1594</v>
      </c>
      <c r="I2180" s="607" t="s">
        <v>4837</v>
      </c>
      <c r="J2180" s="608" t="str">
        <f t="shared" si="68"/>
        <v>Public Administration</v>
      </c>
      <c r="N2180" s="822">
        <v>562212</v>
      </c>
      <c r="O2180" s="822" t="s">
        <v>4391</v>
      </c>
      <c r="P2180" s="823">
        <v>4953</v>
      </c>
      <c r="Q2180" s="823" t="s">
        <v>4389</v>
      </c>
    </row>
    <row r="2181" spans="2:17" s="608" customFormat="1" x14ac:dyDescent="0.25">
      <c r="B2181" s="605" t="s">
        <v>4849</v>
      </c>
      <c r="C2181" s="606">
        <f t="shared" si="69"/>
        <v>921150</v>
      </c>
      <c r="D2181" s="607" t="s">
        <v>4850</v>
      </c>
      <c r="E2181" s="605" t="s">
        <v>4812</v>
      </c>
      <c r="F2181" s="607" t="s">
        <v>4813</v>
      </c>
      <c r="G2181" s="607" t="s">
        <v>1594</v>
      </c>
      <c r="H2181" s="607" t="s">
        <v>1594</v>
      </c>
      <c r="I2181" s="607" t="s">
        <v>4837</v>
      </c>
      <c r="J2181" s="608" t="str">
        <f t="shared" si="68"/>
        <v>Public Administration</v>
      </c>
      <c r="N2181" s="822">
        <v>562213</v>
      </c>
      <c r="O2181" s="822" t="s">
        <v>4393</v>
      </c>
      <c r="P2181" s="823">
        <v>4953</v>
      </c>
      <c r="Q2181" s="823" t="s">
        <v>4389</v>
      </c>
    </row>
    <row r="2182" spans="2:17" s="608" customFormat="1" x14ac:dyDescent="0.25">
      <c r="B2182" s="605" t="s">
        <v>4851</v>
      </c>
      <c r="C2182" s="606">
        <f t="shared" si="69"/>
        <v>921190</v>
      </c>
      <c r="D2182" s="607" t="s">
        <v>4852</v>
      </c>
      <c r="E2182" s="605" t="s">
        <v>4853</v>
      </c>
      <c r="F2182" s="607" t="s">
        <v>4854</v>
      </c>
      <c r="G2182" s="607" t="s">
        <v>1594</v>
      </c>
      <c r="H2182" s="607" t="s">
        <v>1594</v>
      </c>
      <c r="I2182" s="607" t="s">
        <v>4837</v>
      </c>
      <c r="J2182" s="608" t="str">
        <f t="shared" si="68"/>
        <v>Public Administration</v>
      </c>
      <c r="N2182" s="822">
        <v>562219</v>
      </c>
      <c r="O2182" s="822" t="s">
        <v>4395</v>
      </c>
      <c r="P2182" s="823">
        <v>4953</v>
      </c>
      <c r="Q2182" s="823" t="s">
        <v>4389</v>
      </c>
    </row>
    <row r="2183" spans="2:17" s="608" customFormat="1" x14ac:dyDescent="0.25">
      <c r="B2183" s="605" t="s">
        <v>4855</v>
      </c>
      <c r="C2183" s="606">
        <f t="shared" si="69"/>
        <v>922110</v>
      </c>
      <c r="D2183" s="607" t="s">
        <v>4856</v>
      </c>
      <c r="E2183" s="605" t="s">
        <v>4857</v>
      </c>
      <c r="F2183" s="607" t="s">
        <v>4856</v>
      </c>
      <c r="G2183" s="607" t="s">
        <v>1594</v>
      </c>
      <c r="H2183" s="607" t="s">
        <v>1594</v>
      </c>
      <c r="I2183" s="607" t="s">
        <v>4837</v>
      </c>
      <c r="J2183" s="608" t="str">
        <f t="shared" si="68"/>
        <v>Public Administration</v>
      </c>
      <c r="N2183" s="822">
        <v>562910</v>
      </c>
      <c r="O2183" s="822" t="s">
        <v>4397</v>
      </c>
      <c r="P2183" s="823">
        <v>1799</v>
      </c>
      <c r="Q2183" s="823" t="s">
        <v>1279</v>
      </c>
    </row>
    <row r="2184" spans="2:17" s="608" customFormat="1" x14ac:dyDescent="0.25">
      <c r="B2184" s="605" t="s">
        <v>4858</v>
      </c>
      <c r="C2184" s="606">
        <f t="shared" si="69"/>
        <v>922120</v>
      </c>
      <c r="D2184" s="607" t="s">
        <v>4859</v>
      </c>
      <c r="E2184" s="605" t="s">
        <v>4860</v>
      </c>
      <c r="F2184" s="607" t="s">
        <v>4859</v>
      </c>
      <c r="G2184" s="607" t="s">
        <v>1594</v>
      </c>
      <c r="H2184" s="607" t="s">
        <v>1594</v>
      </c>
      <c r="I2184" s="607" t="s">
        <v>4837</v>
      </c>
      <c r="J2184" s="608" t="str">
        <f t="shared" si="68"/>
        <v>Public Administration</v>
      </c>
      <c r="N2184" s="822">
        <v>562910</v>
      </c>
      <c r="O2184" s="822" t="s">
        <v>4397</v>
      </c>
      <c r="P2184" s="823">
        <v>4959</v>
      </c>
      <c r="Q2184" s="823" t="s">
        <v>3705</v>
      </c>
    </row>
    <row r="2185" spans="2:17" s="608" customFormat="1" x14ac:dyDescent="0.25">
      <c r="B2185" s="605" t="s">
        <v>4861</v>
      </c>
      <c r="C2185" s="606">
        <f t="shared" si="69"/>
        <v>922130</v>
      </c>
      <c r="D2185" s="607" t="s">
        <v>4862</v>
      </c>
      <c r="E2185" s="605" t="s">
        <v>4863</v>
      </c>
      <c r="F2185" s="607" t="s">
        <v>4862</v>
      </c>
      <c r="G2185" s="607" t="s">
        <v>1594</v>
      </c>
      <c r="H2185" s="607" t="s">
        <v>1594</v>
      </c>
      <c r="I2185" s="607" t="s">
        <v>4837</v>
      </c>
      <c r="J2185" s="608" t="str">
        <f t="shared" si="68"/>
        <v>Public Administration</v>
      </c>
      <c r="N2185" s="822">
        <v>562920</v>
      </c>
      <c r="O2185" s="822" t="s">
        <v>4399</v>
      </c>
      <c r="P2185" s="823">
        <v>4953</v>
      </c>
      <c r="Q2185" s="823" t="s">
        <v>4389</v>
      </c>
    </row>
    <row r="2186" spans="2:17" s="608" customFormat="1" x14ac:dyDescent="0.25">
      <c r="B2186" s="605" t="s">
        <v>4864</v>
      </c>
      <c r="C2186" s="606">
        <f t="shared" si="69"/>
        <v>922140</v>
      </c>
      <c r="D2186" s="607" t="s">
        <v>4865</v>
      </c>
      <c r="E2186" s="605" t="s">
        <v>4866</v>
      </c>
      <c r="F2186" s="607" t="s">
        <v>4865</v>
      </c>
      <c r="G2186" s="607" t="s">
        <v>1594</v>
      </c>
      <c r="H2186" s="607" t="s">
        <v>1594</v>
      </c>
      <c r="I2186" s="607" t="s">
        <v>4837</v>
      </c>
      <c r="J2186" s="608" t="str">
        <f t="shared" si="68"/>
        <v>Public Administration</v>
      </c>
      <c r="N2186" s="822">
        <v>562991</v>
      </c>
      <c r="O2186" s="822" t="s">
        <v>4401</v>
      </c>
      <c r="P2186" s="823">
        <v>7359</v>
      </c>
      <c r="Q2186" s="823" t="s">
        <v>4093</v>
      </c>
    </row>
    <row r="2187" spans="2:17" s="608" customFormat="1" x14ac:dyDescent="0.25">
      <c r="B2187" s="605" t="s">
        <v>4867</v>
      </c>
      <c r="C2187" s="606">
        <f t="shared" si="69"/>
        <v>922150</v>
      </c>
      <c r="D2187" s="607" t="s">
        <v>4868</v>
      </c>
      <c r="E2187" s="605" t="s">
        <v>4550</v>
      </c>
      <c r="F2187" s="607" t="s">
        <v>4551</v>
      </c>
      <c r="G2187" s="607" t="s">
        <v>1594</v>
      </c>
      <c r="H2187" s="607" t="s">
        <v>1594</v>
      </c>
      <c r="I2187" s="607" t="s">
        <v>1921</v>
      </c>
      <c r="J2187" s="608" t="str">
        <f t="shared" si="68"/>
        <v>Commercial &amp; Professional Services</v>
      </c>
      <c r="N2187" s="822">
        <v>562991</v>
      </c>
      <c r="O2187" s="822" t="s">
        <v>4401</v>
      </c>
      <c r="P2187" s="823">
        <v>7699</v>
      </c>
      <c r="Q2187" s="823" t="s">
        <v>1071</v>
      </c>
    </row>
    <row r="2188" spans="2:17" s="608" customFormat="1" x14ac:dyDescent="0.25">
      <c r="B2188" s="605" t="s">
        <v>4869</v>
      </c>
      <c r="C2188" s="606">
        <f t="shared" si="69"/>
        <v>922160</v>
      </c>
      <c r="D2188" s="607" t="s">
        <v>4870</v>
      </c>
      <c r="E2188" s="605" t="s">
        <v>4871</v>
      </c>
      <c r="F2188" s="607" t="s">
        <v>4870</v>
      </c>
      <c r="G2188" s="607" t="s">
        <v>1594</v>
      </c>
      <c r="H2188" s="607" t="s">
        <v>1594</v>
      </c>
      <c r="I2188" s="607" t="s">
        <v>4837</v>
      </c>
      <c r="J2188" s="608" t="str">
        <f t="shared" si="68"/>
        <v>Public Administration</v>
      </c>
      <c r="N2188" s="822">
        <v>562998</v>
      </c>
      <c r="O2188" s="822" t="s">
        <v>4403</v>
      </c>
      <c r="P2188" s="823">
        <v>4959</v>
      </c>
      <c r="Q2188" s="823" t="s">
        <v>3705</v>
      </c>
    </row>
    <row r="2189" spans="2:17" s="608" customFormat="1" x14ac:dyDescent="0.25">
      <c r="B2189" s="605" t="s">
        <v>4872</v>
      </c>
      <c r="C2189" s="606">
        <f t="shared" si="69"/>
        <v>922190</v>
      </c>
      <c r="D2189" s="607" t="s">
        <v>4873</v>
      </c>
      <c r="E2189" s="605" t="s">
        <v>4874</v>
      </c>
      <c r="F2189" s="607" t="s">
        <v>4875</v>
      </c>
      <c r="G2189" s="607" t="s">
        <v>1594</v>
      </c>
      <c r="H2189" s="607" t="s">
        <v>1594</v>
      </c>
      <c r="I2189" s="607" t="s">
        <v>4837</v>
      </c>
      <c r="J2189" s="608" t="str">
        <f t="shared" si="68"/>
        <v>Public Administration</v>
      </c>
      <c r="N2189" s="822">
        <v>562998</v>
      </c>
      <c r="O2189" s="822" t="s">
        <v>4403</v>
      </c>
      <c r="P2189" s="823">
        <v>7699</v>
      </c>
      <c r="Q2189" s="823" t="s">
        <v>1071</v>
      </c>
    </row>
    <row r="2190" spans="2:17" s="608" customFormat="1" x14ac:dyDescent="0.25">
      <c r="B2190" s="605" t="s">
        <v>4876</v>
      </c>
      <c r="C2190" s="606">
        <f t="shared" si="69"/>
        <v>923110</v>
      </c>
      <c r="D2190" s="607" t="s">
        <v>4877</v>
      </c>
      <c r="E2190" s="605" t="s">
        <v>4878</v>
      </c>
      <c r="F2190" s="607" t="s">
        <v>4879</v>
      </c>
      <c r="G2190" s="607" t="s">
        <v>1594</v>
      </c>
      <c r="H2190" s="607" t="s">
        <v>1594</v>
      </c>
      <c r="I2190" s="607" t="s">
        <v>4837</v>
      </c>
      <c r="J2190" s="608" t="str">
        <f t="shared" si="68"/>
        <v>Public Administration</v>
      </c>
      <c r="N2190" s="822">
        <v>611110</v>
      </c>
      <c r="O2190" s="822" t="s">
        <v>4405</v>
      </c>
      <c r="P2190" s="823">
        <v>8211</v>
      </c>
      <c r="Q2190" s="823" t="s">
        <v>4405</v>
      </c>
    </row>
    <row r="2191" spans="2:17" s="608" customFormat="1" x14ac:dyDescent="0.25">
      <c r="B2191" s="605" t="s">
        <v>4880</v>
      </c>
      <c r="C2191" s="606">
        <f t="shared" si="69"/>
        <v>923120</v>
      </c>
      <c r="D2191" s="607" t="s">
        <v>4881</v>
      </c>
      <c r="E2191" s="605" t="s">
        <v>4882</v>
      </c>
      <c r="F2191" s="607" t="s">
        <v>4881</v>
      </c>
      <c r="G2191" s="607" t="s">
        <v>1594</v>
      </c>
      <c r="H2191" s="607" t="s">
        <v>1594</v>
      </c>
      <c r="I2191" s="607" t="s">
        <v>4837</v>
      </c>
      <c r="J2191" s="608" t="str">
        <f t="shared" ref="J2191:J2205" si="70">PROPER(I2191)</f>
        <v>Public Administration</v>
      </c>
      <c r="N2191" s="822">
        <v>611210</v>
      </c>
      <c r="O2191" s="822" t="s">
        <v>4409</v>
      </c>
      <c r="P2191" s="823">
        <v>8222</v>
      </c>
      <c r="Q2191" s="823" t="s">
        <v>4409</v>
      </c>
    </row>
    <row r="2192" spans="2:17" s="608" customFormat="1" ht="30" x14ac:dyDescent="0.25">
      <c r="B2192" s="605" t="s">
        <v>4883</v>
      </c>
      <c r="C2192" s="606">
        <f t="shared" si="69"/>
        <v>923130</v>
      </c>
      <c r="D2192" s="607" t="s">
        <v>4884</v>
      </c>
      <c r="E2192" s="605" t="s">
        <v>4885</v>
      </c>
      <c r="F2192" s="607" t="s">
        <v>4886</v>
      </c>
      <c r="G2192" s="607" t="s">
        <v>1594</v>
      </c>
      <c r="H2192" s="607" t="s">
        <v>1594</v>
      </c>
      <c r="I2192" s="607" t="s">
        <v>4837</v>
      </c>
      <c r="J2192" s="608" t="str">
        <f t="shared" si="70"/>
        <v>Public Administration</v>
      </c>
      <c r="N2192" s="822">
        <v>611310</v>
      </c>
      <c r="O2192" s="822" t="s">
        <v>4412</v>
      </c>
      <c r="P2192" s="823">
        <v>8221</v>
      </c>
      <c r="Q2192" s="823" t="s">
        <v>4414</v>
      </c>
    </row>
    <row r="2193" spans="2:17" s="608" customFormat="1" x14ac:dyDescent="0.25">
      <c r="B2193" s="605" t="s">
        <v>4887</v>
      </c>
      <c r="C2193" s="606">
        <f t="shared" si="69"/>
        <v>923140</v>
      </c>
      <c r="D2193" s="607" t="s">
        <v>4888</v>
      </c>
      <c r="E2193" s="605" t="s">
        <v>4889</v>
      </c>
      <c r="F2193" s="607" t="s">
        <v>4888</v>
      </c>
      <c r="G2193" s="607" t="s">
        <v>1594</v>
      </c>
      <c r="H2193" s="607" t="s">
        <v>1594</v>
      </c>
      <c r="I2193" s="607" t="s">
        <v>4837</v>
      </c>
      <c r="J2193" s="608" t="str">
        <f t="shared" si="70"/>
        <v>Public Administration</v>
      </c>
      <c r="N2193" s="822">
        <v>611410</v>
      </c>
      <c r="O2193" s="822" t="s">
        <v>4416</v>
      </c>
      <c r="P2193" s="823">
        <v>8244</v>
      </c>
      <c r="Q2193" s="823" t="s">
        <v>4416</v>
      </c>
    </row>
    <row r="2194" spans="2:17" s="608" customFormat="1" x14ac:dyDescent="0.25">
      <c r="B2194" s="605" t="s">
        <v>4890</v>
      </c>
      <c r="C2194" s="606">
        <f t="shared" si="69"/>
        <v>924110</v>
      </c>
      <c r="D2194" s="607" t="s">
        <v>4891</v>
      </c>
      <c r="E2194" s="607" t="s">
        <v>4892</v>
      </c>
      <c r="F2194" s="607" t="s">
        <v>4893</v>
      </c>
      <c r="G2194" s="607" t="s">
        <v>1594</v>
      </c>
      <c r="H2194" s="607" t="s">
        <v>1594</v>
      </c>
      <c r="I2194" s="607" t="s">
        <v>4837</v>
      </c>
      <c r="J2194" s="608" t="str">
        <f t="shared" si="70"/>
        <v>Public Administration</v>
      </c>
      <c r="N2194" s="822">
        <v>611420</v>
      </c>
      <c r="O2194" s="822" t="s">
        <v>4419</v>
      </c>
      <c r="P2194" s="823">
        <v>8243</v>
      </c>
      <c r="Q2194" s="823" t="s">
        <v>4421</v>
      </c>
    </row>
    <row r="2195" spans="2:17" s="608" customFormat="1" x14ac:dyDescent="0.25">
      <c r="B2195" s="605" t="s">
        <v>4894</v>
      </c>
      <c r="C2195" s="606">
        <f t="shared" si="69"/>
        <v>924120</v>
      </c>
      <c r="D2195" s="607" t="s">
        <v>4895</v>
      </c>
      <c r="E2195" s="607" t="s">
        <v>4896</v>
      </c>
      <c r="F2195" s="607" t="s">
        <v>4897</v>
      </c>
      <c r="G2195" s="607" t="s">
        <v>1594</v>
      </c>
      <c r="H2195" s="607" t="s">
        <v>1594</v>
      </c>
      <c r="I2195" s="607" t="s">
        <v>4837</v>
      </c>
      <c r="J2195" s="608" t="str">
        <f t="shared" si="70"/>
        <v>Public Administration</v>
      </c>
      <c r="N2195" s="822">
        <v>611430</v>
      </c>
      <c r="O2195" s="822" t="s">
        <v>4423</v>
      </c>
      <c r="P2195" s="823">
        <v>8299</v>
      </c>
      <c r="Q2195" s="823" t="s">
        <v>4425</v>
      </c>
    </row>
    <row r="2196" spans="2:17" s="608" customFormat="1" x14ac:dyDescent="0.25">
      <c r="B2196" s="605" t="s">
        <v>4898</v>
      </c>
      <c r="C2196" s="606">
        <f t="shared" si="69"/>
        <v>925110</v>
      </c>
      <c r="D2196" s="607" t="s">
        <v>4899</v>
      </c>
      <c r="E2196" s="607" t="s">
        <v>4900</v>
      </c>
      <c r="F2196" s="607" t="s">
        <v>4901</v>
      </c>
      <c r="G2196" s="607" t="s">
        <v>1594</v>
      </c>
      <c r="H2196" s="607" t="s">
        <v>1594</v>
      </c>
      <c r="I2196" s="607" t="s">
        <v>4837</v>
      </c>
      <c r="J2196" s="608" t="str">
        <f t="shared" si="70"/>
        <v>Public Administration</v>
      </c>
      <c r="N2196" s="822">
        <v>611511</v>
      </c>
      <c r="O2196" s="822" t="s">
        <v>4427</v>
      </c>
      <c r="P2196" s="823">
        <v>7231</v>
      </c>
      <c r="Q2196" s="823" t="s">
        <v>4429</v>
      </c>
    </row>
    <row r="2197" spans="2:17" s="608" customFormat="1" x14ac:dyDescent="0.25">
      <c r="B2197" s="605" t="s">
        <v>4902</v>
      </c>
      <c r="C2197" s="606">
        <f t="shared" si="69"/>
        <v>925120</v>
      </c>
      <c r="D2197" s="607" t="s">
        <v>4903</v>
      </c>
      <c r="E2197" s="607" t="s">
        <v>4904</v>
      </c>
      <c r="F2197" s="607" t="s">
        <v>4905</v>
      </c>
      <c r="G2197" s="607" t="s">
        <v>1594</v>
      </c>
      <c r="H2197" s="607" t="s">
        <v>1594</v>
      </c>
      <c r="I2197" s="607" t="s">
        <v>4837</v>
      </c>
      <c r="J2197" s="608" t="str">
        <f t="shared" si="70"/>
        <v>Public Administration</v>
      </c>
      <c r="N2197" s="822">
        <v>611511</v>
      </c>
      <c r="O2197" s="822" t="s">
        <v>4427</v>
      </c>
      <c r="P2197" s="823">
        <v>7241</v>
      </c>
      <c r="Q2197" s="823" t="s">
        <v>4431</v>
      </c>
    </row>
    <row r="2198" spans="2:17" s="608" customFormat="1" x14ac:dyDescent="0.25">
      <c r="B2198" s="605" t="s">
        <v>4906</v>
      </c>
      <c r="C2198" s="606">
        <f t="shared" si="69"/>
        <v>926110</v>
      </c>
      <c r="D2198" s="607" t="s">
        <v>4907</v>
      </c>
      <c r="E2198" s="605" t="s">
        <v>4908</v>
      </c>
      <c r="F2198" s="607" t="s">
        <v>4907</v>
      </c>
      <c r="G2198" s="607" t="s">
        <v>1594</v>
      </c>
      <c r="H2198" s="607" t="s">
        <v>1594</v>
      </c>
      <c r="I2198" s="607" t="s">
        <v>4837</v>
      </c>
      <c r="J2198" s="608" t="str">
        <f t="shared" si="70"/>
        <v>Public Administration</v>
      </c>
      <c r="N2198" s="822">
        <v>611512</v>
      </c>
      <c r="O2198" s="822" t="s">
        <v>4433</v>
      </c>
      <c r="P2198" s="823">
        <v>8249</v>
      </c>
      <c r="Q2198" s="823" t="s">
        <v>4435</v>
      </c>
    </row>
    <row r="2199" spans="2:17" s="608" customFormat="1" x14ac:dyDescent="0.25">
      <c r="B2199" s="605" t="s">
        <v>4909</v>
      </c>
      <c r="C2199" s="606">
        <f t="shared" si="69"/>
        <v>926120</v>
      </c>
      <c r="D2199" s="607" t="s">
        <v>4910</v>
      </c>
      <c r="E2199" s="605" t="s">
        <v>3700</v>
      </c>
      <c r="F2199" s="607" t="s">
        <v>3701</v>
      </c>
      <c r="G2199" s="607" t="s">
        <v>1594</v>
      </c>
      <c r="H2199" s="607" t="s">
        <v>1594</v>
      </c>
      <c r="I2199" s="607" t="s">
        <v>4837</v>
      </c>
      <c r="J2199" s="608" t="str">
        <f t="shared" si="70"/>
        <v>Public Administration</v>
      </c>
      <c r="N2199" s="822">
        <v>611512</v>
      </c>
      <c r="O2199" s="822" t="s">
        <v>4433</v>
      </c>
      <c r="P2199" s="823">
        <v>8299</v>
      </c>
      <c r="Q2199" s="823" t="s">
        <v>4425</v>
      </c>
    </row>
    <row r="2200" spans="2:17" s="608" customFormat="1" x14ac:dyDescent="0.25">
      <c r="B2200" s="605" t="s">
        <v>4911</v>
      </c>
      <c r="C2200" s="606">
        <f t="shared" si="69"/>
        <v>926130</v>
      </c>
      <c r="D2200" s="607" t="s">
        <v>4912</v>
      </c>
      <c r="E2200" s="605" t="s">
        <v>4913</v>
      </c>
      <c r="F2200" s="607" t="s">
        <v>4914</v>
      </c>
      <c r="G2200" s="607" t="s">
        <v>1594</v>
      </c>
      <c r="H2200" s="607" t="s">
        <v>1594</v>
      </c>
      <c r="I2200" s="607" t="s">
        <v>4837</v>
      </c>
      <c r="J2200" s="608" t="str">
        <f t="shared" si="70"/>
        <v>Public Administration</v>
      </c>
      <c r="N2200" s="822">
        <v>611513</v>
      </c>
      <c r="O2200" s="822" t="s">
        <v>4437</v>
      </c>
      <c r="P2200" s="823">
        <v>8249</v>
      </c>
      <c r="Q2200" s="823" t="s">
        <v>4435</v>
      </c>
    </row>
    <row r="2201" spans="2:17" s="608" customFormat="1" x14ac:dyDescent="0.25">
      <c r="B2201" s="605" t="s">
        <v>4915</v>
      </c>
      <c r="C2201" s="606">
        <f t="shared" si="69"/>
        <v>926140</v>
      </c>
      <c r="D2201" s="607" t="s">
        <v>4916</v>
      </c>
      <c r="E2201" s="605" t="s">
        <v>4917</v>
      </c>
      <c r="F2201" s="607" t="s">
        <v>4918</v>
      </c>
      <c r="G2201" s="607" t="s">
        <v>1594</v>
      </c>
      <c r="H2201" s="607" t="s">
        <v>1594</v>
      </c>
      <c r="I2201" s="607" t="s">
        <v>4837</v>
      </c>
      <c r="J2201" s="608" t="str">
        <f t="shared" si="70"/>
        <v>Public Administration</v>
      </c>
      <c r="N2201" s="822">
        <v>611519</v>
      </c>
      <c r="O2201" s="822" t="s">
        <v>4439</v>
      </c>
      <c r="P2201" s="823">
        <v>8243</v>
      </c>
      <c r="Q2201" s="823" t="s">
        <v>4421</v>
      </c>
    </row>
    <row r="2202" spans="2:17" s="608" customFormat="1" x14ac:dyDescent="0.25">
      <c r="B2202" s="605" t="s">
        <v>4919</v>
      </c>
      <c r="C2202" s="606">
        <f t="shared" si="69"/>
        <v>926150</v>
      </c>
      <c r="D2202" s="607" t="s">
        <v>4920</v>
      </c>
      <c r="E2202" s="605" t="s">
        <v>4921</v>
      </c>
      <c r="F2202" s="607" t="s">
        <v>4922</v>
      </c>
      <c r="G2202" s="607" t="s">
        <v>1594</v>
      </c>
      <c r="H2202" s="607" t="s">
        <v>1594</v>
      </c>
      <c r="I2202" s="607" t="s">
        <v>4837</v>
      </c>
      <c r="J2202" s="608" t="str">
        <f t="shared" si="70"/>
        <v>Public Administration</v>
      </c>
      <c r="N2202" s="822">
        <v>611519</v>
      </c>
      <c r="O2202" s="822" t="s">
        <v>4439</v>
      </c>
      <c r="P2202" s="823">
        <v>8249</v>
      </c>
      <c r="Q2202" s="823" t="s">
        <v>4435</v>
      </c>
    </row>
    <row r="2203" spans="2:17" s="608" customFormat="1" x14ac:dyDescent="0.25">
      <c r="B2203" s="605" t="s">
        <v>4923</v>
      </c>
      <c r="C2203" s="606">
        <f t="shared" si="69"/>
        <v>927110</v>
      </c>
      <c r="D2203" s="607" t="s">
        <v>4924</v>
      </c>
      <c r="E2203" s="605" t="s">
        <v>4925</v>
      </c>
      <c r="F2203" s="607" t="s">
        <v>4924</v>
      </c>
      <c r="G2203" s="607" t="s">
        <v>1594</v>
      </c>
      <c r="H2203" s="607" t="s">
        <v>1594</v>
      </c>
      <c r="I2203" s="607" t="s">
        <v>4837</v>
      </c>
      <c r="J2203" s="608" t="str">
        <f t="shared" si="70"/>
        <v>Public Administration</v>
      </c>
      <c r="N2203" s="822">
        <v>611519</v>
      </c>
      <c r="O2203" s="822" t="s">
        <v>4439</v>
      </c>
      <c r="P2203" s="823">
        <v>8299</v>
      </c>
      <c r="Q2203" s="823" t="s">
        <v>4425</v>
      </c>
    </row>
    <row r="2204" spans="2:17" s="608" customFormat="1" x14ac:dyDescent="0.25">
      <c r="B2204" s="605" t="s">
        <v>4926</v>
      </c>
      <c r="C2204" s="606">
        <f t="shared" si="69"/>
        <v>928110</v>
      </c>
      <c r="D2204" s="607" t="s">
        <v>4927</v>
      </c>
      <c r="E2204" s="605" t="s">
        <v>4928</v>
      </c>
      <c r="F2204" s="607" t="s">
        <v>4927</v>
      </c>
      <c r="G2204" s="607" t="s">
        <v>1594</v>
      </c>
      <c r="H2204" s="607" t="s">
        <v>1594</v>
      </c>
      <c r="I2204" s="607" t="s">
        <v>4837</v>
      </c>
      <c r="J2204" s="608" t="str">
        <f t="shared" si="70"/>
        <v>Public Administration</v>
      </c>
      <c r="N2204" s="822">
        <v>611610</v>
      </c>
      <c r="O2204" s="822" t="s">
        <v>4441</v>
      </c>
      <c r="P2204" s="823">
        <v>7911</v>
      </c>
      <c r="Q2204" s="823" t="s">
        <v>4443</v>
      </c>
    </row>
    <row r="2205" spans="2:17" s="608" customFormat="1" x14ac:dyDescent="0.25">
      <c r="B2205" s="605" t="s">
        <v>4929</v>
      </c>
      <c r="C2205" s="606">
        <f t="shared" si="69"/>
        <v>928120</v>
      </c>
      <c r="D2205" s="607" t="s">
        <v>4930</v>
      </c>
      <c r="E2205" s="605" t="s">
        <v>4931</v>
      </c>
      <c r="F2205" s="607" t="s">
        <v>4930</v>
      </c>
      <c r="G2205" s="607" t="s">
        <v>1594</v>
      </c>
      <c r="H2205" s="607" t="s">
        <v>1594</v>
      </c>
      <c r="I2205" s="607" t="s">
        <v>4837</v>
      </c>
      <c r="J2205" s="608" t="str">
        <f t="shared" si="70"/>
        <v>Public Administration</v>
      </c>
      <c r="N2205" s="822">
        <v>611610</v>
      </c>
      <c r="O2205" s="822" t="s">
        <v>4441</v>
      </c>
      <c r="P2205" s="823">
        <v>8299</v>
      </c>
      <c r="Q2205" s="823" t="s">
        <v>4425</v>
      </c>
    </row>
    <row r="2206" spans="2:17" ht="15" customHeight="1" x14ac:dyDescent="0.25">
      <c r="B2206" s="617"/>
      <c r="C2206" s="617"/>
      <c r="D2206" s="604"/>
      <c r="E2206" s="618"/>
      <c r="F2206" s="604"/>
      <c r="G2206" s="604"/>
      <c r="H2206" s="604"/>
      <c r="N2206" s="822">
        <v>611620</v>
      </c>
      <c r="O2206" s="822" t="s">
        <v>4445</v>
      </c>
      <c r="P2206" s="823">
        <v>7999</v>
      </c>
      <c r="Q2206" s="823" t="s">
        <v>3690</v>
      </c>
    </row>
    <row r="2207" spans="2:17" ht="15" customHeight="1" x14ac:dyDescent="0.25">
      <c r="B2207" s="617"/>
      <c r="C2207" s="617"/>
      <c r="D2207" s="604"/>
      <c r="E2207" s="618"/>
      <c r="F2207" s="604"/>
      <c r="G2207" s="604"/>
      <c r="H2207" s="604"/>
      <c r="N2207" s="822">
        <v>611620</v>
      </c>
      <c r="O2207" s="822" t="s">
        <v>4445</v>
      </c>
      <c r="P2207" s="823">
        <v>8299</v>
      </c>
      <c r="Q2207" s="823" t="s">
        <v>4425</v>
      </c>
    </row>
    <row r="2208" spans="2:17" ht="15" customHeight="1" x14ac:dyDescent="0.25">
      <c r="B2208" s="617"/>
      <c r="C2208" s="617"/>
      <c r="D2208" s="604"/>
      <c r="E2208" s="618"/>
      <c r="F2208" s="604"/>
      <c r="G2208" s="604"/>
      <c r="H2208" s="604"/>
      <c r="N2208" s="822">
        <v>611630</v>
      </c>
      <c r="O2208" s="822" t="s">
        <v>4447</v>
      </c>
      <c r="P2208" s="823">
        <v>8299</v>
      </c>
      <c r="Q2208" s="823" t="s">
        <v>4425</v>
      </c>
    </row>
    <row r="2209" spans="2:17" ht="15" customHeight="1" x14ac:dyDescent="0.25">
      <c r="B2209" s="617"/>
      <c r="C2209" s="617"/>
      <c r="D2209" s="604"/>
      <c r="E2209" s="618"/>
      <c r="F2209" s="604"/>
      <c r="G2209" s="604"/>
      <c r="H2209" s="604"/>
      <c r="N2209" s="822">
        <v>611691</v>
      </c>
      <c r="O2209" s="822" t="s">
        <v>4449</v>
      </c>
      <c r="P2209" s="823">
        <v>8299</v>
      </c>
      <c r="Q2209" s="823" t="s">
        <v>4425</v>
      </c>
    </row>
    <row r="2210" spans="2:17" ht="15" customHeight="1" x14ac:dyDescent="0.25">
      <c r="B2210" s="617"/>
      <c r="C2210" s="617"/>
      <c r="D2210" s="604"/>
      <c r="E2210" s="618"/>
      <c r="F2210" s="604"/>
      <c r="G2210" s="604"/>
      <c r="H2210" s="604"/>
      <c r="N2210" s="822">
        <v>611692</v>
      </c>
      <c r="O2210" s="822" t="s">
        <v>4451</v>
      </c>
      <c r="P2210" s="823">
        <v>8299</v>
      </c>
      <c r="Q2210" s="823" t="s">
        <v>4425</v>
      </c>
    </row>
    <row r="2211" spans="2:17" ht="15" customHeight="1" x14ac:dyDescent="0.25">
      <c r="B2211" s="617"/>
      <c r="C2211" s="617"/>
      <c r="D2211" s="604"/>
      <c r="E2211" s="618"/>
      <c r="F2211" s="604"/>
      <c r="G2211" s="604"/>
      <c r="H2211" s="604"/>
      <c r="N2211" s="822">
        <v>611699</v>
      </c>
      <c r="O2211" s="822" t="s">
        <v>4453</v>
      </c>
      <c r="P2211" s="823">
        <v>7999</v>
      </c>
      <c r="Q2211" s="823" t="s">
        <v>3690</v>
      </c>
    </row>
    <row r="2212" spans="2:17" ht="15" customHeight="1" x14ac:dyDescent="0.25">
      <c r="B2212" s="617"/>
      <c r="C2212" s="617"/>
      <c r="D2212" s="604"/>
      <c r="E2212" s="618"/>
      <c r="F2212" s="604"/>
      <c r="G2212" s="604"/>
      <c r="H2212" s="604"/>
      <c r="N2212" s="822">
        <v>611699</v>
      </c>
      <c r="O2212" s="822" t="s">
        <v>4453</v>
      </c>
      <c r="P2212" s="823">
        <v>8299</v>
      </c>
      <c r="Q2212" s="823" t="s">
        <v>4425</v>
      </c>
    </row>
    <row r="2213" spans="2:17" ht="15" customHeight="1" x14ac:dyDescent="0.25">
      <c r="B2213" s="617"/>
      <c r="C2213" s="617"/>
      <c r="D2213" s="604"/>
      <c r="E2213" s="618"/>
      <c r="F2213" s="604"/>
      <c r="G2213" s="604"/>
      <c r="H2213" s="604"/>
      <c r="N2213" s="822">
        <v>611710</v>
      </c>
      <c r="O2213" s="822" t="s">
        <v>4455</v>
      </c>
      <c r="P2213" s="823">
        <v>8299</v>
      </c>
      <c r="Q2213" s="823" t="s">
        <v>4425</v>
      </c>
    </row>
    <row r="2214" spans="2:17" ht="15" customHeight="1" x14ac:dyDescent="0.25">
      <c r="B2214" s="617"/>
      <c r="C2214" s="617"/>
      <c r="D2214" s="604"/>
      <c r="E2214" s="618"/>
      <c r="F2214" s="604"/>
      <c r="G2214" s="604"/>
      <c r="H2214" s="604"/>
      <c r="N2214" s="822">
        <v>611710</v>
      </c>
      <c r="O2214" s="822" t="s">
        <v>4455</v>
      </c>
      <c r="P2214" s="823">
        <v>8748</v>
      </c>
      <c r="Q2214" s="823" t="s">
        <v>4159</v>
      </c>
    </row>
    <row r="2215" spans="2:17" ht="15" customHeight="1" x14ac:dyDescent="0.25">
      <c r="B2215" s="617"/>
      <c r="C2215" s="617"/>
      <c r="D2215" s="604"/>
      <c r="E2215" s="618"/>
      <c r="F2215" s="604"/>
      <c r="G2215" s="604"/>
      <c r="H2215" s="604"/>
      <c r="N2215" s="822">
        <v>621111</v>
      </c>
      <c r="O2215" s="822" t="s">
        <v>4457</v>
      </c>
      <c r="P2215" s="823">
        <v>8011</v>
      </c>
      <c r="Q2215" s="823" t="s">
        <v>4459</v>
      </c>
    </row>
    <row r="2216" spans="2:17" ht="15" customHeight="1" x14ac:dyDescent="0.25">
      <c r="B2216" s="617"/>
      <c r="C2216" s="617"/>
      <c r="D2216" s="604"/>
      <c r="E2216" s="618"/>
      <c r="F2216" s="604"/>
      <c r="G2216" s="604"/>
      <c r="H2216" s="604"/>
      <c r="N2216" s="822">
        <v>621111</v>
      </c>
      <c r="O2216" s="822" t="s">
        <v>4457</v>
      </c>
      <c r="P2216" s="823">
        <v>8031</v>
      </c>
      <c r="Q2216" s="823" t="s">
        <v>4461</v>
      </c>
    </row>
    <row r="2217" spans="2:17" ht="15" customHeight="1" x14ac:dyDescent="0.25">
      <c r="B2217" s="617"/>
      <c r="C2217" s="617"/>
      <c r="D2217" s="604"/>
      <c r="E2217" s="618"/>
      <c r="F2217" s="604"/>
      <c r="G2217" s="604"/>
      <c r="H2217" s="604"/>
      <c r="N2217" s="822">
        <v>621112</v>
      </c>
      <c r="O2217" s="822" t="s">
        <v>4463</v>
      </c>
      <c r="P2217" s="823">
        <v>8011</v>
      </c>
      <c r="Q2217" s="823" t="s">
        <v>4459</v>
      </c>
    </row>
    <row r="2218" spans="2:17" ht="15" customHeight="1" x14ac:dyDescent="0.25">
      <c r="B2218" s="617"/>
      <c r="C2218" s="617"/>
      <c r="D2218" s="604"/>
      <c r="E2218" s="618"/>
      <c r="F2218" s="604"/>
      <c r="G2218" s="604"/>
      <c r="H2218" s="604"/>
      <c r="N2218" s="822">
        <v>621112</v>
      </c>
      <c r="O2218" s="822" t="s">
        <v>4463</v>
      </c>
      <c r="P2218" s="823">
        <v>8031</v>
      </c>
      <c r="Q2218" s="823" t="s">
        <v>4461</v>
      </c>
    </row>
    <row r="2219" spans="2:17" ht="15" customHeight="1" x14ac:dyDescent="0.25">
      <c r="B2219" s="617"/>
      <c r="C2219" s="617"/>
      <c r="D2219" s="604"/>
      <c r="E2219" s="618"/>
      <c r="F2219" s="604"/>
      <c r="G2219" s="604"/>
      <c r="H2219" s="604"/>
      <c r="N2219" s="822">
        <v>621210</v>
      </c>
      <c r="O2219" s="822" t="s">
        <v>4465</v>
      </c>
      <c r="P2219" s="823">
        <v>8021</v>
      </c>
      <c r="Q2219" s="823" t="s">
        <v>4467</v>
      </c>
    </row>
    <row r="2220" spans="2:17" ht="15" customHeight="1" x14ac:dyDescent="0.25">
      <c r="B2220" s="617"/>
      <c r="C2220" s="617"/>
      <c r="D2220" s="604"/>
      <c r="E2220" s="618"/>
      <c r="F2220" s="604"/>
      <c r="G2220" s="604"/>
      <c r="H2220" s="604"/>
      <c r="N2220" s="822">
        <v>621310</v>
      </c>
      <c r="O2220" s="822" t="s">
        <v>4469</v>
      </c>
      <c r="P2220" s="823">
        <v>8041</v>
      </c>
      <c r="Q2220" s="823" t="s">
        <v>4471</v>
      </c>
    </row>
    <row r="2221" spans="2:17" ht="15" customHeight="1" x14ac:dyDescent="0.25">
      <c r="B2221" s="617"/>
      <c r="C2221" s="617"/>
      <c r="D2221" s="604"/>
      <c r="E2221" s="618"/>
      <c r="F2221" s="604"/>
      <c r="G2221" s="604"/>
      <c r="H2221" s="604"/>
      <c r="N2221" s="822">
        <v>621320</v>
      </c>
      <c r="O2221" s="822" t="s">
        <v>4473</v>
      </c>
      <c r="P2221" s="823">
        <v>8042</v>
      </c>
      <c r="Q2221" s="823" t="s">
        <v>4475</v>
      </c>
    </row>
    <row r="2222" spans="2:17" ht="15" customHeight="1" x14ac:dyDescent="0.25">
      <c r="B2222" s="617"/>
      <c r="C2222" s="617"/>
      <c r="D2222" s="604"/>
      <c r="E2222" s="618"/>
      <c r="F2222" s="604"/>
      <c r="G2222" s="604"/>
      <c r="H2222" s="604"/>
      <c r="N2222" s="822">
        <v>621330</v>
      </c>
      <c r="O2222" s="822" t="s">
        <v>4477</v>
      </c>
      <c r="P2222" s="823">
        <v>8049</v>
      </c>
      <c r="Q2222" s="823" t="s">
        <v>4479</v>
      </c>
    </row>
    <row r="2223" spans="2:17" ht="15" customHeight="1" x14ac:dyDescent="0.25">
      <c r="B2223" s="617"/>
      <c r="C2223" s="617"/>
      <c r="D2223" s="604"/>
      <c r="E2223" s="618"/>
      <c r="F2223" s="604"/>
      <c r="G2223" s="604"/>
      <c r="H2223" s="604"/>
      <c r="N2223" s="822">
        <v>621340</v>
      </c>
      <c r="O2223" s="822" t="s">
        <v>4481</v>
      </c>
      <c r="P2223" s="823">
        <v>8049</v>
      </c>
      <c r="Q2223" s="823" t="s">
        <v>4479</v>
      </c>
    </row>
    <row r="2224" spans="2:17" ht="15" customHeight="1" x14ac:dyDescent="0.25">
      <c r="B2224" s="617"/>
      <c r="C2224" s="617"/>
      <c r="D2224" s="604"/>
      <c r="E2224" s="618"/>
      <c r="F2224" s="604"/>
      <c r="G2224" s="604"/>
      <c r="H2224" s="604"/>
      <c r="N2224" s="822">
        <v>621391</v>
      </c>
      <c r="O2224" s="822" t="s">
        <v>4483</v>
      </c>
      <c r="P2224" s="823">
        <v>8043</v>
      </c>
      <c r="Q2224" s="823" t="s">
        <v>4485</v>
      </c>
    </row>
    <row r="2225" spans="2:17" ht="15" customHeight="1" x14ac:dyDescent="0.25">
      <c r="B2225" s="617"/>
      <c r="C2225" s="617"/>
      <c r="D2225" s="604"/>
      <c r="E2225" s="618"/>
      <c r="F2225" s="604"/>
      <c r="G2225" s="604"/>
      <c r="H2225" s="604"/>
      <c r="N2225" s="822">
        <v>621399</v>
      </c>
      <c r="O2225" s="822" t="s">
        <v>4487</v>
      </c>
      <c r="P2225" s="823">
        <v>8049</v>
      </c>
      <c r="Q2225" s="823" t="s">
        <v>4479</v>
      </c>
    </row>
    <row r="2226" spans="2:17" ht="15" customHeight="1" x14ac:dyDescent="0.25">
      <c r="B2226" s="617"/>
      <c r="C2226" s="617"/>
      <c r="D2226" s="604"/>
      <c r="E2226" s="618"/>
      <c r="F2226" s="604"/>
      <c r="G2226" s="604"/>
      <c r="H2226" s="604"/>
      <c r="N2226" s="822">
        <v>621399</v>
      </c>
      <c r="O2226" s="822" t="s">
        <v>4487</v>
      </c>
      <c r="P2226" s="823">
        <v>8093</v>
      </c>
      <c r="Q2226" s="823" t="s">
        <v>4489</v>
      </c>
    </row>
    <row r="2227" spans="2:17" ht="15" customHeight="1" x14ac:dyDescent="0.25">
      <c r="B2227" s="617"/>
      <c r="C2227" s="617"/>
      <c r="D2227" s="604"/>
      <c r="E2227" s="618"/>
      <c r="F2227" s="604"/>
      <c r="G2227" s="604"/>
      <c r="H2227" s="604"/>
      <c r="N2227" s="822">
        <v>621410</v>
      </c>
      <c r="O2227" s="822" t="s">
        <v>4491</v>
      </c>
      <c r="P2227" s="823">
        <v>8093</v>
      </c>
      <c r="Q2227" s="823" t="s">
        <v>4489</v>
      </c>
    </row>
    <row r="2228" spans="2:17" ht="15" customHeight="1" x14ac:dyDescent="0.25">
      <c r="B2228" s="617"/>
      <c r="C2228" s="617"/>
      <c r="D2228" s="604"/>
      <c r="E2228" s="618"/>
      <c r="F2228" s="604"/>
      <c r="G2228" s="604"/>
      <c r="H2228" s="604"/>
      <c r="N2228" s="822">
        <v>621410</v>
      </c>
      <c r="O2228" s="822" t="s">
        <v>4491</v>
      </c>
      <c r="P2228" s="823">
        <v>8099</v>
      </c>
      <c r="Q2228" s="823" t="s">
        <v>4185</v>
      </c>
    </row>
    <row r="2229" spans="2:17" ht="15" customHeight="1" x14ac:dyDescent="0.25">
      <c r="B2229" s="617"/>
      <c r="C2229" s="617"/>
      <c r="D2229" s="604"/>
      <c r="E2229" s="618"/>
      <c r="F2229" s="604"/>
      <c r="G2229" s="604"/>
      <c r="H2229" s="604"/>
      <c r="N2229" s="822">
        <v>621420</v>
      </c>
      <c r="O2229" s="822" t="s">
        <v>4493</v>
      </c>
      <c r="P2229" s="823">
        <v>8093</v>
      </c>
      <c r="Q2229" s="823" t="s">
        <v>4489</v>
      </c>
    </row>
    <row r="2230" spans="2:17" ht="15" customHeight="1" x14ac:dyDescent="0.25">
      <c r="B2230" s="617"/>
      <c r="C2230" s="617"/>
      <c r="D2230" s="604"/>
      <c r="E2230" s="618"/>
      <c r="F2230" s="604"/>
      <c r="G2230" s="604"/>
      <c r="H2230" s="604"/>
      <c r="N2230" s="822">
        <v>621491</v>
      </c>
      <c r="O2230" s="822" t="s">
        <v>4495</v>
      </c>
      <c r="P2230" s="823">
        <v>8011</v>
      </c>
      <c r="Q2230" s="823" t="s">
        <v>4459</v>
      </c>
    </row>
    <row r="2231" spans="2:17" ht="15" customHeight="1" x14ac:dyDescent="0.25">
      <c r="B2231" s="617"/>
      <c r="C2231" s="617"/>
      <c r="D2231" s="604"/>
      <c r="E2231" s="618"/>
      <c r="F2231" s="604"/>
      <c r="G2231" s="604"/>
      <c r="H2231" s="604"/>
      <c r="N2231" s="822">
        <v>621492</v>
      </c>
      <c r="O2231" s="822" t="s">
        <v>4497</v>
      </c>
      <c r="P2231" s="823">
        <v>8092</v>
      </c>
      <c r="Q2231" s="823" t="s">
        <v>4497</v>
      </c>
    </row>
    <row r="2232" spans="2:17" ht="15" customHeight="1" x14ac:dyDescent="0.25">
      <c r="B2232" s="617"/>
      <c r="C2232" s="617"/>
      <c r="D2232" s="604"/>
      <c r="E2232" s="618"/>
      <c r="F2232" s="604"/>
      <c r="G2232" s="604"/>
      <c r="H2232" s="604"/>
      <c r="N2232" s="822">
        <v>621493</v>
      </c>
      <c r="O2232" s="822" t="s">
        <v>4500</v>
      </c>
      <c r="P2232" s="823">
        <v>8011</v>
      </c>
      <c r="Q2232" s="823" t="s">
        <v>4459</v>
      </c>
    </row>
    <row r="2233" spans="2:17" ht="15" customHeight="1" x14ac:dyDescent="0.25">
      <c r="B2233" s="617"/>
      <c r="C2233" s="617"/>
      <c r="D2233" s="604"/>
      <c r="E2233" s="618"/>
      <c r="F2233" s="604"/>
      <c r="G2233" s="604"/>
      <c r="H2233" s="604"/>
      <c r="N2233" s="822">
        <v>621498</v>
      </c>
      <c r="O2233" s="822" t="s">
        <v>4502</v>
      </c>
      <c r="P2233" s="823">
        <v>8093</v>
      </c>
      <c r="Q2233" s="823" t="s">
        <v>4489</v>
      </c>
    </row>
    <row r="2234" spans="2:17" ht="15" customHeight="1" x14ac:dyDescent="0.25">
      <c r="B2234" s="617"/>
      <c r="C2234" s="617"/>
      <c r="D2234" s="604"/>
      <c r="E2234" s="618"/>
      <c r="F2234" s="604"/>
      <c r="G2234" s="604"/>
      <c r="H2234" s="604"/>
      <c r="N2234" s="822">
        <v>621511</v>
      </c>
      <c r="O2234" s="822" t="s">
        <v>4504</v>
      </c>
      <c r="P2234" s="823">
        <v>8071</v>
      </c>
      <c r="Q2234" s="823" t="s">
        <v>4504</v>
      </c>
    </row>
    <row r="2235" spans="2:17" ht="15" customHeight="1" x14ac:dyDescent="0.25">
      <c r="B2235" s="617"/>
      <c r="C2235" s="617"/>
      <c r="D2235" s="604"/>
      <c r="E2235" s="618"/>
      <c r="F2235" s="604"/>
      <c r="G2235" s="604"/>
      <c r="H2235" s="604"/>
      <c r="N2235" s="822">
        <v>621512</v>
      </c>
      <c r="O2235" s="822" t="s">
        <v>4507</v>
      </c>
      <c r="P2235" s="823">
        <v>8071</v>
      </c>
      <c r="Q2235" s="823" t="s">
        <v>4504</v>
      </c>
    </row>
    <row r="2236" spans="2:17" ht="15" customHeight="1" x14ac:dyDescent="0.25">
      <c r="B2236" s="617"/>
      <c r="C2236" s="617"/>
      <c r="D2236" s="604"/>
      <c r="E2236" s="618"/>
      <c r="F2236" s="604"/>
      <c r="G2236" s="604"/>
      <c r="H2236" s="604"/>
      <c r="N2236" s="822">
        <v>621610</v>
      </c>
      <c r="O2236" s="822" t="s">
        <v>4509</v>
      </c>
      <c r="P2236" s="823">
        <v>8082</v>
      </c>
      <c r="Q2236" s="823" t="s">
        <v>4509</v>
      </c>
    </row>
    <row r="2237" spans="2:17" ht="15" customHeight="1" x14ac:dyDescent="0.25">
      <c r="B2237" s="617"/>
      <c r="C2237" s="617"/>
      <c r="D2237" s="604"/>
      <c r="E2237" s="618"/>
      <c r="F2237" s="604"/>
      <c r="G2237" s="604"/>
      <c r="H2237" s="604"/>
      <c r="N2237" s="822">
        <v>621910</v>
      </c>
      <c r="O2237" s="822" t="s">
        <v>4512</v>
      </c>
      <c r="P2237" s="823">
        <v>4119</v>
      </c>
      <c r="Q2237" s="823" t="s">
        <v>3654</v>
      </c>
    </row>
    <row r="2238" spans="2:17" ht="15" customHeight="1" x14ac:dyDescent="0.25">
      <c r="B2238" s="617"/>
      <c r="C2238" s="617"/>
      <c r="D2238" s="604"/>
      <c r="E2238" s="618"/>
      <c r="F2238" s="604"/>
      <c r="G2238" s="604"/>
      <c r="H2238" s="604"/>
      <c r="N2238" s="822">
        <v>621910</v>
      </c>
      <c r="O2238" s="822" t="s">
        <v>4512</v>
      </c>
      <c r="P2238" s="823">
        <v>4522</v>
      </c>
      <c r="Q2238" s="823" t="s">
        <v>3566</v>
      </c>
    </row>
    <row r="2239" spans="2:17" ht="15" customHeight="1" x14ac:dyDescent="0.25">
      <c r="B2239" s="617"/>
      <c r="C2239" s="617"/>
      <c r="D2239" s="604"/>
      <c r="E2239" s="618"/>
      <c r="F2239" s="604"/>
      <c r="G2239" s="604"/>
      <c r="H2239" s="604"/>
      <c r="N2239" s="822">
        <v>621991</v>
      </c>
      <c r="O2239" s="822" t="s">
        <v>4514</v>
      </c>
      <c r="P2239" s="823">
        <v>8099</v>
      </c>
      <c r="Q2239" s="823" t="s">
        <v>4185</v>
      </c>
    </row>
    <row r="2240" spans="2:17" ht="15" customHeight="1" x14ac:dyDescent="0.25">
      <c r="B2240" s="617"/>
      <c r="C2240" s="617"/>
      <c r="D2240" s="604"/>
      <c r="E2240" s="618"/>
      <c r="F2240" s="604"/>
      <c r="G2240" s="604"/>
      <c r="H2240" s="604"/>
      <c r="N2240" s="822">
        <v>621999</v>
      </c>
      <c r="O2240" s="822" t="s">
        <v>4516</v>
      </c>
      <c r="P2240" s="823">
        <v>8099</v>
      </c>
      <c r="Q2240" s="823" t="s">
        <v>4185</v>
      </c>
    </row>
    <row r="2241" spans="2:17" ht="15" customHeight="1" x14ac:dyDescent="0.25">
      <c r="B2241" s="617"/>
      <c r="C2241" s="617"/>
      <c r="D2241" s="604"/>
      <c r="E2241" s="618"/>
      <c r="F2241" s="604"/>
      <c r="G2241" s="604"/>
      <c r="H2241" s="604"/>
      <c r="N2241" s="822">
        <v>622110</v>
      </c>
      <c r="O2241" s="822" t="s">
        <v>4518</v>
      </c>
      <c r="P2241" s="823">
        <v>8062</v>
      </c>
      <c r="Q2241" s="823" t="s">
        <v>4518</v>
      </c>
    </row>
    <row r="2242" spans="2:17" ht="15" customHeight="1" x14ac:dyDescent="0.25">
      <c r="B2242" s="617"/>
      <c r="C2242" s="617"/>
      <c r="D2242" s="604"/>
      <c r="E2242" s="618"/>
      <c r="F2242" s="604"/>
      <c r="G2242" s="604"/>
      <c r="H2242" s="604"/>
      <c r="N2242" s="822">
        <v>622110</v>
      </c>
      <c r="O2242" s="822" t="s">
        <v>4518</v>
      </c>
      <c r="P2242" s="823">
        <v>8069</v>
      </c>
      <c r="Q2242" s="823" t="s">
        <v>4521</v>
      </c>
    </row>
    <row r="2243" spans="2:17" ht="15" customHeight="1" x14ac:dyDescent="0.25">
      <c r="B2243" s="617"/>
      <c r="C2243" s="617"/>
      <c r="D2243" s="604"/>
      <c r="E2243" s="618"/>
      <c r="F2243" s="604"/>
      <c r="G2243" s="604"/>
      <c r="H2243" s="604"/>
      <c r="N2243" s="822">
        <v>622210</v>
      </c>
      <c r="O2243" s="822" t="s">
        <v>4523</v>
      </c>
      <c r="P2243" s="823">
        <v>8063</v>
      </c>
      <c r="Q2243" s="823" t="s">
        <v>4525</v>
      </c>
    </row>
    <row r="2244" spans="2:17" ht="15" customHeight="1" x14ac:dyDescent="0.25">
      <c r="B2244" s="617"/>
      <c r="C2244" s="617"/>
      <c r="D2244" s="604"/>
      <c r="E2244" s="618"/>
      <c r="F2244" s="604"/>
      <c r="G2244" s="604"/>
      <c r="H2244" s="604"/>
      <c r="N2244" s="822">
        <v>622210</v>
      </c>
      <c r="O2244" s="822" t="s">
        <v>4523</v>
      </c>
      <c r="P2244" s="823">
        <v>8069</v>
      </c>
      <c r="Q2244" s="823" t="s">
        <v>4521</v>
      </c>
    </row>
    <row r="2245" spans="2:17" ht="15" customHeight="1" x14ac:dyDescent="0.25">
      <c r="B2245" s="617"/>
      <c r="C2245" s="617"/>
      <c r="D2245" s="604"/>
      <c r="E2245" s="618"/>
      <c r="F2245" s="604"/>
      <c r="G2245" s="604"/>
      <c r="H2245" s="604"/>
      <c r="N2245" s="822">
        <v>622310</v>
      </c>
      <c r="O2245" s="822" t="s">
        <v>4527</v>
      </c>
      <c r="P2245" s="823">
        <v>8069</v>
      </c>
      <c r="Q2245" s="823" t="s">
        <v>4521</v>
      </c>
    </row>
    <row r="2246" spans="2:17" ht="15" customHeight="1" x14ac:dyDescent="0.25">
      <c r="B2246" s="617"/>
      <c r="C2246" s="617"/>
      <c r="D2246" s="604"/>
      <c r="E2246" s="618"/>
      <c r="F2246" s="604"/>
      <c r="G2246" s="604"/>
      <c r="H2246" s="604"/>
      <c r="N2246" s="822">
        <v>623110</v>
      </c>
      <c r="O2246" s="822" t="s">
        <v>4529</v>
      </c>
      <c r="P2246" s="823">
        <v>8051</v>
      </c>
      <c r="Q2246" s="823" t="s">
        <v>4531</v>
      </c>
    </row>
    <row r="2247" spans="2:17" ht="15" customHeight="1" x14ac:dyDescent="0.25">
      <c r="B2247" s="617"/>
      <c r="C2247" s="617"/>
      <c r="D2247" s="604"/>
      <c r="E2247" s="618"/>
      <c r="F2247" s="604"/>
      <c r="G2247" s="604"/>
      <c r="H2247" s="604"/>
      <c r="N2247" s="822">
        <v>623110</v>
      </c>
      <c r="O2247" s="822" t="s">
        <v>4529</v>
      </c>
      <c r="P2247" s="823">
        <v>8052</v>
      </c>
      <c r="Q2247" s="823" t="s">
        <v>4533</v>
      </c>
    </row>
    <row r="2248" spans="2:17" ht="15" customHeight="1" x14ac:dyDescent="0.25">
      <c r="B2248" s="617"/>
      <c r="C2248" s="617"/>
      <c r="D2248" s="604"/>
      <c r="E2248" s="618"/>
      <c r="F2248" s="604"/>
      <c r="G2248" s="604"/>
      <c r="H2248" s="604"/>
      <c r="N2248" s="822">
        <v>623110</v>
      </c>
      <c r="O2248" s="822" t="s">
        <v>4529</v>
      </c>
      <c r="P2248" s="823">
        <v>8059</v>
      </c>
      <c r="Q2248" s="823" t="s">
        <v>4535</v>
      </c>
    </row>
    <row r="2249" spans="2:17" ht="15" customHeight="1" x14ac:dyDescent="0.25">
      <c r="B2249" s="617"/>
      <c r="C2249" s="617"/>
      <c r="D2249" s="604"/>
      <c r="E2249" s="618"/>
      <c r="F2249" s="604"/>
      <c r="G2249" s="604"/>
      <c r="H2249" s="604"/>
      <c r="N2249" s="822">
        <v>623210</v>
      </c>
      <c r="O2249" s="822" t="s">
        <v>4537</v>
      </c>
      <c r="P2249" s="823">
        <v>8051</v>
      </c>
      <c r="Q2249" s="823" t="s">
        <v>4531</v>
      </c>
    </row>
    <row r="2250" spans="2:17" ht="15" customHeight="1" x14ac:dyDescent="0.25">
      <c r="B2250" s="617"/>
      <c r="C2250" s="617"/>
      <c r="D2250" s="604"/>
      <c r="E2250" s="618"/>
      <c r="F2250" s="604"/>
      <c r="G2250" s="604"/>
      <c r="H2250" s="604"/>
      <c r="N2250" s="822">
        <v>623210</v>
      </c>
      <c r="O2250" s="822" t="s">
        <v>4537</v>
      </c>
      <c r="P2250" s="823">
        <v>8052</v>
      </c>
      <c r="Q2250" s="823" t="s">
        <v>4533</v>
      </c>
    </row>
    <row r="2251" spans="2:17" ht="15" customHeight="1" x14ac:dyDescent="0.25">
      <c r="B2251" s="617"/>
      <c r="C2251" s="617"/>
      <c r="D2251" s="604"/>
      <c r="E2251" s="618"/>
      <c r="F2251" s="604"/>
      <c r="G2251" s="604"/>
      <c r="H2251" s="604"/>
      <c r="N2251" s="822">
        <v>623210</v>
      </c>
      <c r="O2251" s="822" t="s">
        <v>4537</v>
      </c>
      <c r="P2251" s="823">
        <v>8059</v>
      </c>
      <c r="Q2251" s="823" t="s">
        <v>4535</v>
      </c>
    </row>
    <row r="2252" spans="2:17" ht="15" customHeight="1" x14ac:dyDescent="0.25">
      <c r="B2252" s="617"/>
      <c r="C2252" s="617"/>
      <c r="D2252" s="604"/>
      <c r="E2252" s="618"/>
      <c r="F2252" s="604"/>
      <c r="G2252" s="604"/>
      <c r="H2252" s="604"/>
      <c r="N2252" s="822">
        <v>623210</v>
      </c>
      <c r="O2252" s="822" t="s">
        <v>4537</v>
      </c>
      <c r="P2252" s="823">
        <v>8361</v>
      </c>
      <c r="Q2252" s="823" t="s">
        <v>4539</v>
      </c>
    </row>
    <row r="2253" spans="2:17" ht="15" customHeight="1" x14ac:dyDescent="0.25">
      <c r="B2253" s="617"/>
      <c r="C2253" s="617"/>
      <c r="D2253" s="604"/>
      <c r="E2253" s="618"/>
      <c r="F2253" s="604"/>
      <c r="G2253" s="604"/>
      <c r="H2253" s="604"/>
      <c r="N2253" s="822">
        <v>623220</v>
      </c>
      <c r="O2253" s="822" t="s">
        <v>4541</v>
      </c>
      <c r="P2253" s="823">
        <v>8361</v>
      </c>
      <c r="Q2253" s="823" t="s">
        <v>4539</v>
      </c>
    </row>
    <row r="2254" spans="2:17" ht="15" customHeight="1" x14ac:dyDescent="0.25">
      <c r="B2254" s="617"/>
      <c r="C2254" s="617"/>
      <c r="D2254" s="604"/>
      <c r="E2254" s="618"/>
      <c r="F2254" s="604"/>
      <c r="G2254" s="604"/>
      <c r="H2254" s="604"/>
      <c r="N2254" s="822">
        <v>623311</v>
      </c>
      <c r="O2254" s="822" t="s">
        <v>4543</v>
      </c>
      <c r="P2254" s="823">
        <v>8051</v>
      </c>
      <c r="Q2254" s="823" t="s">
        <v>4531</v>
      </c>
    </row>
    <row r="2255" spans="2:17" ht="15" customHeight="1" x14ac:dyDescent="0.25">
      <c r="B2255" s="617"/>
      <c r="C2255" s="617"/>
      <c r="D2255" s="604"/>
      <c r="E2255" s="618"/>
      <c r="F2255" s="604"/>
      <c r="G2255" s="604"/>
      <c r="H2255" s="604"/>
      <c r="N2255" s="822">
        <v>623311</v>
      </c>
      <c r="O2255" s="822" t="s">
        <v>4543</v>
      </c>
      <c r="P2255" s="823">
        <v>8052</v>
      </c>
      <c r="Q2255" s="823" t="s">
        <v>4533</v>
      </c>
    </row>
    <row r="2256" spans="2:17" ht="15" customHeight="1" x14ac:dyDescent="0.25">
      <c r="B2256" s="617"/>
      <c r="C2256" s="617"/>
      <c r="D2256" s="604"/>
      <c r="E2256" s="618"/>
      <c r="F2256" s="604"/>
      <c r="G2256" s="604"/>
      <c r="H2256" s="604"/>
      <c r="N2256" s="822">
        <v>623311</v>
      </c>
      <c r="O2256" s="822" t="s">
        <v>4543</v>
      </c>
      <c r="P2256" s="823">
        <v>8059</v>
      </c>
      <c r="Q2256" s="823" t="s">
        <v>4535</v>
      </c>
    </row>
    <row r="2257" spans="2:17" ht="15" customHeight="1" x14ac:dyDescent="0.25">
      <c r="B2257" s="617"/>
      <c r="C2257" s="617"/>
      <c r="D2257" s="604"/>
      <c r="E2257" s="618"/>
      <c r="F2257" s="604"/>
      <c r="G2257" s="604"/>
      <c r="H2257" s="604"/>
      <c r="N2257" s="822">
        <v>623312</v>
      </c>
      <c r="O2257" s="822" t="s">
        <v>4545</v>
      </c>
      <c r="P2257" s="823">
        <v>8361</v>
      </c>
      <c r="Q2257" s="823" t="s">
        <v>4539</v>
      </c>
    </row>
    <row r="2258" spans="2:17" ht="15" customHeight="1" x14ac:dyDescent="0.25">
      <c r="B2258" s="617"/>
      <c r="C2258" s="617"/>
      <c r="D2258" s="604"/>
      <c r="E2258" s="618"/>
      <c r="F2258" s="604"/>
      <c r="G2258" s="604"/>
      <c r="H2258" s="604"/>
      <c r="N2258" s="822">
        <v>623990</v>
      </c>
      <c r="O2258" s="822" t="s">
        <v>4547</v>
      </c>
      <c r="P2258" s="823">
        <v>8361</v>
      </c>
      <c r="Q2258" s="823" t="s">
        <v>4539</v>
      </c>
    </row>
    <row r="2259" spans="2:17" ht="15" customHeight="1" x14ac:dyDescent="0.25">
      <c r="B2259" s="617"/>
      <c r="C2259" s="617"/>
      <c r="D2259" s="604"/>
      <c r="E2259" s="618"/>
      <c r="F2259" s="604"/>
      <c r="G2259" s="604"/>
      <c r="H2259" s="604"/>
      <c r="N2259" s="822">
        <v>624110</v>
      </c>
      <c r="O2259" s="822" t="s">
        <v>4549</v>
      </c>
      <c r="P2259" s="823">
        <v>8322</v>
      </c>
      <c r="Q2259" s="823" t="s">
        <v>4551</v>
      </c>
    </row>
    <row r="2260" spans="2:17" ht="15" customHeight="1" x14ac:dyDescent="0.25">
      <c r="B2260" s="617"/>
      <c r="C2260" s="617"/>
      <c r="D2260" s="604"/>
      <c r="E2260" s="618"/>
      <c r="F2260" s="604"/>
      <c r="G2260" s="604"/>
      <c r="H2260" s="604"/>
      <c r="N2260" s="822">
        <v>624120</v>
      </c>
      <c r="O2260" s="822" t="s">
        <v>4553</v>
      </c>
      <c r="P2260" s="823">
        <v>8322</v>
      </c>
      <c r="Q2260" s="823" t="s">
        <v>4551</v>
      </c>
    </row>
    <row r="2261" spans="2:17" ht="15" customHeight="1" x14ac:dyDescent="0.25">
      <c r="B2261" s="617"/>
      <c r="C2261" s="617"/>
      <c r="D2261" s="604"/>
      <c r="E2261" s="618"/>
      <c r="F2261" s="604"/>
      <c r="G2261" s="604"/>
      <c r="H2261" s="604"/>
      <c r="N2261" s="822">
        <v>624190</v>
      </c>
      <c r="O2261" s="822" t="s">
        <v>4555</v>
      </c>
      <c r="P2261" s="823">
        <v>8322</v>
      </c>
      <c r="Q2261" s="823" t="s">
        <v>4551</v>
      </c>
    </row>
    <row r="2262" spans="2:17" ht="15" customHeight="1" x14ac:dyDescent="0.25">
      <c r="B2262" s="617"/>
      <c r="C2262" s="617"/>
      <c r="D2262" s="604"/>
      <c r="E2262" s="618"/>
      <c r="F2262" s="604"/>
      <c r="G2262" s="604"/>
      <c r="H2262" s="604"/>
      <c r="N2262" s="822">
        <v>624210</v>
      </c>
      <c r="O2262" s="822" t="s">
        <v>4557</v>
      </c>
      <c r="P2262" s="823">
        <v>8322</v>
      </c>
      <c r="Q2262" s="823" t="s">
        <v>4551</v>
      </c>
    </row>
    <row r="2263" spans="2:17" ht="15" customHeight="1" x14ac:dyDescent="0.25">
      <c r="B2263" s="617"/>
      <c r="C2263" s="617"/>
      <c r="D2263" s="604"/>
      <c r="E2263" s="618"/>
      <c r="F2263" s="604"/>
      <c r="G2263" s="604"/>
      <c r="H2263" s="604"/>
      <c r="N2263" s="822">
        <v>624221</v>
      </c>
      <c r="O2263" s="822" t="s">
        <v>4559</v>
      </c>
      <c r="P2263" s="823">
        <v>8322</v>
      </c>
      <c r="Q2263" s="823" t="s">
        <v>4551</v>
      </c>
    </row>
    <row r="2264" spans="2:17" ht="15" customHeight="1" x14ac:dyDescent="0.25">
      <c r="B2264" s="617"/>
      <c r="C2264" s="617"/>
      <c r="D2264" s="604"/>
      <c r="E2264" s="618"/>
      <c r="F2264" s="604"/>
      <c r="G2264" s="604"/>
      <c r="H2264" s="604"/>
      <c r="N2264" s="822">
        <v>624229</v>
      </c>
      <c r="O2264" s="822" t="s">
        <v>4561</v>
      </c>
      <c r="P2264" s="823">
        <v>8322</v>
      </c>
      <c r="Q2264" s="823" t="s">
        <v>4551</v>
      </c>
    </row>
    <row r="2265" spans="2:17" ht="15" customHeight="1" x14ac:dyDescent="0.25">
      <c r="B2265" s="617"/>
      <c r="C2265" s="617"/>
      <c r="D2265" s="604"/>
      <c r="E2265" s="618"/>
      <c r="F2265" s="604"/>
      <c r="G2265" s="604"/>
      <c r="H2265" s="604"/>
      <c r="N2265" s="822">
        <v>624230</v>
      </c>
      <c r="O2265" s="822" t="s">
        <v>4563</v>
      </c>
      <c r="P2265" s="823">
        <v>8322</v>
      </c>
      <c r="Q2265" s="823" t="s">
        <v>4551</v>
      </c>
    </row>
    <row r="2266" spans="2:17" ht="15" customHeight="1" x14ac:dyDescent="0.25">
      <c r="B2266" s="617"/>
      <c r="C2266" s="617"/>
      <c r="D2266" s="604"/>
      <c r="E2266" s="618"/>
      <c r="F2266" s="604"/>
      <c r="G2266" s="604"/>
      <c r="H2266" s="604"/>
      <c r="N2266" s="822">
        <v>624310</v>
      </c>
      <c r="O2266" s="822" t="s">
        <v>4565</v>
      </c>
      <c r="P2266" s="823">
        <v>8331</v>
      </c>
      <c r="Q2266" s="823" t="s">
        <v>4567</v>
      </c>
    </row>
    <row r="2267" spans="2:17" ht="15" customHeight="1" x14ac:dyDescent="0.25">
      <c r="B2267" s="617"/>
      <c r="C2267" s="617"/>
      <c r="D2267" s="604"/>
      <c r="E2267" s="618"/>
      <c r="F2267" s="604"/>
      <c r="G2267" s="604"/>
      <c r="H2267" s="604"/>
      <c r="N2267" s="822">
        <v>624410</v>
      </c>
      <c r="O2267" s="822" t="s">
        <v>4569</v>
      </c>
      <c r="P2267" s="823">
        <v>8351</v>
      </c>
      <c r="Q2267" s="823" t="s">
        <v>4569</v>
      </c>
    </row>
    <row r="2268" spans="2:17" ht="15" customHeight="1" x14ac:dyDescent="0.25">
      <c r="B2268" s="617"/>
      <c r="C2268" s="617"/>
      <c r="D2268" s="604"/>
      <c r="E2268" s="618"/>
      <c r="F2268" s="604"/>
      <c r="G2268" s="604"/>
      <c r="H2268" s="604"/>
      <c r="N2268" s="822">
        <v>711100</v>
      </c>
      <c r="O2268" s="822" t="s">
        <v>6026</v>
      </c>
      <c r="P2268" s="823"/>
      <c r="Q2268" s="823" t="s">
        <v>958</v>
      </c>
    </row>
    <row r="2269" spans="2:17" ht="15" customHeight="1" x14ac:dyDescent="0.25">
      <c r="B2269" s="617"/>
      <c r="C2269" s="617"/>
      <c r="D2269" s="604"/>
      <c r="E2269" s="618"/>
      <c r="F2269" s="604"/>
      <c r="G2269" s="604"/>
      <c r="H2269" s="604"/>
      <c r="N2269" s="822">
        <v>711110</v>
      </c>
      <c r="O2269" s="822" t="s">
        <v>4572</v>
      </c>
      <c r="P2269" s="823">
        <v>5812</v>
      </c>
      <c r="Q2269" s="823" t="s">
        <v>4574</v>
      </c>
    </row>
    <row r="2270" spans="2:17" ht="15" customHeight="1" x14ac:dyDescent="0.25">
      <c r="B2270" s="617"/>
      <c r="C2270" s="617"/>
      <c r="D2270" s="604"/>
      <c r="E2270" s="618"/>
      <c r="F2270" s="604"/>
      <c r="G2270" s="604"/>
      <c r="H2270" s="604"/>
      <c r="N2270" s="822">
        <v>711110</v>
      </c>
      <c r="O2270" s="822" t="s">
        <v>4572</v>
      </c>
      <c r="P2270" s="823">
        <v>7922</v>
      </c>
      <c r="Q2270" s="823" t="s">
        <v>3825</v>
      </c>
    </row>
    <row r="2271" spans="2:17" ht="15" customHeight="1" x14ac:dyDescent="0.25">
      <c r="B2271" s="617"/>
      <c r="C2271" s="617"/>
      <c r="D2271" s="604"/>
      <c r="E2271" s="618"/>
      <c r="F2271" s="604"/>
      <c r="G2271" s="604"/>
      <c r="H2271" s="604"/>
      <c r="N2271" s="822">
        <v>711120</v>
      </c>
      <c r="O2271" s="822" t="s">
        <v>4576</v>
      </c>
      <c r="P2271" s="823">
        <v>7922</v>
      </c>
      <c r="Q2271" s="823" t="s">
        <v>3825</v>
      </c>
    </row>
    <row r="2272" spans="2:17" ht="15" customHeight="1" x14ac:dyDescent="0.25">
      <c r="B2272" s="617"/>
      <c r="C2272" s="617"/>
      <c r="D2272" s="604"/>
      <c r="E2272" s="618"/>
      <c r="F2272" s="604"/>
      <c r="G2272" s="604"/>
      <c r="H2272" s="604"/>
      <c r="N2272" s="822">
        <v>711130</v>
      </c>
      <c r="O2272" s="822" t="s">
        <v>4578</v>
      </c>
      <c r="P2272" s="823">
        <v>7929</v>
      </c>
      <c r="Q2272" s="823" t="s">
        <v>4580</v>
      </c>
    </row>
    <row r="2273" spans="2:17" ht="15" customHeight="1" x14ac:dyDescent="0.25">
      <c r="B2273" s="617"/>
      <c r="C2273" s="617"/>
      <c r="D2273" s="604"/>
      <c r="E2273" s="618"/>
      <c r="F2273" s="604"/>
      <c r="G2273" s="604"/>
      <c r="H2273" s="604"/>
      <c r="N2273" s="822">
        <v>711190</v>
      </c>
      <c r="O2273" s="822" t="s">
        <v>4582</v>
      </c>
      <c r="P2273" s="823">
        <v>7929</v>
      </c>
      <c r="Q2273" s="823" t="s">
        <v>4580</v>
      </c>
    </row>
    <row r="2274" spans="2:17" ht="15" customHeight="1" x14ac:dyDescent="0.25">
      <c r="B2274" s="617"/>
      <c r="C2274" s="617"/>
      <c r="D2274" s="604"/>
      <c r="E2274" s="618"/>
      <c r="F2274" s="604"/>
      <c r="G2274" s="604"/>
      <c r="H2274" s="604"/>
      <c r="N2274" s="822">
        <v>711190</v>
      </c>
      <c r="O2274" s="822" t="s">
        <v>4582</v>
      </c>
      <c r="P2274" s="823">
        <v>7999</v>
      </c>
      <c r="Q2274" s="823" t="s">
        <v>3690</v>
      </c>
    </row>
    <row r="2275" spans="2:17" ht="15" customHeight="1" x14ac:dyDescent="0.25">
      <c r="B2275" s="617"/>
      <c r="C2275" s="617"/>
      <c r="D2275" s="604"/>
      <c r="E2275" s="618"/>
      <c r="F2275" s="604"/>
      <c r="G2275" s="604"/>
      <c r="H2275" s="604"/>
      <c r="N2275" s="822">
        <v>711211</v>
      </c>
      <c r="O2275" s="822" t="s">
        <v>4584</v>
      </c>
      <c r="P2275" s="823">
        <v>7941</v>
      </c>
      <c r="Q2275" s="823" t="s">
        <v>4586</v>
      </c>
    </row>
    <row r="2276" spans="2:17" ht="15" customHeight="1" x14ac:dyDescent="0.25">
      <c r="B2276" s="617"/>
      <c r="C2276" s="617"/>
      <c r="D2276" s="604"/>
      <c r="E2276" s="618"/>
      <c r="F2276" s="604"/>
      <c r="G2276" s="604"/>
      <c r="H2276" s="604"/>
      <c r="N2276" s="822">
        <v>711212</v>
      </c>
      <c r="O2276" s="822" t="s">
        <v>4588</v>
      </c>
      <c r="P2276" s="823">
        <v>7948</v>
      </c>
      <c r="Q2276" s="823" t="s">
        <v>4590</v>
      </c>
    </row>
    <row r="2277" spans="2:17" ht="15" customHeight="1" x14ac:dyDescent="0.25">
      <c r="B2277" s="617"/>
      <c r="C2277" s="617"/>
      <c r="D2277" s="604"/>
      <c r="E2277" s="618"/>
      <c r="F2277" s="604"/>
      <c r="G2277" s="604"/>
      <c r="H2277" s="604"/>
      <c r="N2277" s="822">
        <v>711219</v>
      </c>
      <c r="O2277" s="822" t="s">
        <v>4592</v>
      </c>
      <c r="P2277" s="823">
        <v>7948</v>
      </c>
      <c r="Q2277" s="823" t="s">
        <v>4590</v>
      </c>
    </row>
    <row r="2278" spans="2:17" ht="15" customHeight="1" x14ac:dyDescent="0.25">
      <c r="B2278" s="617"/>
      <c r="C2278" s="617"/>
      <c r="D2278" s="604"/>
      <c r="E2278" s="618"/>
      <c r="F2278" s="604"/>
      <c r="G2278" s="604"/>
      <c r="H2278" s="604"/>
      <c r="N2278" s="822">
        <v>711219</v>
      </c>
      <c r="O2278" s="822" t="s">
        <v>4592</v>
      </c>
      <c r="P2278" s="823">
        <v>7999</v>
      </c>
      <c r="Q2278" s="823" t="s">
        <v>3690</v>
      </c>
    </row>
    <row r="2279" spans="2:17" ht="15" customHeight="1" x14ac:dyDescent="0.25">
      <c r="B2279" s="617"/>
      <c r="C2279" s="617"/>
      <c r="D2279" s="604"/>
      <c r="E2279" s="618"/>
      <c r="F2279" s="604"/>
      <c r="G2279" s="604"/>
      <c r="H2279" s="604"/>
      <c r="N2279" s="822">
        <v>711310</v>
      </c>
      <c r="O2279" s="822" t="s">
        <v>4594</v>
      </c>
      <c r="P2279" s="823">
        <v>6512</v>
      </c>
      <c r="Q2279" s="823" t="s">
        <v>4057</v>
      </c>
    </row>
    <row r="2280" spans="2:17" ht="15" customHeight="1" x14ac:dyDescent="0.25">
      <c r="B2280" s="617"/>
      <c r="C2280" s="617"/>
      <c r="D2280" s="604"/>
      <c r="E2280" s="618"/>
      <c r="F2280" s="604"/>
      <c r="G2280" s="604"/>
      <c r="H2280" s="604"/>
      <c r="N2280" s="822">
        <v>711310</v>
      </c>
      <c r="O2280" s="822" t="s">
        <v>4594</v>
      </c>
      <c r="P2280" s="823">
        <v>7389</v>
      </c>
      <c r="Q2280" s="823" t="s">
        <v>1589</v>
      </c>
    </row>
    <row r="2281" spans="2:17" ht="15" customHeight="1" x14ac:dyDescent="0.25">
      <c r="B2281" s="617"/>
      <c r="C2281" s="617"/>
      <c r="D2281" s="604"/>
      <c r="E2281" s="618"/>
      <c r="F2281" s="604"/>
      <c r="G2281" s="604"/>
      <c r="H2281" s="604"/>
      <c r="N2281" s="822">
        <v>711310</v>
      </c>
      <c r="O2281" s="822" t="s">
        <v>4594</v>
      </c>
      <c r="P2281" s="823">
        <v>7922</v>
      </c>
      <c r="Q2281" s="823" t="s">
        <v>3825</v>
      </c>
    </row>
    <row r="2282" spans="2:17" ht="15" customHeight="1" x14ac:dyDescent="0.25">
      <c r="B2282" s="617"/>
      <c r="C2282" s="617"/>
      <c r="D2282" s="604"/>
      <c r="E2282" s="618"/>
      <c r="F2282" s="604"/>
      <c r="G2282" s="604"/>
      <c r="H2282" s="604"/>
      <c r="N2282" s="822">
        <v>711310</v>
      </c>
      <c r="O2282" s="822" t="s">
        <v>4594</v>
      </c>
      <c r="P2282" s="823">
        <v>7941</v>
      </c>
      <c r="Q2282" s="823" t="s">
        <v>4586</v>
      </c>
    </row>
    <row r="2283" spans="2:17" ht="15" customHeight="1" x14ac:dyDescent="0.25">
      <c r="B2283" s="617"/>
      <c r="C2283" s="617"/>
      <c r="D2283" s="604"/>
      <c r="E2283" s="618"/>
      <c r="F2283" s="604"/>
      <c r="G2283" s="604"/>
      <c r="H2283" s="604"/>
      <c r="N2283" s="822">
        <v>711310</v>
      </c>
      <c r="O2283" s="822" t="s">
        <v>4594</v>
      </c>
      <c r="P2283" s="823">
        <v>7999</v>
      </c>
      <c r="Q2283" s="823" t="s">
        <v>3690</v>
      </c>
    </row>
    <row r="2284" spans="2:17" ht="15" customHeight="1" x14ac:dyDescent="0.25">
      <c r="B2284" s="617"/>
      <c r="C2284" s="617"/>
      <c r="D2284" s="604"/>
      <c r="E2284" s="618"/>
      <c r="F2284" s="604"/>
      <c r="G2284" s="604"/>
      <c r="H2284" s="604"/>
      <c r="N2284" s="822">
        <v>711311</v>
      </c>
      <c r="O2284" s="822" t="s">
        <v>4594</v>
      </c>
      <c r="P2284" s="823"/>
      <c r="Q2284" s="823" t="s">
        <v>958</v>
      </c>
    </row>
    <row r="2285" spans="2:17" ht="15" customHeight="1" x14ac:dyDescent="0.25">
      <c r="G2285" s="616"/>
      <c r="H2285" s="616"/>
      <c r="N2285" s="822">
        <v>711320</v>
      </c>
      <c r="O2285" s="822" t="s">
        <v>4596</v>
      </c>
      <c r="P2285" s="823">
        <v>7389</v>
      </c>
      <c r="Q2285" s="823" t="s">
        <v>1589</v>
      </c>
    </row>
    <row r="2286" spans="2:17" ht="15" customHeight="1" x14ac:dyDescent="0.25">
      <c r="G2286" s="616"/>
      <c r="H2286" s="616"/>
      <c r="N2286" s="822">
        <v>711320</v>
      </c>
      <c r="O2286" s="822" t="s">
        <v>4596</v>
      </c>
      <c r="P2286" s="823">
        <v>7922</v>
      </c>
      <c r="Q2286" s="823" t="s">
        <v>3825</v>
      </c>
    </row>
    <row r="2287" spans="2:17" ht="15" customHeight="1" x14ac:dyDescent="0.25">
      <c r="G2287" s="616"/>
      <c r="H2287" s="616"/>
      <c r="N2287" s="822">
        <v>711320</v>
      </c>
      <c r="O2287" s="822" t="s">
        <v>4596</v>
      </c>
      <c r="P2287" s="823">
        <v>7941</v>
      </c>
      <c r="Q2287" s="823" t="s">
        <v>4586</v>
      </c>
    </row>
    <row r="2288" spans="2:17" ht="15" customHeight="1" x14ac:dyDescent="0.25">
      <c r="G2288" s="616"/>
      <c r="H2288" s="616"/>
      <c r="N2288" s="822">
        <v>711320</v>
      </c>
      <c r="O2288" s="822" t="s">
        <v>4596</v>
      </c>
      <c r="P2288" s="823">
        <v>7999</v>
      </c>
      <c r="Q2288" s="823" t="s">
        <v>3690</v>
      </c>
    </row>
    <row r="2289" spans="7:17" ht="15" customHeight="1" x14ac:dyDescent="0.25">
      <c r="G2289" s="616"/>
      <c r="H2289" s="616"/>
      <c r="N2289" s="822">
        <v>711410</v>
      </c>
      <c r="O2289" s="822" t="s">
        <v>4598</v>
      </c>
      <c r="P2289" s="823">
        <v>7389</v>
      </c>
      <c r="Q2289" s="823" t="s">
        <v>1589</v>
      </c>
    </row>
    <row r="2290" spans="7:17" ht="15" customHeight="1" x14ac:dyDescent="0.25">
      <c r="G2290" s="616"/>
      <c r="H2290" s="616"/>
      <c r="N2290" s="822">
        <v>711410</v>
      </c>
      <c r="O2290" s="822" t="s">
        <v>4598</v>
      </c>
      <c r="P2290" s="823">
        <v>7922</v>
      </c>
      <c r="Q2290" s="823" t="s">
        <v>3825</v>
      </c>
    </row>
    <row r="2291" spans="7:17" ht="15" customHeight="1" x14ac:dyDescent="0.25">
      <c r="G2291" s="616"/>
      <c r="H2291" s="616"/>
      <c r="N2291" s="822">
        <v>711410</v>
      </c>
      <c r="O2291" s="822" t="s">
        <v>4598</v>
      </c>
      <c r="P2291" s="823">
        <v>7941</v>
      </c>
      <c r="Q2291" s="823" t="s">
        <v>4586</v>
      </c>
    </row>
    <row r="2292" spans="7:17" ht="15" customHeight="1" x14ac:dyDescent="0.25">
      <c r="G2292" s="616"/>
      <c r="H2292" s="616"/>
      <c r="N2292" s="822">
        <v>711510</v>
      </c>
      <c r="O2292" s="822" t="s">
        <v>4600</v>
      </c>
      <c r="P2292" s="823">
        <v>7383</v>
      </c>
      <c r="Q2292" s="823" t="s">
        <v>3866</v>
      </c>
    </row>
    <row r="2293" spans="7:17" ht="15" customHeight="1" x14ac:dyDescent="0.25">
      <c r="G2293" s="616"/>
      <c r="H2293" s="616"/>
      <c r="N2293" s="822">
        <v>711510</v>
      </c>
      <c r="O2293" s="822" t="s">
        <v>4600</v>
      </c>
      <c r="P2293" s="823">
        <v>7699</v>
      </c>
      <c r="Q2293" s="823" t="s">
        <v>1071</v>
      </c>
    </row>
    <row r="2294" spans="7:17" ht="15" customHeight="1" x14ac:dyDescent="0.25">
      <c r="G2294" s="616"/>
      <c r="H2294" s="616"/>
      <c r="N2294" s="822">
        <v>711510</v>
      </c>
      <c r="O2294" s="822" t="s">
        <v>4600</v>
      </c>
      <c r="P2294" s="823">
        <v>7819</v>
      </c>
      <c r="Q2294" s="823" t="s">
        <v>2763</v>
      </c>
    </row>
    <row r="2295" spans="7:17" ht="15" customHeight="1" x14ac:dyDescent="0.25">
      <c r="G2295" s="616"/>
      <c r="H2295" s="616"/>
      <c r="N2295" s="822">
        <v>711510</v>
      </c>
      <c r="O2295" s="822" t="s">
        <v>4600</v>
      </c>
      <c r="P2295" s="823">
        <v>7922</v>
      </c>
      <c r="Q2295" s="823" t="s">
        <v>3825</v>
      </c>
    </row>
    <row r="2296" spans="7:17" ht="15" customHeight="1" x14ac:dyDescent="0.25">
      <c r="G2296" s="616"/>
      <c r="H2296" s="616"/>
      <c r="N2296" s="822">
        <v>711510</v>
      </c>
      <c r="O2296" s="822" t="s">
        <v>4600</v>
      </c>
      <c r="P2296" s="823">
        <v>7929</v>
      </c>
      <c r="Q2296" s="823" t="s">
        <v>4580</v>
      </c>
    </row>
    <row r="2297" spans="7:17" ht="15" customHeight="1" x14ac:dyDescent="0.25">
      <c r="G2297" s="616"/>
      <c r="H2297" s="616"/>
      <c r="N2297" s="822">
        <v>711510</v>
      </c>
      <c r="O2297" s="822" t="s">
        <v>4600</v>
      </c>
      <c r="P2297" s="823">
        <v>8999</v>
      </c>
      <c r="Q2297" s="823" t="s">
        <v>3817</v>
      </c>
    </row>
    <row r="2298" spans="7:17" ht="15" customHeight="1" x14ac:dyDescent="0.25">
      <c r="G2298" s="616"/>
      <c r="H2298" s="616"/>
      <c r="N2298" s="822">
        <v>712110</v>
      </c>
      <c r="O2298" s="822" t="s">
        <v>4602</v>
      </c>
      <c r="P2298" s="823">
        <v>8412</v>
      </c>
      <c r="Q2298" s="823" t="s">
        <v>4604</v>
      </c>
    </row>
    <row r="2299" spans="7:17" ht="15" customHeight="1" x14ac:dyDescent="0.25">
      <c r="G2299" s="616"/>
      <c r="H2299" s="616"/>
      <c r="N2299" s="822">
        <v>712120</v>
      </c>
      <c r="O2299" s="822" t="s">
        <v>4606</v>
      </c>
      <c r="P2299" s="823">
        <v>8412</v>
      </c>
      <c r="Q2299" s="823" t="s">
        <v>4604</v>
      </c>
    </row>
    <row r="2300" spans="7:17" ht="15" customHeight="1" x14ac:dyDescent="0.25">
      <c r="G2300" s="616"/>
      <c r="H2300" s="616"/>
      <c r="N2300" s="822">
        <v>712130</v>
      </c>
      <c r="O2300" s="822" t="s">
        <v>4608</v>
      </c>
      <c r="P2300" s="823">
        <v>8422</v>
      </c>
      <c r="Q2300" s="823" t="s">
        <v>4610</v>
      </c>
    </row>
    <row r="2301" spans="7:17" ht="15" customHeight="1" x14ac:dyDescent="0.25">
      <c r="G2301" s="616"/>
      <c r="H2301" s="616"/>
      <c r="N2301" s="822">
        <v>712190</v>
      </c>
      <c r="O2301" s="822" t="s">
        <v>4612</v>
      </c>
      <c r="P2301" s="823">
        <v>7999</v>
      </c>
      <c r="Q2301" s="823" t="s">
        <v>3690</v>
      </c>
    </row>
    <row r="2302" spans="7:17" ht="15" customHeight="1" x14ac:dyDescent="0.25">
      <c r="G2302" s="616"/>
      <c r="H2302" s="616"/>
      <c r="N2302" s="822">
        <v>712190</v>
      </c>
      <c r="O2302" s="822" t="s">
        <v>4612</v>
      </c>
      <c r="P2302" s="823">
        <v>8422</v>
      </c>
      <c r="Q2302" s="823" t="s">
        <v>4610</v>
      </c>
    </row>
    <row r="2303" spans="7:17" ht="15" customHeight="1" x14ac:dyDescent="0.25">
      <c r="G2303" s="616"/>
      <c r="H2303" s="616"/>
      <c r="N2303" s="822">
        <v>712210</v>
      </c>
      <c r="O2303" s="822" t="s">
        <v>6027</v>
      </c>
      <c r="P2303" s="823"/>
      <c r="Q2303" s="823" t="s">
        <v>958</v>
      </c>
    </row>
    <row r="2304" spans="7:17" ht="15" customHeight="1" x14ac:dyDescent="0.25">
      <c r="G2304" s="616"/>
      <c r="H2304" s="616"/>
      <c r="N2304" s="822">
        <v>713110</v>
      </c>
      <c r="O2304" s="822" t="s">
        <v>4614</v>
      </c>
      <c r="P2304" s="823">
        <v>7996</v>
      </c>
      <c r="Q2304" s="823" t="s">
        <v>4616</v>
      </c>
    </row>
    <row r="2305" spans="7:17" ht="15" customHeight="1" x14ac:dyDescent="0.25">
      <c r="G2305" s="616"/>
      <c r="H2305" s="616"/>
      <c r="N2305" s="822">
        <v>713120</v>
      </c>
      <c r="O2305" s="822" t="s">
        <v>4618</v>
      </c>
      <c r="P2305" s="823">
        <v>7993</v>
      </c>
      <c r="Q2305" s="823" t="s">
        <v>4620</v>
      </c>
    </row>
    <row r="2306" spans="7:17" ht="15" customHeight="1" x14ac:dyDescent="0.25">
      <c r="G2306" s="616"/>
      <c r="H2306" s="616"/>
      <c r="N2306" s="822">
        <v>713210</v>
      </c>
      <c r="O2306" s="822" t="s">
        <v>4622</v>
      </c>
      <c r="P2306" s="823">
        <v>7999</v>
      </c>
      <c r="Q2306" s="823" t="s">
        <v>3690</v>
      </c>
    </row>
    <row r="2307" spans="7:17" ht="15" customHeight="1" x14ac:dyDescent="0.25">
      <c r="G2307" s="616"/>
      <c r="H2307" s="616"/>
      <c r="N2307" s="822">
        <v>713290</v>
      </c>
      <c r="O2307" s="822" t="s">
        <v>4624</v>
      </c>
      <c r="P2307" s="823">
        <v>7993</v>
      </c>
      <c r="Q2307" s="823" t="s">
        <v>4620</v>
      </c>
    </row>
    <row r="2308" spans="7:17" ht="15" customHeight="1" x14ac:dyDescent="0.25">
      <c r="G2308" s="616"/>
      <c r="H2308" s="616"/>
      <c r="N2308" s="822">
        <v>713290</v>
      </c>
      <c r="O2308" s="822" t="s">
        <v>4624</v>
      </c>
      <c r="P2308" s="823">
        <v>7999</v>
      </c>
      <c r="Q2308" s="823" t="s">
        <v>3690</v>
      </c>
    </row>
    <row r="2309" spans="7:17" ht="15" customHeight="1" x14ac:dyDescent="0.25">
      <c r="G2309" s="616"/>
      <c r="H2309" s="616"/>
      <c r="N2309" s="822">
        <v>713910</v>
      </c>
      <c r="O2309" s="822" t="s">
        <v>4626</v>
      </c>
      <c r="P2309" s="823">
        <v>7992</v>
      </c>
      <c r="Q2309" s="823" t="s">
        <v>4628</v>
      </c>
    </row>
    <row r="2310" spans="7:17" ht="15" customHeight="1" x14ac:dyDescent="0.25">
      <c r="G2310" s="616"/>
      <c r="H2310" s="616"/>
      <c r="N2310" s="822">
        <v>713910</v>
      </c>
      <c r="O2310" s="822" t="s">
        <v>4626</v>
      </c>
      <c r="P2310" s="823">
        <v>7997</v>
      </c>
      <c r="Q2310" s="823" t="s">
        <v>3576</v>
      </c>
    </row>
    <row r="2311" spans="7:17" ht="15" customHeight="1" x14ac:dyDescent="0.25">
      <c r="G2311" s="616"/>
      <c r="H2311" s="616"/>
      <c r="N2311" s="822">
        <v>713920</v>
      </c>
      <c r="O2311" s="822" t="s">
        <v>4630</v>
      </c>
      <c r="P2311" s="823">
        <v>7999</v>
      </c>
      <c r="Q2311" s="823" t="s">
        <v>3690</v>
      </c>
    </row>
    <row r="2312" spans="7:17" ht="15" customHeight="1" x14ac:dyDescent="0.25">
      <c r="G2312" s="616"/>
      <c r="H2312" s="616"/>
      <c r="N2312" s="822">
        <v>713930</v>
      </c>
      <c r="O2312" s="822" t="s">
        <v>4632</v>
      </c>
      <c r="P2312" s="823">
        <v>4493</v>
      </c>
      <c r="Q2312" s="823" t="s">
        <v>4632</v>
      </c>
    </row>
    <row r="2313" spans="7:17" ht="15" customHeight="1" x14ac:dyDescent="0.25">
      <c r="G2313" s="616"/>
      <c r="H2313" s="616"/>
      <c r="N2313" s="822">
        <v>713940</v>
      </c>
      <c r="O2313" s="822" t="s">
        <v>4635</v>
      </c>
      <c r="P2313" s="823">
        <v>7991</v>
      </c>
      <c r="Q2313" s="823" t="s">
        <v>4637</v>
      </c>
    </row>
    <row r="2314" spans="7:17" ht="15" customHeight="1" x14ac:dyDescent="0.25">
      <c r="G2314" s="616"/>
      <c r="H2314" s="616"/>
      <c r="N2314" s="822">
        <v>713940</v>
      </c>
      <c r="O2314" s="822" t="s">
        <v>4635</v>
      </c>
      <c r="P2314" s="823">
        <v>7997</v>
      </c>
      <c r="Q2314" s="823" t="s">
        <v>3576</v>
      </c>
    </row>
    <row r="2315" spans="7:17" ht="15" customHeight="1" x14ac:dyDescent="0.25">
      <c r="G2315" s="616"/>
      <c r="H2315" s="616"/>
      <c r="N2315" s="822">
        <v>713940</v>
      </c>
      <c r="O2315" s="822" t="s">
        <v>4635</v>
      </c>
      <c r="P2315" s="823">
        <v>7999</v>
      </c>
      <c r="Q2315" s="823" t="s">
        <v>3690</v>
      </c>
    </row>
    <row r="2316" spans="7:17" ht="15" customHeight="1" x14ac:dyDescent="0.25">
      <c r="G2316" s="616"/>
      <c r="H2316" s="616"/>
      <c r="N2316" s="822">
        <v>713950</v>
      </c>
      <c r="O2316" s="822" t="s">
        <v>4639</v>
      </c>
      <c r="P2316" s="823">
        <v>7933</v>
      </c>
      <c r="Q2316" s="823" t="s">
        <v>4639</v>
      </c>
    </row>
    <row r="2317" spans="7:17" ht="15" customHeight="1" x14ac:dyDescent="0.25">
      <c r="G2317" s="616"/>
      <c r="H2317" s="616"/>
      <c r="N2317" s="822">
        <v>713990</v>
      </c>
      <c r="O2317" s="822" t="s">
        <v>4642</v>
      </c>
      <c r="P2317" s="823">
        <v>7911</v>
      </c>
      <c r="Q2317" s="823" t="s">
        <v>4443</v>
      </c>
    </row>
    <row r="2318" spans="7:17" ht="15" customHeight="1" x14ac:dyDescent="0.25">
      <c r="G2318" s="616"/>
      <c r="H2318" s="616"/>
      <c r="N2318" s="822">
        <v>713990</v>
      </c>
      <c r="O2318" s="822" t="s">
        <v>4642</v>
      </c>
      <c r="P2318" s="823">
        <v>7993</v>
      </c>
      <c r="Q2318" s="823" t="s">
        <v>4620</v>
      </c>
    </row>
    <row r="2319" spans="7:17" ht="15" customHeight="1" x14ac:dyDescent="0.25">
      <c r="G2319" s="616"/>
      <c r="H2319" s="616"/>
      <c r="N2319" s="822">
        <v>713990</v>
      </c>
      <c r="O2319" s="822" t="s">
        <v>4642</v>
      </c>
      <c r="P2319" s="823">
        <v>7997</v>
      </c>
      <c r="Q2319" s="823" t="s">
        <v>3576</v>
      </c>
    </row>
    <row r="2320" spans="7:17" ht="15" customHeight="1" x14ac:dyDescent="0.25">
      <c r="G2320" s="616"/>
      <c r="H2320" s="616"/>
      <c r="N2320" s="822">
        <v>713990</v>
      </c>
      <c r="O2320" s="822" t="s">
        <v>4642</v>
      </c>
      <c r="P2320" s="823">
        <v>7999</v>
      </c>
      <c r="Q2320" s="823" t="s">
        <v>3690</v>
      </c>
    </row>
    <row r="2321" spans="7:17" ht="15" customHeight="1" x14ac:dyDescent="0.25">
      <c r="G2321" s="616"/>
      <c r="H2321" s="616"/>
      <c r="N2321" s="822">
        <v>713999</v>
      </c>
      <c r="O2321" s="822" t="s">
        <v>4642</v>
      </c>
      <c r="P2321" s="823"/>
      <c r="Q2321" s="823" t="s">
        <v>958</v>
      </c>
    </row>
    <row r="2322" spans="7:17" ht="15" customHeight="1" x14ac:dyDescent="0.25">
      <c r="G2322" s="616"/>
      <c r="H2322" s="616"/>
      <c r="N2322" s="822">
        <v>721110</v>
      </c>
      <c r="O2322" s="822" t="s">
        <v>4644</v>
      </c>
      <c r="P2322" s="823">
        <v>7011</v>
      </c>
      <c r="Q2322" s="823" t="s">
        <v>4646</v>
      </c>
    </row>
    <row r="2323" spans="7:17" ht="15" customHeight="1" x14ac:dyDescent="0.25">
      <c r="G2323" s="616"/>
      <c r="H2323" s="616"/>
      <c r="N2323" s="822">
        <v>721110</v>
      </c>
      <c r="O2323" s="822" t="s">
        <v>4644</v>
      </c>
      <c r="P2323" s="823">
        <v>7041</v>
      </c>
      <c r="Q2323" s="823" t="s">
        <v>4648</v>
      </c>
    </row>
    <row r="2324" spans="7:17" ht="15" customHeight="1" x14ac:dyDescent="0.25">
      <c r="G2324" s="616"/>
      <c r="H2324" s="616"/>
      <c r="N2324" s="822">
        <v>721120</v>
      </c>
      <c r="O2324" s="822" t="s">
        <v>4650</v>
      </c>
      <c r="P2324" s="823">
        <v>7011</v>
      </c>
      <c r="Q2324" s="823" t="s">
        <v>4646</v>
      </c>
    </row>
    <row r="2325" spans="7:17" ht="15" customHeight="1" x14ac:dyDescent="0.25">
      <c r="G2325" s="616"/>
      <c r="H2325" s="616"/>
      <c r="N2325" s="822">
        <v>721191</v>
      </c>
      <c r="O2325" s="822" t="s">
        <v>4652</v>
      </c>
      <c r="P2325" s="823">
        <v>7011</v>
      </c>
      <c r="Q2325" s="823" t="s">
        <v>4646</v>
      </c>
    </row>
    <row r="2326" spans="7:17" ht="15" customHeight="1" x14ac:dyDescent="0.25">
      <c r="G2326" s="616"/>
      <c r="H2326" s="616"/>
      <c r="N2326" s="822">
        <v>721199</v>
      </c>
      <c r="O2326" s="822" t="s">
        <v>4654</v>
      </c>
      <c r="P2326" s="823">
        <v>7011</v>
      </c>
      <c r="Q2326" s="823" t="s">
        <v>4646</v>
      </c>
    </row>
    <row r="2327" spans="7:17" ht="15" customHeight="1" x14ac:dyDescent="0.25">
      <c r="G2327" s="616"/>
      <c r="H2327" s="616"/>
      <c r="N2327" s="822">
        <v>721211</v>
      </c>
      <c r="O2327" s="822" t="s">
        <v>4656</v>
      </c>
      <c r="P2327" s="823">
        <v>7033</v>
      </c>
      <c r="Q2327" s="823" t="s">
        <v>4658</v>
      </c>
    </row>
    <row r="2328" spans="7:17" ht="15" customHeight="1" x14ac:dyDescent="0.25">
      <c r="G2328" s="616"/>
      <c r="H2328" s="616"/>
      <c r="N2328" s="822">
        <v>721214</v>
      </c>
      <c r="O2328" s="822" t="s">
        <v>4660</v>
      </c>
      <c r="P2328" s="823">
        <v>7032</v>
      </c>
      <c r="Q2328" s="823" t="s">
        <v>4662</v>
      </c>
    </row>
    <row r="2329" spans="7:17" ht="15" customHeight="1" x14ac:dyDescent="0.25">
      <c r="G2329" s="616"/>
      <c r="H2329" s="616"/>
      <c r="N2329" s="822">
        <v>721310</v>
      </c>
      <c r="O2329" s="822" t="s">
        <v>4664</v>
      </c>
      <c r="P2329" s="823">
        <v>7021</v>
      </c>
      <c r="Q2329" s="823" t="s">
        <v>4666</v>
      </c>
    </row>
    <row r="2330" spans="7:17" ht="15" customHeight="1" x14ac:dyDescent="0.25">
      <c r="G2330" s="616"/>
      <c r="H2330" s="616"/>
      <c r="N2330" s="822">
        <v>721310</v>
      </c>
      <c r="O2330" s="822" t="s">
        <v>4664</v>
      </c>
      <c r="P2330" s="823">
        <v>7041</v>
      </c>
      <c r="Q2330" s="823" t="s">
        <v>4648</v>
      </c>
    </row>
    <row r="2331" spans="7:17" ht="15" customHeight="1" x14ac:dyDescent="0.25">
      <c r="G2331" s="616"/>
      <c r="H2331" s="616"/>
      <c r="N2331" s="823">
        <v>722110</v>
      </c>
      <c r="O2331" s="823" t="s">
        <v>4678</v>
      </c>
      <c r="P2331" s="823"/>
      <c r="Q2331" s="823" t="s">
        <v>958</v>
      </c>
    </row>
    <row r="2332" spans="7:17" ht="15" customHeight="1" x14ac:dyDescent="0.25">
      <c r="G2332" s="616"/>
      <c r="H2332" s="616"/>
      <c r="N2332" s="823">
        <v>722211</v>
      </c>
      <c r="O2332" s="823" t="s">
        <v>4680</v>
      </c>
      <c r="P2332" s="823"/>
      <c r="Q2332" s="823" t="s">
        <v>958</v>
      </c>
    </row>
    <row r="2333" spans="7:17" ht="15" customHeight="1" x14ac:dyDescent="0.25">
      <c r="G2333" s="616"/>
      <c r="H2333" s="616"/>
      <c r="N2333" s="823">
        <v>722212</v>
      </c>
      <c r="O2333" s="823" t="s">
        <v>4682</v>
      </c>
      <c r="P2333" s="823"/>
      <c r="Q2333" s="823" t="s">
        <v>958</v>
      </c>
    </row>
    <row r="2334" spans="7:17" ht="15" customHeight="1" x14ac:dyDescent="0.25">
      <c r="G2334" s="616"/>
      <c r="H2334" s="616"/>
      <c r="N2334" s="823">
        <v>722213</v>
      </c>
      <c r="O2334" s="823" t="s">
        <v>4684</v>
      </c>
      <c r="P2334" s="823"/>
      <c r="Q2334" s="823" t="s">
        <v>958</v>
      </c>
    </row>
    <row r="2335" spans="7:17" ht="15" customHeight="1" x14ac:dyDescent="0.25">
      <c r="G2335" s="616"/>
      <c r="H2335" s="616"/>
      <c r="N2335" s="822">
        <v>722310</v>
      </c>
      <c r="O2335" s="822" t="s">
        <v>4668</v>
      </c>
      <c r="P2335" s="823">
        <v>4789</v>
      </c>
      <c r="Q2335" s="823" t="s">
        <v>3688</v>
      </c>
    </row>
    <row r="2336" spans="7:17" ht="15" customHeight="1" x14ac:dyDescent="0.25">
      <c r="G2336" s="616"/>
      <c r="H2336" s="616"/>
      <c r="N2336" s="822">
        <v>722310</v>
      </c>
      <c r="O2336" s="822" t="s">
        <v>4668</v>
      </c>
      <c r="P2336" s="823">
        <v>5812</v>
      </c>
      <c r="Q2336" s="823" t="s">
        <v>4574</v>
      </c>
    </row>
    <row r="2337" spans="7:17" ht="15" customHeight="1" x14ac:dyDescent="0.25">
      <c r="G2337" s="616"/>
      <c r="H2337" s="616"/>
      <c r="N2337" s="822">
        <v>722320</v>
      </c>
      <c r="O2337" s="822" t="s">
        <v>4670</v>
      </c>
      <c r="P2337" s="823">
        <v>5812</v>
      </c>
      <c r="Q2337" s="823" t="s">
        <v>4574</v>
      </c>
    </row>
    <row r="2338" spans="7:17" ht="15" customHeight="1" x14ac:dyDescent="0.25">
      <c r="G2338" s="616"/>
      <c r="H2338" s="616"/>
      <c r="N2338" s="822">
        <v>722330</v>
      </c>
      <c r="O2338" s="822" t="s">
        <v>4672</v>
      </c>
      <c r="P2338" s="823">
        <v>5963</v>
      </c>
      <c r="Q2338" s="823" t="s">
        <v>3555</v>
      </c>
    </row>
    <row r="2339" spans="7:17" ht="15" customHeight="1" x14ac:dyDescent="0.25">
      <c r="G2339" s="616"/>
      <c r="H2339" s="616"/>
      <c r="N2339" s="822">
        <v>722410</v>
      </c>
      <c r="O2339" s="822" t="s">
        <v>4674</v>
      </c>
      <c r="P2339" s="823">
        <v>5813</v>
      </c>
      <c r="Q2339" s="823" t="s">
        <v>4676</v>
      </c>
    </row>
    <row r="2340" spans="7:17" ht="15" customHeight="1" x14ac:dyDescent="0.25">
      <c r="G2340" s="616"/>
      <c r="H2340" s="616"/>
      <c r="N2340" s="822">
        <v>722511</v>
      </c>
      <c r="O2340" s="822" t="s">
        <v>4678</v>
      </c>
      <c r="P2340" s="823">
        <v>5812</v>
      </c>
      <c r="Q2340" s="823" t="s">
        <v>4574</v>
      </c>
    </row>
    <row r="2341" spans="7:17" ht="15" customHeight="1" x14ac:dyDescent="0.25">
      <c r="G2341" s="616"/>
      <c r="H2341" s="616"/>
      <c r="N2341" s="822">
        <v>722513</v>
      </c>
      <c r="O2341" s="822" t="s">
        <v>4680</v>
      </c>
      <c r="P2341" s="823">
        <v>5812</v>
      </c>
      <c r="Q2341" s="823" t="s">
        <v>4574</v>
      </c>
    </row>
    <row r="2342" spans="7:17" ht="15" customHeight="1" x14ac:dyDescent="0.25">
      <c r="G2342" s="616"/>
      <c r="H2342" s="616"/>
      <c r="N2342" s="822">
        <v>722514</v>
      </c>
      <c r="O2342" s="822" t="s">
        <v>4682</v>
      </c>
      <c r="P2342" s="823">
        <v>5812</v>
      </c>
      <c r="Q2342" s="823" t="s">
        <v>4574</v>
      </c>
    </row>
    <row r="2343" spans="7:17" ht="15" customHeight="1" x14ac:dyDescent="0.25">
      <c r="G2343" s="616"/>
      <c r="H2343" s="616"/>
      <c r="N2343" s="822">
        <v>722515</v>
      </c>
      <c r="O2343" s="822" t="s">
        <v>4684</v>
      </c>
      <c r="P2343" s="823">
        <v>5461</v>
      </c>
      <c r="Q2343" s="823" t="s">
        <v>1505</v>
      </c>
    </row>
    <row r="2344" spans="7:17" ht="15" customHeight="1" x14ac:dyDescent="0.25">
      <c r="G2344" s="616"/>
      <c r="H2344" s="616"/>
      <c r="N2344" s="822">
        <v>722515</v>
      </c>
      <c r="O2344" s="822" t="s">
        <v>4684</v>
      </c>
      <c r="P2344" s="823">
        <v>5812</v>
      </c>
      <c r="Q2344" s="823" t="s">
        <v>4574</v>
      </c>
    </row>
    <row r="2345" spans="7:17" ht="15" customHeight="1" x14ac:dyDescent="0.25">
      <c r="G2345" s="616"/>
      <c r="H2345" s="616"/>
      <c r="N2345" s="822">
        <v>811111</v>
      </c>
      <c r="O2345" s="822" t="s">
        <v>4686</v>
      </c>
      <c r="P2345" s="823">
        <v>7538</v>
      </c>
      <c r="Q2345" s="823" t="s">
        <v>4688</v>
      </c>
    </row>
    <row r="2346" spans="7:17" ht="15" customHeight="1" x14ac:dyDescent="0.25">
      <c r="G2346" s="616"/>
      <c r="H2346" s="616"/>
      <c r="N2346" s="822">
        <v>811112</v>
      </c>
      <c r="O2346" s="822" t="s">
        <v>4690</v>
      </c>
      <c r="P2346" s="823">
        <v>7533</v>
      </c>
      <c r="Q2346" s="823" t="s">
        <v>4692</v>
      </c>
    </row>
    <row r="2347" spans="7:17" ht="15" customHeight="1" x14ac:dyDescent="0.25">
      <c r="G2347" s="616"/>
      <c r="H2347" s="616"/>
      <c r="N2347" s="822">
        <v>811113</v>
      </c>
      <c r="O2347" s="822" t="s">
        <v>4694</v>
      </c>
      <c r="P2347" s="823">
        <v>7537</v>
      </c>
      <c r="Q2347" s="823" t="s">
        <v>4696</v>
      </c>
    </row>
    <row r="2348" spans="7:17" ht="15" customHeight="1" x14ac:dyDescent="0.25">
      <c r="G2348" s="616"/>
      <c r="H2348" s="616"/>
      <c r="N2348" s="822">
        <v>811118</v>
      </c>
      <c r="O2348" s="822" t="s">
        <v>4698</v>
      </c>
      <c r="P2348" s="823">
        <v>7539</v>
      </c>
      <c r="Q2348" s="823" t="s">
        <v>4700</v>
      </c>
    </row>
    <row r="2349" spans="7:17" ht="15" customHeight="1" x14ac:dyDescent="0.25">
      <c r="G2349" s="616"/>
      <c r="H2349" s="616"/>
      <c r="N2349" s="822">
        <v>811121</v>
      </c>
      <c r="O2349" s="822" t="s">
        <v>4702</v>
      </c>
      <c r="P2349" s="823">
        <v>7532</v>
      </c>
      <c r="Q2349" s="823" t="s">
        <v>4704</v>
      </c>
    </row>
    <row r="2350" spans="7:17" ht="15" customHeight="1" x14ac:dyDescent="0.25">
      <c r="G2350" s="616"/>
      <c r="H2350" s="616"/>
      <c r="N2350" s="822">
        <v>811122</v>
      </c>
      <c r="O2350" s="822" t="s">
        <v>4706</v>
      </c>
      <c r="P2350" s="823">
        <v>7536</v>
      </c>
      <c r="Q2350" s="823" t="s">
        <v>4706</v>
      </c>
    </row>
    <row r="2351" spans="7:17" ht="15" customHeight="1" x14ac:dyDescent="0.25">
      <c r="G2351" s="616"/>
      <c r="H2351" s="616"/>
      <c r="N2351" s="822">
        <v>811122</v>
      </c>
      <c r="O2351" s="822" t="s">
        <v>4706</v>
      </c>
      <c r="P2351" s="823">
        <v>7549</v>
      </c>
      <c r="Q2351" s="823" t="s">
        <v>3728</v>
      </c>
    </row>
    <row r="2352" spans="7:17" ht="15" customHeight="1" x14ac:dyDescent="0.25">
      <c r="G2352" s="616"/>
      <c r="H2352" s="616"/>
      <c r="N2352" s="822">
        <v>811191</v>
      </c>
      <c r="O2352" s="822" t="s">
        <v>4709</v>
      </c>
      <c r="P2352" s="823">
        <v>7549</v>
      </c>
      <c r="Q2352" s="823" t="s">
        <v>3728</v>
      </c>
    </row>
    <row r="2353" spans="7:17" ht="15" customHeight="1" x14ac:dyDescent="0.25">
      <c r="G2353" s="616"/>
      <c r="H2353" s="616"/>
      <c r="N2353" s="822">
        <v>811192</v>
      </c>
      <c r="O2353" s="822" t="s">
        <v>4711</v>
      </c>
      <c r="P2353" s="823">
        <v>7542</v>
      </c>
      <c r="Q2353" s="823" t="s">
        <v>4713</v>
      </c>
    </row>
    <row r="2354" spans="7:17" ht="15" customHeight="1" x14ac:dyDescent="0.25">
      <c r="G2354" s="616"/>
      <c r="H2354" s="616"/>
      <c r="N2354" s="822">
        <v>811198</v>
      </c>
      <c r="O2354" s="822" t="s">
        <v>4715</v>
      </c>
      <c r="P2354" s="823">
        <v>7534</v>
      </c>
      <c r="Q2354" s="823" t="s">
        <v>2127</v>
      </c>
    </row>
    <row r="2355" spans="7:17" ht="15" customHeight="1" x14ac:dyDescent="0.25">
      <c r="G2355" s="616"/>
      <c r="H2355" s="616"/>
      <c r="N2355" s="822">
        <v>811198</v>
      </c>
      <c r="O2355" s="822" t="s">
        <v>4715</v>
      </c>
      <c r="P2355" s="823">
        <v>7539</v>
      </c>
      <c r="Q2355" s="823" t="s">
        <v>4700</v>
      </c>
    </row>
    <row r="2356" spans="7:17" ht="15" customHeight="1" x14ac:dyDescent="0.25">
      <c r="G2356" s="616"/>
      <c r="H2356" s="616"/>
      <c r="N2356" s="822">
        <v>811198</v>
      </c>
      <c r="O2356" s="822" t="s">
        <v>4715</v>
      </c>
      <c r="P2356" s="823">
        <v>7549</v>
      </c>
      <c r="Q2356" s="823" t="s">
        <v>3728</v>
      </c>
    </row>
    <row r="2357" spans="7:17" ht="15" customHeight="1" x14ac:dyDescent="0.25">
      <c r="G2357" s="616"/>
      <c r="H2357" s="616"/>
      <c r="N2357" s="822">
        <v>811211</v>
      </c>
      <c r="O2357" s="822" t="s">
        <v>4717</v>
      </c>
      <c r="P2357" s="823">
        <v>7622</v>
      </c>
      <c r="Q2357" s="823" t="s">
        <v>1345</v>
      </c>
    </row>
    <row r="2358" spans="7:17" ht="15" customHeight="1" x14ac:dyDescent="0.25">
      <c r="G2358" s="616"/>
      <c r="H2358" s="616"/>
      <c r="N2358" s="822">
        <v>811211</v>
      </c>
      <c r="O2358" s="822" t="s">
        <v>4717</v>
      </c>
      <c r="P2358" s="823">
        <v>7629</v>
      </c>
      <c r="Q2358" s="823" t="s">
        <v>3368</v>
      </c>
    </row>
    <row r="2359" spans="7:17" ht="15" customHeight="1" x14ac:dyDescent="0.25">
      <c r="G2359" s="616"/>
      <c r="H2359" s="616"/>
      <c r="N2359" s="822">
        <v>811211</v>
      </c>
      <c r="O2359" s="822" t="s">
        <v>4717</v>
      </c>
      <c r="P2359" s="823">
        <v>7699</v>
      </c>
      <c r="Q2359" s="823" t="s">
        <v>1071</v>
      </c>
    </row>
    <row r="2360" spans="7:17" ht="15" customHeight="1" x14ac:dyDescent="0.25">
      <c r="G2360" s="616"/>
      <c r="H2360" s="616"/>
      <c r="N2360" s="822">
        <v>811212</v>
      </c>
      <c r="O2360" s="822" t="s">
        <v>4719</v>
      </c>
      <c r="P2360" s="823">
        <v>7378</v>
      </c>
      <c r="Q2360" s="823" t="s">
        <v>3378</v>
      </c>
    </row>
    <row r="2361" spans="7:17" ht="15" customHeight="1" x14ac:dyDescent="0.25">
      <c r="G2361" s="616"/>
      <c r="H2361" s="616"/>
      <c r="N2361" s="822">
        <v>811212</v>
      </c>
      <c r="O2361" s="822" t="s">
        <v>4719</v>
      </c>
      <c r="P2361" s="823">
        <v>7629</v>
      </c>
      <c r="Q2361" s="823" t="s">
        <v>3368</v>
      </c>
    </row>
    <row r="2362" spans="7:17" ht="15" customHeight="1" x14ac:dyDescent="0.25">
      <c r="G2362" s="616"/>
      <c r="H2362" s="616"/>
      <c r="N2362" s="822">
        <v>811212</v>
      </c>
      <c r="O2362" s="822" t="s">
        <v>4719</v>
      </c>
      <c r="P2362" s="823">
        <v>7699</v>
      </c>
      <c r="Q2362" s="823" t="s">
        <v>1071</v>
      </c>
    </row>
    <row r="2363" spans="7:17" ht="15" customHeight="1" x14ac:dyDescent="0.25">
      <c r="G2363" s="616"/>
      <c r="H2363" s="616"/>
      <c r="N2363" s="822">
        <v>811213</v>
      </c>
      <c r="O2363" s="822" t="s">
        <v>4721</v>
      </c>
      <c r="P2363" s="823">
        <v>7622</v>
      </c>
      <c r="Q2363" s="823" t="s">
        <v>1345</v>
      </c>
    </row>
    <row r="2364" spans="7:17" ht="15" customHeight="1" x14ac:dyDescent="0.25">
      <c r="G2364" s="616"/>
      <c r="H2364" s="616"/>
      <c r="N2364" s="822">
        <v>811213</v>
      </c>
      <c r="O2364" s="822" t="s">
        <v>4721</v>
      </c>
      <c r="P2364" s="823">
        <v>7629</v>
      </c>
      <c r="Q2364" s="823" t="s">
        <v>3368</v>
      </c>
    </row>
    <row r="2365" spans="7:17" ht="15" customHeight="1" x14ac:dyDescent="0.25">
      <c r="G2365" s="616"/>
      <c r="H2365" s="616"/>
      <c r="N2365" s="822">
        <v>811219</v>
      </c>
      <c r="O2365" s="822" t="s">
        <v>4723</v>
      </c>
      <c r="P2365" s="823">
        <v>7629</v>
      </c>
      <c r="Q2365" s="823" t="s">
        <v>3368</v>
      </c>
    </row>
    <row r="2366" spans="7:17" ht="15" customHeight="1" x14ac:dyDescent="0.25">
      <c r="G2366" s="616"/>
      <c r="H2366" s="616"/>
      <c r="N2366" s="822">
        <v>811219</v>
      </c>
      <c r="O2366" s="822" t="s">
        <v>4723</v>
      </c>
      <c r="P2366" s="823">
        <v>7699</v>
      </c>
      <c r="Q2366" s="823" t="s">
        <v>1071</v>
      </c>
    </row>
    <row r="2367" spans="7:17" ht="15" customHeight="1" x14ac:dyDescent="0.25">
      <c r="G2367" s="616"/>
      <c r="H2367" s="616"/>
      <c r="N2367" s="822">
        <v>811310</v>
      </c>
      <c r="O2367" s="822" t="s">
        <v>4725</v>
      </c>
      <c r="P2367" s="823">
        <v>7623</v>
      </c>
      <c r="Q2367" s="823" t="s">
        <v>3366</v>
      </c>
    </row>
    <row r="2368" spans="7:17" ht="15" customHeight="1" x14ac:dyDescent="0.25">
      <c r="G2368" s="616"/>
      <c r="H2368" s="616"/>
      <c r="N2368" s="822">
        <v>811310</v>
      </c>
      <c r="O2368" s="822" t="s">
        <v>4725</v>
      </c>
      <c r="P2368" s="823">
        <v>7692</v>
      </c>
      <c r="Q2368" s="823" t="s">
        <v>4727</v>
      </c>
    </row>
    <row r="2369" spans="7:17" ht="15" customHeight="1" x14ac:dyDescent="0.25">
      <c r="G2369" s="616"/>
      <c r="H2369" s="616"/>
      <c r="N2369" s="822">
        <v>811310</v>
      </c>
      <c r="O2369" s="822" t="s">
        <v>4725</v>
      </c>
      <c r="P2369" s="823">
        <v>7694</v>
      </c>
      <c r="Q2369" s="823" t="s">
        <v>2801</v>
      </c>
    </row>
    <row r="2370" spans="7:17" ht="15" customHeight="1" x14ac:dyDescent="0.25">
      <c r="G2370" s="616"/>
      <c r="H2370" s="616"/>
      <c r="N2370" s="822">
        <v>811310</v>
      </c>
      <c r="O2370" s="822" t="s">
        <v>4725</v>
      </c>
      <c r="P2370" s="823">
        <v>7699</v>
      </c>
      <c r="Q2370" s="823" t="s">
        <v>1071</v>
      </c>
    </row>
    <row r="2371" spans="7:17" ht="15" customHeight="1" x14ac:dyDescent="0.25">
      <c r="G2371" s="616"/>
      <c r="H2371" s="616"/>
      <c r="N2371" s="822">
        <v>811411</v>
      </c>
      <c r="O2371" s="822" t="s">
        <v>4729</v>
      </c>
      <c r="P2371" s="823">
        <v>7699</v>
      </c>
      <c r="Q2371" s="823" t="s">
        <v>1071</v>
      </c>
    </row>
    <row r="2372" spans="7:17" ht="15" customHeight="1" x14ac:dyDescent="0.25">
      <c r="G2372" s="616"/>
      <c r="H2372" s="616"/>
      <c r="N2372" s="822">
        <v>811412</v>
      </c>
      <c r="O2372" s="822" t="s">
        <v>4731</v>
      </c>
      <c r="P2372" s="823">
        <v>7623</v>
      </c>
      <c r="Q2372" s="823" t="s">
        <v>3366</v>
      </c>
    </row>
    <row r="2373" spans="7:17" ht="15" customHeight="1" x14ac:dyDescent="0.25">
      <c r="G2373" s="616"/>
      <c r="H2373" s="616"/>
      <c r="N2373" s="822">
        <v>811412</v>
      </c>
      <c r="O2373" s="822" t="s">
        <v>4731</v>
      </c>
      <c r="P2373" s="823">
        <v>7629</v>
      </c>
      <c r="Q2373" s="823" t="s">
        <v>3368</v>
      </c>
    </row>
    <row r="2374" spans="7:17" ht="15" customHeight="1" x14ac:dyDescent="0.25">
      <c r="G2374" s="616"/>
      <c r="H2374" s="616"/>
      <c r="N2374" s="822">
        <v>811412</v>
      </c>
      <c r="O2374" s="822" t="s">
        <v>4731</v>
      </c>
      <c r="P2374" s="823">
        <v>7699</v>
      </c>
      <c r="Q2374" s="823" t="s">
        <v>1071</v>
      </c>
    </row>
    <row r="2375" spans="7:17" ht="15" customHeight="1" x14ac:dyDescent="0.25">
      <c r="G2375" s="616"/>
      <c r="H2375" s="616"/>
      <c r="N2375" s="822">
        <v>811420</v>
      </c>
      <c r="O2375" s="822" t="s">
        <v>4733</v>
      </c>
      <c r="P2375" s="823">
        <v>4581</v>
      </c>
      <c r="Q2375" s="823" t="s">
        <v>3699</v>
      </c>
    </row>
    <row r="2376" spans="7:17" ht="15" customHeight="1" x14ac:dyDescent="0.25">
      <c r="G2376" s="616"/>
      <c r="H2376" s="616"/>
      <c r="N2376" s="822">
        <v>811420</v>
      </c>
      <c r="O2376" s="822" t="s">
        <v>4733</v>
      </c>
      <c r="P2376" s="823">
        <v>7641</v>
      </c>
      <c r="Q2376" s="823" t="s">
        <v>4733</v>
      </c>
    </row>
    <row r="2377" spans="7:17" ht="15" customHeight="1" x14ac:dyDescent="0.25">
      <c r="G2377" s="616"/>
      <c r="H2377" s="616"/>
      <c r="N2377" s="822">
        <v>811430</v>
      </c>
      <c r="O2377" s="822" t="s">
        <v>4736</v>
      </c>
      <c r="P2377" s="823">
        <v>7251</v>
      </c>
      <c r="Q2377" s="823" t="s">
        <v>4738</v>
      </c>
    </row>
    <row r="2378" spans="7:17" ht="15" customHeight="1" x14ac:dyDescent="0.25">
      <c r="G2378" s="616"/>
      <c r="H2378" s="616"/>
      <c r="N2378" s="822">
        <v>811430</v>
      </c>
      <c r="O2378" s="822" t="s">
        <v>4736</v>
      </c>
      <c r="P2378" s="823">
        <v>7699</v>
      </c>
      <c r="Q2378" s="823" t="s">
        <v>1071</v>
      </c>
    </row>
    <row r="2379" spans="7:17" ht="15" customHeight="1" x14ac:dyDescent="0.25">
      <c r="G2379" s="616"/>
      <c r="H2379" s="616"/>
      <c r="N2379" s="822">
        <v>811490</v>
      </c>
      <c r="O2379" s="822" t="s">
        <v>4740</v>
      </c>
      <c r="P2379" s="823">
        <v>3732</v>
      </c>
      <c r="Q2379" s="823" t="s">
        <v>2922</v>
      </c>
    </row>
    <row r="2380" spans="7:17" ht="15" customHeight="1" x14ac:dyDescent="0.25">
      <c r="G2380" s="616"/>
      <c r="H2380" s="616"/>
      <c r="N2380" s="822">
        <v>811490</v>
      </c>
      <c r="O2380" s="822" t="s">
        <v>4740</v>
      </c>
      <c r="P2380" s="823">
        <v>7219</v>
      </c>
      <c r="Q2380" s="823" t="s">
        <v>4742</v>
      </c>
    </row>
    <row r="2381" spans="7:17" ht="15" customHeight="1" x14ac:dyDescent="0.25">
      <c r="G2381" s="616"/>
      <c r="H2381" s="616"/>
      <c r="N2381" s="822">
        <v>811490</v>
      </c>
      <c r="O2381" s="822" t="s">
        <v>4740</v>
      </c>
      <c r="P2381" s="823">
        <v>7631</v>
      </c>
      <c r="Q2381" s="823" t="s">
        <v>3471</v>
      </c>
    </row>
    <row r="2382" spans="7:17" ht="15" customHeight="1" x14ac:dyDescent="0.25">
      <c r="G2382" s="616"/>
      <c r="H2382" s="616"/>
      <c r="N2382" s="822">
        <v>811490</v>
      </c>
      <c r="O2382" s="822" t="s">
        <v>4740</v>
      </c>
      <c r="P2382" s="823">
        <v>7699</v>
      </c>
      <c r="Q2382" s="823" t="s">
        <v>1071</v>
      </c>
    </row>
    <row r="2383" spans="7:17" ht="15" customHeight="1" x14ac:dyDescent="0.25">
      <c r="G2383" s="616"/>
      <c r="H2383" s="616"/>
      <c r="N2383" s="822">
        <v>812111</v>
      </c>
      <c r="O2383" s="822" t="s">
        <v>4431</v>
      </c>
      <c r="P2383" s="823">
        <v>7241</v>
      </c>
      <c r="Q2383" s="823" t="s">
        <v>4431</v>
      </c>
    </row>
    <row r="2384" spans="7:17" ht="15" customHeight="1" x14ac:dyDescent="0.25">
      <c r="G2384" s="616"/>
      <c r="H2384" s="616"/>
      <c r="N2384" s="822">
        <v>812112</v>
      </c>
      <c r="O2384" s="822" t="s">
        <v>4745</v>
      </c>
      <c r="P2384" s="823">
        <v>7231</v>
      </c>
      <c r="Q2384" s="823" t="s">
        <v>4429</v>
      </c>
    </row>
    <row r="2385" spans="7:17" ht="15" customHeight="1" x14ac:dyDescent="0.25">
      <c r="G2385" s="616"/>
      <c r="H2385" s="616"/>
      <c r="N2385" s="822">
        <v>812113</v>
      </c>
      <c r="O2385" s="822" t="s">
        <v>4747</v>
      </c>
      <c r="P2385" s="823">
        <v>7231</v>
      </c>
      <c r="Q2385" s="823" t="s">
        <v>4429</v>
      </c>
    </row>
    <row r="2386" spans="7:17" ht="15" customHeight="1" x14ac:dyDescent="0.25">
      <c r="G2386" s="616"/>
      <c r="H2386" s="616"/>
      <c r="N2386" s="822">
        <v>812191</v>
      </c>
      <c r="O2386" s="822" t="s">
        <v>4749</v>
      </c>
      <c r="P2386" s="823">
        <v>7299</v>
      </c>
      <c r="Q2386" s="823" t="s">
        <v>4097</v>
      </c>
    </row>
    <row r="2387" spans="7:17" ht="15" customHeight="1" x14ac:dyDescent="0.25">
      <c r="G2387" s="616"/>
      <c r="H2387" s="616"/>
      <c r="N2387" s="822">
        <v>812199</v>
      </c>
      <c r="O2387" s="822" t="s">
        <v>4751</v>
      </c>
      <c r="P2387" s="823">
        <v>7299</v>
      </c>
      <c r="Q2387" s="823" t="s">
        <v>4097</v>
      </c>
    </row>
    <row r="2388" spans="7:17" ht="15" customHeight="1" x14ac:dyDescent="0.25">
      <c r="G2388" s="616"/>
      <c r="H2388" s="616"/>
      <c r="N2388" s="822">
        <v>812210</v>
      </c>
      <c r="O2388" s="822" t="s">
        <v>4753</v>
      </c>
      <c r="P2388" s="823">
        <v>7261</v>
      </c>
      <c r="Q2388" s="823" t="s">
        <v>4755</v>
      </c>
    </row>
    <row r="2389" spans="7:17" ht="15" customHeight="1" x14ac:dyDescent="0.25">
      <c r="G2389" s="616"/>
      <c r="H2389" s="616"/>
      <c r="N2389" s="822">
        <v>812220</v>
      </c>
      <c r="O2389" s="822" t="s">
        <v>4757</v>
      </c>
      <c r="P2389" s="823">
        <v>6531</v>
      </c>
      <c r="Q2389" s="823" t="s">
        <v>4053</v>
      </c>
    </row>
    <row r="2390" spans="7:17" ht="15" customHeight="1" x14ac:dyDescent="0.25">
      <c r="G2390" s="616"/>
      <c r="H2390" s="616"/>
      <c r="N2390" s="822">
        <v>812220</v>
      </c>
      <c r="O2390" s="822" t="s">
        <v>4757</v>
      </c>
      <c r="P2390" s="823">
        <v>6553</v>
      </c>
      <c r="Q2390" s="823" t="s">
        <v>4759</v>
      </c>
    </row>
    <row r="2391" spans="7:17" ht="15" customHeight="1" x14ac:dyDescent="0.25">
      <c r="G2391" s="616"/>
      <c r="H2391" s="616"/>
      <c r="N2391" s="822">
        <v>812220</v>
      </c>
      <c r="O2391" s="822" t="s">
        <v>4757</v>
      </c>
      <c r="P2391" s="823">
        <v>7261</v>
      </c>
      <c r="Q2391" s="823" t="s">
        <v>4755</v>
      </c>
    </row>
    <row r="2392" spans="7:17" ht="15" customHeight="1" x14ac:dyDescent="0.25">
      <c r="G2392" s="616"/>
      <c r="H2392" s="616"/>
      <c r="N2392" s="822">
        <v>812310</v>
      </c>
      <c r="O2392" s="822" t="s">
        <v>4761</v>
      </c>
      <c r="P2392" s="823">
        <v>7215</v>
      </c>
      <c r="Q2392" s="823" t="s">
        <v>4763</v>
      </c>
    </row>
    <row r="2393" spans="7:17" ht="15" customHeight="1" x14ac:dyDescent="0.25">
      <c r="G2393" s="616"/>
      <c r="H2393" s="616"/>
      <c r="N2393" s="822">
        <v>812320</v>
      </c>
      <c r="O2393" s="822" t="s">
        <v>4765</v>
      </c>
      <c r="P2393" s="823">
        <v>7211</v>
      </c>
      <c r="Q2393" s="823" t="s">
        <v>4767</v>
      </c>
    </row>
    <row r="2394" spans="7:17" ht="15" customHeight="1" x14ac:dyDescent="0.25">
      <c r="G2394" s="616"/>
      <c r="H2394" s="616"/>
      <c r="N2394" s="822">
        <v>812320</v>
      </c>
      <c r="O2394" s="822" t="s">
        <v>4765</v>
      </c>
      <c r="P2394" s="823">
        <v>7212</v>
      </c>
      <c r="Q2394" s="823" t="s">
        <v>4769</v>
      </c>
    </row>
    <row r="2395" spans="7:17" ht="15" customHeight="1" x14ac:dyDescent="0.25">
      <c r="G2395" s="616"/>
      <c r="H2395" s="616"/>
      <c r="N2395" s="822">
        <v>812320</v>
      </c>
      <c r="O2395" s="822" t="s">
        <v>4765</v>
      </c>
      <c r="P2395" s="823">
        <v>7216</v>
      </c>
      <c r="Q2395" s="823" t="s">
        <v>4771</v>
      </c>
    </row>
    <row r="2396" spans="7:17" ht="15" customHeight="1" x14ac:dyDescent="0.25">
      <c r="G2396" s="616"/>
      <c r="H2396" s="616"/>
      <c r="N2396" s="822">
        <v>812320</v>
      </c>
      <c r="O2396" s="822" t="s">
        <v>4765</v>
      </c>
      <c r="P2396" s="823">
        <v>7219</v>
      </c>
      <c r="Q2396" s="823" t="s">
        <v>4742</v>
      </c>
    </row>
    <row r="2397" spans="7:17" ht="15" customHeight="1" x14ac:dyDescent="0.25">
      <c r="G2397" s="616"/>
      <c r="H2397" s="616"/>
      <c r="N2397" s="822">
        <v>812320</v>
      </c>
      <c r="O2397" s="822" t="s">
        <v>4765</v>
      </c>
      <c r="P2397" s="823">
        <v>7251</v>
      </c>
      <c r="Q2397" s="823" t="s">
        <v>4738</v>
      </c>
    </row>
    <row r="2398" spans="7:17" ht="15" customHeight="1" x14ac:dyDescent="0.25">
      <c r="G2398" s="616"/>
      <c r="H2398" s="616"/>
      <c r="N2398" s="822">
        <v>812320</v>
      </c>
      <c r="O2398" s="822" t="s">
        <v>4765</v>
      </c>
      <c r="P2398" s="823">
        <v>7389</v>
      </c>
      <c r="Q2398" s="823" t="s">
        <v>1589</v>
      </c>
    </row>
    <row r="2399" spans="7:17" ht="15" customHeight="1" x14ac:dyDescent="0.25">
      <c r="G2399" s="616"/>
      <c r="H2399" s="616"/>
      <c r="N2399" s="822">
        <v>812331</v>
      </c>
      <c r="O2399" s="822" t="s">
        <v>4773</v>
      </c>
      <c r="P2399" s="823">
        <v>7213</v>
      </c>
      <c r="Q2399" s="823" t="s">
        <v>4773</v>
      </c>
    </row>
    <row r="2400" spans="7:17" ht="15" customHeight="1" x14ac:dyDescent="0.25">
      <c r="G2400" s="616"/>
      <c r="H2400" s="616"/>
      <c r="N2400" s="822">
        <v>812331</v>
      </c>
      <c r="O2400" s="822" t="s">
        <v>4773</v>
      </c>
      <c r="P2400" s="823">
        <v>7219</v>
      </c>
      <c r="Q2400" s="823" t="s">
        <v>4742</v>
      </c>
    </row>
    <row r="2401" spans="7:17" ht="15" customHeight="1" x14ac:dyDescent="0.25">
      <c r="G2401" s="616"/>
      <c r="H2401" s="616"/>
      <c r="N2401" s="822">
        <v>812332</v>
      </c>
      <c r="O2401" s="822" t="s">
        <v>4776</v>
      </c>
      <c r="P2401" s="823">
        <v>7218</v>
      </c>
      <c r="Q2401" s="823" t="s">
        <v>4776</v>
      </c>
    </row>
    <row r="2402" spans="7:17" ht="15" customHeight="1" x14ac:dyDescent="0.25">
      <c r="G2402" s="616"/>
      <c r="H2402" s="616"/>
      <c r="N2402" s="822">
        <v>812910</v>
      </c>
      <c r="O2402" s="822" t="s">
        <v>4779</v>
      </c>
      <c r="P2402" s="823">
        <v>752</v>
      </c>
      <c r="Q2402" s="823" t="s">
        <v>1069</v>
      </c>
    </row>
    <row r="2403" spans="7:17" ht="15" customHeight="1" x14ac:dyDescent="0.25">
      <c r="G2403" s="616"/>
      <c r="H2403" s="616"/>
      <c r="N2403" s="822">
        <v>812921</v>
      </c>
      <c r="O2403" s="822" t="s">
        <v>4781</v>
      </c>
      <c r="P2403" s="823">
        <v>7384</v>
      </c>
      <c r="Q2403" s="823" t="s">
        <v>4783</v>
      </c>
    </row>
    <row r="2404" spans="7:17" ht="15" customHeight="1" x14ac:dyDescent="0.25">
      <c r="G2404" s="616"/>
      <c r="H2404" s="616"/>
      <c r="N2404" s="822">
        <v>812922</v>
      </c>
      <c r="O2404" s="822" t="s">
        <v>4785</v>
      </c>
      <c r="P2404" s="823">
        <v>7384</v>
      </c>
      <c r="Q2404" s="823" t="s">
        <v>4783</v>
      </c>
    </row>
    <row r="2405" spans="7:17" ht="15" customHeight="1" x14ac:dyDescent="0.25">
      <c r="N2405" s="822">
        <v>812930</v>
      </c>
      <c r="O2405" s="822" t="s">
        <v>4787</v>
      </c>
      <c r="P2405" s="823">
        <v>7299</v>
      </c>
      <c r="Q2405" s="823" t="s">
        <v>4097</v>
      </c>
    </row>
    <row r="2406" spans="7:17" ht="15" customHeight="1" x14ac:dyDescent="0.25">
      <c r="N2406" s="822">
        <v>812930</v>
      </c>
      <c r="O2406" s="822" t="s">
        <v>4787</v>
      </c>
      <c r="P2406" s="823">
        <v>7521</v>
      </c>
      <c r="Q2406" s="823" t="s">
        <v>4789</v>
      </c>
    </row>
    <row r="2407" spans="7:17" ht="15" customHeight="1" x14ac:dyDescent="0.25">
      <c r="N2407" s="822">
        <v>812990</v>
      </c>
      <c r="O2407" s="822" t="s">
        <v>4791</v>
      </c>
      <c r="P2407" s="823">
        <v>4899</v>
      </c>
      <c r="Q2407" s="823" t="s">
        <v>3650</v>
      </c>
    </row>
    <row r="2408" spans="7:17" ht="15" customHeight="1" x14ac:dyDescent="0.25">
      <c r="N2408" s="822">
        <v>812990</v>
      </c>
      <c r="O2408" s="822" t="s">
        <v>4791</v>
      </c>
      <c r="P2408" s="823">
        <v>7251</v>
      </c>
      <c r="Q2408" s="823" t="s">
        <v>4738</v>
      </c>
    </row>
    <row r="2409" spans="7:17" ht="15" customHeight="1" x14ac:dyDescent="0.25">
      <c r="N2409" s="822">
        <v>812990</v>
      </c>
      <c r="O2409" s="822" t="s">
        <v>4791</v>
      </c>
      <c r="P2409" s="823">
        <v>7299</v>
      </c>
      <c r="Q2409" s="823" t="s">
        <v>4097</v>
      </c>
    </row>
    <row r="2410" spans="7:17" ht="15" customHeight="1" x14ac:dyDescent="0.25">
      <c r="N2410" s="822">
        <v>812990</v>
      </c>
      <c r="O2410" s="822" t="s">
        <v>4791</v>
      </c>
      <c r="P2410" s="823">
        <v>7389</v>
      </c>
      <c r="Q2410" s="823" t="s">
        <v>1589</v>
      </c>
    </row>
    <row r="2411" spans="7:17" ht="15" customHeight="1" x14ac:dyDescent="0.25">
      <c r="N2411" s="822">
        <v>812990</v>
      </c>
      <c r="O2411" s="822" t="s">
        <v>4791</v>
      </c>
      <c r="P2411" s="823">
        <v>7999</v>
      </c>
      <c r="Q2411" s="823" t="s">
        <v>3690</v>
      </c>
    </row>
    <row r="2412" spans="7:17" ht="15" customHeight="1" x14ac:dyDescent="0.25">
      <c r="N2412" s="822">
        <v>813110</v>
      </c>
      <c r="O2412" s="822" t="s">
        <v>4793</v>
      </c>
      <c r="P2412" s="823">
        <v>8661</v>
      </c>
      <c r="Q2412" s="823" t="s">
        <v>4793</v>
      </c>
    </row>
    <row r="2413" spans="7:17" ht="15" customHeight="1" x14ac:dyDescent="0.25">
      <c r="N2413" s="822">
        <v>813211</v>
      </c>
      <c r="O2413" s="822" t="s">
        <v>4797</v>
      </c>
      <c r="P2413" s="823">
        <v>6732</v>
      </c>
      <c r="Q2413" s="823" t="s">
        <v>4799</v>
      </c>
    </row>
    <row r="2414" spans="7:17" ht="15" customHeight="1" x14ac:dyDescent="0.25">
      <c r="N2414" s="822">
        <v>813212</v>
      </c>
      <c r="O2414" s="822" t="s">
        <v>4801</v>
      </c>
      <c r="P2414" s="823">
        <v>8399</v>
      </c>
      <c r="Q2414" s="823" t="s">
        <v>4803</v>
      </c>
    </row>
    <row r="2415" spans="7:17" ht="15" customHeight="1" x14ac:dyDescent="0.25">
      <c r="N2415" s="822">
        <v>813219</v>
      </c>
      <c r="O2415" s="822" t="s">
        <v>4805</v>
      </c>
      <c r="P2415" s="823">
        <v>8399</v>
      </c>
      <c r="Q2415" s="823" t="s">
        <v>4803</v>
      </c>
    </row>
    <row r="2416" spans="7:17" ht="15" customHeight="1" x14ac:dyDescent="0.25">
      <c r="N2416" s="822">
        <v>813311</v>
      </c>
      <c r="O2416" s="822" t="s">
        <v>4807</v>
      </c>
      <c r="P2416" s="823">
        <v>8399</v>
      </c>
      <c r="Q2416" s="823" t="s">
        <v>4803</v>
      </c>
    </row>
    <row r="2417" spans="14:17" ht="15" customHeight="1" x14ac:dyDescent="0.25">
      <c r="N2417" s="822">
        <v>813312</v>
      </c>
      <c r="O2417" s="822" t="s">
        <v>4809</v>
      </c>
      <c r="P2417" s="823">
        <v>8399</v>
      </c>
      <c r="Q2417" s="823" t="s">
        <v>4803</v>
      </c>
    </row>
    <row r="2418" spans="14:17" ht="15" customHeight="1" x14ac:dyDescent="0.25">
      <c r="N2418" s="822">
        <v>813312</v>
      </c>
      <c r="O2418" s="822" t="s">
        <v>4809</v>
      </c>
      <c r="P2418" s="823">
        <v>8699</v>
      </c>
      <c r="Q2418" s="823" t="s">
        <v>4338</v>
      </c>
    </row>
    <row r="2419" spans="14:17" ht="15" customHeight="1" x14ac:dyDescent="0.25">
      <c r="N2419" s="822">
        <v>813319</v>
      </c>
      <c r="O2419" s="822" t="s">
        <v>4811</v>
      </c>
      <c r="P2419" s="823">
        <v>8399</v>
      </c>
      <c r="Q2419" s="823" t="s">
        <v>4803</v>
      </c>
    </row>
    <row r="2420" spans="14:17" ht="15" customHeight="1" x14ac:dyDescent="0.25">
      <c r="N2420" s="822">
        <v>813319</v>
      </c>
      <c r="O2420" s="822" t="s">
        <v>4811</v>
      </c>
      <c r="P2420" s="823">
        <v>8641</v>
      </c>
      <c r="Q2420" s="823" t="s">
        <v>4813</v>
      </c>
    </row>
    <row r="2421" spans="14:17" ht="15" customHeight="1" x14ac:dyDescent="0.25">
      <c r="N2421" s="822">
        <v>813410</v>
      </c>
      <c r="O2421" s="822" t="s">
        <v>4815</v>
      </c>
      <c r="P2421" s="823">
        <v>8641</v>
      </c>
      <c r="Q2421" s="823" t="s">
        <v>4813</v>
      </c>
    </row>
    <row r="2422" spans="14:17" ht="15" customHeight="1" x14ac:dyDescent="0.25">
      <c r="N2422" s="822">
        <v>813410</v>
      </c>
      <c r="O2422" s="822" t="s">
        <v>4815</v>
      </c>
      <c r="P2422" s="823">
        <v>8699</v>
      </c>
      <c r="Q2422" s="823" t="s">
        <v>4338</v>
      </c>
    </row>
    <row r="2423" spans="14:17" ht="15" customHeight="1" x14ac:dyDescent="0.25">
      <c r="N2423" s="822">
        <v>813910</v>
      </c>
      <c r="O2423" s="822" t="s">
        <v>4817</v>
      </c>
      <c r="P2423" s="823">
        <v>8611</v>
      </c>
      <c r="Q2423" s="823" t="s">
        <v>4817</v>
      </c>
    </row>
    <row r="2424" spans="14:17" ht="15" customHeight="1" x14ac:dyDescent="0.25">
      <c r="N2424" s="822">
        <v>813910</v>
      </c>
      <c r="O2424" s="822" t="s">
        <v>4817</v>
      </c>
      <c r="P2424" s="823">
        <v>8699</v>
      </c>
      <c r="Q2424" s="823" t="s">
        <v>4338</v>
      </c>
    </row>
    <row r="2425" spans="14:17" ht="15" customHeight="1" x14ac:dyDescent="0.25">
      <c r="N2425" s="822">
        <v>813920</v>
      </c>
      <c r="O2425" s="822" t="s">
        <v>4820</v>
      </c>
      <c r="P2425" s="823">
        <v>8621</v>
      </c>
      <c r="Q2425" s="823" t="s">
        <v>4820</v>
      </c>
    </row>
    <row r="2426" spans="14:17" ht="15" customHeight="1" x14ac:dyDescent="0.25">
      <c r="N2426" s="822">
        <v>813930</v>
      </c>
      <c r="O2426" s="822" t="s">
        <v>4823</v>
      </c>
      <c r="P2426" s="823">
        <v>8631</v>
      </c>
      <c r="Q2426" s="823" t="s">
        <v>4825</v>
      </c>
    </row>
    <row r="2427" spans="14:17" ht="15" customHeight="1" x14ac:dyDescent="0.25">
      <c r="N2427" s="822">
        <v>813940</v>
      </c>
      <c r="O2427" s="822" t="s">
        <v>4827</v>
      </c>
      <c r="P2427" s="823">
        <v>8651</v>
      </c>
      <c r="Q2427" s="823" t="s">
        <v>4827</v>
      </c>
    </row>
    <row r="2428" spans="14:17" ht="15" customHeight="1" x14ac:dyDescent="0.25">
      <c r="N2428" s="822">
        <v>813990</v>
      </c>
      <c r="O2428" s="822" t="s">
        <v>4830</v>
      </c>
      <c r="P2428" s="823">
        <v>6531</v>
      </c>
      <c r="Q2428" s="823" t="s">
        <v>4053</v>
      </c>
    </row>
    <row r="2429" spans="14:17" ht="15" customHeight="1" x14ac:dyDescent="0.25">
      <c r="N2429" s="822">
        <v>813990</v>
      </c>
      <c r="O2429" s="822" t="s">
        <v>4830</v>
      </c>
      <c r="P2429" s="823">
        <v>8641</v>
      </c>
      <c r="Q2429" s="823" t="s">
        <v>4813</v>
      </c>
    </row>
    <row r="2430" spans="14:17" ht="15" customHeight="1" x14ac:dyDescent="0.25">
      <c r="N2430" s="822">
        <v>813990</v>
      </c>
      <c r="O2430" s="822" t="s">
        <v>4830</v>
      </c>
      <c r="P2430" s="823">
        <v>8699</v>
      </c>
      <c r="Q2430" s="823" t="s">
        <v>4338</v>
      </c>
    </row>
    <row r="2431" spans="14:17" ht="15" customHeight="1" x14ac:dyDescent="0.25">
      <c r="N2431" s="822">
        <v>814110</v>
      </c>
      <c r="O2431" s="822" t="s">
        <v>4832</v>
      </c>
      <c r="P2431" s="823">
        <v>8811</v>
      </c>
      <c r="Q2431" s="823" t="s">
        <v>4832</v>
      </c>
    </row>
    <row r="2432" spans="14:17" ht="15" customHeight="1" x14ac:dyDescent="0.3">
      <c r="N2432" s="822">
        <v>814111</v>
      </c>
      <c r="O2432" s="824" t="s">
        <v>4832</v>
      </c>
      <c r="P2432" s="823"/>
      <c r="Q2432" s="823" t="s">
        <v>958</v>
      </c>
    </row>
    <row r="2433" spans="14:17" ht="15" customHeight="1" x14ac:dyDescent="0.25">
      <c r="N2433" s="822">
        <v>921110</v>
      </c>
      <c r="O2433" s="822" t="s">
        <v>4835</v>
      </c>
      <c r="P2433" s="823">
        <v>9111</v>
      </c>
      <c r="Q2433" s="823" t="s">
        <v>4835</v>
      </c>
    </row>
    <row r="2434" spans="14:17" ht="15" customHeight="1" x14ac:dyDescent="0.25">
      <c r="N2434" s="822">
        <v>921120</v>
      </c>
      <c r="O2434" s="822" t="s">
        <v>4839</v>
      </c>
      <c r="P2434" s="823">
        <v>9121</v>
      </c>
      <c r="Q2434" s="823" t="s">
        <v>4839</v>
      </c>
    </row>
    <row r="2435" spans="14:17" ht="15" customHeight="1" x14ac:dyDescent="0.25">
      <c r="N2435" s="822">
        <v>921130</v>
      </c>
      <c r="O2435" s="822" t="s">
        <v>4842</v>
      </c>
      <c r="P2435" s="823">
        <v>9311</v>
      </c>
      <c r="Q2435" s="823" t="s">
        <v>4844</v>
      </c>
    </row>
    <row r="2436" spans="14:17" ht="15" customHeight="1" x14ac:dyDescent="0.25">
      <c r="N2436" s="822">
        <v>921140</v>
      </c>
      <c r="O2436" s="822" t="s">
        <v>4846</v>
      </c>
      <c r="P2436" s="823">
        <v>9131</v>
      </c>
      <c r="Q2436" s="823" t="s">
        <v>4848</v>
      </c>
    </row>
    <row r="2437" spans="14:17" ht="15" customHeight="1" x14ac:dyDescent="0.25">
      <c r="N2437" s="822">
        <v>921150</v>
      </c>
      <c r="O2437" s="822" t="s">
        <v>4850</v>
      </c>
      <c r="P2437" s="823">
        <v>8641</v>
      </c>
      <c r="Q2437" s="823" t="s">
        <v>4813</v>
      </c>
    </row>
    <row r="2438" spans="14:17" ht="15" customHeight="1" x14ac:dyDescent="0.25">
      <c r="N2438" s="822">
        <v>921190</v>
      </c>
      <c r="O2438" s="822" t="s">
        <v>4852</v>
      </c>
      <c r="P2438" s="823">
        <v>9199</v>
      </c>
      <c r="Q2438" s="823" t="s">
        <v>4854</v>
      </c>
    </row>
    <row r="2439" spans="14:17" ht="15" customHeight="1" x14ac:dyDescent="0.25">
      <c r="N2439" s="822">
        <v>922110</v>
      </c>
      <c r="O2439" s="822" t="s">
        <v>4856</v>
      </c>
      <c r="P2439" s="823">
        <v>9211</v>
      </c>
      <c r="Q2439" s="823" t="s">
        <v>4856</v>
      </c>
    </row>
    <row r="2440" spans="14:17" ht="15" customHeight="1" x14ac:dyDescent="0.25">
      <c r="N2440" s="822">
        <v>922120</v>
      </c>
      <c r="O2440" s="822" t="s">
        <v>4859</v>
      </c>
      <c r="P2440" s="823">
        <v>9221</v>
      </c>
      <c r="Q2440" s="823" t="s">
        <v>4859</v>
      </c>
    </row>
    <row r="2441" spans="14:17" ht="15" customHeight="1" x14ac:dyDescent="0.25">
      <c r="N2441" s="822">
        <v>922130</v>
      </c>
      <c r="O2441" s="822" t="s">
        <v>4862</v>
      </c>
      <c r="P2441" s="823">
        <v>9222</v>
      </c>
      <c r="Q2441" s="823" t="s">
        <v>4862</v>
      </c>
    </row>
    <row r="2442" spans="14:17" ht="15" customHeight="1" x14ac:dyDescent="0.25">
      <c r="N2442" s="822">
        <v>922140</v>
      </c>
      <c r="O2442" s="822" t="s">
        <v>4865</v>
      </c>
      <c r="P2442" s="823">
        <v>9223</v>
      </c>
      <c r="Q2442" s="823" t="s">
        <v>4865</v>
      </c>
    </row>
    <row r="2443" spans="14:17" ht="15" customHeight="1" x14ac:dyDescent="0.25">
      <c r="N2443" s="822">
        <v>922150</v>
      </c>
      <c r="O2443" s="822" t="s">
        <v>4868</v>
      </c>
      <c r="P2443" s="823">
        <v>8322</v>
      </c>
      <c r="Q2443" s="823" t="s">
        <v>4551</v>
      </c>
    </row>
    <row r="2444" spans="14:17" ht="15" customHeight="1" x14ac:dyDescent="0.25">
      <c r="N2444" s="822">
        <v>922160</v>
      </c>
      <c r="O2444" s="822" t="s">
        <v>4870</v>
      </c>
      <c r="P2444" s="823">
        <v>9224</v>
      </c>
      <c r="Q2444" s="823" t="s">
        <v>4870</v>
      </c>
    </row>
    <row r="2445" spans="14:17" ht="15" customHeight="1" x14ac:dyDescent="0.25">
      <c r="N2445" s="822">
        <v>922190</v>
      </c>
      <c r="O2445" s="822" t="s">
        <v>4873</v>
      </c>
      <c r="P2445" s="823">
        <v>9229</v>
      </c>
      <c r="Q2445" s="823" t="s">
        <v>4875</v>
      </c>
    </row>
    <row r="2446" spans="14:17" ht="15" customHeight="1" x14ac:dyDescent="0.25">
      <c r="N2446" s="822">
        <v>923110</v>
      </c>
      <c r="O2446" s="822" t="s">
        <v>4877</v>
      </c>
      <c r="P2446" s="823">
        <v>9411</v>
      </c>
      <c r="Q2446" s="823" t="s">
        <v>4879</v>
      </c>
    </row>
    <row r="2447" spans="14:17" ht="15" customHeight="1" x14ac:dyDescent="0.25">
      <c r="N2447" s="822">
        <v>923120</v>
      </c>
      <c r="O2447" s="822" t="s">
        <v>4881</v>
      </c>
      <c r="P2447" s="823">
        <v>9431</v>
      </c>
      <c r="Q2447" s="823" t="s">
        <v>4881</v>
      </c>
    </row>
    <row r="2448" spans="14:17" ht="15" customHeight="1" x14ac:dyDescent="0.25">
      <c r="N2448" s="822">
        <v>923130</v>
      </c>
      <c r="O2448" s="822" t="s">
        <v>4884</v>
      </c>
      <c r="P2448" s="823">
        <v>9441</v>
      </c>
      <c r="Q2448" s="823" t="s">
        <v>4886</v>
      </c>
    </row>
    <row r="2449" spans="14:17" ht="15" customHeight="1" x14ac:dyDescent="0.25">
      <c r="N2449" s="822">
        <v>923140</v>
      </c>
      <c r="O2449" s="822" t="s">
        <v>4888</v>
      </c>
      <c r="P2449" s="823">
        <v>9451</v>
      </c>
      <c r="Q2449" s="823" t="s">
        <v>4888</v>
      </c>
    </row>
    <row r="2450" spans="14:17" ht="15" customHeight="1" x14ac:dyDescent="0.25">
      <c r="N2450" s="822">
        <v>924110</v>
      </c>
      <c r="O2450" s="822" t="s">
        <v>4891</v>
      </c>
      <c r="P2450" s="823">
        <v>9511</v>
      </c>
      <c r="Q2450" s="823" t="s">
        <v>4893</v>
      </c>
    </row>
    <row r="2451" spans="14:17" ht="15" customHeight="1" x14ac:dyDescent="0.25">
      <c r="N2451" s="822">
        <v>924120</v>
      </c>
      <c r="O2451" s="822" t="s">
        <v>4895</v>
      </c>
      <c r="P2451" s="823">
        <v>9512</v>
      </c>
      <c r="Q2451" s="823" t="s">
        <v>4897</v>
      </c>
    </row>
    <row r="2452" spans="14:17" ht="15" customHeight="1" x14ac:dyDescent="0.25">
      <c r="N2452" s="822">
        <v>925110</v>
      </c>
      <c r="O2452" s="822" t="s">
        <v>4899</v>
      </c>
      <c r="P2452" s="823">
        <v>9531</v>
      </c>
      <c r="Q2452" s="823" t="s">
        <v>4901</v>
      </c>
    </row>
    <row r="2453" spans="14:17" ht="15" customHeight="1" x14ac:dyDescent="0.25">
      <c r="N2453" s="822">
        <v>925120</v>
      </c>
      <c r="O2453" s="822" t="s">
        <v>4903</v>
      </c>
      <c r="P2453" s="823">
        <v>9532</v>
      </c>
      <c r="Q2453" s="823" t="s">
        <v>4905</v>
      </c>
    </row>
    <row r="2454" spans="14:17" ht="15" customHeight="1" x14ac:dyDescent="0.25">
      <c r="N2454" s="822">
        <v>926110</v>
      </c>
      <c r="O2454" s="822" t="s">
        <v>4907</v>
      </c>
      <c r="P2454" s="823">
        <v>9611</v>
      </c>
      <c r="Q2454" s="823" t="s">
        <v>4907</v>
      </c>
    </row>
    <row r="2455" spans="14:17" ht="15" customHeight="1" x14ac:dyDescent="0.25">
      <c r="N2455" s="822">
        <v>926120</v>
      </c>
      <c r="O2455" s="822" t="s">
        <v>4910</v>
      </c>
      <c r="P2455" s="823">
        <v>9621</v>
      </c>
      <c r="Q2455" s="823" t="s">
        <v>3701</v>
      </c>
    </row>
    <row r="2456" spans="14:17" ht="15" customHeight="1" x14ac:dyDescent="0.25">
      <c r="N2456" s="822">
        <v>926130</v>
      </c>
      <c r="O2456" s="822" t="s">
        <v>4912</v>
      </c>
      <c r="P2456" s="823">
        <v>9631</v>
      </c>
      <c r="Q2456" s="823" t="s">
        <v>4914</v>
      </c>
    </row>
    <row r="2457" spans="14:17" ht="15" customHeight="1" x14ac:dyDescent="0.25">
      <c r="N2457" s="822">
        <v>926140</v>
      </c>
      <c r="O2457" s="822" t="s">
        <v>4916</v>
      </c>
      <c r="P2457" s="823">
        <v>9641</v>
      </c>
      <c r="Q2457" s="823" t="s">
        <v>4918</v>
      </c>
    </row>
    <row r="2458" spans="14:17" ht="15" customHeight="1" x14ac:dyDescent="0.25">
      <c r="N2458" s="822">
        <v>926150</v>
      </c>
      <c r="O2458" s="822" t="s">
        <v>4920</v>
      </c>
      <c r="P2458" s="823">
        <v>9651</v>
      </c>
      <c r="Q2458" s="823" t="s">
        <v>4922</v>
      </c>
    </row>
    <row r="2459" spans="14:17" ht="15" customHeight="1" x14ac:dyDescent="0.25">
      <c r="N2459" s="822">
        <v>927110</v>
      </c>
      <c r="O2459" s="822" t="s">
        <v>4924</v>
      </c>
      <c r="P2459" s="823">
        <v>9661</v>
      </c>
      <c r="Q2459" s="823" t="s">
        <v>4924</v>
      </c>
    </row>
    <row r="2460" spans="14:17" ht="15" customHeight="1" x14ac:dyDescent="0.25">
      <c r="N2460" s="822">
        <v>928110</v>
      </c>
      <c r="O2460" s="822" t="s">
        <v>4927</v>
      </c>
      <c r="P2460" s="823">
        <v>9711</v>
      </c>
      <c r="Q2460" s="823" t="s">
        <v>4927</v>
      </c>
    </row>
    <row r="2461" spans="14:17" ht="15" customHeight="1" x14ac:dyDescent="0.25">
      <c r="N2461" s="822">
        <v>928120</v>
      </c>
      <c r="O2461" s="822" t="s">
        <v>4930</v>
      </c>
      <c r="P2461" s="823">
        <v>9721</v>
      </c>
      <c r="Q2461" s="823" t="s">
        <v>4930</v>
      </c>
    </row>
  </sheetData>
  <sheetProtection autoFilter="0"/>
  <autoFilter ref="B1:J2404" xr:uid="{00000000-0009-0000-0000-00000A000000}"/>
  <printOptions horizontalCentered="1"/>
  <pageMargins left="0.2" right="0.2" top="0.75" bottom="0.75" header="0.3" footer="0.3"/>
  <pageSetup scale="47" fitToHeight="10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1">
    <pageSetUpPr fitToPage="1"/>
  </sheetPr>
  <dimension ref="A1:AU484"/>
  <sheetViews>
    <sheetView showGridLines="0" topLeftCell="B1" zoomScaleNormal="100" workbookViewId="0">
      <pane ySplit="3" topLeftCell="A4" activePane="bottomLeft" state="frozen"/>
      <selection activeCell="N25" sqref="N25:P25"/>
      <selection pane="bottomLeft" activeCell="C7" sqref="C7"/>
    </sheetView>
  </sheetViews>
  <sheetFormatPr defaultColWidth="9.140625" defaultRowHeight="15" x14ac:dyDescent="0.25"/>
  <cols>
    <col min="1" max="1" width="4.140625" style="44" hidden="1" customWidth="1"/>
    <col min="2" max="2" width="21" style="56" customWidth="1"/>
    <col min="3" max="3" width="27" style="56" customWidth="1"/>
    <col min="4" max="4" width="25.85546875" style="56" customWidth="1"/>
    <col min="5" max="5" width="27.85546875" style="56" bestFit="1" customWidth="1"/>
    <col min="6" max="6" width="19.28515625" style="56" customWidth="1"/>
    <col min="7" max="7" width="13.28515625" style="56" customWidth="1"/>
    <col min="8" max="8" width="21.5703125" style="56" bestFit="1" customWidth="1"/>
    <col min="9" max="9" width="16.85546875" style="56" customWidth="1"/>
    <col min="10" max="10" width="13.85546875" style="56" customWidth="1"/>
    <col min="11" max="11" width="15.140625" style="56" customWidth="1"/>
    <col min="12" max="12" width="15.28515625" style="56" customWidth="1"/>
    <col min="13" max="13" width="15.7109375" style="56" customWidth="1"/>
    <col min="14" max="14" width="16.42578125" style="56" customWidth="1"/>
    <col min="15" max="15" width="16" style="56" customWidth="1"/>
    <col min="16" max="17" width="14.140625" style="56" customWidth="1"/>
    <col min="18" max="18" width="22.140625" style="57" customWidth="1"/>
    <col min="19" max="19" width="23.5703125" style="56" customWidth="1"/>
    <col min="20" max="20" width="10.42578125" style="56" bestFit="1" customWidth="1"/>
    <col min="21" max="21" width="33.85546875" style="56" customWidth="1"/>
    <col min="22" max="22" width="15.85546875" style="56" customWidth="1"/>
    <col min="23" max="23" width="13.42578125" style="58" customWidth="1"/>
    <col min="24" max="24" width="14.5703125" style="58" customWidth="1"/>
    <col min="25" max="25" width="13.28515625" style="58" customWidth="1"/>
    <col min="26" max="26" width="12.85546875" style="58" customWidth="1"/>
    <col min="27" max="27" width="10.42578125" style="56" customWidth="1"/>
    <col min="28" max="28" width="10.140625" style="48" customWidth="1"/>
    <col min="29" max="16384" width="9.140625" style="48"/>
  </cols>
  <sheetData>
    <row r="1" spans="1:27" x14ac:dyDescent="0.25">
      <c r="B1" s="45" t="s">
        <v>5809</v>
      </c>
      <c r="C1" s="46"/>
      <c r="D1" s="46"/>
      <c r="E1" s="46"/>
      <c r="F1" s="46"/>
      <c r="G1" s="46"/>
      <c r="H1" s="46"/>
      <c r="I1" s="46"/>
      <c r="J1" s="46"/>
      <c r="K1" s="46"/>
      <c r="L1" s="46"/>
      <c r="M1" s="46"/>
      <c r="N1" s="46"/>
      <c r="O1" s="46"/>
      <c r="P1" s="46"/>
      <c r="Q1" s="46"/>
      <c r="R1" s="47"/>
      <c r="S1" s="46"/>
      <c r="T1" s="46"/>
      <c r="U1" s="46"/>
      <c r="V1" s="46"/>
      <c r="W1" s="46"/>
      <c r="X1" s="46"/>
      <c r="Y1" s="46"/>
      <c r="Z1" s="46"/>
      <c r="AA1" s="48"/>
    </row>
    <row r="2" spans="1:27" ht="15.75" thickBot="1" x14ac:dyDescent="0.3">
      <c r="B2" s="49" t="s">
        <v>5808</v>
      </c>
      <c r="C2" s="50"/>
      <c r="D2" s="50"/>
      <c r="E2" s="50"/>
      <c r="F2" s="50"/>
      <c r="G2" s="50"/>
      <c r="H2" s="50"/>
      <c r="I2" s="50"/>
      <c r="J2" s="50"/>
      <c r="K2" s="50"/>
      <c r="L2" s="50"/>
      <c r="M2" s="50"/>
      <c r="N2" s="50"/>
      <c r="O2" s="50"/>
      <c r="P2" s="50"/>
      <c r="Q2" s="50"/>
      <c r="R2" s="51"/>
      <c r="S2" s="50"/>
      <c r="T2" s="50"/>
      <c r="U2" s="50"/>
      <c r="V2" s="50"/>
      <c r="W2" s="50"/>
      <c r="X2" s="50"/>
      <c r="Y2" s="50"/>
      <c r="Z2" s="50"/>
      <c r="AA2" s="48"/>
    </row>
    <row r="3" spans="1:27" x14ac:dyDescent="0.25">
      <c r="B3" s="52" t="s">
        <v>63</v>
      </c>
      <c r="C3" s="52"/>
      <c r="D3" s="52"/>
      <c r="E3" s="52"/>
      <c r="F3" s="52"/>
      <c r="G3" s="52"/>
      <c r="H3" s="52"/>
      <c r="I3" s="52"/>
      <c r="J3" s="52"/>
      <c r="K3" s="52"/>
      <c r="L3" s="52"/>
      <c r="M3" s="52"/>
      <c r="N3" s="52"/>
      <c r="O3" s="52"/>
      <c r="P3" s="52"/>
      <c r="Q3" s="52"/>
      <c r="R3" s="53"/>
      <c r="S3" s="52"/>
      <c r="T3" s="52"/>
      <c r="U3" s="52"/>
      <c r="V3" s="52"/>
      <c r="W3" s="52"/>
      <c r="X3" s="52"/>
      <c r="Y3" s="52"/>
      <c r="Z3" s="52"/>
      <c r="AA3" s="48"/>
    </row>
    <row r="4" spans="1:27" ht="15.75" thickBot="1" x14ac:dyDescent="0.3">
      <c r="B4" s="54"/>
      <c r="C4" s="54"/>
      <c r="D4" s="55"/>
      <c r="E4" s="55"/>
      <c r="F4" s="55"/>
      <c r="AA4" s="48"/>
    </row>
    <row r="5" spans="1:27" ht="15.75" x14ac:dyDescent="0.25">
      <c r="A5" s="44">
        <v>1</v>
      </c>
      <c r="B5" s="59" t="s">
        <v>64</v>
      </c>
      <c r="C5" s="60"/>
      <c r="D5" s="61"/>
      <c r="E5" s="61"/>
      <c r="F5" s="62"/>
      <c r="G5" s="55"/>
      <c r="H5" s="59" t="s">
        <v>65</v>
      </c>
      <c r="I5" s="61"/>
      <c r="J5" s="61"/>
      <c r="K5" s="63"/>
      <c r="M5" s="59" t="s">
        <v>66</v>
      </c>
      <c r="N5" s="64"/>
      <c r="O5" s="64"/>
      <c r="P5" s="64"/>
      <c r="Q5" s="64"/>
      <c r="R5" s="65"/>
      <c r="S5" s="66"/>
      <c r="T5" s="66"/>
      <c r="U5" s="66"/>
      <c r="V5" s="66"/>
      <c r="W5" s="66"/>
      <c r="AA5" s="48"/>
    </row>
    <row r="6" spans="1:27" ht="15.75" x14ac:dyDescent="0.25">
      <c r="A6" s="44">
        <v>1</v>
      </c>
      <c r="B6" s="67" t="s">
        <v>67</v>
      </c>
      <c r="C6" s="68" t="s">
        <v>7116</v>
      </c>
      <c r="D6" s="55"/>
      <c r="E6" s="55"/>
      <c r="F6" s="69" t="s">
        <v>68</v>
      </c>
      <c r="G6" s="55"/>
      <c r="H6" s="70"/>
      <c r="I6" s="55"/>
      <c r="J6" s="55"/>
      <c r="K6" s="71"/>
      <c r="M6" s="72"/>
      <c r="N6" s="73"/>
      <c r="O6" s="73"/>
      <c r="P6" s="73"/>
      <c r="Q6" s="73"/>
      <c r="R6" s="74"/>
      <c r="S6" s="66"/>
      <c r="T6" s="66"/>
      <c r="U6" s="66"/>
      <c r="V6" s="66"/>
      <c r="W6" s="66"/>
      <c r="AA6" s="48"/>
    </row>
    <row r="7" spans="1:27" ht="15.75" x14ac:dyDescent="0.25">
      <c r="A7" s="44">
        <v>1</v>
      </c>
      <c r="B7" s="67" t="s">
        <v>69</v>
      </c>
      <c r="C7" s="68"/>
      <c r="D7" s="75" t="s">
        <v>70</v>
      </c>
      <c r="E7" s="76" t="s">
        <v>7122</v>
      </c>
      <c r="F7" s="77"/>
      <c r="G7" s="58"/>
      <c r="H7" s="78" t="s">
        <v>71</v>
      </c>
      <c r="I7" s="84" t="s">
        <v>7117</v>
      </c>
      <c r="J7" s="79"/>
      <c r="K7" s="71"/>
      <c r="M7" s="80" t="s">
        <v>72</v>
      </c>
      <c r="N7" s="226">
        <v>1</v>
      </c>
      <c r="O7" s="73"/>
      <c r="P7" s="73"/>
      <c r="Q7" s="81"/>
      <c r="R7" s="77"/>
      <c r="S7" s="66"/>
      <c r="T7" s="66"/>
      <c r="U7" s="66"/>
      <c r="V7" s="66"/>
      <c r="W7" s="66"/>
      <c r="AA7" s="48"/>
    </row>
    <row r="8" spans="1:27" ht="15.75" x14ac:dyDescent="0.25">
      <c r="A8" s="44">
        <v>1</v>
      </c>
      <c r="B8" s="67" t="s">
        <v>73</v>
      </c>
      <c r="C8" s="82">
        <v>43744</v>
      </c>
      <c r="D8" s="83" t="s">
        <v>58</v>
      </c>
      <c r="E8" s="84">
        <v>445110</v>
      </c>
      <c r="F8" s="85"/>
      <c r="G8" s="58"/>
      <c r="H8" s="67" t="s">
        <v>74</v>
      </c>
      <c r="I8" s="76" t="s">
        <v>5557</v>
      </c>
      <c r="J8" s="86"/>
      <c r="K8" s="71"/>
      <c r="M8" s="80" t="s">
        <v>75</v>
      </c>
      <c r="N8" s="84" t="s">
        <v>7098</v>
      </c>
      <c r="O8" s="73"/>
      <c r="P8" s="73"/>
      <c r="Q8" s="87"/>
      <c r="R8" s="77"/>
      <c r="S8" s="66"/>
      <c r="T8" s="66"/>
      <c r="U8" s="66"/>
      <c r="V8" s="66"/>
      <c r="W8" s="66"/>
      <c r="AA8" s="48"/>
    </row>
    <row r="9" spans="1:27" ht="15.75" x14ac:dyDescent="0.25">
      <c r="A9" s="44">
        <v>1</v>
      </c>
      <c r="B9" s="67" t="s">
        <v>76</v>
      </c>
      <c r="C9" s="76">
        <v>5</v>
      </c>
      <c r="D9" s="83" t="s">
        <v>60</v>
      </c>
      <c r="E9" s="84">
        <v>5411</v>
      </c>
      <c r="F9" s="85"/>
      <c r="G9" s="58"/>
      <c r="H9" s="67" t="s">
        <v>77</v>
      </c>
      <c r="I9" s="76" t="s">
        <v>5176</v>
      </c>
      <c r="J9" s="86"/>
      <c r="K9" s="71"/>
      <c r="M9" s="80" t="s">
        <v>78</v>
      </c>
      <c r="N9" s="84" t="s">
        <v>7124</v>
      </c>
      <c r="O9" s="73"/>
      <c r="P9" s="73"/>
      <c r="Q9" s="87"/>
      <c r="R9" s="77"/>
      <c r="S9" s="66"/>
      <c r="T9" s="66"/>
      <c r="U9" s="66"/>
      <c r="V9" s="66"/>
      <c r="W9" s="66"/>
      <c r="AA9" s="48"/>
    </row>
    <row r="10" spans="1:27" ht="16.5" thickBot="1" x14ac:dyDescent="0.3">
      <c r="A10" s="44">
        <v>1</v>
      </c>
      <c r="B10" s="67" t="s">
        <v>79</v>
      </c>
      <c r="C10" s="68" t="s">
        <v>7111</v>
      </c>
      <c r="D10" s="75" t="s">
        <v>62</v>
      </c>
      <c r="E10" s="88">
        <v>0.15</v>
      </c>
      <c r="F10" s="71"/>
      <c r="G10" s="73"/>
      <c r="H10" s="67" t="s">
        <v>80</v>
      </c>
      <c r="I10" s="798">
        <v>43759</v>
      </c>
      <c r="J10" s="86"/>
      <c r="K10" s="71"/>
      <c r="M10" s="89" t="s">
        <v>81</v>
      </c>
      <c r="N10" s="90">
        <v>90650</v>
      </c>
      <c r="O10" s="91"/>
      <c r="P10" s="91"/>
      <c r="Q10" s="92"/>
      <c r="R10" s="93"/>
      <c r="S10" s="66"/>
      <c r="T10" s="66"/>
      <c r="U10" s="66"/>
      <c r="V10" s="66"/>
      <c r="W10" s="66"/>
      <c r="AA10" s="48"/>
    </row>
    <row r="11" spans="1:27" ht="15.75" x14ac:dyDescent="0.25">
      <c r="A11" s="44">
        <v>1</v>
      </c>
      <c r="B11" s="67" t="s">
        <v>82</v>
      </c>
      <c r="C11" s="86" t="s">
        <v>7114</v>
      </c>
      <c r="D11" s="75" t="s">
        <v>83</v>
      </c>
      <c r="E11" s="68" t="s">
        <v>7101</v>
      </c>
      <c r="F11" s="71"/>
      <c r="G11" s="58"/>
      <c r="H11" s="67" t="s">
        <v>84</v>
      </c>
      <c r="I11" s="799"/>
      <c r="J11" s="86"/>
      <c r="K11" s="71"/>
      <c r="L11" s="73"/>
      <c r="M11" s="73"/>
      <c r="N11" s="73"/>
      <c r="O11" s="73"/>
      <c r="Q11" s="94"/>
      <c r="R11" s="95"/>
      <c r="S11" s="96"/>
      <c r="T11" s="96"/>
      <c r="U11" s="96"/>
      <c r="V11" s="73"/>
      <c r="W11" s="73"/>
      <c r="AA11" s="48"/>
    </row>
    <row r="12" spans="1:27" x14ac:dyDescent="0.25">
      <c r="A12" s="44">
        <v>1</v>
      </c>
      <c r="B12" s="67" t="s">
        <v>75</v>
      </c>
      <c r="C12" s="86" t="s">
        <v>7098</v>
      </c>
      <c r="D12" s="75" t="s">
        <v>85</v>
      </c>
      <c r="E12" s="795" t="s">
        <v>7123</v>
      </c>
      <c r="F12" s="71"/>
      <c r="G12" s="58"/>
      <c r="H12" s="67" t="s">
        <v>86</v>
      </c>
      <c r="I12" s="800"/>
      <c r="J12" s="86"/>
      <c r="K12" s="71"/>
      <c r="L12" s="73"/>
      <c r="M12" s="73"/>
      <c r="N12" s="73"/>
      <c r="O12" s="73"/>
      <c r="Q12" s="97"/>
      <c r="R12" s="58"/>
      <c r="S12" s="98"/>
      <c r="T12" s="98"/>
      <c r="U12" s="73"/>
      <c r="V12" s="73"/>
      <c r="W12" s="73"/>
      <c r="AA12" s="48"/>
    </row>
    <row r="13" spans="1:27" x14ac:dyDescent="0.25">
      <c r="A13" s="44">
        <v>1</v>
      </c>
      <c r="B13" s="67"/>
      <c r="C13" s="86" t="s">
        <v>7121</v>
      </c>
      <c r="D13" s="75" t="s">
        <v>87</v>
      </c>
      <c r="E13" s="797" t="s">
        <v>411</v>
      </c>
      <c r="F13" s="71"/>
      <c r="G13" s="73"/>
      <c r="H13" s="67" t="s">
        <v>88</v>
      </c>
      <c r="I13" s="821"/>
      <c r="J13" s="86"/>
      <c r="K13" s="71"/>
      <c r="L13" s="73"/>
      <c r="M13" s="73"/>
      <c r="N13" s="73"/>
      <c r="O13" s="73"/>
      <c r="Q13" s="99"/>
      <c r="R13" s="86"/>
      <c r="S13" s="86"/>
      <c r="T13" s="86"/>
      <c r="U13" s="58"/>
      <c r="V13" s="73"/>
      <c r="W13" s="73"/>
      <c r="AA13" s="48"/>
    </row>
    <row r="14" spans="1:27" x14ac:dyDescent="0.25">
      <c r="A14" s="44">
        <v>1</v>
      </c>
      <c r="B14" s="100"/>
      <c r="C14" s="86"/>
      <c r="D14" s="75" t="s">
        <v>89</v>
      </c>
      <c r="E14" s="86" t="s">
        <v>958</v>
      </c>
      <c r="F14" s="71"/>
      <c r="H14" s="80" t="s">
        <v>90</v>
      </c>
      <c r="I14" s="76">
        <v>6</v>
      </c>
      <c r="J14" s="98"/>
      <c r="K14" s="101"/>
      <c r="L14" s="58"/>
      <c r="M14" s="58"/>
      <c r="N14" s="73"/>
      <c r="O14" s="73"/>
      <c r="Q14" s="73"/>
      <c r="R14" s="86"/>
      <c r="S14" s="86"/>
      <c r="T14" s="98"/>
      <c r="U14" s="102"/>
      <c r="V14" s="73"/>
      <c r="W14" s="73"/>
      <c r="AA14" s="48"/>
    </row>
    <row r="15" spans="1:27" ht="15.75" thickBot="1" x14ac:dyDescent="0.3">
      <c r="A15" s="44">
        <v>1</v>
      </c>
      <c r="B15" s="67" t="s">
        <v>91</v>
      </c>
      <c r="C15" s="82">
        <v>44110</v>
      </c>
      <c r="D15" s="86"/>
      <c r="E15" s="75"/>
      <c r="F15" s="77"/>
      <c r="G15" s="103"/>
      <c r="H15" s="104" t="s">
        <v>92</v>
      </c>
      <c r="I15" s="227" t="s">
        <v>7112</v>
      </c>
      <c r="J15" s="105"/>
      <c r="K15" s="93"/>
      <c r="L15" s="106"/>
      <c r="M15" s="96"/>
      <c r="N15" s="102"/>
      <c r="O15" s="73"/>
      <c r="Q15" s="73"/>
      <c r="R15" s="58"/>
      <c r="S15" s="106"/>
      <c r="T15" s="73"/>
      <c r="U15" s="102"/>
      <c r="V15" s="73"/>
      <c r="W15" s="73"/>
      <c r="AA15" s="48"/>
    </row>
    <row r="16" spans="1:27" x14ac:dyDescent="0.25">
      <c r="A16" s="44">
        <v>1</v>
      </c>
      <c r="B16" s="67" t="s">
        <v>93</v>
      </c>
      <c r="C16" s="76" t="s">
        <v>5531</v>
      </c>
      <c r="D16" s="75" t="s">
        <v>94</v>
      </c>
      <c r="E16" s="76"/>
      <c r="F16" s="71"/>
      <c r="G16" s="103"/>
      <c r="H16" s="107"/>
      <c r="I16" s="58"/>
      <c r="K16" s="73"/>
      <c r="L16" s="106"/>
      <c r="M16" s="96"/>
      <c r="N16" s="108"/>
      <c r="O16" s="73"/>
      <c r="Q16" s="58"/>
      <c r="R16" s="58"/>
      <c r="S16" s="106"/>
      <c r="T16" s="73"/>
      <c r="U16" s="108"/>
      <c r="V16" s="73"/>
      <c r="W16" s="73"/>
      <c r="AA16" s="48"/>
    </row>
    <row r="17" spans="1:31" x14ac:dyDescent="0.25">
      <c r="A17" s="44">
        <v>1</v>
      </c>
      <c r="B17" s="67" t="s">
        <v>95</v>
      </c>
      <c r="C17" s="793">
        <v>50326</v>
      </c>
      <c r="D17" s="75" t="s">
        <v>96</v>
      </c>
      <c r="E17" s="86" t="s">
        <v>7096</v>
      </c>
      <c r="F17" s="71"/>
      <c r="G17" s="103"/>
      <c r="H17" s="107"/>
      <c r="I17" s="58"/>
      <c r="K17" s="73"/>
      <c r="L17" s="106"/>
      <c r="M17" s="96"/>
      <c r="N17" s="108"/>
      <c r="O17" s="73"/>
      <c r="Q17" s="58"/>
      <c r="R17" s="58"/>
      <c r="S17" s="106"/>
      <c r="T17" s="73"/>
      <c r="U17" s="108"/>
      <c r="V17" s="73"/>
      <c r="W17" s="73"/>
      <c r="AA17" s="48"/>
    </row>
    <row r="18" spans="1:31" ht="15.75" thickBot="1" x14ac:dyDescent="0.3">
      <c r="A18" s="44">
        <v>1</v>
      </c>
      <c r="B18" s="104" t="s">
        <v>97</v>
      </c>
      <c r="C18" s="794"/>
      <c r="D18" s="109" t="s">
        <v>98</v>
      </c>
      <c r="E18" s="105" t="s">
        <v>5556</v>
      </c>
      <c r="F18" s="110"/>
      <c r="G18" s="103"/>
      <c r="H18" s="58"/>
      <c r="I18" s="58"/>
      <c r="K18" s="58"/>
      <c r="L18" s="111"/>
      <c r="M18" s="96"/>
      <c r="N18" s="112"/>
      <c r="O18" s="73"/>
      <c r="Q18" s="58"/>
      <c r="R18" s="58"/>
      <c r="S18" s="111"/>
      <c r="T18" s="73"/>
      <c r="U18" s="112"/>
      <c r="V18" s="73"/>
      <c r="W18" s="73"/>
    </row>
    <row r="19" spans="1:31" ht="15.75" thickBot="1" x14ac:dyDescent="0.3">
      <c r="A19" s="44">
        <v>1</v>
      </c>
      <c r="E19" s="73"/>
      <c r="F19" s="73"/>
    </row>
    <row r="20" spans="1:31" ht="15.75" x14ac:dyDescent="0.25">
      <c r="A20" s="44">
        <f>IF(SUM(A24:A29)&gt;0,1,0)</f>
        <v>1</v>
      </c>
      <c r="B20" s="113" t="s">
        <v>4981</v>
      </c>
      <c r="C20" s="114"/>
      <c r="D20" s="115"/>
      <c r="E20" s="115"/>
      <c r="F20" s="64"/>
      <c r="G20" s="64"/>
      <c r="H20" s="117"/>
      <c r="I20" s="64"/>
      <c r="J20" s="60"/>
      <c r="K20" s="118"/>
      <c r="L20" s="118"/>
      <c r="M20" s="118"/>
      <c r="N20" s="119"/>
      <c r="O20" s="119"/>
      <c r="P20" s="119"/>
      <c r="Q20" s="119"/>
      <c r="R20" s="119"/>
      <c r="S20" s="64"/>
      <c r="T20" s="64"/>
      <c r="U20" s="64"/>
      <c r="V20" s="64"/>
      <c r="W20" s="64"/>
      <c r="X20" s="63"/>
      <c r="Y20" s="73"/>
      <c r="Z20" s="56"/>
      <c r="AA20" s="48"/>
    </row>
    <row r="21" spans="1:31" x14ac:dyDescent="0.25">
      <c r="A21" s="44">
        <f>IF(SUM(A24:A29)&gt;0,1,0)</f>
        <v>1</v>
      </c>
      <c r="B21" s="120" t="s">
        <v>99</v>
      </c>
      <c r="C21" s="669"/>
      <c r="D21" s="58"/>
      <c r="E21" s="58"/>
      <c r="F21" s="73"/>
      <c r="G21" s="73"/>
      <c r="H21" s="73"/>
      <c r="I21" s="73"/>
      <c r="J21" s="121"/>
      <c r="K21" s="121"/>
      <c r="L21" s="121"/>
      <c r="M21" s="121"/>
      <c r="N21" s="58"/>
      <c r="O21" s="58"/>
      <c r="P21" s="58"/>
      <c r="Q21" s="58"/>
      <c r="R21" s="58"/>
      <c r="S21" s="73"/>
      <c r="T21" s="73"/>
      <c r="U21" s="73"/>
      <c r="V21" s="73"/>
      <c r="W21" s="73"/>
      <c r="X21" s="71"/>
      <c r="Y21" s="73"/>
      <c r="Z21" s="56"/>
      <c r="AA21" s="48"/>
    </row>
    <row r="22" spans="1:31" x14ac:dyDescent="0.25">
      <c r="A22" s="44">
        <f>IF(SUM(A24:A29)&gt;0,1,0)</f>
        <v>1</v>
      </c>
      <c r="B22" s="122"/>
      <c r="C22" s="123"/>
      <c r="D22" s="73"/>
      <c r="E22" s="73"/>
      <c r="F22" s="73"/>
      <c r="G22" s="73"/>
      <c r="H22" s="73"/>
      <c r="I22" s="73"/>
      <c r="J22" s="121"/>
      <c r="K22" s="121"/>
      <c r="L22" s="121"/>
      <c r="M22" s="121"/>
      <c r="N22" s="58"/>
      <c r="O22" s="58"/>
      <c r="P22" s="58"/>
      <c r="Q22" s="58"/>
      <c r="R22" s="58"/>
      <c r="S22" s="73"/>
      <c r="T22" s="73"/>
      <c r="U22" s="73"/>
      <c r="V22" s="73"/>
      <c r="W22" s="73"/>
      <c r="X22" s="71"/>
      <c r="Y22" s="73"/>
      <c r="Z22" s="56"/>
      <c r="AA22" s="48"/>
    </row>
    <row r="23" spans="1:31" ht="39" x14ac:dyDescent="0.25">
      <c r="A23" s="44">
        <f>IF(SUM(A24:A29)&gt;0,1,0)</f>
        <v>1</v>
      </c>
      <c r="B23" s="124" t="s">
        <v>100</v>
      </c>
      <c r="C23" s="125" t="s">
        <v>101</v>
      </c>
      <c r="D23" s="126" t="s">
        <v>102</v>
      </c>
      <c r="E23" s="126" t="s">
        <v>103</v>
      </c>
      <c r="F23" s="126" t="s">
        <v>104</v>
      </c>
      <c r="G23" s="125" t="s">
        <v>106</v>
      </c>
      <c r="H23" s="125" t="s">
        <v>107</v>
      </c>
      <c r="I23" s="125" t="s">
        <v>108</v>
      </c>
      <c r="J23" s="125" t="s">
        <v>109</v>
      </c>
      <c r="K23" s="127" t="s">
        <v>110</v>
      </c>
      <c r="L23" s="126" t="s">
        <v>111</v>
      </c>
      <c r="M23" s="125" t="s">
        <v>112</v>
      </c>
      <c r="N23" s="127" t="s">
        <v>113</v>
      </c>
      <c r="O23" s="126" t="s">
        <v>114</v>
      </c>
      <c r="P23" s="125" t="s">
        <v>115</v>
      </c>
      <c r="Q23" s="125" t="s">
        <v>116</v>
      </c>
      <c r="R23" s="126" t="s">
        <v>117</v>
      </c>
      <c r="S23" s="125" t="s">
        <v>118</v>
      </c>
      <c r="T23" s="125" t="s">
        <v>119</v>
      </c>
      <c r="U23" s="126" t="s">
        <v>120</v>
      </c>
      <c r="V23" s="126" t="s">
        <v>121</v>
      </c>
      <c r="W23" s="126" t="s">
        <v>122</v>
      </c>
      <c r="X23" s="128" t="s">
        <v>123</v>
      </c>
      <c r="Y23" s="126"/>
      <c r="Z23" s="129"/>
      <c r="AA23" s="48"/>
    </row>
    <row r="24" spans="1:31" ht="15.75" x14ac:dyDescent="0.25">
      <c r="A24" s="44">
        <f>IF(N24="",0,1)</f>
        <v>1</v>
      </c>
      <c r="B24" s="638" t="s">
        <v>4973</v>
      </c>
      <c r="C24" s="623" t="s">
        <v>5343</v>
      </c>
      <c r="D24" s="632" t="s">
        <v>4977</v>
      </c>
      <c r="E24" s="623" t="s">
        <v>5176</v>
      </c>
      <c r="F24" s="131"/>
      <c r="G24" s="627"/>
      <c r="H24" s="628"/>
      <c r="I24" s="133"/>
      <c r="J24" s="133"/>
      <c r="K24" s="133"/>
      <c r="L24" s="133"/>
      <c r="M24" s="135">
        <v>10000</v>
      </c>
      <c r="N24" s="135">
        <v>1000000</v>
      </c>
      <c r="O24" s="133"/>
      <c r="P24" s="133"/>
      <c r="Q24" s="133"/>
      <c r="R24" s="133"/>
      <c r="S24" s="134"/>
      <c r="T24" s="133"/>
      <c r="U24" s="133"/>
      <c r="V24" s="635" t="s">
        <v>4932</v>
      </c>
      <c r="W24" s="133"/>
      <c r="X24" s="635" t="s">
        <v>4932</v>
      </c>
      <c r="Y24" s="126"/>
      <c r="Z24" s="129"/>
      <c r="AA24" s="48"/>
    </row>
    <row r="25" spans="1:31" ht="15.75" x14ac:dyDescent="0.25">
      <c r="A25" s="44">
        <f t="shared" ref="A25:A29" si="0">IF(N25="",0,1)</f>
        <v>1</v>
      </c>
      <c r="B25" s="638" t="s">
        <v>4973</v>
      </c>
      <c r="C25" s="623" t="s">
        <v>4974</v>
      </c>
      <c r="D25" s="632" t="s">
        <v>4978</v>
      </c>
      <c r="E25" s="623" t="s">
        <v>5176</v>
      </c>
      <c r="F25" s="138"/>
      <c r="G25" s="135" t="s">
        <v>5343</v>
      </c>
      <c r="H25" s="628"/>
      <c r="I25" s="133"/>
      <c r="J25" s="628"/>
      <c r="K25" s="628"/>
      <c r="L25" s="628"/>
      <c r="M25" s="133"/>
      <c r="N25" s="135">
        <v>250000</v>
      </c>
      <c r="O25" s="133"/>
      <c r="P25" s="133"/>
      <c r="Q25" s="133"/>
      <c r="R25" s="133"/>
      <c r="S25" s="134"/>
      <c r="T25" s="133"/>
      <c r="U25" s="133"/>
      <c r="V25" s="635" t="s">
        <v>4932</v>
      </c>
      <c r="W25" s="133"/>
      <c r="X25" s="137"/>
      <c r="Y25" s="126"/>
      <c r="Z25" s="129"/>
      <c r="AA25" s="48"/>
    </row>
    <row r="26" spans="1:31" ht="15.75" x14ac:dyDescent="0.25">
      <c r="A26" s="44">
        <f t="shared" si="0"/>
        <v>1</v>
      </c>
      <c r="B26" s="638" t="s">
        <v>4973</v>
      </c>
      <c r="C26" s="670" t="s">
        <v>4975</v>
      </c>
      <c r="D26" s="633" t="s">
        <v>4979</v>
      </c>
      <c r="E26" s="623" t="s">
        <v>5176</v>
      </c>
      <c r="F26" s="625"/>
      <c r="G26" s="135" t="s">
        <v>5343</v>
      </c>
      <c r="H26" s="628"/>
      <c r="I26" s="628"/>
      <c r="J26" s="628"/>
      <c r="K26" s="628"/>
      <c r="L26" s="628"/>
      <c r="M26" s="628"/>
      <c r="N26" s="627">
        <v>25000</v>
      </c>
      <c r="O26" s="628"/>
      <c r="P26" s="628"/>
      <c r="Q26" s="628"/>
      <c r="R26" s="628"/>
      <c r="S26" s="629"/>
      <c r="T26" s="628"/>
      <c r="U26" s="628"/>
      <c r="V26" s="635" t="s">
        <v>4932</v>
      </c>
      <c r="W26" s="628"/>
      <c r="X26" s="630"/>
      <c r="Y26" s="126"/>
      <c r="Z26" s="129"/>
      <c r="AA26" s="48"/>
    </row>
    <row r="27" spans="1:31" ht="15.75" x14ac:dyDescent="0.25">
      <c r="A27" s="44">
        <f t="shared" si="0"/>
        <v>1</v>
      </c>
      <c r="B27" s="638" t="s">
        <v>4973</v>
      </c>
      <c r="C27" s="623" t="s">
        <v>4976</v>
      </c>
      <c r="D27" s="633" t="s">
        <v>4980</v>
      </c>
      <c r="E27" s="623" t="s">
        <v>5176</v>
      </c>
      <c r="F27" s="625"/>
      <c r="G27" s="135" t="s">
        <v>5343</v>
      </c>
      <c r="H27" s="628"/>
      <c r="I27" s="628"/>
      <c r="J27" s="628"/>
      <c r="K27" s="628"/>
      <c r="L27" s="628"/>
      <c r="M27" s="628"/>
      <c r="N27" s="627">
        <v>25000</v>
      </c>
      <c r="O27" s="628"/>
      <c r="P27" s="628"/>
      <c r="Q27" s="628"/>
      <c r="R27" s="628"/>
      <c r="S27" s="629"/>
      <c r="T27" s="628"/>
      <c r="U27" s="628"/>
      <c r="V27" s="635" t="s">
        <v>4932</v>
      </c>
      <c r="W27" s="628"/>
      <c r="X27" s="630"/>
      <c r="Y27" s="126"/>
      <c r="Z27" s="129"/>
      <c r="AA27" s="48"/>
    </row>
    <row r="28" spans="1:31" ht="15.75" x14ac:dyDescent="0.25">
      <c r="A28" s="44">
        <f t="shared" si="0"/>
        <v>1</v>
      </c>
      <c r="B28" s="638" t="s">
        <v>4973</v>
      </c>
      <c r="C28" s="623" t="s">
        <v>5468</v>
      </c>
      <c r="D28" s="633" t="s">
        <v>414</v>
      </c>
      <c r="E28" s="623" t="s">
        <v>5176</v>
      </c>
      <c r="F28" s="625"/>
      <c r="G28" s="627" t="s">
        <v>4933</v>
      </c>
      <c r="H28" s="628"/>
      <c r="I28" s="628"/>
      <c r="J28" s="628"/>
      <c r="K28" s="628"/>
      <c r="L28" s="628"/>
      <c r="M28" s="628"/>
      <c r="N28" s="627">
        <v>1000000</v>
      </c>
      <c r="O28" s="628"/>
      <c r="P28" s="628"/>
      <c r="Q28" s="628"/>
      <c r="R28" s="628"/>
      <c r="S28" s="629"/>
      <c r="T28" s="628"/>
      <c r="U28" s="628"/>
      <c r="V28" s="635" t="s">
        <v>4932</v>
      </c>
      <c r="W28" s="628"/>
      <c r="X28" s="630"/>
      <c r="Y28" s="126"/>
      <c r="Z28" s="129"/>
      <c r="AA28" s="48"/>
    </row>
    <row r="29" spans="1:31" ht="16.5" thickBot="1" x14ac:dyDescent="0.3">
      <c r="A29" s="44">
        <f t="shared" si="0"/>
        <v>1</v>
      </c>
      <c r="B29" s="638" t="s">
        <v>4973</v>
      </c>
      <c r="C29" s="623" t="s">
        <v>5344</v>
      </c>
      <c r="D29" s="633" t="s">
        <v>409</v>
      </c>
      <c r="E29" s="623" t="s">
        <v>5176</v>
      </c>
      <c r="F29" s="625"/>
      <c r="G29" s="627"/>
      <c r="H29" s="628"/>
      <c r="I29" s="628"/>
      <c r="J29" s="628"/>
      <c r="K29" s="628"/>
      <c r="L29" s="628"/>
      <c r="M29" s="628"/>
      <c r="N29" s="627">
        <v>0</v>
      </c>
      <c r="O29" s="628"/>
      <c r="P29" s="628"/>
      <c r="Q29" s="628"/>
      <c r="R29" s="628"/>
      <c r="S29" s="629"/>
      <c r="T29" s="628"/>
      <c r="U29" s="628"/>
      <c r="V29" s="635" t="s">
        <v>4932</v>
      </c>
      <c r="W29" s="628"/>
      <c r="X29" s="630"/>
      <c r="Y29" s="126"/>
      <c r="Z29" s="129"/>
      <c r="AA29" s="48"/>
    </row>
    <row r="30" spans="1:31" ht="15.75" x14ac:dyDescent="0.25">
      <c r="A30" s="44">
        <f ca="1">IF(SUM(A32:A43)&gt;0,1,0)</f>
        <v>1</v>
      </c>
      <c r="B30" s="145" t="s">
        <v>124</v>
      </c>
      <c r="C30" s="146" t="s">
        <v>6054</v>
      </c>
      <c r="D30" s="147" t="str">
        <f>IF(ISNA(VLOOKUP(st,Lookups!$B:$C,2,FALSE)),"",VLOOKUP(st,Lookups!$B:$C,2,FALSE))</f>
        <v>04</v>
      </c>
      <c r="E30" s="64" t="s">
        <v>6045</v>
      </c>
      <c r="F30" s="148"/>
      <c r="G30" s="146"/>
      <c r="H30" s="149"/>
      <c r="I30" s="150"/>
      <c r="J30" s="151"/>
      <c r="K30" s="152"/>
      <c r="L30" s="153"/>
      <c r="M30" s="119"/>
      <c r="N30" s="119"/>
      <c r="O30" s="119"/>
      <c r="P30" s="119"/>
      <c r="Q30" s="119"/>
      <c r="R30" s="119"/>
      <c r="S30" s="119"/>
      <c r="T30" s="119"/>
      <c r="U30" s="119"/>
      <c r="V30" s="64"/>
      <c r="W30" s="64"/>
      <c r="X30" s="64"/>
      <c r="Y30" s="901">
        <f>PRODUCT(Rater!V53:V89)</f>
        <v>1.6584785668316437</v>
      </c>
      <c r="Z30" s="64"/>
      <c r="AA30" s="64"/>
      <c r="AB30" s="119"/>
      <c r="AC30" s="119"/>
      <c r="AD30" s="64"/>
      <c r="AE30" s="732"/>
    </row>
    <row r="31" spans="1:31" ht="26.25" x14ac:dyDescent="0.25">
      <c r="A31" s="44">
        <f ca="1">IF(SUM(A32:A43)&gt;0,1,0)</f>
        <v>1</v>
      </c>
      <c r="B31" s="154" t="s">
        <v>100</v>
      </c>
      <c r="C31" s="125" t="s">
        <v>125</v>
      </c>
      <c r="D31" s="155" t="s">
        <v>126</v>
      </c>
      <c r="E31" s="125" t="s">
        <v>102</v>
      </c>
      <c r="F31" s="156" t="s">
        <v>127</v>
      </c>
      <c r="G31" s="125" t="s">
        <v>128</v>
      </c>
      <c r="H31" s="126" t="s">
        <v>129</v>
      </c>
      <c r="I31" s="125" t="s">
        <v>6038</v>
      </c>
      <c r="J31" s="126" t="s">
        <v>130</v>
      </c>
      <c r="K31" s="125" t="s">
        <v>131</v>
      </c>
      <c r="L31" s="125" t="s">
        <v>5333</v>
      </c>
      <c r="M31" s="125" t="s">
        <v>132</v>
      </c>
      <c r="N31" s="125" t="s">
        <v>133</v>
      </c>
      <c r="O31" s="125" t="s">
        <v>5199</v>
      </c>
      <c r="P31" s="125" t="s">
        <v>6035</v>
      </c>
      <c r="Q31" s="125" t="s">
        <v>5478</v>
      </c>
      <c r="R31" s="125" t="s">
        <v>134</v>
      </c>
      <c r="S31" s="125" t="s">
        <v>135</v>
      </c>
      <c r="T31" s="126" t="s">
        <v>113</v>
      </c>
      <c r="U31" s="125" t="s">
        <v>136</v>
      </c>
      <c r="V31" s="125" t="s">
        <v>137</v>
      </c>
      <c r="W31" s="125" t="s">
        <v>138</v>
      </c>
      <c r="X31" s="126" t="s">
        <v>139</v>
      </c>
      <c r="Y31" s="126" t="s">
        <v>140</v>
      </c>
      <c r="Z31" s="126" t="s">
        <v>141</v>
      </c>
      <c r="AA31" s="126" t="s">
        <v>142</v>
      </c>
      <c r="AB31" s="126" t="s">
        <v>143</v>
      </c>
      <c r="AC31" s="126" t="s">
        <v>144</v>
      </c>
      <c r="AD31" s="126" t="s">
        <v>145</v>
      </c>
      <c r="AE31" s="128" t="s">
        <v>5128</v>
      </c>
    </row>
    <row r="32" spans="1:31" ht="15.75" x14ac:dyDescent="0.25">
      <c r="A32" s="44">
        <f t="shared" ref="A32:A37" ca="1" si="1">IF(AD32="",0,1)</f>
        <v>1</v>
      </c>
      <c r="B32" s="157" t="s">
        <v>4973</v>
      </c>
      <c r="C32" s="158" t="s">
        <v>5008</v>
      </c>
      <c r="D32" s="158" t="s">
        <v>5010</v>
      </c>
      <c r="E32" s="159" t="s">
        <v>5009</v>
      </c>
      <c r="F32" s="159">
        <v>33309</v>
      </c>
      <c r="G32" s="831" t="s">
        <v>5069</v>
      </c>
      <c r="H32" s="160" t="s">
        <v>5011</v>
      </c>
      <c r="I32" s="161">
        <v>10</v>
      </c>
      <c r="J32" s="162">
        <v>1</v>
      </c>
      <c r="K32" s="163">
        <v>1</v>
      </c>
      <c r="L32" s="726">
        <v>8</v>
      </c>
      <c r="M32" s="164">
        <v>18</v>
      </c>
      <c r="N32" s="164">
        <v>2</v>
      </c>
      <c r="O32" s="728">
        <v>2</v>
      </c>
      <c r="P32" s="728">
        <v>8000</v>
      </c>
      <c r="Q32" s="891" t="s">
        <v>6036</v>
      </c>
      <c r="R32" s="133"/>
      <c r="S32" s="161"/>
      <c r="T32" s="161"/>
      <c r="U32" s="140"/>
      <c r="V32" s="161"/>
      <c r="W32" s="133"/>
      <c r="X32" s="161">
        <v>1</v>
      </c>
      <c r="Y32" s="898" t="s">
        <v>7125</v>
      </c>
      <c r="Z32" s="161">
        <v>100</v>
      </c>
      <c r="AA32" s="133"/>
      <c r="AB32" s="840">
        <v>0.15</v>
      </c>
      <c r="AC32" s="165">
        <f ca="1">Rater!X100*PRODUCT(Rater!V102:V109)*IF(Rater!X30=FALSE,1,Rater!$V$51)</f>
        <v>4593.1232212689001</v>
      </c>
      <c r="AD32" s="783">
        <f ca="1">Rater!X100*PRODUCT(Rater!V102:V109)*IF(Rater!X30=FALSE,1,Rater!$V$51)</f>
        <v>4593.1232212689001</v>
      </c>
      <c r="AE32" s="827" t="s">
        <v>5027</v>
      </c>
    </row>
    <row r="33" spans="1:31" ht="15.75" x14ac:dyDescent="0.25">
      <c r="A33" s="44">
        <f t="shared" ca="1" si="1"/>
        <v>1</v>
      </c>
      <c r="B33" s="157" t="s">
        <v>4973</v>
      </c>
      <c r="C33" s="158" t="s">
        <v>5200</v>
      </c>
      <c r="D33" s="158" t="s">
        <v>5010</v>
      </c>
      <c r="E33" s="159" t="s">
        <v>4978</v>
      </c>
      <c r="F33" s="159">
        <v>33309</v>
      </c>
      <c r="G33" s="831" t="s">
        <v>5069</v>
      </c>
      <c r="H33" s="160" t="s">
        <v>5011</v>
      </c>
      <c r="I33" s="161">
        <v>10</v>
      </c>
      <c r="J33" s="162">
        <v>1</v>
      </c>
      <c r="K33" s="163">
        <v>1</v>
      </c>
      <c r="L33" s="727">
        <v>8</v>
      </c>
      <c r="M33" s="136">
        <v>13</v>
      </c>
      <c r="N33" s="164">
        <v>2</v>
      </c>
      <c r="O33" s="728">
        <v>2</v>
      </c>
      <c r="P33" s="728">
        <v>8000</v>
      </c>
      <c r="Q33" s="891" t="s">
        <v>6036</v>
      </c>
      <c r="R33" s="133"/>
      <c r="S33" s="161"/>
      <c r="T33" s="161"/>
      <c r="U33" s="140"/>
      <c r="V33" s="161"/>
      <c r="W33" s="133"/>
      <c r="X33" s="161">
        <v>1</v>
      </c>
      <c r="Y33" s="898" t="s">
        <v>7125</v>
      </c>
      <c r="Z33" s="161">
        <v>100</v>
      </c>
      <c r="AA33" s="133"/>
      <c r="AB33" s="840">
        <v>0.15</v>
      </c>
      <c r="AC33" s="165">
        <f ca="1">Rater!I110*IF(Rater!X30=FALSE,1,Rater!$V$51)</f>
        <v>125</v>
      </c>
      <c r="AD33" s="672">
        <f ca="1">Rater!I110*IF(Rater!X30=FALSE,1,Rater!$V$51)</f>
        <v>125</v>
      </c>
      <c r="AE33" s="827" t="s">
        <v>5027</v>
      </c>
    </row>
    <row r="34" spans="1:31" ht="15.75" x14ac:dyDescent="0.25">
      <c r="A34" s="44">
        <f t="shared" ca="1" si="1"/>
        <v>1</v>
      </c>
      <c r="B34" s="157" t="s">
        <v>4973</v>
      </c>
      <c r="C34" s="158" t="s">
        <v>5201</v>
      </c>
      <c r="D34" s="158" t="s">
        <v>5010</v>
      </c>
      <c r="E34" s="159" t="s">
        <v>5144</v>
      </c>
      <c r="F34" s="159">
        <v>33309</v>
      </c>
      <c r="G34" s="831" t="s">
        <v>5069</v>
      </c>
      <c r="H34" s="160" t="s">
        <v>5011</v>
      </c>
      <c r="I34" s="161">
        <v>10</v>
      </c>
      <c r="J34" s="162">
        <v>1</v>
      </c>
      <c r="K34" s="163">
        <v>1</v>
      </c>
      <c r="L34" s="727">
        <v>8</v>
      </c>
      <c r="M34" s="136">
        <v>5</v>
      </c>
      <c r="N34" s="164">
        <v>2</v>
      </c>
      <c r="O34" s="728">
        <v>2</v>
      </c>
      <c r="P34" s="728">
        <v>8000</v>
      </c>
      <c r="Q34" s="891" t="s">
        <v>6036</v>
      </c>
      <c r="R34" s="133"/>
      <c r="S34" s="161"/>
      <c r="T34" s="161"/>
      <c r="U34" s="140"/>
      <c r="V34" s="723"/>
      <c r="W34" s="133"/>
      <c r="X34" s="161">
        <v>1</v>
      </c>
      <c r="Y34" s="898" t="s">
        <v>7125</v>
      </c>
      <c r="Z34" s="161">
        <v>100</v>
      </c>
      <c r="AA34" s="133"/>
      <c r="AB34" s="841">
        <v>0.15</v>
      </c>
      <c r="AC34" s="165">
        <f ca="1">Rater!I113*IF(Rater!X30=FALSE,1,Rater!$V$51)</f>
        <v>13</v>
      </c>
      <c r="AD34" s="672">
        <f ca="1">Rater!I113*IF(Rater!X30=FALSE,1,Rater!$V$51)</f>
        <v>13</v>
      </c>
      <c r="AE34" s="827" t="s">
        <v>5027</v>
      </c>
    </row>
    <row r="35" spans="1:31" ht="15.75" x14ac:dyDescent="0.25">
      <c r="A35" s="44">
        <f t="shared" ca="1" si="1"/>
        <v>1</v>
      </c>
      <c r="B35" s="157" t="s">
        <v>4973</v>
      </c>
      <c r="C35" s="158" t="s">
        <v>5202</v>
      </c>
      <c r="D35" s="158" t="s">
        <v>5010</v>
      </c>
      <c r="E35" s="159" t="s">
        <v>5145</v>
      </c>
      <c r="F35" s="159">
        <v>33309</v>
      </c>
      <c r="G35" s="831" t="s">
        <v>5069</v>
      </c>
      <c r="H35" s="160" t="s">
        <v>5011</v>
      </c>
      <c r="I35" s="161">
        <v>10</v>
      </c>
      <c r="J35" s="162">
        <v>1</v>
      </c>
      <c r="K35" s="163">
        <v>1</v>
      </c>
      <c r="L35" s="727">
        <v>8</v>
      </c>
      <c r="M35" s="136">
        <v>5</v>
      </c>
      <c r="N35" s="164">
        <v>2</v>
      </c>
      <c r="O35" s="728">
        <v>2</v>
      </c>
      <c r="P35" s="728">
        <v>8000</v>
      </c>
      <c r="Q35" s="891" t="s">
        <v>6036</v>
      </c>
      <c r="R35" s="133"/>
      <c r="S35" s="161"/>
      <c r="T35" s="161"/>
      <c r="U35" s="140"/>
      <c r="V35" s="723"/>
      <c r="W35" s="133"/>
      <c r="X35" s="161">
        <v>1</v>
      </c>
      <c r="Y35" s="898" t="s">
        <v>7125</v>
      </c>
      <c r="Z35" s="161">
        <v>100</v>
      </c>
      <c r="AA35" s="133"/>
      <c r="AB35" s="841">
        <v>0.15</v>
      </c>
      <c r="AC35" s="165">
        <f ca="1">Rater!I116*IF(Rater!X30=FALSE,1,Rater!$V$51)</f>
        <v>13</v>
      </c>
      <c r="AD35" s="672">
        <f ca="1">Rater!I116*IF(Rater!X30=FALSE,1,Rater!$V$51)</f>
        <v>13</v>
      </c>
      <c r="AE35" s="827" t="s">
        <v>5027</v>
      </c>
    </row>
    <row r="36" spans="1:31" ht="15.75" x14ac:dyDescent="0.25">
      <c r="A36" s="44">
        <f t="shared" si="1"/>
        <v>1</v>
      </c>
      <c r="B36" s="157" t="s">
        <v>4973</v>
      </c>
      <c r="C36" s="158" t="s">
        <v>5203</v>
      </c>
      <c r="D36" s="158" t="s">
        <v>5010</v>
      </c>
      <c r="E36" s="159" t="s">
        <v>5146</v>
      </c>
      <c r="F36" s="159">
        <v>33309</v>
      </c>
      <c r="G36" s="831" t="s">
        <v>5069</v>
      </c>
      <c r="H36" s="160" t="s">
        <v>5011</v>
      </c>
      <c r="I36" s="161">
        <v>10</v>
      </c>
      <c r="J36" s="162">
        <v>1</v>
      </c>
      <c r="K36" s="163">
        <v>1</v>
      </c>
      <c r="L36" s="727">
        <v>8</v>
      </c>
      <c r="M36" s="136"/>
      <c r="N36" s="164">
        <v>2</v>
      </c>
      <c r="O36" s="728">
        <v>2</v>
      </c>
      <c r="P36" s="728">
        <v>8000</v>
      </c>
      <c r="Q36" s="891" t="s">
        <v>6036</v>
      </c>
      <c r="R36" s="133"/>
      <c r="S36" s="161"/>
      <c r="T36" s="161"/>
      <c r="U36" s="140"/>
      <c r="V36" s="723"/>
      <c r="W36" s="133"/>
      <c r="X36" s="161">
        <v>1</v>
      </c>
      <c r="Y36" s="898" t="s">
        <v>7125</v>
      </c>
      <c r="Z36" s="161">
        <v>100</v>
      </c>
      <c r="AA36" s="133"/>
      <c r="AB36" s="841">
        <v>0.15</v>
      </c>
      <c r="AC36" s="165">
        <f>Rater!J122*Rater!V124</f>
        <v>0</v>
      </c>
      <c r="AD36" s="672">
        <f>Rater!J122*Rater!V124</f>
        <v>0</v>
      </c>
      <c r="AE36" s="828" t="s">
        <v>5027</v>
      </c>
    </row>
    <row r="37" spans="1:31" ht="15.75" x14ac:dyDescent="0.25">
      <c r="A37" s="44">
        <f t="shared" ca="1" si="1"/>
        <v>1</v>
      </c>
      <c r="B37" s="157" t="s">
        <v>4973</v>
      </c>
      <c r="C37" s="158" t="s">
        <v>5468</v>
      </c>
      <c r="D37" s="158" t="s">
        <v>5010</v>
      </c>
      <c r="E37" s="159" t="s">
        <v>5147</v>
      </c>
      <c r="F37" s="159">
        <v>33309</v>
      </c>
      <c r="G37" s="831" t="s">
        <v>5069</v>
      </c>
      <c r="H37" s="160" t="s">
        <v>5011</v>
      </c>
      <c r="I37" s="161">
        <v>52</v>
      </c>
      <c r="J37" s="162">
        <v>1</v>
      </c>
      <c r="K37" s="163">
        <v>1</v>
      </c>
      <c r="L37" s="727">
        <v>8</v>
      </c>
      <c r="M37" s="136">
        <v>18</v>
      </c>
      <c r="N37" s="164">
        <v>2</v>
      </c>
      <c r="O37" s="728">
        <v>2</v>
      </c>
      <c r="P37" s="728">
        <v>8000</v>
      </c>
      <c r="Q37" s="891" t="s">
        <v>6036</v>
      </c>
      <c r="R37" s="133"/>
      <c r="S37" s="898"/>
      <c r="T37" s="161"/>
      <c r="U37" s="140"/>
      <c r="V37" s="723"/>
      <c r="W37" s="133"/>
      <c r="X37" s="161">
        <v>1</v>
      </c>
      <c r="Y37" s="898" t="s">
        <v>7125</v>
      </c>
      <c r="Z37" s="161">
        <v>100</v>
      </c>
      <c r="AA37" s="133"/>
      <c r="AB37" s="841">
        <v>0.15</v>
      </c>
      <c r="AC37" s="165">
        <f ca="1">Rater!J128</f>
        <v>150</v>
      </c>
      <c r="AD37" s="672">
        <f ca="1">Rater!J128</f>
        <v>150</v>
      </c>
      <c r="AE37" s="828" t="s">
        <v>5027</v>
      </c>
    </row>
    <row r="38" spans="1:31" ht="15.75" hidden="1" x14ac:dyDescent="0.25">
      <c r="A38" s="44">
        <f>IF(CoId=5,0,IF(AD38&lt;0.01,0,1))</f>
        <v>0</v>
      </c>
      <c r="B38" s="157" t="s">
        <v>4973</v>
      </c>
      <c r="C38" s="679" t="s">
        <v>5158</v>
      </c>
      <c r="D38" s="674" t="s">
        <v>5010</v>
      </c>
      <c r="E38" s="675" t="s">
        <v>5148</v>
      </c>
      <c r="F38" s="680" t="s">
        <v>5159</v>
      </c>
      <c r="G38" s="832" t="s">
        <v>5069</v>
      </c>
      <c r="H38" s="676"/>
      <c r="I38" s="161">
        <v>10</v>
      </c>
      <c r="J38" s="676"/>
      <c r="K38" s="676"/>
      <c r="L38" s="727">
        <v>8</v>
      </c>
      <c r="M38" s="676"/>
      <c r="N38" s="676"/>
      <c r="O38" s="728">
        <v>2</v>
      </c>
      <c r="P38" s="728">
        <v>8000</v>
      </c>
      <c r="Q38" s="891" t="s">
        <v>6036</v>
      </c>
      <c r="R38" s="676"/>
      <c r="S38" s="676"/>
      <c r="T38" s="676"/>
      <c r="U38" s="677"/>
      <c r="V38" s="724"/>
      <c r="W38" s="676"/>
      <c r="X38" s="676"/>
      <c r="Y38" s="899"/>
      <c r="Z38" s="676"/>
      <c r="AA38" s="676"/>
      <c r="AB38" s="842"/>
      <c r="AC38" s="922"/>
      <c r="AD38" s="911"/>
      <c r="AE38" s="829"/>
    </row>
    <row r="39" spans="1:31" ht="15.75" hidden="1" x14ac:dyDescent="0.25">
      <c r="A39" s="44">
        <f>IF(CoId=5,0,IF(AD39&lt;0.01,0,1))</f>
        <v>0</v>
      </c>
      <c r="B39" s="157" t="s">
        <v>4973</v>
      </c>
      <c r="C39" s="679" t="s">
        <v>5157</v>
      </c>
      <c r="D39" s="674" t="s">
        <v>5010</v>
      </c>
      <c r="E39" s="675" t="s">
        <v>5149</v>
      </c>
      <c r="F39" s="680" t="s">
        <v>5159</v>
      </c>
      <c r="G39" s="832" t="s">
        <v>5069</v>
      </c>
      <c r="H39" s="676"/>
      <c r="I39" s="161">
        <v>10</v>
      </c>
      <c r="J39" s="676"/>
      <c r="K39" s="676"/>
      <c r="L39" s="727">
        <v>8</v>
      </c>
      <c r="M39" s="676"/>
      <c r="N39" s="676"/>
      <c r="O39" s="728">
        <v>2</v>
      </c>
      <c r="P39" s="728">
        <v>8000</v>
      </c>
      <c r="Q39" s="891" t="s">
        <v>6036</v>
      </c>
      <c r="R39" s="676"/>
      <c r="S39" s="676"/>
      <c r="T39" s="676"/>
      <c r="U39" s="677"/>
      <c r="V39" s="724"/>
      <c r="W39" s="676"/>
      <c r="X39" s="676"/>
      <c r="Y39" s="899"/>
      <c r="Z39" s="676"/>
      <c r="AA39" s="676"/>
      <c r="AB39" s="842"/>
      <c r="AC39" s="922"/>
      <c r="AD39" s="922"/>
      <c r="AE39" s="829"/>
    </row>
    <row r="40" spans="1:31" ht="15.75" hidden="1" x14ac:dyDescent="0.25">
      <c r="A40" s="44">
        <f>IF(CoId=5,0,IF(AD40="",0,1))</f>
        <v>0</v>
      </c>
      <c r="B40" s="157" t="s">
        <v>4973</v>
      </c>
      <c r="C40" s="679" t="s">
        <v>5156</v>
      </c>
      <c r="D40" s="674" t="s">
        <v>5010</v>
      </c>
      <c r="E40" s="675" t="s">
        <v>5150</v>
      </c>
      <c r="F40" s="680" t="s">
        <v>5159</v>
      </c>
      <c r="G40" s="832" t="s">
        <v>5069</v>
      </c>
      <c r="H40" s="676"/>
      <c r="I40" s="161">
        <v>10</v>
      </c>
      <c r="J40" s="676"/>
      <c r="K40" s="676"/>
      <c r="L40" s="727">
        <v>8</v>
      </c>
      <c r="M40" s="676"/>
      <c r="N40" s="676"/>
      <c r="O40" s="728">
        <v>2</v>
      </c>
      <c r="P40" s="728">
        <v>8000</v>
      </c>
      <c r="Q40" s="891" t="s">
        <v>6036</v>
      </c>
      <c r="R40" s="676"/>
      <c r="S40" s="676"/>
      <c r="T40" s="676"/>
      <c r="U40" s="677"/>
      <c r="V40" s="724"/>
      <c r="W40" s="676"/>
      <c r="X40" s="676"/>
      <c r="Y40" s="899"/>
      <c r="Z40" s="676"/>
      <c r="AA40" s="678"/>
      <c r="AB40" s="842"/>
      <c r="AC40" s="910"/>
      <c r="AD40" s="911"/>
      <c r="AE40" s="829"/>
    </row>
    <row r="41" spans="1:31" ht="15.75" hidden="1" x14ac:dyDescent="0.25">
      <c r="A41" s="44">
        <f>IF(CoId=5,0,IF(AD41="",0,1))</f>
        <v>0</v>
      </c>
      <c r="B41" s="157" t="s">
        <v>4973</v>
      </c>
      <c r="C41" s="679" t="s">
        <v>5155</v>
      </c>
      <c r="D41" s="674" t="s">
        <v>5010</v>
      </c>
      <c r="E41" s="675" t="s">
        <v>5151</v>
      </c>
      <c r="F41" s="680" t="s">
        <v>5159</v>
      </c>
      <c r="G41" s="832" t="s">
        <v>5069</v>
      </c>
      <c r="H41" s="676"/>
      <c r="I41" s="161">
        <v>10</v>
      </c>
      <c r="J41" s="676"/>
      <c r="K41" s="676"/>
      <c r="L41" s="727">
        <v>8</v>
      </c>
      <c r="M41" s="676"/>
      <c r="N41" s="676"/>
      <c r="O41" s="728">
        <v>2</v>
      </c>
      <c r="P41" s="728">
        <v>8000</v>
      </c>
      <c r="Q41" s="891" t="s">
        <v>6036</v>
      </c>
      <c r="R41" s="676"/>
      <c r="S41" s="676"/>
      <c r="T41" s="676"/>
      <c r="U41" s="677"/>
      <c r="V41" s="724"/>
      <c r="W41" s="676"/>
      <c r="X41" s="676"/>
      <c r="Y41" s="899"/>
      <c r="Z41" s="676"/>
      <c r="AA41" s="678"/>
      <c r="AB41" s="842"/>
      <c r="AC41" s="910"/>
      <c r="AD41" s="911"/>
      <c r="AE41" s="829"/>
    </row>
    <row r="42" spans="1:31" ht="15.75" hidden="1" x14ac:dyDescent="0.25">
      <c r="A42" s="44">
        <f>IF(CoId=5,0,IF(AD42="",0,1))</f>
        <v>0</v>
      </c>
      <c r="B42" s="157" t="s">
        <v>4973</v>
      </c>
      <c r="C42" s="674" t="s">
        <v>5154</v>
      </c>
      <c r="D42" s="674" t="s">
        <v>5010</v>
      </c>
      <c r="E42" s="675" t="s">
        <v>5152</v>
      </c>
      <c r="F42" s="680" t="s">
        <v>5159</v>
      </c>
      <c r="G42" s="832" t="s">
        <v>5069</v>
      </c>
      <c r="H42" s="676"/>
      <c r="I42" s="161">
        <v>10</v>
      </c>
      <c r="J42" s="676"/>
      <c r="K42" s="676"/>
      <c r="L42" s="727">
        <v>8</v>
      </c>
      <c r="M42" s="676"/>
      <c r="N42" s="676"/>
      <c r="O42" s="728">
        <v>2</v>
      </c>
      <c r="P42" s="728">
        <v>8000</v>
      </c>
      <c r="Q42" s="891" t="s">
        <v>6036</v>
      </c>
      <c r="R42" s="676"/>
      <c r="S42" s="676"/>
      <c r="T42" s="676"/>
      <c r="U42" s="677"/>
      <c r="V42" s="724"/>
      <c r="W42" s="676"/>
      <c r="X42" s="676"/>
      <c r="Y42" s="899"/>
      <c r="Z42" s="676"/>
      <c r="AA42" s="678"/>
      <c r="AB42" s="842"/>
      <c r="AC42" s="910"/>
      <c r="AD42" s="911"/>
      <c r="AE42" s="829"/>
    </row>
    <row r="43" spans="1:31" ht="16.5" hidden="1" thickBot="1" x14ac:dyDescent="0.3">
      <c r="A43" s="44">
        <v>0</v>
      </c>
      <c r="B43" s="166" t="s">
        <v>4973</v>
      </c>
      <c r="C43" s="167" t="s">
        <v>5811</v>
      </c>
      <c r="D43" s="167" t="s">
        <v>5010</v>
      </c>
      <c r="E43" s="168" t="s">
        <v>5153</v>
      </c>
      <c r="F43" s="168">
        <v>33309</v>
      </c>
      <c r="G43" s="833" t="s">
        <v>5069</v>
      </c>
      <c r="H43" s="682" t="s">
        <v>5160</v>
      </c>
      <c r="I43" s="169">
        <v>10</v>
      </c>
      <c r="J43" s="681">
        <v>1</v>
      </c>
      <c r="K43" s="681">
        <v>1</v>
      </c>
      <c r="L43" s="681">
        <v>8</v>
      </c>
      <c r="M43" s="681"/>
      <c r="N43" s="681">
        <v>2</v>
      </c>
      <c r="O43" s="681">
        <v>2</v>
      </c>
      <c r="P43" s="728">
        <v>8000</v>
      </c>
      <c r="Q43" s="891" t="s">
        <v>6036</v>
      </c>
      <c r="R43" s="170"/>
      <c r="S43" s="681"/>
      <c r="T43" s="681"/>
      <c r="U43" s="171"/>
      <c r="V43" s="725"/>
      <c r="W43" s="170"/>
      <c r="X43" s="681">
        <v>1</v>
      </c>
      <c r="Y43" s="900" t="s">
        <v>7125</v>
      </c>
      <c r="Z43" s="681">
        <v>100</v>
      </c>
      <c r="AA43" s="730"/>
      <c r="AB43" s="843">
        <v>0.15</v>
      </c>
      <c r="AC43" s="734"/>
      <c r="AD43" s="731">
        <v>12</v>
      </c>
      <c r="AE43" s="830"/>
    </row>
    <row r="44" spans="1:31" ht="16.5" thickBot="1" x14ac:dyDescent="0.3">
      <c r="A44" s="139">
        <f>IF(SUM(A49:A57)&gt;0,1,0)</f>
        <v>1</v>
      </c>
      <c r="B44" s="639"/>
      <c r="C44" s="640"/>
      <c r="D44" s="640"/>
      <c r="E44" s="641"/>
      <c r="F44" s="641"/>
      <c r="G44" s="641"/>
      <c r="H44" s="641"/>
      <c r="I44" s="641"/>
      <c r="J44" s="641"/>
      <c r="K44" s="641"/>
      <c r="L44" s="641"/>
      <c r="M44" s="641"/>
      <c r="N44" s="641"/>
      <c r="O44" s="641"/>
      <c r="P44" s="641"/>
      <c r="Q44" s="641"/>
      <c r="R44" s="641"/>
      <c r="S44" s="641"/>
      <c r="T44" s="641"/>
      <c r="U44" s="641"/>
      <c r="V44" s="641"/>
      <c r="W44" s="641"/>
      <c r="X44" s="641"/>
      <c r="Y44" s="642"/>
    </row>
    <row r="45" spans="1:31" ht="15.75" x14ac:dyDescent="0.25">
      <c r="A45" s="139">
        <f>IF(SUM(A49:A57)&gt;0,1,0)</f>
        <v>1</v>
      </c>
      <c r="B45" s="113" t="s">
        <v>4972</v>
      </c>
      <c r="C45" s="114"/>
      <c r="D45" s="115"/>
      <c r="E45" s="64"/>
      <c r="F45" s="64"/>
      <c r="G45" s="117"/>
      <c r="H45" s="64"/>
      <c r="I45" s="60"/>
      <c r="J45" s="118"/>
      <c r="K45" s="118"/>
      <c r="L45" s="118"/>
      <c r="M45" s="119"/>
      <c r="N45" s="119"/>
      <c r="O45" s="119"/>
      <c r="P45" s="119"/>
      <c r="Q45" s="119"/>
      <c r="R45" s="64"/>
      <c r="S45" s="64"/>
      <c r="T45" s="64"/>
      <c r="U45" s="64"/>
      <c r="V45" s="64"/>
      <c r="W45" s="63"/>
      <c r="X45" s="48"/>
      <c r="Y45" s="48"/>
    </row>
    <row r="46" spans="1:31" x14ac:dyDescent="0.25">
      <c r="A46" s="139">
        <f>IF(SUM(A49:A57)&gt;0,1,0)</f>
        <v>1</v>
      </c>
      <c r="B46" s="120" t="s">
        <v>99</v>
      </c>
      <c r="C46" s="669"/>
      <c r="D46" s="58"/>
      <c r="E46" s="73"/>
      <c r="F46" s="73"/>
      <c r="G46" s="73"/>
      <c r="H46" s="73"/>
      <c r="I46" s="121"/>
      <c r="J46" s="121"/>
      <c r="K46" s="121"/>
      <c r="L46" s="121"/>
      <c r="M46" s="58"/>
      <c r="N46" s="58"/>
      <c r="O46" s="58"/>
      <c r="P46" s="58"/>
      <c r="Q46" s="58"/>
      <c r="R46" s="73"/>
      <c r="S46" s="73"/>
      <c r="T46" s="73"/>
      <c r="U46" s="73"/>
      <c r="V46" s="73"/>
      <c r="W46" s="71"/>
      <c r="X46" s="48"/>
      <c r="Y46" s="48"/>
    </row>
    <row r="47" spans="1:31" x14ac:dyDescent="0.25">
      <c r="A47" s="139">
        <f>IF(SUM(A49:A57)&gt;0,1,0)</f>
        <v>1</v>
      </c>
      <c r="B47" s="122"/>
      <c r="C47" s="123"/>
      <c r="D47" s="73"/>
      <c r="E47" s="73"/>
      <c r="F47" s="73"/>
      <c r="G47" s="73"/>
      <c r="H47" s="73"/>
      <c r="I47" s="121"/>
      <c r="J47" s="121"/>
      <c r="K47" s="121"/>
      <c r="L47" s="121"/>
      <c r="M47" s="58"/>
      <c r="N47" s="58"/>
      <c r="O47" s="58"/>
      <c r="P47" s="58"/>
      <c r="Q47" s="58"/>
      <c r="R47" s="73"/>
      <c r="S47" s="73"/>
      <c r="T47" s="73"/>
      <c r="U47" s="73"/>
      <c r="V47" s="73"/>
      <c r="W47" s="71"/>
      <c r="X47" s="48"/>
      <c r="Y47" s="48"/>
    </row>
    <row r="48" spans="1:31" ht="51.75" x14ac:dyDescent="0.25">
      <c r="A48" s="139">
        <f>IF(SUM(A49:A57)&gt;0,1,0)</f>
        <v>1</v>
      </c>
      <c r="B48" s="124" t="s">
        <v>100</v>
      </c>
      <c r="C48" s="125" t="s">
        <v>101</v>
      </c>
      <c r="D48" s="126" t="s">
        <v>102</v>
      </c>
      <c r="E48" s="126" t="s">
        <v>104</v>
      </c>
      <c r="F48" s="125" t="s">
        <v>106</v>
      </c>
      <c r="G48" s="125" t="s">
        <v>107</v>
      </c>
      <c r="H48" s="125" t="s">
        <v>108</v>
      </c>
      <c r="I48" s="125" t="s">
        <v>109</v>
      </c>
      <c r="J48" s="127" t="s">
        <v>110</v>
      </c>
      <c r="K48" s="126" t="s">
        <v>111</v>
      </c>
      <c r="L48" s="125" t="s">
        <v>112</v>
      </c>
      <c r="M48" s="127" t="s">
        <v>113</v>
      </c>
      <c r="N48" s="126" t="s">
        <v>114</v>
      </c>
      <c r="O48" s="125" t="s">
        <v>115</v>
      </c>
      <c r="P48" s="125" t="s">
        <v>116</v>
      </c>
      <c r="Q48" s="126" t="s">
        <v>117</v>
      </c>
      <c r="R48" s="125" t="s">
        <v>118</v>
      </c>
      <c r="S48" s="125" t="s">
        <v>119</v>
      </c>
      <c r="T48" s="126" t="s">
        <v>120</v>
      </c>
      <c r="U48" s="126" t="s">
        <v>121</v>
      </c>
      <c r="V48" s="126" t="s">
        <v>122</v>
      </c>
      <c r="W48" s="128" t="s">
        <v>123</v>
      </c>
      <c r="X48" s="48"/>
      <c r="Y48" s="48"/>
    </row>
    <row r="49" spans="1:30" ht="15.75" x14ac:dyDescent="0.25">
      <c r="A49" s="139">
        <f t="shared" ref="A49:A57" si="2">IF(OR(M49="",M49=0),0,1)</f>
        <v>1</v>
      </c>
      <c r="B49" s="638" t="s">
        <v>6031</v>
      </c>
      <c r="C49" s="622" t="s">
        <v>4934</v>
      </c>
      <c r="D49" s="632" t="s">
        <v>4943</v>
      </c>
      <c r="E49" s="131"/>
      <c r="F49" s="627"/>
      <c r="G49" s="628"/>
      <c r="H49" s="133"/>
      <c r="I49" s="133"/>
      <c r="J49" s="133"/>
      <c r="K49" s="133"/>
      <c r="L49" s="133"/>
      <c r="M49" s="635">
        <v>1000000</v>
      </c>
      <c r="N49" s="133"/>
      <c r="O49" s="133"/>
      <c r="P49" s="133"/>
      <c r="Q49" s="133"/>
      <c r="R49" s="134"/>
      <c r="S49" s="133"/>
      <c r="T49" s="133"/>
      <c r="U49" s="635" t="s">
        <v>4932</v>
      </c>
      <c r="V49" s="133"/>
      <c r="W49" s="644" t="s">
        <v>4932</v>
      </c>
      <c r="X49" s="642"/>
      <c r="Y49" s="48"/>
      <c r="Z49" s="48"/>
      <c r="AA49" s="48"/>
    </row>
    <row r="50" spans="1:30" ht="15.75" x14ac:dyDescent="0.25">
      <c r="A50" s="139">
        <f t="shared" si="2"/>
        <v>1</v>
      </c>
      <c r="B50" s="638" t="s">
        <v>6031</v>
      </c>
      <c r="C50" s="622" t="s">
        <v>4935</v>
      </c>
      <c r="D50" s="632" t="s">
        <v>4944</v>
      </c>
      <c r="E50" s="138"/>
      <c r="F50" s="906" t="s">
        <v>4934</v>
      </c>
      <c r="G50" s="628"/>
      <c r="H50" s="133"/>
      <c r="I50" s="628"/>
      <c r="J50" s="628"/>
      <c r="K50" s="628"/>
      <c r="L50" s="133"/>
      <c r="M50" s="635">
        <v>1000000</v>
      </c>
      <c r="N50" s="133"/>
      <c r="O50" s="133"/>
      <c r="P50" s="133"/>
      <c r="Q50" s="133"/>
      <c r="R50" s="134"/>
      <c r="S50" s="133"/>
      <c r="T50" s="133"/>
      <c r="U50" s="635" t="s">
        <v>4932</v>
      </c>
      <c r="V50" s="133"/>
      <c r="W50" s="644" t="s">
        <v>4932</v>
      </c>
      <c r="X50" s="642"/>
      <c r="Y50" s="48"/>
      <c r="Z50" s="48"/>
      <c r="AA50" s="48"/>
    </row>
    <row r="51" spans="1:30" ht="15.75" x14ac:dyDescent="0.25">
      <c r="A51" s="139">
        <f t="shared" si="2"/>
        <v>1</v>
      </c>
      <c r="B51" s="638" t="s">
        <v>6031</v>
      </c>
      <c r="C51" s="623" t="s">
        <v>4936</v>
      </c>
      <c r="D51" s="633" t="s">
        <v>4945</v>
      </c>
      <c r="E51" s="625"/>
      <c r="F51" s="906" t="s">
        <v>4934</v>
      </c>
      <c r="G51" s="628"/>
      <c r="H51" s="628"/>
      <c r="I51" s="628"/>
      <c r="J51" s="628"/>
      <c r="K51" s="628"/>
      <c r="L51" s="628"/>
      <c r="M51" s="636">
        <v>1000000</v>
      </c>
      <c r="N51" s="628"/>
      <c r="O51" s="628"/>
      <c r="P51" s="628"/>
      <c r="Q51" s="628"/>
      <c r="R51" s="629"/>
      <c r="S51" s="628"/>
      <c r="T51" s="628"/>
      <c r="U51" s="635" t="s">
        <v>4932</v>
      </c>
      <c r="V51" s="628"/>
      <c r="W51" s="645" t="s">
        <v>4932</v>
      </c>
      <c r="X51" s="642"/>
      <c r="Y51" s="48"/>
      <c r="Z51" s="48"/>
      <c r="AA51" s="48"/>
    </row>
    <row r="52" spans="1:30" ht="15.75" x14ac:dyDescent="0.25">
      <c r="A52" s="139">
        <f t="shared" si="2"/>
        <v>1</v>
      </c>
      <c r="B52" s="638" t="s">
        <v>6031</v>
      </c>
      <c r="C52" s="623" t="s">
        <v>4937</v>
      </c>
      <c r="D52" s="633" t="s">
        <v>4946</v>
      </c>
      <c r="E52" s="625"/>
      <c r="F52" s="906" t="s">
        <v>4934</v>
      </c>
      <c r="G52" s="628"/>
      <c r="H52" s="628"/>
      <c r="I52" s="628"/>
      <c r="J52" s="628"/>
      <c r="K52" s="628"/>
      <c r="L52" s="628"/>
      <c r="M52" s="636">
        <v>1000000</v>
      </c>
      <c r="N52" s="628"/>
      <c r="O52" s="628"/>
      <c r="P52" s="628"/>
      <c r="Q52" s="628"/>
      <c r="R52" s="629"/>
      <c r="S52" s="628"/>
      <c r="T52" s="628"/>
      <c r="U52" s="635" t="s">
        <v>4932</v>
      </c>
      <c r="V52" s="628"/>
      <c r="W52" s="645" t="s">
        <v>4932</v>
      </c>
      <c r="X52" s="642"/>
      <c r="Y52" s="48"/>
      <c r="Z52" s="48"/>
      <c r="AA52" s="48"/>
    </row>
    <row r="53" spans="1:30" ht="15.75" x14ac:dyDescent="0.25">
      <c r="A53" s="139">
        <f t="shared" si="2"/>
        <v>1</v>
      </c>
      <c r="B53" s="638" t="s">
        <v>6031</v>
      </c>
      <c r="C53" s="623" t="s">
        <v>4938</v>
      </c>
      <c r="D53" s="633" t="s">
        <v>4947</v>
      </c>
      <c r="E53" s="625"/>
      <c r="F53" s="906" t="s">
        <v>4934</v>
      </c>
      <c r="G53" s="628"/>
      <c r="H53" s="628"/>
      <c r="I53" s="628"/>
      <c r="J53" s="628"/>
      <c r="K53" s="628"/>
      <c r="L53" s="628"/>
      <c r="M53" s="636">
        <v>1000000</v>
      </c>
      <c r="N53" s="628"/>
      <c r="O53" s="628"/>
      <c r="P53" s="628"/>
      <c r="Q53" s="628"/>
      <c r="R53" s="629"/>
      <c r="S53" s="628"/>
      <c r="T53" s="628"/>
      <c r="U53" s="635" t="s">
        <v>4932</v>
      </c>
      <c r="V53" s="628"/>
      <c r="W53" s="645" t="s">
        <v>4932</v>
      </c>
      <c r="X53" s="642"/>
      <c r="Y53" s="48"/>
      <c r="Z53" s="48"/>
      <c r="AA53" s="48"/>
    </row>
    <row r="54" spans="1:30" ht="15.75" x14ac:dyDescent="0.25">
      <c r="A54" s="139">
        <f t="shared" si="2"/>
        <v>1</v>
      </c>
      <c r="B54" s="638" t="s">
        <v>6031</v>
      </c>
      <c r="C54" s="623" t="s">
        <v>4939</v>
      </c>
      <c r="D54" s="633" t="s">
        <v>4948</v>
      </c>
      <c r="E54" s="625"/>
      <c r="F54" s="906" t="s">
        <v>4934</v>
      </c>
      <c r="G54" s="628"/>
      <c r="H54" s="628"/>
      <c r="I54" s="628"/>
      <c r="J54" s="628"/>
      <c r="K54" s="628"/>
      <c r="L54" s="628"/>
      <c r="M54" s="636">
        <v>1000000</v>
      </c>
      <c r="N54" s="628"/>
      <c r="O54" s="628"/>
      <c r="P54" s="628"/>
      <c r="Q54" s="628"/>
      <c r="R54" s="629"/>
      <c r="S54" s="628"/>
      <c r="T54" s="628"/>
      <c r="U54" s="635" t="s">
        <v>4932</v>
      </c>
      <c r="V54" s="628"/>
      <c r="W54" s="645" t="s">
        <v>4932</v>
      </c>
      <c r="X54" s="642"/>
      <c r="Y54" s="48"/>
      <c r="Z54" s="48"/>
      <c r="AA54" s="48"/>
    </row>
    <row r="55" spans="1:30" ht="15.75" hidden="1" x14ac:dyDescent="0.25">
      <c r="A55" s="139">
        <f t="shared" si="2"/>
        <v>0</v>
      </c>
      <c r="B55" s="638" t="s">
        <v>6031</v>
      </c>
      <c r="C55" s="623" t="s">
        <v>4940</v>
      </c>
      <c r="D55" s="633" t="s">
        <v>4949</v>
      </c>
      <c r="E55" s="625"/>
      <c r="F55" s="906" t="s">
        <v>4934</v>
      </c>
      <c r="G55" s="628"/>
      <c r="H55" s="628"/>
      <c r="I55" s="628"/>
      <c r="J55" s="628"/>
      <c r="K55" s="628"/>
      <c r="L55" s="628"/>
      <c r="M55" s="636">
        <v>0</v>
      </c>
      <c r="N55" s="628"/>
      <c r="O55" s="628"/>
      <c r="P55" s="628"/>
      <c r="Q55" s="628"/>
      <c r="R55" s="629"/>
      <c r="S55" s="628"/>
      <c r="T55" s="628"/>
      <c r="U55" s="635" t="s">
        <v>4932</v>
      </c>
      <c r="V55" s="628"/>
      <c r="W55" s="645" t="s">
        <v>4932</v>
      </c>
      <c r="X55" s="642"/>
      <c r="Y55" s="48"/>
      <c r="Z55" s="48"/>
      <c r="AA55" s="48"/>
    </row>
    <row r="56" spans="1:30" ht="15.75" hidden="1" x14ac:dyDescent="0.25">
      <c r="A56" s="139">
        <f t="shared" si="2"/>
        <v>0</v>
      </c>
      <c r="B56" s="638" t="s">
        <v>6031</v>
      </c>
      <c r="C56" s="623" t="s">
        <v>4941</v>
      </c>
      <c r="D56" s="633" t="s">
        <v>4950</v>
      </c>
      <c r="E56" s="625"/>
      <c r="F56" s="906" t="s">
        <v>4934</v>
      </c>
      <c r="G56" s="628"/>
      <c r="H56" s="628"/>
      <c r="I56" s="628"/>
      <c r="J56" s="628"/>
      <c r="K56" s="628"/>
      <c r="L56" s="628"/>
      <c r="M56" s="636">
        <v>0</v>
      </c>
      <c r="N56" s="628"/>
      <c r="O56" s="628"/>
      <c r="P56" s="628"/>
      <c r="Q56" s="628"/>
      <c r="R56" s="629"/>
      <c r="S56" s="628"/>
      <c r="T56" s="628"/>
      <c r="U56" s="635" t="s">
        <v>4932</v>
      </c>
      <c r="V56" s="628"/>
      <c r="W56" s="645" t="s">
        <v>4932</v>
      </c>
      <c r="X56" s="642"/>
      <c r="Y56" s="48"/>
      <c r="Z56" s="48"/>
      <c r="AA56" s="48"/>
    </row>
    <row r="57" spans="1:30" ht="15.75" hidden="1" x14ac:dyDescent="0.25">
      <c r="A57" s="139">
        <f t="shared" si="2"/>
        <v>0</v>
      </c>
      <c r="B57" s="638" t="s">
        <v>6031</v>
      </c>
      <c r="C57" s="631" t="s">
        <v>4942</v>
      </c>
      <c r="D57" s="634" t="s">
        <v>4951</v>
      </c>
      <c r="E57" s="142"/>
      <c r="F57" s="906" t="s">
        <v>4934</v>
      </c>
      <c r="G57" s="143"/>
      <c r="H57" s="143"/>
      <c r="I57" s="628"/>
      <c r="J57" s="628"/>
      <c r="K57" s="628"/>
      <c r="L57" s="143"/>
      <c r="M57" s="637">
        <v>0</v>
      </c>
      <c r="N57" s="143"/>
      <c r="O57" s="143"/>
      <c r="P57" s="143"/>
      <c r="Q57" s="143"/>
      <c r="R57" s="144"/>
      <c r="S57" s="143"/>
      <c r="T57" s="143"/>
      <c r="U57" s="637" t="s">
        <v>4932</v>
      </c>
      <c r="V57" s="143"/>
      <c r="W57" s="636" t="s">
        <v>4932</v>
      </c>
      <c r="X57" s="642"/>
      <c r="Y57" s="48"/>
      <c r="Z57" s="48"/>
      <c r="AA57" s="48"/>
    </row>
    <row r="58" spans="1:30" ht="15.75" thickBot="1" x14ac:dyDescent="0.3">
      <c r="A58" s="139">
        <f>IF(SUM(A49:A57)&gt;0,1,0)</f>
        <v>1</v>
      </c>
      <c r="B58" s="141"/>
      <c r="C58" s="141"/>
      <c r="D58" s="141"/>
      <c r="E58" s="141"/>
      <c r="F58" s="141"/>
      <c r="G58" s="141"/>
      <c r="H58" s="141"/>
      <c r="I58" s="141"/>
      <c r="J58" s="141"/>
      <c r="K58" s="141"/>
      <c r="L58" s="141"/>
      <c r="M58" s="141"/>
      <c r="N58" s="141"/>
      <c r="O58" s="141"/>
      <c r="P58" s="141"/>
      <c r="Q58" s="141"/>
      <c r="R58" s="141"/>
      <c r="S58" s="141"/>
      <c r="T58" s="141"/>
      <c r="U58" s="141"/>
      <c r="V58" s="141"/>
      <c r="W58" s="141"/>
      <c r="X58" s="141"/>
      <c r="Y58" s="141"/>
      <c r="Z58" s="642"/>
      <c r="AA58" s="48"/>
    </row>
    <row r="59" spans="1:30" ht="15.75" x14ac:dyDescent="0.25">
      <c r="A59" s="139">
        <f ca="1">IF(SUM(A61:A90)&gt;0,1,0)</f>
        <v>1</v>
      </c>
      <c r="B59" s="145" t="s">
        <v>124</v>
      </c>
      <c r="C59" s="146" t="s">
        <v>6054</v>
      </c>
      <c r="D59" s="173" t="str">
        <f>RtStCd</f>
        <v>04</v>
      </c>
      <c r="E59" s="64" t="s">
        <v>6046</v>
      </c>
      <c r="F59" s="907" t="s">
        <v>6066</v>
      </c>
      <c r="G59" s="146"/>
      <c r="H59" s="149"/>
      <c r="I59" s="150"/>
      <c r="J59" s="151"/>
      <c r="K59" s="152"/>
      <c r="L59" s="153"/>
      <c r="M59" s="119"/>
      <c r="N59" s="119"/>
      <c r="O59" s="119"/>
      <c r="P59" s="119"/>
      <c r="Q59" s="119"/>
      <c r="R59" s="119"/>
      <c r="S59" s="119"/>
      <c r="T59" s="119"/>
      <c r="U59" s="119"/>
      <c r="V59" s="64"/>
      <c r="W59" s="64"/>
      <c r="X59" s="901">
        <f>PRODUCT(Rater!V384:V426)</f>
        <v>0.51949976043139701</v>
      </c>
      <c r="Y59" s="64"/>
      <c r="Z59" s="64"/>
      <c r="AA59" s="64"/>
      <c r="AB59" s="119"/>
      <c r="AC59" s="119"/>
      <c r="AD59" s="174"/>
    </row>
    <row r="60" spans="1:30" ht="38.25" x14ac:dyDescent="0.25">
      <c r="A60" s="139">
        <f ca="1">IF(SUM(A61:A90)&gt;0,1,0)</f>
        <v>1</v>
      </c>
      <c r="B60" s="176" t="s">
        <v>100</v>
      </c>
      <c r="C60" s="177" t="s">
        <v>125</v>
      </c>
      <c r="D60" s="178" t="s">
        <v>126</v>
      </c>
      <c r="E60" s="179" t="s">
        <v>102</v>
      </c>
      <c r="F60" s="178" t="s">
        <v>127</v>
      </c>
      <c r="G60" s="179" t="s">
        <v>128</v>
      </c>
      <c r="H60" s="179" t="s">
        <v>129</v>
      </c>
      <c r="I60" s="179" t="s">
        <v>146</v>
      </c>
      <c r="J60" s="179" t="s">
        <v>117</v>
      </c>
      <c r="K60" s="179" t="s">
        <v>130</v>
      </c>
      <c r="L60" s="179" t="s">
        <v>131</v>
      </c>
      <c r="M60" s="179" t="s">
        <v>132</v>
      </c>
      <c r="N60" s="179" t="s">
        <v>5175</v>
      </c>
      <c r="O60" s="179" t="s">
        <v>133</v>
      </c>
      <c r="P60" s="179" t="s">
        <v>147</v>
      </c>
      <c r="Q60" s="179" t="s">
        <v>148</v>
      </c>
      <c r="R60" s="179" t="s">
        <v>149</v>
      </c>
      <c r="S60" s="179" t="s">
        <v>150</v>
      </c>
      <c r="T60" s="179" t="s">
        <v>367</v>
      </c>
      <c r="U60" s="179" t="s">
        <v>137</v>
      </c>
      <c r="V60" s="179" t="s">
        <v>138</v>
      </c>
      <c r="W60" s="179" t="s">
        <v>139</v>
      </c>
      <c r="X60" s="179" t="s">
        <v>140</v>
      </c>
      <c r="Y60" s="179" t="s">
        <v>141</v>
      </c>
      <c r="Z60" s="179" t="s">
        <v>5479</v>
      </c>
      <c r="AA60" s="179" t="s">
        <v>142</v>
      </c>
      <c r="AB60" s="179" t="s">
        <v>143</v>
      </c>
      <c r="AC60" s="179" t="s">
        <v>144</v>
      </c>
      <c r="AD60" s="180" t="s">
        <v>145</v>
      </c>
    </row>
    <row r="61" spans="1:30" x14ac:dyDescent="0.25">
      <c r="A61" s="139">
        <f t="shared" ref="A61:A74" ca="1" si="3">IF(OR(AD61="",AD61=0),0,1)</f>
        <v>1</v>
      </c>
      <c r="B61" s="182" t="s">
        <v>5345</v>
      </c>
      <c r="C61" s="183" t="s">
        <v>5346</v>
      </c>
      <c r="D61" s="183" t="s">
        <v>5167</v>
      </c>
      <c r="E61" s="184" t="s">
        <v>4944</v>
      </c>
      <c r="F61" s="787" t="s">
        <v>6051</v>
      </c>
      <c r="G61" s="185">
        <v>57</v>
      </c>
      <c r="H61" s="699" t="s">
        <v>5174</v>
      </c>
      <c r="I61" s="186" t="s">
        <v>5168</v>
      </c>
      <c r="J61" s="195"/>
      <c r="K61" s="188"/>
      <c r="L61" s="189"/>
      <c r="M61" s="190"/>
      <c r="N61" s="187">
        <v>1000</v>
      </c>
      <c r="O61" s="191" t="s">
        <v>5176</v>
      </c>
      <c r="P61" s="195"/>
      <c r="Q61" s="187"/>
      <c r="R61" s="187"/>
      <c r="S61" s="187"/>
      <c r="T61" s="686">
        <v>10</v>
      </c>
      <c r="U61" s="194"/>
      <c r="V61" s="195"/>
      <c r="W61" s="195"/>
      <c r="X61" s="787" t="s">
        <v>7126</v>
      </c>
      <c r="Y61" s="196">
        <v>100</v>
      </c>
      <c r="Z61" s="754" t="s">
        <v>5029</v>
      </c>
      <c r="AA61" s="195"/>
      <c r="AB61" s="844">
        <v>0.15</v>
      </c>
      <c r="AC61" s="197">
        <v>11</v>
      </c>
      <c r="AD61" s="198">
        <f ca="1">Rater!M450*IF(Rater!AA30=FALSE,1,Rater!$V$51)</f>
        <v>68</v>
      </c>
    </row>
    <row r="62" spans="1:30" x14ac:dyDescent="0.25">
      <c r="A62" s="139">
        <f t="shared" ca="1" si="3"/>
        <v>1</v>
      </c>
      <c r="B62" s="683" t="s">
        <v>5345</v>
      </c>
      <c r="C62" s="684" t="s">
        <v>5347</v>
      </c>
      <c r="D62" s="684" t="s">
        <v>5167</v>
      </c>
      <c r="E62" s="685" t="s">
        <v>4945</v>
      </c>
      <c r="F62" s="787" t="s">
        <v>6051</v>
      </c>
      <c r="G62" s="686">
        <v>57</v>
      </c>
      <c r="H62" s="699" t="s">
        <v>5174</v>
      </c>
      <c r="I62" s="687" t="s">
        <v>5173</v>
      </c>
      <c r="J62" s="195"/>
      <c r="K62" s="689"/>
      <c r="L62" s="690"/>
      <c r="M62" s="691"/>
      <c r="N62" s="688">
        <v>1000</v>
      </c>
      <c r="O62" s="191" t="s">
        <v>5176</v>
      </c>
      <c r="P62" s="195"/>
      <c r="Q62" s="688"/>
      <c r="R62" s="688"/>
      <c r="S62" s="688"/>
      <c r="T62" s="688">
        <v>10</v>
      </c>
      <c r="U62" s="693"/>
      <c r="V62" s="694"/>
      <c r="W62" s="694"/>
      <c r="X62" s="754" t="s">
        <v>7126</v>
      </c>
      <c r="Y62" s="196">
        <v>100</v>
      </c>
      <c r="Z62" s="754" t="s">
        <v>5029</v>
      </c>
      <c r="AA62" s="694"/>
      <c r="AB62" s="845">
        <v>0.15</v>
      </c>
      <c r="AC62" s="696">
        <v>11</v>
      </c>
      <c r="AD62" s="697">
        <f ca="1">Rater!M458*IF(Rater!AA30=FALSE,1,Rater!$V$51)</f>
        <v>68</v>
      </c>
    </row>
    <row r="63" spans="1:30" s="172" customFormat="1" x14ac:dyDescent="0.25">
      <c r="A63" s="139">
        <f t="shared" ca="1" si="3"/>
        <v>1</v>
      </c>
      <c r="B63" s="683" t="s">
        <v>5345</v>
      </c>
      <c r="C63" s="684" t="s">
        <v>4939</v>
      </c>
      <c r="D63" s="684" t="s">
        <v>5167</v>
      </c>
      <c r="E63" s="685" t="s">
        <v>4948</v>
      </c>
      <c r="F63" s="787" t="s">
        <v>6051</v>
      </c>
      <c r="G63" s="686">
        <v>57</v>
      </c>
      <c r="H63" s="699" t="s">
        <v>5174</v>
      </c>
      <c r="I63" s="687" t="s">
        <v>5169</v>
      </c>
      <c r="J63" s="195"/>
      <c r="K63" s="689"/>
      <c r="L63" s="690"/>
      <c r="M63" s="691"/>
      <c r="N63" s="688">
        <v>1000</v>
      </c>
      <c r="O63" s="191" t="s">
        <v>5176</v>
      </c>
      <c r="P63" s="195"/>
      <c r="Q63" s="688"/>
      <c r="R63" s="688"/>
      <c r="S63" s="688"/>
      <c r="T63" s="688">
        <v>10</v>
      </c>
      <c r="U63" s="693"/>
      <c r="V63" s="694"/>
      <c r="W63" s="694"/>
      <c r="X63" s="754" t="s">
        <v>7126</v>
      </c>
      <c r="Y63" s="196">
        <v>100</v>
      </c>
      <c r="Z63" s="754" t="s">
        <v>5029</v>
      </c>
      <c r="AA63" s="694"/>
      <c r="AB63" s="845">
        <v>0.15</v>
      </c>
      <c r="AC63" s="696">
        <v>23</v>
      </c>
      <c r="AD63" s="697">
        <f ca="1">Rater!M472*IF(Rater!AA30=FALSE,1,Rater!$V$51)</f>
        <v>130</v>
      </c>
    </row>
    <row r="64" spans="1:30" s="172" customFormat="1" x14ac:dyDescent="0.25">
      <c r="A64" s="139">
        <f t="shared" ca="1" si="3"/>
        <v>1</v>
      </c>
      <c r="B64" s="683" t="s">
        <v>5345</v>
      </c>
      <c r="C64" s="684" t="s">
        <v>5348</v>
      </c>
      <c r="D64" s="684" t="s">
        <v>5167</v>
      </c>
      <c r="E64" s="685" t="s">
        <v>4946</v>
      </c>
      <c r="F64" s="787" t="s">
        <v>6051</v>
      </c>
      <c r="G64" s="686">
        <v>57</v>
      </c>
      <c r="H64" s="699" t="s">
        <v>5174</v>
      </c>
      <c r="I64" s="687" t="s">
        <v>5170</v>
      </c>
      <c r="J64" s="195"/>
      <c r="K64" s="689"/>
      <c r="L64" s="690"/>
      <c r="M64" s="691"/>
      <c r="N64" s="688">
        <v>1000</v>
      </c>
      <c r="O64" s="191" t="s">
        <v>5176</v>
      </c>
      <c r="P64" s="195"/>
      <c r="Q64" s="688"/>
      <c r="R64" s="688"/>
      <c r="S64" s="688"/>
      <c r="T64" s="688">
        <v>10</v>
      </c>
      <c r="U64" s="693"/>
      <c r="V64" s="694"/>
      <c r="W64" s="694"/>
      <c r="X64" s="754" t="s">
        <v>7126</v>
      </c>
      <c r="Y64" s="196">
        <v>100</v>
      </c>
      <c r="Z64" s="754" t="s">
        <v>5038</v>
      </c>
      <c r="AA64" s="694"/>
      <c r="AB64" s="845">
        <v>0.15</v>
      </c>
      <c r="AC64" s="696">
        <v>332</v>
      </c>
      <c r="AD64" s="697">
        <f ca="1">Rater!M462*IF(Rater!AA30=FALSE,1,Rater!$V$51)</f>
        <v>197</v>
      </c>
    </row>
    <row r="65" spans="1:30" s="181" customFormat="1" ht="25.5" x14ac:dyDescent="0.25">
      <c r="A65" s="139">
        <f t="shared" ca="1" si="3"/>
        <v>1</v>
      </c>
      <c r="B65" s="683" t="s">
        <v>5345</v>
      </c>
      <c r="C65" s="684" t="s">
        <v>5349</v>
      </c>
      <c r="D65" s="684" t="s">
        <v>5167</v>
      </c>
      <c r="E65" s="685" t="s">
        <v>4947</v>
      </c>
      <c r="F65" s="787" t="s">
        <v>6051</v>
      </c>
      <c r="G65" s="686">
        <v>57</v>
      </c>
      <c r="H65" s="699" t="s">
        <v>5174</v>
      </c>
      <c r="I65" s="687" t="s">
        <v>5170</v>
      </c>
      <c r="J65" s="195"/>
      <c r="K65" s="689"/>
      <c r="L65" s="690"/>
      <c r="M65" s="691"/>
      <c r="N65" s="688">
        <v>1000</v>
      </c>
      <c r="O65" s="191" t="s">
        <v>5176</v>
      </c>
      <c r="P65" s="195"/>
      <c r="Q65" s="688"/>
      <c r="R65" s="688"/>
      <c r="S65" s="688"/>
      <c r="T65" s="688">
        <v>10</v>
      </c>
      <c r="U65" s="693"/>
      <c r="V65" s="694"/>
      <c r="W65" s="694"/>
      <c r="X65" s="754" t="s">
        <v>7126</v>
      </c>
      <c r="Y65" s="196">
        <v>100</v>
      </c>
      <c r="Z65" s="754" t="s">
        <v>5038</v>
      </c>
      <c r="AA65" s="694"/>
      <c r="AB65" s="845">
        <v>0.15</v>
      </c>
      <c r="AC65" s="696">
        <v>332</v>
      </c>
      <c r="AD65" s="697">
        <f ca="1">Rater!M467*IF(Rater!AA30=FALSE,1,Rater!$V$51)</f>
        <v>197</v>
      </c>
    </row>
    <row r="66" spans="1:30" s="181" customFormat="1" hidden="1" x14ac:dyDescent="0.25">
      <c r="A66" s="139">
        <f t="shared" si="3"/>
        <v>0</v>
      </c>
      <c r="B66" s="683" t="s">
        <v>5345</v>
      </c>
      <c r="C66" s="684" t="s">
        <v>5350</v>
      </c>
      <c r="D66" s="684" t="s">
        <v>5167</v>
      </c>
      <c r="E66" s="685" t="s">
        <v>4949</v>
      </c>
      <c r="F66" s="787" t="s">
        <v>6051</v>
      </c>
      <c r="G66" s="686">
        <v>57</v>
      </c>
      <c r="H66" s="699" t="s">
        <v>5174</v>
      </c>
      <c r="I66" s="687" t="s">
        <v>5171</v>
      </c>
      <c r="J66" s="195"/>
      <c r="K66" s="689"/>
      <c r="L66" s="690"/>
      <c r="M66" s="691"/>
      <c r="N66" s="688">
        <v>0</v>
      </c>
      <c r="O66" s="191" t="s">
        <v>5176</v>
      </c>
      <c r="P66" s="195"/>
      <c r="Q66" s="688"/>
      <c r="R66" s="688"/>
      <c r="S66" s="688"/>
      <c r="T66" s="688">
        <v>10</v>
      </c>
      <c r="U66" s="693"/>
      <c r="V66" s="694"/>
      <c r="W66" s="694"/>
      <c r="X66" s="754" t="s">
        <v>7126</v>
      </c>
      <c r="Y66" s="196">
        <v>100</v>
      </c>
      <c r="Z66" s="754"/>
      <c r="AA66" s="694"/>
      <c r="AB66" s="845">
        <v>0.15</v>
      </c>
      <c r="AC66" s="696">
        <v>0</v>
      </c>
      <c r="AD66" s="697">
        <f>Rater!M454*IF(Rater!AA30=FALSE,1,Rater!$V$51)</f>
        <v>0</v>
      </c>
    </row>
    <row r="67" spans="1:30" s="181" customFormat="1" hidden="1" x14ac:dyDescent="0.25">
      <c r="A67" s="139">
        <f t="shared" ca="1" si="3"/>
        <v>0</v>
      </c>
      <c r="B67" s="683" t="s">
        <v>5345</v>
      </c>
      <c r="C67" s="684" t="s">
        <v>4941</v>
      </c>
      <c r="D67" s="684" t="s">
        <v>5167</v>
      </c>
      <c r="E67" s="685" t="s">
        <v>4950</v>
      </c>
      <c r="F67" s="787" t="s">
        <v>6051</v>
      </c>
      <c r="G67" s="686">
        <v>57</v>
      </c>
      <c r="H67" s="699" t="s">
        <v>5174</v>
      </c>
      <c r="I67" s="687" t="s">
        <v>5172</v>
      </c>
      <c r="J67" s="195"/>
      <c r="K67" s="689"/>
      <c r="L67" s="690"/>
      <c r="M67" s="691"/>
      <c r="N67" s="688">
        <v>0</v>
      </c>
      <c r="O67" s="191" t="s">
        <v>5176</v>
      </c>
      <c r="P67" s="195"/>
      <c r="Q67" s="688"/>
      <c r="R67" s="688"/>
      <c r="S67" s="688"/>
      <c r="T67" s="688">
        <v>10</v>
      </c>
      <c r="U67" s="693"/>
      <c r="V67" s="694"/>
      <c r="W67" s="694"/>
      <c r="X67" s="754" t="s">
        <v>7126</v>
      </c>
      <c r="Y67" s="196">
        <v>100</v>
      </c>
      <c r="Z67" s="754" t="s">
        <v>5032</v>
      </c>
      <c r="AA67" s="694"/>
      <c r="AB67" s="845">
        <v>0.15</v>
      </c>
      <c r="AC67" s="696">
        <v>0</v>
      </c>
      <c r="AD67" s="697">
        <f ca="1">Rater!M488*IF(Rater!AA30=FALSE,1,Rater!$V$51)</f>
        <v>0</v>
      </c>
    </row>
    <row r="68" spans="1:30" s="181" customFormat="1" hidden="1" x14ac:dyDescent="0.25">
      <c r="A68" s="139">
        <f t="shared" ca="1" si="3"/>
        <v>0</v>
      </c>
      <c r="B68" s="683" t="s">
        <v>5345</v>
      </c>
      <c r="C68" s="684" t="s">
        <v>4942</v>
      </c>
      <c r="D68" s="684" t="s">
        <v>5167</v>
      </c>
      <c r="E68" s="685" t="s">
        <v>4951</v>
      </c>
      <c r="F68" s="787" t="s">
        <v>6051</v>
      </c>
      <c r="G68" s="686">
        <v>57</v>
      </c>
      <c r="H68" s="699" t="s">
        <v>5174</v>
      </c>
      <c r="I68" s="687" t="s">
        <v>5170</v>
      </c>
      <c r="J68" s="195"/>
      <c r="K68" s="689"/>
      <c r="L68" s="690"/>
      <c r="M68" s="691"/>
      <c r="N68" s="688">
        <v>0</v>
      </c>
      <c r="O68" s="191" t="s">
        <v>5176</v>
      </c>
      <c r="P68" s="195"/>
      <c r="Q68" s="688"/>
      <c r="R68" s="688"/>
      <c r="S68" s="688"/>
      <c r="T68" s="688">
        <v>10</v>
      </c>
      <c r="U68" s="693"/>
      <c r="V68" s="694"/>
      <c r="W68" s="694"/>
      <c r="X68" s="754" t="s">
        <v>7126</v>
      </c>
      <c r="Y68" s="196">
        <v>100</v>
      </c>
      <c r="Z68" s="754" t="s">
        <v>5032</v>
      </c>
      <c r="AA68" s="694"/>
      <c r="AB68" s="845">
        <v>0.15</v>
      </c>
      <c r="AC68" s="696">
        <v>0</v>
      </c>
      <c r="AD68" s="697">
        <f ca="1">Rater!M496*IF(Rater!AA30=FALSE,1,Rater!$V$51)</f>
        <v>0</v>
      </c>
    </row>
    <row r="69" spans="1:30" s="181" customFormat="1" hidden="1" x14ac:dyDescent="0.25">
      <c r="A69" s="44">
        <f>IF(CoId=5,0,IF(AD69&lt;0.01,0,1))</f>
        <v>0</v>
      </c>
      <c r="B69" s="683" t="s">
        <v>5345</v>
      </c>
      <c r="C69" s="684" t="s">
        <v>5177</v>
      </c>
      <c r="D69" s="684" t="s">
        <v>5167</v>
      </c>
      <c r="E69" s="685" t="s">
        <v>5161</v>
      </c>
      <c r="F69" s="680" t="s">
        <v>5159</v>
      </c>
      <c r="G69" s="686">
        <v>57</v>
      </c>
      <c r="H69" s="195"/>
      <c r="I69" s="687" t="s">
        <v>6530</v>
      </c>
      <c r="J69" s="195"/>
      <c r="K69" s="689"/>
      <c r="L69" s="690"/>
      <c r="M69" s="691"/>
      <c r="N69" s="694"/>
      <c r="O69" s="195"/>
      <c r="P69" s="195"/>
      <c r="Q69" s="688"/>
      <c r="R69" s="688"/>
      <c r="S69" s="688"/>
      <c r="T69" s="688"/>
      <c r="U69" s="693"/>
      <c r="V69" s="694"/>
      <c r="W69" s="694"/>
      <c r="X69" s="755"/>
      <c r="Y69" s="195"/>
      <c r="Z69" s="784"/>
      <c r="AA69" s="694"/>
      <c r="AB69" s="846"/>
      <c r="AC69" s="919"/>
      <c r="AD69" s="920"/>
    </row>
    <row r="70" spans="1:30" s="181" customFormat="1" hidden="1" x14ac:dyDescent="0.25">
      <c r="A70" s="44">
        <f>IF(CoId=5,0,IF(AD70&lt;0.01,0,1))</f>
        <v>0</v>
      </c>
      <c r="B70" s="683" t="s">
        <v>5345</v>
      </c>
      <c r="C70" s="684" t="s">
        <v>5178</v>
      </c>
      <c r="D70" s="684" t="s">
        <v>5167</v>
      </c>
      <c r="E70" s="685" t="s">
        <v>5162</v>
      </c>
      <c r="F70" s="680" t="s">
        <v>5159</v>
      </c>
      <c r="G70" s="686">
        <v>57</v>
      </c>
      <c r="H70" s="195"/>
      <c r="I70" s="687" t="s">
        <v>6530</v>
      </c>
      <c r="J70" s="195"/>
      <c r="K70" s="689"/>
      <c r="L70" s="690"/>
      <c r="M70" s="691"/>
      <c r="N70" s="694"/>
      <c r="O70" s="195"/>
      <c r="P70" s="195"/>
      <c r="Q70" s="688"/>
      <c r="R70" s="688"/>
      <c r="S70" s="688"/>
      <c r="T70" s="688"/>
      <c r="U70" s="693"/>
      <c r="V70" s="694"/>
      <c r="W70" s="694"/>
      <c r="X70" s="755"/>
      <c r="Y70" s="195"/>
      <c r="Z70" s="784"/>
      <c r="AA70" s="694"/>
      <c r="AB70" s="846"/>
      <c r="AC70" s="919"/>
      <c r="AD70" s="920"/>
    </row>
    <row r="71" spans="1:30" s="181" customFormat="1" hidden="1" x14ac:dyDescent="0.25">
      <c r="A71" s="139">
        <f>IF(CoId=5,0,IF(OR(AD71="",AD71=0),0,1))</f>
        <v>0</v>
      </c>
      <c r="B71" s="199" t="s">
        <v>5345</v>
      </c>
      <c r="C71" s="158" t="s">
        <v>5179</v>
      </c>
      <c r="D71" s="183" t="s">
        <v>5167</v>
      </c>
      <c r="E71" s="200" t="s">
        <v>5163</v>
      </c>
      <c r="F71" s="680" t="s">
        <v>5159</v>
      </c>
      <c r="G71" s="185">
        <v>57</v>
      </c>
      <c r="H71" s="195"/>
      <c r="I71" s="687" t="s">
        <v>6530</v>
      </c>
      <c r="J71" s="195"/>
      <c r="K71" s="195"/>
      <c r="L71" s="195"/>
      <c r="M71" s="195"/>
      <c r="N71" s="694"/>
      <c r="O71" s="195"/>
      <c r="P71" s="195"/>
      <c r="Q71" s="195"/>
      <c r="R71" s="195"/>
      <c r="S71" s="195"/>
      <c r="T71" s="694"/>
      <c r="U71" s="195"/>
      <c r="V71" s="195"/>
      <c r="W71" s="195"/>
      <c r="X71" s="755"/>
      <c r="Y71" s="195"/>
      <c r="Z71" s="784"/>
      <c r="AA71" s="195"/>
      <c r="AB71" s="846"/>
      <c r="AC71" s="914"/>
      <c r="AD71" s="918"/>
    </row>
    <row r="72" spans="1:30" s="181" customFormat="1" hidden="1" x14ac:dyDescent="0.25">
      <c r="A72" s="139">
        <f>IF(CoId=5,0,IF(OR(AD72="",AD72=0),0,1))</f>
        <v>0</v>
      </c>
      <c r="B72" s="199" t="s">
        <v>5345</v>
      </c>
      <c r="C72" s="158" t="s">
        <v>5180</v>
      </c>
      <c r="D72" s="183" t="s">
        <v>5167</v>
      </c>
      <c r="E72" s="200" t="s">
        <v>5164</v>
      </c>
      <c r="F72" s="680" t="s">
        <v>5159</v>
      </c>
      <c r="G72" s="185">
        <v>57</v>
      </c>
      <c r="H72" s="195"/>
      <c r="I72" s="687" t="s">
        <v>6530</v>
      </c>
      <c r="J72" s="195"/>
      <c r="K72" s="195"/>
      <c r="L72" s="195"/>
      <c r="M72" s="195"/>
      <c r="N72" s="694"/>
      <c r="O72" s="195"/>
      <c r="P72" s="195"/>
      <c r="Q72" s="195"/>
      <c r="R72" s="195"/>
      <c r="S72" s="195"/>
      <c r="T72" s="694"/>
      <c r="U72" s="195"/>
      <c r="V72" s="195"/>
      <c r="W72" s="195"/>
      <c r="X72" s="755"/>
      <c r="Y72" s="195"/>
      <c r="Z72" s="784"/>
      <c r="AA72" s="195"/>
      <c r="AB72" s="846"/>
      <c r="AC72" s="779"/>
      <c r="AD72" s="908"/>
    </row>
    <row r="73" spans="1:30" s="181" customFormat="1" hidden="1" x14ac:dyDescent="0.25">
      <c r="A73" s="139">
        <f>IF(CoId=5,0,IF(OR(AD73="",AD73=0),0,1))</f>
        <v>0</v>
      </c>
      <c r="B73" s="199" t="s">
        <v>5345</v>
      </c>
      <c r="C73" s="158" t="s">
        <v>5181</v>
      </c>
      <c r="D73" s="183" t="s">
        <v>5167</v>
      </c>
      <c r="E73" s="200" t="s">
        <v>5165</v>
      </c>
      <c r="F73" s="680" t="s">
        <v>5159</v>
      </c>
      <c r="G73" s="185">
        <v>57</v>
      </c>
      <c r="H73" s="195"/>
      <c r="I73" s="687" t="s">
        <v>6530</v>
      </c>
      <c r="J73" s="195"/>
      <c r="K73" s="195"/>
      <c r="L73" s="195"/>
      <c r="M73" s="195"/>
      <c r="N73" s="694"/>
      <c r="O73" s="195"/>
      <c r="P73" s="195"/>
      <c r="Q73" s="195"/>
      <c r="R73" s="195"/>
      <c r="S73" s="195"/>
      <c r="T73" s="694"/>
      <c r="U73" s="195"/>
      <c r="V73" s="195"/>
      <c r="W73" s="195"/>
      <c r="X73" s="755"/>
      <c r="Y73" s="195"/>
      <c r="Z73" s="784"/>
      <c r="AA73" s="195"/>
      <c r="AB73" s="846"/>
      <c r="AC73" s="914"/>
      <c r="AD73" s="918"/>
    </row>
    <row r="74" spans="1:30" s="181" customFormat="1" ht="15.75" hidden="1" thickBot="1" x14ac:dyDescent="0.3">
      <c r="A74" s="139">
        <f t="shared" si="3"/>
        <v>0</v>
      </c>
      <c r="B74" s="706" t="s">
        <v>5345</v>
      </c>
      <c r="C74" s="707" t="s">
        <v>5182</v>
      </c>
      <c r="D74" s="708" t="s">
        <v>5167</v>
      </c>
      <c r="E74" s="709" t="s">
        <v>5166</v>
      </c>
      <c r="F74" s="682" t="s">
        <v>5159</v>
      </c>
      <c r="G74" s="710">
        <v>57</v>
      </c>
      <c r="H74" s="700"/>
      <c r="I74" s="924" t="s">
        <v>6530</v>
      </c>
      <c r="J74" s="700"/>
      <c r="K74" s="700"/>
      <c r="L74" s="700"/>
      <c r="M74" s="700"/>
      <c r="N74" s="700"/>
      <c r="O74" s="700"/>
      <c r="P74" s="700"/>
      <c r="Q74" s="700"/>
      <c r="R74" s="700"/>
      <c r="S74" s="700"/>
      <c r="T74" s="700"/>
      <c r="U74" s="700"/>
      <c r="V74" s="700"/>
      <c r="W74" s="700"/>
      <c r="X74" s="883"/>
      <c r="Y74" s="700"/>
      <c r="Z74" s="883"/>
      <c r="AA74" s="700"/>
      <c r="AB74" s="884"/>
      <c r="AC74" s="912"/>
      <c r="AD74" s="913"/>
    </row>
    <row r="75" spans="1:30" s="181" customFormat="1" hidden="1" x14ac:dyDescent="0.25">
      <c r="A75" s="139">
        <v>0</v>
      </c>
      <c r="G75" s="181">
        <v>57</v>
      </c>
      <c r="N75" s="181">
        <v>1000</v>
      </c>
      <c r="X75" s="181">
        <v>17</v>
      </c>
      <c r="AB75" s="181">
        <v>0.15</v>
      </c>
    </row>
    <row r="76" spans="1:30" s="181" customFormat="1" ht="15.75" thickBot="1" x14ac:dyDescent="0.3">
      <c r="A76" s="139">
        <f>IF(SUM(A81:A88)&gt;0,1,0)</f>
        <v>1</v>
      </c>
    </row>
    <row r="77" spans="1:30" s="181" customFormat="1" ht="15.75" x14ac:dyDescent="0.25">
      <c r="A77" s="139">
        <f>IF(SUM(A81:A88)&gt;0,1,0)</f>
        <v>1</v>
      </c>
      <c r="B77" s="113" t="s">
        <v>6055</v>
      </c>
      <c r="C77" s="114"/>
      <c r="D77" s="115"/>
      <c r="E77" s="64"/>
      <c r="F77" s="64"/>
      <c r="G77" s="117"/>
      <c r="H77" s="64"/>
      <c r="I77" s="60"/>
      <c r="J77" s="118"/>
      <c r="K77" s="118"/>
      <c r="L77" s="118"/>
      <c r="M77" s="119"/>
      <c r="N77" s="119"/>
      <c r="O77" s="119"/>
      <c r="P77" s="119"/>
      <c r="Q77" s="119"/>
      <c r="R77" s="64"/>
      <c r="S77" s="64"/>
      <c r="T77" s="64">
        <v>10</v>
      </c>
      <c r="U77" s="64"/>
      <c r="V77" s="64"/>
      <c r="W77" s="63"/>
    </row>
    <row r="78" spans="1:30" s="181" customFormat="1" x14ac:dyDescent="0.25">
      <c r="A78" s="139">
        <f>IF(SUM(A81:A88)&gt;0,1,0)</f>
        <v>1</v>
      </c>
      <c r="B78" s="120" t="s">
        <v>99</v>
      </c>
      <c r="C78" s="669" t="s">
        <v>5001</v>
      </c>
      <c r="D78" s="58"/>
      <c r="E78" s="73"/>
      <c r="F78" s="73"/>
      <c r="G78" s="73"/>
      <c r="H78" s="73"/>
      <c r="I78" s="121"/>
      <c r="J78" s="121"/>
      <c r="K78" s="121"/>
      <c r="L78" s="121"/>
      <c r="M78" s="58"/>
      <c r="N78" s="58"/>
      <c r="O78" s="58"/>
      <c r="P78" s="58"/>
      <c r="Q78" s="58"/>
      <c r="R78" s="73"/>
      <c r="S78" s="73"/>
      <c r="T78" s="73"/>
      <c r="U78" s="73"/>
      <c r="V78" s="73"/>
      <c r="W78" s="71"/>
    </row>
    <row r="79" spans="1:30" s="181" customFormat="1" x14ac:dyDescent="0.25">
      <c r="A79" s="139">
        <f>IF(SUM(A81:A88)&gt;0,1,0)</f>
        <v>1</v>
      </c>
      <c r="B79" s="122"/>
      <c r="C79" s="123"/>
      <c r="D79" s="73"/>
      <c r="E79" s="73"/>
      <c r="F79" s="73"/>
      <c r="G79" s="73"/>
      <c r="H79" s="73"/>
      <c r="I79" s="121"/>
      <c r="J79" s="121"/>
      <c r="K79" s="121"/>
      <c r="L79" s="121"/>
      <c r="M79" s="58"/>
      <c r="N79" s="58"/>
      <c r="O79" s="58"/>
      <c r="P79" s="58"/>
      <c r="Q79" s="58"/>
      <c r="R79" s="73"/>
      <c r="S79" s="73"/>
      <c r="T79" s="73"/>
      <c r="U79" s="73"/>
      <c r="V79" s="73"/>
      <c r="W79" s="71"/>
    </row>
    <row r="80" spans="1:30" s="181" customFormat="1" ht="51.75" x14ac:dyDescent="0.25">
      <c r="A80" s="139">
        <f>IF(SUM(A81:A88)&gt;0,1,0)</f>
        <v>1</v>
      </c>
      <c r="B80" s="124" t="s">
        <v>100</v>
      </c>
      <c r="C80" s="125" t="s">
        <v>101</v>
      </c>
      <c r="D80" s="126" t="s">
        <v>102</v>
      </c>
      <c r="E80" s="126" t="s">
        <v>104</v>
      </c>
      <c r="F80" s="125" t="s">
        <v>106</v>
      </c>
      <c r="G80" s="125" t="s">
        <v>107</v>
      </c>
      <c r="H80" s="125" t="s">
        <v>108</v>
      </c>
      <c r="I80" s="125" t="s">
        <v>109</v>
      </c>
      <c r="J80" s="127" t="s">
        <v>110</v>
      </c>
      <c r="K80" s="126" t="s">
        <v>111</v>
      </c>
      <c r="L80" s="125" t="s">
        <v>112</v>
      </c>
      <c r="M80" s="127" t="s">
        <v>113</v>
      </c>
      <c r="N80" s="126" t="s">
        <v>114</v>
      </c>
      <c r="O80" s="125" t="s">
        <v>115</v>
      </c>
      <c r="P80" s="125" t="s">
        <v>116</v>
      </c>
      <c r="Q80" s="126" t="s">
        <v>117</v>
      </c>
      <c r="R80" s="125" t="s">
        <v>118</v>
      </c>
      <c r="S80" s="125" t="s">
        <v>119</v>
      </c>
      <c r="T80" s="126" t="s">
        <v>120</v>
      </c>
      <c r="U80" s="126" t="s">
        <v>121</v>
      </c>
      <c r="V80" s="126" t="s">
        <v>122</v>
      </c>
      <c r="W80" s="128" t="s">
        <v>123</v>
      </c>
    </row>
    <row r="81" spans="1:34" s="181" customFormat="1" ht="15.75" hidden="1" x14ac:dyDescent="0.25">
      <c r="A81" s="139">
        <v>0</v>
      </c>
      <c r="B81" s="638"/>
      <c r="C81" s="622"/>
      <c r="D81" s="632"/>
      <c r="E81" s="628"/>
      <c r="F81" s="627"/>
      <c r="G81" s="628"/>
      <c r="H81" s="133"/>
      <c r="I81" s="133"/>
      <c r="J81" s="133"/>
      <c r="K81" s="133"/>
      <c r="L81" s="133"/>
      <c r="M81" s="635">
        <v>1000000</v>
      </c>
      <c r="N81" s="133"/>
      <c r="O81" s="635">
        <v>10000</v>
      </c>
      <c r="P81" s="133"/>
      <c r="Q81" s="133"/>
      <c r="R81" s="134"/>
      <c r="S81" s="133"/>
      <c r="T81" s="133"/>
      <c r="U81" s="635"/>
      <c r="V81" s="133"/>
      <c r="W81" s="644"/>
    </row>
    <row r="82" spans="1:34" s="181" customFormat="1" ht="15.75" x14ac:dyDescent="0.25">
      <c r="A82" s="139">
        <f t="shared" ref="A82:A88" si="4">IF(OR(M82="",M82=0),0,1)</f>
        <v>1</v>
      </c>
      <c r="B82" s="638" t="s">
        <v>6031</v>
      </c>
      <c r="C82" s="622" t="s">
        <v>6056</v>
      </c>
      <c r="D82" s="632" t="s">
        <v>6060</v>
      </c>
      <c r="E82" s="628"/>
      <c r="F82" s="906" t="s">
        <v>4934</v>
      </c>
      <c r="G82" s="628"/>
      <c r="H82" s="133"/>
      <c r="I82" s="628"/>
      <c r="J82" s="628"/>
      <c r="K82" s="628"/>
      <c r="L82" s="133"/>
      <c r="M82" s="635">
        <v>1000000</v>
      </c>
      <c r="N82" s="133"/>
      <c r="O82" s="635">
        <v>10000</v>
      </c>
      <c r="P82" s="133"/>
      <c r="Q82" s="133"/>
      <c r="R82" s="134"/>
      <c r="S82" s="133"/>
      <c r="T82" s="133"/>
      <c r="U82" s="635" t="s">
        <v>4932</v>
      </c>
      <c r="V82" s="133"/>
      <c r="W82" s="644" t="s">
        <v>4932</v>
      </c>
    </row>
    <row r="83" spans="1:34" s="181" customFormat="1" ht="15.75" x14ac:dyDescent="0.25">
      <c r="A83" s="139">
        <f t="shared" si="4"/>
        <v>1</v>
      </c>
      <c r="B83" s="638" t="s">
        <v>6031</v>
      </c>
      <c r="C83" s="623" t="s">
        <v>6057</v>
      </c>
      <c r="D83" s="633" t="s">
        <v>5002</v>
      </c>
      <c r="E83" s="628"/>
      <c r="F83" s="906" t="s">
        <v>4934</v>
      </c>
      <c r="G83" s="628"/>
      <c r="H83" s="628"/>
      <c r="I83" s="628"/>
      <c r="J83" s="628"/>
      <c r="K83" s="628"/>
      <c r="L83" s="628"/>
      <c r="M83" s="636">
        <v>1000000</v>
      </c>
      <c r="N83" s="628"/>
      <c r="O83" s="636">
        <v>10000</v>
      </c>
      <c r="P83" s="628"/>
      <c r="Q83" s="628"/>
      <c r="R83" s="629"/>
      <c r="S83" s="628"/>
      <c r="T83" s="628"/>
      <c r="U83" s="635" t="s">
        <v>4932</v>
      </c>
      <c r="V83" s="628"/>
      <c r="W83" s="645" t="s">
        <v>4932</v>
      </c>
    </row>
    <row r="84" spans="1:34" s="181" customFormat="1" ht="15.75" x14ac:dyDescent="0.25">
      <c r="A84" s="139">
        <f t="shared" si="4"/>
        <v>1</v>
      </c>
      <c r="B84" s="638" t="s">
        <v>6031</v>
      </c>
      <c r="C84" s="623" t="s">
        <v>5003</v>
      </c>
      <c r="D84" s="633" t="s">
        <v>6061</v>
      </c>
      <c r="E84" s="628"/>
      <c r="F84" s="906" t="s">
        <v>4934</v>
      </c>
      <c r="G84" s="628"/>
      <c r="H84" s="628"/>
      <c r="I84" s="628"/>
      <c r="J84" s="628"/>
      <c r="K84" s="628"/>
      <c r="L84" s="628"/>
      <c r="M84" s="636">
        <v>1000000</v>
      </c>
      <c r="N84" s="628"/>
      <c r="O84" s="636">
        <v>10000</v>
      </c>
      <c r="P84" s="628"/>
      <c r="Q84" s="628"/>
      <c r="R84" s="629"/>
      <c r="S84" s="628"/>
      <c r="T84" s="628"/>
      <c r="U84" s="635" t="s">
        <v>4932</v>
      </c>
      <c r="V84" s="628"/>
      <c r="W84" s="645" t="s">
        <v>4932</v>
      </c>
    </row>
    <row r="85" spans="1:34" s="181" customFormat="1" ht="15.75" hidden="1" x14ac:dyDescent="0.25">
      <c r="A85" s="139">
        <f t="shared" si="4"/>
        <v>0</v>
      </c>
      <c r="B85" s="638" t="s">
        <v>6031</v>
      </c>
      <c r="C85" s="623" t="s">
        <v>6058</v>
      </c>
      <c r="D85" s="633" t="s">
        <v>5004</v>
      </c>
      <c r="E85" s="628"/>
      <c r="F85" s="906" t="s">
        <v>4934</v>
      </c>
      <c r="G85" s="628"/>
      <c r="H85" s="628"/>
      <c r="I85" s="628"/>
      <c r="J85" s="628"/>
      <c r="K85" s="628"/>
      <c r="L85" s="628"/>
      <c r="M85" s="636">
        <v>0</v>
      </c>
      <c r="N85" s="628"/>
      <c r="O85" s="636">
        <v>0</v>
      </c>
      <c r="P85" s="628"/>
      <c r="Q85" s="628"/>
      <c r="R85" s="629"/>
      <c r="S85" s="628"/>
      <c r="T85" s="628"/>
      <c r="U85" s="635" t="s">
        <v>4932</v>
      </c>
      <c r="V85" s="628"/>
      <c r="W85" s="645" t="s">
        <v>4932</v>
      </c>
    </row>
    <row r="86" spans="1:34" s="181" customFormat="1" ht="15.75" hidden="1" x14ac:dyDescent="0.25">
      <c r="A86" s="139">
        <f t="shared" si="4"/>
        <v>0</v>
      </c>
      <c r="B86" s="638" t="s">
        <v>6031</v>
      </c>
      <c r="C86" s="623" t="s">
        <v>5005</v>
      </c>
      <c r="D86" s="633" t="s">
        <v>6062</v>
      </c>
      <c r="E86" s="628"/>
      <c r="F86" s="906" t="s">
        <v>4934</v>
      </c>
      <c r="G86" s="628"/>
      <c r="H86" s="628"/>
      <c r="I86" s="628"/>
      <c r="J86" s="628"/>
      <c r="K86" s="628"/>
      <c r="L86" s="628"/>
      <c r="M86" s="636">
        <v>0</v>
      </c>
      <c r="N86" s="628"/>
      <c r="O86" s="636">
        <v>10000</v>
      </c>
      <c r="P86" s="628"/>
      <c r="Q86" s="628"/>
      <c r="R86" s="629"/>
      <c r="S86" s="628"/>
      <c r="T86" s="628"/>
      <c r="U86" s="635" t="s">
        <v>4932</v>
      </c>
      <c r="V86" s="628"/>
      <c r="W86" s="645" t="s">
        <v>4932</v>
      </c>
    </row>
    <row r="87" spans="1:34" s="181" customFormat="1" ht="15.75" hidden="1" x14ac:dyDescent="0.25">
      <c r="A87" s="139">
        <f t="shared" si="4"/>
        <v>0</v>
      </c>
      <c r="B87" s="638" t="s">
        <v>6031</v>
      </c>
      <c r="C87" s="623" t="s">
        <v>6059</v>
      </c>
      <c r="D87" s="633" t="s">
        <v>5006</v>
      </c>
      <c r="E87" s="628"/>
      <c r="F87" s="906" t="s">
        <v>4934</v>
      </c>
      <c r="G87" s="628"/>
      <c r="H87" s="628"/>
      <c r="I87" s="628"/>
      <c r="J87" s="628"/>
      <c r="K87" s="628"/>
      <c r="L87" s="628"/>
      <c r="M87" s="636">
        <v>0</v>
      </c>
      <c r="N87" s="628"/>
      <c r="O87" s="636">
        <v>0</v>
      </c>
      <c r="P87" s="628"/>
      <c r="Q87" s="628"/>
      <c r="R87" s="629"/>
      <c r="S87" s="628"/>
      <c r="T87" s="628"/>
      <c r="U87" s="635" t="s">
        <v>4932</v>
      </c>
      <c r="V87" s="628"/>
      <c r="W87" s="645" t="s">
        <v>4932</v>
      </c>
    </row>
    <row r="88" spans="1:34" s="181" customFormat="1" ht="15.75" hidden="1" x14ac:dyDescent="0.25">
      <c r="A88" s="139">
        <f t="shared" si="4"/>
        <v>0</v>
      </c>
      <c r="B88" s="638" t="s">
        <v>6031</v>
      </c>
      <c r="C88" s="623" t="s">
        <v>5344</v>
      </c>
      <c r="D88" s="633" t="s">
        <v>6063</v>
      </c>
      <c r="E88" s="628"/>
      <c r="F88" s="906"/>
      <c r="G88" s="628"/>
      <c r="H88" s="628"/>
      <c r="I88" s="628"/>
      <c r="J88" s="628"/>
      <c r="K88" s="628"/>
      <c r="L88" s="628"/>
      <c r="M88" s="636">
        <v>0</v>
      </c>
      <c r="N88" s="628"/>
      <c r="O88" s="628"/>
      <c r="P88" s="628"/>
      <c r="Q88" s="628"/>
      <c r="R88" s="629"/>
      <c r="S88" s="628"/>
      <c r="T88" s="628"/>
      <c r="U88" s="635" t="s">
        <v>4932</v>
      </c>
      <c r="V88" s="628"/>
      <c r="W88" s="628"/>
    </row>
    <row r="89" spans="1:34" s="181" customFormat="1" hidden="1" x14ac:dyDescent="0.25">
      <c r="A89" s="139">
        <v>0</v>
      </c>
    </row>
    <row r="90" spans="1:34" s="181" customFormat="1" hidden="1" x14ac:dyDescent="0.25">
      <c r="A90" s="139">
        <f>IF(AD94="",0,1)</f>
        <v>0</v>
      </c>
    </row>
    <row r="91" spans="1:34" s="181" customFormat="1" ht="13.5" thickBot="1" x14ac:dyDescent="0.25">
      <c r="A91" s="175">
        <f ca="1">IF(SUM(A61:A90)&gt;0,1,0)</f>
        <v>1</v>
      </c>
      <c r="B91" s="646"/>
      <c r="C91" s="640"/>
      <c r="D91" s="647"/>
      <c r="E91" s="646"/>
      <c r="F91" s="646"/>
      <c r="G91" s="648"/>
      <c r="H91" s="701"/>
      <c r="I91" s="701"/>
      <c r="J91" s="705"/>
      <c r="K91" s="705"/>
      <c r="L91" s="705"/>
      <c r="M91" s="705"/>
      <c r="N91" s="705"/>
      <c r="O91" s="702"/>
      <c r="P91" s="705"/>
      <c r="Q91" s="705"/>
      <c r="R91" s="703"/>
      <c r="S91" s="703"/>
      <c r="T91" s="705"/>
      <c r="U91" s="705"/>
      <c r="V91" s="705"/>
      <c r="W91" s="705"/>
      <c r="X91" s="704"/>
      <c r="Y91" s="705"/>
    </row>
    <row r="92" spans="1:34" s="181" customFormat="1" ht="15.75" x14ac:dyDescent="0.25">
      <c r="A92" s="175">
        <f ca="1">IF(SUM(A95:A108)&gt;0,1,0)</f>
        <v>1</v>
      </c>
      <c r="B92" s="145" t="s">
        <v>124</v>
      </c>
      <c r="C92" s="146" t="s">
        <v>6054</v>
      </c>
      <c r="D92" s="173" t="str">
        <f>RtStCd</f>
        <v>04</v>
      </c>
      <c r="E92" s="64" t="s">
        <v>6047</v>
      </c>
      <c r="F92" s="907"/>
      <c r="G92" s="146"/>
      <c r="H92" s="146"/>
      <c r="I92" s="149"/>
      <c r="J92" s="150"/>
      <c r="K92" s="151"/>
      <c r="L92" s="152"/>
      <c r="M92" s="153"/>
      <c r="N92" s="119"/>
      <c r="O92" s="119"/>
      <c r="P92" s="119"/>
      <c r="Q92" s="119"/>
      <c r="R92" s="119"/>
      <c r="S92" s="119"/>
      <c r="T92" s="119"/>
      <c r="U92" s="119"/>
      <c r="V92" s="119"/>
      <c r="W92" s="64"/>
      <c r="X92" s="64"/>
      <c r="Y92" s="64"/>
      <c r="Z92" s="901">
        <f>PRODUCT(Rater!V384:V426)</f>
        <v>0.51949976043139701</v>
      </c>
      <c r="AA92" s="64"/>
      <c r="AB92" s="64"/>
      <c r="AC92" s="119"/>
      <c r="AD92" s="119"/>
      <c r="AE92" s="119"/>
      <c r="AF92" s="714"/>
      <c r="AG92" s="722"/>
      <c r="AH92" s="716"/>
    </row>
    <row r="93" spans="1:34" s="181" customFormat="1" ht="38.25" x14ac:dyDescent="0.2">
      <c r="A93" s="175">
        <f ca="1">IF(SUM(A95:A108)&gt;0,1,0)</f>
        <v>1</v>
      </c>
      <c r="B93" s="176" t="s">
        <v>100</v>
      </c>
      <c r="C93" s="177" t="s">
        <v>125</v>
      </c>
      <c r="D93" s="178" t="s">
        <v>126</v>
      </c>
      <c r="E93" s="179" t="s">
        <v>102</v>
      </c>
      <c r="F93" s="178" t="s">
        <v>127</v>
      </c>
      <c r="G93" s="179" t="s">
        <v>128</v>
      </c>
      <c r="H93" s="179" t="s">
        <v>5413</v>
      </c>
      <c r="I93" s="179" t="s">
        <v>129</v>
      </c>
      <c r="J93" s="179"/>
      <c r="K93" s="179" t="s">
        <v>117</v>
      </c>
      <c r="L93" s="179" t="s">
        <v>130</v>
      </c>
      <c r="M93" s="179" t="s">
        <v>131</v>
      </c>
      <c r="N93" s="179" t="s">
        <v>132</v>
      </c>
      <c r="O93" s="179" t="s">
        <v>135</v>
      </c>
      <c r="P93" s="179" t="s">
        <v>113</v>
      </c>
      <c r="Q93" s="179" t="s">
        <v>133</v>
      </c>
      <c r="R93" s="179" t="s">
        <v>147</v>
      </c>
      <c r="S93" s="179" t="s">
        <v>148</v>
      </c>
      <c r="T93" s="179" t="s">
        <v>149</v>
      </c>
      <c r="U93" s="179" t="s">
        <v>150</v>
      </c>
      <c r="V93" s="179" t="s">
        <v>137</v>
      </c>
      <c r="W93" s="179" t="s">
        <v>138</v>
      </c>
      <c r="X93" s="179" t="s">
        <v>139</v>
      </c>
      <c r="Y93" s="179" t="s">
        <v>5357</v>
      </c>
      <c r="Z93" s="179" t="s">
        <v>140</v>
      </c>
      <c r="AA93" s="179" t="s">
        <v>141</v>
      </c>
      <c r="AB93" s="179" t="s">
        <v>134</v>
      </c>
      <c r="AC93" s="179" t="s">
        <v>142</v>
      </c>
      <c r="AD93" s="179" t="s">
        <v>5199</v>
      </c>
      <c r="AE93" s="179" t="s">
        <v>143</v>
      </c>
      <c r="AF93" s="179" t="s">
        <v>144</v>
      </c>
      <c r="AG93" s="179" t="s">
        <v>145</v>
      </c>
      <c r="AH93" s="180" t="s">
        <v>5128</v>
      </c>
    </row>
    <row r="94" spans="1:34" s="181" customFormat="1" ht="12.75" hidden="1" x14ac:dyDescent="0.2">
      <c r="A94" s="175">
        <v>0</v>
      </c>
      <c r="B94" s="752"/>
      <c r="C94" s="751"/>
      <c r="D94" s="684"/>
      <c r="E94" s="752"/>
      <c r="F94" s="746"/>
      <c r="G94" s="752"/>
      <c r="H94" s="753"/>
      <c r="I94" s="753"/>
      <c r="J94" s="195"/>
      <c r="K94" s="737"/>
      <c r="L94" s="737"/>
      <c r="M94" s="737"/>
      <c r="N94" s="893"/>
      <c r="O94" s="739"/>
      <c r="P94" s="737"/>
      <c r="Q94" s="753"/>
      <c r="R94" s="753"/>
      <c r="S94" s="753"/>
      <c r="T94" s="753"/>
      <c r="U94" s="737"/>
      <c r="V94" s="737"/>
      <c r="W94" s="737"/>
      <c r="X94" s="695"/>
      <c r="Y94" s="695"/>
      <c r="Z94" s="754"/>
      <c r="AA94" s="737"/>
      <c r="AB94" s="845"/>
      <c r="AC94" s="881"/>
      <c r="AD94" s="881"/>
      <c r="AE94" s="882"/>
      <c r="AF94" s="715"/>
      <c r="AG94" s="715"/>
      <c r="AH94" s="717"/>
    </row>
    <row r="95" spans="1:34" s="181" customFormat="1" ht="12.75" x14ac:dyDescent="0.2">
      <c r="A95" s="175">
        <f t="shared" ref="A95:A102" ca="1" si="5">IF(OR(AG95="",AG95=0),0,1)</f>
        <v>1</v>
      </c>
      <c r="B95" s="862" t="s">
        <v>5001</v>
      </c>
      <c r="C95" s="863" t="s">
        <v>5352</v>
      </c>
      <c r="D95" s="863" t="s">
        <v>5198</v>
      </c>
      <c r="E95" s="870" t="s">
        <v>5183</v>
      </c>
      <c r="F95" s="864" t="s">
        <v>6052</v>
      </c>
      <c r="G95" s="865">
        <v>57</v>
      </c>
      <c r="H95" s="866" t="s">
        <v>5043</v>
      </c>
      <c r="I95" s="867" t="s">
        <v>5017</v>
      </c>
      <c r="J95" s="195"/>
      <c r="K95" s="868"/>
      <c r="L95" s="869">
        <v>1</v>
      </c>
      <c r="M95" s="869">
        <v>1</v>
      </c>
      <c r="N95" s="894" t="s">
        <v>5067</v>
      </c>
      <c r="O95" s="869"/>
      <c r="P95" s="869"/>
      <c r="Q95" s="871">
        <v>3</v>
      </c>
      <c r="R95" s="872"/>
      <c r="S95" s="873"/>
      <c r="T95" s="868"/>
      <c r="U95" s="868"/>
      <c r="V95" s="868"/>
      <c r="W95" s="873"/>
      <c r="X95" s="934">
        <v>10</v>
      </c>
      <c r="Y95" s="875" t="s">
        <v>5079</v>
      </c>
      <c r="Z95" s="864" t="s">
        <v>7126</v>
      </c>
      <c r="AA95" s="876">
        <v>100</v>
      </c>
      <c r="AB95" s="876"/>
      <c r="AC95" s="874">
        <v>5</v>
      </c>
      <c r="AD95" s="877">
        <v>9</v>
      </c>
      <c r="AE95" s="878">
        <v>0.15</v>
      </c>
      <c r="AF95" s="877">
        <v>344.48510641726443</v>
      </c>
      <c r="AG95" s="879">
        <f ca="1">(Rater!X439*Rater!V442)*IF(AA30=FALSE,1,Rater!$V$51)</f>
        <v>474.82278103429684</v>
      </c>
      <c r="AH95" s="880"/>
    </row>
    <row r="96" spans="1:34" s="181" customFormat="1" ht="12.75" x14ac:dyDescent="0.2">
      <c r="A96" s="175">
        <f t="shared" ca="1" si="5"/>
        <v>1</v>
      </c>
      <c r="B96" s="182" t="s">
        <v>5001</v>
      </c>
      <c r="C96" s="684" t="s">
        <v>5353</v>
      </c>
      <c r="D96" s="684" t="s">
        <v>5198</v>
      </c>
      <c r="E96" s="685" t="s">
        <v>5184</v>
      </c>
      <c r="F96" s="864" t="s">
        <v>6052</v>
      </c>
      <c r="G96" s="686">
        <v>57</v>
      </c>
      <c r="H96" s="785" t="s">
        <v>5043</v>
      </c>
      <c r="I96" s="699" t="s">
        <v>5017</v>
      </c>
      <c r="J96" s="195"/>
      <c r="K96" s="688"/>
      <c r="L96" s="719">
        <v>4</v>
      </c>
      <c r="M96" s="719">
        <v>1</v>
      </c>
      <c r="N96" s="892" t="s">
        <v>5067</v>
      </c>
      <c r="O96" s="719"/>
      <c r="P96" s="719"/>
      <c r="Q96" s="191">
        <v>3</v>
      </c>
      <c r="R96" s="692"/>
      <c r="S96" s="195"/>
      <c r="T96" s="688"/>
      <c r="U96" s="688"/>
      <c r="V96" s="688"/>
      <c r="W96" s="694"/>
      <c r="X96" s="935">
        <v>10</v>
      </c>
      <c r="Y96" s="753" t="s">
        <v>5079</v>
      </c>
      <c r="Z96" s="754" t="s">
        <v>7126</v>
      </c>
      <c r="AA96" s="196">
        <v>100</v>
      </c>
      <c r="AB96" s="695"/>
      <c r="AC96" s="737">
        <v>5</v>
      </c>
      <c r="AD96" s="696">
        <v>5</v>
      </c>
      <c r="AE96" s="845">
        <v>0.15</v>
      </c>
      <c r="AF96" s="696">
        <v>11</v>
      </c>
      <c r="AG96" s="715">
        <f ca="1">Rater!M446*IF(Rater!AA30=FALSE,1,Rater!$V$51)</f>
        <v>68</v>
      </c>
      <c r="AH96" s="717"/>
    </row>
    <row r="97" spans="1:34" s="181" customFormat="1" ht="12.75" x14ac:dyDescent="0.2">
      <c r="A97" s="175">
        <f t="shared" ca="1" si="5"/>
        <v>1</v>
      </c>
      <c r="B97" s="182" t="s">
        <v>5001</v>
      </c>
      <c r="C97" s="684" t="s">
        <v>5003</v>
      </c>
      <c r="D97" s="684" t="s">
        <v>5198</v>
      </c>
      <c r="E97" s="685" t="s">
        <v>5185</v>
      </c>
      <c r="F97" s="864" t="s">
        <v>6052</v>
      </c>
      <c r="G97" s="686">
        <v>57</v>
      </c>
      <c r="H97" s="785" t="s">
        <v>5043</v>
      </c>
      <c r="I97" s="699" t="s">
        <v>5017</v>
      </c>
      <c r="J97" s="195"/>
      <c r="K97" s="688"/>
      <c r="L97" s="719">
        <v>4</v>
      </c>
      <c r="M97" s="719">
        <v>1</v>
      </c>
      <c r="N97" s="892" t="s">
        <v>5067</v>
      </c>
      <c r="O97" s="719"/>
      <c r="P97" s="719"/>
      <c r="Q97" s="191">
        <v>3</v>
      </c>
      <c r="R97" s="692"/>
      <c r="S97" s="195"/>
      <c r="T97" s="688"/>
      <c r="U97" s="688"/>
      <c r="V97" s="688"/>
      <c r="W97" s="694"/>
      <c r="X97" s="935">
        <v>10</v>
      </c>
      <c r="Y97" s="753" t="s">
        <v>5079</v>
      </c>
      <c r="Z97" s="754" t="s">
        <v>7126</v>
      </c>
      <c r="AA97" s="196">
        <v>100</v>
      </c>
      <c r="AB97" s="695"/>
      <c r="AC97" s="737">
        <v>5</v>
      </c>
      <c r="AD97" s="696">
        <v>6</v>
      </c>
      <c r="AE97" s="845">
        <v>0.15</v>
      </c>
      <c r="AF97" s="696">
        <v>11</v>
      </c>
      <c r="AG97" s="715">
        <f ca="1">Rater!M480*IF(Rater!AA30=FALSE,1,Rater!$V$51)</f>
        <v>68</v>
      </c>
      <c r="AH97" s="717"/>
    </row>
    <row r="98" spans="1:34" s="181" customFormat="1" ht="12.75" hidden="1" x14ac:dyDescent="0.2">
      <c r="A98" s="175">
        <f t="shared" ca="1" si="5"/>
        <v>0</v>
      </c>
      <c r="B98" s="182" t="s">
        <v>5001</v>
      </c>
      <c r="C98" s="684" t="s">
        <v>5354</v>
      </c>
      <c r="D98" s="684" t="s">
        <v>5198</v>
      </c>
      <c r="E98" s="685" t="s">
        <v>5004</v>
      </c>
      <c r="F98" s="864" t="s">
        <v>6052</v>
      </c>
      <c r="G98" s="686">
        <v>57</v>
      </c>
      <c r="H98" s="785" t="s">
        <v>5043</v>
      </c>
      <c r="I98" s="699" t="s">
        <v>5017</v>
      </c>
      <c r="J98" s="195"/>
      <c r="K98" s="688"/>
      <c r="L98" s="719">
        <v>4</v>
      </c>
      <c r="M98" s="719">
        <v>1</v>
      </c>
      <c r="N98" s="892"/>
      <c r="O98" s="719"/>
      <c r="P98" s="719"/>
      <c r="Q98" s="191">
        <v>3</v>
      </c>
      <c r="R98" s="692"/>
      <c r="S98" s="195"/>
      <c r="T98" s="688"/>
      <c r="U98" s="688"/>
      <c r="V98" s="688"/>
      <c r="W98" s="694"/>
      <c r="X98" s="935">
        <v>10</v>
      </c>
      <c r="Y98" s="753" t="s">
        <v>5079</v>
      </c>
      <c r="Z98" s="754" t="s">
        <v>7126</v>
      </c>
      <c r="AA98" s="196">
        <v>100</v>
      </c>
      <c r="AB98" s="695"/>
      <c r="AC98" s="737">
        <v>5</v>
      </c>
      <c r="AD98" s="696">
        <v>6</v>
      </c>
      <c r="AE98" s="845">
        <v>0.15</v>
      </c>
      <c r="AF98" s="696">
        <v>0</v>
      </c>
      <c r="AG98" s="715">
        <f ca="1">Rater!M484*IF(Rater!AA30=FALSE,1,Rater!$V$51)</f>
        <v>0</v>
      </c>
      <c r="AH98" s="717"/>
    </row>
    <row r="99" spans="1:34" s="181" customFormat="1" ht="13.5" thickBot="1" x14ac:dyDescent="0.25">
      <c r="A99" s="175">
        <f t="shared" ca="1" si="5"/>
        <v>1</v>
      </c>
      <c r="B99" s="182" t="s">
        <v>5001</v>
      </c>
      <c r="C99" s="684" t="s">
        <v>5355</v>
      </c>
      <c r="D99" s="684" t="s">
        <v>5198</v>
      </c>
      <c r="E99" s="685" t="s">
        <v>5002</v>
      </c>
      <c r="F99" s="864" t="s">
        <v>6052</v>
      </c>
      <c r="G99" s="686">
        <v>57</v>
      </c>
      <c r="H99" s="785" t="s">
        <v>5043</v>
      </c>
      <c r="I99" s="699" t="s">
        <v>5017</v>
      </c>
      <c r="J99" s="195"/>
      <c r="K99" s="688"/>
      <c r="L99" s="719">
        <v>1</v>
      </c>
      <c r="M99" s="719">
        <v>1</v>
      </c>
      <c r="N99" s="892" t="s">
        <v>5067</v>
      </c>
      <c r="O99" s="719"/>
      <c r="P99" s="719"/>
      <c r="Q99" s="191">
        <v>3</v>
      </c>
      <c r="R99" s="692"/>
      <c r="S99" s="195"/>
      <c r="T99" s="688"/>
      <c r="U99" s="688"/>
      <c r="V99" s="688"/>
      <c r="W99" s="694"/>
      <c r="X99" s="935">
        <v>10</v>
      </c>
      <c r="Y99" s="753" t="s">
        <v>5017</v>
      </c>
      <c r="Z99" s="754" t="s">
        <v>7126</v>
      </c>
      <c r="AA99" s="196">
        <v>100</v>
      </c>
      <c r="AB99" s="695"/>
      <c r="AC99" s="737">
        <v>5</v>
      </c>
      <c r="AD99" s="696">
        <v>9</v>
      </c>
      <c r="AE99" s="845">
        <v>0.15</v>
      </c>
      <c r="AF99" s="696">
        <v>11</v>
      </c>
      <c r="AG99" s="715">
        <f ca="1">Rater!M476*IF(Rater!AA30=FALSE,1,Rater!$V$51)</f>
        <v>68</v>
      </c>
      <c r="AH99" s="717"/>
    </row>
    <row r="100" spans="1:34" s="181" customFormat="1" ht="12.75" hidden="1" x14ac:dyDescent="0.2">
      <c r="A100" s="175">
        <f t="shared" ca="1" si="5"/>
        <v>0</v>
      </c>
      <c r="B100" s="182" t="s">
        <v>5001</v>
      </c>
      <c r="C100" s="684" t="s">
        <v>5005</v>
      </c>
      <c r="D100" s="684" t="s">
        <v>5198</v>
      </c>
      <c r="E100" s="685" t="s">
        <v>5186</v>
      </c>
      <c r="F100" s="864" t="s">
        <v>6052</v>
      </c>
      <c r="G100" s="686">
        <v>57</v>
      </c>
      <c r="H100" s="785" t="s">
        <v>5043</v>
      </c>
      <c r="I100" s="699" t="s">
        <v>5017</v>
      </c>
      <c r="J100" s="195"/>
      <c r="K100" s="688"/>
      <c r="L100" s="719">
        <v>1</v>
      </c>
      <c r="M100" s="719">
        <v>1</v>
      </c>
      <c r="N100" s="892"/>
      <c r="O100" s="719"/>
      <c r="P100" s="719"/>
      <c r="Q100" s="191">
        <v>3</v>
      </c>
      <c r="R100" s="692"/>
      <c r="S100" s="195"/>
      <c r="T100" s="688"/>
      <c r="U100" s="688"/>
      <c r="V100" s="688"/>
      <c r="W100" s="694"/>
      <c r="X100" s="935">
        <v>10</v>
      </c>
      <c r="Y100" s="753" t="s">
        <v>5483</v>
      </c>
      <c r="Z100" s="754" t="s">
        <v>7126</v>
      </c>
      <c r="AA100" s="196">
        <v>100</v>
      </c>
      <c r="AB100" s="695"/>
      <c r="AC100" s="737">
        <v>7</v>
      </c>
      <c r="AD100" s="696">
        <v>9</v>
      </c>
      <c r="AE100" s="845">
        <v>0.15</v>
      </c>
      <c r="AF100" s="696">
        <v>0</v>
      </c>
      <c r="AG100" s="715">
        <f ca="1">Rater!M492*IF(Rater!AA30=FALSE,1,Rater!$V$51)</f>
        <v>0</v>
      </c>
      <c r="AH100" s="717"/>
    </row>
    <row r="101" spans="1:34" s="181" customFormat="1" ht="12.75" hidden="1" x14ac:dyDescent="0.2">
      <c r="A101" s="175">
        <f t="shared" si="5"/>
        <v>0</v>
      </c>
      <c r="B101" s="182" t="s">
        <v>5001</v>
      </c>
      <c r="C101" s="684" t="s">
        <v>5356</v>
      </c>
      <c r="D101" s="684" t="s">
        <v>5198</v>
      </c>
      <c r="E101" s="685" t="s">
        <v>5006</v>
      </c>
      <c r="F101" s="864" t="s">
        <v>6052</v>
      </c>
      <c r="G101" s="686">
        <v>57</v>
      </c>
      <c r="H101" s="785" t="s">
        <v>5043</v>
      </c>
      <c r="I101" s="699" t="s">
        <v>5017</v>
      </c>
      <c r="J101" s="195"/>
      <c r="K101" s="688"/>
      <c r="L101" s="719">
        <v>4</v>
      </c>
      <c r="M101" s="719">
        <v>1</v>
      </c>
      <c r="N101" s="892"/>
      <c r="O101" s="719"/>
      <c r="P101" s="719"/>
      <c r="Q101" s="191">
        <v>3</v>
      </c>
      <c r="R101" s="692"/>
      <c r="S101" s="195"/>
      <c r="T101" s="688"/>
      <c r="U101" s="688"/>
      <c r="V101" s="688"/>
      <c r="W101" s="694"/>
      <c r="X101" s="935">
        <v>10</v>
      </c>
      <c r="Y101" s="753" t="s">
        <v>5079</v>
      </c>
      <c r="Z101" s="754" t="s">
        <v>7126</v>
      </c>
      <c r="AA101" s="196">
        <v>100</v>
      </c>
      <c r="AB101" s="695"/>
      <c r="AC101" s="737"/>
      <c r="AD101" s="696">
        <v>8</v>
      </c>
      <c r="AE101" s="845">
        <v>0.15</v>
      </c>
      <c r="AF101" s="696">
        <v>0</v>
      </c>
      <c r="AG101" s="715">
        <f>Rater!M500*IF(Rater!AA30=FALSE,1,Rater!$V$51)</f>
        <v>0</v>
      </c>
      <c r="AH101" s="717"/>
    </row>
    <row r="102" spans="1:34" s="181" customFormat="1" ht="12.75" hidden="1" x14ac:dyDescent="0.2">
      <c r="A102" s="175">
        <f t="shared" si="5"/>
        <v>0</v>
      </c>
      <c r="B102" s="854" t="s">
        <v>5001</v>
      </c>
      <c r="C102" s="855" t="s">
        <v>6042</v>
      </c>
      <c r="D102" s="183" t="s">
        <v>5198</v>
      </c>
      <c r="E102" s="856" t="s">
        <v>5146</v>
      </c>
      <c r="F102" s="864" t="s">
        <v>6052</v>
      </c>
      <c r="G102" s="857">
        <v>57</v>
      </c>
      <c r="H102" s="785" t="s">
        <v>5043</v>
      </c>
      <c r="I102" s="699" t="s">
        <v>5017</v>
      </c>
      <c r="J102" s="195"/>
      <c r="K102" s="858"/>
      <c r="L102" s="719">
        <v>1</v>
      </c>
      <c r="M102" s="719">
        <v>1</v>
      </c>
      <c r="N102" s="892"/>
      <c r="O102" s="719"/>
      <c r="P102" s="719"/>
      <c r="Q102" s="191">
        <v>3</v>
      </c>
      <c r="R102" s="858"/>
      <c r="S102" s="858"/>
      <c r="T102" s="858"/>
      <c r="U102" s="858"/>
      <c r="V102" s="688"/>
      <c r="W102" s="858"/>
      <c r="X102" s="935">
        <v>10</v>
      </c>
      <c r="Y102" s="753" t="s">
        <v>5079</v>
      </c>
      <c r="Z102" s="754"/>
      <c r="AA102" s="196">
        <v>100</v>
      </c>
      <c r="AB102" s="859"/>
      <c r="AC102" s="860"/>
      <c r="AD102" s="861"/>
      <c r="AE102" s="845"/>
      <c r="AF102" s="696">
        <v>0</v>
      </c>
      <c r="AG102" s="715">
        <f>Rater!J506*Rater!V508</f>
        <v>0</v>
      </c>
      <c r="AH102" s="717"/>
    </row>
    <row r="103" spans="1:34" s="181" customFormat="1" hidden="1" x14ac:dyDescent="0.25">
      <c r="A103" s="44">
        <f>IF(CoId=5,0,IF(AG103&lt;0.01,0,1))</f>
        <v>0</v>
      </c>
      <c r="B103" s="182" t="s">
        <v>5001</v>
      </c>
      <c r="C103" s="684" t="s">
        <v>5193</v>
      </c>
      <c r="D103" s="684" t="s">
        <v>5198</v>
      </c>
      <c r="E103" s="685" t="s">
        <v>5187</v>
      </c>
      <c r="F103" s="680" t="s">
        <v>5159</v>
      </c>
      <c r="G103" s="686">
        <v>57</v>
      </c>
      <c r="H103" s="755"/>
      <c r="I103" s="195"/>
      <c r="J103" s="195"/>
      <c r="K103" s="688"/>
      <c r="L103" s="689"/>
      <c r="M103" s="689"/>
      <c r="N103" s="834"/>
      <c r="O103" s="689"/>
      <c r="P103" s="689"/>
      <c r="Q103" s="195"/>
      <c r="R103" s="692"/>
      <c r="S103" s="195"/>
      <c r="T103" s="688"/>
      <c r="U103" s="688"/>
      <c r="V103" s="694"/>
      <c r="W103" s="694"/>
      <c r="X103" s="936"/>
      <c r="Y103" s="753" t="s">
        <v>5079</v>
      </c>
      <c r="Z103" s="784"/>
      <c r="AA103" s="694"/>
      <c r="AB103" s="694"/>
      <c r="AC103" s="694"/>
      <c r="AD103" s="696">
        <v>9</v>
      </c>
      <c r="AE103" s="847"/>
      <c r="AF103" s="919"/>
      <c r="AG103" s="915"/>
      <c r="AH103" s="717"/>
    </row>
    <row r="104" spans="1:34" s="181" customFormat="1" hidden="1" x14ac:dyDescent="0.25">
      <c r="A104" s="44">
        <f>IF(CoId=5,0,IF(AG104&lt;0.01,0,1))</f>
        <v>0</v>
      </c>
      <c r="B104" s="182" t="s">
        <v>5001</v>
      </c>
      <c r="C104" s="684" t="s">
        <v>5194</v>
      </c>
      <c r="D104" s="684" t="s">
        <v>5198</v>
      </c>
      <c r="E104" s="685" t="s">
        <v>5188</v>
      </c>
      <c r="F104" s="680" t="s">
        <v>5159</v>
      </c>
      <c r="G104" s="686">
        <v>57</v>
      </c>
      <c r="H104" s="755"/>
      <c r="I104" s="195"/>
      <c r="J104" s="195"/>
      <c r="K104" s="688"/>
      <c r="L104" s="689"/>
      <c r="M104" s="689"/>
      <c r="N104" s="834"/>
      <c r="O104" s="689"/>
      <c r="P104" s="689"/>
      <c r="Q104" s="195"/>
      <c r="R104" s="692"/>
      <c r="S104" s="195"/>
      <c r="T104" s="688"/>
      <c r="U104" s="688"/>
      <c r="V104" s="694"/>
      <c r="W104" s="694"/>
      <c r="X104" s="936"/>
      <c r="Y104" s="753" t="s">
        <v>5079</v>
      </c>
      <c r="Z104" s="784"/>
      <c r="AA104" s="195"/>
      <c r="AB104" s="694"/>
      <c r="AC104" s="694"/>
      <c r="AD104" s="696">
        <v>9</v>
      </c>
      <c r="AE104" s="847"/>
      <c r="AF104" s="919"/>
      <c r="AG104" s="915"/>
      <c r="AH104" s="717"/>
    </row>
    <row r="105" spans="1:34" s="181" customFormat="1" ht="12.75" hidden="1" x14ac:dyDescent="0.2">
      <c r="A105" s="175">
        <f>IF(CoId=5,0,IF(OR(AG105="",AG105=0),0,1))</f>
        <v>0</v>
      </c>
      <c r="B105" s="182" t="s">
        <v>5001</v>
      </c>
      <c r="C105" s="684" t="s">
        <v>5195</v>
      </c>
      <c r="D105" s="684" t="s">
        <v>5198</v>
      </c>
      <c r="E105" s="685" t="s">
        <v>5189</v>
      </c>
      <c r="F105" s="680" t="s">
        <v>5159</v>
      </c>
      <c r="G105" s="686">
        <v>57</v>
      </c>
      <c r="H105" s="755"/>
      <c r="I105" s="195"/>
      <c r="J105" s="195"/>
      <c r="K105" s="688"/>
      <c r="L105" s="689"/>
      <c r="M105" s="689"/>
      <c r="N105" s="834"/>
      <c r="O105" s="689"/>
      <c r="P105" s="689"/>
      <c r="Q105" s="195"/>
      <c r="R105" s="692"/>
      <c r="S105" s="195"/>
      <c r="T105" s="688"/>
      <c r="U105" s="688"/>
      <c r="V105" s="694"/>
      <c r="W105" s="694"/>
      <c r="X105" s="936"/>
      <c r="Y105" s="753" t="s">
        <v>5079</v>
      </c>
      <c r="Z105" s="784"/>
      <c r="AA105" s="195"/>
      <c r="AB105" s="694"/>
      <c r="AC105" s="694"/>
      <c r="AD105" s="696">
        <v>9</v>
      </c>
      <c r="AE105" s="847"/>
      <c r="AF105" s="919"/>
      <c r="AG105" s="915"/>
      <c r="AH105" s="717"/>
    </row>
    <row r="106" spans="1:34" s="181" customFormat="1" ht="12.75" hidden="1" x14ac:dyDescent="0.2">
      <c r="A106" s="175">
        <f>IF(CoId=5,0,IF(OR(AG106="",AG106=0),0,1))</f>
        <v>0</v>
      </c>
      <c r="B106" s="182" t="s">
        <v>5001</v>
      </c>
      <c r="C106" s="158" t="s">
        <v>5196</v>
      </c>
      <c r="D106" s="183" t="s">
        <v>5198</v>
      </c>
      <c r="E106" s="200" t="s">
        <v>5190</v>
      </c>
      <c r="F106" s="680" t="s">
        <v>5159</v>
      </c>
      <c r="G106" s="185">
        <v>57</v>
      </c>
      <c r="H106" s="755"/>
      <c r="I106" s="195"/>
      <c r="J106" s="195"/>
      <c r="K106" s="195"/>
      <c r="L106" s="195"/>
      <c r="M106" s="195"/>
      <c r="N106" s="755"/>
      <c r="O106" s="195"/>
      <c r="P106" s="694"/>
      <c r="Q106" s="195"/>
      <c r="R106" s="195"/>
      <c r="S106" s="195"/>
      <c r="T106" s="195"/>
      <c r="U106" s="195"/>
      <c r="V106" s="694"/>
      <c r="W106" s="195"/>
      <c r="X106" s="937"/>
      <c r="Y106" s="753" t="s">
        <v>5079</v>
      </c>
      <c r="Z106" s="784"/>
      <c r="AA106" s="195"/>
      <c r="AB106" s="694"/>
      <c r="AC106" s="195"/>
      <c r="AD106" s="696">
        <v>9</v>
      </c>
      <c r="AE106" s="846"/>
      <c r="AF106" s="914"/>
      <c r="AG106" s="921"/>
      <c r="AH106" s="717"/>
    </row>
    <row r="107" spans="1:34" s="181" customFormat="1" ht="12.75" hidden="1" x14ac:dyDescent="0.2">
      <c r="A107" s="175">
        <f>IF(CoId=5,0,IF(OR(AG107="",AG107=0),0,1))</f>
        <v>0</v>
      </c>
      <c r="B107" s="182" t="s">
        <v>5001</v>
      </c>
      <c r="C107" s="158" t="s">
        <v>5197</v>
      </c>
      <c r="D107" s="183" t="s">
        <v>5198</v>
      </c>
      <c r="E107" s="200" t="s">
        <v>5191</v>
      </c>
      <c r="F107" s="680" t="s">
        <v>5159</v>
      </c>
      <c r="G107" s="185">
        <v>57</v>
      </c>
      <c r="H107" s="755" t="s">
        <v>5043</v>
      </c>
      <c r="I107" s="195"/>
      <c r="J107" s="195"/>
      <c r="K107" s="195"/>
      <c r="L107" s="195"/>
      <c r="M107" s="195"/>
      <c r="N107" s="755"/>
      <c r="O107" s="195"/>
      <c r="P107" s="694"/>
      <c r="Q107" s="195"/>
      <c r="R107" s="195"/>
      <c r="S107" s="195"/>
      <c r="T107" s="195"/>
      <c r="U107" s="195"/>
      <c r="V107" s="694"/>
      <c r="W107" s="195"/>
      <c r="X107" s="937">
        <v>10</v>
      </c>
      <c r="Y107" s="753" t="s">
        <v>5079</v>
      </c>
      <c r="Z107" s="784" t="s">
        <v>7126</v>
      </c>
      <c r="AA107" s="195"/>
      <c r="AB107" s="694"/>
      <c r="AC107" s="195"/>
      <c r="AD107" s="696">
        <v>9</v>
      </c>
      <c r="AE107" s="846">
        <v>0.15</v>
      </c>
      <c r="AF107" s="914"/>
      <c r="AG107" s="915"/>
      <c r="AH107" s="717"/>
    </row>
    <row r="108" spans="1:34" s="181" customFormat="1" ht="13.5" hidden="1" thickBot="1" x14ac:dyDescent="0.25">
      <c r="A108" s="175">
        <f>IF(OR(AG108="",AG108=0),0,1)</f>
        <v>0</v>
      </c>
      <c r="B108" s="706" t="s">
        <v>5001</v>
      </c>
      <c r="C108" s="707" t="s">
        <v>5813</v>
      </c>
      <c r="D108" s="708" t="s">
        <v>5198</v>
      </c>
      <c r="E108" s="709" t="s">
        <v>5192</v>
      </c>
      <c r="F108" s="864" t="s">
        <v>6052</v>
      </c>
      <c r="G108" s="710"/>
      <c r="H108" s="786"/>
      <c r="I108" s="721" t="s">
        <v>5079</v>
      </c>
      <c r="J108" s="195"/>
      <c r="K108" s="700"/>
      <c r="L108" s="720">
        <v>1</v>
      </c>
      <c r="M108" s="720">
        <v>1</v>
      </c>
      <c r="N108" s="895"/>
      <c r="O108" s="720"/>
      <c r="P108" s="720"/>
      <c r="Q108" s="720">
        <v>3</v>
      </c>
      <c r="R108" s="700"/>
      <c r="S108" s="700"/>
      <c r="T108" s="700"/>
      <c r="U108" s="700"/>
      <c r="V108" s="735"/>
      <c r="W108" s="700"/>
      <c r="X108" s="938"/>
      <c r="Y108" s="749" t="s">
        <v>5079</v>
      </c>
      <c r="Z108" s="902"/>
      <c r="AA108" s="698">
        <v>100</v>
      </c>
      <c r="AB108" s="698"/>
      <c r="AC108" s="735"/>
      <c r="AD108" s="826">
        <v>9</v>
      </c>
      <c r="AE108" s="848"/>
      <c r="AF108" s="826"/>
      <c r="AG108" s="909"/>
      <c r="AH108" s="718"/>
    </row>
    <row r="109" spans="1:34" s="181" customFormat="1" ht="12.75" hidden="1" x14ac:dyDescent="0.2">
      <c r="A109" s="175">
        <v>0</v>
      </c>
      <c r="B109" s="646"/>
      <c r="C109" s="640"/>
      <c r="D109" s="647"/>
      <c r="E109" s="646"/>
      <c r="F109" s="646"/>
      <c r="G109" s="648"/>
      <c r="H109" s="701"/>
      <c r="I109" s="701"/>
      <c r="J109" s="663"/>
      <c r="K109" s="663"/>
      <c r="L109" s="663"/>
      <c r="M109" s="663"/>
      <c r="N109" s="663"/>
      <c r="O109" s="711"/>
      <c r="P109" s="663"/>
      <c r="Q109" s="663"/>
      <c r="R109" s="664"/>
      <c r="S109" s="664"/>
      <c r="T109" s="663"/>
      <c r="U109" s="663"/>
      <c r="V109" s="663"/>
      <c r="W109" s="663"/>
      <c r="X109" s="712"/>
      <c r="Y109" s="663"/>
    </row>
    <row r="110" spans="1:34" s="181" customFormat="1" ht="12.75" hidden="1" x14ac:dyDescent="0.2">
      <c r="A110" s="175">
        <v>0</v>
      </c>
      <c r="B110" s="646"/>
      <c r="C110" s="640"/>
      <c r="D110" s="647"/>
      <c r="E110" s="646"/>
      <c r="F110" s="646"/>
      <c r="G110" s="648"/>
      <c r="H110" s="701"/>
      <c r="I110" s="701"/>
      <c r="J110" s="663"/>
      <c r="K110" s="663"/>
      <c r="L110" s="663"/>
      <c r="M110" s="663"/>
      <c r="N110" s="663"/>
      <c r="O110" s="711"/>
      <c r="P110" s="663"/>
      <c r="Q110" s="663"/>
      <c r="R110" s="664"/>
      <c r="S110" s="664"/>
      <c r="T110" s="663"/>
      <c r="U110" s="663"/>
      <c r="V110" s="663"/>
      <c r="W110" s="663"/>
      <c r="X110" s="712"/>
      <c r="Y110" s="663"/>
    </row>
    <row r="111" spans="1:34" s="181" customFormat="1" ht="12.75" hidden="1" x14ac:dyDescent="0.2">
      <c r="A111" s="175">
        <v>0</v>
      </c>
      <c r="B111" s="646"/>
      <c r="C111" s="640"/>
      <c r="D111" s="647"/>
      <c r="E111" s="646"/>
      <c r="F111" s="646"/>
      <c r="G111" s="648"/>
      <c r="H111" s="701"/>
      <c r="I111" s="701"/>
      <c r="J111" s="663"/>
      <c r="K111" s="663"/>
      <c r="L111" s="663"/>
      <c r="M111" s="663"/>
      <c r="N111" s="663"/>
      <c r="O111" s="711"/>
      <c r="P111" s="663"/>
      <c r="Q111" s="663"/>
      <c r="R111" s="664"/>
      <c r="S111" s="664"/>
      <c r="T111" s="663"/>
      <c r="U111" s="663"/>
      <c r="V111" s="663"/>
      <c r="W111" s="663"/>
      <c r="X111" s="712"/>
      <c r="Y111" s="663"/>
    </row>
    <row r="112" spans="1:34" s="181" customFormat="1" ht="12.75" hidden="1" x14ac:dyDescent="0.2">
      <c r="A112" s="175">
        <v>0</v>
      </c>
      <c r="B112" s="646"/>
      <c r="C112" s="640"/>
      <c r="D112" s="647"/>
      <c r="E112" s="646"/>
      <c r="F112" s="646"/>
      <c r="G112" s="648"/>
      <c r="H112" s="701"/>
      <c r="I112" s="701"/>
      <c r="J112" s="663"/>
      <c r="K112" s="663"/>
      <c r="L112" s="663"/>
      <c r="M112" s="663"/>
      <c r="N112" s="663"/>
      <c r="O112" s="711"/>
      <c r="P112" s="663"/>
      <c r="Q112" s="663"/>
      <c r="R112" s="664"/>
      <c r="S112" s="664"/>
      <c r="T112" s="663"/>
      <c r="U112" s="663"/>
      <c r="V112" s="663"/>
      <c r="W112" s="663"/>
      <c r="X112" s="712"/>
      <c r="Y112" s="663"/>
    </row>
    <row r="113" spans="1:28" s="181" customFormat="1" ht="12.75" hidden="1" x14ac:dyDescent="0.2">
      <c r="A113" s="175">
        <v>0</v>
      </c>
      <c r="B113" s="646"/>
      <c r="C113" s="640"/>
      <c r="D113" s="647"/>
      <c r="E113" s="646"/>
      <c r="F113" s="646"/>
      <c r="G113" s="648"/>
      <c r="H113" s="701"/>
      <c r="I113" s="701"/>
      <c r="J113" s="663"/>
      <c r="K113" s="663"/>
      <c r="L113" s="663"/>
      <c r="M113" s="663"/>
      <c r="N113" s="663"/>
      <c r="O113" s="711"/>
      <c r="P113" s="663"/>
      <c r="Q113" s="663"/>
      <c r="R113" s="664"/>
      <c r="S113" s="664"/>
      <c r="T113" s="663"/>
      <c r="U113" s="663"/>
      <c r="V113" s="663"/>
      <c r="W113" s="663"/>
      <c r="X113" s="712"/>
      <c r="Y113" s="663"/>
    </row>
    <row r="114" spans="1:28" s="181" customFormat="1" ht="12.75" hidden="1" x14ac:dyDescent="0.2">
      <c r="A114" s="175">
        <v>0</v>
      </c>
      <c r="B114" s="646"/>
      <c r="C114" s="640"/>
      <c r="D114" s="647"/>
      <c r="E114" s="646"/>
      <c r="F114" s="646"/>
      <c r="G114" s="648"/>
      <c r="H114" s="701"/>
      <c r="I114" s="701"/>
      <c r="J114" s="663"/>
      <c r="K114" s="663"/>
      <c r="L114" s="663"/>
      <c r="M114" s="663"/>
      <c r="N114" s="663"/>
      <c r="O114" s="711"/>
      <c r="P114" s="663"/>
      <c r="Q114" s="663"/>
      <c r="R114" s="664"/>
      <c r="S114" s="664"/>
      <c r="T114" s="663"/>
      <c r="U114" s="663"/>
      <c r="V114" s="663"/>
      <c r="W114" s="663"/>
      <c r="X114" s="712"/>
      <c r="Y114" s="663"/>
      <c r="Z114" s="663"/>
      <c r="AA114" s="713"/>
      <c r="AB114" s="713"/>
    </row>
    <row r="115" spans="1:28" s="181" customFormat="1" ht="12.75" hidden="1" x14ac:dyDescent="0.2">
      <c r="A115" s="175">
        <v>0</v>
      </c>
      <c r="B115" s="646"/>
      <c r="C115" s="640"/>
      <c r="D115" s="647"/>
      <c r="E115" s="646"/>
      <c r="F115" s="646"/>
      <c r="G115" s="648"/>
      <c r="H115" s="701"/>
      <c r="I115" s="701"/>
      <c r="J115" s="663"/>
      <c r="K115" s="663"/>
      <c r="L115" s="663"/>
      <c r="M115" s="663"/>
      <c r="N115" s="663"/>
      <c r="O115" s="711"/>
      <c r="P115" s="663"/>
      <c r="Q115" s="663"/>
      <c r="R115" s="664"/>
      <c r="S115" s="664"/>
      <c r="T115" s="663"/>
      <c r="U115" s="663"/>
      <c r="V115" s="663"/>
      <c r="W115" s="663"/>
      <c r="X115" s="712"/>
      <c r="Y115" s="663"/>
      <c r="Z115" s="663"/>
      <c r="AA115" s="713"/>
      <c r="AB115" s="713"/>
    </row>
    <row r="116" spans="1:28" s="181" customFormat="1" ht="12.75" hidden="1" x14ac:dyDescent="0.2">
      <c r="A116" s="175">
        <v>0</v>
      </c>
      <c r="B116" s="646"/>
      <c r="C116" s="640"/>
      <c r="D116" s="647"/>
      <c r="E116" s="646"/>
      <c r="F116" s="646"/>
      <c r="G116" s="648"/>
      <c r="H116" s="701"/>
      <c r="I116" s="701"/>
      <c r="J116" s="663"/>
      <c r="K116" s="663"/>
      <c r="L116" s="663"/>
      <c r="M116" s="663"/>
      <c r="N116" s="663"/>
      <c r="O116" s="711"/>
      <c r="P116" s="663"/>
      <c r="Q116" s="663"/>
      <c r="R116" s="664"/>
      <c r="S116" s="664"/>
      <c r="T116" s="663"/>
      <c r="U116" s="663"/>
      <c r="V116" s="663"/>
      <c r="W116" s="663"/>
      <c r="X116" s="712"/>
      <c r="Y116" s="663"/>
      <c r="Z116" s="663"/>
      <c r="AA116" s="713"/>
      <c r="AB116" s="713"/>
    </row>
    <row r="117" spans="1:28" s="181" customFormat="1" ht="12.75" hidden="1" x14ac:dyDescent="0.2">
      <c r="A117" s="175">
        <v>0</v>
      </c>
      <c r="B117" s="646"/>
      <c r="C117" s="640"/>
      <c r="D117" s="647"/>
      <c r="E117" s="646"/>
      <c r="F117" s="646"/>
      <c r="G117" s="648"/>
      <c r="H117" s="701"/>
      <c r="I117" s="701"/>
      <c r="J117" s="663"/>
      <c r="K117" s="663"/>
      <c r="L117" s="663"/>
      <c r="M117" s="663"/>
      <c r="N117" s="663"/>
      <c r="O117" s="711"/>
      <c r="P117" s="663"/>
      <c r="Q117" s="663"/>
      <c r="R117" s="664"/>
      <c r="S117" s="664"/>
      <c r="T117" s="663"/>
      <c r="U117" s="663"/>
      <c r="V117" s="663"/>
      <c r="W117" s="663"/>
      <c r="X117" s="712"/>
      <c r="Y117" s="663"/>
      <c r="Z117" s="663"/>
      <c r="AA117" s="713"/>
      <c r="AB117" s="713"/>
    </row>
    <row r="118" spans="1:28" s="181" customFormat="1" ht="12.75" hidden="1" x14ac:dyDescent="0.2">
      <c r="A118" s="175">
        <v>0</v>
      </c>
      <c r="B118" s="646"/>
      <c r="C118" s="640"/>
      <c r="D118" s="647"/>
      <c r="E118" s="646"/>
      <c r="F118" s="646"/>
      <c r="G118" s="648"/>
      <c r="H118" s="701"/>
      <c r="I118" s="701"/>
      <c r="J118" s="663"/>
      <c r="K118" s="663"/>
      <c r="L118" s="663"/>
      <c r="M118" s="663"/>
      <c r="N118" s="663"/>
      <c r="O118" s="711"/>
      <c r="P118" s="663"/>
      <c r="Q118" s="663"/>
      <c r="R118" s="664"/>
      <c r="S118" s="664"/>
      <c r="T118" s="663"/>
      <c r="U118" s="663"/>
      <c r="V118" s="663"/>
      <c r="W118" s="663"/>
      <c r="X118" s="712"/>
      <c r="Y118" s="663"/>
      <c r="Z118" s="663"/>
      <c r="AA118" s="713"/>
      <c r="AB118" s="713"/>
    </row>
    <row r="119" spans="1:28" s="181" customFormat="1" ht="12.75" hidden="1" x14ac:dyDescent="0.2">
      <c r="A119" s="175">
        <v>0</v>
      </c>
      <c r="B119" s="646"/>
      <c r="C119" s="640"/>
      <c r="D119" s="647"/>
      <c r="E119" s="646"/>
      <c r="F119" s="646"/>
      <c r="G119" s="648"/>
      <c r="H119" s="701"/>
      <c r="I119" s="701"/>
      <c r="J119" s="663"/>
      <c r="K119" s="663"/>
      <c r="L119" s="663"/>
      <c r="M119" s="663"/>
      <c r="N119" s="663"/>
      <c r="O119" s="711"/>
      <c r="P119" s="663"/>
      <c r="Q119" s="663"/>
      <c r="R119" s="664"/>
      <c r="S119" s="664"/>
      <c r="T119" s="663"/>
      <c r="U119" s="663"/>
      <c r="V119" s="663"/>
      <c r="W119" s="663"/>
      <c r="X119" s="712"/>
      <c r="Y119" s="663"/>
      <c r="Z119" s="663"/>
      <c r="AA119" s="713"/>
      <c r="AB119" s="713"/>
    </row>
    <row r="120" spans="1:28" s="181" customFormat="1" ht="12.75" hidden="1" x14ac:dyDescent="0.2">
      <c r="A120" s="175">
        <v>0</v>
      </c>
      <c r="B120" s="646"/>
      <c r="C120" s="640"/>
      <c r="D120" s="647"/>
      <c r="E120" s="646"/>
      <c r="F120" s="646"/>
      <c r="G120" s="648"/>
      <c r="H120" s="701"/>
      <c r="I120" s="701"/>
      <c r="J120" s="663"/>
      <c r="K120" s="663"/>
      <c r="L120" s="663"/>
      <c r="M120" s="663"/>
      <c r="N120" s="663"/>
      <c r="O120" s="711"/>
      <c r="P120" s="663"/>
      <c r="Q120" s="663"/>
      <c r="R120" s="664"/>
      <c r="S120" s="664"/>
      <c r="T120" s="663"/>
      <c r="U120" s="663"/>
      <c r="V120" s="663"/>
      <c r="W120" s="663"/>
      <c r="X120" s="712"/>
      <c r="Y120" s="663"/>
      <c r="Z120" s="663"/>
      <c r="AA120" s="713"/>
      <c r="AB120" s="713"/>
    </row>
    <row r="121" spans="1:28" s="181" customFormat="1" ht="12.75" hidden="1" x14ac:dyDescent="0.2">
      <c r="A121" s="175">
        <v>0</v>
      </c>
      <c r="B121" s="646"/>
      <c r="C121" s="640"/>
      <c r="D121" s="647"/>
      <c r="E121" s="646"/>
      <c r="F121" s="646"/>
      <c r="G121" s="648"/>
      <c r="H121" s="701"/>
      <c r="I121" s="701"/>
      <c r="J121" s="663"/>
      <c r="K121" s="663"/>
      <c r="L121" s="663"/>
      <c r="M121" s="663"/>
      <c r="N121" s="663"/>
      <c r="O121" s="711"/>
      <c r="P121" s="663"/>
      <c r="Q121" s="663"/>
      <c r="R121" s="664"/>
      <c r="S121" s="664"/>
      <c r="T121" s="663"/>
      <c r="U121" s="663"/>
      <c r="V121" s="663"/>
      <c r="W121" s="663"/>
      <c r="X121" s="712"/>
      <c r="Y121" s="663"/>
      <c r="Z121" s="663"/>
      <c r="AA121" s="713"/>
      <c r="AB121" s="713"/>
    </row>
    <row r="122" spans="1:28" s="181" customFormat="1" ht="12.75" hidden="1" x14ac:dyDescent="0.2">
      <c r="A122" s="175">
        <v>0</v>
      </c>
      <c r="B122" s="646"/>
      <c r="C122" s="640"/>
      <c r="D122" s="647"/>
      <c r="E122" s="646"/>
      <c r="F122" s="646"/>
      <c r="G122" s="648"/>
      <c r="H122" s="701"/>
      <c r="I122" s="701"/>
      <c r="J122" s="663"/>
      <c r="K122" s="663"/>
      <c r="L122" s="663"/>
      <c r="M122" s="663"/>
      <c r="N122" s="663"/>
      <c r="O122" s="711"/>
      <c r="P122" s="663"/>
      <c r="Q122" s="663"/>
      <c r="R122" s="664"/>
      <c r="S122" s="664"/>
      <c r="T122" s="663"/>
      <c r="U122" s="663"/>
      <c r="V122" s="663"/>
      <c r="W122" s="663"/>
      <c r="X122" s="712"/>
      <c r="Y122" s="663"/>
      <c r="Z122" s="663"/>
      <c r="AA122" s="713"/>
      <c r="AB122" s="713"/>
    </row>
    <row r="123" spans="1:28" s="181" customFormat="1" ht="12.75" hidden="1" x14ac:dyDescent="0.2">
      <c r="A123" s="175">
        <v>0</v>
      </c>
      <c r="B123" s="646"/>
      <c r="C123" s="640"/>
      <c r="D123" s="647"/>
      <c r="E123" s="646"/>
      <c r="F123" s="646"/>
      <c r="G123" s="648"/>
      <c r="H123" s="701"/>
      <c r="I123" s="701"/>
      <c r="J123" s="663"/>
      <c r="K123" s="663"/>
      <c r="L123" s="663"/>
      <c r="M123" s="663"/>
      <c r="N123" s="663"/>
      <c r="O123" s="711"/>
      <c r="P123" s="663"/>
      <c r="Q123" s="663"/>
      <c r="R123" s="664"/>
      <c r="S123" s="664"/>
      <c r="T123" s="663"/>
      <c r="U123" s="663"/>
      <c r="V123" s="663"/>
      <c r="W123" s="663"/>
      <c r="X123" s="712"/>
      <c r="Y123" s="663"/>
      <c r="Z123" s="663"/>
      <c r="AA123" s="713"/>
      <c r="AB123" s="713"/>
    </row>
    <row r="124" spans="1:28" s="181" customFormat="1" ht="13.5" hidden="1" thickBot="1" x14ac:dyDescent="0.25">
      <c r="A124" s="175">
        <v>0</v>
      </c>
      <c r="B124" s="646"/>
      <c r="C124" s="640"/>
      <c r="D124" s="647"/>
      <c r="E124" s="646"/>
      <c r="F124" s="646"/>
      <c r="G124" s="648"/>
      <c r="H124" s="650"/>
      <c r="I124" s="651"/>
      <c r="J124" s="650"/>
      <c r="K124" s="650"/>
      <c r="L124" s="650"/>
      <c r="M124" s="650"/>
      <c r="N124" s="650"/>
      <c r="O124" s="650"/>
      <c r="P124" s="650"/>
      <c r="Q124" s="650"/>
      <c r="R124" s="650"/>
      <c r="S124" s="650"/>
      <c r="T124" s="650"/>
      <c r="U124" s="650"/>
      <c r="V124" s="650"/>
      <c r="W124" s="650"/>
      <c r="X124" s="650"/>
      <c r="Y124" s="650"/>
      <c r="Z124" s="663"/>
      <c r="AA124" s="713"/>
      <c r="AB124" s="713"/>
    </row>
    <row r="125" spans="1:28" s="181" customFormat="1" ht="15.75" x14ac:dyDescent="0.25">
      <c r="A125" s="175">
        <f>IF(SUM(A129:A147)&gt;0,1,0)</f>
        <v>1</v>
      </c>
      <c r="B125" s="113" t="s">
        <v>4971</v>
      </c>
      <c r="C125" s="114"/>
      <c r="D125" s="115"/>
      <c r="E125" s="116"/>
      <c r="F125" s="64"/>
      <c r="G125" s="64"/>
      <c r="H125" s="64"/>
      <c r="I125" s="117"/>
      <c r="J125" s="64"/>
      <c r="K125" s="60"/>
      <c r="L125" s="118"/>
      <c r="M125" s="118"/>
      <c r="N125" s="118"/>
      <c r="O125" s="119"/>
      <c r="P125" s="119"/>
      <c r="Q125" s="119"/>
      <c r="R125" s="119"/>
      <c r="S125" s="119"/>
      <c r="T125" s="64"/>
      <c r="U125" s="64"/>
      <c r="V125" s="64"/>
      <c r="W125" s="64"/>
      <c r="X125" s="64"/>
      <c r="Y125" s="63"/>
      <c r="Z125" s="663"/>
      <c r="AA125" s="713"/>
      <c r="AB125" s="713"/>
    </row>
    <row r="126" spans="1:28" s="181" customFormat="1" ht="12.75" x14ac:dyDescent="0.2">
      <c r="A126" s="175">
        <f>IF(SUM(A129:A147)&gt;0,1,0)</f>
        <v>1</v>
      </c>
      <c r="B126" s="120" t="s">
        <v>99</v>
      </c>
      <c r="C126" s="669"/>
      <c r="D126" s="58"/>
      <c r="E126" s="58"/>
      <c r="F126" s="73"/>
      <c r="G126" s="73"/>
      <c r="H126" s="73"/>
      <c r="I126" s="73"/>
      <c r="J126" s="73"/>
      <c r="K126" s="121"/>
      <c r="L126" s="121"/>
      <c r="M126" s="121"/>
      <c r="N126" s="121"/>
      <c r="O126" s="58"/>
      <c r="P126" s="58"/>
      <c r="Q126" s="58"/>
      <c r="R126" s="58"/>
      <c r="S126" s="58"/>
      <c r="T126" s="73"/>
      <c r="U126" s="73"/>
      <c r="V126" s="73"/>
      <c r="W126" s="73"/>
      <c r="X126" s="73"/>
      <c r="Y126" s="71"/>
      <c r="Z126" s="663"/>
      <c r="AA126" s="713"/>
      <c r="AB126" s="713"/>
    </row>
    <row r="127" spans="1:28" s="181" customFormat="1" ht="12.75" x14ac:dyDescent="0.2">
      <c r="A127" s="175">
        <f>IF(SUM(A129:A147)&gt;0,1,0)</f>
        <v>1</v>
      </c>
      <c r="B127" s="122"/>
      <c r="C127" s="123"/>
      <c r="D127" s="73"/>
      <c r="E127" s="73"/>
      <c r="F127" s="73"/>
      <c r="G127" s="73"/>
      <c r="H127" s="73"/>
      <c r="I127" s="73"/>
      <c r="J127" s="73"/>
      <c r="K127" s="121"/>
      <c r="L127" s="121"/>
      <c r="M127" s="121"/>
      <c r="N127" s="121"/>
      <c r="O127" s="58"/>
      <c r="P127" s="58"/>
      <c r="Q127" s="58"/>
      <c r="R127" s="58"/>
      <c r="S127" s="58"/>
      <c r="T127" s="73"/>
      <c r="U127" s="73"/>
      <c r="V127" s="73"/>
      <c r="W127" s="73"/>
      <c r="X127" s="73"/>
      <c r="Y127" s="71"/>
      <c r="Z127" s="663"/>
      <c r="AA127" s="713"/>
      <c r="AB127" s="713"/>
    </row>
    <row r="128" spans="1:28" s="181" customFormat="1" ht="51" x14ac:dyDescent="0.2">
      <c r="A128" s="175">
        <f>IF(SUM(A129:A147)&gt;0,1,0)</f>
        <v>1</v>
      </c>
      <c r="B128" s="124" t="s">
        <v>100</v>
      </c>
      <c r="C128" s="125" t="s">
        <v>101</v>
      </c>
      <c r="D128" s="126" t="s">
        <v>102</v>
      </c>
      <c r="E128" s="126" t="s">
        <v>103</v>
      </c>
      <c r="F128" s="126" t="s">
        <v>104</v>
      </c>
      <c r="G128" s="126" t="s">
        <v>105</v>
      </c>
      <c r="H128" s="125" t="s">
        <v>106</v>
      </c>
      <c r="I128" s="125" t="s">
        <v>107</v>
      </c>
      <c r="J128" s="125" t="s">
        <v>108</v>
      </c>
      <c r="K128" s="125" t="s">
        <v>109</v>
      </c>
      <c r="L128" s="127" t="s">
        <v>110</v>
      </c>
      <c r="M128" s="126" t="s">
        <v>111</v>
      </c>
      <c r="N128" s="125" t="s">
        <v>112</v>
      </c>
      <c r="O128" s="127" t="s">
        <v>113</v>
      </c>
      <c r="P128" s="126" t="s">
        <v>114</v>
      </c>
      <c r="Q128" s="125" t="s">
        <v>115</v>
      </c>
      <c r="R128" s="125" t="s">
        <v>116</v>
      </c>
      <c r="S128" s="126" t="s">
        <v>117</v>
      </c>
      <c r="T128" s="125" t="s">
        <v>118</v>
      </c>
      <c r="U128" s="125" t="s">
        <v>119</v>
      </c>
      <c r="V128" s="126" t="s">
        <v>120</v>
      </c>
      <c r="W128" s="126" t="s">
        <v>121</v>
      </c>
      <c r="X128" s="126" t="s">
        <v>122</v>
      </c>
      <c r="Y128" s="128" t="s">
        <v>123</v>
      </c>
      <c r="Z128" s="663"/>
      <c r="AA128" s="713"/>
      <c r="AB128" s="713"/>
    </row>
    <row r="129" spans="1:27" s="181" customFormat="1" ht="15.75" x14ac:dyDescent="0.2">
      <c r="A129" s="175">
        <f t="shared" ref="A129:A147" si="6">IF(OR(L129="",L129=0),0,1)</f>
        <v>1</v>
      </c>
      <c r="B129" s="638" t="s">
        <v>6031</v>
      </c>
      <c r="C129" s="622" t="s">
        <v>5358</v>
      </c>
      <c r="D129" s="632" t="s">
        <v>4952</v>
      </c>
      <c r="E129" s="130"/>
      <c r="F129" s="131"/>
      <c r="G129" s="132"/>
      <c r="H129" s="627" t="s">
        <v>4933</v>
      </c>
      <c r="I129" s="628"/>
      <c r="J129" s="133"/>
      <c r="K129" s="133"/>
      <c r="L129" s="887">
        <v>1000000</v>
      </c>
      <c r="M129" s="635">
        <v>10000</v>
      </c>
      <c r="N129" s="133"/>
      <c r="O129" s="628"/>
      <c r="P129" s="133"/>
      <c r="Q129" s="133"/>
      <c r="R129" s="133"/>
      <c r="S129" s="133"/>
      <c r="T129" s="134"/>
      <c r="U129" s="133"/>
      <c r="V129" s="635" t="s">
        <v>4932</v>
      </c>
      <c r="W129" s="628"/>
      <c r="X129" s="636" t="s">
        <v>4932</v>
      </c>
      <c r="Y129" s="630"/>
      <c r="Z129" s="649"/>
      <c r="AA129" s="649"/>
    </row>
    <row r="130" spans="1:27" s="181" customFormat="1" ht="15.75" x14ac:dyDescent="0.2">
      <c r="A130" s="175">
        <f t="shared" si="6"/>
        <v>1</v>
      </c>
      <c r="B130" s="638" t="s">
        <v>6031</v>
      </c>
      <c r="C130" s="622" t="s">
        <v>5372</v>
      </c>
      <c r="D130" s="632" t="s">
        <v>4953</v>
      </c>
      <c r="E130" s="130"/>
      <c r="F130" s="138"/>
      <c r="G130" s="132"/>
      <c r="H130" s="627" t="s">
        <v>4933</v>
      </c>
      <c r="I130" s="628"/>
      <c r="J130" s="133"/>
      <c r="K130" s="628"/>
      <c r="L130" s="888">
        <v>1000000</v>
      </c>
      <c r="M130" s="628"/>
      <c r="N130" s="133"/>
      <c r="O130" s="628"/>
      <c r="P130" s="133"/>
      <c r="Q130" s="133"/>
      <c r="R130" s="133"/>
      <c r="S130" s="133"/>
      <c r="T130" s="134"/>
      <c r="U130" s="133"/>
      <c r="V130" s="635" t="s">
        <v>4932</v>
      </c>
      <c r="W130" s="628"/>
      <c r="X130" s="133"/>
      <c r="Y130" s="630"/>
      <c r="Z130" s="649"/>
      <c r="AA130" s="649"/>
    </row>
    <row r="131" spans="1:27" s="181" customFormat="1" ht="15.75" x14ac:dyDescent="0.2">
      <c r="A131" s="175">
        <f t="shared" si="6"/>
        <v>1</v>
      </c>
      <c r="B131" s="638" t="s">
        <v>6031</v>
      </c>
      <c r="C131" s="623" t="s">
        <v>5359</v>
      </c>
      <c r="D131" s="633" t="s">
        <v>4954</v>
      </c>
      <c r="E131" s="624"/>
      <c r="F131" s="625"/>
      <c r="G131" s="626"/>
      <c r="H131" s="627" t="s">
        <v>4933</v>
      </c>
      <c r="I131" s="628"/>
      <c r="J131" s="628"/>
      <c r="K131" s="628"/>
      <c r="L131" s="888">
        <v>1000000</v>
      </c>
      <c r="M131" s="628"/>
      <c r="N131" s="628"/>
      <c r="O131" s="628"/>
      <c r="P131" s="628"/>
      <c r="Q131" s="628"/>
      <c r="R131" s="628"/>
      <c r="S131" s="628"/>
      <c r="T131" s="629"/>
      <c r="U131" s="628"/>
      <c r="V131" s="636" t="s">
        <v>4932</v>
      </c>
      <c r="W131" s="628"/>
      <c r="X131" s="628"/>
      <c r="Y131" s="630"/>
      <c r="Z131" s="649"/>
      <c r="AA131" s="649"/>
    </row>
    <row r="132" spans="1:27" s="181" customFormat="1" ht="15.75" x14ac:dyDescent="0.2">
      <c r="A132" s="175">
        <f t="shared" si="6"/>
        <v>1</v>
      </c>
      <c r="B132" s="638" t="s">
        <v>6031</v>
      </c>
      <c r="C132" s="623" t="s">
        <v>5360</v>
      </c>
      <c r="D132" s="633" t="s">
        <v>4955</v>
      </c>
      <c r="E132" s="624"/>
      <c r="F132" s="625"/>
      <c r="G132" s="626"/>
      <c r="H132" s="627" t="s">
        <v>4933</v>
      </c>
      <c r="I132" s="628"/>
      <c r="J132" s="628"/>
      <c r="K132" s="628"/>
      <c r="L132" s="888">
        <v>1000000</v>
      </c>
      <c r="M132" s="628"/>
      <c r="N132" s="628"/>
      <c r="O132" s="628"/>
      <c r="P132" s="628"/>
      <c r="Q132" s="628"/>
      <c r="R132" s="628"/>
      <c r="S132" s="628"/>
      <c r="T132" s="629"/>
      <c r="U132" s="628"/>
      <c r="V132" s="636" t="s">
        <v>4932</v>
      </c>
      <c r="W132" s="628"/>
      <c r="X132" s="628"/>
      <c r="Y132" s="630"/>
      <c r="Z132" s="649"/>
      <c r="AA132" s="649"/>
    </row>
    <row r="133" spans="1:27" s="181" customFormat="1" ht="15.75" x14ac:dyDescent="0.2">
      <c r="A133" s="175">
        <f t="shared" si="6"/>
        <v>1</v>
      </c>
      <c r="B133" s="638" t="s">
        <v>6031</v>
      </c>
      <c r="C133" s="623" t="s">
        <v>5361</v>
      </c>
      <c r="D133" s="633" t="s">
        <v>4956</v>
      </c>
      <c r="E133" s="624"/>
      <c r="F133" s="625"/>
      <c r="G133" s="626"/>
      <c r="H133" s="627" t="s">
        <v>4933</v>
      </c>
      <c r="I133" s="628"/>
      <c r="J133" s="628"/>
      <c r="K133" s="628"/>
      <c r="L133" s="888">
        <v>1000000</v>
      </c>
      <c r="M133" s="628"/>
      <c r="N133" s="628"/>
      <c r="O133" s="628"/>
      <c r="P133" s="628"/>
      <c r="Q133" s="628"/>
      <c r="R133" s="628"/>
      <c r="S133" s="628"/>
      <c r="T133" s="629"/>
      <c r="U133" s="628"/>
      <c r="V133" s="636" t="s">
        <v>4932</v>
      </c>
      <c r="W133" s="628"/>
      <c r="X133" s="628"/>
      <c r="Y133" s="630"/>
      <c r="Z133" s="649"/>
      <c r="AA133" s="649"/>
    </row>
    <row r="134" spans="1:27" s="181" customFormat="1" ht="15.75" x14ac:dyDescent="0.2">
      <c r="A134" s="175">
        <f t="shared" si="6"/>
        <v>1</v>
      </c>
      <c r="B134" s="638" t="s">
        <v>6031</v>
      </c>
      <c r="C134" s="623" t="s">
        <v>5362</v>
      </c>
      <c r="D134" s="633" t="s">
        <v>4957</v>
      </c>
      <c r="E134" s="624"/>
      <c r="F134" s="625"/>
      <c r="G134" s="626"/>
      <c r="H134" s="627" t="s">
        <v>4933</v>
      </c>
      <c r="I134" s="628"/>
      <c r="J134" s="628"/>
      <c r="K134" s="628"/>
      <c r="L134" s="888">
        <v>1000000</v>
      </c>
      <c r="M134" s="628"/>
      <c r="N134" s="628"/>
      <c r="O134" s="628"/>
      <c r="P134" s="628"/>
      <c r="Q134" s="628"/>
      <c r="R134" s="628"/>
      <c r="S134" s="628"/>
      <c r="T134" s="629"/>
      <c r="U134" s="628"/>
      <c r="V134" s="636" t="s">
        <v>4932</v>
      </c>
      <c r="W134" s="628"/>
      <c r="X134" s="628"/>
      <c r="Y134" s="630"/>
      <c r="Z134" s="649"/>
      <c r="AA134" s="649"/>
    </row>
    <row r="135" spans="1:27" s="181" customFormat="1" ht="15.75" hidden="1" x14ac:dyDescent="0.2">
      <c r="A135" s="175">
        <f t="shared" si="6"/>
        <v>0</v>
      </c>
      <c r="B135" s="638" t="s">
        <v>6031</v>
      </c>
      <c r="C135" s="623" t="s">
        <v>5363</v>
      </c>
      <c r="D135" s="633" t="s">
        <v>4958</v>
      </c>
      <c r="E135" s="624"/>
      <c r="F135" s="625"/>
      <c r="G135" s="626"/>
      <c r="H135" s="627" t="s">
        <v>4933</v>
      </c>
      <c r="I135" s="628"/>
      <c r="J135" s="628"/>
      <c r="K135" s="628"/>
      <c r="L135" s="889"/>
      <c r="M135" s="628"/>
      <c r="N135" s="628"/>
      <c r="O135" s="888">
        <v>1000000</v>
      </c>
      <c r="P135" s="628"/>
      <c r="Q135" s="628"/>
      <c r="R135" s="628"/>
      <c r="S135" s="628"/>
      <c r="T135" s="629"/>
      <c r="U135" s="628"/>
      <c r="V135" s="628"/>
      <c r="W135" s="635" t="s">
        <v>4932</v>
      </c>
      <c r="X135" s="628"/>
      <c r="Y135" s="630"/>
      <c r="Z135" s="649"/>
      <c r="AA135" s="649"/>
    </row>
    <row r="136" spans="1:27" s="181" customFormat="1" ht="15.75" hidden="1" x14ac:dyDescent="0.2">
      <c r="A136" s="175">
        <f t="shared" si="6"/>
        <v>0</v>
      </c>
      <c r="B136" s="638" t="s">
        <v>6031</v>
      </c>
      <c r="C136" s="623" t="s">
        <v>5364</v>
      </c>
      <c r="D136" s="633" t="s">
        <v>4959</v>
      </c>
      <c r="E136" s="624"/>
      <c r="F136" s="625"/>
      <c r="G136" s="626"/>
      <c r="H136" s="627" t="s">
        <v>4933</v>
      </c>
      <c r="I136" s="628"/>
      <c r="J136" s="628"/>
      <c r="K136" s="628"/>
      <c r="L136" s="889"/>
      <c r="M136" s="628"/>
      <c r="N136" s="628"/>
      <c r="O136" s="888">
        <v>1000000</v>
      </c>
      <c r="P136" s="628"/>
      <c r="Q136" s="628"/>
      <c r="R136" s="628"/>
      <c r="S136" s="628"/>
      <c r="T136" s="629"/>
      <c r="U136" s="628"/>
      <c r="V136" s="628"/>
      <c r="W136" s="636" t="s">
        <v>4932</v>
      </c>
      <c r="X136" s="628"/>
      <c r="Y136" s="630"/>
      <c r="Z136" s="649"/>
      <c r="AA136" s="649"/>
    </row>
    <row r="137" spans="1:27" s="181" customFormat="1" ht="15.75" hidden="1" x14ac:dyDescent="0.2">
      <c r="A137" s="175">
        <f t="shared" si="6"/>
        <v>0</v>
      </c>
      <c r="B137" s="638" t="s">
        <v>6031</v>
      </c>
      <c r="C137" s="623" t="s">
        <v>5373</v>
      </c>
      <c r="D137" s="633" t="s">
        <v>4960</v>
      </c>
      <c r="E137" s="624"/>
      <c r="F137" s="625"/>
      <c r="G137" s="626"/>
      <c r="H137" s="627" t="s">
        <v>4933</v>
      </c>
      <c r="I137" s="628"/>
      <c r="J137" s="628"/>
      <c r="K137" s="628"/>
      <c r="L137" s="888">
        <v>0</v>
      </c>
      <c r="M137" s="628"/>
      <c r="N137" s="628"/>
      <c r="O137" s="889"/>
      <c r="P137" s="628"/>
      <c r="Q137" s="628"/>
      <c r="R137" s="628"/>
      <c r="S137" s="628"/>
      <c r="T137" s="629"/>
      <c r="U137" s="628"/>
      <c r="V137" s="636" t="s">
        <v>4932</v>
      </c>
      <c r="W137" s="628"/>
      <c r="X137" s="628"/>
      <c r="Y137" s="630"/>
      <c r="Z137" s="649"/>
      <c r="AA137" s="649"/>
    </row>
    <row r="138" spans="1:27" s="181" customFormat="1" ht="15.75" hidden="1" x14ac:dyDescent="0.2">
      <c r="A138" s="175">
        <f t="shared" si="6"/>
        <v>0</v>
      </c>
      <c r="B138" s="638" t="s">
        <v>6031</v>
      </c>
      <c r="C138" s="623" t="s">
        <v>5374</v>
      </c>
      <c r="D138" s="633" t="s">
        <v>4961</v>
      </c>
      <c r="E138" s="624"/>
      <c r="F138" s="625"/>
      <c r="G138" s="626"/>
      <c r="H138" s="627" t="s">
        <v>4933</v>
      </c>
      <c r="I138" s="628"/>
      <c r="J138" s="628"/>
      <c r="K138" s="628"/>
      <c r="L138" s="888">
        <v>0</v>
      </c>
      <c r="M138" s="628"/>
      <c r="N138" s="628"/>
      <c r="O138" s="889"/>
      <c r="P138" s="628"/>
      <c r="Q138" s="628"/>
      <c r="R138" s="628"/>
      <c r="S138" s="628"/>
      <c r="T138" s="629"/>
      <c r="U138" s="628"/>
      <c r="V138" s="636" t="s">
        <v>4932</v>
      </c>
      <c r="W138" s="628"/>
      <c r="X138" s="628"/>
      <c r="Y138" s="630"/>
      <c r="Z138" s="649"/>
      <c r="AA138" s="649"/>
    </row>
    <row r="139" spans="1:27" s="181" customFormat="1" ht="15.75" x14ac:dyDescent="0.2">
      <c r="A139" s="175">
        <f t="shared" si="6"/>
        <v>1</v>
      </c>
      <c r="B139" s="638" t="s">
        <v>6031</v>
      </c>
      <c r="C139" s="623" t="s">
        <v>5365</v>
      </c>
      <c r="D139" s="633" t="s">
        <v>4962</v>
      </c>
      <c r="E139" s="624"/>
      <c r="F139" s="625"/>
      <c r="G139" s="626"/>
      <c r="H139" s="627" t="s">
        <v>4933</v>
      </c>
      <c r="I139" s="628"/>
      <c r="J139" s="628"/>
      <c r="K139" s="628"/>
      <c r="L139" s="888">
        <v>1000000</v>
      </c>
      <c r="M139" s="628"/>
      <c r="N139" s="628"/>
      <c r="O139" s="888">
        <v>0</v>
      </c>
      <c r="P139" s="628"/>
      <c r="Q139" s="628"/>
      <c r="R139" s="628"/>
      <c r="S139" s="628"/>
      <c r="T139" s="629"/>
      <c r="U139" s="628"/>
      <c r="V139" s="636" t="s">
        <v>4932</v>
      </c>
      <c r="W139" s="636" t="s">
        <v>4932</v>
      </c>
      <c r="X139" s="628"/>
      <c r="Y139" s="630"/>
      <c r="Z139" s="649"/>
      <c r="AA139" s="649"/>
    </row>
    <row r="140" spans="1:27" s="181" customFormat="1" ht="15.75" x14ac:dyDescent="0.2">
      <c r="A140" s="175">
        <f t="shared" si="6"/>
        <v>1</v>
      </c>
      <c r="B140" s="638" t="s">
        <v>6031</v>
      </c>
      <c r="C140" s="623" t="s">
        <v>5366</v>
      </c>
      <c r="D140" s="633" t="s">
        <v>4963</v>
      </c>
      <c r="E140" s="624"/>
      <c r="F140" s="625"/>
      <c r="G140" s="626"/>
      <c r="H140" s="627" t="s">
        <v>4933</v>
      </c>
      <c r="I140" s="628"/>
      <c r="J140" s="628"/>
      <c r="K140" s="628"/>
      <c r="L140" s="888">
        <v>250000</v>
      </c>
      <c r="M140" s="628"/>
      <c r="N140" s="628"/>
      <c r="O140" s="888">
        <v>0</v>
      </c>
      <c r="P140" s="628"/>
      <c r="Q140" s="628"/>
      <c r="R140" s="628"/>
      <c r="S140" s="628"/>
      <c r="T140" s="629"/>
      <c r="U140" s="628"/>
      <c r="V140" s="636" t="s">
        <v>4932</v>
      </c>
      <c r="W140" s="636" t="s">
        <v>4932</v>
      </c>
      <c r="X140" s="628"/>
      <c r="Y140" s="630"/>
      <c r="Z140" s="649"/>
      <c r="AA140" s="649"/>
    </row>
    <row r="141" spans="1:27" s="181" customFormat="1" ht="15.75" hidden="1" x14ac:dyDescent="0.2">
      <c r="A141" s="175">
        <f t="shared" si="6"/>
        <v>0</v>
      </c>
      <c r="B141" s="638" t="s">
        <v>6031</v>
      </c>
      <c r="C141" s="623" t="s">
        <v>6037</v>
      </c>
      <c r="D141" s="633" t="s">
        <v>4964</v>
      </c>
      <c r="E141" s="624"/>
      <c r="F141" s="625"/>
      <c r="G141" s="626"/>
      <c r="H141" s="627" t="s">
        <v>4933</v>
      </c>
      <c r="I141" s="628"/>
      <c r="J141" s="628"/>
      <c r="K141" s="628"/>
      <c r="L141" s="889"/>
      <c r="M141" s="628"/>
      <c r="N141" s="628"/>
      <c r="O141" s="888">
        <v>0</v>
      </c>
      <c r="P141" s="628"/>
      <c r="Q141" s="628"/>
      <c r="R141" s="628"/>
      <c r="S141" s="628"/>
      <c r="T141" s="629"/>
      <c r="U141" s="628"/>
      <c r="V141" s="628"/>
      <c r="W141" s="636" t="s">
        <v>4932</v>
      </c>
      <c r="X141" s="628"/>
      <c r="Y141" s="630"/>
      <c r="Z141" s="649"/>
      <c r="AA141" s="649"/>
    </row>
    <row r="142" spans="1:27" s="181" customFormat="1" ht="15.75" hidden="1" x14ac:dyDescent="0.2">
      <c r="A142" s="175">
        <f t="shared" si="6"/>
        <v>0</v>
      </c>
      <c r="B142" s="638" t="s">
        <v>6031</v>
      </c>
      <c r="C142" s="623" t="s">
        <v>5367</v>
      </c>
      <c r="D142" s="633" t="s">
        <v>4965</v>
      </c>
      <c r="E142" s="624"/>
      <c r="F142" s="625"/>
      <c r="G142" s="626"/>
      <c r="H142" s="627" t="s">
        <v>4933</v>
      </c>
      <c r="I142" s="628"/>
      <c r="J142" s="628"/>
      <c r="K142" s="628"/>
      <c r="L142" s="889"/>
      <c r="M142" s="628"/>
      <c r="N142" s="628"/>
      <c r="O142" s="888">
        <v>0</v>
      </c>
      <c r="P142" s="628"/>
      <c r="Q142" s="628"/>
      <c r="R142" s="628"/>
      <c r="S142" s="628"/>
      <c r="T142" s="629"/>
      <c r="U142" s="628"/>
      <c r="V142" s="628"/>
      <c r="W142" s="636" t="s">
        <v>4932</v>
      </c>
      <c r="X142" s="628"/>
      <c r="Y142" s="630"/>
      <c r="Z142" s="649"/>
      <c r="AA142" s="649"/>
    </row>
    <row r="143" spans="1:27" s="181" customFormat="1" ht="15.75" x14ac:dyDescent="0.2">
      <c r="A143" s="175">
        <f t="shared" si="6"/>
        <v>1</v>
      </c>
      <c r="B143" s="638" t="s">
        <v>6031</v>
      </c>
      <c r="C143" s="623" t="s">
        <v>5368</v>
      </c>
      <c r="D143" s="633" t="s">
        <v>4966</v>
      </c>
      <c r="E143" s="624"/>
      <c r="F143" s="625"/>
      <c r="G143" s="626"/>
      <c r="H143" s="627" t="s">
        <v>4933</v>
      </c>
      <c r="I143" s="628"/>
      <c r="J143" s="628"/>
      <c r="K143" s="628"/>
      <c r="L143" s="888">
        <v>1000000</v>
      </c>
      <c r="M143" s="628"/>
      <c r="N143" s="628"/>
      <c r="O143" s="888">
        <v>0</v>
      </c>
      <c r="P143" s="628"/>
      <c r="Q143" s="628"/>
      <c r="R143" s="628"/>
      <c r="S143" s="628"/>
      <c r="T143" s="629"/>
      <c r="U143" s="628"/>
      <c r="V143" s="627" t="s">
        <v>4932</v>
      </c>
      <c r="W143" s="636" t="s">
        <v>4932</v>
      </c>
      <c r="X143" s="628"/>
      <c r="Y143" s="630"/>
      <c r="Z143" s="649"/>
      <c r="AA143" s="649"/>
    </row>
    <row r="144" spans="1:27" s="181" customFormat="1" ht="15.75" hidden="1" x14ac:dyDescent="0.2">
      <c r="A144" s="175">
        <f t="shared" si="6"/>
        <v>0</v>
      </c>
      <c r="B144" s="638" t="s">
        <v>6031</v>
      </c>
      <c r="C144" s="623" t="s">
        <v>5375</v>
      </c>
      <c r="D144" s="633" t="s">
        <v>4967</v>
      </c>
      <c r="E144" s="624"/>
      <c r="F144" s="625"/>
      <c r="G144" s="626"/>
      <c r="H144" s="627" t="s">
        <v>4933</v>
      </c>
      <c r="I144" s="628"/>
      <c r="J144" s="628"/>
      <c r="K144" s="628"/>
      <c r="L144" s="628"/>
      <c r="M144" s="628"/>
      <c r="N144" s="628"/>
      <c r="O144" s="888"/>
      <c r="P144" s="628"/>
      <c r="Q144" s="628"/>
      <c r="R144" s="628"/>
      <c r="S144" s="628"/>
      <c r="T144" s="629"/>
      <c r="U144" s="628"/>
      <c r="V144" s="628"/>
      <c r="W144" s="636" t="s">
        <v>4932</v>
      </c>
      <c r="X144" s="628"/>
      <c r="Y144" s="630"/>
      <c r="Z144" s="649"/>
      <c r="AA144" s="649"/>
    </row>
    <row r="145" spans="1:31" s="181" customFormat="1" ht="15.75" hidden="1" x14ac:dyDescent="0.2">
      <c r="A145" s="175">
        <f t="shared" si="6"/>
        <v>0</v>
      </c>
      <c r="B145" s="638" t="s">
        <v>6031</v>
      </c>
      <c r="C145" s="623" t="s">
        <v>5369</v>
      </c>
      <c r="D145" s="633" t="s">
        <v>4968</v>
      </c>
      <c r="E145" s="624"/>
      <c r="F145" s="625"/>
      <c r="G145" s="626"/>
      <c r="H145" s="627" t="s">
        <v>4933</v>
      </c>
      <c r="I145" s="628"/>
      <c r="J145" s="628"/>
      <c r="K145" s="628"/>
      <c r="L145" s="628"/>
      <c r="M145" s="628"/>
      <c r="N145" s="628"/>
      <c r="O145" s="888"/>
      <c r="P145" s="628"/>
      <c r="Q145" s="628"/>
      <c r="R145" s="628"/>
      <c r="S145" s="628"/>
      <c r="T145" s="629"/>
      <c r="U145" s="628"/>
      <c r="V145" s="628"/>
      <c r="W145" s="636" t="s">
        <v>4932</v>
      </c>
      <c r="X145" s="628"/>
      <c r="Y145" s="630"/>
      <c r="Z145" s="649"/>
      <c r="AA145" s="649"/>
    </row>
    <row r="146" spans="1:31" s="181" customFormat="1" ht="15.75" hidden="1" x14ac:dyDescent="0.2">
      <c r="A146" s="175">
        <f t="shared" si="6"/>
        <v>0</v>
      </c>
      <c r="B146" s="638" t="s">
        <v>6031</v>
      </c>
      <c r="C146" s="623" t="s">
        <v>5370</v>
      </c>
      <c r="D146" s="633" t="s">
        <v>4969</v>
      </c>
      <c r="E146" s="624"/>
      <c r="F146" s="625"/>
      <c r="G146" s="626"/>
      <c r="H146" s="627" t="s">
        <v>4933</v>
      </c>
      <c r="I146" s="628"/>
      <c r="J146" s="628"/>
      <c r="K146" s="628"/>
      <c r="L146" s="628"/>
      <c r="M146" s="628"/>
      <c r="N146" s="628"/>
      <c r="O146" s="888"/>
      <c r="P146" s="628"/>
      <c r="Q146" s="628"/>
      <c r="R146" s="628"/>
      <c r="S146" s="628"/>
      <c r="T146" s="629"/>
      <c r="U146" s="628"/>
      <c r="V146" s="628"/>
      <c r="W146" s="636" t="s">
        <v>4932</v>
      </c>
      <c r="X146" s="628"/>
      <c r="Y146" s="630"/>
      <c r="Z146" s="649"/>
      <c r="AA146" s="649"/>
    </row>
    <row r="147" spans="1:31" s="181" customFormat="1" ht="16.5" hidden="1" thickBot="1" x14ac:dyDescent="0.25">
      <c r="A147" s="175">
        <f t="shared" si="6"/>
        <v>0</v>
      </c>
      <c r="B147" s="653" t="s">
        <v>6031</v>
      </c>
      <c r="C147" s="654" t="s">
        <v>5371</v>
      </c>
      <c r="D147" s="655" t="s">
        <v>4970</v>
      </c>
      <c r="E147" s="656"/>
      <c r="F147" s="657"/>
      <c r="G147" s="658"/>
      <c r="H147" s="665" t="s">
        <v>4933</v>
      </c>
      <c r="I147" s="660"/>
      <c r="J147" s="660"/>
      <c r="K147" s="660"/>
      <c r="L147" s="660"/>
      <c r="M147" s="660"/>
      <c r="N147" s="660"/>
      <c r="O147" s="890"/>
      <c r="P147" s="660"/>
      <c r="Q147" s="660"/>
      <c r="R147" s="660"/>
      <c r="S147" s="660"/>
      <c r="T147" s="662"/>
      <c r="U147" s="660"/>
      <c r="V147" s="660"/>
      <c r="W147" s="636" t="s">
        <v>4932</v>
      </c>
      <c r="X147" s="660"/>
      <c r="Y147" s="666"/>
      <c r="Z147" s="649"/>
      <c r="AA147" s="649"/>
    </row>
    <row r="148" spans="1:31" s="181" customFormat="1" ht="13.5" thickBot="1" x14ac:dyDescent="0.25">
      <c r="A148" s="175">
        <f>IF(SUM(A129:A147)&gt;0,1,0)</f>
        <v>1</v>
      </c>
      <c r="B148" s="646"/>
      <c r="C148" s="640"/>
      <c r="D148" s="647"/>
      <c r="E148" s="646"/>
      <c r="F148" s="646"/>
      <c r="G148" s="648"/>
      <c r="H148" s="663"/>
      <c r="I148" s="664"/>
      <c r="J148" s="663"/>
      <c r="K148" s="663"/>
      <c r="L148" s="663"/>
      <c r="M148" s="663"/>
      <c r="N148" s="663"/>
      <c r="O148" s="663"/>
      <c r="P148" s="663"/>
      <c r="Q148" s="663"/>
      <c r="R148" s="663"/>
      <c r="S148" s="663"/>
      <c r="T148" s="663"/>
      <c r="U148" s="663"/>
      <c r="V148" s="663"/>
      <c r="W148" s="663"/>
      <c r="X148" s="663"/>
      <c r="Y148" s="663"/>
      <c r="Z148" s="649"/>
      <c r="AA148" s="649"/>
    </row>
    <row r="149" spans="1:31" s="181" customFormat="1" ht="15.75" x14ac:dyDescent="0.25">
      <c r="A149" s="175">
        <f ca="1">IF(SUM(A151:A163)&gt;0,1,0)</f>
        <v>1</v>
      </c>
      <c r="B149" s="145" t="s">
        <v>124</v>
      </c>
      <c r="C149" s="146" t="s">
        <v>6054</v>
      </c>
      <c r="D149" s="173" t="str">
        <f>RtStCd</f>
        <v>04</v>
      </c>
      <c r="E149" s="64" t="s">
        <v>6046</v>
      </c>
      <c r="F149" s="907" t="s">
        <v>6065</v>
      </c>
      <c r="G149" s="146"/>
      <c r="H149" s="149"/>
      <c r="I149" s="150"/>
      <c r="J149" s="151"/>
      <c r="K149" s="151"/>
      <c r="L149" s="152"/>
      <c r="M149" s="153"/>
      <c r="N149" s="119"/>
      <c r="O149" s="119"/>
      <c r="P149" s="119"/>
      <c r="Q149" s="119"/>
      <c r="R149" s="119"/>
      <c r="S149" s="119"/>
      <c r="T149" s="119"/>
      <c r="U149" s="119"/>
      <c r="V149" s="64"/>
      <c r="W149" s="64"/>
      <c r="X149" s="901">
        <f>PRODUCT(Rater!V626:V644)</f>
        <v>2.026678697229999</v>
      </c>
      <c r="Y149" s="64"/>
      <c r="Z149" s="64"/>
      <c r="AA149" s="64"/>
      <c r="AB149" s="64"/>
      <c r="AC149" s="119"/>
      <c r="AD149" s="119"/>
      <c r="AE149" s="174"/>
    </row>
    <row r="150" spans="1:31" s="181" customFormat="1" ht="38.25" x14ac:dyDescent="0.2">
      <c r="A150" s="175">
        <f ca="1">IF(SUM(A151:A163)&gt;0,1,0)</f>
        <v>1</v>
      </c>
      <c r="B150" s="176" t="s">
        <v>100</v>
      </c>
      <c r="C150" s="177" t="s">
        <v>125</v>
      </c>
      <c r="D150" s="178" t="s">
        <v>126</v>
      </c>
      <c r="E150" s="179" t="s">
        <v>102</v>
      </c>
      <c r="F150" s="178" t="s">
        <v>127</v>
      </c>
      <c r="G150" s="179" t="s">
        <v>128</v>
      </c>
      <c r="H150" s="179" t="s">
        <v>129</v>
      </c>
      <c r="I150" s="179" t="s">
        <v>146</v>
      </c>
      <c r="J150" s="179" t="s">
        <v>117</v>
      </c>
      <c r="K150" s="179" t="s">
        <v>5175</v>
      </c>
      <c r="L150" s="179" t="s">
        <v>130</v>
      </c>
      <c r="M150" s="179" t="s">
        <v>131</v>
      </c>
      <c r="N150" s="179" t="s">
        <v>132</v>
      </c>
      <c r="O150" s="179" t="s">
        <v>133</v>
      </c>
      <c r="P150" s="179" t="s">
        <v>367</v>
      </c>
      <c r="Q150" s="179" t="s">
        <v>147</v>
      </c>
      <c r="R150" s="179" t="s">
        <v>148</v>
      </c>
      <c r="S150" s="179" t="s">
        <v>149</v>
      </c>
      <c r="T150" s="179" t="s">
        <v>150</v>
      </c>
      <c r="U150" s="179" t="s">
        <v>137</v>
      </c>
      <c r="V150" s="179" t="s">
        <v>138</v>
      </c>
      <c r="W150" s="179" t="s">
        <v>139</v>
      </c>
      <c r="X150" s="179" t="s">
        <v>140</v>
      </c>
      <c r="Y150" s="179" t="s">
        <v>141</v>
      </c>
      <c r="Z150" s="179" t="s">
        <v>5393</v>
      </c>
      <c r="AA150" s="179" t="s">
        <v>142</v>
      </c>
      <c r="AB150" s="179" t="s">
        <v>5128</v>
      </c>
      <c r="AC150" s="179" t="s">
        <v>143</v>
      </c>
      <c r="AD150" s="179" t="s">
        <v>144</v>
      </c>
      <c r="AE150" s="180" t="s">
        <v>145</v>
      </c>
    </row>
    <row r="151" spans="1:31" s="181" customFormat="1" ht="12.75" x14ac:dyDescent="0.2">
      <c r="A151" s="175">
        <f t="shared" ref="A151:A157" ca="1" si="7">IF(OR(AE151="",AE151=0),0,1)</f>
        <v>1</v>
      </c>
      <c r="B151" s="182" t="s">
        <v>5376</v>
      </c>
      <c r="C151" s="183" t="s">
        <v>5377</v>
      </c>
      <c r="D151" s="183" t="s">
        <v>5167</v>
      </c>
      <c r="E151" s="184" t="s">
        <v>5383</v>
      </c>
      <c r="F151" s="787" t="s">
        <v>6050</v>
      </c>
      <c r="G151" s="185">
        <v>10</v>
      </c>
      <c r="H151" s="160" t="s">
        <v>5394</v>
      </c>
      <c r="I151" s="186" t="s">
        <v>5389</v>
      </c>
      <c r="J151" s="187"/>
      <c r="K151" s="745">
        <v>1000</v>
      </c>
      <c r="L151" s="188"/>
      <c r="M151" s="189"/>
      <c r="N151" s="190"/>
      <c r="O151" s="191" t="s">
        <v>5176</v>
      </c>
      <c r="P151" s="746" t="s">
        <v>5043</v>
      </c>
      <c r="Q151" s="192"/>
      <c r="R151" s="187">
        <v>1</v>
      </c>
      <c r="S151" s="740"/>
      <c r="T151" s="744">
        <v>816</v>
      </c>
      <c r="U151" s="194"/>
      <c r="V151" s="195"/>
      <c r="W151" s="195"/>
      <c r="X151" s="787" t="s">
        <v>7127</v>
      </c>
      <c r="Y151" s="196">
        <v>100</v>
      </c>
      <c r="Z151" s="695"/>
      <c r="AA151" s="195"/>
      <c r="AB151" s="737"/>
      <c r="AC151" s="844">
        <v>0.15</v>
      </c>
      <c r="AD151" s="197">
        <v>1997.1062123514976</v>
      </c>
      <c r="AE151" s="198">
        <f ca="1">Rater!W655*Rater!V659</f>
        <v>1997.1062123514976</v>
      </c>
    </row>
    <row r="152" spans="1:31" s="181" customFormat="1" ht="12.75" x14ac:dyDescent="0.2">
      <c r="A152" s="175">
        <f t="shared" si="7"/>
        <v>1</v>
      </c>
      <c r="B152" s="182" t="s">
        <v>5376</v>
      </c>
      <c r="C152" s="684" t="s">
        <v>5378</v>
      </c>
      <c r="D152" s="183" t="s">
        <v>5167</v>
      </c>
      <c r="E152" s="685" t="s">
        <v>4957</v>
      </c>
      <c r="F152" s="787" t="s">
        <v>6050</v>
      </c>
      <c r="G152" s="686">
        <v>10</v>
      </c>
      <c r="H152" s="160" t="s">
        <v>5394</v>
      </c>
      <c r="I152" s="687" t="s">
        <v>5390</v>
      </c>
      <c r="J152" s="688"/>
      <c r="K152" s="745">
        <v>1000</v>
      </c>
      <c r="L152" s="689"/>
      <c r="M152" s="690"/>
      <c r="N152" s="691"/>
      <c r="O152" s="739" t="s">
        <v>5176</v>
      </c>
      <c r="P152" s="746" t="s">
        <v>5043</v>
      </c>
      <c r="Q152" s="692"/>
      <c r="R152" s="688">
        <v>1</v>
      </c>
      <c r="S152" s="740"/>
      <c r="T152" s="745">
        <v>816</v>
      </c>
      <c r="U152" s="693"/>
      <c r="V152" s="694"/>
      <c r="W152" s="694"/>
      <c r="X152" s="754" t="s">
        <v>7127</v>
      </c>
      <c r="Y152" s="695">
        <v>100</v>
      </c>
      <c r="Z152" s="695"/>
      <c r="AA152" s="694"/>
      <c r="AB152" s="737"/>
      <c r="AC152" s="845">
        <v>0.15</v>
      </c>
      <c r="AD152" s="696">
        <v>74</v>
      </c>
      <c r="AE152" s="697">
        <v>74</v>
      </c>
    </row>
    <row r="153" spans="1:31" s="181" customFormat="1" ht="12.75" hidden="1" x14ac:dyDescent="0.2">
      <c r="A153" s="175">
        <f t="shared" si="7"/>
        <v>0</v>
      </c>
      <c r="B153" s="182" t="s">
        <v>5376</v>
      </c>
      <c r="C153" s="684" t="s">
        <v>5379</v>
      </c>
      <c r="D153" s="183" t="s">
        <v>5167</v>
      </c>
      <c r="E153" s="685" t="s">
        <v>5384</v>
      </c>
      <c r="F153" s="787" t="s">
        <v>6050</v>
      </c>
      <c r="G153" s="686">
        <v>10</v>
      </c>
      <c r="H153" s="160" t="s">
        <v>5394</v>
      </c>
      <c r="I153" s="687" t="s">
        <v>5391</v>
      </c>
      <c r="J153" s="688"/>
      <c r="K153" s="745">
        <v>0</v>
      </c>
      <c r="L153" s="689"/>
      <c r="M153" s="690"/>
      <c r="N153" s="691"/>
      <c r="O153" s="739" t="s">
        <v>5176</v>
      </c>
      <c r="P153" s="746" t="s">
        <v>5043</v>
      </c>
      <c r="Q153" s="692"/>
      <c r="R153" s="688">
        <v>1</v>
      </c>
      <c r="S153" s="740"/>
      <c r="T153" s="745"/>
      <c r="U153" s="693"/>
      <c r="V153" s="694"/>
      <c r="W153" s="694"/>
      <c r="X153" s="754" t="s">
        <v>7127</v>
      </c>
      <c r="Y153" s="695"/>
      <c r="Z153" s="695"/>
      <c r="AA153" s="694"/>
      <c r="AB153" s="737"/>
      <c r="AC153" s="845">
        <v>0.15</v>
      </c>
      <c r="AD153" s="696">
        <v>0</v>
      </c>
      <c r="AE153" s="697">
        <v>0</v>
      </c>
    </row>
    <row r="154" spans="1:31" s="181" customFormat="1" ht="25.5" hidden="1" x14ac:dyDescent="0.2">
      <c r="A154" s="175">
        <f t="shared" si="7"/>
        <v>0</v>
      </c>
      <c r="B154" s="182" t="s">
        <v>5376</v>
      </c>
      <c r="C154" s="684" t="s">
        <v>5380</v>
      </c>
      <c r="D154" s="183" t="s">
        <v>5167</v>
      </c>
      <c r="E154" s="685" t="s">
        <v>5385</v>
      </c>
      <c r="F154" s="787" t="s">
        <v>6050</v>
      </c>
      <c r="G154" s="686">
        <v>10</v>
      </c>
      <c r="H154" s="160" t="s">
        <v>5394</v>
      </c>
      <c r="I154" s="687" t="s">
        <v>5391</v>
      </c>
      <c r="J154" s="688"/>
      <c r="K154" s="745">
        <v>0</v>
      </c>
      <c r="L154" s="689"/>
      <c r="M154" s="690"/>
      <c r="N154" s="691"/>
      <c r="O154" s="739" t="s">
        <v>5176</v>
      </c>
      <c r="P154" s="746" t="s">
        <v>5043</v>
      </c>
      <c r="Q154" s="692"/>
      <c r="R154" s="688">
        <v>1</v>
      </c>
      <c r="S154" s="740"/>
      <c r="T154" s="745"/>
      <c r="U154" s="693"/>
      <c r="V154" s="694"/>
      <c r="W154" s="694"/>
      <c r="X154" s="754" t="s">
        <v>7127</v>
      </c>
      <c r="Y154" s="695"/>
      <c r="Z154" s="695"/>
      <c r="AA154" s="694"/>
      <c r="AB154" s="737"/>
      <c r="AC154" s="845">
        <v>0.15</v>
      </c>
      <c r="AD154" s="696">
        <v>0</v>
      </c>
      <c r="AE154" s="697">
        <v>0</v>
      </c>
    </row>
    <row r="155" spans="1:31" s="181" customFormat="1" ht="12.75" x14ac:dyDescent="0.2">
      <c r="A155" s="175">
        <f t="shared" si="7"/>
        <v>1</v>
      </c>
      <c r="B155" s="182" t="s">
        <v>5376</v>
      </c>
      <c r="C155" s="684" t="s">
        <v>5381</v>
      </c>
      <c r="D155" s="183" t="s">
        <v>5167</v>
      </c>
      <c r="E155" s="685" t="s">
        <v>5386</v>
      </c>
      <c r="F155" s="787" t="s">
        <v>6050</v>
      </c>
      <c r="G155" s="686">
        <v>10</v>
      </c>
      <c r="H155" s="160" t="s">
        <v>5394</v>
      </c>
      <c r="I155" s="687" t="s">
        <v>5392</v>
      </c>
      <c r="J155" s="688"/>
      <c r="K155" s="745">
        <v>1000</v>
      </c>
      <c r="L155" s="689"/>
      <c r="M155" s="690"/>
      <c r="N155" s="691"/>
      <c r="O155" s="739" t="s">
        <v>5176</v>
      </c>
      <c r="P155" s="746" t="s">
        <v>5043</v>
      </c>
      <c r="Q155" s="692"/>
      <c r="R155" s="688">
        <v>1</v>
      </c>
      <c r="S155" s="740"/>
      <c r="T155" s="745">
        <v>816</v>
      </c>
      <c r="U155" s="693"/>
      <c r="V155" s="694"/>
      <c r="W155" s="694"/>
      <c r="X155" s="754" t="s">
        <v>7127</v>
      </c>
      <c r="Y155" s="695">
        <v>100</v>
      </c>
      <c r="Z155" s="695"/>
      <c r="AA155" s="694"/>
      <c r="AB155" s="737"/>
      <c r="AC155" s="845">
        <v>0.15</v>
      </c>
      <c r="AD155" s="696">
        <v>189</v>
      </c>
      <c r="AE155" s="697">
        <v>189</v>
      </c>
    </row>
    <row r="156" spans="1:31" s="181" customFormat="1" ht="25.5" x14ac:dyDescent="0.2">
      <c r="A156" s="175">
        <f t="shared" si="7"/>
        <v>1</v>
      </c>
      <c r="B156" s="182" t="s">
        <v>5376</v>
      </c>
      <c r="C156" s="684" t="s">
        <v>5366</v>
      </c>
      <c r="D156" s="183" t="s">
        <v>5167</v>
      </c>
      <c r="E156" s="685" t="s">
        <v>5387</v>
      </c>
      <c r="F156" s="787" t="s">
        <v>6050</v>
      </c>
      <c r="G156" s="686">
        <v>10</v>
      </c>
      <c r="H156" s="160" t="s">
        <v>5394</v>
      </c>
      <c r="I156" s="687" t="s">
        <v>5391</v>
      </c>
      <c r="J156" s="688"/>
      <c r="K156" s="745">
        <v>250</v>
      </c>
      <c r="L156" s="689"/>
      <c r="M156" s="690"/>
      <c r="N156" s="691"/>
      <c r="O156" s="739" t="s">
        <v>5176</v>
      </c>
      <c r="P156" s="746" t="s">
        <v>5043</v>
      </c>
      <c r="Q156" s="692"/>
      <c r="R156" s="688">
        <v>1</v>
      </c>
      <c r="S156" s="740"/>
      <c r="T156" s="745"/>
      <c r="U156" s="693"/>
      <c r="V156" s="694"/>
      <c r="W156" s="694"/>
      <c r="X156" s="754" t="s">
        <v>7127</v>
      </c>
      <c r="Y156" s="695"/>
      <c r="Z156" s="695"/>
      <c r="AA156" s="694"/>
      <c r="AB156" s="737"/>
      <c r="AC156" s="845">
        <v>0.15</v>
      </c>
      <c r="AD156" s="696">
        <v>62</v>
      </c>
      <c r="AE156" s="697">
        <v>62</v>
      </c>
    </row>
    <row r="157" spans="1:31" s="181" customFormat="1" ht="25.5" x14ac:dyDescent="0.2">
      <c r="A157" s="175">
        <f t="shared" si="7"/>
        <v>1</v>
      </c>
      <c r="B157" s="182" t="s">
        <v>5376</v>
      </c>
      <c r="C157" s="684" t="s">
        <v>5382</v>
      </c>
      <c r="D157" s="183" t="s">
        <v>5167</v>
      </c>
      <c r="E157" s="685" t="s">
        <v>5388</v>
      </c>
      <c r="F157" s="787" t="s">
        <v>6050</v>
      </c>
      <c r="G157" s="686">
        <v>10</v>
      </c>
      <c r="H157" s="160" t="s">
        <v>5394</v>
      </c>
      <c r="I157" s="687" t="s">
        <v>5391</v>
      </c>
      <c r="J157" s="688"/>
      <c r="K157" s="745">
        <v>1000</v>
      </c>
      <c r="L157" s="689"/>
      <c r="M157" s="690"/>
      <c r="N157" s="691"/>
      <c r="O157" s="739" t="s">
        <v>5176</v>
      </c>
      <c r="P157" s="746" t="s">
        <v>5043</v>
      </c>
      <c r="Q157" s="692"/>
      <c r="R157" s="688">
        <v>1</v>
      </c>
      <c r="S157" s="740"/>
      <c r="T157" s="745"/>
      <c r="U157" s="693"/>
      <c r="V157" s="694"/>
      <c r="W157" s="694"/>
      <c r="X157" s="754" t="s">
        <v>7127</v>
      </c>
      <c r="Y157" s="695"/>
      <c r="Z157" s="695"/>
      <c r="AA157" s="694"/>
      <c r="AB157" s="737"/>
      <c r="AC157" s="845">
        <v>0.15</v>
      </c>
      <c r="AD157" s="696">
        <v>105</v>
      </c>
      <c r="AE157" s="697">
        <v>105</v>
      </c>
    </row>
    <row r="158" spans="1:31" s="181" customFormat="1" hidden="1" x14ac:dyDescent="0.25">
      <c r="A158" s="44">
        <f>IF(CoId=5,0,IF(AG158&lt;0.01,0,1))</f>
        <v>0</v>
      </c>
      <c r="B158" s="182" t="s">
        <v>5376</v>
      </c>
      <c r="C158" s="684" t="s">
        <v>5177</v>
      </c>
      <c r="D158" s="183" t="s">
        <v>5167</v>
      </c>
      <c r="E158" s="685" t="s">
        <v>5161</v>
      </c>
      <c r="F158" s="742" t="s">
        <v>5159</v>
      </c>
      <c r="G158" s="686">
        <v>10</v>
      </c>
      <c r="H158" s="195"/>
      <c r="I158" s="687" t="s">
        <v>6530</v>
      </c>
      <c r="J158" s="195"/>
      <c r="K158" s="694"/>
      <c r="L158" s="689"/>
      <c r="M158" s="690"/>
      <c r="N158" s="691"/>
      <c r="O158" s="195"/>
      <c r="P158" s="694">
        <v>10</v>
      </c>
      <c r="Q158" s="195"/>
      <c r="R158" s="195"/>
      <c r="S158" s="740"/>
      <c r="T158" s="693"/>
      <c r="U158" s="693"/>
      <c r="V158" s="694"/>
      <c r="W158" s="694"/>
      <c r="X158" s="784"/>
      <c r="Y158" s="694"/>
      <c r="Z158" s="694"/>
      <c r="AA158" s="694"/>
      <c r="AB158" s="694"/>
      <c r="AC158" s="195"/>
      <c r="AD158" s="919"/>
      <c r="AE158" s="920"/>
    </row>
    <row r="159" spans="1:31" s="181" customFormat="1" hidden="1" x14ac:dyDescent="0.25">
      <c r="A159" s="44">
        <f>IF(CoId=5,0,IF(AG159&lt;0.01,0,1))</f>
        <v>0</v>
      </c>
      <c r="B159" s="182" t="s">
        <v>5376</v>
      </c>
      <c r="C159" s="158" t="s">
        <v>5178</v>
      </c>
      <c r="D159" s="183" t="s">
        <v>5167</v>
      </c>
      <c r="E159" s="200" t="s">
        <v>5162</v>
      </c>
      <c r="F159" s="742" t="s">
        <v>5159</v>
      </c>
      <c r="G159" s="185">
        <v>10</v>
      </c>
      <c r="H159" s="195"/>
      <c r="I159" s="687" t="s">
        <v>6530</v>
      </c>
      <c r="J159" s="195"/>
      <c r="K159" s="694"/>
      <c r="L159" s="195"/>
      <c r="M159" s="195"/>
      <c r="N159" s="195"/>
      <c r="O159" s="195"/>
      <c r="P159" s="694"/>
      <c r="Q159" s="195"/>
      <c r="R159" s="195"/>
      <c r="S159" s="195"/>
      <c r="T159" s="195"/>
      <c r="U159" s="195"/>
      <c r="V159" s="195"/>
      <c r="W159" s="195"/>
      <c r="X159" s="755"/>
      <c r="Y159" s="195"/>
      <c r="Z159" s="694"/>
      <c r="AA159" s="195"/>
      <c r="AB159" s="694"/>
      <c r="AC159" s="195"/>
      <c r="AD159" s="914"/>
      <c r="AE159" s="918"/>
    </row>
    <row r="160" spans="1:31" s="181" customFormat="1" ht="12.75" hidden="1" x14ac:dyDescent="0.2">
      <c r="A160" s="175">
        <f t="shared" ref="A160:A163" si="8">IF(CoId=5,0,IF(OR(AE160="",AE160=0),0,1))</f>
        <v>0</v>
      </c>
      <c r="B160" s="182" t="s">
        <v>5376</v>
      </c>
      <c r="C160" s="158" t="s">
        <v>5179</v>
      </c>
      <c r="D160" s="183" t="s">
        <v>5167</v>
      </c>
      <c r="E160" s="200" t="s">
        <v>5163</v>
      </c>
      <c r="F160" s="742" t="s">
        <v>5159</v>
      </c>
      <c r="G160" s="185">
        <v>10</v>
      </c>
      <c r="H160" s="195"/>
      <c r="I160" s="687" t="s">
        <v>6530</v>
      </c>
      <c r="J160" s="195"/>
      <c r="K160" s="694"/>
      <c r="L160" s="195"/>
      <c r="M160" s="195"/>
      <c r="N160" s="195"/>
      <c r="O160" s="195"/>
      <c r="P160" s="694"/>
      <c r="Q160" s="195"/>
      <c r="R160" s="195"/>
      <c r="S160" s="195"/>
      <c r="T160" s="195"/>
      <c r="U160" s="195"/>
      <c r="V160" s="195"/>
      <c r="W160" s="195"/>
      <c r="X160" s="755"/>
      <c r="Y160" s="195"/>
      <c r="Z160" s="694"/>
      <c r="AA160" s="195"/>
      <c r="AB160" s="694"/>
      <c r="AC160" s="195"/>
      <c r="AD160" s="914"/>
      <c r="AE160" s="918"/>
    </row>
    <row r="161" spans="1:31" s="181" customFormat="1" ht="12.75" hidden="1" x14ac:dyDescent="0.2">
      <c r="A161" s="175">
        <f t="shared" si="8"/>
        <v>0</v>
      </c>
      <c r="B161" s="182" t="s">
        <v>5376</v>
      </c>
      <c r="C161" s="158" t="s">
        <v>5180</v>
      </c>
      <c r="D161" s="183" t="s">
        <v>5167</v>
      </c>
      <c r="E161" s="200" t="s">
        <v>5164</v>
      </c>
      <c r="F161" s="742" t="s">
        <v>5159</v>
      </c>
      <c r="G161" s="185">
        <v>10</v>
      </c>
      <c r="H161" s="195"/>
      <c r="I161" s="687" t="s">
        <v>6530</v>
      </c>
      <c r="J161" s="195"/>
      <c r="K161" s="694"/>
      <c r="L161" s="195"/>
      <c r="M161" s="195"/>
      <c r="N161" s="195"/>
      <c r="O161" s="195"/>
      <c r="P161" s="694"/>
      <c r="Q161" s="195"/>
      <c r="R161" s="195"/>
      <c r="S161" s="195"/>
      <c r="T161" s="195"/>
      <c r="U161" s="195"/>
      <c r="V161" s="195"/>
      <c r="W161" s="195"/>
      <c r="X161" s="755"/>
      <c r="Y161" s="195"/>
      <c r="Z161" s="694"/>
      <c r="AA161" s="195"/>
      <c r="AB161" s="694"/>
      <c r="AC161" s="195"/>
      <c r="AD161" s="197"/>
      <c r="AE161" s="198"/>
    </row>
    <row r="162" spans="1:31" s="181" customFormat="1" ht="12.75" hidden="1" x14ac:dyDescent="0.2">
      <c r="A162" s="175">
        <f t="shared" si="8"/>
        <v>0</v>
      </c>
      <c r="B162" s="182" t="s">
        <v>5376</v>
      </c>
      <c r="C162" s="158" t="s">
        <v>5181</v>
      </c>
      <c r="D162" s="183" t="s">
        <v>5167</v>
      </c>
      <c r="E162" s="200" t="s">
        <v>5165</v>
      </c>
      <c r="F162" s="742" t="s">
        <v>5159</v>
      </c>
      <c r="G162" s="185">
        <v>10</v>
      </c>
      <c r="H162" s="195"/>
      <c r="I162" s="687" t="s">
        <v>6530</v>
      </c>
      <c r="J162" s="195"/>
      <c r="K162" s="694"/>
      <c r="L162" s="195"/>
      <c r="M162" s="195"/>
      <c r="N162" s="195"/>
      <c r="O162" s="195"/>
      <c r="P162" s="694"/>
      <c r="Q162" s="195"/>
      <c r="R162" s="195"/>
      <c r="S162" s="195"/>
      <c r="T162" s="195"/>
      <c r="U162" s="195"/>
      <c r="V162" s="195"/>
      <c r="W162" s="195"/>
      <c r="X162" s="755"/>
      <c r="Y162" s="195"/>
      <c r="Z162" s="694"/>
      <c r="AA162" s="195"/>
      <c r="AB162" s="694"/>
      <c r="AC162" s="195"/>
      <c r="AD162" s="914"/>
      <c r="AE162" s="918"/>
    </row>
    <row r="163" spans="1:31" s="181" customFormat="1" ht="13.5" hidden="1" thickBot="1" x14ac:dyDescent="0.25">
      <c r="A163" s="175">
        <f t="shared" si="8"/>
        <v>0</v>
      </c>
      <c r="B163" s="202" t="s">
        <v>5376</v>
      </c>
      <c r="C163" s="167" t="s">
        <v>5182</v>
      </c>
      <c r="D163" s="203" t="s">
        <v>5167</v>
      </c>
      <c r="E163" s="204" t="s">
        <v>5166</v>
      </c>
      <c r="F163" s="741" t="s">
        <v>5159</v>
      </c>
      <c r="G163" s="205">
        <v>10</v>
      </c>
      <c r="H163" s="206"/>
      <c r="I163" s="687" t="s">
        <v>6530</v>
      </c>
      <c r="J163" s="206"/>
      <c r="K163" s="700"/>
      <c r="L163" s="206"/>
      <c r="M163" s="206"/>
      <c r="N163" s="206"/>
      <c r="O163" s="206"/>
      <c r="P163" s="700"/>
      <c r="Q163" s="206"/>
      <c r="R163" s="206"/>
      <c r="S163" s="206"/>
      <c r="T163" s="206"/>
      <c r="U163" s="206"/>
      <c r="V163" s="206"/>
      <c r="W163" s="206"/>
      <c r="X163" s="903" t="s">
        <v>7127</v>
      </c>
      <c r="Y163" s="206"/>
      <c r="Z163" s="700"/>
      <c r="AA163" s="206"/>
      <c r="AB163" s="700"/>
      <c r="AC163" s="206"/>
      <c r="AD163" s="916"/>
      <c r="AE163" s="917"/>
    </row>
    <row r="164" spans="1:31" s="181" customFormat="1" ht="12.75" x14ac:dyDescent="0.2">
      <c r="A164" s="175">
        <f ca="1">IF(SUM(A151:A163)&gt;0,1,0)</f>
        <v>1</v>
      </c>
      <c r="B164" s="646"/>
      <c r="C164" s="640"/>
      <c r="D164" s="647"/>
      <c r="E164" s="646"/>
      <c r="F164" s="646"/>
      <c r="G164" s="648"/>
      <c r="H164" s="650"/>
      <c r="I164" s="651"/>
      <c r="J164" s="650"/>
      <c r="K164" s="650"/>
      <c r="L164" s="650"/>
      <c r="M164" s="650"/>
      <c r="N164" s="650"/>
      <c r="O164" s="650"/>
      <c r="P164" s="650"/>
      <c r="Q164" s="650"/>
      <c r="R164" s="650"/>
      <c r="S164" s="650"/>
      <c r="T164" s="650"/>
      <c r="U164" s="650"/>
      <c r="V164" s="650"/>
      <c r="W164" s="650"/>
      <c r="X164" s="650"/>
      <c r="Y164" s="650"/>
      <c r="Z164" s="650"/>
    </row>
    <row r="165" spans="1:31" s="181" customFormat="1" ht="13.5" thickBot="1" x14ac:dyDescent="0.25">
      <c r="A165" s="175">
        <f>IF(SUM(A170:A175)&gt;0,1,0)</f>
        <v>1</v>
      </c>
      <c r="B165" s="646"/>
      <c r="C165" s="640"/>
      <c r="D165" s="647"/>
      <c r="E165" s="646"/>
      <c r="F165" s="646"/>
      <c r="G165" s="648"/>
      <c r="H165" s="650"/>
      <c r="I165" s="651"/>
      <c r="J165" s="650"/>
      <c r="K165" s="650"/>
      <c r="L165" s="650"/>
      <c r="M165" s="650"/>
      <c r="N165" s="650"/>
      <c r="O165" s="650"/>
      <c r="P165" s="650"/>
      <c r="Q165" s="650"/>
      <c r="R165" s="650"/>
      <c r="S165" s="650"/>
      <c r="T165" s="650"/>
      <c r="U165" s="650"/>
      <c r="V165" s="650"/>
      <c r="W165" s="650"/>
      <c r="X165" s="650"/>
      <c r="Y165" s="650"/>
      <c r="AB165" s="668"/>
    </row>
    <row r="166" spans="1:31" s="181" customFormat="1" ht="15.75" x14ac:dyDescent="0.25">
      <c r="A166" s="175">
        <f>IF(SUM(A170:A175)&gt;0,1,0)</f>
        <v>1</v>
      </c>
      <c r="B166" s="113" t="s">
        <v>4982</v>
      </c>
      <c r="C166" s="114"/>
      <c r="D166" s="115"/>
      <c r="E166" s="116"/>
      <c r="F166" s="64"/>
      <c r="G166" s="64"/>
      <c r="H166" s="64"/>
      <c r="I166" s="117"/>
      <c r="J166" s="64"/>
      <c r="K166" s="60"/>
      <c r="L166" s="118"/>
      <c r="M166" s="118"/>
      <c r="N166" s="118"/>
      <c r="O166" s="119"/>
      <c r="P166" s="119"/>
      <c r="Q166" s="119"/>
      <c r="R166" s="119"/>
      <c r="S166" s="119"/>
      <c r="T166" s="64"/>
      <c r="U166" s="64"/>
      <c r="V166" s="64"/>
      <c r="W166" s="64"/>
      <c r="X166" s="64"/>
      <c r="Y166" s="63"/>
      <c r="AB166" s="668"/>
    </row>
    <row r="167" spans="1:31" s="181" customFormat="1" ht="12.75" x14ac:dyDescent="0.2">
      <c r="A167" s="175">
        <f>IF(SUM(A170:A175)&gt;0,1,0)</f>
        <v>1</v>
      </c>
      <c r="B167" s="120" t="s">
        <v>99</v>
      </c>
      <c r="C167" s="669">
        <v>8</v>
      </c>
      <c r="D167" s="58"/>
      <c r="E167" s="58"/>
      <c r="F167" s="73"/>
      <c r="G167" s="73"/>
      <c r="H167" s="73"/>
      <c r="I167" s="73"/>
      <c r="J167" s="73"/>
      <c r="K167" s="121"/>
      <c r="L167" s="121"/>
      <c r="M167" s="121"/>
      <c r="N167" s="121"/>
      <c r="O167" s="58"/>
      <c r="P167" s="58"/>
      <c r="Q167" s="58"/>
      <c r="R167" s="58"/>
      <c r="S167" s="58"/>
      <c r="T167" s="73"/>
      <c r="U167" s="73"/>
      <c r="V167" s="73"/>
      <c r="W167" s="73"/>
      <c r="X167" s="73"/>
      <c r="Y167" s="71"/>
      <c r="AB167" s="668"/>
    </row>
    <row r="168" spans="1:31" s="181" customFormat="1" ht="12.75" x14ac:dyDescent="0.2">
      <c r="A168" s="175">
        <f>IF(SUM(A170:A175)&gt;0,1,0)</f>
        <v>1</v>
      </c>
      <c r="B168" s="122"/>
      <c r="C168" s="123"/>
      <c r="D168" s="73"/>
      <c r="E168" s="73"/>
      <c r="F168" s="73"/>
      <c r="G168" s="73"/>
      <c r="H168" s="73"/>
      <c r="I168" s="73"/>
      <c r="J168" s="73"/>
      <c r="K168" s="121"/>
      <c r="L168" s="121"/>
      <c r="M168" s="121"/>
      <c r="N168" s="121"/>
      <c r="O168" s="58"/>
      <c r="P168" s="58"/>
      <c r="Q168" s="58"/>
      <c r="R168" s="58"/>
      <c r="S168" s="58"/>
      <c r="T168" s="73"/>
      <c r="U168" s="73"/>
      <c r="V168" s="73"/>
      <c r="W168" s="73"/>
      <c r="X168" s="73"/>
      <c r="Y168" s="71"/>
      <c r="AB168" s="668"/>
    </row>
    <row r="169" spans="1:31" s="181" customFormat="1" ht="51" x14ac:dyDescent="0.2">
      <c r="A169" s="175">
        <f>IF(SUM(A170:A175)&gt;0,1,0)</f>
        <v>1</v>
      </c>
      <c r="B169" s="124" t="s">
        <v>100</v>
      </c>
      <c r="C169" s="125" t="s">
        <v>101</v>
      </c>
      <c r="D169" s="126" t="s">
        <v>102</v>
      </c>
      <c r="E169" s="126" t="s">
        <v>103</v>
      </c>
      <c r="F169" s="126" t="s">
        <v>104</v>
      </c>
      <c r="G169" s="126" t="s">
        <v>105</v>
      </c>
      <c r="H169" s="125" t="s">
        <v>106</v>
      </c>
      <c r="I169" s="125" t="s">
        <v>107</v>
      </c>
      <c r="J169" s="125" t="s">
        <v>108</v>
      </c>
      <c r="K169" s="125" t="s">
        <v>109</v>
      </c>
      <c r="L169" s="127" t="s">
        <v>110</v>
      </c>
      <c r="M169" s="126" t="s">
        <v>111</v>
      </c>
      <c r="N169" s="125" t="s">
        <v>112</v>
      </c>
      <c r="O169" s="127" t="s">
        <v>113</v>
      </c>
      <c r="P169" s="126" t="s">
        <v>114</v>
      </c>
      <c r="Q169" s="125" t="s">
        <v>115</v>
      </c>
      <c r="R169" s="125" t="s">
        <v>116</v>
      </c>
      <c r="S169" s="126" t="s">
        <v>117</v>
      </c>
      <c r="T169" s="125" t="s">
        <v>118</v>
      </c>
      <c r="U169" s="125" t="s">
        <v>119</v>
      </c>
      <c r="V169" s="126" t="s">
        <v>120</v>
      </c>
      <c r="W169" s="126" t="s">
        <v>121</v>
      </c>
      <c r="X169" s="126" t="s">
        <v>122</v>
      </c>
      <c r="Y169" s="128" t="s">
        <v>123</v>
      </c>
      <c r="AB169" s="668"/>
    </row>
    <row r="170" spans="1:31" s="181" customFormat="1" ht="15.75" x14ac:dyDescent="0.2">
      <c r="A170" s="175">
        <f t="shared" ref="A170:A175" si="9">IF(OR(O170="",O170=0),0,1)</f>
        <v>1</v>
      </c>
      <c r="B170" s="638" t="s">
        <v>293</v>
      </c>
      <c r="C170" s="622" t="s">
        <v>4988</v>
      </c>
      <c r="D170" s="632" t="s">
        <v>4984</v>
      </c>
      <c r="E170" s="130" t="s">
        <v>5176</v>
      </c>
      <c r="F170" s="131"/>
      <c r="G170" s="132"/>
      <c r="H170" s="643"/>
      <c r="I170" s="628"/>
      <c r="J170" s="133"/>
      <c r="K170" s="133"/>
      <c r="L170" s="628"/>
      <c r="M170" s="628"/>
      <c r="N170" s="635">
        <v>10000</v>
      </c>
      <c r="O170" s="636">
        <v>1000000</v>
      </c>
      <c r="P170" s="133"/>
      <c r="Q170" s="133"/>
      <c r="R170" s="133"/>
      <c r="S170" s="133"/>
      <c r="T170" s="134"/>
      <c r="U170" s="133"/>
      <c r="V170" s="628"/>
      <c r="W170" s="636" t="s">
        <v>4932</v>
      </c>
      <c r="X170" s="628"/>
      <c r="Y170" s="636" t="s">
        <v>4932</v>
      </c>
      <c r="Z170" s="667"/>
      <c r="AA170" s="667"/>
      <c r="AB170" s="668"/>
    </row>
    <row r="171" spans="1:31" s="181" customFormat="1" ht="15.75" hidden="1" x14ac:dyDescent="0.2">
      <c r="A171" s="175">
        <f t="shared" si="9"/>
        <v>0</v>
      </c>
      <c r="B171" s="638" t="s">
        <v>293</v>
      </c>
      <c r="C171" s="623" t="s">
        <v>5395</v>
      </c>
      <c r="D171" s="633" t="s">
        <v>4985</v>
      </c>
      <c r="E171" s="624" t="s">
        <v>5176</v>
      </c>
      <c r="F171" s="625"/>
      <c r="G171" s="626"/>
      <c r="H171" s="643" t="s">
        <v>4988</v>
      </c>
      <c r="I171" s="628"/>
      <c r="J171" s="628"/>
      <c r="K171" s="628"/>
      <c r="L171" s="628"/>
      <c r="M171" s="628"/>
      <c r="N171" s="628"/>
      <c r="O171" s="636">
        <v>0</v>
      </c>
      <c r="P171" s="628"/>
      <c r="Q171" s="628"/>
      <c r="R171" s="628"/>
      <c r="S171" s="628"/>
      <c r="T171" s="629"/>
      <c r="U171" s="628"/>
      <c r="V171" s="628"/>
      <c r="W171" s="636" t="s">
        <v>4932</v>
      </c>
      <c r="X171" s="628"/>
      <c r="Y171" s="630"/>
      <c r="Z171" s="667"/>
      <c r="AA171" s="667"/>
      <c r="AB171" s="668"/>
    </row>
    <row r="172" spans="1:31" s="181" customFormat="1" ht="15.75" x14ac:dyDescent="0.2">
      <c r="A172" s="175">
        <f t="shared" si="9"/>
        <v>1</v>
      </c>
      <c r="B172" s="638" t="s">
        <v>293</v>
      </c>
      <c r="C172" s="670" t="s">
        <v>4983</v>
      </c>
      <c r="D172" s="633" t="s">
        <v>4986</v>
      </c>
      <c r="E172" s="624" t="s">
        <v>5176</v>
      </c>
      <c r="F172" s="625"/>
      <c r="G172" s="626"/>
      <c r="H172" s="643" t="s">
        <v>4988</v>
      </c>
      <c r="I172" s="628"/>
      <c r="J172" s="628"/>
      <c r="K172" s="628"/>
      <c r="L172" s="628"/>
      <c r="M172" s="628"/>
      <c r="N172" s="628"/>
      <c r="O172" s="636">
        <v>250000</v>
      </c>
      <c r="P172" s="628"/>
      <c r="Q172" s="628"/>
      <c r="R172" s="628"/>
      <c r="S172" s="628"/>
      <c r="T172" s="629"/>
      <c r="U172" s="628"/>
      <c r="V172" s="628"/>
      <c r="W172" s="636" t="s">
        <v>4932</v>
      </c>
      <c r="X172" s="628"/>
      <c r="Y172" s="630"/>
      <c r="Z172" s="667"/>
      <c r="AA172" s="667"/>
      <c r="AB172" s="668"/>
    </row>
    <row r="173" spans="1:31" s="181" customFormat="1" ht="15.75" x14ac:dyDescent="0.2">
      <c r="A173" s="175">
        <f t="shared" si="9"/>
        <v>1</v>
      </c>
      <c r="B173" s="638" t="s">
        <v>293</v>
      </c>
      <c r="C173" s="623" t="s">
        <v>5396</v>
      </c>
      <c r="D173" s="633" t="s">
        <v>4987</v>
      </c>
      <c r="E173" s="624" t="s">
        <v>5176</v>
      </c>
      <c r="F173" s="625"/>
      <c r="G173" s="626"/>
      <c r="H173" s="643" t="s">
        <v>4988</v>
      </c>
      <c r="I173" s="628"/>
      <c r="J173" s="628"/>
      <c r="K173" s="628"/>
      <c r="L173" s="628"/>
      <c r="M173" s="628"/>
      <c r="N173" s="628"/>
      <c r="O173" s="636">
        <v>25000</v>
      </c>
      <c r="P173" s="628"/>
      <c r="Q173" s="628"/>
      <c r="R173" s="628"/>
      <c r="S173" s="628"/>
      <c r="T173" s="629"/>
      <c r="U173" s="628"/>
      <c r="V173" s="628"/>
      <c r="W173" s="636" t="s">
        <v>4932</v>
      </c>
      <c r="X173" s="628"/>
      <c r="Y173" s="630"/>
      <c r="Z173" s="667"/>
      <c r="AA173" s="667"/>
      <c r="AB173" s="668"/>
    </row>
    <row r="174" spans="1:31" s="181" customFormat="1" ht="15.75" hidden="1" x14ac:dyDescent="0.2">
      <c r="A174" s="175">
        <f t="shared" si="9"/>
        <v>0</v>
      </c>
      <c r="B174" s="638" t="s">
        <v>293</v>
      </c>
      <c r="C174" s="623" t="s">
        <v>5344</v>
      </c>
      <c r="D174" s="633" t="s">
        <v>409</v>
      </c>
      <c r="E174" s="624" t="s">
        <v>5176</v>
      </c>
      <c r="F174" s="625"/>
      <c r="G174" s="626"/>
      <c r="H174" s="643"/>
      <c r="I174" s="628"/>
      <c r="J174" s="628"/>
      <c r="K174" s="628"/>
      <c r="L174" s="628"/>
      <c r="M174" s="628"/>
      <c r="N174" s="628"/>
      <c r="O174" s="636">
        <v>0</v>
      </c>
      <c r="P174" s="628"/>
      <c r="Q174" s="628"/>
      <c r="R174" s="628"/>
      <c r="S174" s="628"/>
      <c r="T174" s="629"/>
      <c r="U174" s="628"/>
      <c r="V174" s="628"/>
      <c r="W174" s="636" t="s">
        <v>4932</v>
      </c>
      <c r="X174" s="628"/>
      <c r="Y174" s="630"/>
      <c r="Z174" s="667"/>
      <c r="AA174" s="667"/>
      <c r="AB174" s="668"/>
    </row>
    <row r="175" spans="1:31" s="181" customFormat="1" ht="16.5" hidden="1" thickBot="1" x14ac:dyDescent="0.25">
      <c r="A175" s="175">
        <f t="shared" si="9"/>
        <v>0</v>
      </c>
      <c r="B175" s="653" t="s">
        <v>293</v>
      </c>
      <c r="C175" s="654" t="s">
        <v>5397</v>
      </c>
      <c r="D175" s="655" t="s">
        <v>504</v>
      </c>
      <c r="E175" s="656" t="s">
        <v>5176</v>
      </c>
      <c r="F175" s="657"/>
      <c r="G175" s="658"/>
      <c r="H175" s="659" t="s">
        <v>4933</v>
      </c>
      <c r="I175" s="660"/>
      <c r="J175" s="660"/>
      <c r="K175" s="660"/>
      <c r="L175" s="660"/>
      <c r="M175" s="660"/>
      <c r="N175" s="660"/>
      <c r="O175" s="661"/>
      <c r="P175" s="660"/>
      <c r="Q175" s="660"/>
      <c r="R175" s="660"/>
      <c r="S175" s="660"/>
      <c r="T175" s="662"/>
      <c r="U175" s="660"/>
      <c r="V175" s="660"/>
      <c r="W175" s="636" t="s">
        <v>4932</v>
      </c>
      <c r="X175" s="660"/>
      <c r="Y175" s="666"/>
      <c r="Z175" s="667"/>
      <c r="AA175" s="667"/>
      <c r="AB175" s="668"/>
    </row>
    <row r="176" spans="1:31" s="181" customFormat="1" ht="13.5" thickBot="1" x14ac:dyDescent="0.25">
      <c r="A176" s="175">
        <f>IF(SUM(A170:A175)&gt;0,1,0)</f>
        <v>1</v>
      </c>
      <c r="B176" s="646"/>
      <c r="C176" s="640"/>
      <c r="D176" s="647"/>
      <c r="E176" s="646"/>
      <c r="F176" s="646"/>
      <c r="G176" s="648"/>
      <c r="H176" s="650"/>
      <c r="I176" s="651"/>
      <c r="J176" s="650"/>
      <c r="K176" s="650"/>
      <c r="L176" s="650"/>
      <c r="M176" s="650"/>
      <c r="N176" s="650"/>
      <c r="O176" s="650"/>
      <c r="P176" s="650"/>
      <c r="Q176" s="650"/>
      <c r="R176" s="650"/>
      <c r="S176" s="650"/>
      <c r="T176" s="650"/>
      <c r="U176" s="650"/>
      <c r="V176" s="650"/>
      <c r="W176" s="650"/>
      <c r="X176" s="650"/>
      <c r="Y176" s="650"/>
      <c r="Z176" s="667"/>
      <c r="AA176" s="667"/>
      <c r="AB176" s="668"/>
    </row>
    <row r="177" spans="1:33" s="181" customFormat="1" ht="15" customHeight="1" x14ac:dyDescent="0.25">
      <c r="A177" s="175">
        <f ca="1">IF(SUM(A179:A189)&gt;0,1,0)</f>
        <v>1</v>
      </c>
      <c r="B177" s="145" t="s">
        <v>124</v>
      </c>
      <c r="C177" s="146" t="s">
        <v>6054</v>
      </c>
      <c r="D177" s="173" t="str">
        <f>RtStCd</f>
        <v>04</v>
      </c>
      <c r="E177" s="64" t="s">
        <v>6048</v>
      </c>
      <c r="F177" s="148"/>
      <c r="G177" s="148"/>
      <c r="H177" s="148"/>
      <c r="I177" s="146"/>
      <c r="J177" s="146"/>
      <c r="K177" s="149"/>
      <c r="L177" s="149"/>
      <c r="M177" s="119"/>
      <c r="N177" s="119"/>
      <c r="O177" s="119"/>
      <c r="P177" s="119"/>
      <c r="Q177" s="119"/>
      <c r="R177" s="119"/>
      <c r="S177" s="119"/>
      <c r="T177" s="119"/>
      <c r="U177" s="119"/>
      <c r="V177" s="119"/>
      <c r="W177" s="119"/>
      <c r="X177" s="64"/>
      <c r="Y177" s="64"/>
      <c r="Z177" s="901">
        <f>PRODUCT(Rater!V132:V165)</f>
        <v>2.2918713231465628</v>
      </c>
      <c r="AA177" s="64"/>
      <c r="AB177" s="64"/>
      <c r="AC177" s="64"/>
      <c r="AD177" s="119"/>
      <c r="AE177" s="119"/>
      <c r="AF177" s="174"/>
      <c r="AG177" s="668"/>
    </row>
    <row r="178" spans="1:33" s="181" customFormat="1" ht="25.5" x14ac:dyDescent="0.2">
      <c r="A178" s="175">
        <f ca="1">IF(SUM(A179:A189)&gt;0,1,0)</f>
        <v>1</v>
      </c>
      <c r="B178" s="176" t="s">
        <v>100</v>
      </c>
      <c r="C178" s="177" t="s">
        <v>125</v>
      </c>
      <c r="D178" s="178" t="s">
        <v>126</v>
      </c>
      <c r="E178" s="179" t="s">
        <v>102</v>
      </c>
      <c r="F178" s="178" t="s">
        <v>127</v>
      </c>
      <c r="G178" s="178" t="s">
        <v>5128</v>
      </c>
      <c r="H178" s="179" t="s">
        <v>130</v>
      </c>
      <c r="I178" s="179" t="s">
        <v>128</v>
      </c>
      <c r="J178" s="179" t="s">
        <v>5413</v>
      </c>
      <c r="K178" s="179" t="s">
        <v>129</v>
      </c>
      <c r="L178" s="179" t="s">
        <v>131</v>
      </c>
      <c r="M178" s="179" t="s">
        <v>132</v>
      </c>
      <c r="N178" s="179" t="s">
        <v>134</v>
      </c>
      <c r="O178" s="179" t="s">
        <v>135</v>
      </c>
      <c r="P178" s="179" t="s">
        <v>113</v>
      </c>
      <c r="Q178" s="179" t="s">
        <v>5415</v>
      </c>
      <c r="R178" s="179" t="s">
        <v>133</v>
      </c>
      <c r="S178" s="179" t="s">
        <v>147</v>
      </c>
      <c r="T178" s="179" t="s">
        <v>148</v>
      </c>
      <c r="U178" s="179" t="s">
        <v>149</v>
      </c>
      <c r="V178" s="179" t="s">
        <v>150</v>
      </c>
      <c r="W178" s="179" t="s">
        <v>137</v>
      </c>
      <c r="X178" s="179" t="s">
        <v>138</v>
      </c>
      <c r="Y178" s="179" t="s">
        <v>139</v>
      </c>
      <c r="Z178" s="179" t="s">
        <v>140</v>
      </c>
      <c r="AA178" s="179" t="s">
        <v>141</v>
      </c>
      <c r="AB178" s="179" t="s">
        <v>142</v>
      </c>
      <c r="AC178" s="179" t="s">
        <v>5416</v>
      </c>
      <c r="AD178" s="179" t="s">
        <v>143</v>
      </c>
      <c r="AE178" s="179" t="s">
        <v>144</v>
      </c>
      <c r="AF178" s="180" t="s">
        <v>145</v>
      </c>
      <c r="AG178" s="668"/>
    </row>
    <row r="179" spans="1:33" s="181" customFormat="1" ht="12.75" x14ac:dyDescent="0.2">
      <c r="A179" s="175">
        <f t="shared" ref="A179:A189" ca="1" si="10">IF(OR(AF179="",AF179=0),0,1)</f>
        <v>1</v>
      </c>
      <c r="B179" s="182" t="s">
        <v>293</v>
      </c>
      <c r="C179" s="183" t="s">
        <v>5398</v>
      </c>
      <c r="D179" s="183" t="s">
        <v>5405</v>
      </c>
      <c r="E179" s="184" t="s">
        <v>327</v>
      </c>
      <c r="F179" s="787">
        <v>62036</v>
      </c>
      <c r="G179" s="754" t="s">
        <v>5027</v>
      </c>
      <c r="H179" s="747">
        <v>1</v>
      </c>
      <c r="I179" s="185">
        <v>10</v>
      </c>
      <c r="J179" s="752">
        <v>10</v>
      </c>
      <c r="K179" s="160" t="s">
        <v>5011</v>
      </c>
      <c r="L179" s="743" t="s">
        <v>5414</v>
      </c>
      <c r="M179" s="184">
        <v>18</v>
      </c>
      <c r="N179" s="685"/>
      <c r="O179" s="685"/>
      <c r="P179" s="685"/>
      <c r="Q179" s="685"/>
      <c r="R179" s="191"/>
      <c r="S179" s="192"/>
      <c r="T179" s="187"/>
      <c r="U179" s="193"/>
      <c r="V179" s="194"/>
      <c r="W179" s="194"/>
      <c r="X179" s="195"/>
      <c r="Y179" s="736">
        <v>816</v>
      </c>
      <c r="Z179" s="787" t="s">
        <v>7128</v>
      </c>
      <c r="AA179" s="196">
        <v>100</v>
      </c>
      <c r="AB179" s="196">
        <v>1</v>
      </c>
      <c r="AC179" s="695">
        <v>2</v>
      </c>
      <c r="AD179" s="844">
        <v>0.15</v>
      </c>
      <c r="AE179" s="197">
        <v>15851.316267672615</v>
      </c>
      <c r="AF179" s="198">
        <f ca="1">Rater!X176*PRODUCT(Rater!V178:V192)*IF(Rater!Y30=FALSE,1,Rater!$V$51)</f>
        <v>15851.316267672615</v>
      </c>
      <c r="AG179" s="668"/>
    </row>
    <row r="180" spans="1:33" s="181" customFormat="1" ht="12.75" x14ac:dyDescent="0.2">
      <c r="A180" s="175">
        <f t="shared" ca="1" si="10"/>
        <v>1</v>
      </c>
      <c r="B180" s="683" t="s">
        <v>293</v>
      </c>
      <c r="C180" s="684" t="s">
        <v>5399</v>
      </c>
      <c r="D180" s="684" t="s">
        <v>5405</v>
      </c>
      <c r="E180" s="685" t="s">
        <v>4986</v>
      </c>
      <c r="F180" s="754">
        <v>62036</v>
      </c>
      <c r="G180" s="754" t="s">
        <v>5027</v>
      </c>
      <c r="H180" s="747">
        <v>1</v>
      </c>
      <c r="I180" s="686">
        <v>10</v>
      </c>
      <c r="J180" s="752">
        <v>10</v>
      </c>
      <c r="K180" s="160" t="s">
        <v>5011</v>
      </c>
      <c r="L180" s="743" t="s">
        <v>5414</v>
      </c>
      <c r="M180" s="685">
        <v>13</v>
      </c>
      <c r="N180" s="685"/>
      <c r="O180" s="685"/>
      <c r="P180" s="685"/>
      <c r="Q180" s="685"/>
      <c r="R180" s="739"/>
      <c r="S180" s="692"/>
      <c r="T180" s="688"/>
      <c r="U180" s="740"/>
      <c r="V180" s="693"/>
      <c r="W180" s="693"/>
      <c r="X180" s="694"/>
      <c r="Y180" s="737">
        <v>816</v>
      </c>
      <c r="Z180" s="754" t="s">
        <v>7128</v>
      </c>
      <c r="AA180" s="196">
        <v>100</v>
      </c>
      <c r="AB180" s="695">
        <v>1</v>
      </c>
      <c r="AC180" s="695">
        <v>2</v>
      </c>
      <c r="AD180" s="845">
        <v>0.15</v>
      </c>
      <c r="AE180" s="696">
        <v>125</v>
      </c>
      <c r="AF180" s="697">
        <f ca="1">Rater!I195*IF(Rater!Y30=FALSE,1,Rater!$V$51)</f>
        <v>125</v>
      </c>
      <c r="AG180" s="668"/>
    </row>
    <row r="181" spans="1:33" s="181" customFormat="1" ht="12.75" x14ac:dyDescent="0.2">
      <c r="A181" s="175">
        <f t="shared" ca="1" si="10"/>
        <v>1</v>
      </c>
      <c r="B181" s="683" t="s">
        <v>293</v>
      </c>
      <c r="C181" s="684" t="s">
        <v>5396</v>
      </c>
      <c r="D181" s="684" t="s">
        <v>5405</v>
      </c>
      <c r="E181" s="685" t="s">
        <v>4987</v>
      </c>
      <c r="F181" s="754">
        <v>62036</v>
      </c>
      <c r="G181" s="754" t="s">
        <v>5027</v>
      </c>
      <c r="H181" s="747">
        <v>1</v>
      </c>
      <c r="I181" s="686">
        <v>10</v>
      </c>
      <c r="J181" s="752">
        <v>10</v>
      </c>
      <c r="K181" s="160" t="s">
        <v>5011</v>
      </c>
      <c r="L181" s="743" t="s">
        <v>5414</v>
      </c>
      <c r="M181" s="685">
        <v>8</v>
      </c>
      <c r="N181" s="685"/>
      <c r="O181" s="685"/>
      <c r="P181" s="685"/>
      <c r="Q181" s="685"/>
      <c r="R181" s="739"/>
      <c r="S181" s="692"/>
      <c r="T181" s="688"/>
      <c r="U181" s="740"/>
      <c r="V181" s="693"/>
      <c r="W181" s="693"/>
      <c r="X181" s="694"/>
      <c r="Y181" s="737">
        <v>816</v>
      </c>
      <c r="Z181" s="754" t="s">
        <v>7128</v>
      </c>
      <c r="AA181" s="196">
        <v>100</v>
      </c>
      <c r="AB181" s="695">
        <v>1</v>
      </c>
      <c r="AC181" s="695">
        <v>2</v>
      </c>
      <c r="AD181" s="845">
        <v>0.15</v>
      </c>
      <c r="AE181" s="696">
        <v>13</v>
      </c>
      <c r="AF181" s="697">
        <f ca="1">Rater!I198*IF(Rater!Y30=FALSE,1,Rater!$V$51)</f>
        <v>13</v>
      </c>
      <c r="AG181" s="668"/>
    </row>
    <row r="182" spans="1:33" s="181" customFormat="1" ht="12.75" hidden="1" x14ac:dyDescent="0.2">
      <c r="A182" s="175">
        <f t="shared" si="10"/>
        <v>0</v>
      </c>
      <c r="B182" s="683" t="s">
        <v>293</v>
      </c>
      <c r="C182" s="684" t="s">
        <v>5344</v>
      </c>
      <c r="D182" s="684" t="s">
        <v>5405</v>
      </c>
      <c r="E182" s="685" t="s">
        <v>5146</v>
      </c>
      <c r="F182" s="754">
        <v>62036</v>
      </c>
      <c r="G182" s="754" t="s">
        <v>5027</v>
      </c>
      <c r="H182" s="747">
        <v>3</v>
      </c>
      <c r="I182" s="686">
        <v>10</v>
      </c>
      <c r="J182" s="752">
        <v>10</v>
      </c>
      <c r="K182" s="160" t="s">
        <v>5011</v>
      </c>
      <c r="L182" s="743" t="s">
        <v>5414</v>
      </c>
      <c r="M182" s="685">
        <v>8</v>
      </c>
      <c r="N182" s="685"/>
      <c r="O182" s="685"/>
      <c r="P182" s="685"/>
      <c r="Q182" s="685"/>
      <c r="R182" s="739"/>
      <c r="S182" s="692"/>
      <c r="T182" s="688"/>
      <c r="U182" s="740"/>
      <c r="V182" s="693"/>
      <c r="W182" s="693"/>
      <c r="X182" s="694"/>
      <c r="Y182" s="737">
        <v>816</v>
      </c>
      <c r="Z182" s="754" t="s">
        <v>7128</v>
      </c>
      <c r="AA182" s="196">
        <v>100</v>
      </c>
      <c r="AB182" s="695">
        <v>1</v>
      </c>
      <c r="AC182" s="695">
        <v>2</v>
      </c>
      <c r="AD182" s="845">
        <v>0.15</v>
      </c>
      <c r="AE182" s="696">
        <v>0</v>
      </c>
      <c r="AF182" s="697">
        <f>Rater!J204*Rater!V206</f>
        <v>0</v>
      </c>
      <c r="AG182" s="668"/>
    </row>
    <row r="183" spans="1:33" s="181" customFormat="1" ht="12.75" hidden="1" x14ac:dyDescent="0.2">
      <c r="A183" s="175">
        <f t="shared" si="10"/>
        <v>0</v>
      </c>
      <c r="B183" s="683" t="s">
        <v>293</v>
      </c>
      <c r="C183" s="684" t="s">
        <v>5397</v>
      </c>
      <c r="D183" s="684" t="s">
        <v>5405</v>
      </c>
      <c r="E183" s="685" t="s">
        <v>5406</v>
      </c>
      <c r="F183" s="754">
        <v>62036</v>
      </c>
      <c r="G183" s="754" t="s">
        <v>5027</v>
      </c>
      <c r="H183" s="747">
        <v>1</v>
      </c>
      <c r="I183" s="686">
        <v>10</v>
      </c>
      <c r="J183" s="752">
        <v>10</v>
      </c>
      <c r="K183" s="160" t="s">
        <v>5011</v>
      </c>
      <c r="L183" s="743" t="s">
        <v>5414</v>
      </c>
      <c r="M183" s="685">
        <v>8</v>
      </c>
      <c r="N183" s="685"/>
      <c r="O183" s="685"/>
      <c r="P183" s="685"/>
      <c r="Q183" s="685"/>
      <c r="R183" s="739"/>
      <c r="S183" s="692"/>
      <c r="T183" s="688"/>
      <c r="U183" s="740"/>
      <c r="V183" s="693"/>
      <c r="W183" s="693"/>
      <c r="X183" s="694"/>
      <c r="Y183" s="737">
        <v>816</v>
      </c>
      <c r="Z183" s="754" t="s">
        <v>7128</v>
      </c>
      <c r="AA183" s="196">
        <v>100</v>
      </c>
      <c r="AB183" s="695">
        <v>1</v>
      </c>
      <c r="AC183" s="695">
        <v>2</v>
      </c>
      <c r="AD183" s="845">
        <v>0.15</v>
      </c>
      <c r="AE183" s="696">
        <v>0</v>
      </c>
      <c r="AF183" s="697">
        <v>0</v>
      </c>
      <c r="AG183" s="668"/>
    </row>
    <row r="184" spans="1:33" s="181" customFormat="1" hidden="1" x14ac:dyDescent="0.25">
      <c r="A184" s="44">
        <f>IF(CoId=5,0,IF(AF184&lt;0.01,0,1))</f>
        <v>0</v>
      </c>
      <c r="B184" s="683" t="s">
        <v>293</v>
      </c>
      <c r="C184" s="684" t="s">
        <v>5400</v>
      </c>
      <c r="D184" s="684" t="s">
        <v>5405</v>
      </c>
      <c r="E184" s="685" t="s">
        <v>5407</v>
      </c>
      <c r="F184" s="742" t="s">
        <v>5159</v>
      </c>
      <c r="G184" s="834"/>
      <c r="H184" s="689"/>
      <c r="I184" s="686">
        <v>10</v>
      </c>
      <c r="J184" s="689"/>
      <c r="K184" s="195"/>
      <c r="L184" s="694"/>
      <c r="M184" s="691"/>
      <c r="N184" s="691"/>
      <c r="O184" s="691"/>
      <c r="P184" s="691"/>
      <c r="Q184" s="691"/>
      <c r="R184" s="195"/>
      <c r="S184" s="692"/>
      <c r="T184" s="688"/>
      <c r="U184" s="740"/>
      <c r="V184" s="693"/>
      <c r="W184" s="693"/>
      <c r="X184" s="694"/>
      <c r="Y184" s="694"/>
      <c r="Z184" s="755"/>
      <c r="AA184" s="195"/>
      <c r="AB184" s="195"/>
      <c r="AC184" s="695">
        <v>2</v>
      </c>
      <c r="AD184" s="846"/>
      <c r="AE184" s="919"/>
      <c r="AF184" s="918"/>
      <c r="AG184" s="668"/>
    </row>
    <row r="185" spans="1:33" s="181" customFormat="1" hidden="1" x14ac:dyDescent="0.25">
      <c r="A185" s="44">
        <f>IF(CoId=5,0,IF(AF185&lt;0.01,0,1))</f>
        <v>0</v>
      </c>
      <c r="B185" s="199" t="s">
        <v>293</v>
      </c>
      <c r="C185" s="158" t="s">
        <v>5401</v>
      </c>
      <c r="D185" s="183" t="s">
        <v>5405</v>
      </c>
      <c r="E185" s="200" t="s">
        <v>5408</v>
      </c>
      <c r="F185" s="742" t="s">
        <v>5159</v>
      </c>
      <c r="G185" s="755"/>
      <c r="H185" s="694"/>
      <c r="I185" s="185">
        <v>10</v>
      </c>
      <c r="J185" s="694"/>
      <c r="K185" s="195"/>
      <c r="L185" s="694"/>
      <c r="M185" s="195"/>
      <c r="N185" s="694"/>
      <c r="O185" s="694"/>
      <c r="P185" s="694"/>
      <c r="Q185" s="694"/>
      <c r="R185" s="195"/>
      <c r="S185" s="195"/>
      <c r="T185" s="195"/>
      <c r="U185" s="195"/>
      <c r="V185" s="195"/>
      <c r="W185" s="195"/>
      <c r="X185" s="195"/>
      <c r="Y185" s="195"/>
      <c r="Z185" s="755"/>
      <c r="AA185" s="195"/>
      <c r="AB185" s="195"/>
      <c r="AC185" s="695">
        <v>2</v>
      </c>
      <c r="AD185" s="846"/>
      <c r="AE185" s="914"/>
      <c r="AF185" s="918"/>
      <c r="AG185" s="668"/>
    </row>
    <row r="186" spans="1:33" s="181" customFormat="1" ht="12.75" hidden="1" x14ac:dyDescent="0.2">
      <c r="A186" s="175">
        <f>IF(CoId=5,0,IF(OR(AF186="",AF186=0),0,1))</f>
        <v>0</v>
      </c>
      <c r="B186" s="199" t="s">
        <v>293</v>
      </c>
      <c r="C186" s="158" t="s">
        <v>5402</v>
      </c>
      <c r="D186" s="183" t="s">
        <v>5405</v>
      </c>
      <c r="E186" s="200" t="s">
        <v>5409</v>
      </c>
      <c r="F186" s="742" t="s">
        <v>5159</v>
      </c>
      <c r="G186" s="755"/>
      <c r="H186" s="694"/>
      <c r="I186" s="185">
        <v>10</v>
      </c>
      <c r="J186" s="694"/>
      <c r="K186" s="195"/>
      <c r="L186" s="694"/>
      <c r="M186" s="195"/>
      <c r="N186" s="694"/>
      <c r="O186" s="694"/>
      <c r="P186" s="694"/>
      <c r="Q186" s="694"/>
      <c r="R186" s="195"/>
      <c r="S186" s="195"/>
      <c r="T186" s="195"/>
      <c r="U186" s="195"/>
      <c r="V186" s="195"/>
      <c r="W186" s="195"/>
      <c r="X186" s="195"/>
      <c r="Y186" s="195"/>
      <c r="Z186" s="755"/>
      <c r="AA186" s="195"/>
      <c r="AB186" s="195"/>
      <c r="AC186" s="695">
        <v>2</v>
      </c>
      <c r="AD186" s="846"/>
      <c r="AE186" s="914"/>
      <c r="AF186" s="918"/>
      <c r="AG186" s="668"/>
    </row>
    <row r="187" spans="1:33" s="181" customFormat="1" ht="12.75" hidden="1" x14ac:dyDescent="0.2">
      <c r="A187" s="175">
        <f>IF(CoId=5,0,IF(OR(AF187="",AF187=0),0,1))</f>
        <v>0</v>
      </c>
      <c r="B187" s="199" t="s">
        <v>293</v>
      </c>
      <c r="C187" s="158" t="s">
        <v>5403</v>
      </c>
      <c r="D187" s="183" t="s">
        <v>5405</v>
      </c>
      <c r="E187" s="200" t="s">
        <v>5410</v>
      </c>
      <c r="F187" s="742" t="s">
        <v>5159</v>
      </c>
      <c r="G187" s="755"/>
      <c r="H187" s="694"/>
      <c r="I187" s="185">
        <v>10</v>
      </c>
      <c r="J187" s="694"/>
      <c r="K187" s="195"/>
      <c r="L187" s="694"/>
      <c r="M187" s="195"/>
      <c r="N187" s="694"/>
      <c r="O187" s="694"/>
      <c r="P187" s="694"/>
      <c r="Q187" s="694"/>
      <c r="R187" s="195"/>
      <c r="S187" s="195"/>
      <c r="T187" s="195"/>
      <c r="U187" s="195"/>
      <c r="V187" s="195"/>
      <c r="W187" s="195"/>
      <c r="X187" s="195"/>
      <c r="Y187" s="195"/>
      <c r="Z187" s="755"/>
      <c r="AA187" s="195"/>
      <c r="AB187" s="195"/>
      <c r="AC187" s="695">
        <v>2</v>
      </c>
      <c r="AD187" s="846"/>
      <c r="AE187" s="914"/>
      <c r="AF187" s="918"/>
      <c r="AG187" s="668"/>
    </row>
    <row r="188" spans="1:33" s="181" customFormat="1" ht="12.75" hidden="1" x14ac:dyDescent="0.2">
      <c r="A188" s="175">
        <f>IF(CoId=5,0,IF(OR(AF188="",AF188=0),0,1))</f>
        <v>0</v>
      </c>
      <c r="B188" s="199" t="s">
        <v>293</v>
      </c>
      <c r="C188" s="158" t="s">
        <v>5404</v>
      </c>
      <c r="D188" s="183" t="s">
        <v>5405</v>
      </c>
      <c r="E188" s="200" t="s">
        <v>5411</v>
      </c>
      <c r="F188" s="742" t="s">
        <v>5159</v>
      </c>
      <c r="G188" s="755"/>
      <c r="H188" s="694"/>
      <c r="I188" s="185">
        <v>10</v>
      </c>
      <c r="J188" s="694"/>
      <c r="K188" s="195"/>
      <c r="L188" s="694"/>
      <c r="M188" s="195"/>
      <c r="N188" s="694"/>
      <c r="O188" s="694"/>
      <c r="P188" s="694"/>
      <c r="Q188" s="694"/>
      <c r="R188" s="195"/>
      <c r="S188" s="195"/>
      <c r="T188" s="195"/>
      <c r="U188" s="195"/>
      <c r="V188" s="195"/>
      <c r="W188" s="195"/>
      <c r="X188" s="195"/>
      <c r="Y188" s="195"/>
      <c r="Z188" s="755"/>
      <c r="AA188" s="195"/>
      <c r="AB188" s="195"/>
      <c r="AC188" s="695">
        <v>2</v>
      </c>
      <c r="AD188" s="846"/>
      <c r="AE188" s="914"/>
      <c r="AF188" s="918"/>
      <c r="AG188" s="668"/>
    </row>
    <row r="189" spans="1:33" s="181" customFormat="1" ht="13.5" hidden="1" thickBot="1" x14ac:dyDescent="0.25">
      <c r="A189" s="175">
        <f t="shared" si="10"/>
        <v>0</v>
      </c>
      <c r="B189" s="202" t="s">
        <v>293</v>
      </c>
      <c r="C189" s="167" t="s">
        <v>5351</v>
      </c>
      <c r="D189" s="203" t="s">
        <v>5405</v>
      </c>
      <c r="E189" s="204" t="s">
        <v>5412</v>
      </c>
      <c r="F189" s="741">
        <v>62036</v>
      </c>
      <c r="G189" s="756" t="s">
        <v>5027</v>
      </c>
      <c r="H189" s="709">
        <v>1</v>
      </c>
      <c r="I189" s="205">
        <v>10</v>
      </c>
      <c r="J189" s="709">
        <v>10</v>
      </c>
      <c r="K189" s="207" t="s">
        <v>5160</v>
      </c>
      <c r="L189" s="749" t="s">
        <v>5414</v>
      </c>
      <c r="M189" s="748">
        <v>18</v>
      </c>
      <c r="N189" s="735"/>
      <c r="O189" s="735"/>
      <c r="P189" s="735"/>
      <c r="Q189" s="735"/>
      <c r="R189" s="735"/>
      <c r="S189" s="206"/>
      <c r="T189" s="206"/>
      <c r="U189" s="206"/>
      <c r="V189" s="206"/>
      <c r="W189" s="206"/>
      <c r="X189" s="206"/>
      <c r="Y189" s="748">
        <v>816</v>
      </c>
      <c r="Z189" s="905" t="s">
        <v>7128</v>
      </c>
      <c r="AA189" s="196">
        <v>100</v>
      </c>
      <c r="AB189" s="698">
        <v>1</v>
      </c>
      <c r="AC189" s="698">
        <v>2</v>
      </c>
      <c r="AD189" s="849">
        <v>0.15</v>
      </c>
      <c r="AE189" s="852"/>
      <c r="AF189" s="853"/>
      <c r="AG189" s="668"/>
    </row>
    <row r="190" spans="1:33" s="181" customFormat="1" ht="13.5" thickBot="1" x14ac:dyDescent="0.25">
      <c r="A190" s="175">
        <f>IF(SUM(A195:A203)&gt;0,1,0)</f>
        <v>1</v>
      </c>
      <c r="B190" s="646"/>
      <c r="C190" s="640"/>
      <c r="D190" s="647"/>
      <c r="E190" s="646"/>
      <c r="F190" s="646"/>
      <c r="G190" s="648"/>
      <c r="H190" s="650"/>
      <c r="I190" s="651"/>
      <c r="J190" s="650"/>
      <c r="K190" s="650"/>
      <c r="L190" s="650"/>
      <c r="M190" s="650"/>
      <c r="N190" s="650"/>
      <c r="O190" s="650"/>
      <c r="P190" s="650"/>
      <c r="Q190" s="650"/>
      <c r="R190" s="650"/>
      <c r="S190" s="650"/>
      <c r="T190" s="650"/>
      <c r="U190" s="650"/>
      <c r="V190" s="650"/>
      <c r="W190" s="650"/>
      <c r="X190" s="650"/>
      <c r="Y190" s="650"/>
      <c r="AB190" s="668"/>
    </row>
    <row r="191" spans="1:33" s="181" customFormat="1" ht="15.75" x14ac:dyDescent="0.25">
      <c r="A191" s="175">
        <f>IF(SUM(A195:A203)&gt;0,1,0)</f>
        <v>1</v>
      </c>
      <c r="B191" s="113" t="s">
        <v>4989</v>
      </c>
      <c r="C191" s="114"/>
      <c r="D191" s="115"/>
      <c r="E191" s="116"/>
      <c r="F191" s="64"/>
      <c r="G191" s="64"/>
      <c r="H191" s="64"/>
      <c r="I191" s="117"/>
      <c r="J191" s="64"/>
      <c r="K191" s="60"/>
      <c r="L191" s="118"/>
      <c r="M191" s="118"/>
      <c r="N191" s="118"/>
      <c r="O191" s="119"/>
      <c r="P191" s="119"/>
      <c r="Q191" s="119"/>
      <c r="R191" s="119"/>
      <c r="S191" s="119"/>
      <c r="T191" s="64"/>
      <c r="U191" s="64"/>
      <c r="V191" s="64"/>
      <c r="W191" s="64"/>
      <c r="X191" s="64"/>
      <c r="Y191" s="63"/>
      <c r="AB191" s="668"/>
    </row>
    <row r="192" spans="1:33" s="181" customFormat="1" ht="12.75" x14ac:dyDescent="0.2">
      <c r="A192" s="175">
        <f>IF(SUM(A195:A203)&gt;0,1,0)</f>
        <v>1</v>
      </c>
      <c r="B192" s="120" t="s">
        <v>99</v>
      </c>
      <c r="C192" s="669">
        <v>8</v>
      </c>
      <c r="D192" s="58"/>
      <c r="E192" s="58"/>
      <c r="F192" s="73"/>
      <c r="G192" s="73"/>
      <c r="H192" s="73"/>
      <c r="I192" s="73"/>
      <c r="J192" s="73"/>
      <c r="K192" s="121"/>
      <c r="L192" s="121"/>
      <c r="M192" s="121"/>
      <c r="N192" s="121"/>
      <c r="O192" s="58"/>
      <c r="P192" s="58"/>
      <c r="Q192" s="58"/>
      <c r="R192" s="58"/>
      <c r="S192" s="58"/>
      <c r="T192" s="73"/>
      <c r="U192" s="73"/>
      <c r="V192" s="73"/>
      <c r="W192" s="73"/>
      <c r="X192" s="73"/>
      <c r="Y192" s="71"/>
      <c r="AB192" s="668"/>
    </row>
    <row r="193" spans="1:37" s="181" customFormat="1" ht="12.75" x14ac:dyDescent="0.2">
      <c r="A193" s="175">
        <f>IF(SUM(A195:A203)&gt;0,1,0)</f>
        <v>1</v>
      </c>
      <c r="B193" s="122"/>
      <c r="C193" s="123"/>
      <c r="D193" s="73"/>
      <c r="E193" s="73"/>
      <c r="F193" s="73"/>
      <c r="G193" s="73"/>
      <c r="H193" s="73"/>
      <c r="I193" s="73"/>
      <c r="J193" s="73"/>
      <c r="K193" s="121"/>
      <c r="L193" s="121"/>
      <c r="M193" s="121"/>
      <c r="N193" s="121"/>
      <c r="O193" s="58"/>
      <c r="P193" s="58"/>
      <c r="Q193" s="58"/>
      <c r="R193" s="58"/>
      <c r="S193" s="58"/>
      <c r="T193" s="73"/>
      <c r="U193" s="73"/>
      <c r="V193" s="73"/>
      <c r="W193" s="73"/>
      <c r="X193" s="73"/>
      <c r="Y193" s="71"/>
      <c r="AB193" s="668"/>
    </row>
    <row r="194" spans="1:37" s="181" customFormat="1" ht="51" x14ac:dyDescent="0.2">
      <c r="A194" s="175">
        <f>IF(SUM(A195:A203)&gt;0,1,0)</f>
        <v>1</v>
      </c>
      <c r="B194" s="124" t="s">
        <v>100</v>
      </c>
      <c r="C194" s="125" t="s">
        <v>101</v>
      </c>
      <c r="D194" s="126" t="s">
        <v>102</v>
      </c>
      <c r="E194" s="126" t="s">
        <v>103</v>
      </c>
      <c r="F194" s="126" t="s">
        <v>104</v>
      </c>
      <c r="G194" s="126" t="s">
        <v>105</v>
      </c>
      <c r="H194" s="125" t="s">
        <v>106</v>
      </c>
      <c r="I194" s="125" t="s">
        <v>107</v>
      </c>
      <c r="J194" s="125" t="s">
        <v>108</v>
      </c>
      <c r="K194" s="125" t="s">
        <v>109</v>
      </c>
      <c r="L194" s="127" t="s">
        <v>110</v>
      </c>
      <c r="M194" s="126" t="s">
        <v>111</v>
      </c>
      <c r="N194" s="125" t="s">
        <v>112</v>
      </c>
      <c r="O194" s="127" t="s">
        <v>113</v>
      </c>
      <c r="P194" s="126" t="s">
        <v>114</v>
      </c>
      <c r="Q194" s="125" t="s">
        <v>115</v>
      </c>
      <c r="R194" s="125" t="s">
        <v>116</v>
      </c>
      <c r="S194" s="126" t="s">
        <v>117</v>
      </c>
      <c r="T194" s="125" t="s">
        <v>118</v>
      </c>
      <c r="U194" s="125" t="s">
        <v>119</v>
      </c>
      <c r="V194" s="126" t="s">
        <v>120</v>
      </c>
      <c r="W194" s="126" t="s">
        <v>121</v>
      </c>
      <c r="X194" s="126" t="s">
        <v>122</v>
      </c>
      <c r="Y194" s="128" t="s">
        <v>123</v>
      </c>
      <c r="AB194" s="668"/>
    </row>
    <row r="195" spans="1:37" s="181" customFormat="1" ht="15.75" x14ac:dyDescent="0.2">
      <c r="A195" s="175">
        <f t="shared" ref="A195:A203" si="11">IF(OR(O195="",O195=0),0,1)</f>
        <v>1</v>
      </c>
      <c r="B195" s="638" t="s">
        <v>295</v>
      </c>
      <c r="C195" s="622" t="s">
        <v>4998</v>
      </c>
      <c r="D195" s="632" t="s">
        <v>4990</v>
      </c>
      <c r="E195" s="130" t="s">
        <v>5176</v>
      </c>
      <c r="F195" s="131"/>
      <c r="G195" s="132"/>
      <c r="H195" s="130"/>
      <c r="I195" s="628"/>
      <c r="J195" s="133"/>
      <c r="K195" s="133"/>
      <c r="L195" s="628"/>
      <c r="M195" s="628"/>
      <c r="N195" s="635">
        <v>10000</v>
      </c>
      <c r="O195" s="636">
        <v>1000000</v>
      </c>
      <c r="P195" s="133"/>
      <c r="Q195" s="133"/>
      <c r="R195" s="133"/>
      <c r="S195" s="133"/>
      <c r="T195" s="134"/>
      <c r="U195" s="133"/>
      <c r="V195" s="628"/>
      <c r="W195" s="636" t="s">
        <v>4932</v>
      </c>
      <c r="X195" s="628"/>
      <c r="Y195" s="636" t="s">
        <v>4932</v>
      </c>
      <c r="Z195" s="667"/>
      <c r="AA195" s="667"/>
      <c r="AB195" s="668"/>
    </row>
    <row r="196" spans="1:37" s="181" customFormat="1" ht="15.75" x14ac:dyDescent="0.2">
      <c r="A196" s="175">
        <f t="shared" si="11"/>
        <v>1</v>
      </c>
      <c r="B196" s="638" t="s">
        <v>295</v>
      </c>
      <c r="C196" s="623" t="s">
        <v>5417</v>
      </c>
      <c r="D196" s="633" t="s">
        <v>4991</v>
      </c>
      <c r="E196" s="624" t="s">
        <v>5176</v>
      </c>
      <c r="F196" s="625"/>
      <c r="G196" s="626"/>
      <c r="H196" s="624" t="s">
        <v>4998</v>
      </c>
      <c r="I196" s="628"/>
      <c r="J196" s="628"/>
      <c r="K196" s="628"/>
      <c r="L196" s="628"/>
      <c r="M196" s="628"/>
      <c r="N196" s="628"/>
      <c r="O196" s="636">
        <v>250000</v>
      </c>
      <c r="P196" s="628"/>
      <c r="Q196" s="628"/>
      <c r="R196" s="628"/>
      <c r="S196" s="628"/>
      <c r="T196" s="629"/>
      <c r="U196" s="628"/>
      <c r="V196" s="628"/>
      <c r="W196" s="636" t="s">
        <v>4932</v>
      </c>
      <c r="X196" s="628"/>
      <c r="Y196" s="630"/>
      <c r="Z196" s="667"/>
      <c r="AA196" s="667"/>
      <c r="AB196" s="668"/>
    </row>
    <row r="197" spans="1:37" s="181" customFormat="1" ht="15.75" x14ac:dyDescent="0.2">
      <c r="A197" s="175">
        <f t="shared" si="11"/>
        <v>1</v>
      </c>
      <c r="B197" s="652" t="s">
        <v>295</v>
      </c>
      <c r="C197" s="670" t="s">
        <v>4997</v>
      </c>
      <c r="D197" s="633" t="s">
        <v>4992</v>
      </c>
      <c r="E197" s="624" t="s">
        <v>5176</v>
      </c>
      <c r="F197" s="625"/>
      <c r="G197" s="626"/>
      <c r="H197" s="624" t="s">
        <v>4998</v>
      </c>
      <c r="I197" s="628"/>
      <c r="J197" s="628"/>
      <c r="K197" s="628"/>
      <c r="L197" s="628"/>
      <c r="M197" s="628"/>
      <c r="N197" s="628"/>
      <c r="O197" s="636">
        <v>250000</v>
      </c>
      <c r="P197" s="628"/>
      <c r="Q197" s="628"/>
      <c r="R197" s="628"/>
      <c r="S197" s="628"/>
      <c r="T197" s="629"/>
      <c r="U197" s="628"/>
      <c r="V197" s="628"/>
      <c r="W197" s="636" t="s">
        <v>4932</v>
      </c>
      <c r="X197" s="628"/>
      <c r="Y197" s="630"/>
      <c r="Z197" s="667"/>
      <c r="AA197" s="667"/>
      <c r="AB197" s="668"/>
    </row>
    <row r="198" spans="1:37" s="181" customFormat="1" ht="15.75" x14ac:dyDescent="0.2">
      <c r="A198" s="175">
        <f t="shared" si="11"/>
        <v>1</v>
      </c>
      <c r="B198" s="652" t="s">
        <v>295</v>
      </c>
      <c r="C198" s="623" t="s">
        <v>5418</v>
      </c>
      <c r="D198" s="633" t="s">
        <v>4993</v>
      </c>
      <c r="E198" s="624" t="s">
        <v>5176</v>
      </c>
      <c r="F198" s="625"/>
      <c r="G198" s="626"/>
      <c r="H198" s="624" t="s">
        <v>4998</v>
      </c>
      <c r="I198" s="628"/>
      <c r="J198" s="628"/>
      <c r="K198" s="628"/>
      <c r="L198" s="628"/>
      <c r="M198" s="628"/>
      <c r="N198" s="628"/>
      <c r="O198" s="636">
        <v>250000</v>
      </c>
      <c r="P198" s="628"/>
      <c r="Q198" s="628"/>
      <c r="R198" s="628"/>
      <c r="S198" s="628"/>
      <c r="T198" s="629"/>
      <c r="U198" s="628"/>
      <c r="V198" s="628"/>
      <c r="W198" s="636" t="s">
        <v>4932</v>
      </c>
      <c r="X198" s="628"/>
      <c r="Y198" s="630"/>
      <c r="Z198" s="667"/>
      <c r="AA198" s="667"/>
      <c r="AB198" s="668"/>
    </row>
    <row r="199" spans="1:37" s="181" customFormat="1" ht="15.75" x14ac:dyDescent="0.2">
      <c r="A199" s="175">
        <f t="shared" si="11"/>
        <v>1</v>
      </c>
      <c r="B199" s="652" t="s">
        <v>295</v>
      </c>
      <c r="C199" s="623" t="s">
        <v>5419</v>
      </c>
      <c r="D199" s="633" t="s">
        <v>4994</v>
      </c>
      <c r="E199" s="624" t="s">
        <v>5176</v>
      </c>
      <c r="F199" s="625"/>
      <c r="G199" s="626"/>
      <c r="H199" s="624" t="s">
        <v>4998</v>
      </c>
      <c r="I199" s="628"/>
      <c r="J199" s="628"/>
      <c r="K199" s="628"/>
      <c r="L199" s="628"/>
      <c r="M199" s="628"/>
      <c r="N199" s="628"/>
      <c r="O199" s="636">
        <v>250000</v>
      </c>
      <c r="P199" s="628"/>
      <c r="Q199" s="628"/>
      <c r="R199" s="628"/>
      <c r="S199" s="628"/>
      <c r="T199" s="629"/>
      <c r="U199" s="628"/>
      <c r="V199" s="628"/>
      <c r="W199" s="636" t="s">
        <v>4932</v>
      </c>
      <c r="X199" s="628"/>
      <c r="Y199" s="630"/>
      <c r="Z199" s="667"/>
      <c r="AA199" s="667"/>
      <c r="AB199" s="668"/>
    </row>
    <row r="200" spans="1:37" s="181" customFormat="1" ht="15.75" x14ac:dyDescent="0.2">
      <c r="A200" s="175">
        <f t="shared" si="11"/>
        <v>1</v>
      </c>
      <c r="B200" s="638" t="s">
        <v>295</v>
      </c>
      <c r="C200" s="670" t="s">
        <v>5420</v>
      </c>
      <c r="D200" s="633" t="s">
        <v>4995</v>
      </c>
      <c r="E200" s="624" t="s">
        <v>5176</v>
      </c>
      <c r="F200" s="625"/>
      <c r="G200" s="626"/>
      <c r="H200" s="624" t="s">
        <v>4998</v>
      </c>
      <c r="I200" s="628"/>
      <c r="J200" s="628"/>
      <c r="K200" s="628"/>
      <c r="L200" s="628"/>
      <c r="M200" s="628"/>
      <c r="N200" s="628"/>
      <c r="O200" s="636">
        <v>250000</v>
      </c>
      <c r="P200" s="628"/>
      <c r="Q200" s="628"/>
      <c r="R200" s="628"/>
      <c r="S200" s="628"/>
      <c r="T200" s="629"/>
      <c r="U200" s="628"/>
      <c r="V200" s="628"/>
      <c r="W200" s="636" t="s">
        <v>4932</v>
      </c>
      <c r="X200" s="628"/>
      <c r="Y200" s="630"/>
      <c r="Z200" s="667"/>
      <c r="AA200" s="667"/>
      <c r="AB200" s="668"/>
    </row>
    <row r="201" spans="1:37" s="181" customFormat="1" ht="15.75" x14ac:dyDescent="0.2">
      <c r="A201" s="175">
        <f t="shared" si="11"/>
        <v>1</v>
      </c>
      <c r="B201" s="638" t="s">
        <v>295</v>
      </c>
      <c r="C201" s="623" t="s">
        <v>5421</v>
      </c>
      <c r="D201" s="633" t="s">
        <v>4996</v>
      </c>
      <c r="E201" s="624" t="s">
        <v>5176</v>
      </c>
      <c r="F201" s="625"/>
      <c r="G201" s="626"/>
      <c r="H201" s="624" t="s">
        <v>4998</v>
      </c>
      <c r="I201" s="628"/>
      <c r="J201" s="628"/>
      <c r="K201" s="628"/>
      <c r="L201" s="628"/>
      <c r="M201" s="628"/>
      <c r="N201" s="628"/>
      <c r="O201" s="636">
        <v>250000</v>
      </c>
      <c r="P201" s="628"/>
      <c r="Q201" s="628"/>
      <c r="R201" s="628"/>
      <c r="S201" s="628"/>
      <c r="T201" s="629"/>
      <c r="U201" s="628"/>
      <c r="V201" s="628"/>
      <c r="W201" s="636" t="s">
        <v>4932</v>
      </c>
      <c r="X201" s="628"/>
      <c r="Y201" s="630"/>
      <c r="Z201" s="667"/>
      <c r="AA201" s="667"/>
      <c r="AB201" s="668"/>
    </row>
    <row r="202" spans="1:37" s="181" customFormat="1" ht="15.75" hidden="1" x14ac:dyDescent="0.2">
      <c r="A202" s="175">
        <f t="shared" si="11"/>
        <v>0</v>
      </c>
      <c r="B202" s="638" t="s">
        <v>295</v>
      </c>
      <c r="C202" s="623" t="s">
        <v>5344</v>
      </c>
      <c r="D202" s="633" t="s">
        <v>409</v>
      </c>
      <c r="E202" s="624" t="s">
        <v>5176</v>
      </c>
      <c r="F202" s="625"/>
      <c r="G202" s="626"/>
      <c r="H202" s="624"/>
      <c r="I202" s="628"/>
      <c r="J202" s="628"/>
      <c r="K202" s="628"/>
      <c r="L202" s="628"/>
      <c r="M202" s="628"/>
      <c r="N202" s="628"/>
      <c r="O202" s="636">
        <v>0</v>
      </c>
      <c r="P202" s="628"/>
      <c r="Q202" s="628"/>
      <c r="R202" s="628"/>
      <c r="S202" s="628"/>
      <c r="T202" s="629"/>
      <c r="U202" s="628"/>
      <c r="V202" s="628"/>
      <c r="W202" s="636" t="s">
        <v>4932</v>
      </c>
      <c r="X202" s="628"/>
      <c r="Y202" s="630"/>
      <c r="Z202" s="667"/>
      <c r="AA202" s="667"/>
      <c r="AB202" s="668"/>
    </row>
    <row r="203" spans="1:37" s="181" customFormat="1" ht="16.5" hidden="1" thickBot="1" x14ac:dyDescent="0.25">
      <c r="A203" s="175">
        <f t="shared" si="11"/>
        <v>0</v>
      </c>
      <c r="B203" s="653" t="s">
        <v>295</v>
      </c>
      <c r="C203" s="654" t="s">
        <v>5397</v>
      </c>
      <c r="D203" s="655" t="s">
        <v>504</v>
      </c>
      <c r="E203" s="656" t="s">
        <v>5176</v>
      </c>
      <c r="F203" s="657"/>
      <c r="G203" s="658"/>
      <c r="H203" s="656" t="s">
        <v>4933</v>
      </c>
      <c r="I203" s="660"/>
      <c r="J203" s="660"/>
      <c r="K203" s="660"/>
      <c r="L203" s="660"/>
      <c r="M203" s="660"/>
      <c r="N203" s="660"/>
      <c r="O203" s="661">
        <v>0</v>
      </c>
      <c r="P203" s="660"/>
      <c r="Q203" s="660"/>
      <c r="R203" s="660"/>
      <c r="S203" s="660"/>
      <c r="T203" s="662"/>
      <c r="U203" s="660"/>
      <c r="V203" s="660"/>
      <c r="W203" s="636" t="s">
        <v>4932</v>
      </c>
      <c r="X203" s="660"/>
      <c r="Y203" s="666"/>
      <c r="Z203" s="667"/>
      <c r="AA203" s="667"/>
      <c r="AB203" s="668"/>
    </row>
    <row r="204" spans="1:37" s="181" customFormat="1" ht="13.5" thickBot="1" x14ac:dyDescent="0.25">
      <c r="A204" s="175">
        <f ca="1">IF(SUM(A207:A221)&gt;0,1,0)</f>
        <v>1</v>
      </c>
      <c r="B204" s="646"/>
      <c r="C204" s="640"/>
      <c r="D204" s="647"/>
      <c r="E204" s="646"/>
      <c r="F204" s="646"/>
      <c r="G204" s="648"/>
      <c r="H204" s="650"/>
      <c r="I204" s="651"/>
      <c r="J204" s="650"/>
      <c r="K204" s="650"/>
      <c r="L204" s="650"/>
      <c r="M204" s="650"/>
      <c r="N204" s="650"/>
      <c r="O204" s="650"/>
      <c r="P204" s="650"/>
      <c r="Q204" s="650"/>
      <c r="R204" s="650"/>
      <c r="S204" s="650"/>
      <c r="T204" s="650"/>
      <c r="U204" s="650"/>
      <c r="V204" s="650"/>
      <c r="W204" s="650"/>
      <c r="X204" s="650"/>
      <c r="Y204" s="650"/>
      <c r="Z204" s="667"/>
      <c r="AA204" s="667"/>
      <c r="AB204" s="668"/>
    </row>
    <row r="205" spans="1:37" s="181" customFormat="1" ht="15.75" x14ac:dyDescent="0.25">
      <c r="A205" s="175">
        <f ca="1">IF(SUM(A207:A221)&gt;0,1,0)</f>
        <v>1</v>
      </c>
      <c r="B205" s="145" t="s">
        <v>124</v>
      </c>
      <c r="C205" s="146" t="s">
        <v>6054</v>
      </c>
      <c r="D205" s="173" t="str">
        <f>RtStCd</f>
        <v>04</v>
      </c>
      <c r="E205" s="64" t="s">
        <v>6045</v>
      </c>
      <c r="F205" s="148"/>
      <c r="G205" s="148"/>
      <c r="H205" s="148"/>
      <c r="I205" s="146"/>
      <c r="J205" s="146"/>
      <c r="K205" s="146"/>
      <c r="L205" s="146"/>
      <c r="M205" s="146"/>
      <c r="N205" s="146"/>
      <c r="O205" s="146"/>
      <c r="P205" s="149"/>
      <c r="Q205" s="149"/>
      <c r="R205" s="149"/>
      <c r="S205" s="150"/>
      <c r="T205" s="151"/>
      <c r="U205" s="119"/>
      <c r="V205" s="119"/>
      <c r="W205" s="119"/>
      <c r="X205" s="119"/>
      <c r="Y205" s="119"/>
      <c r="Z205" s="119"/>
      <c r="AA205" s="64"/>
      <c r="AB205" s="901">
        <f>PRODUCT(Rater!V214:V244)</f>
        <v>2.3790487660484061</v>
      </c>
      <c r="AC205" s="64"/>
      <c r="AD205" s="64"/>
      <c r="AE205" s="64"/>
      <c r="AF205" s="64"/>
      <c r="AG205" s="64"/>
      <c r="AH205" s="119"/>
      <c r="AI205" s="119"/>
      <c r="AJ205" s="174"/>
      <c r="AK205" s="668"/>
    </row>
    <row r="206" spans="1:37" s="181" customFormat="1" ht="38.25" x14ac:dyDescent="0.2">
      <c r="A206" s="175">
        <f ca="1">IF(SUM(A207:A221)&gt;0,1,0)</f>
        <v>1</v>
      </c>
      <c r="B206" s="176" t="s">
        <v>100</v>
      </c>
      <c r="C206" s="177" t="s">
        <v>125</v>
      </c>
      <c r="D206" s="178" t="s">
        <v>126</v>
      </c>
      <c r="E206" s="179" t="s">
        <v>102</v>
      </c>
      <c r="F206" s="178" t="s">
        <v>127</v>
      </c>
      <c r="G206" s="178" t="s">
        <v>5128</v>
      </c>
      <c r="H206" s="179" t="s">
        <v>130</v>
      </c>
      <c r="I206" s="179" t="s">
        <v>128</v>
      </c>
      <c r="J206" s="179" t="s">
        <v>5431</v>
      </c>
      <c r="K206" s="179" t="s">
        <v>132</v>
      </c>
      <c r="L206" s="179" t="s">
        <v>134</v>
      </c>
      <c r="M206" s="179" t="s">
        <v>135</v>
      </c>
      <c r="N206" s="179" t="s">
        <v>113</v>
      </c>
      <c r="O206" s="179" t="s">
        <v>5415</v>
      </c>
      <c r="P206" s="179" t="s">
        <v>129</v>
      </c>
      <c r="Q206" s="179" t="s">
        <v>131</v>
      </c>
      <c r="R206" s="179" t="s">
        <v>139</v>
      </c>
      <c r="S206" s="179" t="s">
        <v>146</v>
      </c>
      <c r="T206" s="179" t="s">
        <v>117</v>
      </c>
      <c r="U206" s="179" t="s">
        <v>133</v>
      </c>
      <c r="V206" s="179" t="s">
        <v>147</v>
      </c>
      <c r="W206" s="179" t="s">
        <v>148</v>
      </c>
      <c r="X206" s="179" t="s">
        <v>149</v>
      </c>
      <c r="Y206" s="179" t="s">
        <v>150</v>
      </c>
      <c r="Z206" s="179" t="s">
        <v>137</v>
      </c>
      <c r="AA206" s="179" t="s">
        <v>138</v>
      </c>
      <c r="AB206" s="179" t="s">
        <v>140</v>
      </c>
      <c r="AC206" s="179" t="s">
        <v>141</v>
      </c>
      <c r="AD206" s="179" t="s">
        <v>142</v>
      </c>
      <c r="AE206" s="179" t="s">
        <v>5199</v>
      </c>
      <c r="AF206" s="179" t="s">
        <v>6035</v>
      </c>
      <c r="AG206" s="179" t="s">
        <v>5478</v>
      </c>
      <c r="AH206" s="179" t="s">
        <v>143</v>
      </c>
      <c r="AI206" s="179" t="s">
        <v>144</v>
      </c>
      <c r="AJ206" s="180" t="s">
        <v>145</v>
      </c>
      <c r="AK206" s="668"/>
    </row>
    <row r="207" spans="1:37" s="181" customFormat="1" ht="12.75" x14ac:dyDescent="0.2">
      <c r="A207" s="175">
        <f t="shared" ref="A207:A221" ca="1" si="12">IF(OR(AJ207="",AJ207=0),0,1)</f>
        <v>1</v>
      </c>
      <c r="B207" s="182" t="s">
        <v>295</v>
      </c>
      <c r="C207" s="183" t="s">
        <v>5422</v>
      </c>
      <c r="D207" s="183" t="s">
        <v>5010</v>
      </c>
      <c r="E207" s="184" t="s">
        <v>328</v>
      </c>
      <c r="F207" s="787" t="s">
        <v>5274</v>
      </c>
      <c r="G207" s="754" t="s">
        <v>5027</v>
      </c>
      <c r="H207" s="747">
        <v>1</v>
      </c>
      <c r="I207" s="835" t="s">
        <v>5026</v>
      </c>
      <c r="J207" s="686">
        <v>10</v>
      </c>
      <c r="K207" s="686">
        <v>18</v>
      </c>
      <c r="L207" s="686"/>
      <c r="M207" s="686"/>
      <c r="N207" s="686"/>
      <c r="O207" s="686"/>
      <c r="P207" s="160" t="s">
        <v>5011</v>
      </c>
      <c r="Q207" s="743" t="s">
        <v>5414</v>
      </c>
      <c r="R207" s="837">
        <v>1</v>
      </c>
      <c r="S207" s="186"/>
      <c r="T207" s="187"/>
      <c r="U207" s="191">
        <v>2</v>
      </c>
      <c r="V207" s="192"/>
      <c r="W207" s="187"/>
      <c r="X207" s="193"/>
      <c r="Y207" s="194"/>
      <c r="Z207" s="194"/>
      <c r="AA207" s="195"/>
      <c r="AB207" s="787" t="s">
        <v>7129</v>
      </c>
      <c r="AC207" s="196">
        <v>100</v>
      </c>
      <c r="AD207" s="195"/>
      <c r="AE207" s="196">
        <v>2</v>
      </c>
      <c r="AF207" s="196">
        <v>8000</v>
      </c>
      <c r="AG207" s="754" t="s">
        <v>6036</v>
      </c>
      <c r="AH207" s="765">
        <v>0.15</v>
      </c>
      <c r="AI207" s="197">
        <v>989.20847692292739</v>
      </c>
      <c r="AJ207" s="198">
        <f ca="1">Rater!X255*PRODUCT(Rater!V257:V262)*IF(Rater!Z30=FALSE,1,Rater!$V$51)</f>
        <v>989.20847692292739</v>
      </c>
      <c r="AK207" s="668"/>
    </row>
    <row r="208" spans="1:37" s="181" customFormat="1" ht="25.5" x14ac:dyDescent="0.2">
      <c r="A208" s="175">
        <f t="shared" ca="1" si="12"/>
        <v>1</v>
      </c>
      <c r="B208" s="683" t="s">
        <v>295</v>
      </c>
      <c r="C208" s="684" t="s">
        <v>5417</v>
      </c>
      <c r="D208" s="684" t="s">
        <v>5010</v>
      </c>
      <c r="E208" s="685" t="s">
        <v>4991</v>
      </c>
      <c r="F208" s="754" t="s">
        <v>5274</v>
      </c>
      <c r="G208" s="754" t="s">
        <v>5027</v>
      </c>
      <c r="H208" s="747">
        <v>1</v>
      </c>
      <c r="I208" s="785" t="s">
        <v>5026</v>
      </c>
      <c r="J208" s="686">
        <v>10</v>
      </c>
      <c r="K208" s="686">
        <v>13</v>
      </c>
      <c r="L208" s="686"/>
      <c r="M208" s="686"/>
      <c r="N208" s="686"/>
      <c r="O208" s="686"/>
      <c r="P208" s="160" t="s">
        <v>5011</v>
      </c>
      <c r="Q208" s="743" t="s">
        <v>5414</v>
      </c>
      <c r="R208" s="837">
        <v>1</v>
      </c>
      <c r="S208" s="687"/>
      <c r="T208" s="688"/>
      <c r="U208" s="739">
        <v>2</v>
      </c>
      <c r="V208" s="692"/>
      <c r="W208" s="688"/>
      <c r="X208" s="740"/>
      <c r="Y208" s="693"/>
      <c r="Z208" s="693"/>
      <c r="AA208" s="694"/>
      <c r="AB208" s="754" t="s">
        <v>7129</v>
      </c>
      <c r="AC208" s="196">
        <v>100</v>
      </c>
      <c r="AD208" s="694"/>
      <c r="AE208" s="196">
        <v>2</v>
      </c>
      <c r="AF208" s="196">
        <v>8000</v>
      </c>
      <c r="AG208" s="754" t="s">
        <v>6036</v>
      </c>
      <c r="AH208" s="766">
        <v>0.15</v>
      </c>
      <c r="AI208" s="696">
        <v>10</v>
      </c>
      <c r="AJ208" s="697">
        <f ca="1">Rater!I265*IF(Rater!Z30=FALSE,1,Rater!$V$51)</f>
        <v>10</v>
      </c>
      <c r="AK208" s="668"/>
    </row>
    <row r="209" spans="1:37" s="181" customFormat="1" ht="25.5" x14ac:dyDescent="0.2">
      <c r="A209" s="175">
        <f t="shared" ca="1" si="12"/>
        <v>1</v>
      </c>
      <c r="B209" s="683" t="s">
        <v>295</v>
      </c>
      <c r="C209" s="684" t="s">
        <v>5423</v>
      </c>
      <c r="D209" s="684" t="s">
        <v>5010</v>
      </c>
      <c r="E209" s="685" t="s">
        <v>5427</v>
      </c>
      <c r="F209" s="754" t="s">
        <v>5274</v>
      </c>
      <c r="G209" s="754" t="s">
        <v>5027</v>
      </c>
      <c r="H209" s="747">
        <v>1</v>
      </c>
      <c r="I209" s="785" t="s">
        <v>5026</v>
      </c>
      <c r="J209" s="686">
        <v>10</v>
      </c>
      <c r="K209" s="686">
        <v>13</v>
      </c>
      <c r="L209" s="686"/>
      <c r="M209" s="686"/>
      <c r="N209" s="686"/>
      <c r="O209" s="686"/>
      <c r="P209" s="160" t="s">
        <v>5011</v>
      </c>
      <c r="Q209" s="743" t="s">
        <v>5414</v>
      </c>
      <c r="R209" s="837">
        <v>1</v>
      </c>
      <c r="S209" s="687"/>
      <c r="T209" s="688"/>
      <c r="U209" s="739">
        <v>2</v>
      </c>
      <c r="V209" s="692"/>
      <c r="W209" s="688"/>
      <c r="X209" s="740"/>
      <c r="Y209" s="693"/>
      <c r="Z209" s="693"/>
      <c r="AA209" s="694"/>
      <c r="AB209" s="754" t="s">
        <v>7129</v>
      </c>
      <c r="AC209" s="196">
        <v>100</v>
      </c>
      <c r="AD209" s="694"/>
      <c r="AE209" s="196">
        <v>2</v>
      </c>
      <c r="AF209" s="196">
        <v>8000</v>
      </c>
      <c r="AG209" s="754" t="s">
        <v>6036</v>
      </c>
      <c r="AH209" s="766">
        <v>0.15</v>
      </c>
      <c r="AI209" s="696">
        <v>10</v>
      </c>
      <c r="AJ209" s="697">
        <f ca="1">Rater!I268*IF(Rater!Z30=FALSE,1,Rater!$V$51)</f>
        <v>10</v>
      </c>
      <c r="AK209" s="668"/>
    </row>
    <row r="210" spans="1:37" s="181" customFormat="1" ht="25.5" x14ac:dyDescent="0.2">
      <c r="A210" s="175">
        <f t="shared" ca="1" si="12"/>
        <v>1</v>
      </c>
      <c r="B210" s="683" t="s">
        <v>295</v>
      </c>
      <c r="C210" s="684" t="s">
        <v>5418</v>
      </c>
      <c r="D210" s="684" t="s">
        <v>5010</v>
      </c>
      <c r="E210" s="685" t="s">
        <v>5428</v>
      </c>
      <c r="F210" s="754" t="s">
        <v>5274</v>
      </c>
      <c r="G210" s="754" t="s">
        <v>5027</v>
      </c>
      <c r="H210" s="747">
        <v>1</v>
      </c>
      <c r="I210" s="785" t="s">
        <v>5026</v>
      </c>
      <c r="J210" s="686">
        <v>10</v>
      </c>
      <c r="K210" s="686">
        <v>13</v>
      </c>
      <c r="L210" s="686"/>
      <c r="M210" s="686"/>
      <c r="N210" s="686"/>
      <c r="O210" s="686"/>
      <c r="P210" s="160" t="s">
        <v>5011</v>
      </c>
      <c r="Q210" s="743" t="s">
        <v>5414</v>
      </c>
      <c r="R210" s="837">
        <v>1</v>
      </c>
      <c r="S210" s="687"/>
      <c r="T210" s="688"/>
      <c r="U210" s="739">
        <v>2</v>
      </c>
      <c r="V210" s="692"/>
      <c r="W210" s="688"/>
      <c r="X210" s="740"/>
      <c r="Y210" s="693"/>
      <c r="Z210" s="693"/>
      <c r="AA210" s="694"/>
      <c r="AB210" s="754" t="s">
        <v>7129</v>
      </c>
      <c r="AC210" s="196">
        <v>100</v>
      </c>
      <c r="AD210" s="694"/>
      <c r="AE210" s="196">
        <v>2</v>
      </c>
      <c r="AF210" s="196">
        <v>8000</v>
      </c>
      <c r="AG210" s="754" t="s">
        <v>6036</v>
      </c>
      <c r="AH210" s="766">
        <v>0.15</v>
      </c>
      <c r="AI210" s="696">
        <v>10</v>
      </c>
      <c r="AJ210" s="697">
        <f ca="1">Rater!I271*IF(Rater!Z30=FALSE,1,Rater!$V$51)</f>
        <v>10</v>
      </c>
      <c r="AK210" s="668"/>
    </row>
    <row r="211" spans="1:37" s="181" customFormat="1" ht="25.5" x14ac:dyDescent="0.2">
      <c r="A211" s="175">
        <f t="shared" ca="1" si="12"/>
        <v>1</v>
      </c>
      <c r="B211" s="683" t="s">
        <v>295</v>
      </c>
      <c r="C211" s="684" t="s">
        <v>5424</v>
      </c>
      <c r="D211" s="684" t="s">
        <v>5010</v>
      </c>
      <c r="E211" s="685" t="s">
        <v>5429</v>
      </c>
      <c r="F211" s="754" t="s">
        <v>5274</v>
      </c>
      <c r="G211" s="754" t="s">
        <v>5027</v>
      </c>
      <c r="H211" s="747">
        <v>1</v>
      </c>
      <c r="I211" s="785" t="s">
        <v>5026</v>
      </c>
      <c r="J211" s="686">
        <v>10</v>
      </c>
      <c r="K211" s="686">
        <v>13</v>
      </c>
      <c r="L211" s="686"/>
      <c r="M211" s="686"/>
      <c r="N211" s="686"/>
      <c r="O211" s="686"/>
      <c r="P211" s="160" t="s">
        <v>5011</v>
      </c>
      <c r="Q211" s="743" t="s">
        <v>5414</v>
      </c>
      <c r="R211" s="837">
        <v>1</v>
      </c>
      <c r="S211" s="687"/>
      <c r="T211" s="688"/>
      <c r="U211" s="739">
        <v>2</v>
      </c>
      <c r="V211" s="692"/>
      <c r="W211" s="688"/>
      <c r="X211" s="740"/>
      <c r="Y211" s="693"/>
      <c r="Z211" s="693"/>
      <c r="AA211" s="694"/>
      <c r="AB211" s="754" t="s">
        <v>7129</v>
      </c>
      <c r="AC211" s="196">
        <v>100</v>
      </c>
      <c r="AD211" s="694"/>
      <c r="AE211" s="196">
        <v>2</v>
      </c>
      <c r="AF211" s="196">
        <v>8000</v>
      </c>
      <c r="AG211" s="754" t="s">
        <v>6036</v>
      </c>
      <c r="AH211" s="766">
        <v>0.15</v>
      </c>
      <c r="AI211" s="696">
        <v>10</v>
      </c>
      <c r="AJ211" s="697">
        <f ca="1">Rater!I274*IF(Rater!Z30=FALSE,1,Rater!$V$51)</f>
        <v>10</v>
      </c>
      <c r="AK211" s="668"/>
    </row>
    <row r="212" spans="1:37" s="181" customFormat="1" ht="25.5" x14ac:dyDescent="0.2">
      <c r="A212" s="175">
        <f t="shared" ca="1" si="12"/>
        <v>1</v>
      </c>
      <c r="B212" s="683" t="s">
        <v>295</v>
      </c>
      <c r="C212" s="684" t="s">
        <v>5425</v>
      </c>
      <c r="D212" s="684" t="s">
        <v>5010</v>
      </c>
      <c r="E212" s="685" t="s">
        <v>4995</v>
      </c>
      <c r="F212" s="754" t="s">
        <v>5274</v>
      </c>
      <c r="G212" s="754" t="s">
        <v>5027</v>
      </c>
      <c r="H212" s="747">
        <v>1</v>
      </c>
      <c r="I212" s="785" t="s">
        <v>5026</v>
      </c>
      <c r="J212" s="686">
        <v>10</v>
      </c>
      <c r="K212" s="686">
        <v>13</v>
      </c>
      <c r="L212" s="686"/>
      <c r="M212" s="686"/>
      <c r="N212" s="686"/>
      <c r="O212" s="686"/>
      <c r="P212" s="160" t="s">
        <v>5011</v>
      </c>
      <c r="Q212" s="743" t="s">
        <v>5414</v>
      </c>
      <c r="R212" s="837">
        <v>1</v>
      </c>
      <c r="S212" s="687"/>
      <c r="T212" s="688"/>
      <c r="U212" s="739">
        <v>2</v>
      </c>
      <c r="V212" s="692"/>
      <c r="W212" s="688"/>
      <c r="X212" s="740"/>
      <c r="Y212" s="693"/>
      <c r="Z212" s="693"/>
      <c r="AA212" s="694"/>
      <c r="AB212" s="754" t="s">
        <v>7129</v>
      </c>
      <c r="AC212" s="196">
        <v>100</v>
      </c>
      <c r="AD212" s="694"/>
      <c r="AE212" s="196">
        <v>2</v>
      </c>
      <c r="AF212" s="196">
        <v>8000</v>
      </c>
      <c r="AG212" s="754" t="s">
        <v>6036</v>
      </c>
      <c r="AH212" s="766">
        <v>0.15</v>
      </c>
      <c r="AI212" s="696">
        <v>10</v>
      </c>
      <c r="AJ212" s="697">
        <f ca="1">Rater!I277*IF(Rater!Z30=FALSE,1,Rater!$V$51)</f>
        <v>10</v>
      </c>
      <c r="AK212" s="668"/>
    </row>
    <row r="213" spans="1:37" s="181" customFormat="1" ht="12.75" x14ac:dyDescent="0.2">
      <c r="A213" s="175">
        <f t="shared" ca="1" si="12"/>
        <v>1</v>
      </c>
      <c r="B213" s="683" t="s">
        <v>295</v>
      </c>
      <c r="C213" s="684" t="s">
        <v>5426</v>
      </c>
      <c r="D213" s="684" t="s">
        <v>5010</v>
      </c>
      <c r="E213" s="685" t="s">
        <v>4996</v>
      </c>
      <c r="F213" s="754" t="s">
        <v>5274</v>
      </c>
      <c r="G213" s="754" t="s">
        <v>5027</v>
      </c>
      <c r="H213" s="747">
        <v>1</v>
      </c>
      <c r="I213" s="785" t="s">
        <v>5026</v>
      </c>
      <c r="J213" s="686">
        <v>10</v>
      </c>
      <c r="K213" s="686">
        <v>13</v>
      </c>
      <c r="L213" s="686"/>
      <c r="M213" s="686"/>
      <c r="N213" s="686"/>
      <c r="O213" s="686"/>
      <c r="P213" s="160" t="s">
        <v>5011</v>
      </c>
      <c r="Q213" s="743" t="s">
        <v>5414</v>
      </c>
      <c r="R213" s="837">
        <v>1</v>
      </c>
      <c r="S213" s="687"/>
      <c r="T213" s="688"/>
      <c r="U213" s="739">
        <v>2</v>
      </c>
      <c r="V213" s="692"/>
      <c r="W213" s="688"/>
      <c r="X213" s="740"/>
      <c r="Y213" s="693"/>
      <c r="Z213" s="693"/>
      <c r="AA213" s="694"/>
      <c r="AB213" s="754" t="s">
        <v>7129</v>
      </c>
      <c r="AC213" s="196">
        <v>100</v>
      </c>
      <c r="AD213" s="694"/>
      <c r="AE213" s="196">
        <v>2</v>
      </c>
      <c r="AF213" s="196">
        <v>8000</v>
      </c>
      <c r="AG213" s="754" t="s">
        <v>6036</v>
      </c>
      <c r="AH213" s="766">
        <v>0.15</v>
      </c>
      <c r="AI213" s="696">
        <v>10</v>
      </c>
      <c r="AJ213" s="697">
        <f ca="1">Rater!I280*IF(Rater!Z30=FALSE,1,Rater!$V$51)</f>
        <v>10</v>
      </c>
      <c r="AK213" s="668"/>
    </row>
    <row r="214" spans="1:37" s="181" customFormat="1" ht="12.75" hidden="1" x14ac:dyDescent="0.2">
      <c r="A214" s="175">
        <f t="shared" si="12"/>
        <v>0</v>
      </c>
      <c r="B214" s="683" t="s">
        <v>295</v>
      </c>
      <c r="C214" s="684" t="s">
        <v>5203</v>
      </c>
      <c r="D214" s="684" t="s">
        <v>5010</v>
      </c>
      <c r="E214" s="685" t="s">
        <v>5146</v>
      </c>
      <c r="F214" s="754" t="s">
        <v>5274</v>
      </c>
      <c r="G214" s="754" t="s">
        <v>5027</v>
      </c>
      <c r="H214" s="747">
        <v>1</v>
      </c>
      <c r="I214" s="785" t="s">
        <v>5026</v>
      </c>
      <c r="J214" s="686">
        <v>10</v>
      </c>
      <c r="K214" s="686"/>
      <c r="L214" s="686"/>
      <c r="M214" s="686"/>
      <c r="N214" s="686"/>
      <c r="O214" s="686"/>
      <c r="P214" s="160" t="s">
        <v>5011</v>
      </c>
      <c r="Q214" s="743" t="s">
        <v>5414</v>
      </c>
      <c r="R214" s="837">
        <v>1</v>
      </c>
      <c r="S214" s="687"/>
      <c r="T214" s="688"/>
      <c r="U214" s="739">
        <v>2</v>
      </c>
      <c r="V214" s="692"/>
      <c r="W214" s="688"/>
      <c r="X214" s="740"/>
      <c r="Y214" s="693"/>
      <c r="Z214" s="693"/>
      <c r="AA214" s="694"/>
      <c r="AB214" s="754" t="s">
        <v>7129</v>
      </c>
      <c r="AC214" s="196">
        <v>100</v>
      </c>
      <c r="AD214" s="694"/>
      <c r="AE214" s="196">
        <v>2</v>
      </c>
      <c r="AF214" s="196">
        <v>8000</v>
      </c>
      <c r="AG214" s="754" t="s">
        <v>6036</v>
      </c>
      <c r="AH214" s="766">
        <v>0.15</v>
      </c>
      <c r="AI214" s="696">
        <v>0</v>
      </c>
      <c r="AJ214" s="697">
        <f>Rater!J286*Rater!V288</f>
        <v>0</v>
      </c>
      <c r="AK214" s="668"/>
    </row>
    <row r="215" spans="1:37" s="181" customFormat="1" ht="25.5" hidden="1" x14ac:dyDescent="0.2">
      <c r="A215" s="175">
        <f t="shared" si="12"/>
        <v>0</v>
      </c>
      <c r="B215" s="683" t="s">
        <v>295</v>
      </c>
      <c r="C215" s="684" t="s">
        <v>6043</v>
      </c>
      <c r="D215" s="684" t="s">
        <v>5010</v>
      </c>
      <c r="E215" s="685" t="s">
        <v>5430</v>
      </c>
      <c r="F215" s="754" t="s">
        <v>5274</v>
      </c>
      <c r="G215" s="754" t="s">
        <v>5027</v>
      </c>
      <c r="H215" s="747">
        <v>1</v>
      </c>
      <c r="I215" s="785" t="s">
        <v>5026</v>
      </c>
      <c r="J215" s="686">
        <v>10</v>
      </c>
      <c r="K215" s="686"/>
      <c r="L215" s="686"/>
      <c r="M215" s="686"/>
      <c r="N215" s="686"/>
      <c r="O215" s="686"/>
      <c r="P215" s="160" t="s">
        <v>5011</v>
      </c>
      <c r="Q215" s="743" t="s">
        <v>5414</v>
      </c>
      <c r="R215" s="837">
        <v>1</v>
      </c>
      <c r="S215" s="687"/>
      <c r="T215" s="688"/>
      <c r="U215" s="739">
        <v>2</v>
      </c>
      <c r="V215" s="692"/>
      <c r="W215" s="688"/>
      <c r="X215" s="740"/>
      <c r="Y215" s="693"/>
      <c r="Z215" s="693"/>
      <c r="AA215" s="694"/>
      <c r="AB215" s="754" t="s">
        <v>7129</v>
      </c>
      <c r="AC215" s="196">
        <v>100</v>
      </c>
      <c r="AD215" s="694"/>
      <c r="AE215" s="196">
        <v>2</v>
      </c>
      <c r="AF215" s="196">
        <v>8000</v>
      </c>
      <c r="AG215" s="754" t="s">
        <v>6036</v>
      </c>
      <c r="AH215" s="766">
        <v>0.15</v>
      </c>
      <c r="AI215" s="696">
        <v>0</v>
      </c>
      <c r="AJ215" s="697">
        <v>0</v>
      </c>
      <c r="AK215" s="668"/>
    </row>
    <row r="216" spans="1:37" s="181" customFormat="1" hidden="1" x14ac:dyDescent="0.25">
      <c r="A216" s="44">
        <f>IF(CoId=5,0,IF(AJ216&lt;0.01,0,1))</f>
        <v>0</v>
      </c>
      <c r="B216" s="683" t="s">
        <v>295</v>
      </c>
      <c r="C216" s="684" t="s">
        <v>5158</v>
      </c>
      <c r="D216" s="684" t="s">
        <v>5010</v>
      </c>
      <c r="E216" s="685" t="s">
        <v>5148</v>
      </c>
      <c r="F216" s="742" t="s">
        <v>5159</v>
      </c>
      <c r="G216" s="755"/>
      <c r="H216" s="689"/>
      <c r="I216" s="785" t="s">
        <v>5026</v>
      </c>
      <c r="J216" s="689">
        <v>10</v>
      </c>
      <c r="K216" s="689"/>
      <c r="L216" s="689"/>
      <c r="M216" s="689"/>
      <c r="N216" s="689"/>
      <c r="O216" s="689"/>
      <c r="P216" s="689"/>
      <c r="Q216" s="689"/>
      <c r="R216" s="689"/>
      <c r="S216" s="687"/>
      <c r="T216" s="688"/>
      <c r="U216" s="689"/>
      <c r="V216" s="692"/>
      <c r="W216" s="688"/>
      <c r="X216" s="740"/>
      <c r="Y216" s="693"/>
      <c r="Z216" s="693"/>
      <c r="AA216" s="694"/>
      <c r="AB216" s="755"/>
      <c r="AC216" s="195"/>
      <c r="AD216" s="694"/>
      <c r="AE216" s="196">
        <v>2</v>
      </c>
      <c r="AF216" s="196">
        <v>8000</v>
      </c>
      <c r="AG216" s="694"/>
      <c r="AH216" s="195"/>
      <c r="AI216" s="919"/>
      <c r="AJ216" s="920"/>
      <c r="AK216" s="668"/>
    </row>
    <row r="217" spans="1:37" s="181" customFormat="1" hidden="1" x14ac:dyDescent="0.25">
      <c r="A217" s="44">
        <f>IF(CoId=5,0,IF(AJ217&lt;0.01,0,1))</f>
        <v>0</v>
      </c>
      <c r="B217" s="683" t="s">
        <v>295</v>
      </c>
      <c r="C217" s="684" t="s">
        <v>5157</v>
      </c>
      <c r="D217" s="684" t="s">
        <v>5010</v>
      </c>
      <c r="E217" s="685" t="s">
        <v>5149</v>
      </c>
      <c r="F217" s="742" t="s">
        <v>5159</v>
      </c>
      <c r="G217" s="755"/>
      <c r="H217" s="689"/>
      <c r="I217" s="785" t="s">
        <v>5026</v>
      </c>
      <c r="J217" s="689">
        <v>10</v>
      </c>
      <c r="K217" s="689"/>
      <c r="L217" s="689"/>
      <c r="M217" s="689"/>
      <c r="N217" s="689"/>
      <c r="O217" s="689"/>
      <c r="P217" s="689"/>
      <c r="Q217" s="689"/>
      <c r="R217" s="689"/>
      <c r="S217" s="687"/>
      <c r="T217" s="688"/>
      <c r="U217" s="689"/>
      <c r="V217" s="692"/>
      <c r="W217" s="688"/>
      <c r="X217" s="740"/>
      <c r="Y217" s="693"/>
      <c r="Z217" s="693"/>
      <c r="AA217" s="694"/>
      <c r="AB217" s="755"/>
      <c r="AC217" s="195"/>
      <c r="AD217" s="694"/>
      <c r="AE217" s="196">
        <v>2</v>
      </c>
      <c r="AF217" s="196">
        <v>8000</v>
      </c>
      <c r="AG217" s="694"/>
      <c r="AH217" s="195"/>
      <c r="AI217" s="919"/>
      <c r="AJ217" s="920"/>
      <c r="AK217" s="668"/>
    </row>
    <row r="218" spans="1:37" s="181" customFormat="1" ht="12.75" hidden="1" x14ac:dyDescent="0.2">
      <c r="A218" s="175">
        <f>IF(CoId=5,0,IF(OR(AJ218="",AJ218=0),0,1))</f>
        <v>0</v>
      </c>
      <c r="B218" s="683" t="s">
        <v>295</v>
      </c>
      <c r="C218" s="684" t="s">
        <v>5156</v>
      </c>
      <c r="D218" s="684" t="s">
        <v>5010</v>
      </c>
      <c r="E218" s="685" t="s">
        <v>5150</v>
      </c>
      <c r="F218" s="742" t="s">
        <v>5159</v>
      </c>
      <c r="G218" s="755"/>
      <c r="H218" s="689"/>
      <c r="I218" s="785" t="s">
        <v>5026</v>
      </c>
      <c r="J218" s="689">
        <v>10</v>
      </c>
      <c r="K218" s="689"/>
      <c r="L218" s="689"/>
      <c r="M218" s="689"/>
      <c r="N218" s="689"/>
      <c r="O218" s="689"/>
      <c r="P218" s="689"/>
      <c r="Q218" s="689"/>
      <c r="R218" s="689"/>
      <c r="S218" s="687"/>
      <c r="T218" s="688"/>
      <c r="U218" s="689"/>
      <c r="V218" s="692"/>
      <c r="W218" s="688"/>
      <c r="X218" s="740"/>
      <c r="Y218" s="693"/>
      <c r="Z218" s="693"/>
      <c r="AA218" s="694"/>
      <c r="AB218" s="755"/>
      <c r="AC218" s="195"/>
      <c r="AD218" s="694"/>
      <c r="AE218" s="196">
        <v>2</v>
      </c>
      <c r="AF218" s="196">
        <v>8000</v>
      </c>
      <c r="AG218" s="694"/>
      <c r="AH218" s="195"/>
      <c r="AI218" s="919"/>
      <c r="AJ218" s="920"/>
      <c r="AK218" s="668"/>
    </row>
    <row r="219" spans="1:37" s="181" customFormat="1" ht="12.75" hidden="1" x14ac:dyDescent="0.2">
      <c r="A219" s="175">
        <f>IF(CoId=5,0,IF(OR(AJ219="",AJ219=0),0,1))</f>
        <v>0</v>
      </c>
      <c r="B219" s="199" t="s">
        <v>295</v>
      </c>
      <c r="C219" s="158" t="s">
        <v>5155</v>
      </c>
      <c r="D219" s="183" t="s">
        <v>5010</v>
      </c>
      <c r="E219" s="200" t="s">
        <v>5151</v>
      </c>
      <c r="F219" s="742" t="s">
        <v>5159</v>
      </c>
      <c r="G219" s="755"/>
      <c r="H219" s="195"/>
      <c r="I219" s="835" t="s">
        <v>5026</v>
      </c>
      <c r="J219" s="195">
        <v>10</v>
      </c>
      <c r="K219" s="694"/>
      <c r="L219" s="694"/>
      <c r="M219" s="694"/>
      <c r="N219" s="694"/>
      <c r="O219" s="694"/>
      <c r="P219" s="195"/>
      <c r="Q219" s="694"/>
      <c r="R219" s="839"/>
      <c r="S219" s="201"/>
      <c r="T219" s="195"/>
      <c r="U219" s="694"/>
      <c r="V219" s="195"/>
      <c r="W219" s="195"/>
      <c r="X219" s="195"/>
      <c r="Y219" s="195"/>
      <c r="Z219" s="195"/>
      <c r="AA219" s="195"/>
      <c r="AB219" s="755"/>
      <c r="AC219" s="195"/>
      <c r="AD219" s="195"/>
      <c r="AE219" s="196">
        <v>2</v>
      </c>
      <c r="AF219" s="196">
        <v>8000</v>
      </c>
      <c r="AG219" s="694"/>
      <c r="AH219" s="195"/>
      <c r="AI219" s="914"/>
      <c r="AJ219" s="918"/>
      <c r="AK219" s="668"/>
    </row>
    <row r="220" spans="1:37" s="181" customFormat="1" ht="12.75" hidden="1" x14ac:dyDescent="0.2">
      <c r="A220" s="175">
        <f>IF(CoId=5,0,IF(OR(AJ220="",AJ220=0),0,1))</f>
        <v>0</v>
      </c>
      <c r="B220" s="199" t="s">
        <v>295</v>
      </c>
      <c r="C220" s="158" t="s">
        <v>5154</v>
      </c>
      <c r="D220" s="183" t="s">
        <v>5010</v>
      </c>
      <c r="E220" s="200" t="s">
        <v>5152</v>
      </c>
      <c r="F220" s="742" t="s">
        <v>5159</v>
      </c>
      <c r="G220" s="755"/>
      <c r="H220" s="195"/>
      <c r="I220" s="835" t="s">
        <v>5026</v>
      </c>
      <c r="J220" s="195">
        <v>10</v>
      </c>
      <c r="K220" s="694"/>
      <c r="L220" s="694"/>
      <c r="M220" s="694"/>
      <c r="N220" s="694"/>
      <c r="O220" s="694"/>
      <c r="P220" s="195"/>
      <c r="Q220" s="694"/>
      <c r="R220" s="839"/>
      <c r="S220" s="201"/>
      <c r="T220" s="195"/>
      <c r="U220" s="694"/>
      <c r="V220" s="195"/>
      <c r="W220" s="195"/>
      <c r="X220" s="195"/>
      <c r="Y220" s="195"/>
      <c r="Z220" s="195"/>
      <c r="AA220" s="195"/>
      <c r="AB220" s="755"/>
      <c r="AC220" s="195"/>
      <c r="AD220" s="195"/>
      <c r="AE220" s="196">
        <v>2</v>
      </c>
      <c r="AF220" s="196">
        <v>8000</v>
      </c>
      <c r="AG220" s="694"/>
      <c r="AH220" s="195"/>
      <c r="AI220" s="914"/>
      <c r="AJ220" s="918"/>
      <c r="AK220" s="668"/>
    </row>
    <row r="221" spans="1:37" s="181" customFormat="1" ht="13.5" hidden="1" thickBot="1" x14ac:dyDescent="0.25">
      <c r="A221" s="175">
        <f t="shared" si="12"/>
        <v>0</v>
      </c>
      <c r="B221" s="202" t="s">
        <v>295</v>
      </c>
      <c r="C221" s="167" t="s">
        <v>5811</v>
      </c>
      <c r="D221" s="203" t="s">
        <v>5010</v>
      </c>
      <c r="E221" s="204" t="s">
        <v>5153</v>
      </c>
      <c r="F221" s="741" t="s">
        <v>5274</v>
      </c>
      <c r="G221" s="756" t="s">
        <v>5027</v>
      </c>
      <c r="H221" s="709">
        <v>1</v>
      </c>
      <c r="I221" s="836" t="s">
        <v>5026</v>
      </c>
      <c r="J221" s="710">
        <v>10</v>
      </c>
      <c r="K221" s="710"/>
      <c r="L221" s="710"/>
      <c r="M221" s="710"/>
      <c r="N221" s="710"/>
      <c r="O221" s="710"/>
      <c r="P221" s="682" t="s">
        <v>5160</v>
      </c>
      <c r="Q221" s="682" t="s">
        <v>5414</v>
      </c>
      <c r="R221" s="838">
        <v>1</v>
      </c>
      <c r="S221" s="207"/>
      <c r="T221" s="206"/>
      <c r="U221" s="682" t="s">
        <v>5432</v>
      </c>
      <c r="V221" s="206"/>
      <c r="W221" s="206"/>
      <c r="X221" s="206"/>
      <c r="Y221" s="206"/>
      <c r="Z221" s="206"/>
      <c r="AA221" s="206"/>
      <c r="AB221" s="905" t="s">
        <v>7129</v>
      </c>
      <c r="AC221" s="780">
        <v>100</v>
      </c>
      <c r="AD221" s="206"/>
      <c r="AE221" s="780">
        <v>2</v>
      </c>
      <c r="AF221" s="780">
        <v>8000</v>
      </c>
      <c r="AG221" s="749" t="s">
        <v>6036</v>
      </c>
      <c r="AH221" s="767">
        <v>0.15</v>
      </c>
      <c r="AI221" s="852"/>
      <c r="AJ221" s="853"/>
      <c r="AK221" s="668"/>
    </row>
    <row r="222" spans="1:37" s="181" customFormat="1" ht="13.5" thickBot="1" x14ac:dyDescent="0.25">
      <c r="A222" s="175">
        <f>IF(SUM(A227:A228)&gt;0,1,0)</f>
        <v>1</v>
      </c>
      <c r="B222" s="646"/>
      <c r="C222" s="640"/>
      <c r="D222" s="647"/>
      <c r="E222" s="646"/>
      <c r="F222" s="646"/>
      <c r="G222" s="648"/>
      <c r="H222" s="650"/>
      <c r="I222" s="651"/>
      <c r="J222" s="650"/>
      <c r="K222" s="650"/>
      <c r="L222" s="650"/>
      <c r="M222" s="650"/>
      <c r="N222" s="650"/>
      <c r="O222" s="650"/>
      <c r="P222" s="650"/>
      <c r="Q222" s="650"/>
      <c r="R222" s="650"/>
      <c r="S222" s="650"/>
      <c r="T222" s="650"/>
      <c r="U222" s="650"/>
      <c r="V222" s="650"/>
      <c r="W222" s="650"/>
      <c r="X222" s="650"/>
      <c r="Y222" s="650"/>
      <c r="AB222" s="668"/>
    </row>
    <row r="223" spans="1:37" s="181" customFormat="1" ht="15.75" x14ac:dyDescent="0.25">
      <c r="A223" s="175">
        <f>IF(SUM(A227:A228)&gt;0,1,0)</f>
        <v>1</v>
      </c>
      <c r="B223" s="113" t="s">
        <v>4999</v>
      </c>
      <c r="C223" s="114"/>
      <c r="D223" s="115"/>
      <c r="E223" s="116"/>
      <c r="F223" s="64"/>
      <c r="G223" s="64"/>
      <c r="H223" s="64"/>
      <c r="I223" s="117"/>
      <c r="J223" s="64"/>
      <c r="K223" s="60"/>
      <c r="L223" s="118"/>
      <c r="M223" s="118"/>
      <c r="N223" s="118"/>
      <c r="O223" s="119"/>
      <c r="P223" s="119"/>
      <c r="Q223" s="119"/>
      <c r="R223" s="119"/>
      <c r="S223" s="119"/>
      <c r="T223" s="64"/>
      <c r="U223" s="64"/>
      <c r="V223" s="64"/>
      <c r="W223" s="64"/>
      <c r="X223" s="64"/>
      <c r="Y223" s="63"/>
      <c r="AB223" s="668"/>
    </row>
    <row r="224" spans="1:37" s="181" customFormat="1" ht="12.75" x14ac:dyDescent="0.2">
      <c r="A224" s="175">
        <f>IF(SUM(A227:A228)&gt;0,1,0)</f>
        <v>1</v>
      </c>
      <c r="B224" s="120" t="s">
        <v>99</v>
      </c>
      <c r="C224" s="669">
        <v>8</v>
      </c>
      <c r="D224" s="58"/>
      <c r="E224" s="58"/>
      <c r="F224" s="73"/>
      <c r="G224" s="73"/>
      <c r="H224" s="73"/>
      <c r="I224" s="73"/>
      <c r="J224" s="73"/>
      <c r="K224" s="121"/>
      <c r="L224" s="121"/>
      <c r="M224" s="121"/>
      <c r="N224" s="121"/>
      <c r="O224" s="58"/>
      <c r="P224" s="58"/>
      <c r="Q224" s="58"/>
      <c r="R224" s="58"/>
      <c r="S224" s="58"/>
      <c r="T224" s="73"/>
      <c r="U224" s="73"/>
      <c r="V224" s="73"/>
      <c r="W224" s="73"/>
      <c r="X224" s="73"/>
      <c r="Y224" s="71"/>
      <c r="AB224" s="668"/>
    </row>
    <row r="225" spans="1:44" s="181" customFormat="1" ht="12.75" x14ac:dyDescent="0.2">
      <c r="A225" s="175">
        <f>IF(SUM(A227:A228)&gt;0,1,0)</f>
        <v>1</v>
      </c>
      <c r="B225" s="122"/>
      <c r="C225" s="123"/>
      <c r="D225" s="73"/>
      <c r="E225" s="73"/>
      <c r="F225" s="73"/>
      <c r="G225" s="73"/>
      <c r="H225" s="73"/>
      <c r="I225" s="73"/>
      <c r="J225" s="73"/>
      <c r="K225" s="121"/>
      <c r="L225" s="121"/>
      <c r="M225" s="121"/>
      <c r="N225" s="121"/>
      <c r="O225" s="58"/>
      <c r="P225" s="58"/>
      <c r="Q225" s="58"/>
      <c r="R225" s="58"/>
      <c r="S225" s="58"/>
      <c r="T225" s="73"/>
      <c r="U225" s="73"/>
      <c r="V225" s="73"/>
      <c r="W225" s="73"/>
      <c r="X225" s="73"/>
      <c r="Y225" s="71"/>
      <c r="AB225" s="668"/>
    </row>
    <row r="226" spans="1:44" s="181" customFormat="1" ht="51" x14ac:dyDescent="0.2">
      <c r="A226" s="175">
        <f>IF(SUM(A227:A228)&gt;0,1,0)</f>
        <v>1</v>
      </c>
      <c r="B226" s="124" t="s">
        <v>100</v>
      </c>
      <c r="C226" s="125" t="s">
        <v>101</v>
      </c>
      <c r="D226" s="126" t="s">
        <v>102</v>
      </c>
      <c r="E226" s="126" t="s">
        <v>103</v>
      </c>
      <c r="F226" s="126" t="s">
        <v>104</v>
      </c>
      <c r="G226" s="126" t="s">
        <v>105</v>
      </c>
      <c r="H226" s="125" t="s">
        <v>106</v>
      </c>
      <c r="I226" s="125" t="s">
        <v>107</v>
      </c>
      <c r="J226" s="125" t="s">
        <v>108</v>
      </c>
      <c r="K226" s="125" t="s">
        <v>109</v>
      </c>
      <c r="L226" s="127" t="s">
        <v>110</v>
      </c>
      <c r="M226" s="126" t="s">
        <v>111</v>
      </c>
      <c r="N226" s="125" t="s">
        <v>112</v>
      </c>
      <c r="O226" s="127" t="s">
        <v>113</v>
      </c>
      <c r="P226" s="126" t="s">
        <v>114</v>
      </c>
      <c r="Q226" s="125" t="s">
        <v>115</v>
      </c>
      <c r="R226" s="125" t="s">
        <v>116</v>
      </c>
      <c r="S226" s="126" t="s">
        <v>117</v>
      </c>
      <c r="T226" s="125" t="s">
        <v>118</v>
      </c>
      <c r="U226" s="125" t="s">
        <v>119</v>
      </c>
      <c r="V226" s="126" t="s">
        <v>120</v>
      </c>
      <c r="W226" s="126" t="s">
        <v>121</v>
      </c>
      <c r="X226" s="126" t="s">
        <v>122</v>
      </c>
      <c r="Y226" s="128" t="s">
        <v>123</v>
      </c>
      <c r="AB226" s="668"/>
    </row>
    <row r="227" spans="1:44" s="181" customFormat="1" ht="15.75" x14ac:dyDescent="0.2">
      <c r="A227" s="175">
        <f>IF(OR(O227="",O227=0),0,1)</f>
        <v>1</v>
      </c>
      <c r="B227" s="182" t="s">
        <v>5433</v>
      </c>
      <c r="C227" s="622" t="s">
        <v>5433</v>
      </c>
      <c r="D227" s="632" t="s">
        <v>5000</v>
      </c>
      <c r="E227" s="130" t="s">
        <v>5176</v>
      </c>
      <c r="F227" s="131"/>
      <c r="G227" s="132"/>
      <c r="H227" s="643"/>
      <c r="I227" s="628"/>
      <c r="J227" s="133"/>
      <c r="K227" s="133"/>
      <c r="L227" s="628"/>
      <c r="M227" s="628"/>
      <c r="N227" s="635">
        <v>10000</v>
      </c>
      <c r="O227" s="636">
        <v>1000000</v>
      </c>
      <c r="P227" s="133"/>
      <c r="Q227" s="133"/>
      <c r="R227" s="133"/>
      <c r="S227" s="133"/>
      <c r="T227" s="134"/>
      <c r="U227" s="133"/>
      <c r="V227" s="628"/>
      <c r="W227" s="636" t="s">
        <v>4932</v>
      </c>
      <c r="X227" s="628"/>
      <c r="Y227" s="636" t="s">
        <v>4932</v>
      </c>
      <c r="Z227" s="667"/>
      <c r="AA227" s="667"/>
      <c r="AB227" s="668"/>
    </row>
    <row r="228" spans="1:44" s="181" customFormat="1" ht="15.75" x14ac:dyDescent="0.2">
      <c r="A228" s="175">
        <f>IF(OR(O228="",O228=0),0,1)</f>
        <v>1</v>
      </c>
      <c r="B228" s="182" t="s">
        <v>5433</v>
      </c>
      <c r="C228" s="623" t="s">
        <v>5344</v>
      </c>
      <c r="D228" s="633" t="s">
        <v>409</v>
      </c>
      <c r="E228" s="624" t="s">
        <v>5176</v>
      </c>
      <c r="F228" s="625"/>
      <c r="G228" s="626"/>
      <c r="H228" s="643"/>
      <c r="I228" s="628"/>
      <c r="J228" s="628"/>
      <c r="K228" s="628"/>
      <c r="L228" s="628"/>
      <c r="M228" s="628"/>
      <c r="N228" s="628"/>
      <c r="O228" s="636">
        <v>1000000</v>
      </c>
      <c r="P228" s="628"/>
      <c r="Q228" s="628"/>
      <c r="R228" s="628"/>
      <c r="S228" s="628"/>
      <c r="T228" s="629"/>
      <c r="U228" s="628"/>
      <c r="V228" s="628"/>
      <c r="W228" s="636" t="s">
        <v>4932</v>
      </c>
      <c r="X228" s="628"/>
      <c r="Y228" s="630"/>
      <c r="Z228" s="667"/>
      <c r="AA228" s="667"/>
      <c r="AB228" s="668"/>
    </row>
    <row r="229" spans="1:44" s="181" customFormat="1" ht="13.5" thickBot="1" x14ac:dyDescent="0.25">
      <c r="A229" s="175">
        <f ca="1">IF(SUM(A232:A239)&gt;0,1,0)</f>
        <v>1</v>
      </c>
      <c r="B229" s="646"/>
      <c r="C229" s="640"/>
      <c r="D229" s="647"/>
      <c r="E229" s="646"/>
      <c r="F229" s="646"/>
      <c r="G229" s="648"/>
      <c r="H229" s="650"/>
      <c r="I229" s="651"/>
      <c r="J229" s="650"/>
      <c r="K229" s="650"/>
      <c r="L229" s="650"/>
      <c r="M229" s="650"/>
      <c r="N229" s="650"/>
      <c r="O229" s="650"/>
      <c r="P229" s="650"/>
      <c r="Q229" s="650"/>
      <c r="R229" s="650"/>
      <c r="S229" s="650"/>
      <c r="T229" s="650"/>
      <c r="U229" s="650"/>
      <c r="V229" s="650"/>
      <c r="W229" s="650"/>
      <c r="X229" s="650"/>
      <c r="Y229" s="650"/>
      <c r="Z229" s="667"/>
      <c r="AA229" s="667"/>
      <c r="AB229" s="668"/>
    </row>
    <row r="230" spans="1:44" s="181" customFormat="1" ht="15.75" x14ac:dyDescent="0.25">
      <c r="A230" s="175">
        <f ca="1">IF(SUM(A232:A239)&gt;0,1,0)</f>
        <v>1</v>
      </c>
      <c r="B230" s="145" t="s">
        <v>124</v>
      </c>
      <c r="C230" s="146" t="s">
        <v>6054</v>
      </c>
      <c r="D230" s="173" t="str">
        <f>RtStCd</f>
        <v>04</v>
      </c>
      <c r="E230" s="64" t="s">
        <v>6049</v>
      </c>
      <c r="F230" s="148"/>
      <c r="G230" s="148"/>
      <c r="H230" s="146"/>
      <c r="I230" s="146"/>
      <c r="J230" s="149"/>
      <c r="K230" s="150"/>
      <c r="L230" s="151"/>
      <c r="M230" s="152"/>
      <c r="N230" s="153"/>
      <c r="O230" s="119"/>
      <c r="P230" s="119"/>
      <c r="Q230" s="119"/>
      <c r="R230" s="119"/>
      <c r="S230" s="119"/>
      <c r="T230" s="119"/>
      <c r="U230" s="119"/>
      <c r="V230" s="119"/>
      <c r="W230" s="119"/>
      <c r="X230" s="119"/>
      <c r="Y230" s="119"/>
      <c r="Z230" s="64"/>
      <c r="AA230" s="64"/>
      <c r="AB230" s="901">
        <f>PRODUCT(Rater!V512:V533)</f>
        <v>1.2248155439638997</v>
      </c>
      <c r="AC230" s="64"/>
      <c r="AD230" s="64"/>
      <c r="AE230" s="119"/>
      <c r="AF230" s="119"/>
      <c r="AG230" s="119"/>
      <c r="AH230" s="174"/>
      <c r="AI230" s="668"/>
    </row>
    <row r="231" spans="1:44" s="181" customFormat="1" ht="51" x14ac:dyDescent="0.2">
      <c r="A231" s="175">
        <f ca="1">IF(SUM(A232:A239)&gt;0,1,0)</f>
        <v>1</v>
      </c>
      <c r="B231" s="176" t="s">
        <v>100</v>
      </c>
      <c r="C231" s="177" t="s">
        <v>125</v>
      </c>
      <c r="D231" s="178" t="s">
        <v>126</v>
      </c>
      <c r="E231" s="179" t="s">
        <v>102</v>
      </c>
      <c r="F231" s="178" t="s">
        <v>127</v>
      </c>
      <c r="G231" s="178" t="s">
        <v>5128</v>
      </c>
      <c r="H231" s="179" t="s">
        <v>128</v>
      </c>
      <c r="I231" s="179" t="s">
        <v>5413</v>
      </c>
      <c r="J231" s="179" t="s">
        <v>129</v>
      </c>
      <c r="K231" s="179" t="s">
        <v>146</v>
      </c>
      <c r="L231" s="179" t="s">
        <v>117</v>
      </c>
      <c r="M231" s="179" t="s">
        <v>130</v>
      </c>
      <c r="N231" s="179" t="s">
        <v>131</v>
      </c>
      <c r="O231" s="179" t="s">
        <v>132</v>
      </c>
      <c r="P231" s="179" t="s">
        <v>134</v>
      </c>
      <c r="Q231" s="179" t="s">
        <v>135</v>
      </c>
      <c r="R231" s="179" t="s">
        <v>113</v>
      </c>
      <c r="S231" s="179" t="s">
        <v>5436</v>
      </c>
      <c r="T231" s="179" t="s">
        <v>133</v>
      </c>
      <c r="U231" s="179" t="s">
        <v>147</v>
      </c>
      <c r="V231" s="179" t="s">
        <v>148</v>
      </c>
      <c r="W231" s="179" t="s">
        <v>149</v>
      </c>
      <c r="X231" s="179" t="s">
        <v>150</v>
      </c>
      <c r="Y231" s="179" t="s">
        <v>137</v>
      </c>
      <c r="Z231" s="179" t="s">
        <v>138</v>
      </c>
      <c r="AA231" s="179" t="s">
        <v>139</v>
      </c>
      <c r="AB231" s="179" t="s">
        <v>140</v>
      </c>
      <c r="AC231" s="179" t="s">
        <v>141</v>
      </c>
      <c r="AD231" s="179" t="s">
        <v>142</v>
      </c>
      <c r="AE231" s="179" t="s">
        <v>143</v>
      </c>
      <c r="AF231" s="179" t="s">
        <v>5437</v>
      </c>
      <c r="AG231" s="179" t="s">
        <v>144</v>
      </c>
      <c r="AH231" s="180" t="s">
        <v>145</v>
      </c>
      <c r="AI231" s="668"/>
    </row>
    <row r="232" spans="1:44" s="181" customFormat="1" ht="12.75" x14ac:dyDescent="0.2">
      <c r="A232" s="175">
        <f t="shared" ref="A232:A239" ca="1" si="13">IF(OR(AH232=0,AH232=""),0,1)</f>
        <v>1</v>
      </c>
      <c r="B232" s="182" t="s">
        <v>5433</v>
      </c>
      <c r="C232" s="183" t="s">
        <v>6028</v>
      </c>
      <c r="D232" s="183" t="s">
        <v>5010</v>
      </c>
      <c r="E232" s="184" t="s">
        <v>5000</v>
      </c>
      <c r="F232" s="746" t="s">
        <v>5435</v>
      </c>
      <c r="G232" s="754" t="s">
        <v>7130</v>
      </c>
      <c r="H232" s="185" t="s">
        <v>7131</v>
      </c>
      <c r="I232" s="686">
        <v>10</v>
      </c>
      <c r="J232" s="160" t="s">
        <v>5011</v>
      </c>
      <c r="K232" s="186"/>
      <c r="L232" s="187"/>
      <c r="M232" s="185">
        <v>1</v>
      </c>
      <c r="N232" s="757">
        <v>1</v>
      </c>
      <c r="O232" s="757">
        <v>18</v>
      </c>
      <c r="P232" s="758"/>
      <c r="Q232" s="758"/>
      <c r="R232" s="758"/>
      <c r="S232" s="758"/>
      <c r="T232" s="758"/>
      <c r="U232" s="192"/>
      <c r="V232" s="187"/>
      <c r="W232" s="193"/>
      <c r="X232" s="194"/>
      <c r="Y232" s="194"/>
      <c r="Z232" s="758"/>
      <c r="AA232" s="759">
        <v>72</v>
      </c>
      <c r="AB232" s="746" t="s">
        <v>7132</v>
      </c>
      <c r="AC232" s="758"/>
      <c r="AD232" s="758"/>
      <c r="AE232" s="762">
        <v>0.15</v>
      </c>
      <c r="AF232" s="768">
        <v>100</v>
      </c>
      <c r="AG232" s="197">
        <v>3861.024008519264</v>
      </c>
      <c r="AH232" s="198">
        <f ca="1">Rater!W544*PRODUCT(Rater!V546:V554)*IF(Rater!AB30=FALSE,1,Rater!$V$51)</f>
        <v>3861.024008519264</v>
      </c>
      <c r="AI232" s="668"/>
    </row>
    <row r="233" spans="1:44" s="181" customFormat="1" ht="12.75" hidden="1" x14ac:dyDescent="0.2">
      <c r="A233" s="175">
        <f t="shared" si="13"/>
        <v>0</v>
      </c>
      <c r="B233" s="182" t="s">
        <v>5433</v>
      </c>
      <c r="C233" s="158" t="s">
        <v>5203</v>
      </c>
      <c r="D233" s="183" t="s">
        <v>5010</v>
      </c>
      <c r="E233" s="200" t="s">
        <v>5146</v>
      </c>
      <c r="F233" s="746" t="s">
        <v>5435</v>
      </c>
      <c r="G233" s="746" t="s">
        <v>7130</v>
      </c>
      <c r="H233" s="185" t="s">
        <v>7131</v>
      </c>
      <c r="I233" s="686">
        <v>10</v>
      </c>
      <c r="J233" s="160" t="s">
        <v>5011</v>
      </c>
      <c r="K233" s="201"/>
      <c r="L233" s="195"/>
      <c r="M233" s="185">
        <v>1</v>
      </c>
      <c r="N233" s="185">
        <v>1</v>
      </c>
      <c r="O233" s="185"/>
      <c r="P233" s="686"/>
      <c r="Q233" s="686"/>
      <c r="R233" s="686"/>
      <c r="S233" s="686"/>
      <c r="T233" s="686"/>
      <c r="U233" s="195"/>
      <c r="V233" s="195"/>
      <c r="W233" s="195"/>
      <c r="X233" s="195"/>
      <c r="Y233" s="195"/>
      <c r="Z233" s="686"/>
      <c r="AA233" s="760">
        <v>72</v>
      </c>
      <c r="AB233" s="785" t="s">
        <v>7132</v>
      </c>
      <c r="AC233" s="686"/>
      <c r="AD233" s="686"/>
      <c r="AE233" s="763">
        <v>0.15</v>
      </c>
      <c r="AF233" s="768">
        <v>100</v>
      </c>
      <c r="AG233" s="197">
        <v>0</v>
      </c>
      <c r="AH233" s="198">
        <f>Rater!J560*Rater!V562</f>
        <v>0</v>
      </c>
      <c r="AI233" s="668"/>
    </row>
    <row r="234" spans="1:44" s="181" customFormat="1" hidden="1" x14ac:dyDescent="0.25">
      <c r="A234" s="44">
        <f>IF(CoId=5,0,IF(AH234&lt;0.01,0,1))</f>
        <v>0</v>
      </c>
      <c r="B234" s="182" t="s">
        <v>5433</v>
      </c>
      <c r="C234" s="751" t="s">
        <v>5158</v>
      </c>
      <c r="D234" s="183" t="s">
        <v>5010</v>
      </c>
      <c r="E234" s="752" t="s">
        <v>5148</v>
      </c>
      <c r="F234" s="746" t="s">
        <v>5159</v>
      </c>
      <c r="G234" s="755"/>
      <c r="H234" s="686" t="s">
        <v>7131</v>
      </c>
      <c r="I234" s="686"/>
      <c r="J234" s="694"/>
      <c r="K234" s="753"/>
      <c r="L234" s="694"/>
      <c r="M234" s="694"/>
      <c r="N234" s="694"/>
      <c r="O234" s="694"/>
      <c r="P234" s="694"/>
      <c r="Q234" s="694"/>
      <c r="R234" s="694"/>
      <c r="S234" s="694"/>
      <c r="T234" s="694"/>
      <c r="U234" s="694"/>
      <c r="V234" s="694"/>
      <c r="W234" s="694"/>
      <c r="X234" s="694"/>
      <c r="Y234" s="694"/>
      <c r="Z234" s="694"/>
      <c r="AA234" s="694"/>
      <c r="AB234" s="784"/>
      <c r="AC234" s="694"/>
      <c r="AD234" s="694"/>
      <c r="AE234" s="694"/>
      <c r="AF234" s="694"/>
      <c r="AG234" s="919"/>
      <c r="AH234" s="920"/>
      <c r="AI234" s="668"/>
    </row>
    <row r="235" spans="1:44" s="181" customFormat="1" hidden="1" x14ac:dyDescent="0.25">
      <c r="A235" s="44">
        <f>IF(CoId=5,0,IF(AH235&lt;0.01,0,1))</f>
        <v>0</v>
      </c>
      <c r="B235" s="182" t="s">
        <v>5433</v>
      </c>
      <c r="C235" s="751" t="s">
        <v>5157</v>
      </c>
      <c r="D235" s="183" t="s">
        <v>5010</v>
      </c>
      <c r="E235" s="752" t="s">
        <v>5149</v>
      </c>
      <c r="F235" s="746" t="s">
        <v>5159</v>
      </c>
      <c r="G235" s="755"/>
      <c r="H235" s="686" t="s">
        <v>7131</v>
      </c>
      <c r="I235" s="686"/>
      <c r="J235" s="694"/>
      <c r="K235" s="753"/>
      <c r="L235" s="694"/>
      <c r="M235" s="694"/>
      <c r="N235" s="694"/>
      <c r="O235" s="694"/>
      <c r="P235" s="694"/>
      <c r="Q235" s="694"/>
      <c r="R235" s="694"/>
      <c r="S235" s="694"/>
      <c r="T235" s="694"/>
      <c r="U235" s="694"/>
      <c r="V235" s="694"/>
      <c r="W235" s="694"/>
      <c r="X235" s="694"/>
      <c r="Y235" s="694"/>
      <c r="Z235" s="694"/>
      <c r="AA235" s="694"/>
      <c r="AB235" s="784"/>
      <c r="AC235" s="694"/>
      <c r="AD235" s="694"/>
      <c r="AE235" s="694"/>
      <c r="AF235" s="694"/>
      <c r="AG235" s="919"/>
      <c r="AH235" s="920"/>
      <c r="AI235" s="668"/>
    </row>
    <row r="236" spans="1:44" s="181" customFormat="1" ht="12.75" hidden="1" x14ac:dyDescent="0.2">
      <c r="A236" s="175">
        <f>IF(CoId=5,0,IF(OR(AH236=0,AH236=""),0,1))</f>
        <v>0</v>
      </c>
      <c r="B236" s="182" t="s">
        <v>5433</v>
      </c>
      <c r="C236" s="158" t="s">
        <v>5156</v>
      </c>
      <c r="D236" s="183" t="s">
        <v>5010</v>
      </c>
      <c r="E236" s="200" t="s">
        <v>5150</v>
      </c>
      <c r="F236" s="746" t="s">
        <v>5159</v>
      </c>
      <c r="G236" s="755"/>
      <c r="H236" s="185" t="s">
        <v>7131</v>
      </c>
      <c r="I236" s="686"/>
      <c r="J236" s="195"/>
      <c r="K236" s="201"/>
      <c r="L236" s="195"/>
      <c r="M236" s="195"/>
      <c r="N236" s="195"/>
      <c r="O236" s="195"/>
      <c r="P236" s="694"/>
      <c r="Q236" s="694"/>
      <c r="R236" s="694"/>
      <c r="S236" s="694"/>
      <c r="T236" s="694"/>
      <c r="U236" s="195"/>
      <c r="V236" s="195"/>
      <c r="W236" s="195"/>
      <c r="X236" s="195"/>
      <c r="Y236" s="195"/>
      <c r="Z236" s="694"/>
      <c r="AA236" s="694"/>
      <c r="AB236" s="784"/>
      <c r="AC236" s="694"/>
      <c r="AD236" s="694"/>
      <c r="AE236" s="694"/>
      <c r="AF236" s="694"/>
      <c r="AG236" s="914"/>
      <c r="AH236" s="918"/>
      <c r="AI236" s="668"/>
    </row>
    <row r="237" spans="1:44" s="181" customFormat="1" ht="12.75" hidden="1" x14ac:dyDescent="0.2">
      <c r="A237" s="175">
        <f>IF(CoId=5,0,IF(OR(AH237=0,AH237=""),0,1))</f>
        <v>0</v>
      </c>
      <c r="B237" s="182" t="s">
        <v>5433</v>
      </c>
      <c r="C237" s="158" t="s">
        <v>5155</v>
      </c>
      <c r="D237" s="183" t="s">
        <v>5010</v>
      </c>
      <c r="E237" s="200" t="s">
        <v>5151</v>
      </c>
      <c r="F237" s="746" t="s">
        <v>5159</v>
      </c>
      <c r="G237" s="755"/>
      <c r="H237" s="185" t="s">
        <v>7131</v>
      </c>
      <c r="I237" s="686"/>
      <c r="J237" s="195"/>
      <c r="K237" s="201"/>
      <c r="L237" s="195"/>
      <c r="M237" s="195"/>
      <c r="N237" s="195"/>
      <c r="O237" s="195"/>
      <c r="P237" s="694"/>
      <c r="Q237" s="694"/>
      <c r="R237" s="694"/>
      <c r="S237" s="694"/>
      <c r="T237" s="694"/>
      <c r="U237" s="195"/>
      <c r="V237" s="195"/>
      <c r="W237" s="195"/>
      <c r="X237" s="195"/>
      <c r="Y237" s="195"/>
      <c r="Z237" s="694"/>
      <c r="AA237" s="694"/>
      <c r="AB237" s="784"/>
      <c r="AC237" s="694"/>
      <c r="AD237" s="694"/>
      <c r="AE237" s="694"/>
      <c r="AF237" s="694"/>
      <c r="AG237" s="914"/>
      <c r="AH237" s="918"/>
      <c r="AI237" s="668"/>
    </row>
    <row r="238" spans="1:44" s="181" customFormat="1" ht="12.75" hidden="1" x14ac:dyDescent="0.2">
      <c r="A238" s="175">
        <f>IF(CoId=5,0,IF(OR(AH238=0,AH238=""),0,1))</f>
        <v>0</v>
      </c>
      <c r="B238" s="182" t="s">
        <v>5433</v>
      </c>
      <c r="C238" s="158" t="s">
        <v>5154</v>
      </c>
      <c r="D238" s="183" t="s">
        <v>5010</v>
      </c>
      <c r="E238" s="200" t="s">
        <v>5152</v>
      </c>
      <c r="F238" s="746" t="s">
        <v>5159</v>
      </c>
      <c r="G238" s="755"/>
      <c r="H238" s="185" t="s">
        <v>7131</v>
      </c>
      <c r="I238" s="686"/>
      <c r="J238" s="195"/>
      <c r="K238" s="201"/>
      <c r="L238" s="195"/>
      <c r="M238" s="195"/>
      <c r="N238" s="195"/>
      <c r="O238" s="195"/>
      <c r="P238" s="694"/>
      <c r="Q238" s="694"/>
      <c r="R238" s="694"/>
      <c r="S238" s="694"/>
      <c r="T238" s="694"/>
      <c r="U238" s="195"/>
      <c r="V238" s="195"/>
      <c r="W238" s="195"/>
      <c r="X238" s="195"/>
      <c r="Y238" s="195"/>
      <c r="Z238" s="694"/>
      <c r="AA238" s="694"/>
      <c r="AB238" s="784"/>
      <c r="AC238" s="694"/>
      <c r="AD238" s="694"/>
      <c r="AE238" s="694"/>
      <c r="AF238" s="694"/>
      <c r="AG238" s="914"/>
      <c r="AH238" s="918"/>
      <c r="AI238" s="668"/>
    </row>
    <row r="239" spans="1:44" s="181" customFormat="1" ht="13.5" hidden="1" thickBot="1" x14ac:dyDescent="0.25">
      <c r="A239" s="175">
        <f t="shared" si="13"/>
        <v>0</v>
      </c>
      <c r="B239" s="202" t="s">
        <v>5433</v>
      </c>
      <c r="C239" s="167" t="s">
        <v>5811</v>
      </c>
      <c r="D239" s="183" t="s">
        <v>5010</v>
      </c>
      <c r="E239" s="204" t="s">
        <v>5153</v>
      </c>
      <c r="F239" s="741" t="s">
        <v>5435</v>
      </c>
      <c r="G239" s="756" t="s">
        <v>7130</v>
      </c>
      <c r="H239" s="205" t="s">
        <v>7131</v>
      </c>
      <c r="I239" s="710">
        <v>10</v>
      </c>
      <c r="J239" s="207" t="s">
        <v>5160</v>
      </c>
      <c r="K239" s="207"/>
      <c r="L239" s="206"/>
      <c r="M239" s="710">
        <v>1</v>
      </c>
      <c r="N239" s="710">
        <v>1</v>
      </c>
      <c r="O239" s="710">
        <v>18</v>
      </c>
      <c r="P239" s="710"/>
      <c r="Q239" s="710"/>
      <c r="R239" s="710"/>
      <c r="S239" s="710"/>
      <c r="T239" s="710"/>
      <c r="U239" s="206"/>
      <c r="V239" s="206"/>
      <c r="W239" s="206"/>
      <c r="X239" s="206"/>
      <c r="Y239" s="206"/>
      <c r="Z239" s="710"/>
      <c r="AA239" s="761">
        <v>72</v>
      </c>
      <c r="AB239" s="786" t="s">
        <v>7132</v>
      </c>
      <c r="AC239" s="710"/>
      <c r="AD239" s="710"/>
      <c r="AE239" s="764">
        <v>0.15</v>
      </c>
      <c r="AF239" s="769">
        <v>100</v>
      </c>
      <c r="AG239" s="852"/>
      <c r="AH239" s="853"/>
      <c r="AI239" s="668"/>
    </row>
    <row r="240" spans="1:44" s="181" customFormat="1" ht="13.5" thickBot="1" x14ac:dyDescent="0.25">
      <c r="A240" s="175">
        <f>IF(SUM(A245:A255)&gt;0,1,0)</f>
        <v>1</v>
      </c>
      <c r="B240" s="646"/>
      <c r="C240" s="640"/>
      <c r="D240" s="647"/>
      <c r="E240" s="646"/>
      <c r="F240" s="770"/>
      <c r="G240" s="770"/>
      <c r="H240" s="648"/>
      <c r="I240" s="648"/>
      <c r="J240" s="701"/>
      <c r="K240" s="701"/>
      <c r="L240" s="771"/>
      <c r="M240" s="646"/>
      <c r="N240" s="646"/>
      <c r="O240" s="646"/>
      <c r="P240" s="646"/>
      <c r="Q240" s="646"/>
      <c r="R240" s="646"/>
      <c r="S240" s="646"/>
      <c r="T240" s="646"/>
      <c r="U240" s="771"/>
      <c r="V240" s="771"/>
      <c r="W240" s="771"/>
      <c r="X240" s="771"/>
      <c r="Y240" s="771"/>
      <c r="Z240" s="646"/>
      <c r="AA240" s="772"/>
      <c r="AB240" s="646"/>
      <c r="AC240" s="646"/>
      <c r="AD240" s="646"/>
      <c r="AE240" s="773"/>
      <c r="AF240" s="774"/>
      <c r="AG240" s="775"/>
      <c r="AH240" s="775"/>
      <c r="AI240" s="776"/>
      <c r="AJ240" s="776"/>
      <c r="AK240" s="776"/>
      <c r="AL240" s="776"/>
      <c r="AM240" s="776"/>
      <c r="AN240" s="776"/>
      <c r="AO240" s="776"/>
      <c r="AP240" s="776"/>
      <c r="AQ240" s="776"/>
      <c r="AR240" s="776"/>
    </row>
    <row r="241" spans="1:44" s="181" customFormat="1" ht="15.75" x14ac:dyDescent="0.25">
      <c r="A241" s="175">
        <f>IF(SUM(A245:A255)&gt;0,1,0)</f>
        <v>1</v>
      </c>
      <c r="B241" s="113" t="s">
        <v>5438</v>
      </c>
      <c r="C241" s="114"/>
      <c r="D241" s="115"/>
      <c r="E241" s="64"/>
      <c r="F241" s="64"/>
      <c r="G241" s="64"/>
      <c r="H241" s="64"/>
      <c r="I241" s="117"/>
      <c r="J241" s="64"/>
      <c r="K241" s="60"/>
      <c r="L241" s="118"/>
      <c r="M241" s="118"/>
      <c r="N241" s="118"/>
      <c r="O241" s="119"/>
      <c r="P241" s="119"/>
      <c r="Q241" s="119"/>
      <c r="R241" s="119"/>
      <c r="S241" s="119"/>
      <c r="T241" s="64"/>
      <c r="U241" s="64"/>
      <c r="V241" s="64"/>
      <c r="W241" s="64"/>
      <c r="X241" s="64"/>
      <c r="Y241" s="63"/>
      <c r="Z241" s="646"/>
      <c r="AA241" s="772"/>
      <c r="AB241" s="646"/>
      <c r="AC241" s="646"/>
      <c r="AD241" s="646"/>
      <c r="AE241" s="773"/>
      <c r="AF241" s="774"/>
      <c r="AG241" s="775"/>
      <c r="AH241" s="775"/>
      <c r="AI241" s="776"/>
      <c r="AJ241" s="776"/>
      <c r="AK241" s="776"/>
      <c r="AL241" s="776"/>
      <c r="AM241" s="776"/>
      <c r="AN241" s="776"/>
      <c r="AO241" s="776"/>
      <c r="AP241" s="776"/>
      <c r="AQ241" s="776"/>
      <c r="AR241" s="776"/>
    </row>
    <row r="242" spans="1:44" s="181" customFormat="1" ht="12.75" x14ac:dyDescent="0.2">
      <c r="A242" s="175">
        <f>IF(SUM(A245:A255)&gt;0,1,0)</f>
        <v>1</v>
      </c>
      <c r="B242" s="120" t="s">
        <v>99</v>
      </c>
      <c r="C242" s="669">
        <v>8</v>
      </c>
      <c r="D242" s="58"/>
      <c r="E242" s="58"/>
      <c r="F242" s="73"/>
      <c r="G242" s="73"/>
      <c r="H242" s="73"/>
      <c r="I242" s="73"/>
      <c r="J242" s="73"/>
      <c r="K242" s="121"/>
      <c r="L242" s="121"/>
      <c r="M242" s="121"/>
      <c r="N242" s="121"/>
      <c r="O242" s="58"/>
      <c r="P242" s="58"/>
      <c r="Q242" s="58"/>
      <c r="R242" s="58"/>
      <c r="S242" s="58"/>
      <c r="T242" s="73"/>
      <c r="U242" s="73"/>
      <c r="V242" s="73"/>
      <c r="W242" s="73"/>
      <c r="X242" s="73"/>
      <c r="Y242" s="71"/>
      <c r="Z242" s="646"/>
      <c r="AA242" s="772"/>
      <c r="AB242" s="646"/>
      <c r="AC242" s="646"/>
      <c r="AD242" s="646"/>
      <c r="AE242" s="773"/>
      <c r="AF242" s="774"/>
      <c r="AG242" s="775"/>
      <c r="AH242" s="775"/>
      <c r="AI242" s="776"/>
      <c r="AJ242" s="776"/>
      <c r="AK242" s="776"/>
      <c r="AL242" s="776"/>
      <c r="AM242" s="776"/>
      <c r="AN242" s="776"/>
      <c r="AO242" s="776"/>
      <c r="AP242" s="776"/>
      <c r="AQ242" s="776"/>
      <c r="AR242" s="776"/>
    </row>
    <row r="243" spans="1:44" s="181" customFormat="1" ht="12.75" x14ac:dyDescent="0.2">
      <c r="A243" s="175">
        <f>IF(SUM(A245:A255)&gt;0,1,0)</f>
        <v>1</v>
      </c>
      <c r="B243" s="122"/>
      <c r="C243" s="123"/>
      <c r="D243" s="73"/>
      <c r="E243" s="73"/>
      <c r="F243" s="73"/>
      <c r="G243" s="73"/>
      <c r="H243" s="73"/>
      <c r="I243" s="73"/>
      <c r="J243" s="73"/>
      <c r="K243" s="121"/>
      <c r="L243" s="121"/>
      <c r="M243" s="121"/>
      <c r="N243" s="121"/>
      <c r="O243" s="58"/>
      <c r="P243" s="58"/>
      <c r="Q243" s="58"/>
      <c r="R243" s="58"/>
      <c r="S243" s="58"/>
      <c r="T243" s="73"/>
      <c r="U243" s="73"/>
      <c r="V243" s="73"/>
      <c r="W243" s="73"/>
      <c r="X243" s="73"/>
      <c r="Y243" s="71"/>
      <c r="Z243" s="646"/>
      <c r="AA243" s="772"/>
      <c r="AB243" s="646"/>
      <c r="AC243" s="646"/>
      <c r="AD243" s="646"/>
      <c r="AE243" s="773"/>
      <c r="AF243" s="774"/>
      <c r="AG243" s="775"/>
      <c r="AH243" s="775"/>
      <c r="AI243" s="776"/>
      <c r="AJ243" s="776"/>
      <c r="AK243" s="776"/>
      <c r="AL243" s="776"/>
      <c r="AM243" s="776"/>
      <c r="AN243" s="776"/>
      <c r="AO243" s="776"/>
      <c r="AP243" s="776"/>
      <c r="AQ243" s="776"/>
      <c r="AR243" s="776"/>
    </row>
    <row r="244" spans="1:44" s="181" customFormat="1" ht="51" x14ac:dyDescent="0.2">
      <c r="A244" s="175">
        <f>IF(SUM(A245:A255)&gt;0,1,0)</f>
        <v>1</v>
      </c>
      <c r="B244" s="124" t="s">
        <v>100</v>
      </c>
      <c r="C244" s="125" t="s">
        <v>101</v>
      </c>
      <c r="D244" s="126" t="s">
        <v>102</v>
      </c>
      <c r="E244" s="126" t="s">
        <v>103</v>
      </c>
      <c r="F244" s="126" t="s">
        <v>104</v>
      </c>
      <c r="G244" s="126" t="s">
        <v>105</v>
      </c>
      <c r="H244" s="125" t="s">
        <v>106</v>
      </c>
      <c r="I244" s="125" t="s">
        <v>107</v>
      </c>
      <c r="J244" s="125" t="s">
        <v>108</v>
      </c>
      <c r="K244" s="125" t="s">
        <v>109</v>
      </c>
      <c r="L244" s="127" t="s">
        <v>110</v>
      </c>
      <c r="M244" s="126" t="s">
        <v>111</v>
      </c>
      <c r="N244" s="125" t="s">
        <v>112</v>
      </c>
      <c r="O244" s="127" t="s">
        <v>113</v>
      </c>
      <c r="P244" s="126" t="s">
        <v>114</v>
      </c>
      <c r="Q244" s="125" t="s">
        <v>115</v>
      </c>
      <c r="R244" s="125" t="s">
        <v>116</v>
      </c>
      <c r="S244" s="126" t="s">
        <v>117</v>
      </c>
      <c r="T244" s="125" t="s">
        <v>118</v>
      </c>
      <c r="U244" s="125" t="s">
        <v>119</v>
      </c>
      <c r="V244" s="126" t="s">
        <v>120</v>
      </c>
      <c r="W244" s="126" t="s">
        <v>121</v>
      </c>
      <c r="X244" s="126" t="s">
        <v>122</v>
      </c>
      <c r="Y244" s="128" t="s">
        <v>123</v>
      </c>
      <c r="Z244" s="646"/>
      <c r="AA244" s="772"/>
      <c r="AB244" s="646"/>
      <c r="AC244" s="646"/>
      <c r="AD244" s="646"/>
      <c r="AE244" s="773"/>
      <c r="AF244" s="774"/>
      <c r="AG244" s="775"/>
      <c r="AH244" s="775"/>
      <c r="AI244" s="776"/>
      <c r="AJ244" s="776"/>
      <c r="AK244" s="776"/>
      <c r="AL244" s="776"/>
      <c r="AM244" s="776"/>
      <c r="AN244" s="776"/>
      <c r="AO244" s="776"/>
      <c r="AP244" s="776"/>
      <c r="AQ244" s="776"/>
      <c r="AR244" s="776"/>
    </row>
    <row r="245" spans="1:44" s="181" customFormat="1" ht="15.75" x14ac:dyDescent="0.2">
      <c r="A245" s="175">
        <f t="shared" ref="A245:A255" si="14">IF(OR(L245="",L245=0),0,1)</f>
        <v>1</v>
      </c>
      <c r="B245" s="199" t="s">
        <v>6031</v>
      </c>
      <c r="C245" s="622" t="s">
        <v>5445</v>
      </c>
      <c r="D245" s="632" t="s">
        <v>5450</v>
      </c>
      <c r="E245" s="130" t="s">
        <v>5176</v>
      </c>
      <c r="F245" s="628"/>
      <c r="G245" s="628"/>
      <c r="H245" s="199" t="s">
        <v>4933</v>
      </c>
      <c r="I245" s="628"/>
      <c r="J245" s="133"/>
      <c r="K245" s="133"/>
      <c r="L245" s="777">
        <v>1000000</v>
      </c>
      <c r="M245" s="777">
        <v>10000</v>
      </c>
      <c r="N245" s="133"/>
      <c r="O245" s="628"/>
      <c r="P245" s="133"/>
      <c r="Q245" s="133"/>
      <c r="R245" s="133"/>
      <c r="S245" s="133"/>
      <c r="T245" s="134"/>
      <c r="U245" s="133"/>
      <c r="V245" s="636" t="s">
        <v>4932</v>
      </c>
      <c r="W245" s="133"/>
      <c r="X245" s="636" t="s">
        <v>4932</v>
      </c>
      <c r="Y245" s="630"/>
      <c r="Z245" s="646"/>
      <c r="AA245" s="772"/>
      <c r="AB245" s="646"/>
      <c r="AC245" s="646"/>
      <c r="AD245" s="646"/>
      <c r="AE245" s="773"/>
      <c r="AF245" s="774"/>
      <c r="AG245" s="775"/>
      <c r="AH245" s="775"/>
      <c r="AI245" s="776"/>
      <c r="AJ245" s="776"/>
      <c r="AK245" s="776"/>
      <c r="AL245" s="776"/>
      <c r="AM245" s="776"/>
      <c r="AN245" s="776"/>
      <c r="AO245" s="776"/>
      <c r="AP245" s="776"/>
      <c r="AQ245" s="776"/>
      <c r="AR245" s="776"/>
    </row>
    <row r="246" spans="1:44" s="181" customFormat="1" ht="15.75" x14ac:dyDescent="0.2">
      <c r="A246" s="175">
        <f t="shared" si="14"/>
        <v>1</v>
      </c>
      <c r="B246" s="199" t="s">
        <v>6031</v>
      </c>
      <c r="C246" s="623" t="s">
        <v>5446</v>
      </c>
      <c r="D246" s="633" t="s">
        <v>5451</v>
      </c>
      <c r="E246" s="130" t="s">
        <v>5176</v>
      </c>
      <c r="F246" s="628"/>
      <c r="G246" s="628"/>
      <c r="H246" s="199" t="s">
        <v>4933</v>
      </c>
      <c r="I246" s="628"/>
      <c r="J246" s="628"/>
      <c r="K246" s="628"/>
      <c r="L246" s="777">
        <v>1000000</v>
      </c>
      <c r="M246" s="777">
        <v>10000</v>
      </c>
      <c r="N246" s="628"/>
      <c r="O246" s="628"/>
      <c r="P246" s="628"/>
      <c r="Q246" s="628"/>
      <c r="R246" s="628"/>
      <c r="S246" s="628"/>
      <c r="T246" s="629"/>
      <c r="U246" s="628"/>
      <c r="V246" s="636" t="s">
        <v>4932</v>
      </c>
      <c r="W246" s="628"/>
      <c r="X246" s="636" t="s">
        <v>4932</v>
      </c>
      <c r="Y246" s="630"/>
      <c r="Z246" s="646"/>
      <c r="AA246" s="772"/>
      <c r="AB246" s="646"/>
      <c r="AC246" s="646"/>
      <c r="AD246" s="646"/>
      <c r="AE246" s="773"/>
      <c r="AF246" s="774"/>
      <c r="AG246" s="775"/>
      <c r="AH246" s="775"/>
      <c r="AI246" s="776"/>
      <c r="AJ246" s="776"/>
      <c r="AK246" s="776"/>
      <c r="AL246" s="776"/>
      <c r="AM246" s="776"/>
      <c r="AN246" s="776"/>
      <c r="AO246" s="776"/>
      <c r="AP246" s="776"/>
      <c r="AQ246" s="776"/>
      <c r="AR246" s="776"/>
    </row>
    <row r="247" spans="1:44" s="181" customFormat="1" ht="15.75" x14ac:dyDescent="0.2">
      <c r="A247" s="175">
        <f t="shared" si="14"/>
        <v>1</v>
      </c>
      <c r="B247" s="199" t="s">
        <v>6031</v>
      </c>
      <c r="C247" s="623" t="s">
        <v>5447</v>
      </c>
      <c r="D247" s="633" t="s">
        <v>5452</v>
      </c>
      <c r="E247" s="130" t="s">
        <v>5176</v>
      </c>
      <c r="F247" s="628"/>
      <c r="G247" s="628"/>
      <c r="H247" s="199" t="s">
        <v>4933</v>
      </c>
      <c r="I247" s="628"/>
      <c r="J247" s="628"/>
      <c r="K247" s="628"/>
      <c r="L247" s="777">
        <v>1000000</v>
      </c>
      <c r="M247" s="777">
        <v>10000</v>
      </c>
      <c r="N247" s="628"/>
      <c r="O247" s="628"/>
      <c r="P247" s="628"/>
      <c r="Q247" s="628"/>
      <c r="R247" s="628"/>
      <c r="S247" s="628"/>
      <c r="T247" s="629"/>
      <c r="U247" s="628"/>
      <c r="V247" s="636" t="s">
        <v>4932</v>
      </c>
      <c r="W247" s="628"/>
      <c r="X247" s="636" t="s">
        <v>4932</v>
      </c>
      <c r="Y247" s="630"/>
      <c r="Z247" s="646"/>
      <c r="AA247" s="772"/>
      <c r="AB247" s="646"/>
      <c r="AC247" s="646"/>
      <c r="AD247" s="646"/>
      <c r="AE247" s="773"/>
      <c r="AF247" s="774"/>
      <c r="AG247" s="775"/>
      <c r="AH247" s="775"/>
      <c r="AI247" s="776"/>
      <c r="AJ247" s="776"/>
      <c r="AK247" s="776"/>
      <c r="AL247" s="776"/>
      <c r="AM247" s="776"/>
      <c r="AN247" s="776"/>
      <c r="AO247" s="776"/>
      <c r="AP247" s="776"/>
      <c r="AQ247" s="776"/>
      <c r="AR247" s="776"/>
    </row>
    <row r="248" spans="1:44" s="181" customFormat="1" ht="15.75" x14ac:dyDescent="0.2">
      <c r="A248" s="175">
        <f t="shared" si="14"/>
        <v>1</v>
      </c>
      <c r="B248" s="199" t="s">
        <v>6031</v>
      </c>
      <c r="C248" s="623" t="s">
        <v>5448</v>
      </c>
      <c r="D248" s="633" t="s">
        <v>5453</v>
      </c>
      <c r="E248" s="130" t="s">
        <v>5176</v>
      </c>
      <c r="F248" s="628"/>
      <c r="G248" s="628"/>
      <c r="H248" s="199" t="s">
        <v>4933</v>
      </c>
      <c r="I248" s="628"/>
      <c r="J248" s="628"/>
      <c r="K248" s="628"/>
      <c r="L248" s="777">
        <v>1000000</v>
      </c>
      <c r="M248" s="777">
        <v>10000</v>
      </c>
      <c r="N248" s="628"/>
      <c r="O248" s="628"/>
      <c r="P248" s="628"/>
      <c r="Q248" s="628"/>
      <c r="R248" s="628"/>
      <c r="S248" s="628"/>
      <c r="T248" s="629"/>
      <c r="U248" s="628"/>
      <c r="V248" s="636" t="s">
        <v>4932</v>
      </c>
      <c r="W248" s="628"/>
      <c r="X248" s="636" t="s">
        <v>4932</v>
      </c>
      <c r="Y248" s="630"/>
      <c r="Z248" s="646"/>
      <c r="AA248" s="772"/>
      <c r="AB248" s="646"/>
      <c r="AC248" s="646"/>
      <c r="AD248" s="646"/>
      <c r="AE248" s="773"/>
      <c r="AF248" s="774"/>
      <c r="AG248" s="775"/>
      <c r="AH248" s="775"/>
      <c r="AI248" s="776"/>
      <c r="AJ248" s="776"/>
      <c r="AK248" s="776"/>
      <c r="AL248" s="776"/>
      <c r="AM248" s="776"/>
      <c r="AN248" s="776"/>
      <c r="AO248" s="776"/>
      <c r="AP248" s="776"/>
      <c r="AQ248" s="776"/>
      <c r="AR248" s="776"/>
    </row>
    <row r="249" spans="1:44" s="181" customFormat="1" ht="15.75" x14ac:dyDescent="0.2">
      <c r="A249" s="175">
        <f t="shared" si="14"/>
        <v>1</v>
      </c>
      <c r="B249" s="199" t="s">
        <v>6031</v>
      </c>
      <c r="C249" s="623" t="s">
        <v>5449</v>
      </c>
      <c r="D249" s="633" t="s">
        <v>5454</v>
      </c>
      <c r="E249" s="130" t="s">
        <v>5176</v>
      </c>
      <c r="F249" s="628"/>
      <c r="G249" s="628"/>
      <c r="H249" s="199" t="s">
        <v>4933</v>
      </c>
      <c r="I249" s="628"/>
      <c r="J249" s="628"/>
      <c r="K249" s="628"/>
      <c r="L249" s="777">
        <v>1000000</v>
      </c>
      <c r="M249" s="777">
        <v>10000</v>
      </c>
      <c r="N249" s="628"/>
      <c r="O249" s="628"/>
      <c r="P249" s="628"/>
      <c r="Q249" s="628"/>
      <c r="R249" s="628"/>
      <c r="S249" s="628"/>
      <c r="T249" s="629"/>
      <c r="U249" s="628"/>
      <c r="V249" s="636" t="s">
        <v>4932</v>
      </c>
      <c r="W249" s="628"/>
      <c r="X249" s="636" t="s">
        <v>4932</v>
      </c>
      <c r="Y249" s="630"/>
      <c r="Z249" s="646"/>
      <c r="AA249" s="772"/>
      <c r="AB249" s="646"/>
      <c r="AC249" s="646"/>
      <c r="AD249" s="646"/>
      <c r="AE249" s="773"/>
      <c r="AF249" s="774"/>
      <c r="AG249" s="775"/>
      <c r="AH249" s="775"/>
      <c r="AI249" s="776"/>
      <c r="AJ249" s="776"/>
      <c r="AK249" s="776"/>
      <c r="AL249" s="776"/>
      <c r="AM249" s="776"/>
      <c r="AN249" s="776"/>
      <c r="AO249" s="776"/>
      <c r="AP249" s="776"/>
      <c r="AQ249" s="776"/>
      <c r="AR249" s="776"/>
    </row>
    <row r="250" spans="1:44" s="181" customFormat="1" ht="15.75" x14ac:dyDescent="0.2">
      <c r="A250" s="175">
        <f t="shared" si="14"/>
        <v>1</v>
      </c>
      <c r="B250" s="199" t="s">
        <v>6031</v>
      </c>
      <c r="C250" s="623" t="s">
        <v>5439</v>
      </c>
      <c r="D250" s="633" t="s">
        <v>5455</v>
      </c>
      <c r="E250" s="130" t="s">
        <v>5176</v>
      </c>
      <c r="F250" s="628"/>
      <c r="G250" s="628"/>
      <c r="H250" s="199" t="s">
        <v>4933</v>
      </c>
      <c r="I250" s="628"/>
      <c r="J250" s="628"/>
      <c r="K250" s="628"/>
      <c r="L250" s="777">
        <v>1000000</v>
      </c>
      <c r="M250" s="777">
        <v>10000</v>
      </c>
      <c r="N250" s="628"/>
      <c r="O250" s="628"/>
      <c r="P250" s="628"/>
      <c r="Q250" s="628"/>
      <c r="R250" s="628"/>
      <c r="S250" s="628"/>
      <c r="T250" s="629"/>
      <c r="U250" s="628"/>
      <c r="V250" s="636" t="s">
        <v>4932</v>
      </c>
      <c r="W250" s="628"/>
      <c r="X250" s="636" t="s">
        <v>4932</v>
      </c>
      <c r="Y250" s="630"/>
      <c r="Z250" s="646"/>
      <c r="AA250" s="772"/>
      <c r="AB250" s="646"/>
      <c r="AC250" s="646"/>
      <c r="AD250" s="646"/>
      <c r="AE250" s="773"/>
      <c r="AF250" s="774"/>
      <c r="AG250" s="775"/>
      <c r="AH250" s="775"/>
      <c r="AI250" s="776"/>
      <c r="AJ250" s="776"/>
      <c r="AK250" s="776"/>
      <c r="AL250" s="776"/>
      <c r="AM250" s="776"/>
      <c r="AN250" s="776"/>
      <c r="AO250" s="776"/>
      <c r="AP250" s="776"/>
      <c r="AQ250" s="776"/>
      <c r="AR250" s="776"/>
    </row>
    <row r="251" spans="1:44" s="181" customFormat="1" ht="15.75" x14ac:dyDescent="0.2">
      <c r="A251" s="175">
        <f t="shared" si="14"/>
        <v>1</v>
      </c>
      <c r="B251" s="199" t="s">
        <v>6031</v>
      </c>
      <c r="C251" s="623" t="s">
        <v>5440</v>
      </c>
      <c r="D251" s="633" t="s">
        <v>5456</v>
      </c>
      <c r="E251" s="130" t="s">
        <v>5176</v>
      </c>
      <c r="F251" s="628"/>
      <c r="G251" s="628"/>
      <c r="H251" s="199" t="s">
        <v>4933</v>
      </c>
      <c r="I251" s="628"/>
      <c r="J251" s="628"/>
      <c r="K251" s="628"/>
      <c r="L251" s="777">
        <v>1000000</v>
      </c>
      <c r="M251" s="777">
        <v>10000</v>
      </c>
      <c r="N251" s="628"/>
      <c r="O251" s="628"/>
      <c r="P251" s="628"/>
      <c r="Q251" s="628"/>
      <c r="R251" s="628"/>
      <c r="S251" s="628"/>
      <c r="T251" s="629"/>
      <c r="U251" s="628"/>
      <c r="V251" s="636" t="s">
        <v>4932</v>
      </c>
      <c r="W251" s="628"/>
      <c r="X251" s="636" t="s">
        <v>4932</v>
      </c>
      <c r="Y251" s="630"/>
      <c r="Z251" s="646"/>
      <c r="AA251" s="772"/>
      <c r="AB251" s="646"/>
      <c r="AC251" s="646"/>
      <c r="AD251" s="646"/>
      <c r="AE251" s="773"/>
      <c r="AF251" s="774"/>
      <c r="AG251" s="775"/>
      <c r="AH251" s="775"/>
      <c r="AI251" s="776"/>
      <c r="AJ251" s="776"/>
      <c r="AK251" s="776"/>
      <c r="AL251" s="776"/>
      <c r="AM251" s="776"/>
      <c r="AN251" s="776"/>
      <c r="AO251" s="776"/>
      <c r="AP251" s="776"/>
      <c r="AQ251" s="776"/>
      <c r="AR251" s="776"/>
    </row>
    <row r="252" spans="1:44" s="181" customFormat="1" ht="15.75" x14ac:dyDescent="0.2">
      <c r="A252" s="175">
        <f t="shared" si="14"/>
        <v>1</v>
      </c>
      <c r="B252" s="199" t="s">
        <v>6031</v>
      </c>
      <c r="C252" s="623" t="s">
        <v>5441</v>
      </c>
      <c r="D252" s="633" t="s">
        <v>5457</v>
      </c>
      <c r="E252" s="130" t="s">
        <v>5176</v>
      </c>
      <c r="F252" s="628"/>
      <c r="G252" s="628"/>
      <c r="H252" s="199" t="s">
        <v>4933</v>
      </c>
      <c r="I252" s="628"/>
      <c r="J252" s="628"/>
      <c r="K252" s="628"/>
      <c r="L252" s="777">
        <v>1000000</v>
      </c>
      <c r="M252" s="777">
        <v>10000</v>
      </c>
      <c r="N252" s="628"/>
      <c r="O252" s="628"/>
      <c r="P252" s="628"/>
      <c r="Q252" s="628"/>
      <c r="R252" s="628"/>
      <c r="S252" s="628"/>
      <c r="T252" s="629"/>
      <c r="U252" s="628"/>
      <c r="V252" s="636" t="s">
        <v>4932</v>
      </c>
      <c r="W252" s="628"/>
      <c r="X252" s="636" t="s">
        <v>4932</v>
      </c>
      <c r="Y252" s="630"/>
      <c r="Z252" s="646"/>
      <c r="AA252" s="772"/>
      <c r="AB252" s="646"/>
      <c r="AC252" s="646"/>
      <c r="AD252" s="646"/>
      <c r="AE252" s="773"/>
      <c r="AF252" s="774"/>
      <c r="AG252" s="775"/>
      <c r="AH252" s="775"/>
      <c r="AI252" s="776"/>
      <c r="AJ252" s="776"/>
      <c r="AK252" s="776"/>
      <c r="AL252" s="776"/>
      <c r="AM252" s="776"/>
      <c r="AN252" s="776"/>
      <c r="AO252" s="776"/>
      <c r="AP252" s="776"/>
      <c r="AQ252" s="776"/>
      <c r="AR252" s="776"/>
    </row>
    <row r="253" spans="1:44" s="181" customFormat="1" ht="15.75" x14ac:dyDescent="0.2">
      <c r="A253" s="175">
        <f t="shared" si="14"/>
        <v>1</v>
      </c>
      <c r="B253" s="199" t="s">
        <v>6031</v>
      </c>
      <c r="C253" s="623" t="s">
        <v>5442</v>
      </c>
      <c r="D253" s="633" t="s">
        <v>5458</v>
      </c>
      <c r="E253" s="130" t="s">
        <v>5176</v>
      </c>
      <c r="F253" s="628"/>
      <c r="G253" s="628"/>
      <c r="H253" s="199" t="s">
        <v>4933</v>
      </c>
      <c r="I253" s="628"/>
      <c r="J253" s="628"/>
      <c r="K253" s="628"/>
      <c r="L253" s="777">
        <v>50000</v>
      </c>
      <c r="M253" s="777">
        <v>50000</v>
      </c>
      <c r="N253" s="628"/>
      <c r="O253" s="628"/>
      <c r="P253" s="628"/>
      <c r="Q253" s="628"/>
      <c r="R253" s="628"/>
      <c r="S253" s="628"/>
      <c r="T253" s="629"/>
      <c r="U253" s="628"/>
      <c r="V253" s="636" t="s">
        <v>4932</v>
      </c>
      <c r="W253" s="628"/>
      <c r="X253" s="636" t="s">
        <v>4932</v>
      </c>
      <c r="Y253" s="630"/>
      <c r="Z253" s="646"/>
      <c r="AA253" s="772"/>
      <c r="AB253" s="646"/>
      <c r="AC253" s="646"/>
      <c r="AD253" s="646"/>
      <c r="AE253" s="773"/>
      <c r="AF253" s="774"/>
      <c r="AG253" s="775"/>
      <c r="AH253" s="775"/>
      <c r="AI253" s="776"/>
      <c r="AJ253" s="776"/>
      <c r="AK253" s="776"/>
      <c r="AL253" s="776"/>
      <c r="AM253" s="776"/>
      <c r="AN253" s="776"/>
      <c r="AO253" s="776"/>
      <c r="AP253" s="776"/>
      <c r="AQ253" s="776"/>
      <c r="AR253" s="776"/>
    </row>
    <row r="254" spans="1:44" s="181" customFormat="1" ht="15.75" x14ac:dyDescent="0.2">
      <c r="A254" s="175">
        <f t="shared" si="14"/>
        <v>1</v>
      </c>
      <c r="B254" s="199" t="s">
        <v>6031</v>
      </c>
      <c r="C254" s="623" t="s">
        <v>5443</v>
      </c>
      <c r="D254" s="633" t="s">
        <v>5459</v>
      </c>
      <c r="E254" s="130" t="s">
        <v>5176</v>
      </c>
      <c r="F254" s="628"/>
      <c r="G254" s="628"/>
      <c r="H254" s="199" t="s">
        <v>4933</v>
      </c>
      <c r="I254" s="628"/>
      <c r="J254" s="628"/>
      <c r="K254" s="628"/>
      <c r="L254" s="777">
        <v>25000</v>
      </c>
      <c r="M254" s="628"/>
      <c r="N254" s="628"/>
      <c r="O254" s="628"/>
      <c r="P254" s="628"/>
      <c r="Q254" s="628"/>
      <c r="R254" s="628"/>
      <c r="S254" s="628"/>
      <c r="T254" s="629"/>
      <c r="U254" s="628"/>
      <c r="V254" s="636" t="s">
        <v>4932</v>
      </c>
      <c r="W254" s="628"/>
      <c r="X254" s="628"/>
      <c r="Y254" s="630"/>
      <c r="Z254" s="646"/>
      <c r="AA254" s="772"/>
      <c r="AB254" s="646"/>
      <c r="AC254" s="646"/>
      <c r="AD254" s="646"/>
      <c r="AE254" s="773"/>
      <c r="AF254" s="774"/>
      <c r="AG254" s="775"/>
      <c r="AH254" s="775"/>
      <c r="AI254" s="776"/>
      <c r="AJ254" s="776"/>
      <c r="AK254" s="776"/>
      <c r="AL254" s="776"/>
      <c r="AM254" s="776"/>
      <c r="AN254" s="776"/>
      <c r="AO254" s="776"/>
      <c r="AP254" s="776"/>
      <c r="AQ254" s="776"/>
      <c r="AR254" s="776"/>
    </row>
    <row r="255" spans="1:44" s="181" customFormat="1" ht="16.5" thickBot="1" x14ac:dyDescent="0.25">
      <c r="A255" s="175">
        <f t="shared" si="14"/>
        <v>1</v>
      </c>
      <c r="B255" s="706" t="s">
        <v>6031</v>
      </c>
      <c r="C255" s="654" t="s">
        <v>5444</v>
      </c>
      <c r="D255" s="655" t="s">
        <v>5460</v>
      </c>
      <c r="E255" s="656" t="s">
        <v>5176</v>
      </c>
      <c r="F255" s="660"/>
      <c r="G255" s="660"/>
      <c r="H255" s="706" t="s">
        <v>4933</v>
      </c>
      <c r="I255" s="660"/>
      <c r="J255" s="660"/>
      <c r="K255" s="660"/>
      <c r="L255" s="778">
        <v>1000000</v>
      </c>
      <c r="M255" s="778"/>
      <c r="N255" s="660"/>
      <c r="O255" s="660"/>
      <c r="P255" s="660"/>
      <c r="Q255" s="660"/>
      <c r="R255" s="660"/>
      <c r="S255" s="660"/>
      <c r="T255" s="662"/>
      <c r="U255" s="660"/>
      <c r="V255" s="661" t="s">
        <v>4932</v>
      </c>
      <c r="W255" s="660"/>
      <c r="X255" s="661" t="s">
        <v>4932</v>
      </c>
      <c r="Y255" s="666"/>
      <c r="Z255" s="646"/>
      <c r="AA255" s="772"/>
      <c r="AB255" s="646"/>
      <c r="AC255" s="646"/>
      <c r="AD255" s="646"/>
      <c r="AE255" s="773"/>
      <c r="AF255" s="774"/>
      <c r="AG255" s="775"/>
      <c r="AH255" s="775"/>
      <c r="AI255" s="776"/>
      <c r="AJ255" s="776"/>
      <c r="AK255" s="776"/>
      <c r="AL255" s="776"/>
      <c r="AM255" s="776"/>
      <c r="AN255" s="776"/>
      <c r="AO255" s="776"/>
      <c r="AP255" s="776"/>
      <c r="AQ255" s="776"/>
      <c r="AR255" s="776"/>
    </row>
    <row r="256" spans="1:44" s="181" customFormat="1" ht="13.5" thickBot="1" x14ac:dyDescent="0.25">
      <c r="A256" s="175">
        <f ca="1">IF(SUM(A259:A275)&gt;0,1,0)</f>
        <v>1</v>
      </c>
      <c r="B256" s="646"/>
      <c r="C256" s="640"/>
      <c r="D256" s="647"/>
      <c r="E256" s="646"/>
      <c r="F256" s="770"/>
      <c r="G256" s="770"/>
      <c r="H256" s="648"/>
      <c r="I256" s="648"/>
      <c r="J256" s="701"/>
      <c r="K256" s="701"/>
      <c r="L256" s="771"/>
      <c r="M256" s="646"/>
      <c r="N256" s="646"/>
      <c r="O256" s="646"/>
      <c r="P256" s="646"/>
      <c r="Q256" s="646"/>
      <c r="R256" s="646"/>
      <c r="S256" s="646"/>
      <c r="T256" s="646"/>
      <c r="U256" s="771"/>
      <c r="V256" s="771"/>
      <c r="W256" s="771"/>
      <c r="X256" s="771"/>
      <c r="Y256" s="771"/>
      <c r="Z256" s="646"/>
      <c r="AA256" s="772"/>
      <c r="AB256" s="646"/>
      <c r="AC256" s="646"/>
      <c r="AD256" s="646"/>
      <c r="AE256" s="773"/>
      <c r="AF256" s="774"/>
      <c r="AG256" s="775"/>
      <c r="AH256" s="775"/>
      <c r="AI256" s="776"/>
      <c r="AJ256" s="776"/>
      <c r="AK256" s="776"/>
      <c r="AL256" s="776"/>
      <c r="AM256" s="776"/>
      <c r="AN256" s="776"/>
      <c r="AO256" s="776"/>
      <c r="AP256" s="776"/>
      <c r="AQ256" s="776"/>
      <c r="AR256" s="776"/>
    </row>
    <row r="257" spans="1:47" s="181" customFormat="1" ht="15.75" x14ac:dyDescent="0.25">
      <c r="A257" s="175">
        <f ca="1">IF(SUM(A259:A275)&gt;0,1,0)</f>
        <v>1</v>
      </c>
      <c r="B257" s="145" t="s">
        <v>124</v>
      </c>
      <c r="C257" s="146" t="s">
        <v>6054</v>
      </c>
      <c r="D257" s="173" t="str">
        <f>RtStCd</f>
        <v>04</v>
      </c>
      <c r="E257" s="64" t="s">
        <v>6046</v>
      </c>
      <c r="F257" s="907" t="s">
        <v>6064</v>
      </c>
      <c r="G257" s="146"/>
      <c r="H257" s="146"/>
      <c r="I257" s="146"/>
      <c r="J257" s="149"/>
      <c r="K257" s="150"/>
      <c r="L257" s="151"/>
      <c r="M257" s="152"/>
      <c r="N257" s="153"/>
      <c r="O257" s="119"/>
      <c r="P257" s="119"/>
      <c r="Q257" s="119"/>
      <c r="R257" s="119"/>
      <c r="S257" s="119"/>
      <c r="T257" s="119"/>
      <c r="U257" s="119"/>
      <c r="V257" s="119"/>
      <c r="W257" s="119"/>
      <c r="X257" s="119"/>
      <c r="Y257" s="119"/>
      <c r="Z257" s="119"/>
      <c r="AA257" s="119"/>
      <c r="AB257" s="64"/>
      <c r="AC257" s="64"/>
      <c r="AD257" s="901">
        <f>PRODUCT(Rater!V296:V333)</f>
        <v>2.0271972894968742</v>
      </c>
      <c r="AE257" s="64"/>
      <c r="AF257" s="64"/>
      <c r="AG257" s="64"/>
      <c r="AH257" s="119"/>
      <c r="AI257" s="119"/>
      <c r="AJ257" s="119"/>
      <c r="AK257" s="174"/>
      <c r="AL257" s="776"/>
      <c r="AM257" s="776"/>
      <c r="AN257" s="776"/>
      <c r="AO257" s="776"/>
      <c r="AP257" s="776"/>
      <c r="AQ257" s="776"/>
      <c r="AR257" s="776"/>
      <c r="AS257" s="776"/>
      <c r="AT257" s="776"/>
      <c r="AU257" s="776"/>
    </row>
    <row r="258" spans="1:47" s="181" customFormat="1" ht="51" x14ac:dyDescent="0.2">
      <c r="A258" s="175">
        <f ca="1">IF(SUM(A259:A275)&gt;0,1,0)</f>
        <v>1</v>
      </c>
      <c r="B258" s="176" t="s">
        <v>100</v>
      </c>
      <c r="C258" s="177" t="s">
        <v>125</v>
      </c>
      <c r="D258" s="178" t="s">
        <v>126</v>
      </c>
      <c r="E258" s="179" t="s">
        <v>102</v>
      </c>
      <c r="F258" s="178" t="s">
        <v>127</v>
      </c>
      <c r="G258" s="179" t="s">
        <v>128</v>
      </c>
      <c r="H258" s="179" t="s">
        <v>5466</v>
      </c>
      <c r="I258" s="179" t="s">
        <v>5413</v>
      </c>
      <c r="J258" s="179" t="s">
        <v>129</v>
      </c>
      <c r="K258" s="179" t="s">
        <v>146</v>
      </c>
      <c r="L258" s="179" t="s">
        <v>117</v>
      </c>
      <c r="M258" s="179" t="s">
        <v>130</v>
      </c>
      <c r="N258" s="179" t="s">
        <v>131</v>
      </c>
      <c r="O258" s="179" t="s">
        <v>132</v>
      </c>
      <c r="P258" s="179" t="s">
        <v>134</v>
      </c>
      <c r="Q258" s="179" t="s">
        <v>135</v>
      </c>
      <c r="R258" s="179" t="s">
        <v>113</v>
      </c>
      <c r="S258" s="179" t="s">
        <v>5436</v>
      </c>
      <c r="T258" s="179" t="s">
        <v>133</v>
      </c>
      <c r="U258" s="179" t="s">
        <v>147</v>
      </c>
      <c r="V258" s="179" t="s">
        <v>148</v>
      </c>
      <c r="W258" s="179" t="s">
        <v>5467</v>
      </c>
      <c r="X258" s="179" t="s">
        <v>5175</v>
      </c>
      <c r="Y258" s="179" t="s">
        <v>149</v>
      </c>
      <c r="Z258" s="179" t="s">
        <v>150</v>
      </c>
      <c r="AA258" s="179" t="s">
        <v>137</v>
      </c>
      <c r="AB258" s="179" t="s">
        <v>138</v>
      </c>
      <c r="AC258" s="179" t="s">
        <v>139</v>
      </c>
      <c r="AD258" s="179" t="s">
        <v>140</v>
      </c>
      <c r="AE258" s="179" t="s">
        <v>141</v>
      </c>
      <c r="AF258" s="179" t="s">
        <v>5393</v>
      </c>
      <c r="AG258" s="179" t="s">
        <v>142</v>
      </c>
      <c r="AH258" s="179" t="s">
        <v>143</v>
      </c>
      <c r="AI258" s="179" t="s">
        <v>5437</v>
      </c>
      <c r="AJ258" s="179" t="s">
        <v>144</v>
      </c>
      <c r="AK258" s="180" t="s">
        <v>145</v>
      </c>
      <c r="AL258" s="776"/>
      <c r="AM258" s="776"/>
      <c r="AN258" s="776"/>
      <c r="AO258" s="776"/>
      <c r="AP258" s="776"/>
      <c r="AQ258" s="776"/>
      <c r="AR258" s="776"/>
      <c r="AS258" s="776"/>
      <c r="AT258" s="776"/>
      <c r="AU258" s="776"/>
    </row>
    <row r="259" spans="1:47" s="181" customFormat="1" ht="15.75" x14ac:dyDescent="0.2">
      <c r="A259" s="175">
        <f t="shared" ref="A259:A269" ca="1" si="15">IF(OR(AK259="",AK259=0),0,1)</f>
        <v>1</v>
      </c>
      <c r="B259" s="182" t="s">
        <v>5461</v>
      </c>
      <c r="C259" s="183" t="s">
        <v>5444</v>
      </c>
      <c r="D259" s="183" t="s">
        <v>5167</v>
      </c>
      <c r="E259" s="184" t="s">
        <v>5460</v>
      </c>
      <c r="F259" s="746" t="s">
        <v>6050</v>
      </c>
      <c r="G259" s="185">
        <v>10</v>
      </c>
      <c r="H259" s="686">
        <v>101</v>
      </c>
      <c r="I259" s="777">
        <v>10</v>
      </c>
      <c r="J259" s="160" t="s">
        <v>5017</v>
      </c>
      <c r="K259" s="186"/>
      <c r="L259" s="187"/>
      <c r="M259" s="185"/>
      <c r="N259" s="757"/>
      <c r="O259" s="757"/>
      <c r="P259" s="758"/>
      <c r="Q259" s="758"/>
      <c r="R259" s="758"/>
      <c r="S259" s="758"/>
      <c r="T259" s="758" t="s">
        <v>5176</v>
      </c>
      <c r="U259" s="192"/>
      <c r="V259" s="187">
        <v>1</v>
      </c>
      <c r="W259" s="688"/>
      <c r="X259" s="688">
        <v>1000</v>
      </c>
      <c r="Y259" s="744">
        <v>816</v>
      </c>
      <c r="Z259" s="744">
        <v>408</v>
      </c>
      <c r="AA259" s="194"/>
      <c r="AB259" s="758"/>
      <c r="AC259" s="759"/>
      <c r="AD259" s="746" t="s">
        <v>7127</v>
      </c>
      <c r="AE259" s="758">
        <v>100</v>
      </c>
      <c r="AF259" s="758"/>
      <c r="AG259" s="758"/>
      <c r="AH259" s="762">
        <v>0.15</v>
      </c>
      <c r="AI259" s="768"/>
      <c r="AJ259" s="197">
        <v>3168.6241536308034</v>
      </c>
      <c r="AK259" s="198">
        <f ca="1">Rater!W343*Rater!V347</f>
        <v>3168.6241536308034</v>
      </c>
      <c r="AL259" s="776"/>
      <c r="AM259" s="776"/>
      <c r="AN259" s="776"/>
      <c r="AO259" s="776"/>
      <c r="AP259" s="776"/>
      <c r="AQ259" s="776"/>
      <c r="AR259" s="776"/>
      <c r="AS259" s="776"/>
      <c r="AT259" s="776"/>
      <c r="AU259" s="776"/>
    </row>
    <row r="260" spans="1:47" s="181" customFormat="1" ht="12.75" x14ac:dyDescent="0.2">
      <c r="A260" s="175">
        <f t="shared" si="15"/>
        <v>1</v>
      </c>
      <c r="B260" s="182" t="s">
        <v>5461</v>
      </c>
      <c r="C260" s="684" t="s">
        <v>5462</v>
      </c>
      <c r="D260" s="183" t="s">
        <v>5167</v>
      </c>
      <c r="E260" s="685" t="s">
        <v>5450</v>
      </c>
      <c r="F260" s="746" t="s">
        <v>6050</v>
      </c>
      <c r="G260" s="686">
        <v>10</v>
      </c>
      <c r="H260" s="686">
        <v>120</v>
      </c>
      <c r="I260" s="181">
        <v>10</v>
      </c>
      <c r="J260" s="160" t="s">
        <v>5017</v>
      </c>
      <c r="K260" s="687"/>
      <c r="L260" s="688"/>
      <c r="M260" s="686"/>
      <c r="N260" s="758"/>
      <c r="O260" s="758"/>
      <c r="P260" s="758"/>
      <c r="Q260" s="758"/>
      <c r="R260" s="758"/>
      <c r="S260" s="758"/>
      <c r="T260" s="758" t="s">
        <v>5176</v>
      </c>
      <c r="U260" s="692"/>
      <c r="V260" s="688">
        <v>1</v>
      </c>
      <c r="W260" s="688"/>
      <c r="X260" s="688">
        <v>1000</v>
      </c>
      <c r="Y260" s="745">
        <v>816</v>
      </c>
      <c r="Z260" s="745">
        <v>408</v>
      </c>
      <c r="AA260" s="693"/>
      <c r="AB260" s="758"/>
      <c r="AC260" s="759"/>
      <c r="AD260" s="746" t="s">
        <v>7127</v>
      </c>
      <c r="AE260" s="758">
        <v>100</v>
      </c>
      <c r="AF260" s="758">
        <v>23</v>
      </c>
      <c r="AG260" s="758"/>
      <c r="AH260" s="762">
        <v>0.15</v>
      </c>
      <c r="AI260" s="768"/>
      <c r="AJ260" s="696">
        <v>253</v>
      </c>
      <c r="AK260" s="697">
        <v>253</v>
      </c>
      <c r="AL260" s="776"/>
      <c r="AM260" s="776"/>
      <c r="AN260" s="776"/>
      <c r="AO260" s="776"/>
      <c r="AP260" s="776"/>
      <c r="AQ260" s="776"/>
      <c r="AR260" s="776"/>
      <c r="AS260" s="776"/>
      <c r="AT260" s="776"/>
      <c r="AU260" s="776"/>
    </row>
    <row r="261" spans="1:47" s="181" customFormat="1" ht="12.75" x14ac:dyDescent="0.2">
      <c r="A261" s="175">
        <f t="shared" si="15"/>
        <v>1</v>
      </c>
      <c r="B261" s="182" t="s">
        <v>5461</v>
      </c>
      <c r="C261" s="684" t="s">
        <v>5463</v>
      </c>
      <c r="D261" s="183" t="s">
        <v>5167</v>
      </c>
      <c r="E261" s="685" t="s">
        <v>5451</v>
      </c>
      <c r="F261" s="746" t="s">
        <v>6050</v>
      </c>
      <c r="G261" s="686">
        <v>10</v>
      </c>
      <c r="H261" s="686">
        <v>130</v>
      </c>
      <c r="I261" s="686">
        <v>10</v>
      </c>
      <c r="J261" s="160" t="s">
        <v>5017</v>
      </c>
      <c r="K261" s="687"/>
      <c r="L261" s="688"/>
      <c r="M261" s="686"/>
      <c r="N261" s="758"/>
      <c r="O261" s="758"/>
      <c r="P261" s="758"/>
      <c r="Q261" s="758"/>
      <c r="R261" s="758"/>
      <c r="S261" s="758"/>
      <c r="T261" s="758" t="s">
        <v>5176</v>
      </c>
      <c r="U261" s="692"/>
      <c r="V261" s="688">
        <v>1</v>
      </c>
      <c r="W261" s="688"/>
      <c r="X261" s="688">
        <v>1000</v>
      </c>
      <c r="Y261" s="745">
        <v>816</v>
      </c>
      <c r="Z261" s="745">
        <v>408</v>
      </c>
      <c r="AA261" s="693"/>
      <c r="AB261" s="758"/>
      <c r="AC261" s="759"/>
      <c r="AD261" s="746" t="s">
        <v>7127</v>
      </c>
      <c r="AE261" s="758">
        <v>100</v>
      </c>
      <c r="AF261" s="758">
        <v>23</v>
      </c>
      <c r="AG261" s="758"/>
      <c r="AH261" s="762">
        <v>0.15</v>
      </c>
      <c r="AI261" s="768"/>
      <c r="AJ261" s="696">
        <v>63</v>
      </c>
      <c r="AK261" s="697">
        <v>63</v>
      </c>
      <c r="AL261" s="776"/>
      <c r="AM261" s="776"/>
      <c r="AN261" s="776"/>
      <c r="AO261" s="776"/>
      <c r="AP261" s="776"/>
      <c r="AQ261" s="776"/>
      <c r="AR261" s="776"/>
      <c r="AS261" s="776"/>
      <c r="AT261" s="776"/>
      <c r="AU261" s="776"/>
    </row>
    <row r="262" spans="1:47" s="181" customFormat="1" ht="12.75" x14ac:dyDescent="0.2">
      <c r="A262" s="175">
        <f t="shared" si="15"/>
        <v>1</v>
      </c>
      <c r="B262" s="182" t="s">
        <v>5461</v>
      </c>
      <c r="C262" s="684" t="s">
        <v>5447</v>
      </c>
      <c r="D262" s="183" t="s">
        <v>5167</v>
      </c>
      <c r="E262" s="685" t="s">
        <v>5452</v>
      </c>
      <c r="F262" s="746" t="s">
        <v>6050</v>
      </c>
      <c r="G262" s="686">
        <v>10</v>
      </c>
      <c r="H262" s="686">
        <v>115</v>
      </c>
      <c r="I262" s="686">
        <v>10</v>
      </c>
      <c r="J262" s="160" t="s">
        <v>5017</v>
      </c>
      <c r="K262" s="687"/>
      <c r="L262" s="688"/>
      <c r="M262" s="686"/>
      <c r="N262" s="758"/>
      <c r="O262" s="758"/>
      <c r="P262" s="758"/>
      <c r="Q262" s="758"/>
      <c r="R262" s="758"/>
      <c r="S262" s="758"/>
      <c r="T262" s="758" t="s">
        <v>5176</v>
      </c>
      <c r="U262" s="692"/>
      <c r="V262" s="688">
        <v>1</v>
      </c>
      <c r="W262" s="688"/>
      <c r="X262" s="688">
        <v>1000</v>
      </c>
      <c r="Y262" s="745">
        <v>816</v>
      </c>
      <c r="Z262" s="745">
        <v>408</v>
      </c>
      <c r="AA262" s="693"/>
      <c r="AB262" s="758"/>
      <c r="AC262" s="759"/>
      <c r="AD262" s="746" t="s">
        <v>7127</v>
      </c>
      <c r="AE262" s="758">
        <v>100</v>
      </c>
      <c r="AF262" s="758"/>
      <c r="AG262" s="758"/>
      <c r="AH262" s="762">
        <v>0.15</v>
      </c>
      <c r="AI262" s="768"/>
      <c r="AJ262" s="696">
        <v>127</v>
      </c>
      <c r="AK262" s="697">
        <v>127</v>
      </c>
      <c r="AL262" s="776"/>
      <c r="AM262" s="776"/>
      <c r="AN262" s="776"/>
      <c r="AO262" s="776"/>
      <c r="AP262" s="776"/>
      <c r="AQ262" s="776"/>
      <c r="AR262" s="776"/>
      <c r="AS262" s="776"/>
      <c r="AT262" s="776"/>
      <c r="AU262" s="776"/>
    </row>
    <row r="263" spans="1:47" s="181" customFormat="1" ht="12.75" x14ac:dyDescent="0.2">
      <c r="A263" s="175">
        <f t="shared" si="15"/>
        <v>1</v>
      </c>
      <c r="B263" s="182" t="s">
        <v>5461</v>
      </c>
      <c r="C263" s="684" t="s">
        <v>5812</v>
      </c>
      <c r="D263" s="183" t="s">
        <v>5167</v>
      </c>
      <c r="E263" s="685" t="s">
        <v>5453</v>
      </c>
      <c r="F263" s="746" t="s">
        <v>6050</v>
      </c>
      <c r="G263" s="686">
        <v>10</v>
      </c>
      <c r="H263" s="686">
        <v>134</v>
      </c>
      <c r="I263" s="686">
        <v>10</v>
      </c>
      <c r="J263" s="160" t="s">
        <v>5017</v>
      </c>
      <c r="K263" s="687"/>
      <c r="L263" s="688"/>
      <c r="M263" s="686"/>
      <c r="N263" s="758"/>
      <c r="O263" s="758"/>
      <c r="P263" s="758"/>
      <c r="Q263" s="758"/>
      <c r="R263" s="758"/>
      <c r="S263" s="758"/>
      <c r="T263" s="758" t="s">
        <v>5176</v>
      </c>
      <c r="U263" s="692"/>
      <c r="V263" s="688">
        <v>1</v>
      </c>
      <c r="W263" s="688"/>
      <c r="X263" s="688">
        <v>1000</v>
      </c>
      <c r="Y263" s="745">
        <v>816</v>
      </c>
      <c r="Z263" s="745">
        <v>408</v>
      </c>
      <c r="AA263" s="693"/>
      <c r="AB263" s="758"/>
      <c r="AC263" s="759"/>
      <c r="AD263" s="746" t="s">
        <v>7127</v>
      </c>
      <c r="AE263" s="758">
        <v>100</v>
      </c>
      <c r="AF263" s="758"/>
      <c r="AG263" s="758"/>
      <c r="AH263" s="762">
        <v>0.15</v>
      </c>
      <c r="AI263" s="768"/>
      <c r="AJ263" s="696">
        <v>95</v>
      </c>
      <c r="AK263" s="697">
        <v>95</v>
      </c>
      <c r="AL263" s="776"/>
      <c r="AM263" s="776"/>
      <c r="AN263" s="776"/>
      <c r="AO263" s="776"/>
      <c r="AP263" s="776"/>
      <c r="AQ263" s="776"/>
      <c r="AR263" s="776"/>
      <c r="AS263" s="776"/>
      <c r="AT263" s="776"/>
      <c r="AU263" s="776"/>
    </row>
    <row r="264" spans="1:47" s="181" customFormat="1" ht="12.75" x14ac:dyDescent="0.2">
      <c r="A264" s="175">
        <f t="shared" si="15"/>
        <v>1</v>
      </c>
      <c r="B264" s="182" t="s">
        <v>5461</v>
      </c>
      <c r="C264" s="684" t="s">
        <v>5464</v>
      </c>
      <c r="D264" s="183" t="s">
        <v>5167</v>
      </c>
      <c r="E264" s="685" t="s">
        <v>5454</v>
      </c>
      <c r="F264" s="746" t="s">
        <v>6050</v>
      </c>
      <c r="G264" s="686">
        <v>10</v>
      </c>
      <c r="H264" s="686">
        <v>134</v>
      </c>
      <c r="I264" s="686">
        <v>10</v>
      </c>
      <c r="J264" s="160" t="s">
        <v>5017</v>
      </c>
      <c r="K264" s="687"/>
      <c r="L264" s="688"/>
      <c r="M264" s="686"/>
      <c r="N264" s="758"/>
      <c r="O264" s="758"/>
      <c r="P264" s="758"/>
      <c r="Q264" s="758"/>
      <c r="R264" s="758"/>
      <c r="S264" s="758"/>
      <c r="T264" s="758" t="s">
        <v>5176</v>
      </c>
      <c r="U264" s="692"/>
      <c r="V264" s="688">
        <v>1</v>
      </c>
      <c r="W264" s="688"/>
      <c r="X264" s="688">
        <v>1000</v>
      </c>
      <c r="Y264" s="745">
        <v>816</v>
      </c>
      <c r="Z264" s="745">
        <v>408</v>
      </c>
      <c r="AA264" s="693"/>
      <c r="AB264" s="758"/>
      <c r="AC264" s="759"/>
      <c r="AD264" s="746" t="s">
        <v>7127</v>
      </c>
      <c r="AE264" s="758">
        <v>100</v>
      </c>
      <c r="AF264" s="758"/>
      <c r="AG264" s="758"/>
      <c r="AH264" s="762">
        <v>0.15</v>
      </c>
      <c r="AI264" s="768"/>
      <c r="AJ264" s="696">
        <v>95</v>
      </c>
      <c r="AK264" s="697">
        <v>95</v>
      </c>
      <c r="AL264" s="776"/>
      <c r="AM264" s="776"/>
      <c r="AN264" s="776"/>
      <c r="AO264" s="776"/>
      <c r="AP264" s="776"/>
      <c r="AQ264" s="776"/>
      <c r="AR264" s="776"/>
      <c r="AS264" s="776"/>
      <c r="AT264" s="776"/>
      <c r="AU264" s="776"/>
    </row>
    <row r="265" spans="1:47" s="181" customFormat="1" ht="25.5" x14ac:dyDescent="0.2">
      <c r="A265" s="175">
        <f t="shared" si="15"/>
        <v>1</v>
      </c>
      <c r="B265" s="182" t="s">
        <v>5461</v>
      </c>
      <c r="C265" s="684" t="s">
        <v>5439</v>
      </c>
      <c r="D265" s="183" t="s">
        <v>5167</v>
      </c>
      <c r="E265" s="685" t="s">
        <v>5455</v>
      </c>
      <c r="F265" s="746" t="s">
        <v>6050</v>
      </c>
      <c r="G265" s="686">
        <v>10</v>
      </c>
      <c r="H265" s="686">
        <v>140</v>
      </c>
      <c r="I265" s="686">
        <v>10</v>
      </c>
      <c r="J265" s="160" t="s">
        <v>5017</v>
      </c>
      <c r="K265" s="687"/>
      <c r="L265" s="688"/>
      <c r="M265" s="686"/>
      <c r="N265" s="758"/>
      <c r="O265" s="758"/>
      <c r="P265" s="758"/>
      <c r="Q265" s="758"/>
      <c r="R265" s="758"/>
      <c r="S265" s="758"/>
      <c r="T265" s="758" t="s">
        <v>5176</v>
      </c>
      <c r="U265" s="692"/>
      <c r="V265" s="688">
        <v>1</v>
      </c>
      <c r="W265" s="688"/>
      <c r="X265" s="688">
        <v>1000</v>
      </c>
      <c r="Y265" s="745"/>
      <c r="Z265" s="745"/>
      <c r="AA265" s="693"/>
      <c r="AB265" s="758"/>
      <c r="AC265" s="759"/>
      <c r="AD265" s="746" t="s">
        <v>7127</v>
      </c>
      <c r="AE265" s="758">
        <v>100</v>
      </c>
      <c r="AF265" s="758"/>
      <c r="AG265" s="758"/>
      <c r="AH265" s="762">
        <v>0.15</v>
      </c>
      <c r="AI265" s="768"/>
      <c r="AJ265" s="696">
        <v>95</v>
      </c>
      <c r="AK265" s="697">
        <v>95</v>
      </c>
      <c r="AL265" s="776"/>
      <c r="AM265" s="776"/>
      <c r="AN265" s="776"/>
      <c r="AO265" s="776"/>
      <c r="AP265" s="776"/>
      <c r="AQ265" s="776"/>
      <c r="AR265" s="776"/>
      <c r="AS265" s="776"/>
      <c r="AT265" s="776"/>
      <c r="AU265" s="776"/>
    </row>
    <row r="266" spans="1:47" s="181" customFormat="1" ht="12.75" x14ac:dyDescent="0.2">
      <c r="A266" s="175">
        <f t="shared" si="15"/>
        <v>1</v>
      </c>
      <c r="B266" s="182" t="s">
        <v>5461</v>
      </c>
      <c r="C266" s="684" t="s">
        <v>5440</v>
      </c>
      <c r="D266" s="183" t="s">
        <v>5167</v>
      </c>
      <c r="E266" s="685" t="s">
        <v>5456</v>
      </c>
      <c r="F266" s="746" t="s">
        <v>6050</v>
      </c>
      <c r="G266" s="686">
        <v>10</v>
      </c>
      <c r="H266" s="686">
        <v>116</v>
      </c>
      <c r="I266" s="686">
        <v>10</v>
      </c>
      <c r="J266" s="160" t="s">
        <v>5017</v>
      </c>
      <c r="K266" s="687"/>
      <c r="L266" s="688"/>
      <c r="M266" s="686"/>
      <c r="N266" s="758"/>
      <c r="O266" s="758"/>
      <c r="P266" s="758"/>
      <c r="Q266" s="758"/>
      <c r="R266" s="758"/>
      <c r="S266" s="758"/>
      <c r="T266" s="758" t="s">
        <v>5176</v>
      </c>
      <c r="U266" s="692"/>
      <c r="V266" s="688">
        <v>1</v>
      </c>
      <c r="W266" s="688"/>
      <c r="X266" s="688">
        <v>1000</v>
      </c>
      <c r="Y266" s="745">
        <v>816</v>
      </c>
      <c r="Z266" s="745">
        <v>408</v>
      </c>
      <c r="AA266" s="693"/>
      <c r="AB266" s="758"/>
      <c r="AC266" s="759"/>
      <c r="AD266" s="746" t="s">
        <v>7127</v>
      </c>
      <c r="AE266" s="758">
        <v>100</v>
      </c>
      <c r="AF266" s="758"/>
      <c r="AG266" s="758"/>
      <c r="AH266" s="762">
        <v>0.15</v>
      </c>
      <c r="AI266" s="768"/>
      <c r="AJ266" s="696">
        <v>127</v>
      </c>
      <c r="AK266" s="697">
        <v>127</v>
      </c>
      <c r="AL266" s="776"/>
      <c r="AM266" s="776"/>
      <c r="AN266" s="776"/>
      <c r="AO266" s="776"/>
      <c r="AP266" s="776"/>
      <c r="AQ266" s="776"/>
      <c r="AR266" s="776"/>
      <c r="AS266" s="776"/>
      <c r="AT266" s="776"/>
      <c r="AU266" s="776"/>
    </row>
    <row r="267" spans="1:47" s="181" customFormat="1" ht="12.75" x14ac:dyDescent="0.2">
      <c r="A267" s="175">
        <f t="shared" si="15"/>
        <v>1</v>
      </c>
      <c r="B267" s="182" t="s">
        <v>5461</v>
      </c>
      <c r="C267" s="684" t="s">
        <v>5441</v>
      </c>
      <c r="D267" s="183" t="s">
        <v>5167</v>
      </c>
      <c r="E267" s="685" t="s">
        <v>5457</v>
      </c>
      <c r="F267" s="746" t="s">
        <v>6050</v>
      </c>
      <c r="G267" s="686">
        <v>10</v>
      </c>
      <c r="H267" s="686">
        <v>142</v>
      </c>
      <c r="I267" s="686">
        <v>10</v>
      </c>
      <c r="J267" s="160" t="s">
        <v>5017</v>
      </c>
      <c r="K267" s="687"/>
      <c r="L267" s="688"/>
      <c r="M267" s="686"/>
      <c r="N267" s="758"/>
      <c r="O267" s="758"/>
      <c r="P267" s="758"/>
      <c r="Q267" s="758"/>
      <c r="R267" s="758"/>
      <c r="S267" s="758"/>
      <c r="T267" s="758" t="s">
        <v>5176</v>
      </c>
      <c r="U267" s="692"/>
      <c r="V267" s="688">
        <v>1</v>
      </c>
      <c r="W267" s="688"/>
      <c r="X267" s="688">
        <v>1000</v>
      </c>
      <c r="Y267" s="745">
        <v>816</v>
      </c>
      <c r="Z267" s="745">
        <v>408</v>
      </c>
      <c r="AA267" s="693"/>
      <c r="AB267" s="758"/>
      <c r="AC267" s="759"/>
      <c r="AD267" s="746" t="s">
        <v>7127</v>
      </c>
      <c r="AE267" s="758">
        <v>100</v>
      </c>
      <c r="AF267" s="758"/>
      <c r="AG267" s="758"/>
      <c r="AH267" s="762">
        <v>0.15</v>
      </c>
      <c r="AI267" s="768"/>
      <c r="AJ267" s="696">
        <v>158</v>
      </c>
      <c r="AK267" s="697">
        <v>158</v>
      </c>
      <c r="AL267" s="776"/>
      <c r="AM267" s="776"/>
      <c r="AN267" s="776"/>
      <c r="AO267" s="776"/>
      <c r="AP267" s="776"/>
      <c r="AQ267" s="776"/>
      <c r="AR267" s="776"/>
      <c r="AS267" s="776"/>
      <c r="AT267" s="776"/>
      <c r="AU267" s="776"/>
    </row>
    <row r="268" spans="1:47" s="181" customFormat="1" ht="25.5" x14ac:dyDescent="0.2">
      <c r="A268" s="175">
        <f t="shared" si="15"/>
        <v>1</v>
      </c>
      <c r="B268" s="182" t="s">
        <v>5461</v>
      </c>
      <c r="C268" s="684" t="s">
        <v>5442</v>
      </c>
      <c r="D268" s="183" t="s">
        <v>5167</v>
      </c>
      <c r="E268" s="685" t="s">
        <v>5458</v>
      </c>
      <c r="F268" s="746" t="s">
        <v>6050</v>
      </c>
      <c r="G268" s="686">
        <v>10</v>
      </c>
      <c r="H268" s="686">
        <v>195</v>
      </c>
      <c r="I268" s="686">
        <v>10</v>
      </c>
      <c r="J268" s="160" t="s">
        <v>5017</v>
      </c>
      <c r="K268" s="687"/>
      <c r="L268" s="688"/>
      <c r="M268" s="686"/>
      <c r="N268" s="758"/>
      <c r="O268" s="758"/>
      <c r="P268" s="758"/>
      <c r="Q268" s="758"/>
      <c r="R268" s="758"/>
      <c r="S268" s="758"/>
      <c r="T268" s="758" t="s">
        <v>5176</v>
      </c>
      <c r="U268" s="692"/>
      <c r="V268" s="688">
        <v>1</v>
      </c>
      <c r="W268" s="688"/>
      <c r="X268" s="688">
        <v>50</v>
      </c>
      <c r="Y268" s="745">
        <v>816</v>
      </c>
      <c r="Z268" s="745">
        <v>408</v>
      </c>
      <c r="AA268" s="693"/>
      <c r="AB268" s="758"/>
      <c r="AC268" s="759"/>
      <c r="AD268" s="746" t="s">
        <v>7127</v>
      </c>
      <c r="AE268" s="758">
        <v>100</v>
      </c>
      <c r="AF268" s="758">
        <v>18</v>
      </c>
      <c r="AG268" s="758"/>
      <c r="AH268" s="762">
        <v>0.15</v>
      </c>
      <c r="AI268" s="768"/>
      <c r="AJ268" s="696">
        <v>11</v>
      </c>
      <c r="AK268" s="697">
        <v>11</v>
      </c>
      <c r="AL268" s="776"/>
      <c r="AM268" s="776"/>
      <c r="AN268" s="776"/>
      <c r="AO268" s="776"/>
      <c r="AP268" s="776"/>
      <c r="AQ268" s="776"/>
      <c r="AR268" s="776"/>
      <c r="AS268" s="776"/>
      <c r="AT268" s="776"/>
      <c r="AU268" s="776"/>
    </row>
    <row r="269" spans="1:47" s="181" customFormat="1" ht="12.75" x14ac:dyDescent="0.2">
      <c r="A269" s="175">
        <f t="shared" si="15"/>
        <v>1</v>
      </c>
      <c r="B269" s="182" t="s">
        <v>5461</v>
      </c>
      <c r="C269" s="684" t="s">
        <v>5465</v>
      </c>
      <c r="D269" s="183" t="s">
        <v>5167</v>
      </c>
      <c r="E269" s="685" t="s">
        <v>5459</v>
      </c>
      <c r="F269" s="746" t="s">
        <v>6050</v>
      </c>
      <c r="G269" s="686">
        <v>10</v>
      </c>
      <c r="H269" s="686">
        <v>106</v>
      </c>
      <c r="I269" s="686">
        <v>10</v>
      </c>
      <c r="J269" s="160" t="s">
        <v>5017</v>
      </c>
      <c r="K269" s="687"/>
      <c r="L269" s="688"/>
      <c r="M269" s="686"/>
      <c r="N269" s="758"/>
      <c r="O269" s="758"/>
      <c r="P269" s="758"/>
      <c r="Q269" s="758"/>
      <c r="R269" s="758"/>
      <c r="S269" s="758"/>
      <c r="T269" s="758" t="s">
        <v>5176</v>
      </c>
      <c r="U269" s="692"/>
      <c r="V269" s="688">
        <v>1</v>
      </c>
      <c r="W269" s="688"/>
      <c r="X269" s="688">
        <v>25</v>
      </c>
      <c r="Y269" s="745">
        <v>816</v>
      </c>
      <c r="Z269" s="745">
        <v>408</v>
      </c>
      <c r="AA269" s="693"/>
      <c r="AB269" s="758"/>
      <c r="AC269" s="759"/>
      <c r="AD269" s="746" t="s">
        <v>7127</v>
      </c>
      <c r="AE269" s="758">
        <v>100</v>
      </c>
      <c r="AF269" s="758"/>
      <c r="AG269" s="758"/>
      <c r="AH269" s="762">
        <v>0.15</v>
      </c>
      <c r="AI269" s="768"/>
      <c r="AJ269" s="696">
        <v>195</v>
      </c>
      <c r="AK269" s="697">
        <v>195</v>
      </c>
      <c r="AL269" s="776"/>
      <c r="AM269" s="776"/>
      <c r="AN269" s="776"/>
      <c r="AO269" s="776"/>
      <c r="AP269" s="776"/>
      <c r="AQ269" s="776"/>
      <c r="AR269" s="776"/>
      <c r="AS269" s="776"/>
      <c r="AT269" s="776"/>
      <c r="AU269" s="776"/>
    </row>
    <row r="270" spans="1:47" s="181" customFormat="1" ht="15.75" hidden="1" x14ac:dyDescent="0.25">
      <c r="A270" s="44">
        <f>IF(CoId=5,0,IF(AK270&lt;0.01,0,1))</f>
        <v>0</v>
      </c>
      <c r="B270" s="182" t="s">
        <v>5461</v>
      </c>
      <c r="C270" s="684" t="s">
        <v>5177</v>
      </c>
      <c r="D270" s="183" t="s">
        <v>5167</v>
      </c>
      <c r="E270" s="685" t="s">
        <v>5161</v>
      </c>
      <c r="F270" s="746" t="s">
        <v>5159</v>
      </c>
      <c r="G270" s="686">
        <v>10</v>
      </c>
      <c r="H270" s="785" t="s">
        <v>6530</v>
      </c>
      <c r="I270" s="628"/>
      <c r="J270" s="628"/>
      <c r="K270" s="687"/>
      <c r="L270" s="688"/>
      <c r="M270" s="686"/>
      <c r="N270" s="758"/>
      <c r="O270" s="758"/>
      <c r="P270" s="758"/>
      <c r="Q270" s="758"/>
      <c r="R270" s="758"/>
      <c r="S270" s="758"/>
      <c r="T270" s="628"/>
      <c r="U270" s="692"/>
      <c r="V270" s="628"/>
      <c r="W270" s="628"/>
      <c r="X270" s="628"/>
      <c r="Y270" s="740"/>
      <c r="Z270" s="693"/>
      <c r="AA270" s="693"/>
      <c r="AB270" s="758"/>
      <c r="AC270" s="759"/>
      <c r="AD270" s="904"/>
      <c r="AE270" s="693"/>
      <c r="AF270" s="693"/>
      <c r="AG270" s="758"/>
      <c r="AH270" s="762"/>
      <c r="AI270" s="768"/>
      <c r="AJ270" s="919"/>
      <c r="AK270" s="920"/>
      <c r="AL270" s="776"/>
      <c r="AM270" s="776"/>
      <c r="AN270" s="776"/>
      <c r="AO270" s="776"/>
      <c r="AP270" s="776"/>
      <c r="AQ270" s="776"/>
      <c r="AR270" s="776"/>
      <c r="AS270" s="776"/>
      <c r="AT270" s="776"/>
      <c r="AU270" s="776"/>
    </row>
    <row r="271" spans="1:47" s="181" customFormat="1" ht="15.75" hidden="1" x14ac:dyDescent="0.25">
      <c r="A271" s="44">
        <f>IF(CoId=5,0,IF(AK271&lt;0.01,0,1))</f>
        <v>0</v>
      </c>
      <c r="B271" s="182" t="s">
        <v>5461</v>
      </c>
      <c r="C271" s="684" t="s">
        <v>5178</v>
      </c>
      <c r="D271" s="183" t="s">
        <v>5167</v>
      </c>
      <c r="E271" s="685" t="s">
        <v>5162</v>
      </c>
      <c r="F271" s="746" t="s">
        <v>5159</v>
      </c>
      <c r="G271" s="686">
        <v>10</v>
      </c>
      <c r="H271" s="785" t="s">
        <v>6530</v>
      </c>
      <c r="I271" s="628"/>
      <c r="J271" s="628"/>
      <c r="K271" s="687"/>
      <c r="L271" s="688"/>
      <c r="M271" s="686"/>
      <c r="N271" s="758"/>
      <c r="O271" s="758"/>
      <c r="P271" s="758"/>
      <c r="Q271" s="758"/>
      <c r="R271" s="758"/>
      <c r="S271" s="758"/>
      <c r="T271" s="628"/>
      <c r="U271" s="692"/>
      <c r="V271" s="628"/>
      <c r="W271" s="628"/>
      <c r="X271" s="628"/>
      <c r="Y271" s="740"/>
      <c r="Z271" s="693"/>
      <c r="AA271" s="693"/>
      <c r="AB271" s="758"/>
      <c r="AC271" s="759"/>
      <c r="AD271" s="904"/>
      <c r="AE271" s="693"/>
      <c r="AF271" s="693"/>
      <c r="AG271" s="758"/>
      <c r="AH271" s="762"/>
      <c r="AI271" s="768"/>
      <c r="AJ271" s="919"/>
      <c r="AK271" s="920"/>
      <c r="AL271" s="776"/>
      <c r="AM271" s="776"/>
      <c r="AN271" s="776"/>
      <c r="AO271" s="776"/>
      <c r="AP271" s="776"/>
      <c r="AQ271" s="776"/>
      <c r="AR271" s="776"/>
      <c r="AS271" s="776"/>
      <c r="AT271" s="776"/>
      <c r="AU271" s="776"/>
    </row>
    <row r="272" spans="1:47" s="181" customFormat="1" ht="25.5" hidden="1" x14ac:dyDescent="0.2">
      <c r="A272" s="175">
        <f t="shared" ref="A272:A275" si="16">IF(CoId=5,0,IF(OR(AK272="",AK272=0),0,1))</f>
        <v>0</v>
      </c>
      <c r="B272" s="182" t="s">
        <v>5461</v>
      </c>
      <c r="C272" s="684" t="s">
        <v>5179</v>
      </c>
      <c r="D272" s="183" t="s">
        <v>5167</v>
      </c>
      <c r="E272" s="685" t="s">
        <v>5163</v>
      </c>
      <c r="F272" s="746" t="s">
        <v>5159</v>
      </c>
      <c r="G272" s="686">
        <v>10</v>
      </c>
      <c r="H272" s="785" t="s">
        <v>6530</v>
      </c>
      <c r="I272" s="628"/>
      <c r="J272" s="628"/>
      <c r="K272" s="687"/>
      <c r="L272" s="688"/>
      <c r="M272" s="686"/>
      <c r="N272" s="758"/>
      <c r="O272" s="758"/>
      <c r="P272" s="758"/>
      <c r="Q272" s="758"/>
      <c r="R272" s="758"/>
      <c r="S272" s="758"/>
      <c r="T272" s="628"/>
      <c r="U272" s="692"/>
      <c r="V272" s="628"/>
      <c r="W272" s="628"/>
      <c r="X272" s="628"/>
      <c r="Y272" s="740"/>
      <c r="Z272" s="693"/>
      <c r="AA272" s="693"/>
      <c r="AB272" s="758"/>
      <c r="AC272" s="759"/>
      <c r="AD272" s="904"/>
      <c r="AE272" s="693"/>
      <c r="AF272" s="693"/>
      <c r="AG272" s="758"/>
      <c r="AH272" s="762"/>
      <c r="AI272" s="768"/>
      <c r="AJ272" s="919"/>
      <c r="AK272" s="920"/>
      <c r="AL272" s="776"/>
      <c r="AM272" s="776"/>
      <c r="AN272" s="776"/>
      <c r="AO272" s="776"/>
      <c r="AP272" s="776"/>
      <c r="AQ272" s="776"/>
      <c r="AR272" s="776"/>
      <c r="AS272" s="776"/>
      <c r="AT272" s="776"/>
      <c r="AU272" s="776"/>
    </row>
    <row r="273" spans="1:47" s="181" customFormat="1" ht="15.75" hidden="1" x14ac:dyDescent="0.2">
      <c r="A273" s="175">
        <f t="shared" si="16"/>
        <v>0</v>
      </c>
      <c r="B273" s="182" t="s">
        <v>5461</v>
      </c>
      <c r="C273" s="684" t="s">
        <v>5180</v>
      </c>
      <c r="D273" s="183" t="s">
        <v>5167</v>
      </c>
      <c r="E273" s="685" t="s">
        <v>5164</v>
      </c>
      <c r="F273" s="746" t="s">
        <v>5159</v>
      </c>
      <c r="G273" s="686">
        <v>10</v>
      </c>
      <c r="H273" s="785" t="s">
        <v>6530</v>
      </c>
      <c r="I273" s="628"/>
      <c r="J273" s="628"/>
      <c r="K273" s="687"/>
      <c r="L273" s="688"/>
      <c r="M273" s="686"/>
      <c r="N273" s="758"/>
      <c r="O273" s="758"/>
      <c r="P273" s="758"/>
      <c r="Q273" s="758"/>
      <c r="R273" s="758"/>
      <c r="S273" s="758"/>
      <c r="T273" s="628"/>
      <c r="U273" s="692"/>
      <c r="V273" s="628"/>
      <c r="W273" s="628"/>
      <c r="X273" s="628"/>
      <c r="Y273" s="740"/>
      <c r="Z273" s="693"/>
      <c r="AA273" s="693"/>
      <c r="AB273" s="758"/>
      <c r="AC273" s="759"/>
      <c r="AD273" s="904"/>
      <c r="AE273" s="693"/>
      <c r="AF273" s="693"/>
      <c r="AG273" s="758"/>
      <c r="AH273" s="762"/>
      <c r="AI273" s="768"/>
      <c r="AJ273" s="696"/>
      <c r="AK273" s="697"/>
      <c r="AL273" s="776"/>
      <c r="AM273" s="776"/>
      <c r="AN273" s="776"/>
      <c r="AO273" s="776"/>
      <c r="AP273" s="776"/>
      <c r="AQ273" s="776"/>
      <c r="AR273" s="776"/>
      <c r="AS273" s="776"/>
      <c r="AT273" s="776"/>
      <c r="AU273" s="776"/>
    </row>
    <row r="274" spans="1:47" s="181" customFormat="1" ht="25.5" hidden="1" x14ac:dyDescent="0.2">
      <c r="A274" s="175">
        <f t="shared" si="16"/>
        <v>0</v>
      </c>
      <c r="B274" s="182" t="s">
        <v>5461</v>
      </c>
      <c r="C274" s="684" t="s">
        <v>5181</v>
      </c>
      <c r="D274" s="183" t="s">
        <v>5167</v>
      </c>
      <c r="E274" s="685" t="s">
        <v>5165</v>
      </c>
      <c r="F274" s="746" t="s">
        <v>5159</v>
      </c>
      <c r="G274" s="686">
        <v>10</v>
      </c>
      <c r="H274" s="785" t="s">
        <v>6530</v>
      </c>
      <c r="I274" s="628"/>
      <c r="J274" s="628"/>
      <c r="K274" s="687"/>
      <c r="L274" s="688"/>
      <c r="M274" s="686"/>
      <c r="N274" s="758"/>
      <c r="O274" s="758"/>
      <c r="P274" s="758"/>
      <c r="Q274" s="758"/>
      <c r="R274" s="758"/>
      <c r="S274" s="758"/>
      <c r="T274" s="628"/>
      <c r="U274" s="692"/>
      <c r="V274" s="628"/>
      <c r="W274" s="628"/>
      <c r="X274" s="628"/>
      <c r="Y274" s="740"/>
      <c r="Z274" s="693"/>
      <c r="AA274" s="693"/>
      <c r="AB274" s="758"/>
      <c r="AC274" s="759"/>
      <c r="AD274" s="904"/>
      <c r="AE274" s="693"/>
      <c r="AF274" s="693"/>
      <c r="AG274" s="758"/>
      <c r="AH274" s="762"/>
      <c r="AI274" s="768"/>
      <c r="AJ274" s="919"/>
      <c r="AK274" s="920"/>
      <c r="AL274" s="776"/>
      <c r="AM274" s="776"/>
      <c r="AN274" s="776"/>
      <c r="AO274" s="776"/>
      <c r="AP274" s="776"/>
      <c r="AQ274" s="776"/>
      <c r="AR274" s="776"/>
      <c r="AS274" s="776"/>
      <c r="AT274" s="776"/>
      <c r="AU274" s="776"/>
    </row>
    <row r="275" spans="1:47" s="181" customFormat="1" ht="25.5" hidden="1" x14ac:dyDescent="0.2">
      <c r="A275" s="175">
        <f t="shared" si="16"/>
        <v>0</v>
      </c>
      <c r="B275" s="182" t="s">
        <v>5461</v>
      </c>
      <c r="C275" s="684" t="s">
        <v>5182</v>
      </c>
      <c r="D275" s="183" t="s">
        <v>5167</v>
      </c>
      <c r="E275" s="685" t="s">
        <v>5166</v>
      </c>
      <c r="F275" s="746" t="s">
        <v>5159</v>
      </c>
      <c r="G275" s="686">
        <v>10</v>
      </c>
      <c r="H275" s="785" t="s">
        <v>6530</v>
      </c>
      <c r="I275" s="627"/>
      <c r="J275" s="628"/>
      <c r="K275" s="687"/>
      <c r="L275" s="688"/>
      <c r="M275" s="686"/>
      <c r="N275" s="758"/>
      <c r="O275" s="758"/>
      <c r="P275" s="758"/>
      <c r="Q275" s="758"/>
      <c r="R275" s="758"/>
      <c r="S275" s="758"/>
      <c r="T275" s="628"/>
      <c r="U275" s="692"/>
      <c r="V275" s="628"/>
      <c r="W275" s="628"/>
      <c r="X275" s="628"/>
      <c r="Y275" s="740"/>
      <c r="Z275" s="693"/>
      <c r="AA275" s="693"/>
      <c r="AB275" s="758"/>
      <c r="AC275" s="759"/>
      <c r="AD275" s="904"/>
      <c r="AE275" s="693"/>
      <c r="AF275" s="693"/>
      <c r="AG275" s="758"/>
      <c r="AH275" s="762"/>
      <c r="AI275" s="768"/>
      <c r="AJ275" s="919"/>
      <c r="AK275" s="920"/>
      <c r="AL275" s="776"/>
      <c r="AM275" s="776"/>
      <c r="AN275" s="776"/>
      <c r="AO275" s="776"/>
      <c r="AP275" s="776"/>
      <c r="AQ275" s="776"/>
      <c r="AR275" s="776"/>
      <c r="AS275" s="776"/>
      <c r="AT275" s="776"/>
      <c r="AU275" s="776"/>
    </row>
    <row r="276" spans="1:47" s="181" customFormat="1" ht="12.75" x14ac:dyDescent="0.2">
      <c r="A276" s="175">
        <f>IF(SUM(A282:A283)&gt;0,1,0)</f>
        <v>1</v>
      </c>
      <c r="B276" s="646"/>
      <c r="C276" s="640"/>
      <c r="D276" s="647"/>
      <c r="E276" s="646"/>
      <c r="F276" s="770"/>
      <c r="G276" s="770"/>
      <c r="H276" s="648"/>
      <c r="I276" s="648"/>
      <c r="J276" s="701"/>
      <c r="K276" s="701"/>
      <c r="L276" s="771"/>
      <c r="M276" s="646"/>
      <c r="N276" s="646"/>
      <c r="O276" s="646"/>
      <c r="P276" s="646"/>
      <c r="Q276" s="646"/>
      <c r="R276" s="646"/>
      <c r="S276" s="646"/>
      <c r="T276" s="646"/>
      <c r="U276" s="771"/>
      <c r="V276" s="771"/>
      <c r="W276" s="771"/>
      <c r="X276" s="771"/>
      <c r="Y276" s="771"/>
      <c r="Z276" s="646"/>
      <c r="AA276" s="772"/>
      <c r="AB276" s="646"/>
      <c r="AC276" s="646"/>
      <c r="AD276" s="646"/>
      <c r="AE276" s="773"/>
      <c r="AF276" s="774"/>
      <c r="AG276" s="775"/>
      <c r="AH276" s="775"/>
      <c r="AI276" s="776"/>
      <c r="AJ276" s="776"/>
      <c r="AK276" s="776"/>
      <c r="AL276" s="776"/>
      <c r="AM276" s="776"/>
      <c r="AN276" s="776"/>
      <c r="AO276" s="776"/>
      <c r="AP276" s="776"/>
      <c r="AQ276" s="776"/>
      <c r="AR276" s="776"/>
    </row>
    <row r="277" spans="1:47" s="181" customFormat="1" ht="13.5" thickBot="1" x14ac:dyDescent="0.25">
      <c r="A277" s="175">
        <f>IF(SUM(A282:A283)&gt;0,1,0)</f>
        <v>1</v>
      </c>
      <c r="B277" s="646"/>
      <c r="C277" s="640"/>
      <c r="D277" s="647"/>
      <c r="E277" s="646"/>
      <c r="F277" s="770"/>
      <c r="G277" s="770"/>
      <c r="H277" s="648"/>
      <c r="I277" s="648"/>
      <c r="J277" s="701"/>
      <c r="K277" s="701"/>
      <c r="L277" s="771"/>
      <c r="M277" s="646"/>
      <c r="N277" s="646"/>
      <c r="O277" s="646"/>
      <c r="P277" s="646"/>
      <c r="Q277" s="646"/>
      <c r="R277" s="646"/>
      <c r="S277" s="646"/>
      <c r="T277" s="646"/>
      <c r="U277" s="771"/>
      <c r="V277" s="771"/>
      <c r="W277" s="771"/>
      <c r="X277" s="771"/>
      <c r="Y277" s="771"/>
      <c r="Z277" s="646"/>
      <c r="AA277" s="772"/>
      <c r="AB277" s="646"/>
      <c r="AC277" s="646"/>
      <c r="AD277" s="646"/>
      <c r="AE277" s="773"/>
      <c r="AF277" s="774"/>
      <c r="AG277" s="775"/>
      <c r="AH277" s="775"/>
      <c r="AI277" s="776"/>
      <c r="AJ277" s="776"/>
      <c r="AK277" s="776"/>
      <c r="AL277" s="776"/>
      <c r="AM277" s="776"/>
      <c r="AN277" s="776"/>
      <c r="AO277" s="776"/>
      <c r="AP277" s="776"/>
      <c r="AQ277" s="776"/>
      <c r="AR277" s="776"/>
    </row>
    <row r="278" spans="1:47" s="181" customFormat="1" ht="15.75" x14ac:dyDescent="0.25">
      <c r="A278" s="175">
        <f>IF(SUM(A282:A283)&gt;0,1,0)</f>
        <v>1</v>
      </c>
      <c r="B278" s="113" t="s">
        <v>6030</v>
      </c>
      <c r="C278" s="114"/>
      <c r="D278" s="115"/>
      <c r="E278" s="116"/>
      <c r="F278" s="64"/>
      <c r="G278" s="64"/>
      <c r="H278" s="64"/>
      <c r="I278" s="117"/>
      <c r="J278" s="64"/>
      <c r="K278" s="60"/>
      <c r="L278" s="118"/>
      <c r="M278" s="118"/>
      <c r="N278" s="118"/>
      <c r="O278" s="119"/>
      <c r="P278" s="119"/>
      <c r="Q278" s="119"/>
      <c r="R278" s="119"/>
      <c r="S278" s="119"/>
      <c r="T278" s="64"/>
      <c r="U278" s="64"/>
      <c r="V278" s="64"/>
      <c r="W278" s="64"/>
      <c r="X278" s="64"/>
      <c r="Y278" s="63"/>
      <c r="AB278" s="668"/>
    </row>
    <row r="279" spans="1:47" s="181" customFormat="1" ht="12.75" x14ac:dyDescent="0.2">
      <c r="A279" s="175">
        <f>IF(SUM(A282:A283)&gt;0,1,0)</f>
        <v>1</v>
      </c>
      <c r="B279" s="120" t="s">
        <v>99</v>
      </c>
      <c r="C279" s="669">
        <v>8</v>
      </c>
      <c r="D279" s="58"/>
      <c r="E279" s="58"/>
      <c r="F279" s="73"/>
      <c r="G279" s="73"/>
      <c r="H279" s="73"/>
      <c r="I279" s="73"/>
      <c r="J279" s="73"/>
      <c r="K279" s="121"/>
      <c r="L279" s="121"/>
      <c r="M279" s="121"/>
      <c r="N279" s="121"/>
      <c r="O279" s="58"/>
      <c r="P279" s="58"/>
      <c r="Q279" s="58"/>
      <c r="R279" s="58"/>
      <c r="S279" s="58"/>
      <c r="T279" s="73"/>
      <c r="U279" s="73"/>
      <c r="V279" s="73"/>
      <c r="W279" s="73"/>
      <c r="X279" s="73"/>
      <c r="Y279" s="71"/>
      <c r="AB279" s="668"/>
    </row>
    <row r="280" spans="1:47" s="181" customFormat="1" ht="12.75" x14ac:dyDescent="0.2">
      <c r="A280" s="175">
        <f>IF(SUM(A282:A283)&gt;0,1,0)</f>
        <v>1</v>
      </c>
      <c r="B280" s="122"/>
      <c r="C280" s="123"/>
      <c r="D280" s="73"/>
      <c r="E280" s="73"/>
      <c r="F280" s="73"/>
      <c r="G280" s="73"/>
      <c r="H280" s="73"/>
      <c r="I280" s="73"/>
      <c r="J280" s="73"/>
      <c r="K280" s="121"/>
      <c r="L280" s="121"/>
      <c r="M280" s="121"/>
      <c r="N280" s="121"/>
      <c r="O280" s="58"/>
      <c r="P280" s="58"/>
      <c r="Q280" s="58"/>
      <c r="R280" s="58"/>
      <c r="S280" s="58"/>
      <c r="T280" s="73"/>
      <c r="U280" s="73"/>
      <c r="V280" s="73"/>
      <c r="W280" s="73"/>
      <c r="X280" s="73"/>
      <c r="Y280" s="71"/>
      <c r="AB280" s="668"/>
    </row>
    <row r="281" spans="1:47" s="181" customFormat="1" ht="51" x14ac:dyDescent="0.2">
      <c r="A281" s="175">
        <f>IF(SUM(A282:A283)&gt;0,1,0)</f>
        <v>1</v>
      </c>
      <c r="B281" s="124" t="s">
        <v>100</v>
      </c>
      <c r="C281" s="125" t="s">
        <v>101</v>
      </c>
      <c r="D281" s="126" t="s">
        <v>102</v>
      </c>
      <c r="E281" s="126" t="s">
        <v>103</v>
      </c>
      <c r="F281" s="126" t="s">
        <v>104</v>
      </c>
      <c r="G281" s="126" t="s">
        <v>105</v>
      </c>
      <c r="H281" s="125" t="s">
        <v>106</v>
      </c>
      <c r="I281" s="125" t="s">
        <v>107</v>
      </c>
      <c r="J281" s="125" t="s">
        <v>108</v>
      </c>
      <c r="K281" s="125" t="s">
        <v>109</v>
      </c>
      <c r="L281" s="127" t="s">
        <v>110</v>
      </c>
      <c r="M281" s="126" t="s">
        <v>111</v>
      </c>
      <c r="N281" s="125" t="s">
        <v>112</v>
      </c>
      <c r="O281" s="127" t="s">
        <v>113</v>
      </c>
      <c r="P281" s="126" t="s">
        <v>114</v>
      </c>
      <c r="Q281" s="125" t="s">
        <v>115</v>
      </c>
      <c r="R281" s="125" t="s">
        <v>116</v>
      </c>
      <c r="S281" s="126" t="s">
        <v>117</v>
      </c>
      <c r="T281" s="125" t="s">
        <v>118</v>
      </c>
      <c r="U281" s="125" t="s">
        <v>119</v>
      </c>
      <c r="V281" s="126" t="s">
        <v>120</v>
      </c>
      <c r="W281" s="126" t="s">
        <v>121</v>
      </c>
      <c r="X281" s="126" t="s">
        <v>122</v>
      </c>
      <c r="Y281" s="128" t="s">
        <v>123</v>
      </c>
      <c r="AB281" s="668"/>
    </row>
    <row r="282" spans="1:47" s="181" customFormat="1" ht="15.75" x14ac:dyDescent="0.2">
      <c r="A282" s="175">
        <f>IF(OR(O282="",O282=0),0,1)</f>
        <v>1</v>
      </c>
      <c r="B282" s="638" t="s">
        <v>5434</v>
      </c>
      <c r="C282" s="622" t="s">
        <v>6029</v>
      </c>
      <c r="D282" s="632" t="s">
        <v>5007</v>
      </c>
      <c r="E282" s="130" t="s">
        <v>5176</v>
      </c>
      <c r="F282" s="131"/>
      <c r="G282" s="132"/>
      <c r="H282" s="643"/>
      <c r="I282" s="628"/>
      <c r="J282" s="133"/>
      <c r="K282" s="133"/>
      <c r="L282" s="628"/>
      <c r="M282" s="628"/>
      <c r="N282" s="636">
        <v>10000</v>
      </c>
      <c r="O282" s="636">
        <v>1000000</v>
      </c>
      <c r="P282" s="133"/>
      <c r="Q282" s="133"/>
      <c r="R282" s="133"/>
      <c r="S282" s="133"/>
      <c r="T282" s="134"/>
      <c r="U282" s="133"/>
      <c r="V282" s="628"/>
      <c r="W282" s="636" t="s">
        <v>4932</v>
      </c>
      <c r="X282" s="628"/>
      <c r="Y282" s="636" t="s">
        <v>4932</v>
      </c>
      <c r="Z282" s="667"/>
      <c r="AA282" s="667"/>
      <c r="AB282" s="668"/>
    </row>
    <row r="283" spans="1:47" s="181" customFormat="1" ht="16.5" thickBot="1" x14ac:dyDescent="0.25">
      <c r="A283" s="175">
        <f>IF(OR(O283="",O283=0),0,1)</f>
        <v>1</v>
      </c>
      <c r="B283" s="653" t="s">
        <v>5434</v>
      </c>
      <c r="C283" s="654" t="s">
        <v>5344</v>
      </c>
      <c r="D283" s="655" t="s">
        <v>409</v>
      </c>
      <c r="E283" s="656" t="s">
        <v>5176</v>
      </c>
      <c r="F283" s="657"/>
      <c r="G283" s="658"/>
      <c r="H283" s="659"/>
      <c r="I283" s="660"/>
      <c r="J283" s="660"/>
      <c r="K283" s="660"/>
      <c r="L283" s="660"/>
      <c r="M283" s="660"/>
      <c r="N283" s="660"/>
      <c r="O283" s="661">
        <v>1000000</v>
      </c>
      <c r="P283" s="660"/>
      <c r="Q283" s="660"/>
      <c r="R283" s="660"/>
      <c r="S283" s="660"/>
      <c r="T283" s="662"/>
      <c r="U283" s="660"/>
      <c r="V283" s="660"/>
      <c r="W283" s="660"/>
      <c r="X283" s="660"/>
      <c r="Y283" s="666"/>
      <c r="Z283" s="667"/>
      <c r="AA283" s="667"/>
      <c r="AB283" s="668"/>
    </row>
    <row r="284" spans="1:47" s="181" customFormat="1" ht="13.5" thickBot="1" x14ac:dyDescent="0.25">
      <c r="A284" s="175">
        <f ca="1">IF(SUM(A287:A294)&gt;0,1,0)</f>
        <v>1</v>
      </c>
      <c r="B284" s="646"/>
      <c r="C284" s="640"/>
      <c r="D284" s="647"/>
      <c r="E284" s="646"/>
      <c r="F284" s="646"/>
      <c r="G284" s="648"/>
      <c r="H284" s="650"/>
      <c r="I284" s="651"/>
      <c r="J284" s="650"/>
      <c r="K284" s="650"/>
      <c r="L284" s="650"/>
      <c r="M284" s="650"/>
      <c r="N284" s="650"/>
      <c r="O284" s="650"/>
      <c r="P284" s="650"/>
      <c r="Q284" s="650"/>
      <c r="R284" s="650"/>
      <c r="S284" s="650"/>
      <c r="T284" s="650"/>
      <c r="U284" s="650"/>
      <c r="V284" s="650"/>
      <c r="W284" s="650"/>
      <c r="X284" s="650"/>
      <c r="Y284" s="650"/>
      <c r="Z284" s="667"/>
      <c r="AA284" s="667"/>
      <c r="AB284" s="668"/>
    </row>
    <row r="285" spans="1:47" s="181" customFormat="1" ht="15.75" x14ac:dyDescent="0.25">
      <c r="A285" s="175">
        <f ca="1">IF(SUM(A287:A294)&gt;0,1,0)</f>
        <v>1</v>
      </c>
      <c r="B285" s="145" t="s">
        <v>124</v>
      </c>
      <c r="C285" s="146" t="s">
        <v>6054</v>
      </c>
      <c r="D285" s="173" t="str">
        <f>RtStCd</f>
        <v>04</v>
      </c>
      <c r="E285" s="64" t="s">
        <v>6049</v>
      </c>
      <c r="F285" s="148"/>
      <c r="G285" s="148"/>
      <c r="H285" s="146"/>
      <c r="I285" s="146"/>
      <c r="J285" s="149"/>
      <c r="K285" s="150"/>
      <c r="L285" s="151"/>
      <c r="M285" s="152"/>
      <c r="N285" s="153"/>
      <c r="O285" s="119"/>
      <c r="P285" s="119"/>
      <c r="Q285" s="119"/>
      <c r="R285" s="119"/>
      <c r="S285" s="119"/>
      <c r="T285" s="119"/>
      <c r="U285" s="119"/>
      <c r="V285" s="119"/>
      <c r="W285" s="119"/>
      <c r="X285" s="119"/>
      <c r="Y285" s="119"/>
      <c r="Z285" s="64"/>
      <c r="AA285" s="64"/>
      <c r="AB285" s="901">
        <f>PRODUCT(Rater!V384:V426)</f>
        <v>0.51949976043139701</v>
      </c>
      <c r="AC285" s="64"/>
      <c r="AD285" s="64"/>
      <c r="AE285" s="64"/>
      <c r="AF285" s="119"/>
      <c r="AG285" s="119"/>
      <c r="AH285" s="174"/>
      <c r="AI285" s="668"/>
    </row>
    <row r="286" spans="1:47" s="181" customFormat="1" ht="38.25" x14ac:dyDescent="0.2">
      <c r="A286" s="175">
        <f ca="1">IF(SUM(A287:A294)&gt;0,1,0)</f>
        <v>1</v>
      </c>
      <c r="B286" s="176" t="s">
        <v>100</v>
      </c>
      <c r="C286" s="177" t="s">
        <v>125</v>
      </c>
      <c r="D286" s="178" t="s">
        <v>126</v>
      </c>
      <c r="E286" s="179" t="s">
        <v>102</v>
      </c>
      <c r="F286" s="178" t="s">
        <v>127</v>
      </c>
      <c r="G286" s="178" t="s">
        <v>5128</v>
      </c>
      <c r="H286" s="179" t="s">
        <v>128</v>
      </c>
      <c r="I286" s="179" t="s">
        <v>5413</v>
      </c>
      <c r="J286" s="179" t="s">
        <v>129</v>
      </c>
      <c r="K286" s="179" t="s">
        <v>146</v>
      </c>
      <c r="L286" s="179" t="s">
        <v>117</v>
      </c>
      <c r="M286" s="179" t="s">
        <v>130</v>
      </c>
      <c r="N286" s="179" t="s">
        <v>131</v>
      </c>
      <c r="O286" s="179" t="s">
        <v>132</v>
      </c>
      <c r="P286" s="179" t="s">
        <v>134</v>
      </c>
      <c r="Q286" s="179" t="s">
        <v>135</v>
      </c>
      <c r="R286" s="179" t="s">
        <v>113</v>
      </c>
      <c r="S286" s="179" t="s">
        <v>5436</v>
      </c>
      <c r="T286" s="179" t="s">
        <v>133</v>
      </c>
      <c r="U286" s="179" t="s">
        <v>147</v>
      </c>
      <c r="V286" s="179" t="s">
        <v>148</v>
      </c>
      <c r="W286" s="179" t="s">
        <v>149</v>
      </c>
      <c r="X286" s="179" t="s">
        <v>150</v>
      </c>
      <c r="Y286" s="179" t="s">
        <v>137</v>
      </c>
      <c r="Z286" s="179" t="s">
        <v>138</v>
      </c>
      <c r="AA286" s="179" t="s">
        <v>139</v>
      </c>
      <c r="AB286" s="179" t="s">
        <v>140</v>
      </c>
      <c r="AC286" s="179" t="s">
        <v>141</v>
      </c>
      <c r="AD286" s="179" t="s">
        <v>5521</v>
      </c>
      <c r="AE286" s="179" t="s">
        <v>142</v>
      </c>
      <c r="AF286" s="179" t="s">
        <v>143</v>
      </c>
      <c r="AG286" s="179" t="s">
        <v>144</v>
      </c>
      <c r="AH286" s="180" t="s">
        <v>145</v>
      </c>
      <c r="AI286" s="668"/>
    </row>
    <row r="287" spans="1:47" s="181" customFormat="1" ht="25.5" x14ac:dyDescent="0.2">
      <c r="A287" s="175">
        <f t="shared" ref="A287:A294" ca="1" si="17">IF(OR(AH287="",AH287=0),0,1)</f>
        <v>1</v>
      </c>
      <c r="B287" s="182" t="s">
        <v>5434</v>
      </c>
      <c r="C287" s="183" t="s">
        <v>303</v>
      </c>
      <c r="D287" s="183" t="s">
        <v>5010</v>
      </c>
      <c r="E287" s="184" t="s">
        <v>691</v>
      </c>
      <c r="F287" s="787" t="s">
        <v>6053</v>
      </c>
      <c r="G287" s="754" t="s">
        <v>7130</v>
      </c>
      <c r="H287" s="185" t="s">
        <v>7133</v>
      </c>
      <c r="I287" s="686">
        <v>10</v>
      </c>
      <c r="J287" s="781" t="s">
        <v>5017</v>
      </c>
      <c r="K287" s="186"/>
      <c r="L287" s="187"/>
      <c r="M287" s="779">
        <v>1</v>
      </c>
      <c r="N287" s="779">
        <v>1</v>
      </c>
      <c r="O287" s="779">
        <v>18</v>
      </c>
      <c r="P287" s="782"/>
      <c r="Q287" s="782"/>
      <c r="R287" s="782"/>
      <c r="S287" s="782"/>
      <c r="T287" s="782"/>
      <c r="U287" s="192"/>
      <c r="V287" s="187"/>
      <c r="W287" s="193"/>
      <c r="X287" s="194"/>
      <c r="Y287" s="194"/>
      <c r="Z287" s="195"/>
      <c r="AA287" s="782">
        <v>10000</v>
      </c>
      <c r="AB287" s="892" t="s">
        <v>7126</v>
      </c>
      <c r="AC287" s="782"/>
      <c r="AD287" s="782">
        <v>6</v>
      </c>
      <c r="AE287" s="782"/>
      <c r="AF287" s="850">
        <v>0.15</v>
      </c>
      <c r="AG287" s="197">
        <v>16632.011138540158</v>
      </c>
      <c r="AH287" s="198">
        <f ca="1">Rater!W604*PRODUCT(Rater!V606:V614)*IF(Rater!AC30=FALSE,1,Rater!$V$51)</f>
        <v>7047.46234683905</v>
      </c>
      <c r="AI287" s="668"/>
    </row>
    <row r="288" spans="1:47" s="181" customFormat="1" ht="12.75" hidden="1" x14ac:dyDescent="0.2">
      <c r="A288" s="175">
        <f t="shared" si="17"/>
        <v>0</v>
      </c>
      <c r="B288" s="199" t="s">
        <v>5434</v>
      </c>
      <c r="C288" s="158" t="s">
        <v>5203</v>
      </c>
      <c r="D288" s="183" t="s">
        <v>5010</v>
      </c>
      <c r="E288" s="200" t="s">
        <v>5146</v>
      </c>
      <c r="F288" s="787" t="s">
        <v>6053</v>
      </c>
      <c r="G288" s="746" t="s">
        <v>7130</v>
      </c>
      <c r="H288" s="185" t="s">
        <v>7133</v>
      </c>
      <c r="I288" s="686">
        <v>10</v>
      </c>
      <c r="J288" s="781" t="s">
        <v>5017</v>
      </c>
      <c r="K288" s="201"/>
      <c r="L288" s="195"/>
      <c r="M288" s="779">
        <v>8</v>
      </c>
      <c r="N288" s="779">
        <v>1</v>
      </c>
      <c r="O288" s="779"/>
      <c r="P288" s="782"/>
      <c r="Q288" s="782"/>
      <c r="R288" s="782"/>
      <c r="S288" s="782"/>
      <c r="T288" s="782"/>
      <c r="U288" s="195"/>
      <c r="V288" s="195"/>
      <c r="W288" s="195"/>
      <c r="X288" s="195"/>
      <c r="Y288" s="195"/>
      <c r="Z288" s="195"/>
      <c r="AA288" s="782">
        <v>10000</v>
      </c>
      <c r="AB288" s="892" t="s">
        <v>7126</v>
      </c>
      <c r="AC288" s="782"/>
      <c r="AD288" s="782">
        <v>6</v>
      </c>
      <c r="AE288" s="782"/>
      <c r="AF288" s="850">
        <v>0.15</v>
      </c>
      <c r="AG288" s="197">
        <v>0</v>
      </c>
      <c r="AH288" s="198">
        <f>Rater!J620*Rater!V622</f>
        <v>0</v>
      </c>
      <c r="AI288" s="668"/>
    </row>
    <row r="289" spans="1:35" s="181" customFormat="1" hidden="1" x14ac:dyDescent="0.25">
      <c r="A289" s="44">
        <f>IF(CoId=5,0,IF(AH289&lt;0.01,0,1))</f>
        <v>0</v>
      </c>
      <c r="B289" s="750" t="s">
        <v>5434</v>
      </c>
      <c r="C289" s="751" t="s">
        <v>5158</v>
      </c>
      <c r="D289" s="684" t="s">
        <v>5010</v>
      </c>
      <c r="E289" s="752" t="s">
        <v>5148</v>
      </c>
      <c r="F289" s="746" t="s">
        <v>5159</v>
      </c>
      <c r="G289" s="694"/>
      <c r="H289" s="686" t="s">
        <v>7133</v>
      </c>
      <c r="I289" s="694"/>
      <c r="J289" s="694"/>
      <c r="K289" s="753"/>
      <c r="L289" s="694"/>
      <c r="M289" s="694"/>
      <c r="N289" s="694"/>
      <c r="O289" s="694"/>
      <c r="P289" s="694"/>
      <c r="Q289" s="694"/>
      <c r="R289" s="694"/>
      <c r="S289" s="694"/>
      <c r="T289" s="694"/>
      <c r="U289" s="694"/>
      <c r="V289" s="694"/>
      <c r="W289" s="694"/>
      <c r="X289" s="694"/>
      <c r="Y289" s="694"/>
      <c r="Z289" s="694"/>
      <c r="AA289" s="694"/>
      <c r="AB289" s="784"/>
      <c r="AC289" s="694"/>
      <c r="AD289" s="694"/>
      <c r="AE289" s="694"/>
      <c r="AF289" s="847"/>
      <c r="AG289" s="919"/>
      <c r="AH289" s="920"/>
      <c r="AI289" s="668"/>
    </row>
    <row r="290" spans="1:35" s="181" customFormat="1" hidden="1" x14ac:dyDescent="0.25">
      <c r="A290" s="44">
        <f>IF(CoId=5,0,IF(AH290&lt;0.01,0,1))</f>
        <v>0</v>
      </c>
      <c r="B290" s="750" t="s">
        <v>5434</v>
      </c>
      <c r="C290" s="751" t="s">
        <v>5157</v>
      </c>
      <c r="D290" s="684" t="s">
        <v>5010</v>
      </c>
      <c r="E290" s="752" t="s">
        <v>5149</v>
      </c>
      <c r="F290" s="746" t="s">
        <v>5159</v>
      </c>
      <c r="G290" s="694"/>
      <c r="H290" s="686" t="s">
        <v>7133</v>
      </c>
      <c r="I290" s="694"/>
      <c r="J290" s="694"/>
      <c r="K290" s="753"/>
      <c r="L290" s="694"/>
      <c r="M290" s="694"/>
      <c r="N290" s="694"/>
      <c r="O290" s="694"/>
      <c r="P290" s="694"/>
      <c r="Q290" s="694"/>
      <c r="R290" s="694"/>
      <c r="S290" s="694"/>
      <c r="T290" s="694"/>
      <c r="U290" s="694"/>
      <c r="V290" s="694"/>
      <c r="W290" s="694"/>
      <c r="X290" s="694"/>
      <c r="Y290" s="694"/>
      <c r="Z290" s="694"/>
      <c r="AA290" s="694"/>
      <c r="AB290" s="784"/>
      <c r="AC290" s="694"/>
      <c r="AD290" s="694"/>
      <c r="AE290" s="694"/>
      <c r="AF290" s="847"/>
      <c r="AG290" s="919"/>
      <c r="AH290" s="920"/>
      <c r="AI290" s="668"/>
    </row>
    <row r="291" spans="1:35" s="181" customFormat="1" ht="12.75" hidden="1" x14ac:dyDescent="0.2">
      <c r="A291" s="175">
        <f>IF(CoId=5,0,IF(OR(AH291="",AH291=0),0,1))</f>
        <v>0</v>
      </c>
      <c r="B291" s="199" t="s">
        <v>5434</v>
      </c>
      <c r="C291" s="158" t="s">
        <v>5156</v>
      </c>
      <c r="D291" s="183" t="s">
        <v>5010</v>
      </c>
      <c r="E291" s="200" t="s">
        <v>5150</v>
      </c>
      <c r="F291" s="746" t="s">
        <v>5159</v>
      </c>
      <c r="G291" s="694"/>
      <c r="H291" s="185" t="s">
        <v>7133</v>
      </c>
      <c r="I291" s="694"/>
      <c r="J291" s="195"/>
      <c r="K291" s="201"/>
      <c r="L291" s="195"/>
      <c r="M291" s="195"/>
      <c r="N291" s="195"/>
      <c r="O291" s="195"/>
      <c r="P291" s="694"/>
      <c r="Q291" s="694"/>
      <c r="R291" s="694"/>
      <c r="S291" s="694"/>
      <c r="T291" s="694"/>
      <c r="U291" s="195"/>
      <c r="V291" s="195"/>
      <c r="W291" s="195"/>
      <c r="X291" s="195"/>
      <c r="Y291" s="195"/>
      <c r="Z291" s="195"/>
      <c r="AA291" s="694"/>
      <c r="AB291" s="784"/>
      <c r="AC291" s="694"/>
      <c r="AD291" s="694"/>
      <c r="AE291" s="694"/>
      <c r="AF291" s="847"/>
      <c r="AG291" s="914"/>
      <c r="AH291" s="918"/>
      <c r="AI291" s="668"/>
    </row>
    <row r="292" spans="1:35" s="181" customFormat="1" ht="12.75" hidden="1" x14ac:dyDescent="0.2">
      <c r="A292" s="175">
        <f>IF(CoId=5,0,IF(OR(AH292="",AH292=0),0,1))</f>
        <v>0</v>
      </c>
      <c r="B292" s="199" t="s">
        <v>5434</v>
      </c>
      <c r="C292" s="158" t="s">
        <v>5155</v>
      </c>
      <c r="D292" s="183" t="s">
        <v>5010</v>
      </c>
      <c r="E292" s="200" t="s">
        <v>5151</v>
      </c>
      <c r="F292" s="746" t="s">
        <v>5159</v>
      </c>
      <c r="G292" s="694"/>
      <c r="H292" s="185" t="s">
        <v>7133</v>
      </c>
      <c r="I292" s="694"/>
      <c r="J292" s="195"/>
      <c r="K292" s="201"/>
      <c r="L292" s="195"/>
      <c r="M292" s="195"/>
      <c r="N292" s="195"/>
      <c r="O292" s="195"/>
      <c r="P292" s="694"/>
      <c r="Q292" s="694"/>
      <c r="R292" s="694"/>
      <c r="S292" s="694"/>
      <c r="T292" s="694"/>
      <c r="U292" s="195"/>
      <c r="V292" s="195"/>
      <c r="W292" s="195"/>
      <c r="X292" s="195"/>
      <c r="Y292" s="195"/>
      <c r="Z292" s="195"/>
      <c r="AA292" s="694"/>
      <c r="AB292" s="784"/>
      <c r="AC292" s="694"/>
      <c r="AD292" s="694"/>
      <c r="AE292" s="694"/>
      <c r="AF292" s="847"/>
      <c r="AG292" s="914"/>
      <c r="AH292" s="918"/>
      <c r="AI292" s="668"/>
    </row>
    <row r="293" spans="1:35" s="181" customFormat="1" ht="12.75" hidden="1" x14ac:dyDescent="0.2">
      <c r="A293" s="175">
        <f>IF(CoId=5,0,IF(OR(AH293="",AH293=0),0,1))</f>
        <v>0</v>
      </c>
      <c r="B293" s="199" t="s">
        <v>5434</v>
      </c>
      <c r="C293" s="158" t="s">
        <v>5154</v>
      </c>
      <c r="D293" s="183" t="s">
        <v>5010</v>
      </c>
      <c r="E293" s="200" t="s">
        <v>5152</v>
      </c>
      <c r="F293" s="746" t="s">
        <v>5159</v>
      </c>
      <c r="G293" s="694"/>
      <c r="H293" s="185" t="s">
        <v>7133</v>
      </c>
      <c r="I293" s="694"/>
      <c r="J293" s="195"/>
      <c r="K293" s="201"/>
      <c r="L293" s="195"/>
      <c r="M293" s="195"/>
      <c r="N293" s="195"/>
      <c r="O293" s="195"/>
      <c r="P293" s="694"/>
      <c r="Q293" s="694"/>
      <c r="R293" s="694"/>
      <c r="S293" s="694"/>
      <c r="T293" s="694"/>
      <c r="U293" s="195"/>
      <c r="V293" s="195"/>
      <c r="W293" s="195"/>
      <c r="X293" s="195"/>
      <c r="Y293" s="195"/>
      <c r="Z293" s="195"/>
      <c r="AA293" s="694"/>
      <c r="AB293" s="784"/>
      <c r="AC293" s="694"/>
      <c r="AD293" s="694"/>
      <c r="AE293" s="694"/>
      <c r="AF293" s="847"/>
      <c r="AG293" s="914"/>
      <c r="AH293" s="918"/>
      <c r="AI293" s="668"/>
    </row>
    <row r="294" spans="1:35" s="181" customFormat="1" ht="13.5" hidden="1" thickBot="1" x14ac:dyDescent="0.25">
      <c r="A294" s="175">
        <f t="shared" si="17"/>
        <v>0</v>
      </c>
      <c r="B294" s="202" t="s">
        <v>5434</v>
      </c>
      <c r="C294" s="167" t="s">
        <v>5811</v>
      </c>
      <c r="D294" s="203" t="s">
        <v>5010</v>
      </c>
      <c r="E294" s="204" t="s">
        <v>5153</v>
      </c>
      <c r="F294" s="787" t="s">
        <v>6053</v>
      </c>
      <c r="G294" s="756" t="s">
        <v>7130</v>
      </c>
      <c r="H294" s="205" t="s">
        <v>7133</v>
      </c>
      <c r="I294" s="710">
        <v>10</v>
      </c>
      <c r="J294" s="207" t="s">
        <v>5079</v>
      </c>
      <c r="K294" s="207"/>
      <c r="L294" s="206"/>
      <c r="M294" s="780">
        <v>1</v>
      </c>
      <c r="N294" s="780">
        <v>1</v>
      </c>
      <c r="O294" s="780">
        <v>18</v>
      </c>
      <c r="P294" s="738"/>
      <c r="Q294" s="738"/>
      <c r="R294" s="738"/>
      <c r="S294" s="738"/>
      <c r="T294" s="738"/>
      <c r="U294" s="206"/>
      <c r="V294" s="206"/>
      <c r="W294" s="206"/>
      <c r="X294" s="206"/>
      <c r="Y294" s="206"/>
      <c r="Z294" s="206"/>
      <c r="AA294" s="738">
        <v>10000</v>
      </c>
      <c r="AB294" s="749" t="s">
        <v>7126</v>
      </c>
      <c r="AC294" s="738"/>
      <c r="AD294" s="738">
        <v>6</v>
      </c>
      <c r="AE294" s="738"/>
      <c r="AF294" s="851">
        <v>0.15</v>
      </c>
      <c r="AG294" s="852"/>
      <c r="AH294" s="853"/>
      <c r="AI294" s="668"/>
    </row>
    <row r="295" spans="1:35" s="181" customFormat="1" ht="12.75" hidden="1" x14ac:dyDescent="0.2">
      <c r="A295" s="175"/>
      <c r="B295" s="646"/>
      <c r="C295" s="640"/>
      <c r="D295" s="647"/>
      <c r="E295" s="646"/>
      <c r="F295" s="646"/>
      <c r="G295" s="648"/>
      <c r="H295" s="650"/>
      <c r="I295" s="651"/>
      <c r="J295" s="650"/>
      <c r="K295" s="650"/>
      <c r="L295" s="650"/>
      <c r="M295" s="650"/>
      <c r="N295" s="650"/>
      <c r="O295" s="650"/>
      <c r="P295" s="650"/>
      <c r="Q295" s="650"/>
      <c r="R295" s="650"/>
      <c r="S295" s="650"/>
      <c r="T295" s="650"/>
      <c r="U295" s="650"/>
      <c r="V295" s="650"/>
      <c r="W295" s="650"/>
      <c r="X295" s="650"/>
      <c r="Y295" s="650"/>
      <c r="AB295" s="668"/>
    </row>
    <row r="296" spans="1:35" s="181" customFormat="1" ht="12.75" hidden="1" x14ac:dyDescent="0.2">
      <c r="A296" s="175"/>
      <c r="B296" s="646"/>
      <c r="C296" s="640"/>
      <c r="D296" s="647"/>
      <c r="E296" s="646"/>
      <c r="F296" s="646"/>
      <c r="G296" s="648"/>
      <c r="H296" s="650"/>
      <c r="I296" s="651"/>
      <c r="J296" s="650"/>
      <c r="K296" s="650"/>
      <c r="L296" s="650"/>
      <c r="M296" s="650"/>
      <c r="N296" s="650"/>
      <c r="O296" s="650"/>
      <c r="P296" s="650"/>
      <c r="Q296" s="650"/>
      <c r="R296" s="650"/>
      <c r="S296" s="650"/>
      <c r="T296" s="650"/>
      <c r="U296" s="650"/>
      <c r="V296" s="650"/>
      <c r="W296" s="650"/>
      <c r="X296" s="650"/>
      <c r="Y296" s="650"/>
      <c r="AB296" s="668"/>
    </row>
    <row r="297" spans="1:35" s="181" customFormat="1" ht="12.75" hidden="1" x14ac:dyDescent="0.2">
      <c r="A297" s="175"/>
      <c r="B297" s="646"/>
      <c r="C297" s="640"/>
      <c r="D297" s="647"/>
      <c r="E297" s="646"/>
      <c r="F297" s="646"/>
      <c r="G297" s="648"/>
      <c r="H297" s="650"/>
      <c r="I297" s="651"/>
      <c r="J297" s="650"/>
      <c r="K297" s="650"/>
      <c r="L297" s="650"/>
      <c r="M297" s="650"/>
      <c r="N297" s="650"/>
      <c r="O297" s="650"/>
      <c r="P297" s="650"/>
      <c r="Q297" s="650"/>
      <c r="R297" s="650"/>
      <c r="S297" s="650"/>
      <c r="T297" s="650"/>
      <c r="U297" s="650"/>
      <c r="V297" s="650"/>
      <c r="W297" s="650"/>
      <c r="X297" s="650"/>
      <c r="Y297" s="650"/>
      <c r="AB297" s="668"/>
    </row>
    <row r="298" spans="1:35" s="181" customFormat="1" ht="12.75" x14ac:dyDescent="0.2">
      <c r="A298" s="175">
        <v>1</v>
      </c>
      <c r="B298" s="141"/>
      <c r="C298" s="141"/>
      <c r="D298" s="208"/>
      <c r="E298" s="209"/>
      <c r="F298" s="209"/>
      <c r="G298" s="141"/>
      <c r="H298" s="141"/>
      <c r="I298" s="141"/>
      <c r="J298" s="141"/>
      <c r="K298" s="141"/>
      <c r="L298" s="141"/>
      <c r="M298" s="141"/>
      <c r="N298" s="141"/>
      <c r="O298" s="141"/>
      <c r="P298" s="141"/>
      <c r="Q298" s="141"/>
      <c r="R298" s="141"/>
      <c r="S298" s="141"/>
      <c r="T298" s="141"/>
      <c r="U298" s="141"/>
      <c r="V298" s="141"/>
      <c r="W298" s="141"/>
      <c r="X298" s="141"/>
      <c r="Y298" s="141"/>
      <c r="AB298" s="668"/>
    </row>
    <row r="299" spans="1:35" s="181" customFormat="1" ht="15.75" hidden="1" x14ac:dyDescent="0.25">
      <c r="A299" s="175">
        <v>0</v>
      </c>
      <c r="B299" s="210" t="s">
        <v>151</v>
      </c>
      <c r="C299" s="211"/>
      <c r="D299" s="212"/>
      <c r="E299" s="212"/>
      <c r="F299" s="213"/>
      <c r="G299" s="66"/>
      <c r="H299" s="66"/>
      <c r="I299" s="66"/>
      <c r="J299" s="73"/>
      <c r="K299" s="214"/>
      <c r="L299" s="57"/>
      <c r="M299" s="57"/>
      <c r="N299" s="57"/>
      <c r="O299" s="57"/>
      <c r="P299" s="57"/>
      <c r="Q299" s="56"/>
      <c r="R299" s="57"/>
      <c r="S299" s="56"/>
      <c r="T299" s="56"/>
      <c r="U299" s="56"/>
      <c r="V299" s="56"/>
      <c r="W299" s="58"/>
      <c r="X299" s="58"/>
      <c r="Y299" s="58"/>
      <c r="AB299" s="668"/>
    </row>
    <row r="300" spans="1:35" s="181" customFormat="1" ht="15.75" hidden="1" x14ac:dyDescent="0.25">
      <c r="A300" s="175">
        <v>0</v>
      </c>
      <c r="B300" s="215"/>
      <c r="C300" s="801" t="s">
        <v>152</v>
      </c>
      <c r="D300" s="802"/>
      <c r="E300" s="107"/>
      <c r="F300" s="216"/>
      <c r="G300" s="66"/>
      <c r="H300" s="66"/>
      <c r="I300" s="66"/>
      <c r="J300" s="73"/>
      <c r="K300" s="214"/>
      <c r="L300" s="57"/>
      <c r="M300" s="57"/>
      <c r="N300" s="57"/>
      <c r="O300" s="57"/>
      <c r="P300" s="57"/>
      <c r="Q300" s="56"/>
      <c r="R300" s="57"/>
      <c r="S300" s="56"/>
      <c r="T300" s="56"/>
      <c r="U300" s="56"/>
      <c r="V300" s="56"/>
      <c r="W300" s="58"/>
      <c r="X300" s="58"/>
      <c r="Y300" s="58"/>
      <c r="Z300" s="667"/>
      <c r="AA300" s="667"/>
      <c r="AB300" s="668"/>
    </row>
    <row r="301" spans="1:35" s="181" customFormat="1" ht="15.75" hidden="1" x14ac:dyDescent="0.25">
      <c r="A301" s="175">
        <v>0</v>
      </c>
      <c r="B301" s="215"/>
      <c r="C301" s="801" t="s">
        <v>153</v>
      </c>
      <c r="D301" s="803"/>
      <c r="E301" s="107"/>
      <c r="F301" s="216"/>
      <c r="G301" s="66"/>
      <c r="H301" s="66"/>
      <c r="I301" s="66"/>
      <c r="J301" s="73"/>
      <c r="K301" s="214"/>
      <c r="L301" s="57"/>
      <c r="M301" s="57"/>
      <c r="N301" s="57"/>
      <c r="O301" s="57"/>
      <c r="P301" s="57"/>
      <c r="Q301" s="56"/>
      <c r="R301" s="57"/>
      <c r="S301" s="56"/>
      <c r="T301" s="56"/>
      <c r="U301" s="56"/>
      <c r="V301" s="56"/>
      <c r="W301" s="58"/>
      <c r="X301" s="58"/>
      <c r="Y301" s="58"/>
      <c r="Z301" s="667"/>
      <c r="AA301" s="667"/>
      <c r="AB301" s="668"/>
    </row>
    <row r="302" spans="1:35" s="181" customFormat="1" ht="15.75" hidden="1" x14ac:dyDescent="0.25">
      <c r="A302" s="175">
        <v>0</v>
      </c>
      <c r="B302" s="217"/>
      <c r="C302" s="218"/>
      <c r="D302" s="218"/>
      <c r="E302" s="218"/>
      <c r="F302" s="216"/>
      <c r="G302" s="66"/>
      <c r="H302" s="66"/>
      <c r="I302" s="66"/>
      <c r="J302" s="219"/>
      <c r="K302" s="220"/>
      <c r="L302" s="220"/>
      <c r="M302" s="56"/>
      <c r="N302" s="56"/>
      <c r="O302" s="220"/>
      <c r="P302" s="220"/>
      <c r="Q302" s="56"/>
      <c r="R302" s="57"/>
      <c r="S302" s="56"/>
      <c r="T302" s="56"/>
      <c r="U302" s="56"/>
      <c r="V302" s="56"/>
      <c r="W302" s="58"/>
      <c r="X302" s="58"/>
      <c r="Y302" s="58"/>
      <c r="Z302" s="649"/>
      <c r="AA302" s="649"/>
    </row>
    <row r="303" spans="1:35" hidden="1" x14ac:dyDescent="0.25">
      <c r="A303" s="175">
        <v>0</v>
      </c>
      <c r="B303" s="804"/>
      <c r="C303" s="222"/>
      <c r="D303" s="223"/>
      <c r="E303" s="224"/>
      <c r="F303" s="805"/>
      <c r="G303" s="1135"/>
      <c r="H303" s="1135"/>
      <c r="I303" s="1135"/>
      <c r="J303" s="221"/>
      <c r="K303" s="221"/>
      <c r="L303" s="221"/>
      <c r="M303" s="76"/>
      <c r="N303" s="76"/>
      <c r="AA303" s="48"/>
    </row>
    <row r="304" spans="1:35" hidden="1" x14ac:dyDescent="0.25">
      <c r="A304" s="175">
        <v>0</v>
      </c>
      <c r="B304" s="806" t="s">
        <v>154</v>
      </c>
      <c r="C304" s="733" t="s">
        <v>155</v>
      </c>
      <c r="D304" s="733" t="s">
        <v>102</v>
      </c>
      <c r="E304" s="733" t="s">
        <v>156</v>
      </c>
      <c r="F304" s="807" t="s">
        <v>157</v>
      </c>
    </row>
    <row r="305" spans="1:6" hidden="1" x14ac:dyDescent="0.25">
      <c r="A305" s="175">
        <v>0</v>
      </c>
      <c r="B305" s="806" t="s">
        <v>5558</v>
      </c>
      <c r="C305" s="733" t="s">
        <v>5559</v>
      </c>
      <c r="D305" s="733" t="s">
        <v>345</v>
      </c>
      <c r="E305" s="694"/>
      <c r="F305" s="807">
        <v>4388</v>
      </c>
    </row>
    <row r="306" spans="1:6" hidden="1" x14ac:dyDescent="0.25">
      <c r="A306" s="175">
        <v>0</v>
      </c>
      <c r="B306" s="806" t="s">
        <v>5558</v>
      </c>
      <c r="C306" s="733" t="s">
        <v>5560</v>
      </c>
      <c r="D306" s="733" t="s">
        <v>160</v>
      </c>
      <c r="E306" s="733">
        <v>1</v>
      </c>
      <c r="F306" s="808"/>
    </row>
    <row r="307" spans="1:6" hidden="1" x14ac:dyDescent="0.25">
      <c r="A307" s="175">
        <v>0</v>
      </c>
      <c r="B307" s="806" t="s">
        <v>5558</v>
      </c>
      <c r="C307" s="733" t="s">
        <v>5561</v>
      </c>
      <c r="D307" s="733" t="s">
        <v>5562</v>
      </c>
      <c r="E307" s="733">
        <v>1.1299999999999999</v>
      </c>
      <c r="F307" s="808"/>
    </row>
    <row r="308" spans="1:6" hidden="1" x14ac:dyDescent="0.25">
      <c r="A308" s="175">
        <v>0</v>
      </c>
      <c r="B308" s="806" t="s">
        <v>5558</v>
      </c>
      <c r="C308" s="733" t="s">
        <v>5563</v>
      </c>
      <c r="D308" s="733" t="s">
        <v>5564</v>
      </c>
      <c r="E308" s="733">
        <v>1.01</v>
      </c>
      <c r="F308" s="808"/>
    </row>
    <row r="309" spans="1:6" hidden="1" x14ac:dyDescent="0.25">
      <c r="A309" s="175">
        <v>0</v>
      </c>
      <c r="B309" s="806" t="s">
        <v>5558</v>
      </c>
      <c r="C309" s="733" t="s">
        <v>5565</v>
      </c>
      <c r="D309" s="733" t="s">
        <v>5566</v>
      </c>
      <c r="E309" s="733">
        <v>0.95</v>
      </c>
      <c r="F309" s="808"/>
    </row>
    <row r="310" spans="1:6" hidden="1" x14ac:dyDescent="0.25">
      <c r="A310" s="175">
        <v>0</v>
      </c>
      <c r="B310" s="806" t="s">
        <v>5558</v>
      </c>
      <c r="C310" s="733" t="s">
        <v>5567</v>
      </c>
      <c r="D310" s="733" t="s">
        <v>5568</v>
      </c>
      <c r="E310" s="733">
        <v>1.1299999999999999</v>
      </c>
      <c r="F310" s="808"/>
    </row>
    <row r="311" spans="1:6" hidden="1" x14ac:dyDescent="0.25">
      <c r="A311" s="175">
        <v>0</v>
      </c>
      <c r="B311" s="806" t="s">
        <v>5558</v>
      </c>
      <c r="C311" s="733" t="s">
        <v>5569</v>
      </c>
      <c r="D311" s="733" t="s">
        <v>5570</v>
      </c>
      <c r="E311" s="733">
        <v>0.95</v>
      </c>
      <c r="F311" s="808"/>
    </row>
    <row r="312" spans="1:6" hidden="1" x14ac:dyDescent="0.25">
      <c r="A312" s="175">
        <v>0</v>
      </c>
      <c r="B312" s="806" t="s">
        <v>5558</v>
      </c>
      <c r="C312" s="733" t="s">
        <v>5571</v>
      </c>
      <c r="D312" s="733" t="s">
        <v>5572</v>
      </c>
      <c r="E312" s="733">
        <v>1.01</v>
      </c>
      <c r="F312" s="808"/>
    </row>
    <row r="313" spans="1:6" hidden="1" x14ac:dyDescent="0.25">
      <c r="A313" s="175">
        <v>0</v>
      </c>
      <c r="B313" s="806" t="s">
        <v>5558</v>
      </c>
      <c r="C313" s="733" t="s">
        <v>5573</v>
      </c>
      <c r="D313" s="733" t="s">
        <v>5574</v>
      </c>
      <c r="E313" s="733">
        <v>1.01</v>
      </c>
      <c r="F313" s="808"/>
    </row>
    <row r="314" spans="1:6" hidden="1" x14ac:dyDescent="0.25">
      <c r="A314" s="175">
        <v>0</v>
      </c>
      <c r="B314" s="806" t="s">
        <v>5558</v>
      </c>
      <c r="C314" s="733" t="s">
        <v>5575</v>
      </c>
      <c r="D314" s="733" t="s">
        <v>5576</v>
      </c>
      <c r="E314" s="733">
        <v>1.01</v>
      </c>
      <c r="F314" s="808"/>
    </row>
    <row r="315" spans="1:6" hidden="1" x14ac:dyDescent="0.25">
      <c r="A315" s="175">
        <v>0</v>
      </c>
      <c r="B315" s="806" t="s">
        <v>5558</v>
      </c>
      <c r="C315" s="733" t="s">
        <v>5577</v>
      </c>
      <c r="D315" s="733" t="s">
        <v>5578</v>
      </c>
      <c r="E315" s="733">
        <v>1.01</v>
      </c>
      <c r="F315" s="808"/>
    </row>
    <row r="316" spans="1:6" hidden="1" x14ac:dyDescent="0.25">
      <c r="A316" s="175">
        <v>0</v>
      </c>
      <c r="B316" s="806" t="s">
        <v>5558</v>
      </c>
      <c r="C316" s="733" t="s">
        <v>5579</v>
      </c>
      <c r="D316" s="733" t="s">
        <v>5580</v>
      </c>
      <c r="E316" s="733">
        <v>1.01</v>
      </c>
      <c r="F316" s="808"/>
    </row>
    <row r="317" spans="1:6" hidden="1" x14ac:dyDescent="0.25">
      <c r="A317" s="175">
        <v>0</v>
      </c>
      <c r="B317" s="806" t="s">
        <v>5558</v>
      </c>
      <c r="C317" s="733" t="s">
        <v>5581</v>
      </c>
      <c r="D317" s="733" t="s">
        <v>5582</v>
      </c>
      <c r="E317" s="733">
        <v>1.03</v>
      </c>
      <c r="F317" s="808"/>
    </row>
    <row r="318" spans="1:6" hidden="1" x14ac:dyDescent="0.25">
      <c r="A318" s="175">
        <v>0</v>
      </c>
      <c r="B318" s="806" t="s">
        <v>5558</v>
      </c>
      <c r="C318" s="733" t="s">
        <v>5583</v>
      </c>
      <c r="D318" s="733" t="s">
        <v>5584</v>
      </c>
      <c r="E318" s="733">
        <v>1.1299999999999999</v>
      </c>
      <c r="F318" s="808"/>
    </row>
    <row r="319" spans="1:6" hidden="1" x14ac:dyDescent="0.25">
      <c r="A319" s="175">
        <v>0</v>
      </c>
      <c r="B319" s="806" t="s">
        <v>5558</v>
      </c>
      <c r="C319" s="733" t="s">
        <v>5585</v>
      </c>
      <c r="D319" s="733" t="s">
        <v>5586</v>
      </c>
      <c r="E319" s="733">
        <v>1.1299999999999999</v>
      </c>
      <c r="F319" s="808"/>
    </row>
    <row r="320" spans="1:6" hidden="1" x14ac:dyDescent="0.25">
      <c r="A320" s="175">
        <v>0</v>
      </c>
      <c r="B320" s="806" t="s">
        <v>5587</v>
      </c>
      <c r="C320" s="733" t="s">
        <v>5588</v>
      </c>
      <c r="D320" s="733" t="s">
        <v>159</v>
      </c>
      <c r="E320" s="694"/>
      <c r="F320" s="807">
        <v>2427</v>
      </c>
    </row>
    <row r="321" spans="1:6" hidden="1" x14ac:dyDescent="0.25">
      <c r="A321" s="175">
        <v>0</v>
      </c>
      <c r="B321" s="806" t="s">
        <v>5587</v>
      </c>
      <c r="C321" s="733" t="s">
        <v>5560</v>
      </c>
      <c r="D321" s="733" t="s">
        <v>160</v>
      </c>
      <c r="E321" s="733">
        <v>1</v>
      </c>
      <c r="F321" s="808"/>
    </row>
    <row r="322" spans="1:6" hidden="1" x14ac:dyDescent="0.25">
      <c r="A322" s="175">
        <v>0</v>
      </c>
      <c r="B322" s="806" t="s">
        <v>5587</v>
      </c>
      <c r="C322" s="733" t="s">
        <v>5589</v>
      </c>
      <c r="D322" s="733" t="s">
        <v>5590</v>
      </c>
      <c r="E322" s="733">
        <v>1.1000000000000001</v>
      </c>
      <c r="F322" s="808"/>
    </row>
    <row r="323" spans="1:6" hidden="1" x14ac:dyDescent="0.25">
      <c r="A323" s="175">
        <v>0</v>
      </c>
      <c r="B323" s="806" t="s">
        <v>5587</v>
      </c>
      <c r="C323" s="733" t="s">
        <v>5591</v>
      </c>
      <c r="D323" s="733" t="s">
        <v>5592</v>
      </c>
      <c r="E323" s="733">
        <v>1.1299999999999999</v>
      </c>
      <c r="F323" s="808"/>
    </row>
    <row r="324" spans="1:6" hidden="1" x14ac:dyDescent="0.25">
      <c r="A324" s="175">
        <v>0</v>
      </c>
      <c r="B324" s="806" t="s">
        <v>5587</v>
      </c>
      <c r="C324" s="733" t="s">
        <v>5593</v>
      </c>
      <c r="D324" s="733" t="s">
        <v>5594</v>
      </c>
      <c r="E324" s="733">
        <v>1.1299999999999999</v>
      </c>
      <c r="F324" s="808"/>
    </row>
    <row r="325" spans="1:6" hidden="1" x14ac:dyDescent="0.25">
      <c r="A325" s="175">
        <v>0</v>
      </c>
      <c r="B325" s="806" t="s">
        <v>5587</v>
      </c>
      <c r="C325" s="733" t="s">
        <v>5595</v>
      </c>
      <c r="D325" s="733" t="s">
        <v>5596</v>
      </c>
      <c r="E325" s="733">
        <v>1.1299999999999999</v>
      </c>
      <c r="F325" s="808"/>
    </row>
    <row r="326" spans="1:6" hidden="1" x14ac:dyDescent="0.25">
      <c r="A326" s="175">
        <v>0</v>
      </c>
      <c r="B326" s="806" t="s">
        <v>5587</v>
      </c>
      <c r="C326" s="733" t="s">
        <v>5597</v>
      </c>
      <c r="D326" s="733" t="s">
        <v>5598</v>
      </c>
      <c r="E326" s="733">
        <v>1.1299999999999999</v>
      </c>
      <c r="F326" s="808"/>
    </row>
    <row r="327" spans="1:6" hidden="1" x14ac:dyDescent="0.25">
      <c r="A327" s="175">
        <v>0</v>
      </c>
      <c r="B327" s="806" t="s">
        <v>5587</v>
      </c>
      <c r="C327" s="733" t="s">
        <v>5599</v>
      </c>
      <c r="D327" s="733" t="s">
        <v>5600</v>
      </c>
      <c r="E327" s="733">
        <v>1.1299999999999999</v>
      </c>
      <c r="F327" s="808"/>
    </row>
    <row r="328" spans="1:6" hidden="1" x14ac:dyDescent="0.25">
      <c r="A328" s="175">
        <v>0</v>
      </c>
      <c r="B328" s="806" t="s">
        <v>5587</v>
      </c>
      <c r="C328" s="733" t="s">
        <v>5585</v>
      </c>
      <c r="D328" s="733" t="s">
        <v>5586</v>
      </c>
      <c r="E328" s="733">
        <v>1</v>
      </c>
      <c r="F328" s="808"/>
    </row>
    <row r="329" spans="1:6" hidden="1" x14ac:dyDescent="0.25">
      <c r="A329" s="175">
        <v>0</v>
      </c>
      <c r="B329" s="806" t="s">
        <v>5001</v>
      </c>
      <c r="C329" s="733" t="s">
        <v>5559</v>
      </c>
      <c r="D329" s="733" t="s">
        <v>345</v>
      </c>
      <c r="E329" s="694"/>
      <c r="F329" s="807">
        <v>1086</v>
      </c>
    </row>
    <row r="330" spans="1:6" hidden="1" x14ac:dyDescent="0.25">
      <c r="A330" s="175">
        <v>0</v>
      </c>
      <c r="B330" s="806" t="s">
        <v>5001</v>
      </c>
      <c r="C330" s="733" t="s">
        <v>5601</v>
      </c>
      <c r="D330" s="733" t="s">
        <v>378</v>
      </c>
      <c r="E330" s="733"/>
      <c r="F330" s="808"/>
    </row>
    <row r="331" spans="1:6" hidden="1" x14ac:dyDescent="0.25">
      <c r="A331" s="175">
        <v>0</v>
      </c>
      <c r="B331" s="806" t="s">
        <v>5001</v>
      </c>
      <c r="C331" s="733" t="s">
        <v>5560</v>
      </c>
      <c r="D331" s="733" t="s">
        <v>160</v>
      </c>
      <c r="E331" s="733">
        <v>1</v>
      </c>
      <c r="F331" s="808"/>
    </row>
    <row r="332" spans="1:6" hidden="1" x14ac:dyDescent="0.25">
      <c r="A332" s="175">
        <v>0</v>
      </c>
      <c r="B332" s="806" t="s">
        <v>5001</v>
      </c>
      <c r="C332" s="733" t="s">
        <v>5602</v>
      </c>
      <c r="D332" s="733" t="s">
        <v>5603</v>
      </c>
      <c r="E332" s="733">
        <v>0.88</v>
      </c>
      <c r="F332" s="808"/>
    </row>
    <row r="333" spans="1:6" hidden="1" x14ac:dyDescent="0.25">
      <c r="A333" s="175">
        <v>0</v>
      </c>
      <c r="B333" s="806" t="s">
        <v>5001</v>
      </c>
      <c r="C333" s="733" t="s">
        <v>5604</v>
      </c>
      <c r="D333" s="733" t="s">
        <v>5605</v>
      </c>
      <c r="E333" s="733">
        <v>0.9</v>
      </c>
      <c r="F333" s="808"/>
    </row>
    <row r="334" spans="1:6" hidden="1" x14ac:dyDescent="0.25">
      <c r="A334" s="175">
        <v>0</v>
      </c>
      <c r="B334" s="806" t="s">
        <v>5001</v>
      </c>
      <c r="C334" s="733" t="s">
        <v>5606</v>
      </c>
      <c r="D334" s="733" t="s">
        <v>5607</v>
      </c>
      <c r="E334" s="733">
        <v>0.9</v>
      </c>
      <c r="F334" s="808"/>
    </row>
    <row r="335" spans="1:6" hidden="1" x14ac:dyDescent="0.25">
      <c r="A335" s="175">
        <v>0</v>
      </c>
      <c r="B335" s="806" t="s">
        <v>5001</v>
      </c>
      <c r="C335" s="733" t="s">
        <v>5608</v>
      </c>
      <c r="D335" s="733" t="s">
        <v>5609</v>
      </c>
      <c r="E335" s="733">
        <v>0.88</v>
      </c>
      <c r="F335" s="808"/>
    </row>
    <row r="336" spans="1:6" hidden="1" x14ac:dyDescent="0.25">
      <c r="A336" s="175">
        <v>0</v>
      </c>
      <c r="B336" s="806" t="s">
        <v>5001</v>
      </c>
      <c r="C336" s="733" t="s">
        <v>5610</v>
      </c>
      <c r="D336" s="733" t="s">
        <v>5611</v>
      </c>
      <c r="E336" s="733">
        <v>0.9</v>
      </c>
      <c r="F336" s="808"/>
    </row>
    <row r="337" spans="1:6" hidden="1" x14ac:dyDescent="0.25">
      <c r="A337" s="175">
        <v>0</v>
      </c>
      <c r="B337" s="806" t="s">
        <v>5001</v>
      </c>
      <c r="C337" s="733" t="s">
        <v>5612</v>
      </c>
      <c r="D337" s="733" t="s">
        <v>5613</v>
      </c>
      <c r="E337" s="733">
        <v>1.01</v>
      </c>
      <c r="F337" s="808"/>
    </row>
    <row r="338" spans="1:6" hidden="1" x14ac:dyDescent="0.25">
      <c r="A338" s="175">
        <v>0</v>
      </c>
      <c r="B338" s="806" t="s">
        <v>5001</v>
      </c>
      <c r="C338" s="733" t="s">
        <v>5614</v>
      </c>
      <c r="D338" s="733" t="s">
        <v>5615</v>
      </c>
      <c r="E338" s="733">
        <v>0.9</v>
      </c>
      <c r="F338" s="808"/>
    </row>
    <row r="339" spans="1:6" hidden="1" x14ac:dyDescent="0.25">
      <c r="A339" s="175">
        <v>0</v>
      </c>
      <c r="B339" s="806" t="s">
        <v>5001</v>
      </c>
      <c r="C339" s="733" t="s">
        <v>5616</v>
      </c>
      <c r="D339" s="733" t="s">
        <v>5617</v>
      </c>
      <c r="E339" s="733">
        <v>0.8</v>
      </c>
      <c r="F339" s="808"/>
    </row>
    <row r="340" spans="1:6" hidden="1" x14ac:dyDescent="0.25">
      <c r="A340" s="175">
        <v>0</v>
      </c>
      <c r="B340" s="806" t="s">
        <v>5001</v>
      </c>
      <c r="C340" s="733" t="s">
        <v>5618</v>
      </c>
      <c r="D340" s="733" t="s">
        <v>5619</v>
      </c>
      <c r="E340" s="733">
        <v>0.9</v>
      </c>
      <c r="F340" s="808"/>
    </row>
    <row r="341" spans="1:6" hidden="1" x14ac:dyDescent="0.25">
      <c r="A341" s="175">
        <v>0</v>
      </c>
      <c r="B341" s="806" t="s">
        <v>5001</v>
      </c>
      <c r="C341" s="733" t="s">
        <v>5620</v>
      </c>
      <c r="D341" s="733" t="s">
        <v>5621</v>
      </c>
      <c r="E341" s="733">
        <v>0.88</v>
      </c>
      <c r="F341" s="808"/>
    </row>
    <row r="342" spans="1:6" hidden="1" x14ac:dyDescent="0.25">
      <c r="A342" s="175">
        <v>0</v>
      </c>
      <c r="B342" s="806" t="s">
        <v>5001</v>
      </c>
      <c r="C342" s="733" t="s">
        <v>5622</v>
      </c>
      <c r="D342" s="733" t="s">
        <v>5623</v>
      </c>
      <c r="E342" s="733">
        <v>0.88</v>
      </c>
      <c r="F342" s="808"/>
    </row>
    <row r="343" spans="1:6" hidden="1" x14ac:dyDescent="0.25">
      <c r="A343" s="175">
        <v>0</v>
      </c>
      <c r="B343" s="806" t="s">
        <v>5001</v>
      </c>
      <c r="C343" s="733" t="s">
        <v>5624</v>
      </c>
      <c r="D343" s="733" t="s">
        <v>5625</v>
      </c>
      <c r="E343" s="733">
        <v>0.88</v>
      </c>
      <c r="F343" s="808"/>
    </row>
    <row r="344" spans="1:6" hidden="1" x14ac:dyDescent="0.25">
      <c r="A344" s="175">
        <v>0</v>
      </c>
      <c r="B344" s="806" t="s">
        <v>5001</v>
      </c>
      <c r="C344" s="733" t="s">
        <v>5626</v>
      </c>
      <c r="D344" s="733" t="s">
        <v>5627</v>
      </c>
      <c r="E344" s="733">
        <v>0.88</v>
      </c>
      <c r="F344" s="808"/>
    </row>
    <row r="345" spans="1:6" hidden="1" x14ac:dyDescent="0.25">
      <c r="A345" s="175">
        <v>0</v>
      </c>
      <c r="B345" s="806" t="s">
        <v>5001</v>
      </c>
      <c r="C345" s="733" t="s">
        <v>5628</v>
      </c>
      <c r="D345" s="733" t="s">
        <v>5629</v>
      </c>
      <c r="E345" s="733">
        <v>0.9</v>
      </c>
      <c r="F345" s="808"/>
    </row>
    <row r="346" spans="1:6" hidden="1" x14ac:dyDescent="0.25">
      <c r="A346" s="175">
        <v>0</v>
      </c>
      <c r="B346" s="806" t="s">
        <v>5001</v>
      </c>
      <c r="C346" s="733" t="s">
        <v>5630</v>
      </c>
      <c r="D346" s="733" t="s">
        <v>5584</v>
      </c>
      <c r="E346" s="733">
        <v>0.9</v>
      </c>
      <c r="F346" s="808"/>
    </row>
    <row r="347" spans="1:6" hidden="1" x14ac:dyDescent="0.25">
      <c r="A347" s="175">
        <v>0</v>
      </c>
      <c r="B347" s="806" t="s">
        <v>5001</v>
      </c>
      <c r="C347" s="733" t="s">
        <v>5631</v>
      </c>
      <c r="D347" s="733" t="s">
        <v>5586</v>
      </c>
      <c r="E347" s="733">
        <v>1</v>
      </c>
      <c r="F347" s="808"/>
    </row>
    <row r="348" spans="1:6" hidden="1" x14ac:dyDescent="0.25">
      <c r="A348" s="175">
        <v>0</v>
      </c>
      <c r="B348" s="806" t="s">
        <v>5001</v>
      </c>
      <c r="C348" s="733" t="s">
        <v>5632</v>
      </c>
      <c r="D348" s="733" t="s">
        <v>5633</v>
      </c>
      <c r="E348" s="733"/>
      <c r="F348" s="808"/>
    </row>
    <row r="349" spans="1:6" hidden="1" x14ac:dyDescent="0.25">
      <c r="A349" s="175">
        <v>0</v>
      </c>
      <c r="B349" s="806" t="s">
        <v>5634</v>
      </c>
      <c r="C349" s="733" t="s">
        <v>5601</v>
      </c>
      <c r="D349" s="733" t="s">
        <v>378</v>
      </c>
      <c r="E349" s="733">
        <v>1</v>
      </c>
      <c r="F349" s="808"/>
    </row>
    <row r="350" spans="1:6" hidden="1" x14ac:dyDescent="0.25">
      <c r="A350" s="175">
        <v>0</v>
      </c>
      <c r="B350" s="806" t="s">
        <v>5634</v>
      </c>
      <c r="C350" s="733" t="s">
        <v>5560</v>
      </c>
      <c r="D350" s="733" t="s">
        <v>160</v>
      </c>
      <c r="E350" s="733">
        <v>1</v>
      </c>
      <c r="F350" s="808"/>
    </row>
    <row r="351" spans="1:6" hidden="1" x14ac:dyDescent="0.25">
      <c r="A351" s="175">
        <v>0</v>
      </c>
      <c r="B351" s="806" t="s">
        <v>5634</v>
      </c>
      <c r="C351" s="733" t="s">
        <v>5561</v>
      </c>
      <c r="D351" s="733" t="s">
        <v>5562</v>
      </c>
      <c r="E351" s="733">
        <v>1.1299999999999999</v>
      </c>
      <c r="F351" s="808"/>
    </row>
    <row r="352" spans="1:6" hidden="1" x14ac:dyDescent="0.25">
      <c r="A352" s="175">
        <v>0</v>
      </c>
      <c r="B352" s="806" t="s">
        <v>5634</v>
      </c>
      <c r="C352" s="733" t="s">
        <v>5635</v>
      </c>
      <c r="D352" s="733" t="s">
        <v>330</v>
      </c>
      <c r="E352" s="694"/>
      <c r="F352" s="807">
        <v>1000000</v>
      </c>
    </row>
    <row r="353" spans="1:6" hidden="1" x14ac:dyDescent="0.25">
      <c r="A353" s="175">
        <v>0</v>
      </c>
      <c r="B353" s="806" t="s">
        <v>5634</v>
      </c>
      <c r="C353" s="733" t="s">
        <v>5581</v>
      </c>
      <c r="D353" s="733" t="s">
        <v>5582</v>
      </c>
      <c r="E353" s="733">
        <v>0.9</v>
      </c>
      <c r="F353" s="808"/>
    </row>
    <row r="354" spans="1:6" hidden="1" x14ac:dyDescent="0.25">
      <c r="A354" s="175">
        <v>0</v>
      </c>
      <c r="B354" s="806" t="s">
        <v>5634</v>
      </c>
      <c r="C354" s="733" t="s">
        <v>5636</v>
      </c>
      <c r="D354" s="733" t="s">
        <v>5637</v>
      </c>
      <c r="E354" s="733">
        <v>0.9</v>
      </c>
      <c r="F354" s="808"/>
    </row>
    <row r="355" spans="1:6" hidden="1" x14ac:dyDescent="0.25">
      <c r="A355" s="175">
        <v>0</v>
      </c>
      <c r="B355" s="806" t="s">
        <v>5634</v>
      </c>
      <c r="C355" s="733" t="s">
        <v>5630</v>
      </c>
      <c r="D355" s="733" t="s">
        <v>5638</v>
      </c>
      <c r="E355" s="733">
        <v>1.1299999999999999</v>
      </c>
      <c r="F355" s="808"/>
    </row>
    <row r="356" spans="1:6" hidden="1" x14ac:dyDescent="0.25">
      <c r="A356" s="175">
        <v>0</v>
      </c>
      <c r="B356" s="806" t="s">
        <v>5634</v>
      </c>
      <c r="C356" s="733" t="s">
        <v>5639</v>
      </c>
      <c r="D356" s="733" t="s">
        <v>5640</v>
      </c>
      <c r="E356" s="733">
        <v>0.9</v>
      </c>
      <c r="F356" s="808"/>
    </row>
    <row r="357" spans="1:6" hidden="1" x14ac:dyDescent="0.25">
      <c r="A357" s="175">
        <v>0</v>
      </c>
      <c r="B357" s="806" t="s">
        <v>5634</v>
      </c>
      <c r="C357" s="733" t="s">
        <v>5641</v>
      </c>
      <c r="D357" s="733" t="s">
        <v>5642</v>
      </c>
      <c r="E357" s="733">
        <v>1.1299999999999999</v>
      </c>
      <c r="F357" s="808"/>
    </row>
    <row r="358" spans="1:6" hidden="1" x14ac:dyDescent="0.25">
      <c r="A358" s="175">
        <v>0</v>
      </c>
      <c r="B358" s="806" t="s">
        <v>5634</v>
      </c>
      <c r="C358" s="733" t="s">
        <v>5643</v>
      </c>
      <c r="D358" s="733" t="s">
        <v>5644</v>
      </c>
      <c r="E358" s="733">
        <v>1.1299999999999999</v>
      </c>
      <c r="F358" s="808"/>
    </row>
    <row r="359" spans="1:6" hidden="1" x14ac:dyDescent="0.25">
      <c r="A359" s="175">
        <v>0</v>
      </c>
      <c r="B359" s="806" t="s">
        <v>5634</v>
      </c>
      <c r="C359" s="733" t="s">
        <v>5645</v>
      </c>
      <c r="D359" s="733" t="s">
        <v>5646</v>
      </c>
      <c r="E359" s="733">
        <v>1.1299999999999999</v>
      </c>
      <c r="F359" s="808"/>
    </row>
    <row r="360" spans="1:6" hidden="1" x14ac:dyDescent="0.25">
      <c r="A360" s="175">
        <v>0</v>
      </c>
      <c r="B360" s="806" t="s">
        <v>5634</v>
      </c>
      <c r="C360" s="733" t="s">
        <v>5647</v>
      </c>
      <c r="D360" s="733" t="s">
        <v>5648</v>
      </c>
      <c r="E360" s="733">
        <v>1.1299999999999999</v>
      </c>
      <c r="F360" s="808"/>
    </row>
    <row r="361" spans="1:6" hidden="1" x14ac:dyDescent="0.25">
      <c r="A361" s="175">
        <v>0</v>
      </c>
      <c r="B361" s="806" t="s">
        <v>5634</v>
      </c>
      <c r="C361" s="733" t="s">
        <v>5649</v>
      </c>
      <c r="D361" s="733" t="s">
        <v>5650</v>
      </c>
      <c r="E361" s="733">
        <v>1.03</v>
      </c>
      <c r="F361" s="808"/>
    </row>
    <row r="362" spans="1:6" hidden="1" x14ac:dyDescent="0.25">
      <c r="A362" s="175">
        <v>0</v>
      </c>
      <c r="B362" s="806" t="s">
        <v>5634</v>
      </c>
      <c r="C362" s="733" t="s">
        <v>5651</v>
      </c>
      <c r="D362" s="733" t="s">
        <v>5652</v>
      </c>
      <c r="E362" s="733">
        <v>1.03</v>
      </c>
      <c r="F362" s="808"/>
    </row>
    <row r="363" spans="1:6" hidden="1" x14ac:dyDescent="0.25">
      <c r="A363" s="175">
        <v>0</v>
      </c>
      <c r="B363" s="806" t="s">
        <v>5634</v>
      </c>
      <c r="C363" s="733" t="s">
        <v>5653</v>
      </c>
      <c r="D363" s="733" t="s">
        <v>5654</v>
      </c>
      <c r="E363" s="733">
        <v>1.03</v>
      </c>
      <c r="F363" s="808"/>
    </row>
    <row r="364" spans="1:6" hidden="1" x14ac:dyDescent="0.25">
      <c r="A364" s="175">
        <v>0</v>
      </c>
      <c r="B364" s="806" t="s">
        <v>5634</v>
      </c>
      <c r="C364" s="733" t="s">
        <v>5655</v>
      </c>
      <c r="D364" s="733" t="s">
        <v>5656</v>
      </c>
      <c r="E364" s="733">
        <v>0.9</v>
      </c>
      <c r="F364" s="808"/>
    </row>
    <row r="365" spans="1:6" hidden="1" x14ac:dyDescent="0.25">
      <c r="A365" s="175">
        <v>0</v>
      </c>
      <c r="B365" s="806" t="s">
        <v>5634</v>
      </c>
      <c r="C365" s="733" t="s">
        <v>5631</v>
      </c>
      <c r="D365" s="733" t="s">
        <v>5586</v>
      </c>
      <c r="E365" s="733">
        <v>1</v>
      </c>
      <c r="F365" s="808"/>
    </row>
    <row r="366" spans="1:6" hidden="1" x14ac:dyDescent="0.25">
      <c r="A366" s="175">
        <v>0</v>
      </c>
      <c r="B366" s="806" t="s">
        <v>5634</v>
      </c>
      <c r="C366" s="733" t="s">
        <v>5632</v>
      </c>
      <c r="D366" s="733" t="s">
        <v>5633</v>
      </c>
      <c r="E366" s="733"/>
      <c r="F366" s="808"/>
    </row>
    <row r="367" spans="1:6" hidden="1" x14ac:dyDescent="0.25">
      <c r="A367" s="175">
        <v>0</v>
      </c>
      <c r="B367" s="806" t="s">
        <v>5657</v>
      </c>
      <c r="C367" s="733" t="s">
        <v>5658</v>
      </c>
      <c r="D367" s="733" t="s">
        <v>5659</v>
      </c>
      <c r="E367" s="733">
        <v>1.01</v>
      </c>
      <c r="F367" s="808"/>
    </row>
    <row r="368" spans="1:6" hidden="1" x14ac:dyDescent="0.25">
      <c r="A368" s="175">
        <v>0</v>
      </c>
      <c r="B368" s="806" t="s">
        <v>5657</v>
      </c>
      <c r="C368" s="733" t="s">
        <v>5643</v>
      </c>
      <c r="D368" s="733" t="s">
        <v>5644</v>
      </c>
      <c r="E368" s="733">
        <v>0.95</v>
      </c>
      <c r="F368" s="808"/>
    </row>
    <row r="369" spans="1:6" hidden="1" x14ac:dyDescent="0.25">
      <c r="A369" s="175">
        <v>0</v>
      </c>
      <c r="B369" s="806" t="s">
        <v>5657</v>
      </c>
      <c r="C369" s="733" t="s">
        <v>5660</v>
      </c>
      <c r="D369" s="733" t="s">
        <v>5661</v>
      </c>
      <c r="E369" s="733">
        <v>0.98</v>
      </c>
      <c r="F369" s="808"/>
    </row>
    <row r="370" spans="1:6" hidden="1" x14ac:dyDescent="0.25">
      <c r="A370" s="175">
        <v>0</v>
      </c>
      <c r="B370" s="806" t="s">
        <v>5657</v>
      </c>
      <c r="C370" s="733" t="s">
        <v>5630</v>
      </c>
      <c r="D370" s="733" t="s">
        <v>5638</v>
      </c>
      <c r="E370" s="733">
        <v>1.1299999999999999</v>
      </c>
      <c r="F370" s="808"/>
    </row>
    <row r="371" spans="1:6" hidden="1" x14ac:dyDescent="0.25">
      <c r="A371" s="175">
        <v>0</v>
      </c>
      <c r="B371" s="806" t="s">
        <v>5657</v>
      </c>
      <c r="C371" s="733" t="s">
        <v>5662</v>
      </c>
      <c r="D371" s="733" t="s">
        <v>5663</v>
      </c>
      <c r="E371" s="733">
        <v>1.01</v>
      </c>
      <c r="F371" s="808"/>
    </row>
    <row r="372" spans="1:6" hidden="1" x14ac:dyDescent="0.25">
      <c r="A372" s="175">
        <v>0</v>
      </c>
      <c r="B372" s="806" t="s">
        <v>5657</v>
      </c>
      <c r="C372" s="733" t="s">
        <v>5664</v>
      </c>
      <c r="D372" s="733" t="s">
        <v>5665</v>
      </c>
      <c r="E372" s="733">
        <v>1.01</v>
      </c>
      <c r="F372" s="808"/>
    </row>
    <row r="373" spans="1:6" hidden="1" x14ac:dyDescent="0.25">
      <c r="A373" s="175">
        <v>0</v>
      </c>
      <c r="B373" s="806" t="s">
        <v>5657</v>
      </c>
      <c r="C373" s="733" t="s">
        <v>5666</v>
      </c>
      <c r="D373" s="733" t="s">
        <v>5667</v>
      </c>
      <c r="E373" s="733">
        <v>1.1299999999999999</v>
      </c>
      <c r="F373" s="808"/>
    </row>
    <row r="374" spans="1:6" hidden="1" x14ac:dyDescent="0.25">
      <c r="A374" s="175">
        <v>0</v>
      </c>
      <c r="B374" s="806" t="s">
        <v>5657</v>
      </c>
      <c r="C374" s="733" t="s">
        <v>5655</v>
      </c>
      <c r="D374" s="733" t="s">
        <v>5656</v>
      </c>
      <c r="E374" s="733">
        <v>0.9</v>
      </c>
      <c r="F374" s="808"/>
    </row>
    <row r="375" spans="1:6" hidden="1" x14ac:dyDescent="0.25">
      <c r="A375" s="175">
        <v>0</v>
      </c>
      <c r="B375" s="806" t="s">
        <v>5657</v>
      </c>
      <c r="C375" s="733" t="s">
        <v>5585</v>
      </c>
      <c r="D375" s="733" t="s">
        <v>5586</v>
      </c>
      <c r="E375" s="733">
        <v>1</v>
      </c>
      <c r="F375" s="808"/>
    </row>
    <row r="376" spans="1:6" hidden="1" x14ac:dyDescent="0.25">
      <c r="A376" s="175">
        <v>0</v>
      </c>
      <c r="B376" s="806" t="s">
        <v>5657</v>
      </c>
      <c r="C376" s="733" t="s">
        <v>5668</v>
      </c>
      <c r="D376" s="733" t="s">
        <v>5669</v>
      </c>
      <c r="E376" s="733">
        <v>1</v>
      </c>
      <c r="F376" s="808"/>
    </row>
    <row r="377" spans="1:6" hidden="1" x14ac:dyDescent="0.25">
      <c r="A377" s="175">
        <v>0</v>
      </c>
      <c r="B377" s="806" t="s">
        <v>5657</v>
      </c>
      <c r="C377" s="733" t="s">
        <v>5632</v>
      </c>
      <c r="D377" s="733" t="s">
        <v>5633</v>
      </c>
      <c r="E377" s="733"/>
      <c r="F377" s="808"/>
    </row>
    <row r="378" spans="1:6" hidden="1" x14ac:dyDescent="0.25">
      <c r="A378" s="175">
        <v>0</v>
      </c>
      <c r="B378" s="806" t="s">
        <v>5670</v>
      </c>
      <c r="C378" s="733" t="s">
        <v>5671</v>
      </c>
      <c r="D378" s="733" t="s">
        <v>5672</v>
      </c>
      <c r="E378" s="733">
        <v>1.1299999999999999</v>
      </c>
      <c r="F378" s="808"/>
    </row>
    <row r="379" spans="1:6" hidden="1" x14ac:dyDescent="0.25">
      <c r="A379" s="175">
        <v>0</v>
      </c>
      <c r="B379" s="806" t="s">
        <v>5670</v>
      </c>
      <c r="C379" s="733" t="s">
        <v>5561</v>
      </c>
      <c r="D379" s="733" t="s">
        <v>5562</v>
      </c>
      <c r="E379" s="733">
        <v>1.1299999999999999</v>
      </c>
      <c r="F379" s="808"/>
    </row>
    <row r="380" spans="1:6" hidden="1" x14ac:dyDescent="0.25">
      <c r="A380" s="175">
        <v>0</v>
      </c>
      <c r="B380" s="806" t="s">
        <v>5670</v>
      </c>
      <c r="C380" s="733" t="s">
        <v>5581</v>
      </c>
      <c r="D380" s="733" t="s">
        <v>5582</v>
      </c>
      <c r="E380" s="733">
        <v>0.9</v>
      </c>
      <c r="F380" s="808"/>
    </row>
    <row r="381" spans="1:6" hidden="1" x14ac:dyDescent="0.25">
      <c r="A381" s="175">
        <v>0</v>
      </c>
      <c r="B381" s="806" t="s">
        <v>5670</v>
      </c>
      <c r="C381" s="733" t="s">
        <v>5630</v>
      </c>
      <c r="D381" s="733" t="s">
        <v>5638</v>
      </c>
      <c r="E381" s="733">
        <v>1.1299999999999999</v>
      </c>
      <c r="F381" s="808"/>
    </row>
    <row r="382" spans="1:6" hidden="1" x14ac:dyDescent="0.25">
      <c r="A382" s="175">
        <v>0</v>
      </c>
      <c r="B382" s="806" t="s">
        <v>5670</v>
      </c>
      <c r="C382" s="733" t="s">
        <v>5604</v>
      </c>
      <c r="D382" s="733" t="s">
        <v>5673</v>
      </c>
      <c r="E382" s="733">
        <v>1.1299999999999999</v>
      </c>
      <c r="F382" s="808"/>
    </row>
    <row r="383" spans="1:6" hidden="1" x14ac:dyDescent="0.25">
      <c r="A383" s="175">
        <v>0</v>
      </c>
      <c r="B383" s="806" t="s">
        <v>5670</v>
      </c>
      <c r="C383" s="733" t="s">
        <v>5674</v>
      </c>
      <c r="D383" s="733" t="s">
        <v>5675</v>
      </c>
      <c r="E383" s="733">
        <v>0.93</v>
      </c>
      <c r="F383" s="808"/>
    </row>
    <row r="384" spans="1:6" hidden="1" x14ac:dyDescent="0.25">
      <c r="A384" s="175">
        <v>0</v>
      </c>
      <c r="B384" s="806" t="s">
        <v>5670</v>
      </c>
      <c r="C384" s="733" t="s">
        <v>5676</v>
      </c>
      <c r="D384" s="733" t="s">
        <v>5677</v>
      </c>
      <c r="E384" s="733">
        <v>1.1299999999999999</v>
      </c>
      <c r="F384" s="808"/>
    </row>
    <row r="385" spans="1:6" hidden="1" x14ac:dyDescent="0.25">
      <c r="A385" s="175">
        <v>0</v>
      </c>
      <c r="B385" s="806" t="s">
        <v>5670</v>
      </c>
      <c r="C385" s="733" t="s">
        <v>5643</v>
      </c>
      <c r="D385" s="733" t="s">
        <v>5644</v>
      </c>
      <c r="E385" s="733">
        <v>1.1299999999999999</v>
      </c>
      <c r="F385" s="808"/>
    </row>
    <row r="386" spans="1:6" hidden="1" x14ac:dyDescent="0.25">
      <c r="A386" s="175">
        <v>0</v>
      </c>
      <c r="B386" s="806" t="s">
        <v>5670</v>
      </c>
      <c r="C386" s="733" t="s">
        <v>5678</v>
      </c>
      <c r="D386" s="733" t="s">
        <v>5646</v>
      </c>
      <c r="E386" s="733">
        <v>1.1299999999999999</v>
      </c>
      <c r="F386" s="808"/>
    </row>
    <row r="387" spans="1:6" hidden="1" x14ac:dyDescent="0.25">
      <c r="A387" s="175">
        <v>0</v>
      </c>
      <c r="B387" s="806" t="s">
        <v>5670</v>
      </c>
      <c r="C387" s="733" t="s">
        <v>5647</v>
      </c>
      <c r="D387" s="733" t="s">
        <v>5648</v>
      </c>
      <c r="E387" s="733">
        <v>1.1299999999999999</v>
      </c>
      <c r="F387" s="808"/>
    </row>
    <row r="388" spans="1:6" hidden="1" x14ac:dyDescent="0.25">
      <c r="A388" s="175">
        <v>0</v>
      </c>
      <c r="B388" s="806" t="s">
        <v>5670</v>
      </c>
      <c r="C388" s="733" t="s">
        <v>5679</v>
      </c>
      <c r="D388" s="733" t="s">
        <v>5680</v>
      </c>
      <c r="E388" s="733">
        <v>1.03</v>
      </c>
      <c r="F388" s="808"/>
    </row>
    <row r="389" spans="1:6" hidden="1" x14ac:dyDescent="0.25">
      <c r="A389" s="175">
        <v>0</v>
      </c>
      <c r="B389" s="806" t="s">
        <v>5670</v>
      </c>
      <c r="C389" s="733" t="s">
        <v>5681</v>
      </c>
      <c r="D389" s="733" t="s">
        <v>517</v>
      </c>
      <c r="E389" s="733">
        <v>0.9</v>
      </c>
      <c r="F389" s="808"/>
    </row>
    <row r="390" spans="1:6" hidden="1" x14ac:dyDescent="0.25">
      <c r="A390" s="175">
        <v>0</v>
      </c>
      <c r="B390" s="806" t="s">
        <v>5670</v>
      </c>
      <c r="C390" s="733" t="s">
        <v>5682</v>
      </c>
      <c r="D390" s="733" t="s">
        <v>5683</v>
      </c>
      <c r="E390" s="733">
        <v>1</v>
      </c>
      <c r="F390" s="808"/>
    </row>
    <row r="391" spans="1:6" hidden="1" x14ac:dyDescent="0.25">
      <c r="A391" s="175">
        <v>0</v>
      </c>
      <c r="B391" s="806" t="s">
        <v>5670</v>
      </c>
      <c r="C391" s="733" t="s">
        <v>5684</v>
      </c>
      <c r="D391" s="733" t="s">
        <v>599</v>
      </c>
      <c r="E391" s="733">
        <v>0.87</v>
      </c>
      <c r="F391" s="808"/>
    </row>
    <row r="392" spans="1:6" hidden="1" x14ac:dyDescent="0.25">
      <c r="A392" s="175">
        <v>0</v>
      </c>
      <c r="B392" s="806" t="s">
        <v>5670</v>
      </c>
      <c r="C392" s="733" t="s">
        <v>5585</v>
      </c>
      <c r="D392" s="733" t="s">
        <v>5586</v>
      </c>
      <c r="E392" s="733">
        <v>1</v>
      </c>
      <c r="F392" s="808"/>
    </row>
    <row r="393" spans="1:6" hidden="1" x14ac:dyDescent="0.25">
      <c r="A393" s="175">
        <v>0</v>
      </c>
      <c r="B393" s="806" t="s">
        <v>5670</v>
      </c>
      <c r="C393" s="733" t="s">
        <v>5632</v>
      </c>
      <c r="D393" s="733" t="s">
        <v>5633</v>
      </c>
      <c r="E393" s="733"/>
      <c r="F393" s="808"/>
    </row>
    <row r="394" spans="1:6" hidden="1" x14ac:dyDescent="0.25">
      <c r="A394" s="175">
        <v>0</v>
      </c>
      <c r="B394" s="806" t="s">
        <v>5670</v>
      </c>
      <c r="C394" s="733" t="s">
        <v>5588</v>
      </c>
      <c r="D394" s="733" t="s">
        <v>159</v>
      </c>
      <c r="E394" s="694"/>
      <c r="F394" s="807">
        <v>6</v>
      </c>
    </row>
    <row r="395" spans="1:6" hidden="1" x14ac:dyDescent="0.25">
      <c r="A395" s="175">
        <v>0</v>
      </c>
      <c r="B395" s="806" t="s">
        <v>5670</v>
      </c>
      <c r="C395" s="733" t="s">
        <v>5601</v>
      </c>
      <c r="D395" s="733" t="s">
        <v>378</v>
      </c>
      <c r="E395" s="733">
        <v>1</v>
      </c>
      <c r="F395" s="808"/>
    </row>
    <row r="396" spans="1:6" hidden="1" x14ac:dyDescent="0.25">
      <c r="A396" s="175">
        <v>0</v>
      </c>
      <c r="B396" s="806" t="s">
        <v>5670</v>
      </c>
      <c r="C396" s="733" t="s">
        <v>5560</v>
      </c>
      <c r="D396" s="733" t="s">
        <v>160</v>
      </c>
      <c r="E396" s="733">
        <v>1</v>
      </c>
      <c r="F396" s="808"/>
    </row>
    <row r="397" spans="1:6" hidden="1" x14ac:dyDescent="0.25">
      <c r="A397" s="175">
        <v>0</v>
      </c>
      <c r="B397" s="806" t="s">
        <v>5685</v>
      </c>
      <c r="C397" s="733" t="s">
        <v>5561</v>
      </c>
      <c r="D397" s="733" t="s">
        <v>5562</v>
      </c>
      <c r="E397" s="733">
        <v>1.1299999999999999</v>
      </c>
      <c r="F397" s="808"/>
    </row>
    <row r="398" spans="1:6" hidden="1" x14ac:dyDescent="0.25">
      <c r="A398" s="175">
        <v>0</v>
      </c>
      <c r="B398" s="806" t="s">
        <v>5685</v>
      </c>
      <c r="C398" s="733" t="s">
        <v>5635</v>
      </c>
      <c r="D398" s="733" t="s">
        <v>330</v>
      </c>
      <c r="E398" s="694"/>
      <c r="F398" s="807">
        <v>1000000</v>
      </c>
    </row>
    <row r="399" spans="1:6" hidden="1" x14ac:dyDescent="0.25">
      <c r="A399" s="175">
        <v>0</v>
      </c>
      <c r="B399" s="806" t="s">
        <v>5685</v>
      </c>
      <c r="C399" s="733" t="s">
        <v>5581</v>
      </c>
      <c r="D399" s="733" t="s">
        <v>5582</v>
      </c>
      <c r="E399" s="733">
        <v>0.9</v>
      </c>
      <c r="F399" s="808"/>
    </row>
    <row r="400" spans="1:6" hidden="1" x14ac:dyDescent="0.25">
      <c r="A400" s="175">
        <v>0</v>
      </c>
      <c r="B400" s="806" t="s">
        <v>5685</v>
      </c>
      <c r="C400" s="733" t="s">
        <v>5686</v>
      </c>
      <c r="D400" s="733" t="s">
        <v>5687</v>
      </c>
      <c r="E400" s="733">
        <v>1.1299999999999999</v>
      </c>
      <c r="F400" s="808"/>
    </row>
    <row r="401" spans="1:6" hidden="1" x14ac:dyDescent="0.25">
      <c r="A401" s="175">
        <v>0</v>
      </c>
      <c r="B401" s="806" t="s">
        <v>5685</v>
      </c>
      <c r="C401" s="733" t="s">
        <v>5688</v>
      </c>
      <c r="D401" s="733" t="s">
        <v>5689</v>
      </c>
      <c r="E401" s="733">
        <v>1.06</v>
      </c>
      <c r="F401" s="808"/>
    </row>
    <row r="402" spans="1:6" hidden="1" x14ac:dyDescent="0.25">
      <c r="A402" s="175">
        <v>0</v>
      </c>
      <c r="B402" s="806" t="s">
        <v>5685</v>
      </c>
      <c r="C402" s="733" t="s">
        <v>5690</v>
      </c>
      <c r="D402" s="733" t="s">
        <v>5691</v>
      </c>
      <c r="E402" s="733">
        <v>1.1299999999999999</v>
      </c>
      <c r="F402" s="808"/>
    </row>
    <row r="403" spans="1:6" hidden="1" x14ac:dyDescent="0.25">
      <c r="A403" s="175">
        <v>0</v>
      </c>
      <c r="B403" s="806" t="s">
        <v>5685</v>
      </c>
      <c r="C403" s="733" t="s">
        <v>5692</v>
      </c>
      <c r="D403" s="733" t="s">
        <v>5693</v>
      </c>
      <c r="E403" s="733">
        <v>1.1299999999999999</v>
      </c>
      <c r="F403" s="808"/>
    </row>
    <row r="404" spans="1:6" hidden="1" x14ac:dyDescent="0.25">
      <c r="A404" s="175">
        <v>0</v>
      </c>
      <c r="B404" s="806" t="s">
        <v>5685</v>
      </c>
      <c r="C404" s="733" t="s">
        <v>5694</v>
      </c>
      <c r="D404" s="733" t="s">
        <v>5695</v>
      </c>
      <c r="E404" s="733">
        <v>1.06</v>
      </c>
      <c r="F404" s="808"/>
    </row>
    <row r="405" spans="1:6" hidden="1" x14ac:dyDescent="0.25">
      <c r="A405" s="175">
        <v>0</v>
      </c>
      <c r="B405" s="806" t="s">
        <v>5685</v>
      </c>
      <c r="C405" s="733" t="s">
        <v>5643</v>
      </c>
      <c r="D405" s="733" t="s">
        <v>5644</v>
      </c>
      <c r="E405" s="733">
        <v>1.1299999999999999</v>
      </c>
      <c r="F405" s="808"/>
    </row>
    <row r="406" spans="1:6" hidden="1" x14ac:dyDescent="0.25">
      <c r="A406" s="175">
        <v>0</v>
      </c>
      <c r="B406" s="806" t="s">
        <v>5685</v>
      </c>
      <c r="C406" s="733" t="s">
        <v>5678</v>
      </c>
      <c r="D406" s="733" t="s">
        <v>5646</v>
      </c>
      <c r="E406" s="733">
        <v>1.1299999999999999</v>
      </c>
      <c r="F406" s="808"/>
    </row>
    <row r="407" spans="1:6" hidden="1" x14ac:dyDescent="0.25">
      <c r="A407" s="175">
        <v>0</v>
      </c>
      <c r="B407" s="806" t="s">
        <v>5685</v>
      </c>
      <c r="C407" s="733" t="s">
        <v>5696</v>
      </c>
      <c r="D407" s="733" t="s">
        <v>5697</v>
      </c>
      <c r="E407" s="733">
        <v>1.1299999999999999</v>
      </c>
      <c r="F407" s="808"/>
    </row>
    <row r="408" spans="1:6" hidden="1" x14ac:dyDescent="0.25">
      <c r="A408" s="175">
        <v>0</v>
      </c>
      <c r="B408" s="806" t="s">
        <v>5685</v>
      </c>
      <c r="C408" s="733" t="s">
        <v>5681</v>
      </c>
      <c r="D408" s="733" t="s">
        <v>517</v>
      </c>
      <c r="E408" s="733">
        <v>0.9</v>
      </c>
      <c r="F408" s="808"/>
    </row>
    <row r="409" spans="1:6" hidden="1" x14ac:dyDescent="0.25">
      <c r="A409" s="175">
        <v>0</v>
      </c>
      <c r="B409" s="806" t="s">
        <v>5685</v>
      </c>
      <c r="C409" s="733" t="s">
        <v>5585</v>
      </c>
      <c r="D409" s="733" t="s">
        <v>5586</v>
      </c>
      <c r="E409" s="733">
        <v>1</v>
      </c>
      <c r="F409" s="808"/>
    </row>
    <row r="410" spans="1:6" hidden="1" x14ac:dyDescent="0.25">
      <c r="A410" s="175">
        <v>0</v>
      </c>
      <c r="B410" s="806" t="s">
        <v>5685</v>
      </c>
      <c r="C410" s="733" t="s">
        <v>5632</v>
      </c>
      <c r="D410" s="733" t="s">
        <v>5633</v>
      </c>
      <c r="E410" s="733">
        <v>1</v>
      </c>
      <c r="F410" s="808"/>
    </row>
    <row r="411" spans="1:6" hidden="1" x14ac:dyDescent="0.25">
      <c r="A411" s="175">
        <v>0</v>
      </c>
      <c r="B411" s="806" t="s">
        <v>5685</v>
      </c>
      <c r="C411" s="733" t="s">
        <v>5601</v>
      </c>
      <c r="D411" s="733" t="s">
        <v>378</v>
      </c>
      <c r="E411" s="733">
        <v>1</v>
      </c>
      <c r="F411" s="808"/>
    </row>
    <row r="412" spans="1:6" hidden="1" x14ac:dyDescent="0.25">
      <c r="A412" s="175">
        <v>0</v>
      </c>
      <c r="B412" s="806" t="s">
        <v>5685</v>
      </c>
      <c r="C412" s="733" t="s">
        <v>5560</v>
      </c>
      <c r="D412" s="733" t="s">
        <v>160</v>
      </c>
      <c r="E412" s="733">
        <v>1</v>
      </c>
      <c r="F412" s="808"/>
    </row>
    <row r="413" spans="1:6" hidden="1" x14ac:dyDescent="0.25">
      <c r="A413" s="175">
        <v>0</v>
      </c>
      <c r="B413" s="806" t="s">
        <v>5698</v>
      </c>
      <c r="C413" s="733" t="s">
        <v>5559</v>
      </c>
      <c r="D413" s="733" t="s">
        <v>345</v>
      </c>
      <c r="E413" s="694"/>
      <c r="F413" s="807">
        <v>10000000</v>
      </c>
    </row>
    <row r="414" spans="1:6" hidden="1" x14ac:dyDescent="0.25">
      <c r="A414" s="175">
        <v>0</v>
      </c>
      <c r="B414" s="806" t="s">
        <v>5698</v>
      </c>
      <c r="C414" s="733" t="s">
        <v>5601</v>
      </c>
      <c r="D414" s="733" t="s">
        <v>378</v>
      </c>
      <c r="E414" s="733">
        <v>1</v>
      </c>
      <c r="F414" s="808"/>
    </row>
    <row r="415" spans="1:6" hidden="1" x14ac:dyDescent="0.25">
      <c r="A415" s="175">
        <v>0</v>
      </c>
      <c r="B415" s="806" t="s">
        <v>5698</v>
      </c>
      <c r="C415" s="733" t="s">
        <v>5560</v>
      </c>
      <c r="D415" s="733" t="s">
        <v>160</v>
      </c>
      <c r="E415" s="733">
        <v>1</v>
      </c>
      <c r="F415" s="808"/>
    </row>
    <row r="416" spans="1:6" hidden="1" x14ac:dyDescent="0.25">
      <c r="A416" s="175">
        <v>0</v>
      </c>
      <c r="B416" s="806" t="s">
        <v>5698</v>
      </c>
      <c r="C416" s="733" t="s">
        <v>5581</v>
      </c>
      <c r="D416" s="733" t="s">
        <v>5699</v>
      </c>
      <c r="E416" s="733">
        <v>1.03</v>
      </c>
      <c r="F416" s="808"/>
    </row>
    <row r="417" spans="1:6" hidden="1" x14ac:dyDescent="0.25">
      <c r="A417" s="175">
        <v>0</v>
      </c>
      <c r="B417" s="806" t="s">
        <v>5698</v>
      </c>
      <c r="C417" s="733" t="s">
        <v>5700</v>
      </c>
      <c r="D417" s="733" t="s">
        <v>5701</v>
      </c>
      <c r="E417" s="733">
        <v>1.01</v>
      </c>
      <c r="F417" s="808"/>
    </row>
    <row r="418" spans="1:6" hidden="1" x14ac:dyDescent="0.25">
      <c r="A418" s="175">
        <v>0</v>
      </c>
      <c r="B418" s="806" t="s">
        <v>5698</v>
      </c>
      <c r="C418" s="733" t="s">
        <v>5702</v>
      </c>
      <c r="D418" s="733" t="s">
        <v>5703</v>
      </c>
      <c r="E418" s="733">
        <v>1.08</v>
      </c>
      <c r="F418" s="808"/>
    </row>
    <row r="419" spans="1:6" hidden="1" x14ac:dyDescent="0.25">
      <c r="A419" s="175">
        <v>0</v>
      </c>
      <c r="B419" s="806" t="s">
        <v>5698</v>
      </c>
      <c r="C419" s="733" t="s">
        <v>5704</v>
      </c>
      <c r="D419" s="733" t="s">
        <v>5705</v>
      </c>
      <c r="E419" s="733">
        <v>1.1299999999999999</v>
      </c>
      <c r="F419" s="808"/>
    </row>
    <row r="420" spans="1:6" hidden="1" x14ac:dyDescent="0.25">
      <c r="A420" s="175">
        <v>0</v>
      </c>
      <c r="B420" s="806" t="s">
        <v>5698</v>
      </c>
      <c r="C420" s="733" t="s">
        <v>5706</v>
      </c>
      <c r="D420" s="733" t="s">
        <v>5707</v>
      </c>
      <c r="E420" s="733">
        <v>1.03</v>
      </c>
      <c r="F420" s="808"/>
    </row>
    <row r="421" spans="1:6" hidden="1" x14ac:dyDescent="0.25">
      <c r="A421" s="175">
        <v>0</v>
      </c>
      <c r="B421" s="806" t="s">
        <v>5698</v>
      </c>
      <c r="C421" s="733" t="s">
        <v>5708</v>
      </c>
      <c r="D421" s="733" t="s">
        <v>5709</v>
      </c>
      <c r="E421" s="733">
        <v>1.03</v>
      </c>
      <c r="F421" s="808"/>
    </row>
    <row r="422" spans="1:6" hidden="1" x14ac:dyDescent="0.25">
      <c r="A422" s="175">
        <v>0</v>
      </c>
      <c r="B422" s="806" t="s">
        <v>5698</v>
      </c>
      <c r="C422" s="733" t="s">
        <v>5710</v>
      </c>
      <c r="D422" s="733" t="s">
        <v>5711</v>
      </c>
      <c r="E422" s="733"/>
      <c r="F422" s="808"/>
    </row>
    <row r="423" spans="1:6" hidden="1" x14ac:dyDescent="0.25">
      <c r="A423" s="175">
        <v>0</v>
      </c>
      <c r="B423" s="806" t="s">
        <v>5698</v>
      </c>
      <c r="C423" s="733" t="s">
        <v>5688</v>
      </c>
      <c r="D423" s="733" t="s">
        <v>5712</v>
      </c>
      <c r="E423" s="733">
        <v>1.03</v>
      </c>
      <c r="F423" s="808"/>
    </row>
    <row r="424" spans="1:6" hidden="1" x14ac:dyDescent="0.25">
      <c r="A424" s="175">
        <v>0</v>
      </c>
      <c r="B424" s="806" t="s">
        <v>5698</v>
      </c>
      <c r="C424" s="733" t="s">
        <v>5713</v>
      </c>
      <c r="D424" s="733" t="s">
        <v>5714</v>
      </c>
      <c r="E424" s="733">
        <v>1.03</v>
      </c>
      <c r="F424" s="808"/>
    </row>
    <row r="425" spans="1:6" hidden="1" x14ac:dyDescent="0.25">
      <c r="A425" s="175">
        <v>0</v>
      </c>
      <c r="B425" s="806" t="s">
        <v>5698</v>
      </c>
      <c r="C425" s="733" t="s">
        <v>5715</v>
      </c>
      <c r="D425" s="733" t="s">
        <v>517</v>
      </c>
      <c r="E425" s="733">
        <v>0.9</v>
      </c>
      <c r="F425" s="808"/>
    </row>
    <row r="426" spans="1:6" hidden="1" x14ac:dyDescent="0.25">
      <c r="A426" s="175">
        <v>0</v>
      </c>
      <c r="B426" s="806" t="s">
        <v>5698</v>
      </c>
      <c r="C426" s="733" t="s">
        <v>5585</v>
      </c>
      <c r="D426" s="733" t="s">
        <v>5586</v>
      </c>
      <c r="E426" s="733">
        <v>1</v>
      </c>
      <c r="F426" s="808"/>
    </row>
    <row r="427" spans="1:6" hidden="1" x14ac:dyDescent="0.25">
      <c r="A427" s="175">
        <v>0</v>
      </c>
      <c r="B427" s="806" t="s">
        <v>5698</v>
      </c>
      <c r="C427" s="733" t="s">
        <v>5716</v>
      </c>
      <c r="D427" s="733" t="s">
        <v>5717</v>
      </c>
      <c r="E427" s="733">
        <v>1</v>
      </c>
      <c r="F427" s="808"/>
    </row>
    <row r="428" spans="1:6" hidden="1" x14ac:dyDescent="0.25">
      <c r="A428" s="175">
        <v>0</v>
      </c>
      <c r="B428" s="806" t="s">
        <v>5698</v>
      </c>
      <c r="C428" s="733" t="s">
        <v>5632</v>
      </c>
      <c r="D428" s="733" t="s">
        <v>5633</v>
      </c>
      <c r="E428" s="733"/>
      <c r="F428" s="808"/>
    </row>
    <row r="429" spans="1:6" hidden="1" x14ac:dyDescent="0.25">
      <c r="A429" s="175">
        <v>0</v>
      </c>
      <c r="B429" s="806" t="s">
        <v>5718</v>
      </c>
      <c r="C429" s="733" t="s">
        <v>5588</v>
      </c>
      <c r="D429" s="733" t="s">
        <v>159</v>
      </c>
      <c r="E429" s="694"/>
      <c r="F429" s="807">
        <v>6</v>
      </c>
    </row>
    <row r="430" spans="1:6" hidden="1" x14ac:dyDescent="0.25">
      <c r="A430" s="175">
        <v>0</v>
      </c>
      <c r="B430" s="806" t="s">
        <v>5718</v>
      </c>
      <c r="C430" s="733" t="s">
        <v>5601</v>
      </c>
      <c r="D430" s="733" t="s">
        <v>378</v>
      </c>
      <c r="E430" s="733"/>
      <c r="F430" s="808"/>
    </row>
    <row r="431" spans="1:6" hidden="1" x14ac:dyDescent="0.25">
      <c r="A431" s="175">
        <v>0</v>
      </c>
      <c r="B431" s="806" t="s">
        <v>5718</v>
      </c>
      <c r="C431" s="733" t="s">
        <v>5560</v>
      </c>
      <c r="D431" s="733" t="s">
        <v>160</v>
      </c>
      <c r="E431" s="733">
        <v>1</v>
      </c>
      <c r="F431" s="808"/>
    </row>
    <row r="432" spans="1:6" ht="15.75" hidden="1" thickBot="1" x14ac:dyDescent="0.3">
      <c r="A432" s="175">
        <v>0</v>
      </c>
      <c r="B432" s="809" t="s">
        <v>5719</v>
      </c>
      <c r="C432" s="810" t="s">
        <v>5720</v>
      </c>
      <c r="D432" s="810" t="s">
        <v>158</v>
      </c>
      <c r="E432" s="700"/>
      <c r="F432" s="811">
        <v>50326</v>
      </c>
    </row>
    <row r="433" spans="1:5" x14ac:dyDescent="0.25">
      <c r="A433" s="44">
        <v>1</v>
      </c>
    </row>
    <row r="434" spans="1:5" ht="15.75" thickBot="1" x14ac:dyDescent="0.3">
      <c r="A434" s="44">
        <v>1</v>
      </c>
    </row>
    <row r="435" spans="1:5" ht="15.75" x14ac:dyDescent="0.25">
      <c r="A435" s="44">
        <v>1</v>
      </c>
      <c r="B435" s="210" t="s">
        <v>5721</v>
      </c>
      <c r="C435" s="812"/>
      <c r="D435" s="812"/>
      <c r="E435" s="813"/>
    </row>
    <row r="436" spans="1:5" x14ac:dyDescent="0.25">
      <c r="A436" s="44">
        <v>1</v>
      </c>
      <c r="B436" s="814" t="s">
        <v>154</v>
      </c>
      <c r="C436" s="815" t="s">
        <v>155</v>
      </c>
      <c r="D436" s="815" t="s">
        <v>102</v>
      </c>
      <c r="E436" s="816" t="s">
        <v>5722</v>
      </c>
    </row>
    <row r="437" spans="1:5" x14ac:dyDescent="0.25">
      <c r="A437" s="44">
        <f>IF(E437="",0,1)</f>
        <v>1</v>
      </c>
      <c r="B437" s="806" t="s">
        <v>5723</v>
      </c>
      <c r="C437" s="733" t="s">
        <v>5724</v>
      </c>
      <c r="D437" s="733" t="s">
        <v>5725</v>
      </c>
      <c r="E437" s="807" t="s">
        <v>6044</v>
      </c>
    </row>
    <row r="438" spans="1:5" hidden="1" x14ac:dyDescent="0.25">
      <c r="A438" s="44">
        <v>0</v>
      </c>
      <c r="B438" s="806" t="s">
        <v>5723</v>
      </c>
      <c r="C438" s="733" t="s">
        <v>5727</v>
      </c>
      <c r="D438" s="733" t="s">
        <v>5728</v>
      </c>
      <c r="E438" s="807" t="s">
        <v>5729</v>
      </c>
    </row>
    <row r="439" spans="1:5" hidden="1" x14ac:dyDescent="0.25">
      <c r="A439" s="44">
        <v>0</v>
      </c>
      <c r="B439" s="806" t="s">
        <v>5723</v>
      </c>
      <c r="C439" s="733" t="s">
        <v>5730</v>
      </c>
      <c r="D439" s="733" t="s">
        <v>5731</v>
      </c>
      <c r="E439" s="807" t="s">
        <v>5732</v>
      </c>
    </row>
    <row r="440" spans="1:5" hidden="1" x14ac:dyDescent="0.25">
      <c r="A440" s="44">
        <v>0</v>
      </c>
      <c r="B440" s="806" t="s">
        <v>5723</v>
      </c>
      <c r="C440" s="733" t="s">
        <v>5733</v>
      </c>
      <c r="D440" s="733" t="s">
        <v>5734</v>
      </c>
      <c r="E440" s="807" t="s">
        <v>5735</v>
      </c>
    </row>
    <row r="441" spans="1:5" hidden="1" x14ac:dyDescent="0.25">
      <c r="A441" s="44">
        <v>0</v>
      </c>
      <c r="B441" s="806" t="s">
        <v>5723</v>
      </c>
      <c r="C441" s="733" t="s">
        <v>5736</v>
      </c>
      <c r="D441" s="733" t="s">
        <v>5737</v>
      </c>
      <c r="E441" s="807" t="s">
        <v>5738</v>
      </c>
    </row>
    <row r="442" spans="1:5" hidden="1" x14ac:dyDescent="0.25">
      <c r="A442" s="44">
        <v>0</v>
      </c>
      <c r="B442" s="806" t="s">
        <v>5723</v>
      </c>
      <c r="C442" s="733" t="s">
        <v>5739</v>
      </c>
      <c r="D442" s="733" t="s">
        <v>5740</v>
      </c>
      <c r="E442" s="807" t="s">
        <v>5741</v>
      </c>
    </row>
    <row r="443" spans="1:5" hidden="1" x14ac:dyDescent="0.25">
      <c r="A443" s="44">
        <v>0</v>
      </c>
      <c r="B443" s="806" t="s">
        <v>5723</v>
      </c>
      <c r="C443" s="733" t="s">
        <v>5742</v>
      </c>
      <c r="D443" s="733" t="s">
        <v>5743</v>
      </c>
      <c r="E443" s="807" t="s">
        <v>5744</v>
      </c>
    </row>
    <row r="444" spans="1:5" hidden="1" x14ac:dyDescent="0.25">
      <c r="A444" s="44">
        <v>0</v>
      </c>
      <c r="B444" s="806" t="s">
        <v>5723</v>
      </c>
      <c r="C444" s="733" t="s">
        <v>5745</v>
      </c>
      <c r="D444" s="733" t="s">
        <v>5746</v>
      </c>
      <c r="E444" s="807" t="s">
        <v>5747</v>
      </c>
    </row>
    <row r="445" spans="1:5" hidden="1" x14ac:dyDescent="0.25">
      <c r="A445" s="44">
        <v>0</v>
      </c>
      <c r="B445" s="806" t="s">
        <v>5723</v>
      </c>
      <c r="C445" s="733" t="s">
        <v>5726</v>
      </c>
      <c r="D445" s="733" t="s">
        <v>5748</v>
      </c>
      <c r="E445" s="807" t="s">
        <v>5749</v>
      </c>
    </row>
    <row r="446" spans="1:5" hidden="1" x14ac:dyDescent="0.25">
      <c r="A446" s="44">
        <v>0</v>
      </c>
      <c r="B446" s="806" t="s">
        <v>5723</v>
      </c>
      <c r="C446" s="733" t="s">
        <v>5750</v>
      </c>
      <c r="D446" s="733" t="s">
        <v>5751</v>
      </c>
      <c r="E446" s="807" t="s">
        <v>5752</v>
      </c>
    </row>
    <row r="447" spans="1:5" hidden="1" x14ac:dyDescent="0.25">
      <c r="A447" s="44">
        <v>0</v>
      </c>
      <c r="B447" s="806" t="s">
        <v>5723</v>
      </c>
      <c r="C447" s="733" t="s">
        <v>5753</v>
      </c>
      <c r="D447" s="733" t="s">
        <v>5754</v>
      </c>
      <c r="E447" s="807" t="s">
        <v>5755</v>
      </c>
    </row>
    <row r="448" spans="1:5" x14ac:dyDescent="0.25">
      <c r="A448" s="44">
        <f t="shared" ref="A448:A484" si="18">IF(E448="",0,1)</f>
        <v>1</v>
      </c>
      <c r="B448" s="806" t="s">
        <v>5723</v>
      </c>
      <c r="C448" s="733" t="s">
        <v>5628</v>
      </c>
      <c r="D448" s="733" t="s">
        <v>5756</v>
      </c>
      <c r="E448" s="807" t="str">
        <f>IF(CY1PolTyp=54,"4D4A",IF(OR(CY1PolTyp=57,CY1PolTyp="E1"),"ZD4A",""))</f>
        <v>ZD4A</v>
      </c>
    </row>
    <row r="449" spans="1:5" hidden="1" x14ac:dyDescent="0.25">
      <c r="A449" s="44">
        <v>0</v>
      </c>
      <c r="B449" s="806" t="s">
        <v>5757</v>
      </c>
      <c r="C449" s="733" t="s">
        <v>5758</v>
      </c>
      <c r="D449" s="733" t="s">
        <v>5759</v>
      </c>
      <c r="E449" s="807">
        <v>8</v>
      </c>
    </row>
    <row r="450" spans="1:5" hidden="1" x14ac:dyDescent="0.25">
      <c r="A450" s="44">
        <v>0</v>
      </c>
      <c r="B450" s="806" t="s">
        <v>5757</v>
      </c>
      <c r="C450" s="733" t="s">
        <v>5761</v>
      </c>
      <c r="D450" s="733" t="s">
        <v>5762</v>
      </c>
      <c r="E450" s="807">
        <v>8</v>
      </c>
    </row>
    <row r="451" spans="1:5" hidden="1" x14ac:dyDescent="0.25">
      <c r="A451" s="44">
        <v>0</v>
      </c>
      <c r="B451" s="806" t="s">
        <v>5763</v>
      </c>
      <c r="C451" s="733" t="s">
        <v>5764</v>
      </c>
      <c r="D451" s="733" t="s">
        <v>5765</v>
      </c>
      <c r="E451" s="807" t="s">
        <v>5766</v>
      </c>
    </row>
    <row r="452" spans="1:5" hidden="1" x14ac:dyDescent="0.25">
      <c r="A452" s="44">
        <v>0</v>
      </c>
      <c r="B452" s="806" t="s">
        <v>5763</v>
      </c>
      <c r="C452" s="733" t="s">
        <v>5767</v>
      </c>
      <c r="D452" s="733" t="s">
        <v>5768</v>
      </c>
      <c r="E452" s="807" t="s">
        <v>5766</v>
      </c>
    </row>
    <row r="453" spans="1:5" hidden="1" x14ac:dyDescent="0.25">
      <c r="A453" s="44">
        <v>0</v>
      </c>
      <c r="B453" s="806" t="s">
        <v>5763</v>
      </c>
      <c r="C453" s="733" t="s">
        <v>5769</v>
      </c>
      <c r="D453" s="733" t="s">
        <v>5770</v>
      </c>
      <c r="E453" s="807" t="s">
        <v>5766</v>
      </c>
    </row>
    <row r="454" spans="1:5" hidden="1" x14ac:dyDescent="0.25">
      <c r="A454" s="44">
        <v>0</v>
      </c>
      <c r="B454" s="806" t="s">
        <v>5763</v>
      </c>
      <c r="C454" s="733" t="s">
        <v>5771</v>
      </c>
      <c r="D454" s="733" t="s">
        <v>5772</v>
      </c>
      <c r="E454" s="807" t="s">
        <v>5773</v>
      </c>
    </row>
    <row r="455" spans="1:5" hidden="1" x14ac:dyDescent="0.25">
      <c r="A455" s="44">
        <v>0</v>
      </c>
      <c r="B455" s="806" t="s">
        <v>5763</v>
      </c>
      <c r="C455" s="733" t="s">
        <v>5774</v>
      </c>
      <c r="D455" s="733" t="s">
        <v>5775</v>
      </c>
      <c r="E455" s="807" t="s">
        <v>5760</v>
      </c>
    </row>
    <row r="456" spans="1:5" hidden="1" x14ac:dyDescent="0.25">
      <c r="A456" s="44">
        <v>0</v>
      </c>
      <c r="B456" s="806" t="s">
        <v>5763</v>
      </c>
      <c r="C456" s="733" t="s">
        <v>5776</v>
      </c>
      <c r="D456" s="733" t="s">
        <v>5777</v>
      </c>
      <c r="E456" s="807" t="s">
        <v>5778</v>
      </c>
    </row>
    <row r="457" spans="1:5" hidden="1" x14ac:dyDescent="0.25">
      <c r="A457" s="44">
        <v>0</v>
      </c>
      <c r="B457" s="806" t="s">
        <v>5763</v>
      </c>
      <c r="C457" s="733" t="s">
        <v>5779</v>
      </c>
      <c r="D457" s="733" t="s">
        <v>5780</v>
      </c>
      <c r="E457" s="807" t="s">
        <v>5778</v>
      </c>
    </row>
    <row r="458" spans="1:5" hidden="1" x14ac:dyDescent="0.25">
      <c r="A458" s="44">
        <v>0</v>
      </c>
      <c r="B458" s="806" t="s">
        <v>5763</v>
      </c>
      <c r="C458" s="733" t="s">
        <v>5781</v>
      </c>
      <c r="D458" s="733" t="s">
        <v>5782</v>
      </c>
      <c r="E458" s="807" t="s">
        <v>5778</v>
      </c>
    </row>
    <row r="459" spans="1:5" hidden="1" x14ac:dyDescent="0.25">
      <c r="A459" s="44">
        <v>0</v>
      </c>
      <c r="B459" s="806" t="s">
        <v>5763</v>
      </c>
      <c r="C459" s="733" t="s">
        <v>5783</v>
      </c>
      <c r="D459" s="733" t="s">
        <v>5784</v>
      </c>
      <c r="E459" s="807" t="s">
        <v>5778</v>
      </c>
    </row>
    <row r="460" spans="1:5" hidden="1" x14ac:dyDescent="0.25">
      <c r="A460" s="44">
        <v>0</v>
      </c>
      <c r="B460" s="806" t="s">
        <v>5763</v>
      </c>
      <c r="C460" s="733" t="s">
        <v>5785</v>
      </c>
      <c r="D460" s="733" t="s">
        <v>5786</v>
      </c>
      <c r="E460" s="807" t="s">
        <v>5778</v>
      </c>
    </row>
    <row r="461" spans="1:5" hidden="1" x14ac:dyDescent="0.25">
      <c r="A461" s="44">
        <v>0</v>
      </c>
      <c r="B461" s="806" t="s">
        <v>5763</v>
      </c>
      <c r="C461" s="733" t="s">
        <v>5787</v>
      </c>
      <c r="D461" s="733" t="s">
        <v>5788</v>
      </c>
      <c r="E461" s="807" t="s">
        <v>5778</v>
      </c>
    </row>
    <row r="462" spans="1:5" hidden="1" x14ac:dyDescent="0.25">
      <c r="A462" s="44">
        <v>0</v>
      </c>
      <c r="B462" s="806" t="s">
        <v>5763</v>
      </c>
      <c r="C462" s="733" t="s">
        <v>5789</v>
      </c>
      <c r="D462" s="733" t="s">
        <v>5790</v>
      </c>
      <c r="E462" s="807" t="s">
        <v>5773</v>
      </c>
    </row>
    <row r="463" spans="1:5" hidden="1" x14ac:dyDescent="0.25">
      <c r="A463" s="44">
        <v>0</v>
      </c>
      <c r="B463" s="806" t="s">
        <v>5763</v>
      </c>
      <c r="C463" s="733" t="s">
        <v>5791</v>
      </c>
      <c r="D463" s="733" t="s">
        <v>5792</v>
      </c>
      <c r="E463" s="807" t="s">
        <v>5773</v>
      </c>
    </row>
    <row r="464" spans="1:5" hidden="1" x14ac:dyDescent="0.25">
      <c r="A464" s="44">
        <v>0</v>
      </c>
      <c r="B464" s="806" t="s">
        <v>5763</v>
      </c>
      <c r="C464" s="733" t="s">
        <v>5793</v>
      </c>
      <c r="D464" s="733" t="s">
        <v>5794</v>
      </c>
      <c r="E464" s="807" t="s">
        <v>5760</v>
      </c>
    </row>
    <row r="465" spans="1:5" hidden="1" x14ac:dyDescent="0.25">
      <c r="A465" s="44">
        <v>0</v>
      </c>
      <c r="B465" s="806" t="s">
        <v>5795</v>
      </c>
      <c r="C465" s="733" t="s">
        <v>5796</v>
      </c>
      <c r="D465" s="733" t="s">
        <v>517</v>
      </c>
      <c r="E465" s="807" t="s">
        <v>7134</v>
      </c>
    </row>
    <row r="466" spans="1:5" hidden="1" x14ac:dyDescent="0.25">
      <c r="A466" s="44">
        <v>0</v>
      </c>
      <c r="B466" s="806" t="s">
        <v>5797</v>
      </c>
      <c r="C466" s="733" t="s">
        <v>5796</v>
      </c>
      <c r="D466" s="733" t="s">
        <v>517</v>
      </c>
      <c r="E466" s="807" t="s">
        <v>4932</v>
      </c>
    </row>
    <row r="467" spans="1:5" hidden="1" x14ac:dyDescent="0.25">
      <c r="A467" s="44">
        <v>0</v>
      </c>
      <c r="B467" s="806" t="s">
        <v>5798</v>
      </c>
      <c r="C467" s="733" t="s">
        <v>5796</v>
      </c>
      <c r="D467" s="733" t="s">
        <v>517</v>
      </c>
      <c r="E467" s="807" t="s">
        <v>4932</v>
      </c>
    </row>
    <row r="468" spans="1:5" hidden="1" x14ac:dyDescent="0.25">
      <c r="A468" s="44">
        <v>0</v>
      </c>
      <c r="B468" s="806" t="s">
        <v>5799</v>
      </c>
      <c r="C468" s="733" t="s">
        <v>5796</v>
      </c>
      <c r="D468" s="733" t="s">
        <v>517</v>
      </c>
      <c r="E468" s="807" t="s">
        <v>4932</v>
      </c>
    </row>
    <row r="469" spans="1:5" x14ac:dyDescent="0.25">
      <c r="A469" s="44">
        <v>0</v>
      </c>
      <c r="B469" s="806" t="s">
        <v>5800</v>
      </c>
      <c r="C469" s="733" t="s">
        <v>5796</v>
      </c>
      <c r="D469" s="733" t="s">
        <v>517</v>
      </c>
      <c r="E469" s="807" t="s">
        <v>4932</v>
      </c>
    </row>
    <row r="470" spans="1:5" x14ac:dyDescent="0.25">
      <c r="A470" s="44">
        <v>0</v>
      </c>
      <c r="B470" s="806" t="s">
        <v>5795</v>
      </c>
      <c r="C470" s="733" t="s">
        <v>5801</v>
      </c>
      <c r="D470" s="733" t="s">
        <v>5802</v>
      </c>
      <c r="E470" s="807" t="s">
        <v>7134</v>
      </c>
    </row>
    <row r="471" spans="1:5" x14ac:dyDescent="0.25">
      <c r="A471" s="44">
        <v>0</v>
      </c>
      <c r="B471" s="806" t="s">
        <v>5797</v>
      </c>
      <c r="C471" s="733" t="s">
        <v>5801</v>
      </c>
      <c r="D471" s="733" t="s">
        <v>5802</v>
      </c>
      <c r="E471" s="807" t="s">
        <v>7134</v>
      </c>
    </row>
    <row r="472" spans="1:5" x14ac:dyDescent="0.25">
      <c r="A472" s="44">
        <v>0</v>
      </c>
      <c r="B472" s="806" t="s">
        <v>5798</v>
      </c>
      <c r="C472" s="733" t="s">
        <v>5801</v>
      </c>
      <c r="D472" s="733" t="s">
        <v>5802</v>
      </c>
      <c r="E472" s="807" t="s">
        <v>7134</v>
      </c>
    </row>
    <row r="473" spans="1:5" x14ac:dyDescent="0.25">
      <c r="A473" s="44">
        <v>0</v>
      </c>
      <c r="B473" s="806" t="s">
        <v>5799</v>
      </c>
      <c r="C473" s="733" t="s">
        <v>5801</v>
      </c>
      <c r="D473" s="733" t="s">
        <v>5802</v>
      </c>
      <c r="E473" s="807" t="s">
        <v>7134</v>
      </c>
    </row>
    <row r="474" spans="1:5" x14ac:dyDescent="0.25">
      <c r="A474" s="44">
        <v>0</v>
      </c>
      <c r="B474" s="806" t="s">
        <v>5800</v>
      </c>
      <c r="C474" s="733" t="s">
        <v>5801</v>
      </c>
      <c r="D474" s="733" t="s">
        <v>5802</v>
      </c>
      <c r="E474" s="807" t="s">
        <v>7134</v>
      </c>
    </row>
    <row r="475" spans="1:5" x14ac:dyDescent="0.25">
      <c r="A475" s="44">
        <v>0</v>
      </c>
      <c r="B475" s="806" t="s">
        <v>5803</v>
      </c>
      <c r="C475" s="733" t="s">
        <v>5801</v>
      </c>
      <c r="D475" s="733" t="s">
        <v>5802</v>
      </c>
      <c r="E475" s="807" t="s">
        <v>7134</v>
      </c>
    </row>
    <row r="476" spans="1:5" x14ac:dyDescent="0.25">
      <c r="A476" s="44">
        <v>0</v>
      </c>
      <c r="B476" s="806" t="s">
        <v>5804</v>
      </c>
      <c r="C476" s="733" t="s">
        <v>5801</v>
      </c>
      <c r="D476" s="733" t="s">
        <v>5802</v>
      </c>
      <c r="E476" s="807" t="s">
        <v>7134</v>
      </c>
    </row>
    <row r="477" spans="1:5" x14ac:dyDescent="0.25">
      <c r="A477" s="44">
        <v>0</v>
      </c>
      <c r="B477" s="806" t="s">
        <v>5795</v>
      </c>
      <c r="C477" s="733" t="s">
        <v>5805</v>
      </c>
      <c r="D477" s="733" t="s">
        <v>5806</v>
      </c>
      <c r="E477" s="807" t="s">
        <v>4932</v>
      </c>
    </row>
    <row r="478" spans="1:5" x14ac:dyDescent="0.25">
      <c r="A478" s="44">
        <v>0</v>
      </c>
      <c r="B478" s="806" t="s">
        <v>5797</v>
      </c>
      <c r="C478" s="733" t="s">
        <v>5805</v>
      </c>
      <c r="D478" s="733" t="s">
        <v>5806</v>
      </c>
      <c r="E478" s="807" t="s">
        <v>4932</v>
      </c>
    </row>
    <row r="479" spans="1:5" x14ac:dyDescent="0.25">
      <c r="A479" s="44">
        <v>0</v>
      </c>
      <c r="B479" s="806" t="s">
        <v>5798</v>
      </c>
      <c r="C479" s="733" t="s">
        <v>5805</v>
      </c>
      <c r="D479" s="733" t="s">
        <v>5806</v>
      </c>
      <c r="E479" s="807" t="s">
        <v>4932</v>
      </c>
    </row>
    <row r="480" spans="1:5" x14ac:dyDescent="0.25">
      <c r="A480" s="44">
        <v>0</v>
      </c>
      <c r="B480" s="806" t="s">
        <v>5799</v>
      </c>
      <c r="C480" s="733" t="s">
        <v>5805</v>
      </c>
      <c r="D480" s="733" t="s">
        <v>5806</v>
      </c>
      <c r="E480" s="807" t="s">
        <v>7134</v>
      </c>
    </row>
    <row r="481" spans="1:5" x14ac:dyDescent="0.25">
      <c r="A481" s="44">
        <v>0</v>
      </c>
      <c r="B481" s="806" t="s">
        <v>5800</v>
      </c>
      <c r="C481" s="733" t="s">
        <v>5805</v>
      </c>
      <c r="D481" s="733" t="s">
        <v>5806</v>
      </c>
      <c r="E481" s="807" t="s">
        <v>7134</v>
      </c>
    </row>
    <row r="482" spans="1:5" x14ac:dyDescent="0.25">
      <c r="A482" s="44">
        <v>0</v>
      </c>
      <c r="B482" s="806" t="s">
        <v>5803</v>
      </c>
      <c r="C482" s="733" t="s">
        <v>5805</v>
      </c>
      <c r="D482" s="733" t="s">
        <v>5806</v>
      </c>
      <c r="E482" s="807" t="s">
        <v>7134</v>
      </c>
    </row>
    <row r="483" spans="1:5" x14ac:dyDescent="0.25">
      <c r="A483" s="44">
        <v>0</v>
      </c>
      <c r="B483" s="806" t="s">
        <v>5804</v>
      </c>
      <c r="C483" s="733" t="s">
        <v>5805</v>
      </c>
      <c r="D483" s="733" t="s">
        <v>5806</v>
      </c>
      <c r="E483" s="807" t="s">
        <v>7134</v>
      </c>
    </row>
    <row r="484" spans="1:5" ht="15.75" thickBot="1" x14ac:dyDescent="0.3">
      <c r="A484" s="44">
        <f t="shared" si="18"/>
        <v>1</v>
      </c>
      <c r="B484" s="809" t="s">
        <v>5799</v>
      </c>
      <c r="C484" s="810">
        <v>81400</v>
      </c>
      <c r="D484" s="810" t="s">
        <v>5807</v>
      </c>
      <c r="E484" s="817">
        <v>100</v>
      </c>
    </row>
  </sheetData>
  <sheetProtection algorithmName="SHA-512" hashValue="Jcz9EWxJdcDHM+ljXxZuv0F5ZCd1SmewGWN7uhPRU+zvp465mv9i/1FO2S6ZKJkBNPI/DA68xOwQBEWrsW8j0g==" saltValue="TFlmj2A5++qv1Kz+y1kbtQ==" spinCount="100000" sheet="1" objects="1" scenarios="1"/>
  <mergeCells count="1">
    <mergeCell ref="G303:I303"/>
  </mergeCells>
  <dataValidations count="11">
    <dataValidation allowBlank="1" showInputMessage="1" showErrorMessage="1" prompt="Fixed Character_x000a_Length of 3_x000a__x000a_Product of Pricing Factors" sqref="X60 X150 Z178 AB206 AB231 AB286 AD258 Z93" xr:uid="{00000000-0002-0000-0B00-000000000000}"/>
    <dataValidation allowBlank="1" showInputMessage="1" showErrorMessage="1" prompt="Fixed Character_x000a_Length of 3" sqref="B60:C60 H60 B150:C150 H150 B178:C178 AA178 B206:C206 AC206 B231:C231 AC231 J231 B286:C286 J286 I93 AA93:AB93 AC286:AD286 Y150:Z150 J178:K178 P206 B258:C258 J258 AE258:AF258 Y60:Z60 B93:C93" xr:uid="{00000000-0002-0000-0B00-000001000000}"/>
    <dataValidation allowBlank="1" showInputMessage="1" showErrorMessage="1" prompt="Fixed Character_x000a_Length of 1" sqref="AA60 L60 V60 O60:P60 M150 V150 X178 R178:S178 AA206 U206:V206 AD231 N231 Z231 T231:U231 AE286 N286 Z286 T286:U286 W93 Q93:R93 AC93:AD93 O150:Q150 AA150:AB150 L178 AB178:AC178 Q206 AG258 N258 AB258 T258:U258 M93 AD206:AG206" xr:uid="{00000000-0002-0000-0B00-000002000000}"/>
    <dataValidation allowBlank="1" showInputMessage="1" showErrorMessage="1" prompt="Defaults from Policy Level_x000a_For Manual Override:_x000a_Enter two digit number_x000a_WINS formats automatically" sqref="AB60 AC150 AD178 AH206 AF286 AE93:AE94 AE231:AF231 AH258:AI258" xr:uid="{00000000-0002-0000-0B00-000003000000}"/>
    <dataValidation allowBlank="1" showInputMessage="1" showErrorMessage="1" prompt="Fixed Character_x000a_Length of 3 Each_x000a_Formatted XXX/XXX" sqref="D60 D150 D178 D206 D231 D286 D258 D93" xr:uid="{00000000-0002-0000-0B00-000004000000}"/>
    <dataValidation allowBlank="1" showInputMessage="1" showErrorMessage="1" prompt="Fixed Character Length of 6_x000a_Classes end in -888_x000a_Utilize leading zeroes to complete" sqref="F60 F150 F286:G286 F178:G178 F206:G206 F231:G231 F258 F93" xr:uid="{00000000-0002-0000-0B00-000005000000}"/>
    <dataValidation allowBlank="1" showInputMessage="1" showErrorMessage="1" prompt="Fixed Character_x000a_Length of 2" sqref="G60 J60 N150 G150 T206 L231 L286 M60:N60 G93:H93 J150:K150 I178 M178:Q178 I206:O206 H231:I231 O231:S231 L258 O258:S258 G258:I258 H286:I286 O286:S286 N93:P93 K93" xr:uid="{00000000-0002-0000-0B00-000006000000}"/>
    <dataValidation allowBlank="1" showInputMessage="1" showErrorMessage="1" prompt="Fixed Character_x000a_Length of 6" sqref="Q60 R150 T178 W206 V231 V286 V258:X258 S93" xr:uid="{00000000-0002-0000-0B00-000007000000}"/>
    <dataValidation allowBlank="1" showInputMessage="1" showErrorMessage="1" prompt="Maximum Character_x000a_Length of 30" sqref="E60 E150 E178 E206 E231 E286 E258 E93" xr:uid="{00000000-0002-0000-0B00-000008000000}"/>
    <dataValidation allowBlank="1" showInputMessage="1" showErrorMessage="1" prompt="Texas Only" sqref="R60 U60 S150 U150 U178 W178 X206 Z206 W231 Y231 W286 Y286 V93 AA258 Y258 T93" xr:uid="{00000000-0002-0000-0B00-000009000000}"/>
    <dataValidation allowBlank="1" showInputMessage="1" showErrorMessage="1" prompt="Texas Only_x000a_If No Claim Limit Amount_x000a_Repeat the Occur Limit Amount" sqref="T150 V178 Y206 X231 X286 S60:T60 Z258 U93" xr:uid="{00000000-0002-0000-0B00-00000A000000}"/>
  </dataValidations>
  <printOptions horizontalCentered="1"/>
  <pageMargins left="0.2" right="0.2" top="0.75" bottom="0.75" header="0.3" footer="0.3"/>
  <pageSetup paperSize="5" scale="31" fitToHeight="5"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dimension ref="A1:B58"/>
  <sheetViews>
    <sheetView topLeftCell="A28" workbookViewId="0">
      <selection activeCell="S5" sqref="S5"/>
    </sheetView>
  </sheetViews>
  <sheetFormatPr defaultRowHeight="15" x14ac:dyDescent="0.25"/>
  <cols>
    <col min="1" max="1" width="60.5703125" bestFit="1" customWidth="1"/>
    <col min="2" max="2" width="169.42578125" bestFit="1" customWidth="1"/>
  </cols>
  <sheetData>
    <row r="1" spans="1:2" x14ac:dyDescent="0.25">
      <c r="A1" s="225" t="s">
        <v>180</v>
      </c>
      <c r="B1" s="225" t="s">
        <v>181</v>
      </c>
    </row>
    <row r="2" spans="1:2" x14ac:dyDescent="0.25">
      <c r="A2" t="s">
        <v>205</v>
      </c>
      <c r="B2" t="s">
        <v>248</v>
      </c>
    </row>
    <row r="3" spans="1:2" x14ac:dyDescent="0.25">
      <c r="A3" t="s">
        <v>206</v>
      </c>
      <c r="B3" t="s">
        <v>245</v>
      </c>
    </row>
    <row r="4" spans="1:2" x14ac:dyDescent="0.25">
      <c r="A4" t="s">
        <v>207</v>
      </c>
      <c r="B4" t="s">
        <v>237</v>
      </c>
    </row>
    <row r="5" spans="1:2" x14ac:dyDescent="0.25">
      <c r="A5" t="s">
        <v>208</v>
      </c>
      <c r="B5" t="s">
        <v>238</v>
      </c>
    </row>
    <row r="6" spans="1:2" x14ac:dyDescent="0.25">
      <c r="A6" t="s">
        <v>209</v>
      </c>
      <c r="B6" t="s">
        <v>239</v>
      </c>
    </row>
    <row r="7" spans="1:2" x14ac:dyDescent="0.25">
      <c r="A7" t="s">
        <v>210</v>
      </c>
      <c r="B7" t="s">
        <v>242</v>
      </c>
    </row>
    <row r="8" spans="1:2" x14ac:dyDescent="0.25">
      <c r="A8" t="s">
        <v>211</v>
      </c>
      <c r="B8" t="s">
        <v>243</v>
      </c>
    </row>
    <row r="9" spans="1:2" x14ac:dyDescent="0.25">
      <c r="A9" t="s">
        <v>212</v>
      </c>
      <c r="B9" t="s">
        <v>241</v>
      </c>
    </row>
    <row r="10" spans="1:2" x14ac:dyDescent="0.25">
      <c r="A10" t="s">
        <v>199</v>
      </c>
      <c r="B10" t="s">
        <v>259</v>
      </c>
    </row>
    <row r="11" spans="1:2" x14ac:dyDescent="0.25">
      <c r="A11" t="s">
        <v>213</v>
      </c>
      <c r="B11" t="s">
        <v>240</v>
      </c>
    </row>
    <row r="12" spans="1:2" x14ac:dyDescent="0.25">
      <c r="A12" t="s">
        <v>214</v>
      </c>
      <c r="B12" t="s">
        <v>268</v>
      </c>
    </row>
    <row r="13" spans="1:2" x14ac:dyDescent="0.25">
      <c r="A13" t="s">
        <v>215</v>
      </c>
      <c r="B13" t="s">
        <v>269</v>
      </c>
    </row>
    <row r="14" spans="1:2" x14ac:dyDescent="0.25">
      <c r="A14" t="s">
        <v>216</v>
      </c>
      <c r="B14" t="s">
        <v>271</v>
      </c>
    </row>
    <row r="15" spans="1:2" x14ac:dyDescent="0.25">
      <c r="A15" t="s">
        <v>217</v>
      </c>
      <c r="B15" t="s">
        <v>270</v>
      </c>
    </row>
    <row r="16" spans="1:2" x14ac:dyDescent="0.25">
      <c r="A16" t="s">
        <v>218</v>
      </c>
      <c r="B16" t="s">
        <v>272</v>
      </c>
    </row>
    <row r="17" spans="1:2" x14ac:dyDescent="0.25">
      <c r="A17" t="s">
        <v>219</v>
      </c>
      <c r="B17" t="s">
        <v>267</v>
      </c>
    </row>
    <row r="18" spans="1:2" x14ac:dyDescent="0.25">
      <c r="A18" t="s">
        <v>235</v>
      </c>
      <c r="B18" t="s">
        <v>253</v>
      </c>
    </row>
    <row r="19" spans="1:2" x14ac:dyDescent="0.25">
      <c r="A19" t="s">
        <v>220</v>
      </c>
      <c r="B19" t="s">
        <v>266</v>
      </c>
    </row>
    <row r="20" spans="1:2" x14ac:dyDescent="0.25">
      <c r="A20" t="s">
        <v>221</v>
      </c>
      <c r="B20" t="s">
        <v>264</v>
      </c>
    </row>
    <row r="21" spans="1:2" x14ac:dyDescent="0.25">
      <c r="A21" t="s">
        <v>222</v>
      </c>
      <c r="B21" t="s">
        <v>174</v>
      </c>
    </row>
    <row r="22" spans="1:2" x14ac:dyDescent="0.25">
      <c r="A22" t="s">
        <v>192</v>
      </c>
      <c r="B22" t="s">
        <v>174</v>
      </c>
    </row>
    <row r="23" spans="1:2" x14ac:dyDescent="0.25">
      <c r="A23" t="s">
        <v>223</v>
      </c>
      <c r="B23" t="s">
        <v>260</v>
      </c>
    </row>
    <row r="24" spans="1:2" x14ac:dyDescent="0.25">
      <c r="A24" t="s">
        <v>224</v>
      </c>
      <c r="B24" t="s">
        <v>255</v>
      </c>
    </row>
    <row r="25" spans="1:2" x14ac:dyDescent="0.25">
      <c r="A25" t="s">
        <v>225</v>
      </c>
      <c r="B25" t="s">
        <v>257</v>
      </c>
    </row>
    <row r="26" spans="1:2" x14ac:dyDescent="0.25">
      <c r="A26" t="s">
        <v>226</v>
      </c>
      <c r="B26" t="s">
        <v>258</v>
      </c>
    </row>
    <row r="27" spans="1:2" x14ac:dyDescent="0.25">
      <c r="A27" t="s">
        <v>227</v>
      </c>
      <c r="B27" t="s">
        <v>261</v>
      </c>
    </row>
    <row r="28" spans="1:2" x14ac:dyDescent="0.25">
      <c r="A28" t="s">
        <v>228</v>
      </c>
      <c r="B28" t="s">
        <v>262</v>
      </c>
    </row>
    <row r="29" spans="1:2" x14ac:dyDescent="0.25">
      <c r="A29" t="s">
        <v>236</v>
      </c>
      <c r="B29" t="s">
        <v>254</v>
      </c>
    </row>
    <row r="30" spans="1:2" x14ac:dyDescent="0.25">
      <c r="A30" t="s">
        <v>229</v>
      </c>
      <c r="B30" t="s">
        <v>247</v>
      </c>
    </row>
    <row r="31" spans="1:2" x14ac:dyDescent="0.25">
      <c r="A31" t="s">
        <v>230</v>
      </c>
      <c r="B31" t="s">
        <v>250</v>
      </c>
    </row>
    <row r="32" spans="1:2" x14ac:dyDescent="0.25">
      <c r="A32" t="s">
        <v>231</v>
      </c>
      <c r="B32" t="s">
        <v>246</v>
      </c>
    </row>
    <row r="33" spans="1:2" x14ac:dyDescent="0.25">
      <c r="A33" t="s">
        <v>232</v>
      </c>
      <c r="B33" t="s">
        <v>256</v>
      </c>
    </row>
    <row r="34" spans="1:2" x14ac:dyDescent="0.25">
      <c r="A34" t="s">
        <v>233</v>
      </c>
      <c r="B34" t="s">
        <v>244</v>
      </c>
    </row>
    <row r="35" spans="1:2" x14ac:dyDescent="0.25">
      <c r="A35" t="s">
        <v>234</v>
      </c>
      <c r="B35" t="s">
        <v>265</v>
      </c>
    </row>
    <row r="36" spans="1:2" x14ac:dyDescent="0.25">
      <c r="A36" t="s">
        <v>200</v>
      </c>
      <c r="B36" t="s">
        <v>249</v>
      </c>
    </row>
    <row r="37" spans="1:2" x14ac:dyDescent="0.25">
      <c r="A37" t="s">
        <v>201</v>
      </c>
      <c r="B37" t="s">
        <v>263</v>
      </c>
    </row>
    <row r="38" spans="1:2" x14ac:dyDescent="0.25">
      <c r="A38" t="s">
        <v>202</v>
      </c>
      <c r="B38" t="s">
        <v>273</v>
      </c>
    </row>
    <row r="39" spans="1:2" x14ac:dyDescent="0.25">
      <c r="A39" t="s">
        <v>203</v>
      </c>
      <c r="B39" t="s">
        <v>251</v>
      </c>
    </row>
    <row r="40" spans="1:2" x14ac:dyDescent="0.25">
      <c r="A40" t="s">
        <v>204</v>
      </c>
      <c r="B40" t="s">
        <v>252</v>
      </c>
    </row>
    <row r="42" spans="1:2" x14ac:dyDescent="0.25">
      <c r="A42" t="s">
        <v>183</v>
      </c>
      <c r="B42" t="s">
        <v>163</v>
      </c>
    </row>
    <row r="43" spans="1:2" x14ac:dyDescent="0.25">
      <c r="A43" t="s">
        <v>189</v>
      </c>
      <c r="B43" t="s">
        <v>171</v>
      </c>
    </row>
    <row r="44" spans="1:2" x14ac:dyDescent="0.25">
      <c r="A44" t="s">
        <v>182</v>
      </c>
      <c r="B44" t="s">
        <v>162</v>
      </c>
    </row>
    <row r="45" spans="1:2" x14ac:dyDescent="0.25">
      <c r="A45" t="s">
        <v>186</v>
      </c>
      <c r="B45" t="s">
        <v>168</v>
      </c>
    </row>
    <row r="46" spans="1:2" x14ac:dyDescent="0.25">
      <c r="A46" t="s">
        <v>188</v>
      </c>
      <c r="B46" t="s">
        <v>170</v>
      </c>
    </row>
    <row r="47" spans="1:2" x14ac:dyDescent="0.25">
      <c r="A47" t="s">
        <v>194</v>
      </c>
      <c r="B47" t="s">
        <v>176</v>
      </c>
    </row>
    <row r="48" spans="1:2" x14ac:dyDescent="0.25">
      <c r="A48" t="s">
        <v>193</v>
      </c>
      <c r="B48" t="s">
        <v>175</v>
      </c>
    </row>
    <row r="49" spans="1:2" x14ac:dyDescent="0.25">
      <c r="A49" t="s">
        <v>187</v>
      </c>
      <c r="B49" t="s">
        <v>169</v>
      </c>
    </row>
    <row r="50" spans="1:2" x14ac:dyDescent="0.25">
      <c r="A50" t="s">
        <v>185</v>
      </c>
      <c r="B50" t="s">
        <v>166</v>
      </c>
    </row>
    <row r="51" spans="1:2" x14ac:dyDescent="0.25">
      <c r="A51" t="s">
        <v>143</v>
      </c>
      <c r="B51" t="s">
        <v>167</v>
      </c>
    </row>
    <row r="52" spans="1:2" x14ac:dyDescent="0.25">
      <c r="A52" t="s">
        <v>196</v>
      </c>
      <c r="B52" t="s">
        <v>178</v>
      </c>
    </row>
    <row r="53" spans="1:2" x14ac:dyDescent="0.25">
      <c r="A53" t="s">
        <v>197</v>
      </c>
      <c r="B53" t="s">
        <v>179</v>
      </c>
    </row>
    <row r="54" spans="1:2" x14ac:dyDescent="0.25">
      <c r="A54" t="s">
        <v>198</v>
      </c>
      <c r="B54" t="s">
        <v>165</v>
      </c>
    </row>
    <row r="55" spans="1:2" x14ac:dyDescent="0.25">
      <c r="A55" t="s">
        <v>191</v>
      </c>
      <c r="B55" t="s">
        <v>173</v>
      </c>
    </row>
    <row r="56" spans="1:2" x14ac:dyDescent="0.25">
      <c r="A56" t="s">
        <v>195</v>
      </c>
      <c r="B56" t="s">
        <v>177</v>
      </c>
    </row>
    <row r="57" spans="1:2" x14ac:dyDescent="0.25">
      <c r="A57" t="s">
        <v>184</v>
      </c>
      <c r="B57" t="s">
        <v>164</v>
      </c>
    </row>
    <row r="58" spans="1:2" x14ac:dyDescent="0.25">
      <c r="A58" t="s">
        <v>190</v>
      </c>
      <c r="B58" t="s">
        <v>172</v>
      </c>
    </row>
  </sheetData>
  <sortState xmlns:xlrd2="http://schemas.microsoft.com/office/spreadsheetml/2017/richdata2" ref="A2:B127">
    <sortCondition ref="B2:B127"/>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7"/>
  <dimension ref="B1:I62"/>
  <sheetViews>
    <sheetView workbookViewId="0">
      <selection activeCell="C11" sqref="C11"/>
    </sheetView>
  </sheetViews>
  <sheetFormatPr defaultColWidth="9.42578125" defaultRowHeight="15" x14ac:dyDescent="0.25"/>
  <cols>
    <col min="2" max="2" width="23.42578125" style="36" bestFit="1" customWidth="1"/>
    <col min="3" max="3" width="42.42578125" style="36" customWidth="1"/>
    <col min="4" max="4" width="16.28515625" bestFit="1" customWidth="1"/>
    <col min="8" max="8" width="16.85546875" bestFit="1" customWidth="1"/>
    <col min="9" max="9" width="14.28515625" bestFit="1" customWidth="1"/>
  </cols>
  <sheetData>
    <row r="1" spans="2:9" x14ac:dyDescent="0.25">
      <c r="H1" s="33" t="s">
        <v>24</v>
      </c>
      <c r="I1" s="33" t="s">
        <v>25</v>
      </c>
    </row>
    <row r="2" spans="2:9" x14ac:dyDescent="0.25">
      <c r="B2" s="39" t="s">
        <v>26</v>
      </c>
      <c r="C2" s="36">
        <v>1286367</v>
      </c>
      <c r="H2" s="34"/>
      <c r="I2" s="35"/>
    </row>
    <row r="3" spans="2:9" x14ac:dyDescent="0.25">
      <c r="B3" s="39" t="s">
        <v>27</v>
      </c>
      <c r="C3" s="36">
        <v>1</v>
      </c>
    </row>
    <row r="4" spans="2:9" x14ac:dyDescent="0.25">
      <c r="B4" s="39" t="s">
        <v>28</v>
      </c>
      <c r="C4" s="37" t="str">
        <f>C2&amp;"-"&amp;C3</f>
        <v>1286367-1</v>
      </c>
    </row>
    <row r="5" spans="2:9" x14ac:dyDescent="0.25">
      <c r="B5" s="39" t="s">
        <v>276</v>
      </c>
      <c r="C5" s="36">
        <v>2</v>
      </c>
    </row>
    <row r="6" spans="2:9" x14ac:dyDescent="0.25">
      <c r="B6" s="39" t="s">
        <v>275</v>
      </c>
      <c r="C6" s="36" t="s">
        <v>7113</v>
      </c>
    </row>
    <row r="7" spans="2:9" x14ac:dyDescent="0.25">
      <c r="B7" s="39" t="s">
        <v>274</v>
      </c>
      <c r="C7" s="36" t="s">
        <v>7112</v>
      </c>
    </row>
    <row r="8" spans="2:9" x14ac:dyDescent="0.25">
      <c r="B8" s="39" t="s">
        <v>277</v>
      </c>
      <c r="C8" s="36">
        <v>1</v>
      </c>
    </row>
    <row r="9" spans="2:9" x14ac:dyDescent="0.25">
      <c r="B9" s="39" t="s">
        <v>278</v>
      </c>
      <c r="C9" s="36">
        <v>941837</v>
      </c>
    </row>
    <row r="10" spans="2:9" x14ac:dyDescent="0.25">
      <c r="B10" s="39" t="s">
        <v>34</v>
      </c>
      <c r="C10" s="36" t="s">
        <v>5025</v>
      </c>
    </row>
    <row r="11" spans="2:9" x14ac:dyDescent="0.25">
      <c r="B11" s="39" t="s">
        <v>35</v>
      </c>
      <c r="C11" s="36" t="s">
        <v>755</v>
      </c>
    </row>
    <row r="12" spans="2:9" x14ac:dyDescent="0.25">
      <c r="B12" s="39" t="s">
        <v>36</v>
      </c>
      <c r="C12" s="36" t="s">
        <v>7110</v>
      </c>
    </row>
    <row r="13" spans="2:9" x14ac:dyDescent="0.25">
      <c r="B13" s="39" t="s">
        <v>37</v>
      </c>
      <c r="C13" s="36" t="s">
        <v>3</v>
      </c>
    </row>
    <row r="14" spans="2:9" x14ac:dyDescent="0.25">
      <c r="B14" s="39" t="s">
        <v>38</v>
      </c>
      <c r="C14" s="37">
        <v>791955</v>
      </c>
    </row>
    <row r="15" spans="2:9" x14ac:dyDescent="0.25">
      <c r="B15" s="39" t="s">
        <v>39</v>
      </c>
      <c r="C15" s="37">
        <v>1</v>
      </c>
    </row>
    <row r="16" spans="2:9" x14ac:dyDescent="0.25">
      <c r="B16" s="39" t="s">
        <v>40</v>
      </c>
      <c r="C16" s="37" t="s">
        <v>3</v>
      </c>
    </row>
    <row r="17" spans="2:4" x14ac:dyDescent="0.25">
      <c r="B17" s="39" t="s">
        <v>41</v>
      </c>
      <c r="C17" s="37" t="s">
        <v>3</v>
      </c>
    </row>
    <row r="18" spans="2:4" x14ac:dyDescent="0.25">
      <c r="B18" s="39" t="s">
        <v>42</v>
      </c>
      <c r="C18" s="37">
        <v>6</v>
      </c>
    </row>
    <row r="19" spans="2:4" x14ac:dyDescent="0.25">
      <c r="B19" s="39" t="s">
        <v>43</v>
      </c>
    </row>
    <row r="20" spans="2:4" x14ac:dyDescent="0.25">
      <c r="B20" s="39" t="s">
        <v>44</v>
      </c>
      <c r="C20" s="36">
        <v>4362</v>
      </c>
    </row>
    <row r="21" spans="2:4" x14ac:dyDescent="0.25">
      <c r="B21" s="39" t="s">
        <v>45</v>
      </c>
      <c r="C21" s="36" t="s">
        <v>7111</v>
      </c>
    </row>
    <row r="22" spans="2:4" x14ac:dyDescent="0.25">
      <c r="B22" s="39"/>
    </row>
    <row r="23" spans="2:4" x14ac:dyDescent="0.25">
      <c r="B23" s="39"/>
    </row>
    <row r="24" spans="2:4" x14ac:dyDescent="0.25">
      <c r="B24" s="39"/>
    </row>
    <row r="25" spans="2:4" x14ac:dyDescent="0.25">
      <c r="B25" s="39"/>
    </row>
    <row r="26" spans="2:4" x14ac:dyDescent="0.25">
      <c r="B26" s="39"/>
    </row>
    <row r="28" spans="2:4" x14ac:dyDescent="0.25">
      <c r="B28" s="36" t="s">
        <v>46</v>
      </c>
    </row>
    <row r="29" spans="2:4" x14ac:dyDescent="0.25">
      <c r="B29"/>
      <c r="D29" s="38"/>
    </row>
    <row r="30" spans="2:4" x14ac:dyDescent="0.25">
      <c r="D30" s="38"/>
    </row>
    <row r="31" spans="2:4" x14ac:dyDescent="0.25">
      <c r="B31" s="36" t="s">
        <v>47</v>
      </c>
      <c r="D31" s="38"/>
    </row>
    <row r="32" spans="2:4" x14ac:dyDescent="0.25">
      <c r="B32"/>
      <c r="D32" s="38"/>
    </row>
    <row r="34" spans="2:2" x14ac:dyDescent="0.25">
      <c r="B34" s="36" t="s">
        <v>48</v>
      </c>
    </row>
    <row r="35" spans="2:2" x14ac:dyDescent="0.25">
      <c r="B35"/>
    </row>
    <row r="37" spans="2:2" x14ac:dyDescent="0.25">
      <c r="B37" s="36" t="s">
        <v>49</v>
      </c>
    </row>
    <row r="38" spans="2:2" x14ac:dyDescent="0.25">
      <c r="B38" t="s">
        <v>7107</v>
      </c>
    </row>
    <row r="40" spans="2:2" x14ac:dyDescent="0.25">
      <c r="B40" s="36" t="s">
        <v>50</v>
      </c>
    </row>
    <row r="41" spans="2:2" x14ac:dyDescent="0.25">
      <c r="B41" t="s">
        <v>7108</v>
      </c>
    </row>
    <row r="43" spans="2:2" x14ac:dyDescent="0.25">
      <c r="B43" s="36" t="s">
        <v>51</v>
      </c>
    </row>
    <row r="44" spans="2:2" x14ac:dyDescent="0.25">
      <c r="B44"/>
    </row>
    <row r="46" spans="2:2" x14ac:dyDescent="0.25">
      <c r="B46" s="36" t="s">
        <v>52</v>
      </c>
    </row>
    <row r="47" spans="2:2" x14ac:dyDescent="0.25">
      <c r="B47" t="s">
        <v>7109</v>
      </c>
    </row>
    <row r="49" spans="2:2" x14ac:dyDescent="0.25">
      <c r="B49" s="36" t="s">
        <v>53</v>
      </c>
    </row>
    <row r="50" spans="2:2" x14ac:dyDescent="0.25">
      <c r="B50" t="s">
        <v>5025</v>
      </c>
    </row>
    <row r="52" spans="2:2" x14ac:dyDescent="0.25">
      <c r="B52" s="36" t="s">
        <v>54</v>
      </c>
    </row>
    <row r="53" spans="2:2" x14ac:dyDescent="0.25">
      <c r="B53">
        <v>90017</v>
      </c>
    </row>
    <row r="55" spans="2:2" x14ac:dyDescent="0.25">
      <c r="B55" s="36" t="s">
        <v>55</v>
      </c>
    </row>
    <row r="56" spans="2:2" x14ac:dyDescent="0.25">
      <c r="B56"/>
    </row>
    <row r="58" spans="2:2" x14ac:dyDescent="0.25">
      <c r="B58" s="36" t="s">
        <v>56</v>
      </c>
    </row>
    <row r="59" spans="2:2" x14ac:dyDescent="0.25">
      <c r="B59"/>
    </row>
    <row r="61" spans="2:2" x14ac:dyDescent="0.25">
      <c r="B61" s="36" t="s">
        <v>279</v>
      </c>
    </row>
    <row r="62" spans="2:2" x14ac:dyDescent="0.25">
      <c r="B62"/>
    </row>
  </sheetData>
  <sheetProtection algorithmName="SHA-512" hashValue="CFxRDVopg8feme5hPP360CrPNoGzTSbX343FcrjiSBMmqroclrPVSc2zEt3lTA1xaGPvyFzdkDkOZZb0QilE7A==" saltValue="JBgQa1kCuAoSap0/YAjDoQ==" spinCount="100000" sheet="1" objects="1" scenarios="1"/>
  <pageMargins left="0.7" right="0.7" top="0.75" bottom="0.75" header="0.3" footer="0.3"/>
  <pageSetup orientation="portrait" r:id="rId1"/>
  <tableParts count="12">
    <tablePart r:id="rId3"/>
    <tablePart r:id="rId4"/>
    <tablePart r:id="rId5"/>
    <tablePart r:id="rId6"/>
    <tablePart r:id="rId7"/>
    <tablePart r:id="rId8"/>
    <tablePart r:id="rId9"/>
    <tablePart r:id="rId10"/>
    <tablePart r:id="rId11"/>
    <tablePart r:id="rId12"/>
    <tablePart r:id="rId13"/>
    <tablePart r:id="rId1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dimension ref="A1:CI2206"/>
  <sheetViews>
    <sheetView workbookViewId="0">
      <selection activeCell="A57" sqref="A57"/>
    </sheetView>
  </sheetViews>
  <sheetFormatPr defaultRowHeight="15" x14ac:dyDescent="0.25"/>
  <cols>
    <col min="1" max="1" width="30.28515625" customWidth="1"/>
    <col min="3" max="3" width="16.5703125" customWidth="1"/>
    <col min="7" max="7" width="25" style="38" customWidth="1"/>
    <col min="8" max="8" width="9.140625" style="38"/>
    <col min="11" max="11" width="14.85546875" customWidth="1"/>
    <col min="14" max="14" width="15.28515625" bestFit="1" customWidth="1"/>
    <col min="16" max="16" width="16.140625" customWidth="1"/>
    <col min="18" max="18" width="17.42578125" bestFit="1" customWidth="1"/>
    <col min="24" max="24" width="29.5703125" customWidth="1"/>
    <col min="25" max="25" width="13.5703125" customWidth="1"/>
    <col min="27" max="27" width="17.42578125" bestFit="1" customWidth="1"/>
    <col min="32" max="32" width="15.28515625" bestFit="1" customWidth="1"/>
    <col min="33" max="33" width="16.28515625" bestFit="1" customWidth="1"/>
    <col min="35" max="35" width="10.140625" bestFit="1" customWidth="1"/>
    <col min="36" max="36" width="16.28515625" bestFit="1" customWidth="1"/>
    <col min="38" max="38" width="19.7109375" customWidth="1"/>
    <col min="41" max="41" width="10.140625" bestFit="1" customWidth="1"/>
    <col min="42" max="42" width="16.28515625" bestFit="1" customWidth="1"/>
    <col min="45" max="45" width="16.28515625" bestFit="1" customWidth="1"/>
    <col min="46" max="46" width="11.42578125" customWidth="1"/>
    <col min="50" max="50" width="15.28515625" bestFit="1" customWidth="1"/>
    <col min="53" max="53" width="16.28515625" bestFit="1" customWidth="1"/>
    <col min="64" max="64" width="17.42578125" customWidth="1"/>
    <col min="65" max="65" width="13.7109375" customWidth="1"/>
    <col min="69" max="69" width="25" bestFit="1" customWidth="1"/>
    <col min="70" max="70" width="6.7109375" customWidth="1"/>
    <col min="74" max="74" width="19.7109375" customWidth="1"/>
    <col min="77" max="77" width="26.5703125" customWidth="1"/>
    <col min="80" max="80" width="16.42578125" customWidth="1"/>
    <col min="82" max="82" width="25.5703125" customWidth="1"/>
    <col min="83" max="83" width="19.85546875" customWidth="1"/>
    <col min="86" max="86" width="52.42578125" customWidth="1"/>
    <col min="87" max="87" width="9.7109375" customWidth="1"/>
  </cols>
  <sheetData>
    <row r="1" spans="1:87" x14ac:dyDescent="0.25">
      <c r="A1" t="s">
        <v>5012</v>
      </c>
      <c r="B1" t="s">
        <v>5013</v>
      </c>
      <c r="C1" t="s">
        <v>5014</v>
      </c>
      <c r="D1" t="s">
        <v>5015</v>
      </c>
      <c r="G1" s="38" t="s">
        <v>5469</v>
      </c>
      <c r="H1" s="38" t="s">
        <v>155</v>
      </c>
      <c r="J1" t="s">
        <v>412</v>
      </c>
      <c r="K1" t="s">
        <v>5139</v>
      </c>
      <c r="L1" t="s">
        <v>155</v>
      </c>
      <c r="O1" t="s">
        <v>5204</v>
      </c>
      <c r="P1" t="s">
        <v>5205</v>
      </c>
      <c r="Q1" t="s">
        <v>5484</v>
      </c>
      <c r="R1" s="671"/>
      <c r="S1" t="s">
        <v>5332</v>
      </c>
      <c r="X1" s="729" t="s">
        <v>5334</v>
      </c>
      <c r="Y1" s="729" t="s">
        <v>5335</v>
      </c>
      <c r="AA1" s="38"/>
      <c r="AB1" t="s">
        <v>5016</v>
      </c>
      <c r="AC1" t="s">
        <v>750</v>
      </c>
      <c r="AF1" t="s">
        <v>5472</v>
      </c>
      <c r="AI1" t="s">
        <v>5476</v>
      </c>
      <c r="AL1" t="s">
        <v>5480</v>
      </c>
      <c r="AO1" t="s">
        <v>5481</v>
      </c>
      <c r="AR1" t="s">
        <v>5495</v>
      </c>
      <c r="AT1" s="671"/>
      <c r="AU1" s="671" t="s">
        <v>5498</v>
      </c>
      <c r="AV1" s="671"/>
      <c r="AW1" s="671"/>
      <c r="AX1" t="s">
        <v>5501</v>
      </c>
      <c r="BA1" t="s">
        <v>5504</v>
      </c>
      <c r="BD1" t="s">
        <v>5518</v>
      </c>
      <c r="BE1" t="s">
        <v>5519</v>
      </c>
      <c r="BF1" t="s">
        <v>5520</v>
      </c>
      <c r="BI1" t="s">
        <v>5522</v>
      </c>
      <c r="BJ1" t="s">
        <v>5551</v>
      </c>
      <c r="BL1" t="s">
        <v>5529</v>
      </c>
      <c r="BM1" t="s">
        <v>5530</v>
      </c>
      <c r="BQ1" t="s">
        <v>6068</v>
      </c>
      <c r="BR1" s="38">
        <v>5</v>
      </c>
      <c r="BV1" t="s">
        <v>6070</v>
      </c>
      <c r="BW1" t="s">
        <v>6071</v>
      </c>
      <c r="BY1" t="s">
        <v>6072</v>
      </c>
      <c r="BZ1" t="s">
        <v>6527</v>
      </c>
      <c r="CA1" t="s">
        <v>6073</v>
      </c>
      <c r="CB1" t="s">
        <v>6071</v>
      </c>
      <c r="CD1" t="s">
        <v>5334</v>
      </c>
      <c r="CE1" t="s">
        <v>5335</v>
      </c>
      <c r="CH1" s="941" t="s">
        <v>6542</v>
      </c>
      <c r="CI1" s="38">
        <v>1</v>
      </c>
    </row>
    <row r="2" spans="1:87" x14ac:dyDescent="0.25">
      <c r="A2" t="s">
        <v>750</v>
      </c>
      <c r="B2" t="s">
        <v>5016</v>
      </c>
      <c r="C2" s="886" t="s">
        <v>5134</v>
      </c>
      <c r="D2" t="s">
        <v>5017</v>
      </c>
      <c r="G2" s="673">
        <v>2500</v>
      </c>
      <c r="H2" s="671" t="s">
        <v>5036</v>
      </c>
      <c r="J2" t="s">
        <v>411</v>
      </c>
      <c r="K2" s="673"/>
      <c r="L2" s="671" t="s">
        <v>5019</v>
      </c>
      <c r="O2" t="s">
        <v>4663</v>
      </c>
      <c r="P2" t="s">
        <v>5206</v>
      </c>
      <c r="Q2" s="671" t="s">
        <v>5485</v>
      </c>
      <c r="R2" s="671"/>
      <c r="X2" s="38" t="s">
        <v>5336</v>
      </c>
      <c r="Y2" s="38">
        <v>0</v>
      </c>
      <c r="AB2" t="s">
        <v>5018</v>
      </c>
      <c r="AC2" t="s">
        <v>749</v>
      </c>
      <c r="AF2" s="673">
        <v>0</v>
      </c>
      <c r="AG2" s="671" t="s">
        <v>5019</v>
      </c>
      <c r="AI2" s="673">
        <v>50000</v>
      </c>
      <c r="AJ2" s="671" t="s">
        <v>5036</v>
      </c>
      <c r="AL2" t="s">
        <v>613</v>
      </c>
      <c r="AM2" s="671" t="s">
        <v>5029</v>
      </c>
      <c r="AO2" s="673">
        <v>2500</v>
      </c>
      <c r="AP2" s="671" t="s">
        <v>5036</v>
      </c>
      <c r="AR2" t="s">
        <v>5486</v>
      </c>
      <c r="AS2" s="38">
        <v>14</v>
      </c>
      <c r="AT2" s="671"/>
      <c r="AU2" s="671" t="s">
        <v>5499</v>
      </c>
      <c r="AV2" s="671"/>
      <c r="AW2" s="671"/>
      <c r="AX2" s="789">
        <v>5000</v>
      </c>
      <c r="AY2" s="671" t="s">
        <v>5019</v>
      </c>
      <c r="BA2" s="789" t="s">
        <v>4933</v>
      </c>
      <c r="BB2" s="671" t="s">
        <v>5506</v>
      </c>
      <c r="BD2" s="791"/>
      <c r="BE2" s="791"/>
      <c r="BF2" s="792"/>
      <c r="BI2" t="s">
        <v>5552</v>
      </c>
      <c r="BJ2" s="671" t="s">
        <v>5019</v>
      </c>
      <c r="BL2" t="s">
        <v>5531</v>
      </c>
      <c r="BM2" s="38">
        <v>1</v>
      </c>
      <c r="BQ2" t="s">
        <v>6069</v>
      </c>
      <c r="BR2" s="38">
        <v>1</v>
      </c>
      <c r="BV2" t="s">
        <v>6504</v>
      </c>
      <c r="BW2" s="923">
        <v>0.04</v>
      </c>
      <c r="BY2" t="s">
        <v>6074</v>
      </c>
      <c r="BZ2" t="s">
        <v>6422</v>
      </c>
      <c r="CA2" s="923">
        <v>0.05</v>
      </c>
      <c r="CB2" s="38">
        <v>0</v>
      </c>
      <c r="CD2" t="s">
        <v>5338</v>
      </c>
      <c r="CE2" s="923">
        <f>IF(Escape!C11&lt;&gt;"Kentucky",0,IF(ROUND(VLOOKUP('Account Info'!F16,Lookups!BY2:CB358,4,FALSE),1)&gt;0.133,VLOOKUP('Account Info'!F16,Lookups!BY2:CB358,4,FALSE)+0.02,VLOOKUP('Account Info'!F16,Lookups!BY2:CB358,4,FALSE)*1.15))</f>
        <v>0</v>
      </c>
      <c r="CH2" s="941" t="s">
        <v>6543</v>
      </c>
      <c r="CI2" s="38">
        <v>2</v>
      </c>
    </row>
    <row r="3" spans="1:87" x14ac:dyDescent="0.25">
      <c r="A3" t="s">
        <v>749</v>
      </c>
      <c r="B3" t="s">
        <v>5018</v>
      </c>
      <c r="C3" t="s">
        <v>5019</v>
      </c>
      <c r="D3" t="s">
        <v>5020</v>
      </c>
      <c r="G3" s="673">
        <v>5000</v>
      </c>
      <c r="H3" s="671" t="s">
        <v>5055</v>
      </c>
      <c r="K3" s="673">
        <v>100000</v>
      </c>
      <c r="L3" s="671" t="s">
        <v>5069</v>
      </c>
      <c r="N3" s="38">
        <f>2+2</f>
        <v>4</v>
      </c>
      <c r="O3" t="s">
        <v>4663</v>
      </c>
      <c r="P3" t="s">
        <v>5206</v>
      </c>
      <c r="Q3" s="671" t="s">
        <v>5485</v>
      </c>
      <c r="R3" s="671"/>
      <c r="X3" s="38" t="s">
        <v>5337</v>
      </c>
      <c r="Y3" s="38">
        <v>0</v>
      </c>
      <c r="AB3" t="s">
        <v>5021</v>
      </c>
      <c r="AC3" t="s">
        <v>753</v>
      </c>
      <c r="AF3" s="673">
        <v>50</v>
      </c>
      <c r="AG3" s="671" t="s">
        <v>5024</v>
      </c>
      <c r="AI3" s="673">
        <v>75000</v>
      </c>
      <c r="AJ3" s="671" t="s">
        <v>5040</v>
      </c>
      <c r="AL3" t="s">
        <v>615</v>
      </c>
      <c r="AM3" s="671" t="s">
        <v>5032</v>
      </c>
      <c r="AO3" s="673">
        <v>5000</v>
      </c>
      <c r="AP3" s="671" t="s">
        <v>5055</v>
      </c>
      <c r="AR3" t="s">
        <v>5487</v>
      </c>
      <c r="AS3" s="38">
        <v>15</v>
      </c>
      <c r="AT3" s="671"/>
      <c r="AU3" s="671" t="s">
        <v>5500</v>
      </c>
      <c r="AV3" s="671"/>
      <c r="AW3" s="671"/>
      <c r="AX3" s="789">
        <v>10000</v>
      </c>
      <c r="AY3" s="671" t="s">
        <v>5024</v>
      </c>
      <c r="BA3" s="789">
        <v>0</v>
      </c>
      <c r="BB3" s="671" t="s">
        <v>5414</v>
      </c>
      <c r="BI3" t="s">
        <v>5553</v>
      </c>
      <c r="BJ3" s="671" t="s">
        <v>5024</v>
      </c>
      <c r="BL3" t="s">
        <v>5532</v>
      </c>
      <c r="BM3" s="38">
        <v>2</v>
      </c>
      <c r="BV3" t="s">
        <v>6512</v>
      </c>
      <c r="BW3" s="923">
        <v>0.06</v>
      </c>
      <c r="BY3" t="s">
        <v>6075</v>
      </c>
      <c r="BZ3" t="s">
        <v>6423</v>
      </c>
      <c r="CA3" s="923">
        <v>0.1</v>
      </c>
      <c r="CB3" s="38">
        <v>0</v>
      </c>
      <c r="CD3" t="s">
        <v>5339</v>
      </c>
      <c r="CE3" s="923" t="e">
        <f>IF(Escape!C11="",0,IF(ROUND(VLOOKUP('Account Info'!F16,Lookups!BY2:CB358,3,FALSE),1)&gt;0.133,VLOOKUP('Account Info'!F16,Lookups!BY2:CB358,3,FALSE)+0.02,VLOOKUP('Account Info'!F16,Lookups!BY2:CB358,3,FALSE)*1.15))</f>
        <v>#N/A</v>
      </c>
      <c r="CH3" s="941" t="s">
        <v>6544</v>
      </c>
      <c r="CI3" s="38">
        <v>3</v>
      </c>
    </row>
    <row r="4" spans="1:87" x14ac:dyDescent="0.25">
      <c r="A4" t="s">
        <v>753</v>
      </c>
      <c r="B4" t="s">
        <v>5021</v>
      </c>
      <c r="C4" t="s">
        <v>5022</v>
      </c>
      <c r="D4" t="s">
        <v>5017</v>
      </c>
      <c r="G4" s="673">
        <v>10000</v>
      </c>
      <c r="H4" s="671" t="s">
        <v>5043</v>
      </c>
      <c r="K4" s="673">
        <v>250000</v>
      </c>
      <c r="L4" s="671" t="s">
        <v>5076</v>
      </c>
      <c r="O4" t="s">
        <v>4659</v>
      </c>
      <c r="P4" t="s">
        <v>5206</v>
      </c>
      <c r="Q4" s="671">
        <v>67070</v>
      </c>
      <c r="R4" s="671"/>
      <c r="X4" s="38" t="s">
        <v>5338</v>
      </c>
      <c r="Y4" s="38">
        <v>6.9000000000000006E-2</v>
      </c>
      <c r="AB4" t="s">
        <v>5023</v>
      </c>
      <c r="AC4" t="s">
        <v>752</v>
      </c>
      <c r="AF4" s="673">
        <v>100</v>
      </c>
      <c r="AG4" s="671" t="s">
        <v>5022</v>
      </c>
      <c r="AI4" s="673">
        <v>100000</v>
      </c>
      <c r="AJ4" s="671" t="s">
        <v>5043</v>
      </c>
      <c r="AL4" t="s">
        <v>617</v>
      </c>
      <c r="AM4" s="671" t="s">
        <v>5038</v>
      </c>
      <c r="AO4" s="673">
        <v>10000</v>
      </c>
      <c r="AP4" s="671" t="s">
        <v>5043</v>
      </c>
      <c r="AR4" t="s">
        <v>5488</v>
      </c>
      <c r="AS4" s="38">
        <v>18</v>
      </c>
      <c r="AT4" s="671"/>
      <c r="AU4" s="671"/>
      <c r="AV4" s="671"/>
      <c r="AW4" s="671"/>
      <c r="AX4" s="789">
        <v>15000</v>
      </c>
      <c r="AY4" s="671" t="s">
        <v>5022</v>
      </c>
      <c r="BA4" s="789">
        <v>3000</v>
      </c>
      <c r="BB4" s="671" t="s">
        <v>5432</v>
      </c>
      <c r="BI4" t="s">
        <v>5554</v>
      </c>
      <c r="BJ4" s="671" t="s">
        <v>5022</v>
      </c>
      <c r="BL4" t="s">
        <v>5533</v>
      </c>
      <c r="BM4" s="38">
        <v>3</v>
      </c>
      <c r="BV4" t="s">
        <v>6462</v>
      </c>
      <c r="BW4" s="923">
        <v>0.05</v>
      </c>
      <c r="BY4" t="s">
        <v>6076</v>
      </c>
      <c r="BZ4" t="s">
        <v>6424</v>
      </c>
      <c r="CA4" s="923">
        <v>0.1</v>
      </c>
      <c r="CB4" s="38">
        <f t="shared" ref="CB4:CB63" si="0">VLOOKUP(BZ4,$BV$2:$BW$36,2,FALSE)</f>
        <v>0.1</v>
      </c>
      <c r="CH4" s="941" t="s">
        <v>6545</v>
      </c>
      <c r="CI4" s="38">
        <v>4</v>
      </c>
    </row>
    <row r="5" spans="1:87" x14ac:dyDescent="0.25">
      <c r="A5" t="s">
        <v>752</v>
      </c>
      <c r="B5" t="s">
        <v>5023</v>
      </c>
      <c r="C5" t="s">
        <v>5024</v>
      </c>
      <c r="D5" s="671">
        <v>504</v>
      </c>
      <c r="G5" s="673">
        <v>15000</v>
      </c>
      <c r="H5" s="671" t="s">
        <v>5057</v>
      </c>
      <c r="K5" s="673">
        <v>500000</v>
      </c>
      <c r="L5" s="671" t="s">
        <v>5130</v>
      </c>
      <c r="O5" t="s">
        <v>4655</v>
      </c>
      <c r="P5" t="s">
        <v>5206</v>
      </c>
      <c r="Q5" s="671">
        <v>67070</v>
      </c>
      <c r="R5" s="671"/>
      <c r="X5" s="38" t="s">
        <v>5339</v>
      </c>
      <c r="Y5" s="38">
        <v>0.115</v>
      </c>
      <c r="AB5" t="s">
        <v>5025</v>
      </c>
      <c r="AC5" t="s">
        <v>755</v>
      </c>
      <c r="AF5" s="673">
        <v>250</v>
      </c>
      <c r="AG5" s="671" t="s">
        <v>5026</v>
      </c>
      <c r="AI5" s="673">
        <v>150000</v>
      </c>
      <c r="AJ5" s="671" t="s">
        <v>5048</v>
      </c>
      <c r="AL5" t="s">
        <v>619</v>
      </c>
      <c r="AM5" s="671" t="s">
        <v>5038</v>
      </c>
      <c r="AO5" s="673">
        <v>15000</v>
      </c>
      <c r="AP5" s="671" t="s">
        <v>5057</v>
      </c>
      <c r="AR5" t="s">
        <v>5489</v>
      </c>
      <c r="AS5" s="38">
        <v>24</v>
      </c>
      <c r="AT5" s="671"/>
      <c r="AU5" s="671"/>
      <c r="AV5" s="671"/>
      <c r="AW5" s="671"/>
      <c r="AX5" s="789">
        <v>20000</v>
      </c>
      <c r="AY5" s="671" t="s">
        <v>5026</v>
      </c>
      <c r="BA5" s="789">
        <v>7000</v>
      </c>
      <c r="BB5" s="671" t="s">
        <v>5507</v>
      </c>
      <c r="BI5" t="s">
        <v>5555</v>
      </c>
      <c r="BJ5" s="671" t="s">
        <v>5026</v>
      </c>
      <c r="BL5" t="s">
        <v>5534</v>
      </c>
      <c r="BM5" s="38">
        <v>4</v>
      </c>
      <c r="BV5" t="s">
        <v>6482</v>
      </c>
      <c r="BW5" s="923">
        <v>0.05</v>
      </c>
      <c r="BY5" t="s">
        <v>6077</v>
      </c>
      <c r="BZ5" t="s">
        <v>6425</v>
      </c>
      <c r="CA5" s="923">
        <v>0.06</v>
      </c>
      <c r="CB5" s="38">
        <v>0</v>
      </c>
      <c r="CH5" s="941" t="s">
        <v>6546</v>
      </c>
      <c r="CI5" s="38">
        <v>5</v>
      </c>
    </row>
    <row r="6" spans="1:87" x14ac:dyDescent="0.25">
      <c r="A6" t="s">
        <v>755</v>
      </c>
      <c r="B6" t="s">
        <v>5025</v>
      </c>
      <c r="C6" t="s">
        <v>5026</v>
      </c>
      <c r="D6" t="s">
        <v>5027</v>
      </c>
      <c r="G6" s="673">
        <v>20000</v>
      </c>
      <c r="H6" s="671" t="s">
        <v>5059</v>
      </c>
      <c r="K6" s="673">
        <v>1000000</v>
      </c>
      <c r="L6" s="671" t="s">
        <v>5132</v>
      </c>
      <c r="O6" t="s">
        <v>4649</v>
      </c>
      <c r="P6" t="s">
        <v>5206</v>
      </c>
      <c r="Q6" s="671" t="s">
        <v>5485</v>
      </c>
      <c r="R6" s="671"/>
      <c r="X6" s="38" t="s">
        <v>5340</v>
      </c>
      <c r="Y6" s="38">
        <v>1.7999999999999999E-2</v>
      </c>
      <c r="AB6" t="s">
        <v>5025</v>
      </c>
      <c r="AC6" t="s">
        <v>755</v>
      </c>
      <c r="AF6" s="673">
        <v>500</v>
      </c>
      <c r="AG6" s="671" t="s">
        <v>5029</v>
      </c>
      <c r="AI6" s="673">
        <v>200000</v>
      </c>
      <c r="AJ6" s="671" t="s">
        <v>5050</v>
      </c>
      <c r="AO6" s="673">
        <v>20000</v>
      </c>
      <c r="AP6" s="671" t="s">
        <v>5059</v>
      </c>
      <c r="AR6" t="s">
        <v>5490</v>
      </c>
      <c r="AS6" s="38">
        <v>25</v>
      </c>
      <c r="AT6" s="671"/>
      <c r="AU6" s="671"/>
      <c r="AV6" s="671"/>
      <c r="AW6" s="671"/>
      <c r="AX6" s="789">
        <v>25000</v>
      </c>
      <c r="AY6" s="671" t="s">
        <v>5029</v>
      </c>
      <c r="BA6" s="789">
        <v>12000</v>
      </c>
      <c r="BB6" s="671" t="s">
        <v>5508</v>
      </c>
      <c r="BL6" t="s">
        <v>5535</v>
      </c>
      <c r="BM6" s="38">
        <v>5</v>
      </c>
      <c r="BV6" t="s">
        <v>6424</v>
      </c>
      <c r="BW6" s="923">
        <v>0.1</v>
      </c>
      <c r="BY6" t="s">
        <v>6078</v>
      </c>
      <c r="BZ6" t="s">
        <v>6426</v>
      </c>
      <c r="CA6" s="923">
        <v>0.05</v>
      </c>
      <c r="CB6" s="38">
        <v>0</v>
      </c>
      <c r="CH6" s="941" t="s">
        <v>6547</v>
      </c>
      <c r="CI6" s="38">
        <v>6</v>
      </c>
    </row>
    <row r="7" spans="1:87" x14ac:dyDescent="0.25">
      <c r="A7" t="s">
        <v>755</v>
      </c>
      <c r="B7" t="s">
        <v>5025</v>
      </c>
      <c r="C7" t="s">
        <v>5026</v>
      </c>
      <c r="D7" t="s">
        <v>5027</v>
      </c>
      <c r="G7" s="673">
        <v>25000</v>
      </c>
      <c r="H7" s="671" t="s">
        <v>5067</v>
      </c>
      <c r="K7" s="673">
        <v>2500000</v>
      </c>
      <c r="L7" s="671" t="s">
        <v>5135</v>
      </c>
      <c r="O7" t="s">
        <v>4643</v>
      </c>
      <c r="P7" t="s">
        <v>5206</v>
      </c>
      <c r="Q7" s="671">
        <v>67070</v>
      </c>
      <c r="R7" s="671"/>
      <c r="X7" s="38" t="s">
        <v>5341</v>
      </c>
      <c r="Y7" s="38">
        <v>6.0000000000000001E-3</v>
      </c>
      <c r="AB7" t="s">
        <v>5028</v>
      </c>
      <c r="AC7" t="s">
        <v>756</v>
      </c>
      <c r="AF7" s="673">
        <v>750</v>
      </c>
      <c r="AG7" s="671" t="s">
        <v>5032</v>
      </c>
      <c r="AI7" s="673">
        <v>250000</v>
      </c>
      <c r="AJ7" s="671" t="s">
        <v>5473</v>
      </c>
      <c r="AO7" s="673">
        <v>25000</v>
      </c>
      <c r="AP7" s="671" t="s">
        <v>5067</v>
      </c>
      <c r="AR7" t="s">
        <v>5491</v>
      </c>
      <c r="AS7" s="38">
        <v>28</v>
      </c>
      <c r="AT7" s="671"/>
      <c r="AU7" s="671"/>
      <c r="AV7" s="671"/>
      <c r="AW7" s="671"/>
      <c r="AX7" s="789">
        <v>30000</v>
      </c>
      <c r="AY7" s="671" t="s">
        <v>5032</v>
      </c>
      <c r="BA7" s="789">
        <v>18000</v>
      </c>
      <c r="BB7" s="671" t="s">
        <v>5509</v>
      </c>
      <c r="BL7" t="s">
        <v>5536</v>
      </c>
      <c r="BM7" s="38">
        <v>6</v>
      </c>
      <c r="BV7" t="s">
        <v>6489</v>
      </c>
      <c r="BW7" s="923">
        <v>4.4999999999999998E-2</v>
      </c>
      <c r="BY7" t="s">
        <v>6079</v>
      </c>
      <c r="BZ7" t="s">
        <v>6123</v>
      </c>
      <c r="CA7" s="923">
        <v>0.08</v>
      </c>
      <c r="CB7" s="38">
        <v>0</v>
      </c>
      <c r="CH7" s="941" t="s">
        <v>6548</v>
      </c>
      <c r="CI7" s="38">
        <v>7</v>
      </c>
    </row>
    <row r="8" spans="1:87" x14ac:dyDescent="0.25">
      <c r="A8" t="s">
        <v>756</v>
      </c>
      <c r="B8" t="s">
        <v>5028</v>
      </c>
      <c r="C8" t="s">
        <v>5029</v>
      </c>
      <c r="D8" t="s">
        <v>5030</v>
      </c>
      <c r="G8" s="673">
        <v>30000</v>
      </c>
      <c r="H8" s="671" t="s">
        <v>5129</v>
      </c>
      <c r="K8" s="673">
        <v>5000000</v>
      </c>
      <c r="L8" s="671" t="s">
        <v>5136</v>
      </c>
      <c r="O8" t="s">
        <v>4643</v>
      </c>
      <c r="P8" t="s">
        <v>5206</v>
      </c>
      <c r="Q8" s="671">
        <v>67070</v>
      </c>
      <c r="R8" s="671"/>
      <c r="X8" s="38" t="s">
        <v>5342</v>
      </c>
      <c r="Y8" s="38">
        <v>5.4999999999999997E-3</v>
      </c>
      <c r="AB8" t="s">
        <v>5031</v>
      </c>
      <c r="AC8" t="s">
        <v>757</v>
      </c>
      <c r="AF8" s="673">
        <v>1000</v>
      </c>
      <c r="AG8" s="671" t="s">
        <v>5038</v>
      </c>
      <c r="AI8" s="673">
        <v>300000</v>
      </c>
      <c r="AJ8" s="671" t="s">
        <v>5046</v>
      </c>
      <c r="AO8" s="673">
        <v>30000</v>
      </c>
      <c r="AP8" s="671" t="s">
        <v>5129</v>
      </c>
      <c r="AR8" t="s">
        <v>5492</v>
      </c>
      <c r="AS8" s="38">
        <v>34</v>
      </c>
      <c r="AT8" s="671"/>
      <c r="AU8" s="671"/>
      <c r="AV8" s="671"/>
      <c r="AW8" s="671"/>
      <c r="AX8" s="789">
        <v>40000</v>
      </c>
      <c r="AY8" s="671" t="s">
        <v>5038</v>
      </c>
      <c r="BA8" s="789">
        <v>25000</v>
      </c>
      <c r="BB8" s="671" t="s">
        <v>5510</v>
      </c>
      <c r="BL8" t="s">
        <v>5537</v>
      </c>
      <c r="BM8" s="38">
        <v>7</v>
      </c>
      <c r="BV8" t="s">
        <v>6507</v>
      </c>
      <c r="BW8" s="923">
        <v>0.06</v>
      </c>
      <c r="BY8" t="s">
        <v>6080</v>
      </c>
      <c r="BZ8" t="s">
        <v>6427</v>
      </c>
      <c r="CA8" s="923">
        <v>0.1</v>
      </c>
      <c r="CB8" s="38">
        <v>0</v>
      </c>
      <c r="CH8" s="941" t="s">
        <v>6549</v>
      </c>
      <c r="CI8" s="38">
        <v>8</v>
      </c>
    </row>
    <row r="9" spans="1:87" x14ac:dyDescent="0.25">
      <c r="A9" t="s">
        <v>757</v>
      </c>
      <c r="B9" t="s">
        <v>5031</v>
      </c>
      <c r="C9" t="s">
        <v>5032</v>
      </c>
      <c r="D9" t="s">
        <v>5033</v>
      </c>
      <c r="G9" s="673">
        <v>40000</v>
      </c>
      <c r="H9" s="671" t="s">
        <v>5074</v>
      </c>
      <c r="K9" s="673">
        <v>10000000</v>
      </c>
      <c r="L9" s="671" t="s">
        <v>5137</v>
      </c>
      <c r="O9" t="s">
        <v>4653</v>
      </c>
      <c r="P9" t="s">
        <v>5206</v>
      </c>
      <c r="Q9" s="671">
        <v>67070</v>
      </c>
      <c r="R9" s="671"/>
      <c r="AB9" t="s">
        <v>5035</v>
      </c>
      <c r="AC9" t="s">
        <v>5034</v>
      </c>
      <c r="AF9" s="673">
        <v>2000</v>
      </c>
      <c r="AG9" s="671" t="s">
        <v>5050</v>
      </c>
      <c r="AI9" s="673">
        <v>400000</v>
      </c>
      <c r="AJ9" s="671" t="s">
        <v>5055</v>
      </c>
      <c r="AO9" s="673">
        <v>40000</v>
      </c>
      <c r="AP9" s="671" t="s">
        <v>5074</v>
      </c>
      <c r="AR9" t="s">
        <v>5493</v>
      </c>
      <c r="AS9" s="38">
        <v>35</v>
      </c>
      <c r="AT9" s="671"/>
      <c r="AU9" s="671"/>
      <c r="AV9" s="671"/>
      <c r="AW9" s="671"/>
      <c r="AX9" s="789">
        <v>50000</v>
      </c>
      <c r="AY9" s="671" t="s">
        <v>5036</v>
      </c>
      <c r="BA9" s="789">
        <v>35000</v>
      </c>
      <c r="BB9" s="671" t="s">
        <v>5511</v>
      </c>
      <c r="BL9" t="s">
        <v>5538</v>
      </c>
      <c r="BM9" s="38">
        <v>8</v>
      </c>
      <c r="BV9" t="s">
        <v>6146</v>
      </c>
      <c r="BW9" s="923">
        <v>0.02</v>
      </c>
      <c r="BY9" t="s">
        <v>6081</v>
      </c>
      <c r="BZ9" t="s">
        <v>6426</v>
      </c>
      <c r="CA9" s="923">
        <v>8.3000000000000004E-2</v>
      </c>
      <c r="CB9" s="38">
        <v>0</v>
      </c>
      <c r="CH9" s="941" t="s">
        <v>6550</v>
      </c>
      <c r="CI9" s="38" t="s">
        <v>5513</v>
      </c>
    </row>
    <row r="10" spans="1:87" x14ac:dyDescent="0.25">
      <c r="A10" t="s">
        <v>5034</v>
      </c>
      <c r="B10" t="s">
        <v>5035</v>
      </c>
      <c r="C10" t="s">
        <v>5036</v>
      </c>
      <c r="D10" t="s">
        <v>5017</v>
      </c>
      <c r="G10" s="673">
        <v>50000</v>
      </c>
      <c r="H10" s="671" t="s">
        <v>5064</v>
      </c>
      <c r="K10" s="673">
        <v>25000000</v>
      </c>
      <c r="L10" s="671" t="s">
        <v>5140</v>
      </c>
      <c r="O10" t="s">
        <v>4651</v>
      </c>
      <c r="P10" t="s">
        <v>5206</v>
      </c>
      <c r="Q10" s="671">
        <v>67070</v>
      </c>
      <c r="R10" s="671"/>
      <c r="AB10" t="s">
        <v>5037</v>
      </c>
      <c r="AC10" t="s">
        <v>758</v>
      </c>
      <c r="AF10" s="673">
        <v>2500</v>
      </c>
      <c r="AG10" s="671" t="s">
        <v>5036</v>
      </c>
      <c r="AI10" s="673">
        <v>500000</v>
      </c>
      <c r="AJ10" s="671" t="s">
        <v>5057</v>
      </c>
      <c r="AO10" s="673">
        <v>50000</v>
      </c>
      <c r="AP10" s="671" t="s">
        <v>5064</v>
      </c>
      <c r="AR10" t="s">
        <v>5494</v>
      </c>
      <c r="AS10" s="38">
        <v>38</v>
      </c>
      <c r="AT10" s="671"/>
      <c r="AU10" s="671"/>
      <c r="AV10" s="671"/>
      <c r="AW10" s="671"/>
      <c r="AX10" s="789">
        <v>75000</v>
      </c>
      <c r="AY10" s="671" t="s">
        <v>5040</v>
      </c>
      <c r="BA10" s="789">
        <v>45000</v>
      </c>
      <c r="BB10" s="671" t="s">
        <v>5512</v>
      </c>
      <c r="BI10" t="s">
        <v>5523</v>
      </c>
      <c r="BL10" t="s">
        <v>5539</v>
      </c>
      <c r="BM10" s="38">
        <v>9</v>
      </c>
      <c r="BV10" t="s">
        <v>6526</v>
      </c>
      <c r="BW10" s="923">
        <v>0.04</v>
      </c>
      <c r="BY10" t="s">
        <v>6082</v>
      </c>
      <c r="BZ10" t="s">
        <v>6422</v>
      </c>
      <c r="CA10" s="923">
        <v>0.06</v>
      </c>
      <c r="CB10" s="38">
        <v>0</v>
      </c>
      <c r="CH10" s="941" t="s">
        <v>6551</v>
      </c>
      <c r="CI10" s="38" t="s">
        <v>5514</v>
      </c>
    </row>
    <row r="11" spans="1:87" x14ac:dyDescent="0.25">
      <c r="A11" t="s">
        <v>758</v>
      </c>
      <c r="B11" t="s">
        <v>5037</v>
      </c>
      <c r="C11" t="s">
        <v>5038</v>
      </c>
      <c r="D11" t="s">
        <v>5017</v>
      </c>
      <c r="G11" s="673">
        <v>100000</v>
      </c>
      <c r="H11" s="671" t="s">
        <v>5069</v>
      </c>
      <c r="K11" s="673">
        <v>50000000</v>
      </c>
      <c r="L11" s="671" t="s">
        <v>5141</v>
      </c>
      <c r="O11" t="s">
        <v>4673</v>
      </c>
      <c r="P11" t="s">
        <v>5207</v>
      </c>
      <c r="Q11" s="671">
        <v>65258</v>
      </c>
      <c r="R11" s="671"/>
      <c r="AB11" t="s">
        <v>5039</v>
      </c>
      <c r="AC11" t="s">
        <v>760</v>
      </c>
      <c r="AF11" s="673">
        <v>3000</v>
      </c>
      <c r="AG11" s="671" t="s">
        <v>5473</v>
      </c>
      <c r="AI11" s="673">
        <v>600000</v>
      </c>
      <c r="AJ11" s="671"/>
      <c r="AO11" s="673">
        <v>100000</v>
      </c>
      <c r="AP11" s="671" t="s">
        <v>5069</v>
      </c>
      <c r="AT11" s="671"/>
      <c r="AU11" s="671"/>
      <c r="AV11" s="671"/>
      <c r="AW11" s="671"/>
      <c r="AX11" s="789">
        <v>100000</v>
      </c>
      <c r="AY11" s="671" t="s">
        <v>5043</v>
      </c>
      <c r="BA11" s="789">
        <v>60000</v>
      </c>
      <c r="BB11" s="671" t="s">
        <v>5513</v>
      </c>
      <c r="BI11" t="s">
        <v>5524</v>
      </c>
      <c r="BL11" t="s">
        <v>5540</v>
      </c>
      <c r="BM11" s="38">
        <v>10</v>
      </c>
      <c r="BV11" t="s">
        <v>6517</v>
      </c>
      <c r="BW11" s="923">
        <v>8.8999999999999996E-2</v>
      </c>
      <c r="BY11" t="s">
        <v>6083</v>
      </c>
      <c r="BZ11" t="s">
        <v>6428</v>
      </c>
      <c r="CA11" s="923">
        <v>0.05</v>
      </c>
      <c r="CB11" s="38">
        <v>0</v>
      </c>
      <c r="CH11" s="941" t="s">
        <v>6552</v>
      </c>
      <c r="CI11" s="38" t="s">
        <v>5176</v>
      </c>
    </row>
    <row r="12" spans="1:87" x14ac:dyDescent="0.25">
      <c r="A12" t="s">
        <v>760</v>
      </c>
      <c r="B12" t="s">
        <v>5039</v>
      </c>
      <c r="C12" t="s">
        <v>5040</v>
      </c>
      <c r="D12" t="s">
        <v>5041</v>
      </c>
      <c r="G12" s="673">
        <v>250000</v>
      </c>
      <c r="H12" s="671" t="s">
        <v>5076</v>
      </c>
      <c r="K12" s="673"/>
      <c r="L12" s="671"/>
      <c r="O12" t="s">
        <v>4681</v>
      </c>
      <c r="P12" t="s">
        <v>5207</v>
      </c>
      <c r="Q12" s="671">
        <v>65258</v>
      </c>
      <c r="R12" s="671"/>
      <c r="AB12" t="s">
        <v>5042</v>
      </c>
      <c r="AC12" t="s">
        <v>761</v>
      </c>
      <c r="AF12" s="673">
        <v>4000</v>
      </c>
      <c r="AG12" s="671" t="s">
        <v>5046</v>
      </c>
      <c r="AI12" s="673">
        <v>750000</v>
      </c>
      <c r="AJ12" s="671" t="s">
        <v>5059</v>
      </c>
      <c r="AO12" s="673">
        <v>250000</v>
      </c>
      <c r="AP12" s="671" t="s">
        <v>5076</v>
      </c>
      <c r="AT12" s="671"/>
      <c r="AU12" s="671"/>
      <c r="AV12" s="671"/>
      <c r="AW12" s="671"/>
      <c r="AX12" s="789">
        <v>150000</v>
      </c>
      <c r="AY12" s="671" t="s">
        <v>5048</v>
      </c>
      <c r="BA12" s="789">
        <v>80000</v>
      </c>
      <c r="BB12" s="671" t="s">
        <v>5514</v>
      </c>
      <c r="BI12" t="s">
        <v>5525</v>
      </c>
      <c r="BL12" t="s">
        <v>5541</v>
      </c>
      <c r="BM12" s="38">
        <v>11</v>
      </c>
      <c r="BV12" t="s">
        <v>6523</v>
      </c>
      <c r="BW12" s="923">
        <v>0.06</v>
      </c>
      <c r="BY12" t="s">
        <v>6084</v>
      </c>
      <c r="BZ12" t="s">
        <v>6426</v>
      </c>
      <c r="CA12" s="923">
        <v>0.05</v>
      </c>
      <c r="CB12" s="38">
        <v>0</v>
      </c>
      <c r="CH12" s="941" t="s">
        <v>6553</v>
      </c>
      <c r="CI12" s="38" t="s">
        <v>5515</v>
      </c>
    </row>
    <row r="13" spans="1:87" x14ac:dyDescent="0.25">
      <c r="A13" t="s">
        <v>761</v>
      </c>
      <c r="B13" t="s">
        <v>5042</v>
      </c>
      <c r="C13" t="s">
        <v>5043</v>
      </c>
      <c r="D13" t="s">
        <v>5020</v>
      </c>
      <c r="G13" s="673">
        <v>300000</v>
      </c>
      <c r="H13" s="671" t="s">
        <v>5083</v>
      </c>
      <c r="K13" t="s">
        <v>5143</v>
      </c>
      <c r="L13" s="671" t="s">
        <v>5142</v>
      </c>
      <c r="O13" t="s">
        <v>4677</v>
      </c>
      <c r="P13" t="s">
        <v>5207</v>
      </c>
      <c r="Q13" s="671">
        <v>65258</v>
      </c>
      <c r="R13" s="671"/>
      <c r="AB13" t="s">
        <v>5044</v>
      </c>
      <c r="AC13" t="s">
        <v>763</v>
      </c>
      <c r="AF13" s="673">
        <v>5000</v>
      </c>
      <c r="AG13" s="671" t="s">
        <v>5055</v>
      </c>
      <c r="AI13" s="673">
        <v>900000</v>
      </c>
      <c r="AJ13" s="671"/>
      <c r="AO13" s="673">
        <v>300000</v>
      </c>
      <c r="AP13" s="671" t="s">
        <v>5083</v>
      </c>
      <c r="AT13" s="671"/>
      <c r="AU13" s="671"/>
      <c r="AV13" s="671"/>
      <c r="AW13" s="671"/>
      <c r="AX13" s="789">
        <v>200000</v>
      </c>
      <c r="AY13" s="671" t="s">
        <v>5050</v>
      </c>
      <c r="BA13" s="789">
        <v>100000</v>
      </c>
      <c r="BB13" s="671" t="s">
        <v>5176</v>
      </c>
      <c r="BI13" t="s">
        <v>5526</v>
      </c>
      <c r="BL13" t="s">
        <v>5542</v>
      </c>
      <c r="BM13" s="38">
        <v>12</v>
      </c>
      <c r="BV13" t="s">
        <v>6479</v>
      </c>
      <c r="BW13" s="923">
        <v>0.06</v>
      </c>
      <c r="BY13" t="s">
        <v>6085</v>
      </c>
      <c r="BZ13" t="s">
        <v>6426</v>
      </c>
      <c r="CA13" s="923">
        <v>0.05</v>
      </c>
      <c r="CB13" s="38">
        <v>0</v>
      </c>
      <c r="CH13" s="941" t="s">
        <v>6554</v>
      </c>
      <c r="CI13" s="38" t="s">
        <v>5516</v>
      </c>
    </row>
    <row r="14" spans="1:87" x14ac:dyDescent="0.25">
      <c r="A14" t="s">
        <v>763</v>
      </c>
      <c r="B14" t="s">
        <v>5044</v>
      </c>
      <c r="C14" s="886" t="s">
        <v>5132</v>
      </c>
      <c r="D14" t="s">
        <v>5017</v>
      </c>
      <c r="G14" s="673">
        <v>500000</v>
      </c>
      <c r="H14" s="671" t="s">
        <v>5130</v>
      </c>
      <c r="O14" t="s">
        <v>4679</v>
      </c>
      <c r="P14" t="s">
        <v>5207</v>
      </c>
      <c r="Q14" s="671">
        <v>65258</v>
      </c>
      <c r="R14" s="671"/>
      <c r="AB14" t="s">
        <v>5045</v>
      </c>
      <c r="AC14" t="s">
        <v>767</v>
      </c>
      <c r="AF14" s="673">
        <v>10000</v>
      </c>
      <c r="AG14" s="671" t="s">
        <v>5043</v>
      </c>
      <c r="AI14" s="673">
        <v>1000000</v>
      </c>
      <c r="AJ14" s="671" t="s">
        <v>5067</v>
      </c>
      <c r="AO14" s="673">
        <v>500000</v>
      </c>
      <c r="AP14" s="671" t="s">
        <v>5130</v>
      </c>
      <c r="AT14" s="671"/>
      <c r="AU14" s="671"/>
      <c r="AV14" s="671"/>
      <c r="AW14" s="671"/>
      <c r="AX14" s="789">
        <v>250000</v>
      </c>
      <c r="AY14" s="671" t="s">
        <v>5473</v>
      </c>
      <c r="BA14" s="789">
        <v>140000</v>
      </c>
      <c r="BB14" s="671" t="s">
        <v>5515</v>
      </c>
      <c r="BI14" t="s">
        <v>5527</v>
      </c>
      <c r="BL14" t="s">
        <v>5543</v>
      </c>
      <c r="BM14" s="38">
        <v>13</v>
      </c>
      <c r="BV14" t="s">
        <v>6185</v>
      </c>
      <c r="BW14" s="923">
        <v>0.06</v>
      </c>
      <c r="BY14" t="s">
        <v>6086</v>
      </c>
      <c r="BZ14" t="s">
        <v>6429</v>
      </c>
      <c r="CA14" s="923">
        <v>0.09</v>
      </c>
      <c r="CB14" s="38">
        <v>0</v>
      </c>
      <c r="CH14" s="941" t="s">
        <v>6541</v>
      </c>
      <c r="CI14" s="38" t="s">
        <v>5517</v>
      </c>
    </row>
    <row r="15" spans="1:87" x14ac:dyDescent="0.25">
      <c r="A15" t="s">
        <v>767</v>
      </c>
      <c r="B15" t="s">
        <v>5045</v>
      </c>
      <c r="C15" t="s">
        <v>5046</v>
      </c>
      <c r="D15" t="s">
        <v>5030</v>
      </c>
      <c r="G15" s="673">
        <v>750000</v>
      </c>
      <c r="H15" s="671" t="s">
        <v>5131</v>
      </c>
      <c r="O15" t="s">
        <v>4683</v>
      </c>
      <c r="P15" t="s">
        <v>5207</v>
      </c>
      <c r="Q15" s="671">
        <v>65258</v>
      </c>
      <c r="R15" s="671"/>
      <c r="AB15" t="s">
        <v>5047</v>
      </c>
      <c r="AC15" t="s">
        <v>764</v>
      </c>
      <c r="AF15" s="673">
        <v>15000</v>
      </c>
      <c r="AG15" s="671" t="s">
        <v>5057</v>
      </c>
      <c r="AI15" s="673">
        <v>1500000</v>
      </c>
      <c r="AJ15" s="671" t="s">
        <v>5064</v>
      </c>
      <c r="AO15" s="673">
        <v>750000</v>
      </c>
      <c r="AP15" s="671" t="s">
        <v>5131</v>
      </c>
      <c r="AT15" s="671"/>
      <c r="AU15" s="671"/>
      <c r="AV15" s="671"/>
      <c r="AW15" s="671"/>
      <c r="AX15" s="789">
        <v>300000</v>
      </c>
      <c r="AY15" s="671" t="s">
        <v>5046</v>
      </c>
      <c r="BA15" s="789">
        <v>250000</v>
      </c>
      <c r="BB15" s="671" t="s">
        <v>5516</v>
      </c>
      <c r="BL15" t="s">
        <v>5544</v>
      </c>
      <c r="BM15" s="38">
        <v>14</v>
      </c>
      <c r="BV15" t="s">
        <v>6485</v>
      </c>
      <c r="BW15" s="923">
        <v>0.03</v>
      </c>
      <c r="BY15" t="s">
        <v>6087</v>
      </c>
      <c r="BZ15" t="s">
        <v>6123</v>
      </c>
      <c r="CA15" s="923">
        <v>0.09</v>
      </c>
      <c r="CB15" s="38">
        <v>0</v>
      </c>
    </row>
    <row r="16" spans="1:87" x14ac:dyDescent="0.25">
      <c r="A16" t="s">
        <v>764</v>
      </c>
      <c r="B16" t="s">
        <v>5047</v>
      </c>
      <c r="C16" t="s">
        <v>5048</v>
      </c>
      <c r="D16" t="s">
        <v>5017</v>
      </c>
      <c r="G16" s="673">
        <v>1000000</v>
      </c>
      <c r="H16" s="671" t="s">
        <v>5132</v>
      </c>
      <c r="O16" t="s">
        <v>4683</v>
      </c>
      <c r="P16" t="s">
        <v>5207</v>
      </c>
      <c r="Q16" s="671">
        <v>65258</v>
      </c>
      <c r="R16" s="671"/>
      <c r="AB16" t="s">
        <v>5049</v>
      </c>
      <c r="AC16" t="s">
        <v>765</v>
      </c>
      <c r="AF16" s="673">
        <v>20000</v>
      </c>
      <c r="AG16" s="671" t="s">
        <v>5059</v>
      </c>
      <c r="AI16" s="673">
        <v>2000000</v>
      </c>
      <c r="AJ16" s="671" t="s">
        <v>5061</v>
      </c>
      <c r="AO16" s="673">
        <v>1000000</v>
      </c>
      <c r="AP16" s="671" t="s">
        <v>5132</v>
      </c>
      <c r="AT16" s="671"/>
      <c r="AU16" s="671"/>
      <c r="AV16" s="671"/>
      <c r="AW16" s="671"/>
      <c r="AX16" s="789">
        <v>400000</v>
      </c>
      <c r="AY16" s="671" t="s">
        <v>5055</v>
      </c>
      <c r="BA16" s="789"/>
      <c r="BB16" s="671"/>
      <c r="BL16" t="s">
        <v>5545</v>
      </c>
      <c r="BM16" s="38">
        <v>15</v>
      </c>
      <c r="BV16" t="s">
        <v>6212</v>
      </c>
      <c r="BW16" s="923">
        <v>0.08</v>
      </c>
      <c r="BY16" t="s">
        <v>6088</v>
      </c>
      <c r="BZ16" t="s">
        <v>6431</v>
      </c>
      <c r="CA16" s="923">
        <v>0.03</v>
      </c>
      <c r="CB16" s="38">
        <v>0</v>
      </c>
    </row>
    <row r="17" spans="1:80" x14ac:dyDescent="0.25">
      <c r="A17" t="s">
        <v>765</v>
      </c>
      <c r="B17" t="s">
        <v>5049</v>
      </c>
      <c r="C17" t="s">
        <v>5050</v>
      </c>
      <c r="D17" t="s">
        <v>5051</v>
      </c>
      <c r="G17" s="673">
        <v>1500000</v>
      </c>
      <c r="H17" s="671" t="s">
        <v>5133</v>
      </c>
      <c r="O17" t="s">
        <v>4669</v>
      </c>
      <c r="P17" t="s">
        <v>5207</v>
      </c>
      <c r="Q17" s="671">
        <v>65258</v>
      </c>
      <c r="R17" s="671"/>
      <c r="AB17" t="s">
        <v>5052</v>
      </c>
      <c r="AC17" t="s">
        <v>766</v>
      </c>
      <c r="AF17" s="673">
        <v>25000</v>
      </c>
      <c r="AG17" s="671" t="s">
        <v>5067</v>
      </c>
      <c r="AI17" s="673">
        <v>2250000</v>
      </c>
      <c r="AJ17" s="671"/>
      <c r="AO17" s="673">
        <v>1500000</v>
      </c>
      <c r="AP17" s="671" t="s">
        <v>5133</v>
      </c>
      <c r="AT17" s="671"/>
      <c r="AU17" s="671"/>
      <c r="AV17" s="671"/>
      <c r="AW17" s="671"/>
      <c r="AX17" s="789">
        <v>500000</v>
      </c>
      <c r="AY17" s="671" t="s">
        <v>5057</v>
      </c>
      <c r="BA17" s="789" t="s">
        <v>5505</v>
      </c>
      <c r="BB17" s="671" t="s">
        <v>5517</v>
      </c>
      <c r="BL17" t="s">
        <v>5546</v>
      </c>
      <c r="BM17" s="38">
        <v>16</v>
      </c>
      <c r="BV17" t="s">
        <v>6472</v>
      </c>
      <c r="BW17" s="923">
        <v>0.1</v>
      </c>
      <c r="BY17" t="s">
        <v>6089</v>
      </c>
      <c r="BZ17" t="s">
        <v>6432</v>
      </c>
      <c r="CA17" s="923">
        <v>0.08</v>
      </c>
      <c r="CB17" s="38">
        <v>0</v>
      </c>
    </row>
    <row r="18" spans="1:80" x14ac:dyDescent="0.25">
      <c r="A18" t="s">
        <v>766</v>
      </c>
      <c r="B18" t="s">
        <v>5052</v>
      </c>
      <c r="C18" s="886" t="s">
        <v>5473</v>
      </c>
      <c r="D18" t="s">
        <v>5053</v>
      </c>
      <c r="G18" s="673">
        <v>2000000</v>
      </c>
      <c r="H18" s="671" t="s">
        <v>5134</v>
      </c>
      <c r="O18" t="s">
        <v>4667</v>
      </c>
      <c r="P18" t="s">
        <v>5207</v>
      </c>
      <c r="Q18" s="671">
        <v>65258</v>
      </c>
      <c r="R18" s="671"/>
      <c r="AB18" t="s">
        <v>5054</v>
      </c>
      <c r="AC18" t="s">
        <v>768</v>
      </c>
      <c r="AF18" s="673">
        <v>50000</v>
      </c>
      <c r="AG18" s="671" t="s">
        <v>5064</v>
      </c>
      <c r="AI18" s="673">
        <v>2500000</v>
      </c>
      <c r="AJ18" s="671" t="s">
        <v>5069</v>
      </c>
      <c r="AO18" s="673">
        <v>2000000</v>
      </c>
      <c r="AP18" s="671" t="s">
        <v>5134</v>
      </c>
      <c r="AT18" s="671"/>
      <c r="AU18" s="671"/>
      <c r="AV18" s="671"/>
      <c r="AW18" s="671"/>
      <c r="AX18" s="789">
        <v>750000</v>
      </c>
      <c r="AY18" s="671" t="s">
        <v>5059</v>
      </c>
      <c r="BA18" s="789"/>
      <c r="BB18" s="671"/>
      <c r="BL18" t="s">
        <v>5547</v>
      </c>
      <c r="BM18" s="38">
        <v>17</v>
      </c>
      <c r="BV18" t="s">
        <v>6233</v>
      </c>
      <c r="BW18" s="923">
        <v>0.05</v>
      </c>
      <c r="BY18" t="s">
        <v>6090</v>
      </c>
      <c r="BZ18" t="s">
        <v>789</v>
      </c>
      <c r="CA18" s="923">
        <v>6.9000000000000006E-2</v>
      </c>
      <c r="CB18" s="38">
        <v>0</v>
      </c>
    </row>
    <row r="19" spans="1:80" x14ac:dyDescent="0.25">
      <c r="A19" t="s">
        <v>768</v>
      </c>
      <c r="B19" t="s">
        <v>5054</v>
      </c>
      <c r="C19" t="s">
        <v>5055</v>
      </c>
      <c r="D19" t="s">
        <v>5030</v>
      </c>
      <c r="G19" s="673">
        <v>2500000</v>
      </c>
      <c r="H19" s="671" t="s">
        <v>5135</v>
      </c>
      <c r="O19" t="s">
        <v>4667</v>
      </c>
      <c r="P19" t="s">
        <v>5207</v>
      </c>
      <c r="Q19" s="671">
        <v>65258</v>
      </c>
      <c r="R19" s="671"/>
      <c r="AB19" t="s">
        <v>5056</v>
      </c>
      <c r="AC19" t="s">
        <v>769</v>
      </c>
      <c r="AF19" s="673">
        <v>75000</v>
      </c>
      <c r="AG19" s="671" t="s">
        <v>5061</v>
      </c>
      <c r="AI19" s="673">
        <v>3000000</v>
      </c>
      <c r="AJ19" s="671" t="s">
        <v>5129</v>
      </c>
      <c r="AO19" s="673">
        <v>2500000</v>
      </c>
      <c r="AP19" s="671" t="s">
        <v>5135</v>
      </c>
      <c r="AT19" s="671"/>
      <c r="AU19" s="671"/>
      <c r="AV19" s="671"/>
      <c r="AW19" s="671"/>
      <c r="AX19" s="789">
        <v>1000000</v>
      </c>
      <c r="AY19" s="671" t="s">
        <v>5067</v>
      </c>
      <c r="BA19" s="789"/>
      <c r="BB19" s="671"/>
      <c r="BL19" t="s">
        <v>5548</v>
      </c>
      <c r="BM19" s="38">
        <v>18</v>
      </c>
      <c r="BV19" t="s">
        <v>6445</v>
      </c>
      <c r="BW19" s="923">
        <v>0.08</v>
      </c>
      <c r="BY19" t="s">
        <v>6091</v>
      </c>
      <c r="BZ19" t="s">
        <v>6433</v>
      </c>
      <c r="CA19" s="923">
        <v>0.11</v>
      </c>
      <c r="CB19" s="38">
        <f t="shared" si="0"/>
        <v>0.05</v>
      </c>
    </row>
    <row r="20" spans="1:80" x14ac:dyDescent="0.25">
      <c r="A20" t="s">
        <v>769</v>
      </c>
      <c r="B20" t="s">
        <v>5056</v>
      </c>
      <c r="C20" t="s">
        <v>5057</v>
      </c>
      <c r="D20" t="s">
        <v>5020</v>
      </c>
      <c r="G20" s="673">
        <v>5000000</v>
      </c>
      <c r="H20" s="671" t="s">
        <v>5136</v>
      </c>
      <c r="O20" t="s">
        <v>4671</v>
      </c>
      <c r="P20" t="s">
        <v>5207</v>
      </c>
      <c r="Q20" s="671">
        <v>65258</v>
      </c>
      <c r="R20" s="671"/>
      <c r="AB20" t="s">
        <v>5058</v>
      </c>
      <c r="AC20" t="s">
        <v>770</v>
      </c>
      <c r="AF20" s="673">
        <v>100000</v>
      </c>
      <c r="AG20" s="671" t="s">
        <v>5069</v>
      </c>
      <c r="AI20" s="673">
        <v>4000000</v>
      </c>
      <c r="AJ20" s="671" t="s">
        <v>5140</v>
      </c>
      <c r="AO20" s="673">
        <v>5000000</v>
      </c>
      <c r="AP20" s="671" t="s">
        <v>5136</v>
      </c>
      <c r="AT20" s="671"/>
      <c r="AU20" s="671"/>
      <c r="AV20" s="671"/>
      <c r="AW20" s="671"/>
      <c r="AX20" s="789">
        <v>1500000</v>
      </c>
      <c r="AY20" s="671" t="s">
        <v>5064</v>
      </c>
      <c r="BA20" s="789"/>
      <c r="BB20" s="671"/>
      <c r="BL20" t="s">
        <v>5549</v>
      </c>
      <c r="BM20" s="38">
        <v>19</v>
      </c>
      <c r="BV20" t="s">
        <v>6465</v>
      </c>
      <c r="BW20" s="923">
        <v>0.06</v>
      </c>
      <c r="BY20" t="s">
        <v>6092</v>
      </c>
      <c r="BZ20" t="s">
        <v>6426</v>
      </c>
      <c r="CA20" s="923">
        <v>0.05</v>
      </c>
      <c r="CB20" s="38">
        <v>0</v>
      </c>
    </row>
    <row r="21" spans="1:80" x14ac:dyDescent="0.25">
      <c r="A21" t="s">
        <v>770</v>
      </c>
      <c r="B21" t="s">
        <v>5058</v>
      </c>
      <c r="C21" t="s">
        <v>5059</v>
      </c>
      <c r="D21" t="s">
        <v>5020</v>
      </c>
      <c r="G21" s="673">
        <v>10000000</v>
      </c>
      <c r="H21" s="671" t="s">
        <v>5137</v>
      </c>
      <c r="O21" t="s">
        <v>4311</v>
      </c>
      <c r="P21" t="s">
        <v>5208</v>
      </c>
      <c r="Q21" s="671">
        <v>67073</v>
      </c>
      <c r="R21" s="671"/>
      <c r="AB21" t="s">
        <v>5060</v>
      </c>
      <c r="AC21" t="s">
        <v>774</v>
      </c>
      <c r="AF21" s="673">
        <v>150000</v>
      </c>
      <c r="AG21" s="671" t="s">
        <v>5090</v>
      </c>
      <c r="AI21" s="673">
        <v>4500000</v>
      </c>
      <c r="AJ21" s="671"/>
      <c r="AO21" s="673">
        <v>10000000</v>
      </c>
      <c r="AP21" s="671" t="s">
        <v>5137</v>
      </c>
      <c r="AT21" s="671"/>
      <c r="AU21" s="671"/>
      <c r="AV21" s="671"/>
      <c r="AW21" s="671"/>
      <c r="AX21" s="789">
        <v>2000000</v>
      </c>
      <c r="AY21" s="671" t="s">
        <v>5061</v>
      </c>
      <c r="BA21" s="789"/>
      <c r="BB21" s="671"/>
      <c r="BL21" t="s">
        <v>5550</v>
      </c>
      <c r="BM21" s="38">
        <v>99</v>
      </c>
      <c r="BV21" t="s">
        <v>6474</v>
      </c>
      <c r="BW21" s="923">
        <v>7.0000000000000007E-2</v>
      </c>
      <c r="BY21" t="s">
        <v>6093</v>
      </c>
      <c r="BZ21" t="s">
        <v>6426</v>
      </c>
      <c r="CA21" s="923">
        <v>0.05</v>
      </c>
      <c r="CB21" s="38">
        <v>0</v>
      </c>
    </row>
    <row r="22" spans="1:80" x14ac:dyDescent="0.25">
      <c r="A22" t="s">
        <v>774</v>
      </c>
      <c r="B22" t="s">
        <v>5060</v>
      </c>
      <c r="C22" t="s">
        <v>5061</v>
      </c>
      <c r="D22" t="s">
        <v>5062</v>
      </c>
      <c r="O22" t="s">
        <v>4311</v>
      </c>
      <c r="P22" t="s">
        <v>5208</v>
      </c>
      <c r="Q22" s="671">
        <v>67073</v>
      </c>
      <c r="R22" s="671"/>
      <c r="AB22" t="s">
        <v>5063</v>
      </c>
      <c r="AC22" t="s">
        <v>773</v>
      </c>
      <c r="AF22" s="673">
        <v>200000</v>
      </c>
      <c r="AG22" s="671" t="s">
        <v>5085</v>
      </c>
      <c r="AI22" s="673">
        <v>5000000</v>
      </c>
      <c r="AJ22" s="671" t="s">
        <v>5074</v>
      </c>
      <c r="AT22" s="671"/>
      <c r="AU22" s="671"/>
      <c r="AV22" s="671"/>
      <c r="AW22" s="671"/>
      <c r="AX22" s="789">
        <v>2500000</v>
      </c>
      <c r="AY22" s="671" t="s">
        <v>5069</v>
      </c>
      <c r="BA22" s="789"/>
      <c r="BB22" s="671"/>
      <c r="BV22" t="s">
        <v>6442</v>
      </c>
      <c r="BW22" s="923">
        <v>0.05</v>
      </c>
      <c r="BY22" t="s">
        <v>6094</v>
      </c>
      <c r="BZ22" t="s">
        <v>6424</v>
      </c>
      <c r="CA22" s="923">
        <v>0.1</v>
      </c>
      <c r="CB22" s="38">
        <f t="shared" si="0"/>
        <v>0.1</v>
      </c>
    </row>
    <row r="23" spans="1:80" x14ac:dyDescent="0.25">
      <c r="A23" t="s">
        <v>773</v>
      </c>
      <c r="B23" t="s">
        <v>5063</v>
      </c>
      <c r="C23" t="s">
        <v>5064</v>
      </c>
      <c r="D23" t="s">
        <v>5065</v>
      </c>
      <c r="G23" s="38" t="s">
        <v>5138</v>
      </c>
      <c r="H23" s="671">
        <v>93</v>
      </c>
      <c r="O23" t="s">
        <v>4309</v>
      </c>
      <c r="P23" t="s">
        <v>5208</v>
      </c>
      <c r="Q23" s="671">
        <v>67073</v>
      </c>
      <c r="R23" s="671"/>
      <c r="AB23" t="s">
        <v>5066</v>
      </c>
      <c r="AC23" t="s">
        <v>771</v>
      </c>
      <c r="AF23" s="673">
        <v>250000</v>
      </c>
      <c r="AG23" s="671" t="s">
        <v>5076</v>
      </c>
      <c r="AI23" s="673">
        <v>6000000</v>
      </c>
      <c r="AJ23" s="671"/>
      <c r="AO23" t="s">
        <v>5482</v>
      </c>
      <c r="AP23" s="671" t="s">
        <v>6534</v>
      </c>
      <c r="AT23" s="671"/>
      <c r="AU23" s="671"/>
      <c r="AV23" s="671"/>
      <c r="AW23" s="671"/>
      <c r="AX23" s="789">
        <v>3000000</v>
      </c>
      <c r="AY23" s="671" t="s">
        <v>5129</v>
      </c>
      <c r="BA23" s="789"/>
      <c r="BB23" s="671"/>
      <c r="BV23" t="s">
        <v>6484</v>
      </c>
      <c r="BW23" s="923">
        <v>0.06</v>
      </c>
      <c r="BY23" t="s">
        <v>6095</v>
      </c>
      <c r="BZ23" t="s">
        <v>6426</v>
      </c>
      <c r="CA23" s="923">
        <v>0.05</v>
      </c>
      <c r="CB23" s="38">
        <v>0</v>
      </c>
    </row>
    <row r="24" spans="1:80" x14ac:dyDescent="0.25">
      <c r="A24" t="s">
        <v>771</v>
      </c>
      <c r="B24" t="s">
        <v>5066</v>
      </c>
      <c r="C24" t="s">
        <v>5067</v>
      </c>
      <c r="D24" t="s">
        <v>5017</v>
      </c>
      <c r="O24" t="s">
        <v>4313</v>
      </c>
      <c r="P24" t="s">
        <v>5208</v>
      </c>
      <c r="Q24" s="671">
        <v>67073</v>
      </c>
      <c r="R24" s="671"/>
      <c r="AB24" t="s">
        <v>5068</v>
      </c>
      <c r="AC24" t="s">
        <v>775</v>
      </c>
      <c r="AF24" s="673">
        <v>500000</v>
      </c>
      <c r="AG24" s="671" t="s">
        <v>5130</v>
      </c>
      <c r="AI24" s="673">
        <v>7500000</v>
      </c>
      <c r="AJ24" s="671" t="s">
        <v>5477</v>
      </c>
      <c r="AT24" s="671"/>
      <c r="AU24" s="671"/>
      <c r="AV24" s="671"/>
      <c r="AW24" s="671"/>
      <c r="AX24" s="789">
        <v>5000000</v>
      </c>
      <c r="AY24" s="671" t="s">
        <v>5074</v>
      </c>
      <c r="BA24" s="789"/>
      <c r="BB24" s="671"/>
      <c r="BV24" t="s">
        <v>6525</v>
      </c>
      <c r="BW24" s="923">
        <v>4.4999999999999998E-2</v>
      </c>
      <c r="BY24" t="s">
        <v>6096</v>
      </c>
      <c r="BZ24" t="s">
        <v>6434</v>
      </c>
      <c r="CA24" s="923">
        <v>7.4999999999999997E-2</v>
      </c>
      <c r="CB24" s="38">
        <v>0</v>
      </c>
    </row>
    <row r="25" spans="1:80" x14ac:dyDescent="0.25">
      <c r="A25" t="s">
        <v>775</v>
      </c>
      <c r="B25" t="s">
        <v>5068</v>
      </c>
      <c r="C25" t="s">
        <v>5069</v>
      </c>
      <c r="D25" t="s">
        <v>5070</v>
      </c>
      <c r="G25" s="38" t="s">
        <v>5471</v>
      </c>
      <c r="O25" t="s">
        <v>4313</v>
      </c>
      <c r="P25" t="s">
        <v>5208</v>
      </c>
      <c r="Q25" s="671">
        <v>67073</v>
      </c>
      <c r="R25" s="671"/>
      <c r="AB25" t="s">
        <v>5071</v>
      </c>
      <c r="AC25" t="s">
        <v>776</v>
      </c>
      <c r="AF25" s="673">
        <v>750000</v>
      </c>
      <c r="AG25" s="671" t="s">
        <v>5131</v>
      </c>
      <c r="AI25" s="673">
        <v>8000000</v>
      </c>
      <c r="AJ25" s="671"/>
      <c r="AT25" s="671"/>
      <c r="AU25" s="671"/>
      <c r="AV25" s="671"/>
      <c r="AW25" s="671"/>
      <c r="AX25" s="789">
        <v>7500000</v>
      </c>
      <c r="AY25" s="671" t="s">
        <v>5477</v>
      </c>
      <c r="BA25" s="789"/>
      <c r="BB25" s="671"/>
      <c r="BV25" t="s">
        <v>6469</v>
      </c>
      <c r="BW25" s="923">
        <v>0.1</v>
      </c>
      <c r="BY25" t="s">
        <v>6097</v>
      </c>
      <c r="BZ25" t="s">
        <v>6435</v>
      </c>
      <c r="CA25" s="923">
        <v>0.06</v>
      </c>
      <c r="CB25" s="38">
        <v>0</v>
      </c>
    </row>
    <row r="26" spans="1:80" x14ac:dyDescent="0.25">
      <c r="A26" t="s">
        <v>776</v>
      </c>
      <c r="B26" t="s">
        <v>5071</v>
      </c>
      <c r="C26" s="886" t="s">
        <v>5129</v>
      </c>
      <c r="D26" t="s">
        <v>5030</v>
      </c>
      <c r="G26" s="673">
        <v>0</v>
      </c>
      <c r="H26" s="671" t="s">
        <v>5019</v>
      </c>
      <c r="O26" t="s">
        <v>4317</v>
      </c>
      <c r="P26" t="s">
        <v>5208</v>
      </c>
      <c r="Q26" s="671">
        <v>67073</v>
      </c>
      <c r="R26" s="671"/>
      <c r="AB26" t="s">
        <v>5072</v>
      </c>
      <c r="AC26" t="s">
        <v>778</v>
      </c>
      <c r="AF26" s="673">
        <v>1000000</v>
      </c>
      <c r="AG26" s="671" t="s">
        <v>5132</v>
      </c>
      <c r="AI26" s="673">
        <v>9000000</v>
      </c>
      <c r="AJ26" s="671"/>
      <c r="AT26" s="671"/>
      <c r="AU26" s="671"/>
      <c r="AV26" s="671"/>
      <c r="AW26" s="671"/>
      <c r="AX26" s="789">
        <v>10000000</v>
      </c>
      <c r="AY26" s="671" t="s">
        <v>5076</v>
      </c>
      <c r="BA26" s="789"/>
      <c r="BB26" s="671"/>
      <c r="BV26" t="s">
        <v>6488</v>
      </c>
      <c r="BW26" s="923">
        <v>5.5E-2</v>
      </c>
      <c r="BY26" t="s">
        <v>6098</v>
      </c>
      <c r="BZ26" t="s">
        <v>6436</v>
      </c>
      <c r="CA26" s="923">
        <v>7.0000000000000007E-2</v>
      </c>
      <c r="CB26" s="38">
        <v>0</v>
      </c>
    </row>
    <row r="27" spans="1:80" x14ac:dyDescent="0.25">
      <c r="A27" t="s">
        <v>778</v>
      </c>
      <c r="B27" t="s">
        <v>5072</v>
      </c>
      <c r="C27" s="886" t="s">
        <v>5477</v>
      </c>
      <c r="D27" t="s">
        <v>5020</v>
      </c>
      <c r="G27" s="673">
        <v>100000</v>
      </c>
      <c r="H27" s="671" t="s">
        <v>5069</v>
      </c>
      <c r="O27" t="s">
        <v>4301</v>
      </c>
      <c r="P27" t="s">
        <v>5208</v>
      </c>
      <c r="Q27" s="671">
        <v>67073</v>
      </c>
      <c r="R27" s="671"/>
      <c r="AB27" t="s">
        <v>5073</v>
      </c>
      <c r="AC27" t="s">
        <v>777</v>
      </c>
      <c r="AF27" s="673" t="s">
        <v>5474</v>
      </c>
      <c r="AG27" s="671" t="s">
        <v>5475</v>
      </c>
      <c r="AI27" s="673">
        <v>10000000</v>
      </c>
      <c r="AJ27" s="671" t="s">
        <v>5076</v>
      </c>
      <c r="AT27" s="671"/>
      <c r="AU27" s="671"/>
      <c r="AV27" s="671"/>
      <c r="AW27" s="671"/>
      <c r="AX27" s="789">
        <v>15000000</v>
      </c>
      <c r="AY27" s="671" t="s">
        <v>5083</v>
      </c>
      <c r="BA27" s="789"/>
      <c r="BB27" s="671"/>
      <c r="BV27" t="s">
        <v>6440</v>
      </c>
      <c r="BW27" s="923">
        <v>7.0000000000000007E-2</v>
      </c>
      <c r="BY27" t="s">
        <v>6099</v>
      </c>
      <c r="BZ27" t="s">
        <v>6426</v>
      </c>
      <c r="CA27" s="923">
        <v>0.05</v>
      </c>
      <c r="CB27" s="38">
        <v>0</v>
      </c>
    </row>
    <row r="28" spans="1:80" x14ac:dyDescent="0.25">
      <c r="A28" t="s">
        <v>777</v>
      </c>
      <c r="B28" t="s">
        <v>5073</v>
      </c>
      <c r="C28" t="s">
        <v>5074</v>
      </c>
      <c r="D28" t="s">
        <v>5017</v>
      </c>
      <c r="G28" s="673">
        <v>250000</v>
      </c>
      <c r="H28" s="671" t="s">
        <v>5076</v>
      </c>
      <c r="O28" t="s">
        <v>4301</v>
      </c>
      <c r="P28" t="s">
        <v>5208</v>
      </c>
      <c r="Q28" s="671">
        <v>67073</v>
      </c>
      <c r="R28" s="671"/>
      <c r="AB28" t="s">
        <v>5075</v>
      </c>
      <c r="AC28" t="s">
        <v>779</v>
      </c>
      <c r="AI28" s="673">
        <v>15000000</v>
      </c>
      <c r="AJ28" s="671" t="s">
        <v>5083</v>
      </c>
      <c r="AT28" s="671"/>
      <c r="AU28" s="671"/>
      <c r="AV28" s="671"/>
      <c r="AW28" s="671"/>
      <c r="AX28" s="789">
        <v>20000000</v>
      </c>
      <c r="AY28" s="671" t="s">
        <v>5090</v>
      </c>
      <c r="BA28" s="789"/>
      <c r="BB28" s="671"/>
      <c r="BV28" t="s">
        <v>6461</v>
      </c>
      <c r="BW28" s="923">
        <v>0.05</v>
      </c>
      <c r="BY28" t="s">
        <v>6100</v>
      </c>
      <c r="BZ28" t="s">
        <v>6441</v>
      </c>
      <c r="CA28" s="923">
        <v>0.02</v>
      </c>
      <c r="CB28" s="38">
        <v>0</v>
      </c>
    </row>
    <row r="29" spans="1:80" x14ac:dyDescent="0.25">
      <c r="A29" t="s">
        <v>779</v>
      </c>
      <c r="B29" t="s">
        <v>5075</v>
      </c>
      <c r="C29" t="s">
        <v>5076</v>
      </c>
      <c r="D29" t="s">
        <v>5017</v>
      </c>
      <c r="G29" s="673">
        <v>500000</v>
      </c>
      <c r="H29" s="671" t="s">
        <v>5130</v>
      </c>
      <c r="O29" t="s">
        <v>4325</v>
      </c>
      <c r="P29" t="s">
        <v>5208</v>
      </c>
      <c r="Q29" s="671">
        <v>67073</v>
      </c>
      <c r="R29" s="671"/>
      <c r="AB29" t="s">
        <v>5077</v>
      </c>
      <c r="AC29" t="s">
        <v>786</v>
      </c>
      <c r="AI29" s="673">
        <v>20000000</v>
      </c>
      <c r="AJ29" s="671" t="s">
        <v>5090</v>
      </c>
      <c r="AT29" s="671"/>
      <c r="AU29" s="671"/>
      <c r="AV29" s="671"/>
      <c r="AW29" s="671"/>
      <c r="AX29" s="789">
        <v>25000000</v>
      </c>
      <c r="AY29" s="671" t="s">
        <v>5502</v>
      </c>
      <c r="BA29" s="789"/>
      <c r="BB29" s="671"/>
      <c r="BV29" t="s">
        <v>6449</v>
      </c>
      <c r="BW29" s="923">
        <v>5.5E-2</v>
      </c>
      <c r="BY29" t="s">
        <v>6101</v>
      </c>
      <c r="BZ29" t="s">
        <v>6265</v>
      </c>
      <c r="CA29" s="923">
        <v>0.03</v>
      </c>
      <c r="CB29" s="38">
        <v>0</v>
      </c>
    </row>
    <row r="30" spans="1:80" x14ac:dyDescent="0.25">
      <c r="A30" t="s">
        <v>786</v>
      </c>
      <c r="B30" t="s">
        <v>5077</v>
      </c>
      <c r="C30" t="s">
        <v>5078</v>
      </c>
      <c r="D30" t="s">
        <v>5079</v>
      </c>
      <c r="G30" s="673">
        <v>1000000</v>
      </c>
      <c r="H30" s="671" t="s">
        <v>5132</v>
      </c>
      <c r="O30" t="s">
        <v>4323</v>
      </c>
      <c r="P30" t="s">
        <v>5208</v>
      </c>
      <c r="Q30" s="671">
        <v>67073</v>
      </c>
      <c r="R30" s="671"/>
      <c r="AB30" t="s">
        <v>5080</v>
      </c>
      <c r="AC30" t="s">
        <v>787</v>
      </c>
      <c r="AI30" s="673">
        <v>30000000</v>
      </c>
      <c r="AJ30" s="671" t="s">
        <v>5085</v>
      </c>
      <c r="AT30" s="671"/>
      <c r="AU30" s="671"/>
      <c r="AV30" s="671"/>
      <c r="AW30" s="671"/>
      <c r="AX30" s="789">
        <v>30000000</v>
      </c>
      <c r="AY30" s="671" t="s">
        <v>5085</v>
      </c>
      <c r="BA30" s="789"/>
      <c r="BB30" s="671"/>
      <c r="BV30" t="s">
        <v>6444</v>
      </c>
      <c r="BW30" s="923">
        <v>0.04</v>
      </c>
      <c r="BY30" t="s">
        <v>6102</v>
      </c>
      <c r="BZ30" t="s">
        <v>6442</v>
      </c>
      <c r="CA30" s="923">
        <v>0.05</v>
      </c>
      <c r="CB30" s="38">
        <f t="shared" si="0"/>
        <v>0.05</v>
      </c>
    </row>
    <row r="31" spans="1:80" x14ac:dyDescent="0.25">
      <c r="A31" t="s">
        <v>787</v>
      </c>
      <c r="B31" t="s">
        <v>5080</v>
      </c>
      <c r="C31" t="s">
        <v>5081</v>
      </c>
      <c r="D31" t="s">
        <v>5017</v>
      </c>
      <c r="G31" s="673">
        <v>2500000</v>
      </c>
      <c r="H31" s="671" t="s">
        <v>5135</v>
      </c>
      <c r="O31" t="s">
        <v>4321</v>
      </c>
      <c r="P31" t="s">
        <v>5208</v>
      </c>
      <c r="Q31" s="671">
        <v>67073</v>
      </c>
      <c r="R31" s="671"/>
      <c r="AB31" t="s">
        <v>5082</v>
      </c>
      <c r="AC31" t="s">
        <v>780</v>
      </c>
      <c r="AI31" s="673">
        <v>50000000</v>
      </c>
      <c r="AJ31" s="671" t="s">
        <v>5087</v>
      </c>
      <c r="AT31" s="671"/>
      <c r="AU31" s="671"/>
      <c r="AV31" s="671"/>
      <c r="AW31" s="671"/>
      <c r="AX31" s="789">
        <v>50000000</v>
      </c>
      <c r="AY31" s="671" t="s">
        <v>5087</v>
      </c>
      <c r="BA31" s="789"/>
      <c r="BB31" s="671"/>
      <c r="BV31" t="s">
        <v>6524</v>
      </c>
      <c r="BW31" s="923">
        <v>0.03</v>
      </c>
      <c r="BY31" t="s">
        <v>6103</v>
      </c>
      <c r="BZ31" t="s">
        <v>6426</v>
      </c>
      <c r="CA31" s="923">
        <v>0.05</v>
      </c>
      <c r="CB31" s="38">
        <v>0</v>
      </c>
    </row>
    <row r="32" spans="1:80" x14ac:dyDescent="0.25">
      <c r="A32" t="s">
        <v>780</v>
      </c>
      <c r="B32" t="s">
        <v>5082</v>
      </c>
      <c r="C32" t="s">
        <v>5083</v>
      </c>
      <c r="D32" t="s">
        <v>5030</v>
      </c>
      <c r="G32" s="673">
        <v>5000000</v>
      </c>
      <c r="H32" s="671" t="s">
        <v>5136</v>
      </c>
      <c r="O32" t="s">
        <v>4307</v>
      </c>
      <c r="P32" t="s">
        <v>5208</v>
      </c>
      <c r="Q32" s="671">
        <v>67073</v>
      </c>
      <c r="R32" s="671"/>
      <c r="AB32" t="s">
        <v>5084</v>
      </c>
      <c r="AC32" t="s">
        <v>782</v>
      </c>
      <c r="AT32" s="671"/>
      <c r="AU32" s="671"/>
      <c r="AV32" s="671"/>
      <c r="AW32" s="671"/>
      <c r="AX32" s="789"/>
      <c r="BV32" t="s">
        <v>6478</v>
      </c>
      <c r="BW32" s="923">
        <v>0.06</v>
      </c>
      <c r="BY32" t="s">
        <v>6104</v>
      </c>
      <c r="BZ32" t="s">
        <v>6444</v>
      </c>
      <c r="CA32" s="923">
        <v>0.06</v>
      </c>
      <c r="CB32" s="38">
        <f t="shared" si="0"/>
        <v>0.04</v>
      </c>
    </row>
    <row r="33" spans="1:80" x14ac:dyDescent="0.25">
      <c r="A33" t="s">
        <v>782</v>
      </c>
      <c r="B33" t="s">
        <v>5084</v>
      </c>
      <c r="C33" t="s">
        <v>5085</v>
      </c>
      <c r="D33" t="s">
        <v>5017</v>
      </c>
      <c r="G33" s="673">
        <v>10000000</v>
      </c>
      <c r="H33" s="671" t="s">
        <v>5137</v>
      </c>
      <c r="O33" t="s">
        <v>4305</v>
      </c>
      <c r="P33" t="s">
        <v>5208</v>
      </c>
      <c r="Q33" s="671">
        <v>67073</v>
      </c>
      <c r="R33" s="671"/>
      <c r="AB33" t="s">
        <v>5086</v>
      </c>
      <c r="AC33" t="s">
        <v>783</v>
      </c>
      <c r="AT33" s="671"/>
      <c r="AU33" s="671"/>
      <c r="AV33" s="671"/>
      <c r="AW33" s="671"/>
      <c r="AX33" s="789"/>
      <c r="BV33" t="s">
        <v>6451</v>
      </c>
      <c r="BW33" s="923">
        <v>0.06</v>
      </c>
      <c r="BY33" t="s">
        <v>6105</v>
      </c>
      <c r="BZ33" t="s">
        <v>6426</v>
      </c>
      <c r="CA33" s="923">
        <v>0.05</v>
      </c>
      <c r="CB33" s="38">
        <v>0</v>
      </c>
    </row>
    <row r="34" spans="1:80" x14ac:dyDescent="0.25">
      <c r="A34" t="s">
        <v>783</v>
      </c>
      <c r="B34" t="s">
        <v>5086</v>
      </c>
      <c r="C34" t="s">
        <v>5087</v>
      </c>
      <c r="D34" t="s">
        <v>5062</v>
      </c>
      <c r="G34" s="673">
        <v>25000000</v>
      </c>
      <c r="H34" s="671" t="s">
        <v>5140</v>
      </c>
      <c r="O34" t="s">
        <v>4291</v>
      </c>
      <c r="P34" t="s">
        <v>5209</v>
      </c>
      <c r="Q34" s="671">
        <v>67073</v>
      </c>
      <c r="R34" s="671"/>
      <c r="AB34" t="s">
        <v>5088</v>
      </c>
      <c r="AC34" t="s">
        <v>784</v>
      </c>
      <c r="AT34" s="671"/>
      <c r="AU34" s="671"/>
      <c r="AV34" s="671"/>
      <c r="AW34" s="671"/>
      <c r="AX34" s="789"/>
      <c r="BV34" t="s">
        <v>6433</v>
      </c>
      <c r="BW34" s="923">
        <v>0.05</v>
      </c>
      <c r="BY34" t="s">
        <v>6106</v>
      </c>
      <c r="BZ34" t="s">
        <v>6445</v>
      </c>
      <c r="CA34" s="923">
        <v>0.1</v>
      </c>
      <c r="CB34" s="38">
        <f t="shared" si="0"/>
        <v>0.08</v>
      </c>
    </row>
    <row r="35" spans="1:80" x14ac:dyDescent="0.25">
      <c r="A35" t="s">
        <v>784</v>
      </c>
      <c r="B35" t="s">
        <v>5088</v>
      </c>
      <c r="C35" s="886" t="s">
        <v>5502</v>
      </c>
      <c r="D35" t="s">
        <v>5017</v>
      </c>
      <c r="G35" s="673">
        <v>50000000</v>
      </c>
      <c r="H35" s="671" t="s">
        <v>5141</v>
      </c>
      <c r="O35" t="s">
        <v>4291</v>
      </c>
      <c r="P35" t="s">
        <v>5209</v>
      </c>
      <c r="Q35" s="671">
        <v>67073</v>
      </c>
      <c r="R35" s="671"/>
      <c r="AB35" t="s">
        <v>5089</v>
      </c>
      <c r="AC35" t="s">
        <v>781</v>
      </c>
      <c r="AT35" s="671"/>
      <c r="AU35" s="671"/>
      <c r="AV35" s="671"/>
      <c r="AW35" s="671"/>
      <c r="AX35" s="789"/>
      <c r="BV35" t="s">
        <v>804</v>
      </c>
      <c r="BW35" s="923">
        <v>0.04</v>
      </c>
      <c r="BY35" t="s">
        <v>6107</v>
      </c>
      <c r="BZ35" t="s">
        <v>6428</v>
      </c>
      <c r="CA35" s="923">
        <v>7.0000000000000007E-2</v>
      </c>
      <c r="CB35" s="38">
        <v>0</v>
      </c>
    </row>
    <row r="36" spans="1:80" x14ac:dyDescent="0.25">
      <c r="A36" t="s">
        <v>781</v>
      </c>
      <c r="B36" t="s">
        <v>5089</v>
      </c>
      <c r="C36" t="s">
        <v>5090</v>
      </c>
      <c r="D36" t="s">
        <v>5017</v>
      </c>
      <c r="G36" s="673"/>
      <c r="O36" t="s">
        <v>4291</v>
      </c>
      <c r="P36" t="s">
        <v>5209</v>
      </c>
      <c r="Q36" s="671">
        <v>67073</v>
      </c>
      <c r="R36" s="671"/>
      <c r="AB36" t="s">
        <v>5091</v>
      </c>
      <c r="AC36" t="s">
        <v>785</v>
      </c>
      <c r="AT36" s="671"/>
      <c r="AU36" s="671"/>
      <c r="AV36" s="671"/>
      <c r="AW36" s="671"/>
      <c r="AX36" s="789"/>
      <c r="BV36" t="s">
        <v>6515</v>
      </c>
      <c r="BW36" s="923">
        <v>0.05</v>
      </c>
      <c r="BY36" t="s">
        <v>6108</v>
      </c>
      <c r="BZ36" t="s">
        <v>6426</v>
      </c>
      <c r="CA36" s="923">
        <v>0.05</v>
      </c>
      <c r="CB36" s="38">
        <v>0</v>
      </c>
    </row>
    <row r="37" spans="1:80" x14ac:dyDescent="0.25">
      <c r="A37" t="s">
        <v>785</v>
      </c>
      <c r="B37" t="s">
        <v>5091</v>
      </c>
      <c r="C37" s="886" t="s">
        <v>6032</v>
      </c>
      <c r="D37" t="s">
        <v>5092</v>
      </c>
      <c r="G37" s="673" t="s">
        <v>5470</v>
      </c>
      <c r="H37" s="671">
        <v>98</v>
      </c>
      <c r="O37" t="s">
        <v>4291</v>
      </c>
      <c r="P37" t="s">
        <v>5209</v>
      </c>
      <c r="Q37" s="671">
        <v>67073</v>
      </c>
      <c r="R37" s="671"/>
      <c r="AB37" t="s">
        <v>5091</v>
      </c>
      <c r="AC37" t="s">
        <v>785</v>
      </c>
      <c r="AT37" s="671"/>
      <c r="AU37" s="671"/>
      <c r="AV37" s="671"/>
      <c r="AW37" s="671"/>
      <c r="AX37" s="789"/>
      <c r="BY37" t="s">
        <v>6109</v>
      </c>
      <c r="BZ37" t="s">
        <v>6426</v>
      </c>
      <c r="CA37" s="923">
        <v>0.05</v>
      </c>
      <c r="CB37" s="38">
        <v>0</v>
      </c>
    </row>
    <row r="38" spans="1:80" x14ac:dyDescent="0.25">
      <c r="A38" t="s">
        <v>785</v>
      </c>
      <c r="B38" t="s">
        <v>5091</v>
      </c>
      <c r="C38" s="886" t="s">
        <v>6032</v>
      </c>
      <c r="D38" t="s">
        <v>5092</v>
      </c>
      <c r="G38" s="673"/>
      <c r="O38" t="s">
        <v>4293</v>
      </c>
      <c r="P38" t="s">
        <v>5209</v>
      </c>
      <c r="Q38" s="671">
        <v>67073</v>
      </c>
      <c r="R38" s="671"/>
      <c r="AB38" t="s">
        <v>5093</v>
      </c>
      <c r="AC38" t="s">
        <v>789</v>
      </c>
      <c r="AT38" s="671"/>
      <c r="AU38" s="671"/>
      <c r="AV38" s="671"/>
      <c r="AW38" s="671"/>
      <c r="AX38" s="789"/>
      <c r="BY38" t="s">
        <v>6110</v>
      </c>
      <c r="BZ38" t="s">
        <v>6446</v>
      </c>
      <c r="CA38" s="923">
        <v>7.0000000000000007E-2</v>
      </c>
      <c r="CB38" s="38">
        <v>0</v>
      </c>
    </row>
    <row r="39" spans="1:80" x14ac:dyDescent="0.25">
      <c r="A39" t="s">
        <v>789</v>
      </c>
      <c r="B39" t="s">
        <v>5093</v>
      </c>
      <c r="C39" t="s">
        <v>5094</v>
      </c>
      <c r="D39" t="s">
        <v>5095</v>
      </c>
      <c r="O39" t="s">
        <v>4293</v>
      </c>
      <c r="P39" t="s">
        <v>5209</v>
      </c>
      <c r="Q39" s="671">
        <v>67073</v>
      </c>
      <c r="R39" s="671"/>
      <c r="AB39" t="s">
        <v>5096</v>
      </c>
      <c r="AC39" t="s">
        <v>790</v>
      </c>
      <c r="AT39" s="671"/>
      <c r="AU39" s="671"/>
      <c r="AV39" s="671"/>
      <c r="AW39" s="671"/>
      <c r="AX39" s="789"/>
      <c r="BY39" t="s">
        <v>6111</v>
      </c>
      <c r="BZ39" t="s">
        <v>6448</v>
      </c>
      <c r="CA39" s="923">
        <v>0.1</v>
      </c>
      <c r="CB39" s="38">
        <v>0</v>
      </c>
    </row>
    <row r="40" spans="1:80" x14ac:dyDescent="0.25">
      <c r="A40" t="s">
        <v>790</v>
      </c>
      <c r="B40" t="s">
        <v>5096</v>
      </c>
      <c r="C40" t="s">
        <v>5097</v>
      </c>
      <c r="D40" t="s">
        <v>5020</v>
      </c>
      <c r="O40" t="s">
        <v>4293</v>
      </c>
      <c r="P40" t="s">
        <v>5209</v>
      </c>
      <c r="Q40" s="671">
        <v>67073</v>
      </c>
      <c r="R40" s="671"/>
      <c r="AB40" t="s">
        <v>5098</v>
      </c>
      <c r="AC40" t="s">
        <v>791</v>
      </c>
      <c r="AT40" s="671"/>
      <c r="AU40" s="671"/>
      <c r="AV40" s="671"/>
      <c r="AW40" s="671"/>
      <c r="AX40" s="789"/>
      <c r="BY40" t="s">
        <v>6112</v>
      </c>
      <c r="BZ40" t="s">
        <v>6149</v>
      </c>
      <c r="CA40" s="923">
        <v>0.1</v>
      </c>
      <c r="CB40" s="38">
        <v>0</v>
      </c>
    </row>
    <row r="41" spans="1:80" x14ac:dyDescent="0.25">
      <c r="A41" t="s">
        <v>791</v>
      </c>
      <c r="B41" t="s">
        <v>5098</v>
      </c>
      <c r="C41" t="s">
        <v>5099</v>
      </c>
      <c r="D41" t="s">
        <v>5030</v>
      </c>
      <c r="O41" t="s">
        <v>4299</v>
      </c>
      <c r="P41" t="s">
        <v>5208</v>
      </c>
      <c r="Q41" s="671">
        <v>67073</v>
      </c>
      <c r="R41" s="671"/>
      <c r="AB41" t="s">
        <v>5100</v>
      </c>
      <c r="AC41" t="s">
        <v>793</v>
      </c>
      <c r="AT41" s="671"/>
      <c r="AU41" s="671"/>
      <c r="AV41" s="671"/>
      <c r="AW41" s="671"/>
      <c r="BY41" t="s">
        <v>6113</v>
      </c>
      <c r="BZ41" t="s">
        <v>6449</v>
      </c>
      <c r="CA41" s="923">
        <v>7.0000000000000007E-2</v>
      </c>
      <c r="CB41" s="38">
        <f t="shared" si="0"/>
        <v>5.5E-2</v>
      </c>
    </row>
    <row r="42" spans="1:80" x14ac:dyDescent="0.25">
      <c r="A42" t="s">
        <v>793</v>
      </c>
      <c r="B42" t="s">
        <v>5100</v>
      </c>
      <c r="C42" s="886" t="s">
        <v>6033</v>
      </c>
      <c r="D42" t="s">
        <v>5101</v>
      </c>
      <c r="O42" t="s">
        <v>4295</v>
      </c>
      <c r="P42" t="s">
        <v>5208</v>
      </c>
      <c r="Q42" s="671">
        <v>67073</v>
      </c>
      <c r="R42" s="671"/>
      <c r="AB42" t="s">
        <v>5100</v>
      </c>
      <c r="AC42" t="s">
        <v>793</v>
      </c>
      <c r="AT42" s="671"/>
      <c r="AU42" s="671"/>
      <c r="AV42" s="671"/>
      <c r="AW42" s="671"/>
      <c r="BY42" t="s">
        <v>6114</v>
      </c>
      <c r="BZ42" t="s">
        <v>6450</v>
      </c>
      <c r="CA42" s="923">
        <v>0.1</v>
      </c>
      <c r="CB42" s="38">
        <v>0</v>
      </c>
    </row>
    <row r="43" spans="1:80" x14ac:dyDescent="0.25">
      <c r="A43" t="s">
        <v>793</v>
      </c>
      <c r="B43" t="s">
        <v>5100</v>
      </c>
      <c r="C43" s="886" t="s">
        <v>6033</v>
      </c>
      <c r="D43" t="s">
        <v>5101</v>
      </c>
      <c r="O43" t="s">
        <v>4288</v>
      </c>
      <c r="P43" t="s">
        <v>5208</v>
      </c>
      <c r="Q43" s="671">
        <v>67089</v>
      </c>
      <c r="R43" s="671"/>
      <c r="AB43" t="s">
        <v>5102</v>
      </c>
      <c r="AC43" t="s">
        <v>795</v>
      </c>
      <c r="AT43" s="671"/>
      <c r="AU43" s="671"/>
      <c r="AV43" s="671"/>
      <c r="AW43" s="671"/>
      <c r="BY43" t="s">
        <v>6115</v>
      </c>
      <c r="BZ43" t="s">
        <v>6451</v>
      </c>
      <c r="CA43" s="923">
        <v>0.06</v>
      </c>
      <c r="CB43" s="38">
        <f t="shared" si="0"/>
        <v>0.06</v>
      </c>
    </row>
    <row r="44" spans="1:80" x14ac:dyDescent="0.25">
      <c r="A44" t="s">
        <v>795</v>
      </c>
      <c r="B44" t="s">
        <v>5102</v>
      </c>
      <c r="C44" t="s">
        <v>5103</v>
      </c>
      <c r="D44" t="s">
        <v>5020</v>
      </c>
      <c r="O44" t="s">
        <v>4345</v>
      </c>
      <c r="P44" t="s">
        <v>5208</v>
      </c>
      <c r="Q44" s="671">
        <v>67089</v>
      </c>
      <c r="R44" s="671"/>
      <c r="AB44" t="s">
        <v>5104</v>
      </c>
      <c r="AC44" t="s">
        <v>796</v>
      </c>
      <c r="AT44" s="671"/>
      <c r="AU44" s="671"/>
      <c r="AV44" s="671"/>
      <c r="AW44" s="671"/>
      <c r="BY44" t="s">
        <v>6116</v>
      </c>
      <c r="BZ44" t="s">
        <v>6452</v>
      </c>
      <c r="CA44" s="923">
        <v>0.12</v>
      </c>
      <c r="CB44" s="38">
        <v>0</v>
      </c>
    </row>
    <row r="45" spans="1:80" x14ac:dyDescent="0.25">
      <c r="A45" t="s">
        <v>796</v>
      </c>
      <c r="B45" t="s">
        <v>5104</v>
      </c>
      <c r="C45" t="s">
        <v>5105</v>
      </c>
      <c r="D45" t="s">
        <v>5017</v>
      </c>
      <c r="O45" t="s">
        <v>4339</v>
      </c>
      <c r="P45" t="s">
        <v>5208</v>
      </c>
      <c r="Q45" s="671">
        <v>67089</v>
      </c>
      <c r="R45" s="671"/>
      <c r="AB45" t="s">
        <v>5106</v>
      </c>
      <c r="AC45" t="s">
        <v>797</v>
      </c>
      <c r="AT45" s="671"/>
      <c r="AU45" s="671"/>
      <c r="AV45" s="671"/>
      <c r="AW45" s="671"/>
      <c r="BY45" t="s">
        <v>755</v>
      </c>
      <c r="BZ45" t="s">
        <v>6424</v>
      </c>
      <c r="CA45" s="923">
        <v>0.1</v>
      </c>
      <c r="CB45" s="38">
        <f t="shared" si="0"/>
        <v>0.1</v>
      </c>
    </row>
    <row r="46" spans="1:80" x14ac:dyDescent="0.25">
      <c r="A46" t="s">
        <v>797</v>
      </c>
      <c r="B46" t="s">
        <v>5106</v>
      </c>
      <c r="C46" t="s">
        <v>5107</v>
      </c>
      <c r="D46" t="s">
        <v>5017</v>
      </c>
      <c r="O46" t="s">
        <v>4343</v>
      </c>
      <c r="P46" t="s">
        <v>5208</v>
      </c>
      <c r="Q46" s="671">
        <v>67089</v>
      </c>
      <c r="R46" s="671"/>
      <c r="AB46" t="s">
        <v>5108</v>
      </c>
      <c r="AC46" t="s">
        <v>798</v>
      </c>
      <c r="AT46" s="671"/>
      <c r="AU46" s="671"/>
      <c r="AV46" s="671"/>
      <c r="AW46" s="671"/>
      <c r="BY46" t="s">
        <v>6117</v>
      </c>
      <c r="BZ46" t="s">
        <v>6434</v>
      </c>
      <c r="CA46" s="923">
        <v>7.0000000000000007E-2</v>
      </c>
      <c r="CB46" s="38">
        <v>0</v>
      </c>
    </row>
    <row r="47" spans="1:80" x14ac:dyDescent="0.25">
      <c r="A47" t="s">
        <v>798</v>
      </c>
      <c r="B47" t="s">
        <v>5108</v>
      </c>
      <c r="C47" t="s">
        <v>5109</v>
      </c>
      <c r="D47" t="s">
        <v>5070</v>
      </c>
      <c r="O47" t="s">
        <v>4351</v>
      </c>
      <c r="P47" t="s">
        <v>5210</v>
      </c>
      <c r="Q47" s="671">
        <v>67076</v>
      </c>
      <c r="R47" s="671"/>
      <c r="AB47" t="s">
        <v>5110</v>
      </c>
      <c r="AC47" t="s">
        <v>799</v>
      </c>
      <c r="AT47" s="671"/>
      <c r="AU47" s="671"/>
      <c r="AV47" s="671"/>
      <c r="AW47" s="671"/>
      <c r="BY47" t="s">
        <v>6118</v>
      </c>
      <c r="BZ47" t="s">
        <v>6426</v>
      </c>
      <c r="CA47" s="923">
        <v>0.05</v>
      </c>
      <c r="CB47" s="38">
        <v>0</v>
      </c>
    </row>
    <row r="48" spans="1:80" x14ac:dyDescent="0.25">
      <c r="A48" t="s">
        <v>799</v>
      </c>
      <c r="B48" t="s">
        <v>5110</v>
      </c>
      <c r="C48" s="886" t="s">
        <v>6034</v>
      </c>
      <c r="D48" t="s">
        <v>5017</v>
      </c>
      <c r="O48" t="s">
        <v>4347</v>
      </c>
      <c r="P48" t="s">
        <v>5208</v>
      </c>
      <c r="Q48" s="671">
        <v>67089</v>
      </c>
      <c r="R48" s="671"/>
      <c r="AB48" t="s">
        <v>5111</v>
      </c>
      <c r="AC48" t="s">
        <v>800</v>
      </c>
      <c r="AT48" s="671"/>
      <c r="AU48" s="671"/>
      <c r="AV48" s="671"/>
      <c r="AW48" s="671"/>
      <c r="BY48" t="s">
        <v>6119</v>
      </c>
      <c r="BZ48" t="s">
        <v>6454</v>
      </c>
      <c r="CA48" s="923">
        <v>0.1</v>
      </c>
      <c r="CB48" s="38">
        <v>0</v>
      </c>
    </row>
    <row r="49" spans="1:80" x14ac:dyDescent="0.25">
      <c r="A49" t="s">
        <v>800</v>
      </c>
      <c r="B49" t="s">
        <v>5111</v>
      </c>
      <c r="C49" t="s">
        <v>5112</v>
      </c>
      <c r="D49" t="s">
        <v>5017</v>
      </c>
      <c r="O49" t="s">
        <v>4286</v>
      </c>
      <c r="P49" t="s">
        <v>5208</v>
      </c>
      <c r="Q49" s="671">
        <v>67089</v>
      </c>
      <c r="R49" s="671"/>
      <c r="AB49" t="s">
        <v>5113</v>
      </c>
      <c r="AC49" t="s">
        <v>803</v>
      </c>
      <c r="AT49" s="671"/>
      <c r="AU49" s="671"/>
      <c r="AV49" s="671"/>
      <c r="AW49" s="671"/>
      <c r="BY49" t="s">
        <v>6120</v>
      </c>
      <c r="BZ49" t="s">
        <v>6455</v>
      </c>
      <c r="CA49" s="923">
        <v>0.1</v>
      </c>
      <c r="CB49" s="38">
        <v>0</v>
      </c>
    </row>
    <row r="50" spans="1:80" x14ac:dyDescent="0.25">
      <c r="A50" t="s">
        <v>803</v>
      </c>
      <c r="B50" t="s">
        <v>5113</v>
      </c>
      <c r="C50" t="s">
        <v>5114</v>
      </c>
      <c r="D50" t="s">
        <v>5115</v>
      </c>
      <c r="O50" t="s">
        <v>4377</v>
      </c>
      <c r="P50" t="s">
        <v>5208</v>
      </c>
      <c r="Q50" s="671">
        <v>67089</v>
      </c>
      <c r="R50" s="671"/>
      <c r="AB50" t="s">
        <v>5116</v>
      </c>
      <c r="AC50" t="s">
        <v>801</v>
      </c>
      <c r="AT50" s="671"/>
      <c r="AU50" s="671"/>
      <c r="AV50" s="671"/>
      <c r="AW50" s="671"/>
      <c r="BY50" t="s">
        <v>6121</v>
      </c>
      <c r="BZ50" t="s">
        <v>6456</v>
      </c>
      <c r="CA50" s="923">
        <v>0.08</v>
      </c>
      <c r="CB50" s="38">
        <v>0</v>
      </c>
    </row>
    <row r="51" spans="1:80" x14ac:dyDescent="0.25">
      <c r="A51" t="s">
        <v>801</v>
      </c>
      <c r="B51" t="s">
        <v>5116</v>
      </c>
      <c r="C51" t="s">
        <v>5117</v>
      </c>
      <c r="D51" t="s">
        <v>5017</v>
      </c>
      <c r="O51" t="s">
        <v>4377</v>
      </c>
      <c r="P51" t="s">
        <v>5208</v>
      </c>
      <c r="Q51" s="671">
        <v>67089</v>
      </c>
      <c r="R51" s="671"/>
      <c r="AB51" t="s">
        <v>5118</v>
      </c>
      <c r="AC51" t="s">
        <v>804</v>
      </c>
      <c r="AT51" s="671"/>
      <c r="AU51" s="671"/>
      <c r="AV51" s="671"/>
      <c r="AW51" s="671"/>
      <c r="BY51" t="s">
        <v>6122</v>
      </c>
      <c r="BZ51" t="s">
        <v>6199</v>
      </c>
      <c r="CA51" s="923">
        <v>5.1999999999999998E-2</v>
      </c>
      <c r="CB51" s="38">
        <v>0</v>
      </c>
    </row>
    <row r="52" spans="1:80" x14ac:dyDescent="0.25">
      <c r="A52" t="s">
        <v>804</v>
      </c>
      <c r="B52" t="s">
        <v>5118</v>
      </c>
      <c r="C52" t="s">
        <v>5119</v>
      </c>
      <c r="D52" t="s">
        <v>5030</v>
      </c>
      <c r="O52" t="s">
        <v>4375</v>
      </c>
      <c r="P52" t="s">
        <v>5208</v>
      </c>
      <c r="Q52" s="671">
        <v>67089</v>
      </c>
      <c r="R52" s="671"/>
      <c r="AB52" t="s">
        <v>5120</v>
      </c>
      <c r="AC52" t="s">
        <v>806</v>
      </c>
      <c r="AT52" s="671"/>
      <c r="AU52" s="671"/>
      <c r="AV52" s="671"/>
      <c r="AW52" s="671"/>
      <c r="BY52" t="s">
        <v>6123</v>
      </c>
      <c r="BZ52" t="s">
        <v>6457</v>
      </c>
      <c r="CA52" s="923">
        <v>7.4999999999999997E-2</v>
      </c>
      <c r="CB52" s="38">
        <v>0</v>
      </c>
    </row>
    <row r="53" spans="1:80" x14ac:dyDescent="0.25">
      <c r="A53" t="s">
        <v>806</v>
      </c>
      <c r="B53" t="s">
        <v>5120</v>
      </c>
      <c r="C53" t="s">
        <v>5121</v>
      </c>
      <c r="D53" t="s">
        <v>5020</v>
      </c>
      <c r="O53" t="s">
        <v>4373</v>
      </c>
      <c r="P53" t="s">
        <v>5208</v>
      </c>
      <c r="Q53" s="671">
        <v>67089</v>
      </c>
      <c r="R53" s="671"/>
      <c r="AB53" t="s">
        <v>5122</v>
      </c>
      <c r="AC53" t="s">
        <v>805</v>
      </c>
      <c r="AT53" s="671"/>
      <c r="AU53" s="671"/>
      <c r="AV53" s="671"/>
      <c r="AW53" s="671"/>
      <c r="BY53" t="s">
        <v>6124</v>
      </c>
      <c r="BZ53" t="s">
        <v>6458</v>
      </c>
      <c r="CA53" s="923">
        <v>0.08</v>
      </c>
      <c r="CB53" s="38">
        <v>0</v>
      </c>
    </row>
    <row r="54" spans="1:80" x14ac:dyDescent="0.25">
      <c r="A54" t="s">
        <v>805</v>
      </c>
      <c r="B54" t="s">
        <v>5122</v>
      </c>
      <c r="C54" t="s">
        <v>5123</v>
      </c>
      <c r="D54" t="s">
        <v>5017</v>
      </c>
      <c r="O54" t="s">
        <v>4367</v>
      </c>
      <c r="P54" t="s">
        <v>5208</v>
      </c>
      <c r="Q54" s="671">
        <v>67089</v>
      </c>
      <c r="R54" s="671"/>
      <c r="AB54" t="s">
        <v>5124</v>
      </c>
      <c r="AC54" t="s">
        <v>807</v>
      </c>
      <c r="AT54" s="671"/>
      <c r="AU54" s="671"/>
      <c r="AV54" s="671"/>
      <c r="AW54" s="671"/>
      <c r="BY54" t="s">
        <v>6125</v>
      </c>
      <c r="BZ54" t="s">
        <v>6427</v>
      </c>
      <c r="CA54" s="923">
        <v>0.14000000000000001</v>
      </c>
      <c r="CB54" s="38">
        <v>0</v>
      </c>
    </row>
    <row r="55" spans="1:80" x14ac:dyDescent="0.25">
      <c r="A55" t="s">
        <v>807</v>
      </c>
      <c r="B55" t="s">
        <v>5124</v>
      </c>
      <c r="C55" t="s">
        <v>5125</v>
      </c>
      <c r="D55" t="s">
        <v>5017</v>
      </c>
      <c r="O55" t="s">
        <v>4353</v>
      </c>
      <c r="P55" t="s">
        <v>5208</v>
      </c>
      <c r="Q55" s="671">
        <v>67089</v>
      </c>
      <c r="R55" s="671"/>
      <c r="AT55" s="671"/>
      <c r="AU55" s="671"/>
      <c r="AV55" s="671"/>
      <c r="AW55" s="671"/>
      <c r="BY55" t="s">
        <v>6126</v>
      </c>
      <c r="BZ55" t="s">
        <v>6459</v>
      </c>
      <c r="CA55" s="923">
        <v>0.08</v>
      </c>
      <c r="CB55" s="38">
        <v>0</v>
      </c>
    </row>
    <row r="56" spans="1:80" x14ac:dyDescent="0.25">
      <c r="A56" t="s">
        <v>7074</v>
      </c>
      <c r="O56" t="s">
        <v>4353</v>
      </c>
      <c r="P56" t="s">
        <v>5211</v>
      </c>
      <c r="Q56" s="671">
        <v>64049</v>
      </c>
      <c r="R56" s="671"/>
      <c r="AT56" s="671"/>
      <c r="AU56" s="671"/>
      <c r="AV56" s="671"/>
      <c r="AW56" s="671"/>
      <c r="BY56" t="s">
        <v>6127</v>
      </c>
      <c r="BZ56" t="s">
        <v>789</v>
      </c>
      <c r="CA56" s="923">
        <v>0.06</v>
      </c>
      <c r="CB56" s="38">
        <v>0</v>
      </c>
    </row>
    <row r="57" spans="1:80" x14ac:dyDescent="0.25">
      <c r="B57" t="s">
        <v>5126</v>
      </c>
      <c r="O57" t="s">
        <v>4357</v>
      </c>
      <c r="P57" t="s">
        <v>5208</v>
      </c>
      <c r="Q57" s="671">
        <v>67089</v>
      </c>
      <c r="R57" s="671"/>
      <c r="AT57" s="671"/>
      <c r="AU57" s="671"/>
      <c r="AV57" s="671"/>
      <c r="AW57" s="671"/>
      <c r="BY57" t="s">
        <v>6128</v>
      </c>
      <c r="BZ57" t="s">
        <v>6443</v>
      </c>
      <c r="CA57" s="923">
        <v>0.08</v>
      </c>
      <c r="CB57" s="38">
        <v>0</v>
      </c>
    </row>
    <row r="58" spans="1:80" x14ac:dyDescent="0.25">
      <c r="B58" t="s">
        <v>5127</v>
      </c>
      <c r="O58" t="s">
        <v>4357</v>
      </c>
      <c r="P58" t="s">
        <v>5208</v>
      </c>
      <c r="Q58" s="671">
        <v>67089</v>
      </c>
      <c r="R58" s="671"/>
      <c r="AT58" s="671"/>
      <c r="AU58" s="671"/>
      <c r="AV58" s="671"/>
      <c r="AW58" s="671"/>
      <c r="BY58" t="s">
        <v>6129</v>
      </c>
      <c r="BZ58" t="s">
        <v>6199</v>
      </c>
      <c r="CA58" s="923">
        <v>0.05</v>
      </c>
      <c r="CB58" s="38">
        <v>0</v>
      </c>
    </row>
    <row r="59" spans="1:80" x14ac:dyDescent="0.25">
      <c r="O59" t="s">
        <v>4357</v>
      </c>
      <c r="P59" t="s">
        <v>5208</v>
      </c>
      <c r="Q59" s="671">
        <v>67089</v>
      </c>
      <c r="R59" s="671"/>
      <c r="AT59" s="671"/>
      <c r="AU59" s="671"/>
      <c r="AV59" s="671"/>
      <c r="AW59" s="671"/>
      <c r="BY59" t="s">
        <v>6130</v>
      </c>
      <c r="BZ59" t="s">
        <v>6460</v>
      </c>
      <c r="CA59" s="923">
        <v>0.08</v>
      </c>
      <c r="CB59" s="38">
        <v>0</v>
      </c>
    </row>
    <row r="60" spans="1:80" x14ac:dyDescent="0.25">
      <c r="O60" t="s">
        <v>4361</v>
      </c>
      <c r="P60" t="s">
        <v>5212</v>
      </c>
      <c r="Q60" s="671">
        <v>60107</v>
      </c>
      <c r="R60" s="671"/>
      <c r="AT60" s="671"/>
      <c r="AU60" s="671"/>
      <c r="AV60" s="671"/>
      <c r="AW60" s="671"/>
      <c r="BY60" t="s">
        <v>6131</v>
      </c>
      <c r="BZ60" t="s">
        <v>6461</v>
      </c>
      <c r="CA60" s="923">
        <v>0.05</v>
      </c>
      <c r="CB60" s="38">
        <f t="shared" si="0"/>
        <v>0.05</v>
      </c>
    </row>
    <row r="61" spans="1:80" x14ac:dyDescent="0.25">
      <c r="O61" t="s">
        <v>4361</v>
      </c>
      <c r="P61" t="s">
        <v>5212</v>
      </c>
      <c r="Q61" s="671">
        <v>60107</v>
      </c>
      <c r="R61" s="671"/>
      <c r="AT61" s="671"/>
      <c r="AU61" s="671"/>
      <c r="AV61" s="671"/>
      <c r="AW61" s="671"/>
      <c r="BY61" t="s">
        <v>6132</v>
      </c>
      <c r="BZ61" t="s">
        <v>6462</v>
      </c>
      <c r="CA61" s="923">
        <v>0.09</v>
      </c>
      <c r="CB61" s="38">
        <f t="shared" si="0"/>
        <v>0.05</v>
      </c>
    </row>
    <row r="62" spans="1:80" x14ac:dyDescent="0.25">
      <c r="O62" t="s">
        <v>4371</v>
      </c>
      <c r="P62" t="s">
        <v>5208</v>
      </c>
      <c r="Q62" s="671">
        <v>67089</v>
      </c>
      <c r="R62" s="671"/>
      <c r="AT62" s="671"/>
      <c r="AU62" s="671"/>
      <c r="AV62" s="671"/>
      <c r="AW62" s="671"/>
      <c r="BY62" t="s">
        <v>6133</v>
      </c>
      <c r="BZ62" t="s">
        <v>6463</v>
      </c>
      <c r="CA62" s="923">
        <v>0.04</v>
      </c>
      <c r="CB62" s="38">
        <v>0</v>
      </c>
    </row>
    <row r="63" spans="1:80" x14ac:dyDescent="0.25">
      <c r="O63" t="s">
        <v>4371</v>
      </c>
      <c r="P63" t="s">
        <v>5208</v>
      </c>
      <c r="Q63" s="671">
        <v>67089</v>
      </c>
      <c r="R63" s="671"/>
      <c r="AT63" s="671"/>
      <c r="AU63" s="671"/>
      <c r="AV63" s="671"/>
      <c r="AW63" s="671"/>
      <c r="BY63" t="s">
        <v>6134</v>
      </c>
      <c r="BZ63" t="s">
        <v>6424</v>
      </c>
      <c r="CA63" s="923">
        <v>0.1</v>
      </c>
      <c r="CB63" s="38">
        <f t="shared" si="0"/>
        <v>0.1</v>
      </c>
    </row>
    <row r="64" spans="1:80" x14ac:dyDescent="0.25">
      <c r="O64" t="s">
        <v>4371</v>
      </c>
      <c r="P64" t="s">
        <v>5210</v>
      </c>
      <c r="Q64" s="671">
        <v>67076</v>
      </c>
      <c r="R64" s="671"/>
      <c r="AT64" s="671"/>
      <c r="AU64" s="671"/>
      <c r="AV64" s="671"/>
      <c r="AW64" s="671"/>
      <c r="BY64" t="s">
        <v>6135</v>
      </c>
      <c r="BZ64" t="s">
        <v>6426</v>
      </c>
      <c r="CA64" s="923">
        <v>0.05</v>
      </c>
      <c r="CB64" s="38">
        <v>0</v>
      </c>
    </row>
    <row r="65" spans="15:80" x14ac:dyDescent="0.25">
      <c r="O65" t="s">
        <v>4371</v>
      </c>
      <c r="P65" t="s">
        <v>5208</v>
      </c>
      <c r="Q65" s="671">
        <v>67089</v>
      </c>
      <c r="R65" s="671"/>
      <c r="AT65" s="671"/>
      <c r="AU65" s="671"/>
      <c r="AV65" s="671"/>
      <c r="AW65" s="671"/>
      <c r="BY65" t="s">
        <v>6136</v>
      </c>
      <c r="BZ65" t="s">
        <v>6464</v>
      </c>
      <c r="CA65" s="923">
        <v>0.1</v>
      </c>
      <c r="CB65" s="38">
        <v>0</v>
      </c>
    </row>
    <row r="66" spans="15:80" x14ac:dyDescent="0.25">
      <c r="O66" t="s">
        <v>4371</v>
      </c>
      <c r="P66" t="s">
        <v>5208</v>
      </c>
      <c r="Q66" s="671">
        <v>67089</v>
      </c>
      <c r="R66" s="671"/>
      <c r="AT66" s="671"/>
      <c r="AU66" s="671"/>
      <c r="AV66" s="671"/>
      <c r="AW66" s="671"/>
      <c r="BY66" t="s">
        <v>6137</v>
      </c>
      <c r="BZ66" t="s">
        <v>6466</v>
      </c>
      <c r="CA66" s="923">
        <v>0.09</v>
      </c>
      <c r="CB66" s="38">
        <v>0</v>
      </c>
    </row>
    <row r="67" spans="15:80" x14ac:dyDescent="0.25">
      <c r="O67" t="s">
        <v>4335</v>
      </c>
      <c r="P67" t="s">
        <v>5208</v>
      </c>
      <c r="Q67" s="671">
        <v>67089</v>
      </c>
      <c r="R67" s="671"/>
      <c r="AT67" s="671"/>
      <c r="AU67" s="671"/>
      <c r="AV67" s="671"/>
      <c r="AW67" s="671"/>
      <c r="BY67" t="s">
        <v>6138</v>
      </c>
      <c r="BZ67" t="s">
        <v>6467</v>
      </c>
      <c r="CA67" s="923">
        <v>0.1</v>
      </c>
      <c r="CB67" s="38">
        <v>0</v>
      </c>
    </row>
    <row r="68" spans="15:80" x14ac:dyDescent="0.25">
      <c r="O68" t="s">
        <v>4335</v>
      </c>
      <c r="P68" t="s">
        <v>5208</v>
      </c>
      <c r="Q68" s="671">
        <v>67089</v>
      </c>
      <c r="R68" s="671"/>
      <c r="AT68" s="671"/>
      <c r="AU68" s="671"/>
      <c r="AV68" s="671"/>
      <c r="AW68" s="671"/>
      <c r="BY68" t="s">
        <v>6139</v>
      </c>
      <c r="BZ68" t="s">
        <v>6212</v>
      </c>
      <c r="CA68" s="923">
        <v>0.12</v>
      </c>
      <c r="CB68" s="38">
        <f t="shared" ref="CB68:CB128" si="1">VLOOKUP(BZ68,$BV$2:$BW$36,2,FALSE)</f>
        <v>0.08</v>
      </c>
    </row>
    <row r="69" spans="15:80" x14ac:dyDescent="0.25">
      <c r="O69" t="s">
        <v>4335</v>
      </c>
      <c r="P69" t="s">
        <v>5208</v>
      </c>
      <c r="Q69" s="671">
        <v>67089</v>
      </c>
      <c r="R69" s="671"/>
      <c r="AT69" s="671"/>
      <c r="AU69" s="671"/>
      <c r="AV69" s="671"/>
      <c r="AW69" s="671"/>
      <c r="BY69" t="s">
        <v>6140</v>
      </c>
      <c r="BZ69" t="s">
        <v>6445</v>
      </c>
      <c r="CA69" s="923">
        <v>0.1</v>
      </c>
      <c r="CB69" s="38">
        <f t="shared" si="1"/>
        <v>0.08</v>
      </c>
    </row>
    <row r="70" spans="15:80" x14ac:dyDescent="0.25">
      <c r="O70" t="s">
        <v>4335</v>
      </c>
      <c r="P70" t="s">
        <v>5213</v>
      </c>
      <c r="Q70" s="671">
        <v>64047</v>
      </c>
      <c r="R70" s="671"/>
      <c r="AT70" s="671"/>
      <c r="AU70" s="671"/>
      <c r="AV70" s="671"/>
      <c r="AW70" s="671"/>
      <c r="BY70" t="s">
        <v>6141</v>
      </c>
      <c r="BZ70" t="s">
        <v>6468</v>
      </c>
      <c r="CA70" s="923">
        <v>0.09</v>
      </c>
      <c r="CB70" s="38">
        <v>0</v>
      </c>
    </row>
    <row r="71" spans="15:80" x14ac:dyDescent="0.25">
      <c r="O71" t="s">
        <v>4335</v>
      </c>
      <c r="P71" t="s">
        <v>5208</v>
      </c>
      <c r="Q71" s="671">
        <v>67089</v>
      </c>
      <c r="R71" s="671"/>
      <c r="AT71" s="671"/>
      <c r="AU71" s="671"/>
      <c r="AV71" s="671"/>
      <c r="AW71" s="671"/>
      <c r="BY71" t="s">
        <v>6142</v>
      </c>
      <c r="BZ71" t="s">
        <v>6426</v>
      </c>
      <c r="CA71" s="923">
        <v>5.8000000000000003E-2</v>
      </c>
      <c r="CB71" s="38">
        <v>0</v>
      </c>
    </row>
    <row r="72" spans="15:80" x14ac:dyDescent="0.25">
      <c r="O72" t="s">
        <v>4333</v>
      </c>
      <c r="P72" t="s">
        <v>5208</v>
      </c>
      <c r="Q72" s="671">
        <v>67089</v>
      </c>
      <c r="R72" s="671"/>
      <c r="AT72" s="671"/>
      <c r="AU72" s="671"/>
      <c r="AV72" s="671"/>
      <c r="AW72" s="671"/>
      <c r="BY72" t="s">
        <v>6143</v>
      </c>
      <c r="BZ72" t="s">
        <v>6445</v>
      </c>
      <c r="CA72" s="923">
        <v>0.05</v>
      </c>
      <c r="CB72" s="38">
        <f t="shared" si="1"/>
        <v>0.08</v>
      </c>
    </row>
    <row r="73" spans="15:80" x14ac:dyDescent="0.25">
      <c r="O73" t="s">
        <v>4330</v>
      </c>
      <c r="P73" t="s">
        <v>5213</v>
      </c>
      <c r="Q73" s="671">
        <v>64047</v>
      </c>
      <c r="R73" s="671"/>
      <c r="AT73" s="671"/>
      <c r="AU73" s="671"/>
      <c r="AV73" s="671"/>
      <c r="AW73" s="671"/>
      <c r="BY73" t="s">
        <v>6144</v>
      </c>
      <c r="BZ73" t="s">
        <v>6424</v>
      </c>
      <c r="CA73" s="923">
        <v>0.1</v>
      </c>
      <c r="CB73" s="38">
        <f t="shared" si="1"/>
        <v>0.1</v>
      </c>
    </row>
    <row r="74" spans="15:80" x14ac:dyDescent="0.25">
      <c r="O74" t="s">
        <v>4327</v>
      </c>
      <c r="P74" t="s">
        <v>5213</v>
      </c>
      <c r="Q74" s="671">
        <v>64047</v>
      </c>
      <c r="R74" s="671"/>
      <c r="AT74" s="671"/>
      <c r="AU74" s="671"/>
      <c r="AV74" s="671"/>
      <c r="AW74" s="671"/>
      <c r="BY74" t="s">
        <v>6145</v>
      </c>
      <c r="BZ74" t="s">
        <v>6469</v>
      </c>
      <c r="CA74" s="923">
        <v>0.1</v>
      </c>
      <c r="CB74" s="38">
        <f t="shared" si="1"/>
        <v>0.1</v>
      </c>
    </row>
    <row r="75" spans="15:80" x14ac:dyDescent="0.25">
      <c r="O75" t="s">
        <v>4402</v>
      </c>
      <c r="P75" t="s">
        <v>5214</v>
      </c>
      <c r="Q75" s="671">
        <v>67089</v>
      </c>
      <c r="R75" s="671"/>
      <c r="AT75" s="671"/>
      <c r="AU75" s="671"/>
      <c r="AV75" s="671"/>
      <c r="AW75" s="671"/>
      <c r="BY75" t="s">
        <v>6146</v>
      </c>
      <c r="BZ75" t="s">
        <v>6467</v>
      </c>
      <c r="CA75" s="923">
        <v>0.09</v>
      </c>
      <c r="CB75" s="38">
        <v>0</v>
      </c>
    </row>
    <row r="76" spans="15:80" x14ac:dyDescent="0.25">
      <c r="O76" t="s">
        <v>4402</v>
      </c>
      <c r="P76" t="s">
        <v>5211</v>
      </c>
      <c r="Q76" s="671">
        <v>64049</v>
      </c>
      <c r="R76" s="671"/>
      <c r="AT76" s="671"/>
      <c r="AU76" s="671"/>
      <c r="AV76" s="671"/>
      <c r="AW76" s="671"/>
      <c r="BY76" t="s">
        <v>6147</v>
      </c>
      <c r="BZ76" t="s">
        <v>6470</v>
      </c>
      <c r="CA76" s="923">
        <v>7.4999999999999997E-2</v>
      </c>
      <c r="CB76" s="38">
        <v>0</v>
      </c>
    </row>
    <row r="77" spans="15:80" x14ac:dyDescent="0.25">
      <c r="O77" t="s">
        <v>4400</v>
      </c>
      <c r="P77" t="s">
        <v>5214</v>
      </c>
      <c r="Q77" s="671">
        <v>67089</v>
      </c>
      <c r="R77" s="671"/>
      <c r="AT77" s="671"/>
      <c r="AU77" s="671"/>
      <c r="AV77" s="671"/>
      <c r="AW77" s="671"/>
      <c r="BY77" t="s">
        <v>6148</v>
      </c>
      <c r="BZ77" t="s">
        <v>6426</v>
      </c>
      <c r="CA77" s="923">
        <v>0.05</v>
      </c>
      <c r="CB77" s="38">
        <v>0</v>
      </c>
    </row>
    <row r="78" spans="15:80" x14ac:dyDescent="0.25">
      <c r="O78" t="s">
        <v>4400</v>
      </c>
      <c r="P78" t="s">
        <v>5210</v>
      </c>
      <c r="Q78" s="671">
        <v>67076</v>
      </c>
      <c r="R78" s="671"/>
      <c r="AT78" s="671"/>
      <c r="AU78" s="671"/>
      <c r="AV78" s="671"/>
      <c r="AW78" s="671"/>
      <c r="BY78" t="s">
        <v>6149</v>
      </c>
      <c r="BZ78" t="s">
        <v>6207</v>
      </c>
      <c r="CA78" s="923">
        <v>0.08</v>
      </c>
      <c r="CB78" s="38">
        <v>0</v>
      </c>
    </row>
    <row r="79" spans="15:80" x14ac:dyDescent="0.25">
      <c r="O79" t="s">
        <v>4398</v>
      </c>
      <c r="P79" t="s">
        <v>5211</v>
      </c>
      <c r="Q79" s="671">
        <v>64049</v>
      </c>
      <c r="R79" s="671"/>
      <c r="AT79" s="671"/>
      <c r="AU79" s="671"/>
      <c r="AV79" s="671"/>
      <c r="AW79" s="671"/>
      <c r="BY79" t="s">
        <v>6150</v>
      </c>
      <c r="BZ79" t="s">
        <v>6436</v>
      </c>
      <c r="CA79" s="923">
        <v>0.06</v>
      </c>
      <c r="CB79" s="38">
        <v>0</v>
      </c>
    </row>
    <row r="80" spans="15:80" x14ac:dyDescent="0.25">
      <c r="O80" t="s">
        <v>4396</v>
      </c>
      <c r="P80" t="s">
        <v>5214</v>
      </c>
      <c r="Q80" s="671">
        <v>67089</v>
      </c>
      <c r="R80" s="671"/>
      <c r="AT80" s="671"/>
      <c r="AU80" s="671"/>
      <c r="AV80" s="671"/>
      <c r="AW80" s="671"/>
      <c r="BY80" t="s">
        <v>6151</v>
      </c>
      <c r="BZ80" t="s">
        <v>6471</v>
      </c>
      <c r="CA80" s="923">
        <v>0.08</v>
      </c>
      <c r="CB80" s="38">
        <v>0</v>
      </c>
    </row>
    <row r="81" spans="15:80" ht="30" customHeight="1" x14ac:dyDescent="0.25">
      <c r="O81" t="s">
        <v>4396</v>
      </c>
      <c r="P81" t="s">
        <v>5215</v>
      </c>
      <c r="Q81" s="671">
        <v>61517</v>
      </c>
      <c r="R81" s="671"/>
      <c r="AT81" s="671"/>
      <c r="AU81" s="671"/>
      <c r="AV81" s="671"/>
      <c r="AW81" s="671"/>
      <c r="BY81" t="s">
        <v>6152</v>
      </c>
      <c r="BZ81" t="s">
        <v>6472</v>
      </c>
      <c r="CA81" s="923">
        <v>0.1</v>
      </c>
      <c r="CB81" s="38">
        <f t="shared" si="1"/>
        <v>0.1</v>
      </c>
    </row>
    <row r="82" spans="15:80" x14ac:dyDescent="0.25">
      <c r="O82" t="s">
        <v>4382</v>
      </c>
      <c r="P82" t="s">
        <v>5216</v>
      </c>
      <c r="Q82" s="671">
        <v>64042</v>
      </c>
      <c r="R82" s="671"/>
      <c r="AT82" s="671"/>
      <c r="AU82" s="671"/>
      <c r="AV82" s="671"/>
      <c r="AW82" s="671"/>
      <c r="BY82" t="s">
        <v>6153</v>
      </c>
      <c r="BZ82" t="s">
        <v>6424</v>
      </c>
      <c r="CA82" s="923">
        <v>0.11</v>
      </c>
      <c r="CB82" s="38">
        <f t="shared" si="1"/>
        <v>0.1</v>
      </c>
    </row>
    <row r="83" spans="15:80" x14ac:dyDescent="0.25">
      <c r="O83" t="s">
        <v>4384</v>
      </c>
      <c r="P83" t="s">
        <v>5216</v>
      </c>
      <c r="Q83" s="671">
        <v>64042</v>
      </c>
      <c r="R83" s="671"/>
      <c r="AT83" s="671"/>
      <c r="AU83" s="671"/>
      <c r="AV83" s="671"/>
      <c r="AW83" s="671"/>
      <c r="BY83" t="s">
        <v>6154</v>
      </c>
      <c r="BZ83" t="s">
        <v>6460</v>
      </c>
      <c r="CA83" s="923">
        <v>0.05</v>
      </c>
      <c r="CB83" s="38">
        <v>0</v>
      </c>
    </row>
    <row r="84" spans="15:80" x14ac:dyDescent="0.25">
      <c r="O84" t="s">
        <v>4379</v>
      </c>
      <c r="P84" t="s">
        <v>5214</v>
      </c>
      <c r="Q84" s="671">
        <v>67089</v>
      </c>
      <c r="R84" s="671"/>
      <c r="AT84" s="671"/>
      <c r="AU84" s="671"/>
      <c r="AV84" s="671"/>
      <c r="AW84" s="671"/>
      <c r="BY84" t="s">
        <v>6155</v>
      </c>
      <c r="BZ84" t="s">
        <v>6426</v>
      </c>
      <c r="CA84" s="923">
        <v>0.05</v>
      </c>
      <c r="CB84" s="38">
        <v>0</v>
      </c>
    </row>
    <row r="85" spans="15:80" x14ac:dyDescent="0.25">
      <c r="O85" t="s">
        <v>4386</v>
      </c>
      <c r="P85" t="s">
        <v>5211</v>
      </c>
      <c r="Q85" s="671">
        <v>64049</v>
      </c>
      <c r="R85" s="671"/>
      <c r="AT85" s="671"/>
      <c r="AU85" s="671"/>
      <c r="AV85" s="671"/>
      <c r="AW85" s="671"/>
      <c r="BY85" t="s">
        <v>6156</v>
      </c>
      <c r="BZ85" t="s">
        <v>6474</v>
      </c>
      <c r="CA85" s="923">
        <v>7.0000000000000007E-2</v>
      </c>
      <c r="CB85" s="38">
        <f t="shared" si="1"/>
        <v>7.0000000000000007E-2</v>
      </c>
    </row>
    <row r="86" spans="15:80" x14ac:dyDescent="0.25">
      <c r="O86" t="s">
        <v>4394</v>
      </c>
      <c r="P86" t="s">
        <v>5211</v>
      </c>
      <c r="Q86" s="671">
        <v>64049</v>
      </c>
      <c r="R86" s="671"/>
      <c r="AT86" s="671"/>
      <c r="AU86" s="671"/>
      <c r="AV86" s="671"/>
      <c r="AW86" s="671"/>
      <c r="BY86" t="s">
        <v>6157</v>
      </c>
      <c r="BZ86" t="s">
        <v>6426</v>
      </c>
      <c r="CA86" s="923">
        <v>0.05</v>
      </c>
      <c r="CB86" s="38">
        <v>0</v>
      </c>
    </row>
    <row r="87" spans="15:80" x14ac:dyDescent="0.25">
      <c r="O87" t="s">
        <v>4392</v>
      </c>
      <c r="P87" t="s">
        <v>5211</v>
      </c>
      <c r="Q87" s="671">
        <v>64049</v>
      </c>
      <c r="R87" s="671"/>
      <c r="AT87" s="671"/>
      <c r="AU87" s="671"/>
      <c r="AV87" s="671"/>
      <c r="AW87" s="671"/>
      <c r="BY87" t="s">
        <v>6158</v>
      </c>
      <c r="BZ87" t="s">
        <v>6467</v>
      </c>
      <c r="CA87" s="923">
        <v>8.5000000000000006E-2</v>
      </c>
      <c r="CB87" s="38">
        <v>0</v>
      </c>
    </row>
    <row r="88" spans="15:80" x14ac:dyDescent="0.25">
      <c r="O88" t="s">
        <v>4390</v>
      </c>
      <c r="P88" t="s">
        <v>5211</v>
      </c>
      <c r="Q88" s="671">
        <v>64049</v>
      </c>
      <c r="R88" s="671"/>
      <c r="AT88" s="671"/>
      <c r="AU88" s="671"/>
      <c r="AV88" s="671"/>
      <c r="AW88" s="671"/>
      <c r="BY88" t="s">
        <v>6159</v>
      </c>
      <c r="BZ88" t="s">
        <v>6472</v>
      </c>
      <c r="CA88" s="923">
        <v>0.1</v>
      </c>
      <c r="CB88" s="38">
        <f t="shared" si="1"/>
        <v>0.1</v>
      </c>
    </row>
    <row r="89" spans="15:80" x14ac:dyDescent="0.25">
      <c r="O89" t="s">
        <v>988</v>
      </c>
      <c r="P89" t="s">
        <v>5217</v>
      </c>
      <c r="Q89" s="671">
        <v>60102</v>
      </c>
      <c r="R89" s="671"/>
      <c r="AT89" s="671"/>
      <c r="AU89" s="671"/>
      <c r="AV89" s="671"/>
      <c r="AW89" s="671"/>
      <c r="BY89" t="s">
        <v>6160</v>
      </c>
      <c r="BZ89" t="s">
        <v>6475</v>
      </c>
      <c r="CA89" s="923">
        <v>0.1</v>
      </c>
      <c r="CB89" s="38">
        <v>0</v>
      </c>
    </row>
    <row r="90" spans="15:80" x14ac:dyDescent="0.25">
      <c r="O90" t="s">
        <v>988</v>
      </c>
      <c r="P90" t="s">
        <v>5217</v>
      </c>
      <c r="Q90" s="671">
        <v>60102</v>
      </c>
      <c r="R90" s="671"/>
      <c r="AT90" s="671"/>
      <c r="AU90" s="671"/>
      <c r="AV90" s="671"/>
      <c r="AW90" s="671"/>
      <c r="BY90" t="s">
        <v>6161</v>
      </c>
      <c r="BZ90" t="s">
        <v>6476</v>
      </c>
      <c r="CA90" s="923">
        <v>7.0000000000000007E-2</v>
      </c>
      <c r="CB90" s="38">
        <v>0</v>
      </c>
    </row>
    <row r="91" spans="15:80" x14ac:dyDescent="0.25">
      <c r="O91" t="s">
        <v>996</v>
      </c>
      <c r="P91" t="s">
        <v>5217</v>
      </c>
      <c r="Q91" s="671">
        <v>60102</v>
      </c>
      <c r="R91" s="671"/>
      <c r="AT91" s="671"/>
      <c r="AU91" s="671"/>
      <c r="AV91" s="671"/>
      <c r="AW91" s="671"/>
      <c r="BY91" t="s">
        <v>6162</v>
      </c>
      <c r="BZ91" t="s">
        <v>6442</v>
      </c>
      <c r="CA91" s="923">
        <v>0.03</v>
      </c>
      <c r="CB91" s="38">
        <f t="shared" si="1"/>
        <v>0.05</v>
      </c>
    </row>
    <row r="92" spans="15:80" x14ac:dyDescent="0.25">
      <c r="O92" t="s">
        <v>996</v>
      </c>
      <c r="P92" t="s">
        <v>5217</v>
      </c>
      <c r="Q92" s="671">
        <v>60102</v>
      </c>
      <c r="R92" s="671"/>
      <c r="AT92" s="671"/>
      <c r="AU92" s="671"/>
      <c r="AV92" s="671"/>
      <c r="AW92" s="671"/>
      <c r="BY92" t="s">
        <v>6163</v>
      </c>
      <c r="BZ92" t="s">
        <v>6477</v>
      </c>
      <c r="CA92" s="923">
        <v>0.08</v>
      </c>
      <c r="CB92" s="38">
        <v>0</v>
      </c>
    </row>
    <row r="93" spans="15:80" x14ac:dyDescent="0.25">
      <c r="O93" t="s">
        <v>996</v>
      </c>
      <c r="P93" t="s">
        <v>5217</v>
      </c>
      <c r="Q93" s="671">
        <v>60102</v>
      </c>
      <c r="R93" s="671"/>
      <c r="AT93" s="671"/>
      <c r="AU93" s="671"/>
      <c r="AV93" s="671"/>
      <c r="AW93" s="671"/>
      <c r="BY93" t="s">
        <v>6164</v>
      </c>
      <c r="BZ93" t="s">
        <v>6463</v>
      </c>
      <c r="CA93" s="923">
        <v>0.03</v>
      </c>
      <c r="CB93" s="38">
        <v>0</v>
      </c>
    </row>
    <row r="94" spans="15:80" x14ac:dyDescent="0.25">
      <c r="O94" t="s">
        <v>996</v>
      </c>
      <c r="P94" t="s">
        <v>5217</v>
      </c>
      <c r="Q94" s="671">
        <v>60102</v>
      </c>
      <c r="R94" s="671"/>
      <c r="AT94" s="671"/>
      <c r="AU94" s="671"/>
      <c r="AV94" s="671"/>
      <c r="AW94" s="671"/>
      <c r="BY94" t="s">
        <v>6165</v>
      </c>
      <c r="BZ94" t="s">
        <v>6478</v>
      </c>
      <c r="CA94" s="923">
        <v>0.08</v>
      </c>
      <c r="CB94" s="38">
        <f t="shared" si="1"/>
        <v>0.06</v>
      </c>
    </row>
    <row r="95" spans="15:80" x14ac:dyDescent="0.25">
      <c r="O95" t="s">
        <v>996</v>
      </c>
      <c r="P95" t="s">
        <v>5217</v>
      </c>
      <c r="Q95" s="671">
        <v>60102</v>
      </c>
      <c r="R95" s="671"/>
      <c r="AT95" s="671"/>
      <c r="AU95" s="671"/>
      <c r="AV95" s="671"/>
      <c r="AW95" s="671"/>
      <c r="BY95" t="s">
        <v>6166</v>
      </c>
      <c r="BZ95" t="s">
        <v>6445</v>
      </c>
      <c r="CA95" s="923">
        <v>0.08</v>
      </c>
      <c r="CB95" s="38">
        <f t="shared" si="1"/>
        <v>0.08</v>
      </c>
    </row>
    <row r="96" spans="15:80" x14ac:dyDescent="0.25">
      <c r="O96" t="s">
        <v>996</v>
      </c>
      <c r="P96" t="s">
        <v>5217</v>
      </c>
      <c r="Q96" s="671">
        <v>60102</v>
      </c>
      <c r="R96" s="671"/>
      <c r="AT96" s="671"/>
      <c r="AU96" s="671"/>
      <c r="AV96" s="671"/>
      <c r="AW96" s="671"/>
      <c r="BY96" t="s">
        <v>6167</v>
      </c>
      <c r="BZ96" t="s">
        <v>6454</v>
      </c>
      <c r="CA96" s="923">
        <v>0.1</v>
      </c>
      <c r="CB96" s="38">
        <v>0</v>
      </c>
    </row>
    <row r="97" spans="15:80" x14ac:dyDescent="0.25">
      <c r="O97" t="s">
        <v>996</v>
      </c>
      <c r="P97" t="s">
        <v>5217</v>
      </c>
      <c r="Q97" s="671">
        <v>60102</v>
      </c>
      <c r="R97" s="671"/>
      <c r="AT97" s="671"/>
      <c r="AU97" s="671"/>
      <c r="AV97" s="671"/>
      <c r="AW97" s="671"/>
      <c r="BY97" t="s">
        <v>6168</v>
      </c>
      <c r="BZ97" t="s">
        <v>6445</v>
      </c>
      <c r="CA97" s="923">
        <v>0.1</v>
      </c>
      <c r="CB97" s="38">
        <f t="shared" si="1"/>
        <v>0.08</v>
      </c>
    </row>
    <row r="98" spans="15:80" ht="15" customHeight="1" x14ac:dyDescent="0.25">
      <c r="O98" t="s">
        <v>994</v>
      </c>
      <c r="P98" t="s">
        <v>5217</v>
      </c>
      <c r="Q98" s="671">
        <v>60102</v>
      </c>
      <c r="R98" s="671"/>
      <c r="AT98" s="671"/>
      <c r="AU98" s="671"/>
      <c r="AV98" s="671"/>
      <c r="AW98" s="671"/>
      <c r="BY98" t="s">
        <v>6169</v>
      </c>
      <c r="BZ98" t="s">
        <v>6207</v>
      </c>
      <c r="CA98" s="923">
        <v>0.1</v>
      </c>
      <c r="CB98" s="38">
        <v>0</v>
      </c>
    </row>
    <row r="99" spans="15:80" x14ac:dyDescent="0.25">
      <c r="O99" t="s">
        <v>994</v>
      </c>
      <c r="P99" t="s">
        <v>5217</v>
      </c>
      <c r="Q99" s="671">
        <v>60102</v>
      </c>
      <c r="R99" s="671"/>
      <c r="AT99" s="671"/>
      <c r="AU99" s="671"/>
      <c r="AV99" s="671"/>
      <c r="AW99" s="671"/>
      <c r="BY99" t="s">
        <v>6170</v>
      </c>
      <c r="BZ99" t="s">
        <v>6479</v>
      </c>
      <c r="CA99" s="923">
        <v>0.06</v>
      </c>
      <c r="CB99" s="38">
        <f t="shared" si="1"/>
        <v>0.06</v>
      </c>
    </row>
    <row r="100" spans="15:80" x14ac:dyDescent="0.25">
      <c r="O100" t="s">
        <v>994</v>
      </c>
      <c r="P100" t="s">
        <v>5217</v>
      </c>
      <c r="Q100" s="671">
        <v>60102</v>
      </c>
      <c r="R100" s="671"/>
      <c r="AT100" s="671"/>
      <c r="AU100" s="671"/>
      <c r="AV100" s="671"/>
      <c r="AW100" s="671"/>
      <c r="BY100" t="s">
        <v>6171</v>
      </c>
      <c r="BZ100" t="s">
        <v>6450</v>
      </c>
      <c r="CA100" s="923">
        <v>0.1</v>
      </c>
      <c r="CB100" s="38">
        <v>0</v>
      </c>
    </row>
    <row r="101" spans="15:80" x14ac:dyDescent="0.25">
      <c r="O101" t="s">
        <v>944</v>
      </c>
      <c r="P101" t="s">
        <v>5217</v>
      </c>
      <c r="Q101" s="671">
        <v>60102</v>
      </c>
      <c r="R101" s="671"/>
      <c r="AT101" s="671"/>
      <c r="AU101" s="671"/>
      <c r="AV101" s="671"/>
      <c r="AW101" s="671"/>
      <c r="BY101" t="s">
        <v>6172</v>
      </c>
      <c r="BZ101" t="s">
        <v>6426</v>
      </c>
      <c r="CA101" s="923">
        <v>0.05</v>
      </c>
      <c r="CB101" s="38">
        <v>0</v>
      </c>
    </row>
    <row r="102" spans="15:80" x14ac:dyDescent="0.25">
      <c r="O102" t="s">
        <v>944</v>
      </c>
      <c r="P102" t="s">
        <v>5217</v>
      </c>
      <c r="Q102" s="671">
        <v>60102</v>
      </c>
      <c r="R102" s="671"/>
      <c r="AT102" s="671"/>
      <c r="AU102" s="671"/>
      <c r="AV102" s="671"/>
      <c r="AW102" s="671"/>
      <c r="BY102" t="s">
        <v>6173</v>
      </c>
      <c r="BZ102" t="s">
        <v>6202</v>
      </c>
      <c r="CA102" s="923">
        <v>0.08</v>
      </c>
      <c r="CB102" s="38">
        <v>0</v>
      </c>
    </row>
    <row r="103" spans="15:80" x14ac:dyDescent="0.25">
      <c r="O103" t="s">
        <v>950</v>
      </c>
      <c r="P103" t="s">
        <v>5217</v>
      </c>
      <c r="Q103" s="671">
        <v>60102</v>
      </c>
      <c r="R103" s="671"/>
      <c r="AT103" s="671"/>
      <c r="AU103" s="671"/>
      <c r="AV103" s="671"/>
      <c r="AW103" s="671"/>
      <c r="BY103" t="s">
        <v>6174</v>
      </c>
      <c r="BZ103" t="s">
        <v>6437</v>
      </c>
      <c r="CA103" s="923">
        <v>0.05</v>
      </c>
      <c r="CB103" s="38">
        <v>0</v>
      </c>
    </row>
    <row r="104" spans="15:80" x14ac:dyDescent="0.25">
      <c r="O104" t="s">
        <v>954</v>
      </c>
      <c r="P104" t="s">
        <v>5217</v>
      </c>
      <c r="Q104" s="671">
        <v>60102</v>
      </c>
      <c r="R104" s="671"/>
      <c r="AT104" s="671"/>
      <c r="AU104" s="671"/>
      <c r="AV104" s="671"/>
      <c r="AW104" s="671"/>
      <c r="BY104" t="s">
        <v>6175</v>
      </c>
      <c r="BZ104" t="s">
        <v>6479</v>
      </c>
      <c r="CA104" s="923">
        <v>0.06</v>
      </c>
      <c r="CB104" s="38">
        <f t="shared" si="1"/>
        <v>0.06</v>
      </c>
    </row>
    <row r="105" spans="15:80" x14ac:dyDescent="0.25">
      <c r="O105" t="s">
        <v>956</v>
      </c>
      <c r="P105" t="s">
        <v>5217</v>
      </c>
      <c r="Q105" s="671">
        <v>60102</v>
      </c>
      <c r="R105" s="671"/>
      <c r="AT105" s="671"/>
      <c r="AU105" s="671"/>
      <c r="AV105" s="671"/>
      <c r="AW105" s="671"/>
      <c r="BY105" t="s">
        <v>6176</v>
      </c>
      <c r="BZ105" t="s">
        <v>6480</v>
      </c>
      <c r="CA105" s="923">
        <v>0.08</v>
      </c>
      <c r="CB105" s="38">
        <v>0</v>
      </c>
    </row>
    <row r="106" spans="15:80" x14ac:dyDescent="0.25">
      <c r="O106" t="s">
        <v>959</v>
      </c>
      <c r="P106" t="s">
        <v>5217</v>
      </c>
      <c r="Q106" s="671">
        <v>60102</v>
      </c>
      <c r="R106" s="671"/>
      <c r="AT106" s="671"/>
      <c r="AU106" s="671"/>
      <c r="AV106" s="671"/>
      <c r="AW106" s="671"/>
      <c r="BY106" t="s">
        <v>6177</v>
      </c>
      <c r="BZ106" t="s">
        <v>789</v>
      </c>
      <c r="CA106" s="923">
        <v>0.08</v>
      </c>
      <c r="CB106" s="38">
        <v>0</v>
      </c>
    </row>
    <row r="107" spans="15:80" x14ac:dyDescent="0.25">
      <c r="O107" t="s">
        <v>1011</v>
      </c>
      <c r="P107" t="s">
        <v>5217</v>
      </c>
      <c r="Q107" s="671">
        <v>60102</v>
      </c>
      <c r="R107" s="671"/>
      <c r="AT107" s="671"/>
      <c r="AU107" s="671"/>
      <c r="AV107" s="671"/>
      <c r="AW107" s="671"/>
      <c r="BY107" t="s">
        <v>6178</v>
      </c>
      <c r="BZ107" t="s">
        <v>6426</v>
      </c>
      <c r="CA107" s="923">
        <v>0.05</v>
      </c>
      <c r="CB107" s="38">
        <v>0</v>
      </c>
    </row>
    <row r="108" spans="15:80" x14ac:dyDescent="0.25">
      <c r="O108" t="s">
        <v>1011</v>
      </c>
      <c r="P108" t="s">
        <v>5217</v>
      </c>
      <c r="Q108" s="671">
        <v>60102</v>
      </c>
      <c r="R108" s="671"/>
      <c r="AT108" s="671"/>
      <c r="AU108" s="671"/>
      <c r="AV108" s="671"/>
      <c r="AW108" s="671"/>
      <c r="BY108" t="s">
        <v>6179</v>
      </c>
      <c r="BZ108" t="s">
        <v>6445</v>
      </c>
      <c r="CA108" s="923">
        <v>7.0000000000000007E-2</v>
      </c>
      <c r="CB108" s="38">
        <f t="shared" si="1"/>
        <v>0.08</v>
      </c>
    </row>
    <row r="109" spans="15:80" x14ac:dyDescent="0.25">
      <c r="O109" t="s">
        <v>1011</v>
      </c>
      <c r="P109" t="s">
        <v>5217</v>
      </c>
      <c r="Q109" s="671">
        <v>60102</v>
      </c>
      <c r="R109" s="671"/>
      <c r="AT109" s="671"/>
      <c r="AU109" s="671"/>
      <c r="AV109" s="671"/>
      <c r="AW109" s="671"/>
      <c r="BY109" t="s">
        <v>6180</v>
      </c>
      <c r="BZ109" t="s">
        <v>6424</v>
      </c>
      <c r="CA109" s="923">
        <v>0.1</v>
      </c>
      <c r="CB109" s="38">
        <f t="shared" si="1"/>
        <v>0.1</v>
      </c>
    </row>
    <row r="110" spans="15:80" x14ac:dyDescent="0.25">
      <c r="O110" t="s">
        <v>1000</v>
      </c>
      <c r="P110" t="s">
        <v>5217</v>
      </c>
      <c r="Q110" s="671">
        <v>60102</v>
      </c>
      <c r="R110" s="671"/>
      <c r="AT110" s="671"/>
      <c r="AU110" s="671"/>
      <c r="AV110" s="671"/>
      <c r="AW110" s="671"/>
      <c r="BY110" t="s">
        <v>6181</v>
      </c>
      <c r="BZ110" t="s">
        <v>6445</v>
      </c>
      <c r="CA110" s="923">
        <v>0.08</v>
      </c>
      <c r="CB110" s="38">
        <f t="shared" si="1"/>
        <v>0.08</v>
      </c>
    </row>
    <row r="111" spans="15:80" x14ac:dyDescent="0.25">
      <c r="O111" t="s">
        <v>1007</v>
      </c>
      <c r="P111" t="s">
        <v>5217</v>
      </c>
      <c r="Q111" s="671">
        <v>60102</v>
      </c>
      <c r="R111" s="671"/>
      <c r="AT111" s="671"/>
      <c r="AU111" s="671"/>
      <c r="AV111" s="671"/>
      <c r="AW111" s="671"/>
      <c r="BY111" t="s">
        <v>6182</v>
      </c>
      <c r="BZ111" t="s">
        <v>6481</v>
      </c>
      <c r="CA111" s="923">
        <v>0.05</v>
      </c>
      <c r="CB111" s="38">
        <v>0</v>
      </c>
    </row>
    <row r="112" spans="15:80" x14ac:dyDescent="0.25">
      <c r="O112" t="s">
        <v>1002</v>
      </c>
      <c r="P112" t="s">
        <v>5217</v>
      </c>
      <c r="Q112" s="671">
        <v>60102</v>
      </c>
      <c r="R112" s="671"/>
      <c r="AT112" s="671"/>
      <c r="AU112" s="671"/>
      <c r="AV112" s="671"/>
      <c r="AW112" s="671"/>
      <c r="BY112" t="s">
        <v>6183</v>
      </c>
      <c r="BZ112" t="s">
        <v>6482</v>
      </c>
      <c r="CA112" s="923">
        <v>0.05</v>
      </c>
      <c r="CB112" s="38">
        <f t="shared" si="1"/>
        <v>0.05</v>
      </c>
    </row>
    <row r="113" spans="15:80" x14ac:dyDescent="0.25">
      <c r="O113" t="s">
        <v>967</v>
      </c>
      <c r="P113" t="s">
        <v>5217</v>
      </c>
      <c r="Q113" s="671">
        <v>60102</v>
      </c>
      <c r="R113" s="671"/>
      <c r="AT113" s="671"/>
      <c r="AU113" s="671"/>
      <c r="AV113" s="671"/>
      <c r="AW113" s="671"/>
      <c r="BY113" t="s">
        <v>6184</v>
      </c>
      <c r="BZ113" t="s">
        <v>6185</v>
      </c>
      <c r="CA113" s="923">
        <v>0.06</v>
      </c>
      <c r="CB113" s="38">
        <f t="shared" si="1"/>
        <v>0.06</v>
      </c>
    </row>
    <row r="114" spans="15:80" x14ac:dyDescent="0.25">
      <c r="O114" t="s">
        <v>963</v>
      </c>
      <c r="P114" t="s">
        <v>5217</v>
      </c>
      <c r="Q114" s="671">
        <v>60102</v>
      </c>
      <c r="R114" s="671"/>
      <c r="AT114" s="671"/>
      <c r="AU114" s="671"/>
      <c r="AV114" s="671"/>
      <c r="AW114" s="671"/>
      <c r="BY114" t="s">
        <v>6185</v>
      </c>
      <c r="BZ114" t="s">
        <v>6483</v>
      </c>
      <c r="CA114" s="923">
        <v>0.09</v>
      </c>
      <c r="CB114" s="38">
        <v>0</v>
      </c>
    </row>
    <row r="115" spans="15:80" x14ac:dyDescent="0.25">
      <c r="O115" t="s">
        <v>978</v>
      </c>
      <c r="P115" t="s">
        <v>5217</v>
      </c>
      <c r="Q115" s="671">
        <v>60102</v>
      </c>
      <c r="R115" s="671"/>
      <c r="AT115" s="671"/>
      <c r="AU115" s="671"/>
      <c r="AV115" s="671"/>
      <c r="AW115" s="671"/>
      <c r="BY115" t="s">
        <v>6186</v>
      </c>
      <c r="BZ115" t="s">
        <v>6473</v>
      </c>
      <c r="CA115" s="923">
        <v>0.06</v>
      </c>
      <c r="CB115" s="38">
        <v>0</v>
      </c>
    </row>
    <row r="116" spans="15:80" x14ac:dyDescent="0.25">
      <c r="O116" t="s">
        <v>975</v>
      </c>
      <c r="P116" t="s">
        <v>5217</v>
      </c>
      <c r="Q116" s="671">
        <v>60102</v>
      </c>
      <c r="R116" s="671"/>
      <c r="AT116" s="671"/>
      <c r="AU116" s="671"/>
      <c r="AV116" s="671"/>
      <c r="AW116" s="671"/>
      <c r="BY116" t="s">
        <v>6187</v>
      </c>
      <c r="BZ116" t="s">
        <v>6484</v>
      </c>
      <c r="CA116" s="923">
        <v>0.05</v>
      </c>
      <c r="CB116" s="38">
        <f t="shared" si="1"/>
        <v>0.06</v>
      </c>
    </row>
    <row r="117" spans="15:80" x14ac:dyDescent="0.25">
      <c r="O117" t="s">
        <v>971</v>
      </c>
      <c r="P117" t="s">
        <v>5217</v>
      </c>
      <c r="Q117" s="671">
        <v>60102</v>
      </c>
      <c r="R117" s="671"/>
      <c r="AT117" s="671"/>
      <c r="AU117" s="671"/>
      <c r="AV117" s="671"/>
      <c r="AW117" s="671"/>
      <c r="BY117" t="s">
        <v>6188</v>
      </c>
      <c r="BZ117" t="s">
        <v>6481</v>
      </c>
      <c r="CA117" s="923">
        <v>7.0000000000000007E-2</v>
      </c>
      <c r="CB117" s="38">
        <v>0</v>
      </c>
    </row>
    <row r="118" spans="15:80" ht="15" customHeight="1" x14ac:dyDescent="0.25">
      <c r="O118" t="s">
        <v>986</v>
      </c>
      <c r="P118" t="s">
        <v>5217</v>
      </c>
      <c r="Q118" s="671">
        <v>60102</v>
      </c>
      <c r="R118" s="671"/>
      <c r="AT118" s="671"/>
      <c r="AU118" s="671"/>
      <c r="AV118" s="671"/>
      <c r="AW118" s="671"/>
      <c r="BY118" t="s">
        <v>6189</v>
      </c>
      <c r="BZ118" t="s">
        <v>6486</v>
      </c>
      <c r="CA118" s="923">
        <v>0.05</v>
      </c>
      <c r="CB118" s="38">
        <v>0</v>
      </c>
    </row>
    <row r="119" spans="15:80" x14ac:dyDescent="0.25">
      <c r="O119" t="s">
        <v>982</v>
      </c>
      <c r="P119" t="s">
        <v>5217</v>
      </c>
      <c r="Q119" s="671">
        <v>60102</v>
      </c>
      <c r="R119" s="671"/>
      <c r="AT119" s="671"/>
      <c r="AU119" s="671"/>
      <c r="AV119" s="671"/>
      <c r="AW119" s="671"/>
      <c r="BY119" t="s">
        <v>6190</v>
      </c>
      <c r="BZ119" t="s">
        <v>6458</v>
      </c>
      <c r="CA119" s="923">
        <v>0.05</v>
      </c>
      <c r="CB119" s="38">
        <v>0</v>
      </c>
    </row>
    <row r="120" spans="15:80" x14ac:dyDescent="0.25">
      <c r="O120" t="s">
        <v>875</v>
      </c>
      <c r="P120" t="s">
        <v>5218</v>
      </c>
      <c r="Q120" s="671">
        <v>60101</v>
      </c>
      <c r="R120" s="671"/>
      <c r="AT120" s="671"/>
      <c r="AU120" s="671"/>
      <c r="AV120" s="671"/>
      <c r="AW120" s="671"/>
      <c r="BY120" t="s">
        <v>6191</v>
      </c>
      <c r="BZ120" t="s">
        <v>6459</v>
      </c>
      <c r="CA120" s="923">
        <v>0.05</v>
      </c>
      <c r="CB120" s="38">
        <v>0</v>
      </c>
    </row>
    <row r="121" spans="15:80" x14ac:dyDescent="0.25">
      <c r="O121" t="s">
        <v>877</v>
      </c>
      <c r="P121" t="s">
        <v>5218</v>
      </c>
      <c r="Q121" s="671">
        <v>60101</v>
      </c>
      <c r="R121" s="671"/>
      <c r="AT121" s="671"/>
      <c r="AU121" s="671"/>
      <c r="AV121" s="671"/>
      <c r="AW121" s="671"/>
      <c r="BY121" t="s">
        <v>6192</v>
      </c>
      <c r="BZ121" t="s">
        <v>6487</v>
      </c>
      <c r="CA121" s="923">
        <v>0.06</v>
      </c>
      <c r="CB121" s="38">
        <v>0</v>
      </c>
    </row>
    <row r="122" spans="15:80" x14ac:dyDescent="0.25">
      <c r="O122" t="s">
        <v>889</v>
      </c>
      <c r="P122" t="s">
        <v>5218</v>
      </c>
      <c r="Q122" s="671">
        <v>60101</v>
      </c>
      <c r="R122" s="671"/>
      <c r="AT122" s="671"/>
      <c r="AU122" s="671"/>
      <c r="AV122" s="671"/>
      <c r="AW122" s="671"/>
      <c r="BY122" t="s">
        <v>6193</v>
      </c>
      <c r="BZ122" t="s">
        <v>6426</v>
      </c>
      <c r="CA122" s="923">
        <v>0.05</v>
      </c>
      <c r="CB122" s="38">
        <v>0</v>
      </c>
    </row>
    <row r="123" spans="15:80" x14ac:dyDescent="0.25">
      <c r="O123" t="s">
        <v>895</v>
      </c>
      <c r="P123" t="s">
        <v>5218</v>
      </c>
      <c r="Q123" s="671">
        <v>60101</v>
      </c>
      <c r="R123" s="671"/>
      <c r="AT123" s="671"/>
      <c r="AU123" s="671"/>
      <c r="AV123" s="671"/>
      <c r="AW123" s="671"/>
      <c r="BY123" t="s">
        <v>6194</v>
      </c>
      <c r="BZ123" t="s">
        <v>6426</v>
      </c>
      <c r="CA123" s="923">
        <v>0.05</v>
      </c>
      <c r="CB123" s="38">
        <v>0</v>
      </c>
    </row>
    <row r="124" spans="15:80" x14ac:dyDescent="0.25">
      <c r="O124" t="s">
        <v>881</v>
      </c>
      <c r="P124" t="s">
        <v>5218</v>
      </c>
      <c r="Q124" s="671">
        <v>60101</v>
      </c>
      <c r="R124" s="671"/>
      <c r="AT124" s="671"/>
      <c r="AU124" s="671"/>
      <c r="AV124" s="671"/>
      <c r="AW124" s="671"/>
      <c r="BY124" t="s">
        <v>6195</v>
      </c>
      <c r="BZ124" t="s">
        <v>6426</v>
      </c>
      <c r="CA124" s="923">
        <v>0.05</v>
      </c>
      <c r="CB124" s="38">
        <v>0</v>
      </c>
    </row>
    <row r="125" spans="15:80" x14ac:dyDescent="0.25">
      <c r="O125" t="s">
        <v>899</v>
      </c>
      <c r="P125" t="s">
        <v>5218</v>
      </c>
      <c r="Q125" s="671">
        <v>60101</v>
      </c>
      <c r="R125" s="671"/>
      <c r="AT125" s="671"/>
      <c r="AU125" s="671"/>
      <c r="AV125" s="671"/>
      <c r="AW125" s="671"/>
      <c r="BY125" t="s">
        <v>6196</v>
      </c>
      <c r="BZ125" t="s">
        <v>6426</v>
      </c>
      <c r="CA125" s="923">
        <v>0.08</v>
      </c>
      <c r="CB125" s="38">
        <v>0</v>
      </c>
    </row>
    <row r="126" spans="15:80" x14ac:dyDescent="0.25">
      <c r="O126" t="s">
        <v>899</v>
      </c>
      <c r="P126" t="s">
        <v>5218</v>
      </c>
      <c r="Q126" s="671">
        <v>60101</v>
      </c>
      <c r="R126" s="671"/>
      <c r="AT126" s="671"/>
      <c r="AU126" s="671"/>
      <c r="AV126" s="671"/>
      <c r="AW126" s="671"/>
      <c r="BY126" t="s">
        <v>6197</v>
      </c>
      <c r="BZ126" t="s">
        <v>6469</v>
      </c>
      <c r="CA126" s="923">
        <v>0.1</v>
      </c>
      <c r="CB126" s="38">
        <f t="shared" si="1"/>
        <v>0.1</v>
      </c>
    </row>
    <row r="127" spans="15:80" x14ac:dyDescent="0.25">
      <c r="O127" t="s">
        <v>885</v>
      </c>
      <c r="P127" t="s">
        <v>5218</v>
      </c>
      <c r="Q127" s="671">
        <v>60101</v>
      </c>
      <c r="R127" s="671"/>
      <c r="AT127" s="671"/>
      <c r="AU127" s="671"/>
      <c r="AV127" s="671"/>
      <c r="AW127" s="671"/>
      <c r="BY127" t="s">
        <v>6198</v>
      </c>
      <c r="BZ127" t="s">
        <v>6426</v>
      </c>
      <c r="CA127" s="923">
        <v>0.05</v>
      </c>
      <c r="CB127" s="38">
        <v>0</v>
      </c>
    </row>
    <row r="128" spans="15:80" x14ac:dyDescent="0.25">
      <c r="O128" t="s">
        <v>891</v>
      </c>
      <c r="P128" t="s">
        <v>5218</v>
      </c>
      <c r="Q128" s="671">
        <v>60101</v>
      </c>
      <c r="R128" s="671"/>
      <c r="AT128" s="671"/>
      <c r="AU128" s="671"/>
      <c r="AV128" s="671"/>
      <c r="AW128" s="671"/>
      <c r="BY128" t="s">
        <v>6199</v>
      </c>
      <c r="BZ128" t="s">
        <v>6489</v>
      </c>
      <c r="CA128" s="923">
        <v>0.105</v>
      </c>
      <c r="CB128" s="38">
        <f t="shared" si="1"/>
        <v>4.4999999999999998E-2</v>
      </c>
    </row>
    <row r="129" spans="15:80" x14ac:dyDescent="0.25">
      <c r="O129" t="s">
        <v>871</v>
      </c>
      <c r="P129" t="s">
        <v>5218</v>
      </c>
      <c r="Q129" s="671">
        <v>60101</v>
      </c>
      <c r="R129" s="671"/>
      <c r="AT129" s="671"/>
      <c r="AU129" s="671"/>
      <c r="AV129" s="671"/>
      <c r="AW129" s="671"/>
      <c r="BY129" t="s">
        <v>6200</v>
      </c>
      <c r="BZ129" t="s">
        <v>6426</v>
      </c>
      <c r="CA129" s="923">
        <v>5.8000000000000003E-2</v>
      </c>
      <c r="CB129" s="38">
        <v>0</v>
      </c>
    </row>
    <row r="130" spans="15:80" x14ac:dyDescent="0.25">
      <c r="O130" t="s">
        <v>901</v>
      </c>
      <c r="P130" t="s">
        <v>5218</v>
      </c>
      <c r="Q130" s="671">
        <v>60101</v>
      </c>
      <c r="R130" s="671"/>
      <c r="AT130" s="671"/>
      <c r="AU130" s="671"/>
      <c r="AV130" s="671"/>
      <c r="AW130" s="671"/>
      <c r="BY130" t="s">
        <v>6201</v>
      </c>
      <c r="BZ130" t="s">
        <v>6490</v>
      </c>
      <c r="CA130" s="923">
        <v>0.1</v>
      </c>
      <c r="CB130" s="38">
        <v>0</v>
      </c>
    </row>
    <row r="131" spans="15:80" x14ac:dyDescent="0.25">
      <c r="O131" t="s">
        <v>905</v>
      </c>
      <c r="P131" t="s">
        <v>5218</v>
      </c>
      <c r="Q131" s="671">
        <v>60101</v>
      </c>
      <c r="R131" s="671"/>
      <c r="AT131" s="671"/>
      <c r="AU131" s="671"/>
      <c r="AV131" s="671"/>
      <c r="AW131" s="671"/>
      <c r="BY131" t="s">
        <v>6202</v>
      </c>
      <c r="BZ131" t="s">
        <v>6202</v>
      </c>
      <c r="CA131" s="923">
        <v>0.08</v>
      </c>
      <c r="CB131" s="38">
        <v>0</v>
      </c>
    </row>
    <row r="132" spans="15:80" x14ac:dyDescent="0.25">
      <c r="O132" t="s">
        <v>913</v>
      </c>
      <c r="P132" t="s">
        <v>5218</v>
      </c>
      <c r="Q132" s="671">
        <v>60101</v>
      </c>
      <c r="R132" s="671"/>
      <c r="AT132" s="671"/>
      <c r="AU132" s="671"/>
      <c r="AV132" s="671"/>
      <c r="AW132" s="671"/>
      <c r="BY132" t="s">
        <v>6203</v>
      </c>
      <c r="BZ132" t="s">
        <v>6443</v>
      </c>
      <c r="CA132" s="923">
        <v>0.11</v>
      </c>
      <c r="CB132" s="38">
        <v>0</v>
      </c>
    </row>
    <row r="133" spans="15:80" x14ac:dyDescent="0.25">
      <c r="O133" t="s">
        <v>907</v>
      </c>
      <c r="P133" t="s">
        <v>5218</v>
      </c>
      <c r="Q133" s="671">
        <v>60101</v>
      </c>
      <c r="R133" s="671"/>
      <c r="AT133" s="671"/>
      <c r="AU133" s="671"/>
      <c r="AV133" s="671"/>
      <c r="AW133" s="671"/>
      <c r="BY133" t="s">
        <v>6204</v>
      </c>
      <c r="BZ133" t="s">
        <v>6478</v>
      </c>
      <c r="CA133" s="923">
        <v>0.08</v>
      </c>
      <c r="CB133" s="38">
        <f t="shared" ref="CB133:CB194" si="2">VLOOKUP(BZ133,$BV$2:$BW$36,2,FALSE)</f>
        <v>0.06</v>
      </c>
    </row>
    <row r="134" spans="15:80" x14ac:dyDescent="0.25">
      <c r="O134" t="s">
        <v>907</v>
      </c>
      <c r="P134" t="s">
        <v>5218</v>
      </c>
      <c r="Q134" s="671">
        <v>60101</v>
      </c>
      <c r="R134" s="671"/>
      <c r="AT134" s="671"/>
      <c r="AU134" s="671"/>
      <c r="AV134" s="671"/>
      <c r="AW134" s="671"/>
      <c r="BY134" t="s">
        <v>6205</v>
      </c>
      <c r="BZ134" t="s">
        <v>6472</v>
      </c>
      <c r="CA134" s="923">
        <v>0.1</v>
      </c>
      <c r="CB134" s="38">
        <f t="shared" si="2"/>
        <v>0.1</v>
      </c>
    </row>
    <row r="135" spans="15:80" x14ac:dyDescent="0.25">
      <c r="O135" t="s">
        <v>849</v>
      </c>
      <c r="P135" t="s">
        <v>5218</v>
      </c>
      <c r="Q135" s="671">
        <v>60101</v>
      </c>
      <c r="R135" s="671"/>
      <c r="AT135" s="671"/>
      <c r="AU135" s="671"/>
      <c r="AV135" s="671"/>
      <c r="AW135" s="671"/>
      <c r="BY135" t="s">
        <v>6206</v>
      </c>
      <c r="BZ135" t="s">
        <v>6462</v>
      </c>
      <c r="CA135" s="923">
        <v>0.06</v>
      </c>
      <c r="CB135" s="38">
        <f t="shared" si="2"/>
        <v>0.05</v>
      </c>
    </row>
    <row r="136" spans="15:80" x14ac:dyDescent="0.25">
      <c r="O136" t="s">
        <v>849</v>
      </c>
      <c r="P136" t="s">
        <v>5218</v>
      </c>
      <c r="Q136" s="671">
        <v>60101</v>
      </c>
      <c r="R136" s="671"/>
      <c r="AT136" s="671"/>
      <c r="AU136" s="671"/>
      <c r="AV136" s="671"/>
      <c r="AW136" s="671"/>
      <c r="BY136" t="s">
        <v>6207</v>
      </c>
      <c r="BZ136" t="s">
        <v>6207</v>
      </c>
      <c r="CA136" s="923">
        <v>0.08</v>
      </c>
      <c r="CB136" s="38">
        <v>0</v>
      </c>
    </row>
    <row r="137" spans="15:80" x14ac:dyDescent="0.25">
      <c r="O137" t="s">
        <v>843</v>
      </c>
      <c r="P137" t="s">
        <v>5218</v>
      </c>
      <c r="Q137" s="671">
        <v>60101</v>
      </c>
      <c r="R137" s="671"/>
      <c r="AT137" s="671"/>
      <c r="AU137" s="671"/>
      <c r="AV137" s="671"/>
      <c r="AW137" s="671"/>
      <c r="BY137" t="s">
        <v>6208</v>
      </c>
      <c r="BZ137" t="s">
        <v>6448</v>
      </c>
      <c r="CA137" s="923">
        <v>0.1</v>
      </c>
      <c r="CB137" s="38">
        <v>0</v>
      </c>
    </row>
    <row r="138" spans="15:80" x14ac:dyDescent="0.25">
      <c r="O138" t="s">
        <v>839</v>
      </c>
      <c r="P138" t="s">
        <v>5218</v>
      </c>
      <c r="Q138" s="671">
        <v>60101</v>
      </c>
      <c r="R138" s="671"/>
      <c r="AT138" s="671"/>
      <c r="AU138" s="671"/>
      <c r="AV138" s="671"/>
      <c r="AW138" s="671"/>
      <c r="BY138" t="s">
        <v>6209</v>
      </c>
      <c r="BZ138" t="s">
        <v>789</v>
      </c>
      <c r="CA138" s="923">
        <v>0.1</v>
      </c>
      <c r="CB138" s="38">
        <v>0</v>
      </c>
    </row>
    <row r="139" spans="15:80" x14ac:dyDescent="0.25">
      <c r="O139" t="s">
        <v>859</v>
      </c>
      <c r="P139" t="s">
        <v>5218</v>
      </c>
      <c r="Q139" s="671">
        <v>60101</v>
      </c>
      <c r="R139" s="671"/>
      <c r="AT139" s="671"/>
      <c r="AU139" s="671"/>
      <c r="AV139" s="671"/>
      <c r="AW139" s="671"/>
      <c r="BY139" t="s">
        <v>6210</v>
      </c>
      <c r="BZ139" t="s">
        <v>6491</v>
      </c>
      <c r="CA139" s="923">
        <v>0.08</v>
      </c>
      <c r="CB139" s="38">
        <v>0</v>
      </c>
    </row>
    <row r="140" spans="15:80" x14ac:dyDescent="0.25">
      <c r="O140" t="s">
        <v>859</v>
      </c>
      <c r="P140" t="s">
        <v>5218</v>
      </c>
      <c r="Q140" s="671">
        <v>60101</v>
      </c>
      <c r="R140" s="671"/>
      <c r="AT140" s="671"/>
      <c r="AU140" s="671"/>
      <c r="AV140" s="671"/>
      <c r="AW140" s="671"/>
      <c r="BY140" t="s">
        <v>374</v>
      </c>
      <c r="BZ140" t="s">
        <v>6447</v>
      </c>
      <c r="CA140" s="923">
        <v>0.05</v>
      </c>
      <c r="CB140" s="38">
        <v>0</v>
      </c>
    </row>
    <row r="141" spans="15:80" x14ac:dyDescent="0.25">
      <c r="O141" t="s">
        <v>857</v>
      </c>
      <c r="P141" t="s">
        <v>5218</v>
      </c>
      <c r="Q141" s="671">
        <v>60101</v>
      </c>
      <c r="R141" s="671"/>
      <c r="AT141" s="671"/>
      <c r="AU141" s="671"/>
      <c r="AV141" s="671"/>
      <c r="AW141" s="671"/>
      <c r="BY141" t="s">
        <v>6211</v>
      </c>
      <c r="BZ141" t="s">
        <v>6482</v>
      </c>
      <c r="CA141" s="923">
        <v>0.03</v>
      </c>
      <c r="CB141" s="38">
        <f t="shared" si="2"/>
        <v>0.05</v>
      </c>
    </row>
    <row r="142" spans="15:80" x14ac:dyDescent="0.25">
      <c r="O142" t="s">
        <v>853</v>
      </c>
      <c r="P142" t="s">
        <v>5218</v>
      </c>
      <c r="Q142" s="671">
        <v>60101</v>
      </c>
      <c r="R142" s="671"/>
      <c r="AT142" s="671"/>
      <c r="AU142" s="671"/>
      <c r="AV142" s="671"/>
      <c r="AW142" s="671"/>
      <c r="BY142" t="s">
        <v>6212</v>
      </c>
      <c r="BZ142" t="s">
        <v>6212</v>
      </c>
      <c r="CA142" s="923">
        <v>0.1</v>
      </c>
      <c r="CB142" s="38">
        <f t="shared" si="2"/>
        <v>0.08</v>
      </c>
    </row>
    <row r="143" spans="15:80" x14ac:dyDescent="0.25">
      <c r="O143" t="s">
        <v>833</v>
      </c>
      <c r="P143" t="s">
        <v>5218</v>
      </c>
      <c r="Q143" s="671">
        <v>60101</v>
      </c>
      <c r="R143" s="671"/>
      <c r="AT143" s="671"/>
      <c r="AU143" s="671"/>
      <c r="AV143" s="671"/>
      <c r="AW143" s="671"/>
      <c r="BY143" t="s">
        <v>6213</v>
      </c>
      <c r="BZ143" t="s">
        <v>6426</v>
      </c>
      <c r="CA143" s="923">
        <v>0.05</v>
      </c>
      <c r="CB143" s="38">
        <v>0</v>
      </c>
    </row>
    <row r="144" spans="15:80" x14ac:dyDescent="0.25">
      <c r="O144" t="s">
        <v>845</v>
      </c>
      <c r="P144" t="s">
        <v>5218</v>
      </c>
      <c r="Q144" s="671">
        <v>60101</v>
      </c>
      <c r="R144" s="671"/>
      <c r="AT144" s="671"/>
      <c r="AU144" s="671"/>
      <c r="AV144" s="671"/>
      <c r="AW144" s="671"/>
      <c r="BY144" t="s">
        <v>6214</v>
      </c>
      <c r="BZ144" t="s">
        <v>6485</v>
      </c>
      <c r="CA144" s="923">
        <v>0.03</v>
      </c>
      <c r="CB144" s="38">
        <f t="shared" si="2"/>
        <v>0.03</v>
      </c>
    </row>
    <row r="145" spans="15:80" ht="15" customHeight="1" x14ac:dyDescent="0.25">
      <c r="O145" t="s">
        <v>934</v>
      </c>
      <c r="P145" t="s">
        <v>5218</v>
      </c>
      <c r="Q145" s="671">
        <v>60101</v>
      </c>
      <c r="R145" s="671"/>
      <c r="AT145" s="671"/>
      <c r="AU145" s="671"/>
      <c r="AV145" s="671"/>
      <c r="AW145" s="671"/>
      <c r="BY145" t="s">
        <v>6215</v>
      </c>
      <c r="BZ145" t="s">
        <v>6426</v>
      </c>
      <c r="CA145" s="923">
        <v>0.05</v>
      </c>
      <c r="CB145" s="38">
        <v>0</v>
      </c>
    </row>
    <row r="146" spans="15:80" x14ac:dyDescent="0.25">
      <c r="O146" t="s">
        <v>934</v>
      </c>
      <c r="P146" t="s">
        <v>5218</v>
      </c>
      <c r="Q146" s="671">
        <v>60101</v>
      </c>
      <c r="R146" s="671"/>
      <c r="AT146" s="671"/>
      <c r="AU146" s="671"/>
      <c r="AV146" s="671"/>
      <c r="AW146" s="671"/>
      <c r="BY146" t="s">
        <v>6216</v>
      </c>
      <c r="BZ146" t="s">
        <v>6424</v>
      </c>
      <c r="CA146" s="923">
        <v>0.1</v>
      </c>
      <c r="CB146" s="38">
        <f t="shared" si="2"/>
        <v>0.1</v>
      </c>
    </row>
    <row r="147" spans="15:80" x14ac:dyDescent="0.25">
      <c r="O147" t="s">
        <v>934</v>
      </c>
      <c r="P147" t="s">
        <v>5218</v>
      </c>
      <c r="Q147" s="671">
        <v>60101</v>
      </c>
      <c r="R147" s="671"/>
      <c r="AT147" s="671"/>
      <c r="AU147" s="671"/>
      <c r="AV147" s="671"/>
      <c r="AW147" s="671"/>
      <c r="BY147" t="s">
        <v>6493</v>
      </c>
      <c r="BZ147" t="s">
        <v>6426</v>
      </c>
      <c r="CA147" s="923">
        <v>0.05</v>
      </c>
      <c r="CB147" s="38">
        <v>0</v>
      </c>
    </row>
    <row r="148" spans="15:80" x14ac:dyDescent="0.25">
      <c r="O148" t="s">
        <v>934</v>
      </c>
      <c r="P148" t="s">
        <v>5218</v>
      </c>
      <c r="Q148" s="671">
        <v>60101</v>
      </c>
      <c r="R148" s="671"/>
      <c r="AT148" s="671"/>
      <c r="AU148" s="671"/>
      <c r="AV148" s="671"/>
      <c r="AW148" s="671"/>
      <c r="BY148" t="s">
        <v>6217</v>
      </c>
      <c r="BZ148" t="s">
        <v>6482</v>
      </c>
      <c r="CA148" s="923">
        <v>0.05</v>
      </c>
      <c r="CB148" s="38">
        <f t="shared" si="2"/>
        <v>0.05</v>
      </c>
    </row>
    <row r="149" spans="15:80" x14ac:dyDescent="0.25">
      <c r="O149" t="s">
        <v>934</v>
      </c>
      <c r="P149" t="s">
        <v>5218</v>
      </c>
      <c r="Q149" s="671">
        <v>60101</v>
      </c>
      <c r="R149" s="671"/>
      <c r="AT149" s="671"/>
      <c r="AU149" s="671"/>
      <c r="AV149" s="671"/>
      <c r="AW149" s="671"/>
      <c r="BY149" t="s">
        <v>6218</v>
      </c>
      <c r="BZ149" t="s">
        <v>6494</v>
      </c>
      <c r="CA149" s="923">
        <v>0.06</v>
      </c>
      <c r="CB149" s="38">
        <v>0</v>
      </c>
    </row>
    <row r="150" spans="15:80" x14ac:dyDescent="0.25">
      <c r="O150" t="s">
        <v>932</v>
      </c>
      <c r="P150" t="s">
        <v>5218</v>
      </c>
      <c r="Q150" s="671">
        <v>60101</v>
      </c>
      <c r="R150" s="671"/>
      <c r="AT150" s="671"/>
      <c r="AU150" s="671"/>
      <c r="AV150" s="671"/>
      <c r="AW150" s="671"/>
      <c r="BY150" t="s">
        <v>6219</v>
      </c>
      <c r="BZ150" t="s">
        <v>6495</v>
      </c>
      <c r="CA150" s="923">
        <v>0.09</v>
      </c>
      <c r="CB150" s="38">
        <v>0</v>
      </c>
    </row>
    <row r="151" spans="15:80" x14ac:dyDescent="0.25">
      <c r="O151" t="s">
        <v>930</v>
      </c>
      <c r="P151" t="s">
        <v>5218</v>
      </c>
      <c r="Q151" s="671">
        <v>60101</v>
      </c>
      <c r="R151" s="671"/>
      <c r="AT151" s="671"/>
      <c r="AU151" s="671"/>
      <c r="AV151" s="671"/>
      <c r="AW151" s="671"/>
      <c r="BY151" t="s">
        <v>6220</v>
      </c>
      <c r="BZ151" t="s">
        <v>6426</v>
      </c>
      <c r="CA151" s="923">
        <v>0.05</v>
      </c>
      <c r="CB151" s="38">
        <v>0</v>
      </c>
    </row>
    <row r="152" spans="15:80" x14ac:dyDescent="0.25">
      <c r="O152" t="s">
        <v>920</v>
      </c>
      <c r="P152" t="s">
        <v>5218</v>
      </c>
      <c r="Q152" s="671">
        <v>60101</v>
      </c>
      <c r="R152" s="671"/>
      <c r="AT152" s="671"/>
      <c r="AU152" s="671"/>
      <c r="AV152" s="671"/>
      <c r="AW152" s="671"/>
      <c r="BY152" t="s">
        <v>6221</v>
      </c>
      <c r="BZ152" t="s">
        <v>6470</v>
      </c>
      <c r="CA152" s="923">
        <v>7.4999999999999997E-2</v>
      </c>
      <c r="CB152" s="38">
        <v>0</v>
      </c>
    </row>
    <row r="153" spans="15:80" x14ac:dyDescent="0.25">
      <c r="O153" t="s">
        <v>928</v>
      </c>
      <c r="P153" t="s">
        <v>5218</v>
      </c>
      <c r="Q153" s="671">
        <v>60101</v>
      </c>
      <c r="R153" s="671"/>
      <c r="AT153" s="671"/>
      <c r="AU153" s="671"/>
      <c r="AV153" s="671"/>
      <c r="AW153" s="671"/>
      <c r="BY153" t="s">
        <v>6222</v>
      </c>
      <c r="BZ153" t="s">
        <v>6439</v>
      </c>
      <c r="CA153" s="923">
        <v>0.08</v>
      </c>
      <c r="CB153" s="38">
        <v>0</v>
      </c>
    </row>
    <row r="154" spans="15:80" x14ac:dyDescent="0.25">
      <c r="O154" t="s">
        <v>924</v>
      </c>
      <c r="P154" t="s">
        <v>5218</v>
      </c>
      <c r="Q154" s="671">
        <v>60101</v>
      </c>
      <c r="R154" s="671"/>
      <c r="AT154" s="671"/>
      <c r="AU154" s="671"/>
      <c r="AV154" s="671"/>
      <c r="AW154" s="671"/>
      <c r="BY154" t="s">
        <v>6223</v>
      </c>
      <c r="BZ154" t="s">
        <v>6426</v>
      </c>
      <c r="CA154" s="923">
        <v>7.0000000000000007E-2</v>
      </c>
      <c r="CB154" s="38">
        <v>0</v>
      </c>
    </row>
    <row r="155" spans="15:80" x14ac:dyDescent="0.25">
      <c r="O155" t="s">
        <v>915</v>
      </c>
      <c r="P155" t="s">
        <v>5218</v>
      </c>
      <c r="Q155" s="671">
        <v>60101</v>
      </c>
      <c r="R155" s="671"/>
      <c r="AT155" s="671"/>
      <c r="AU155" s="671"/>
      <c r="AV155" s="671"/>
      <c r="AW155" s="671"/>
      <c r="BY155" t="s">
        <v>6224</v>
      </c>
      <c r="BZ155" t="s">
        <v>6482</v>
      </c>
      <c r="CA155" s="923">
        <v>0.05</v>
      </c>
      <c r="CB155" s="38">
        <f t="shared" si="2"/>
        <v>0.05</v>
      </c>
    </row>
    <row r="156" spans="15:80" x14ac:dyDescent="0.25">
      <c r="O156" t="s">
        <v>869</v>
      </c>
      <c r="P156" t="s">
        <v>5218</v>
      </c>
      <c r="Q156" s="671">
        <v>60101</v>
      </c>
      <c r="R156" s="671"/>
      <c r="AT156" s="671"/>
      <c r="AU156" s="671"/>
      <c r="AV156" s="671"/>
      <c r="AW156" s="671"/>
      <c r="BY156" t="s">
        <v>6225</v>
      </c>
      <c r="BZ156" t="s">
        <v>6426</v>
      </c>
      <c r="CA156" s="923">
        <v>0.08</v>
      </c>
      <c r="CB156" s="38">
        <v>0</v>
      </c>
    </row>
    <row r="157" spans="15:80" x14ac:dyDescent="0.25">
      <c r="O157" t="s">
        <v>869</v>
      </c>
      <c r="P157" t="s">
        <v>5218</v>
      </c>
      <c r="Q157" s="671">
        <v>60101</v>
      </c>
      <c r="R157" s="671"/>
      <c r="AT157" s="671"/>
      <c r="AU157" s="671"/>
      <c r="AV157" s="671"/>
      <c r="AW157" s="671"/>
      <c r="BY157" t="s">
        <v>6226</v>
      </c>
      <c r="BZ157" t="s">
        <v>6426</v>
      </c>
      <c r="CA157" s="923">
        <v>0.05</v>
      </c>
      <c r="CB157" s="38">
        <v>0</v>
      </c>
    </row>
    <row r="158" spans="15:80" x14ac:dyDescent="0.25">
      <c r="O158" t="s">
        <v>863</v>
      </c>
      <c r="P158" t="s">
        <v>5218</v>
      </c>
      <c r="Q158" s="671">
        <v>60101</v>
      </c>
      <c r="R158" s="671"/>
      <c r="AT158" s="671"/>
      <c r="AU158" s="671"/>
      <c r="AV158" s="671"/>
      <c r="AW158" s="671"/>
      <c r="BY158" t="s">
        <v>6227</v>
      </c>
      <c r="BZ158" t="s">
        <v>6468</v>
      </c>
      <c r="CA158" s="923">
        <v>0.03</v>
      </c>
      <c r="CB158" s="38">
        <v>0</v>
      </c>
    </row>
    <row r="159" spans="15:80" x14ac:dyDescent="0.25">
      <c r="O159" t="s">
        <v>863</v>
      </c>
      <c r="P159" t="s">
        <v>5218</v>
      </c>
      <c r="Q159" s="671">
        <v>60101</v>
      </c>
      <c r="R159" s="671"/>
      <c r="AT159" s="671"/>
      <c r="AU159" s="671"/>
      <c r="AV159" s="671"/>
      <c r="AW159" s="671"/>
      <c r="BY159" t="s">
        <v>6228</v>
      </c>
      <c r="BZ159" t="s">
        <v>6496</v>
      </c>
      <c r="CA159" s="923">
        <v>0.04</v>
      </c>
      <c r="CB159" s="38">
        <v>0</v>
      </c>
    </row>
    <row r="160" spans="15:80" x14ac:dyDescent="0.25">
      <c r="O160" t="s">
        <v>863</v>
      </c>
      <c r="P160" t="s">
        <v>5218</v>
      </c>
      <c r="Q160" s="671">
        <v>60101</v>
      </c>
      <c r="R160" s="671"/>
      <c r="AT160" s="671"/>
      <c r="AU160" s="671"/>
      <c r="AV160" s="671"/>
      <c r="AW160" s="671"/>
      <c r="BY160" t="s">
        <v>6229</v>
      </c>
      <c r="BZ160" t="s">
        <v>6426</v>
      </c>
      <c r="CA160" s="923">
        <v>0.05</v>
      </c>
      <c r="CB160" s="38">
        <v>0</v>
      </c>
    </row>
    <row r="161" spans="15:80" x14ac:dyDescent="0.25">
      <c r="O161" t="s">
        <v>1026</v>
      </c>
      <c r="P161" t="s">
        <v>5219</v>
      </c>
      <c r="Q161" s="671">
        <v>60109</v>
      </c>
      <c r="R161" s="671"/>
      <c r="AT161" s="671"/>
      <c r="AU161" s="671"/>
      <c r="AV161" s="671"/>
      <c r="AW161" s="671"/>
      <c r="BY161" t="s">
        <v>6230</v>
      </c>
      <c r="BZ161" t="s">
        <v>6497</v>
      </c>
      <c r="CA161" s="923">
        <v>0.1</v>
      </c>
      <c r="CB161" s="38">
        <v>0</v>
      </c>
    </row>
    <row r="162" spans="15:80" x14ac:dyDescent="0.25">
      <c r="O162" t="s">
        <v>1034</v>
      </c>
      <c r="P162" t="s">
        <v>5219</v>
      </c>
      <c r="Q162" s="671">
        <v>60109</v>
      </c>
      <c r="R162" s="671"/>
      <c r="AT162" s="671"/>
      <c r="AU162" s="671"/>
      <c r="AV162" s="671"/>
      <c r="AW162" s="671"/>
      <c r="BY162" t="s">
        <v>6231</v>
      </c>
      <c r="BZ162" t="s">
        <v>6462</v>
      </c>
      <c r="CA162" s="923">
        <v>7.4999999999999997E-2</v>
      </c>
      <c r="CB162" s="38">
        <f t="shared" si="2"/>
        <v>0.05</v>
      </c>
    </row>
    <row r="163" spans="15:80" x14ac:dyDescent="0.25">
      <c r="O163" t="s">
        <v>1030</v>
      </c>
      <c r="P163" t="s">
        <v>5219</v>
      </c>
      <c r="Q163" s="671">
        <v>60109</v>
      </c>
      <c r="R163" s="671"/>
      <c r="AT163" s="671"/>
      <c r="AU163" s="671"/>
      <c r="AV163" s="671"/>
      <c r="AW163" s="671"/>
      <c r="BY163" t="s">
        <v>6232</v>
      </c>
      <c r="BZ163" t="s">
        <v>6452</v>
      </c>
      <c r="CA163" s="923">
        <v>0.08</v>
      </c>
      <c r="CB163" s="38">
        <v>0</v>
      </c>
    </row>
    <row r="164" spans="15:80" x14ac:dyDescent="0.25">
      <c r="O164" t="s">
        <v>1030</v>
      </c>
      <c r="P164" t="s">
        <v>5219</v>
      </c>
      <c r="Q164" s="671">
        <v>60109</v>
      </c>
      <c r="R164" s="671"/>
      <c r="AT164" s="671"/>
      <c r="AU164" s="671"/>
      <c r="AV164" s="671"/>
      <c r="AW164" s="671"/>
      <c r="BY164" t="s">
        <v>6233</v>
      </c>
      <c r="BZ164" t="s">
        <v>6498</v>
      </c>
      <c r="CA164" s="923">
        <v>8.5000000000000006E-2</v>
      </c>
      <c r="CB164" s="38">
        <v>0</v>
      </c>
    </row>
    <row r="165" spans="15:80" x14ac:dyDescent="0.25">
      <c r="O165" t="s">
        <v>1036</v>
      </c>
      <c r="P165" t="s">
        <v>5219</v>
      </c>
      <c r="Q165" s="671">
        <v>60109</v>
      </c>
      <c r="R165" s="671"/>
      <c r="AT165" s="671"/>
      <c r="AU165" s="671"/>
      <c r="AV165" s="671"/>
      <c r="AW165" s="671"/>
      <c r="BY165" t="s">
        <v>6234</v>
      </c>
      <c r="BZ165" t="s">
        <v>6499</v>
      </c>
      <c r="CA165" s="923">
        <v>6.5000000000000002E-2</v>
      </c>
      <c r="CB165" s="38">
        <v>0</v>
      </c>
    </row>
    <row r="166" spans="15:80" x14ac:dyDescent="0.25">
      <c r="O166" t="s">
        <v>1021</v>
      </c>
      <c r="P166" t="s">
        <v>5220</v>
      </c>
      <c r="Q166" s="671">
        <v>60108</v>
      </c>
      <c r="R166" s="671"/>
      <c r="AT166" s="671"/>
      <c r="AU166" s="671"/>
      <c r="AV166" s="671"/>
      <c r="AW166" s="671"/>
      <c r="BY166" t="s">
        <v>6235</v>
      </c>
      <c r="BZ166" t="s">
        <v>6426</v>
      </c>
      <c r="CA166" s="923">
        <v>0.05</v>
      </c>
      <c r="CB166" s="38">
        <v>0</v>
      </c>
    </row>
    <row r="167" spans="15:80" x14ac:dyDescent="0.25">
      <c r="O167" t="s">
        <v>1023</v>
      </c>
      <c r="P167" t="s">
        <v>5220</v>
      </c>
      <c r="Q167" s="671">
        <v>60108</v>
      </c>
      <c r="R167" s="671"/>
      <c r="AT167" s="671"/>
      <c r="AU167" s="671"/>
      <c r="AV167" s="671"/>
      <c r="AW167" s="671"/>
      <c r="BY167" t="s">
        <v>6236</v>
      </c>
      <c r="BZ167" t="s">
        <v>6453</v>
      </c>
      <c r="CA167" s="923">
        <v>0.04</v>
      </c>
      <c r="CB167" s="38">
        <v>0</v>
      </c>
    </row>
    <row r="168" spans="15:80" x14ac:dyDescent="0.25">
      <c r="O168" t="s">
        <v>1017</v>
      </c>
      <c r="P168" t="s">
        <v>5220</v>
      </c>
      <c r="Q168" s="671">
        <v>60108</v>
      </c>
      <c r="R168" s="671"/>
      <c r="AT168" s="671"/>
      <c r="AU168" s="671"/>
      <c r="AV168" s="671"/>
      <c r="AW168" s="671"/>
      <c r="BY168" t="s">
        <v>6237</v>
      </c>
      <c r="BZ168" t="s">
        <v>6437</v>
      </c>
      <c r="CA168" s="923">
        <v>0.05</v>
      </c>
      <c r="CB168" s="38">
        <v>0</v>
      </c>
    </row>
    <row r="169" spans="15:80" x14ac:dyDescent="0.25">
      <c r="O169" t="s">
        <v>1064</v>
      </c>
      <c r="P169" t="s">
        <v>5212</v>
      </c>
      <c r="Q169" s="671">
        <v>60107</v>
      </c>
      <c r="R169" s="671"/>
      <c r="AT169" s="671"/>
      <c r="AU169" s="671"/>
      <c r="AV169" s="671"/>
      <c r="AW169" s="671"/>
      <c r="BY169" t="s">
        <v>6238</v>
      </c>
      <c r="BZ169" t="s">
        <v>6471</v>
      </c>
      <c r="CA169" s="923">
        <v>0.12</v>
      </c>
      <c r="CB169" s="38">
        <v>0</v>
      </c>
    </row>
    <row r="170" spans="15:80" x14ac:dyDescent="0.25">
      <c r="O170" t="s">
        <v>1064</v>
      </c>
      <c r="P170" t="s">
        <v>5212</v>
      </c>
      <c r="Q170" s="671">
        <v>60107</v>
      </c>
      <c r="R170" s="671"/>
      <c r="AT170" s="671"/>
      <c r="AU170" s="671"/>
      <c r="AV170" s="671"/>
      <c r="AW170" s="671"/>
      <c r="BY170" t="s">
        <v>6239</v>
      </c>
      <c r="BZ170" t="s">
        <v>6426</v>
      </c>
      <c r="CA170" s="923">
        <v>0.05</v>
      </c>
      <c r="CB170" s="38">
        <v>0</v>
      </c>
    </row>
    <row r="171" spans="15:80" x14ac:dyDescent="0.25">
      <c r="O171" t="s">
        <v>1064</v>
      </c>
      <c r="P171" t="s">
        <v>5212</v>
      </c>
      <c r="Q171" s="671">
        <v>60107</v>
      </c>
      <c r="R171" s="671"/>
      <c r="AT171" s="671"/>
      <c r="AU171" s="671"/>
      <c r="AV171" s="671"/>
      <c r="AW171" s="671"/>
      <c r="BY171" t="s">
        <v>6240</v>
      </c>
      <c r="BZ171" t="s">
        <v>6475</v>
      </c>
      <c r="CA171" s="923">
        <v>0</v>
      </c>
      <c r="CB171" s="38">
        <v>0</v>
      </c>
    </row>
    <row r="172" spans="15:80" x14ac:dyDescent="0.25">
      <c r="O172" t="s">
        <v>1040</v>
      </c>
      <c r="P172" t="s">
        <v>5212</v>
      </c>
      <c r="Q172" s="671">
        <v>60107</v>
      </c>
      <c r="R172" s="671"/>
      <c r="AT172" s="671"/>
      <c r="AU172" s="671"/>
      <c r="AV172" s="671"/>
      <c r="AW172" s="671"/>
      <c r="BY172" t="s">
        <v>6241</v>
      </c>
      <c r="BZ172" t="s">
        <v>6431</v>
      </c>
      <c r="CA172" s="923">
        <v>0.03</v>
      </c>
      <c r="CB172" s="38">
        <v>0</v>
      </c>
    </row>
    <row r="173" spans="15:80" x14ac:dyDescent="0.25">
      <c r="O173" t="s">
        <v>1049</v>
      </c>
      <c r="P173" t="s">
        <v>5212</v>
      </c>
      <c r="Q173" s="671">
        <v>60107</v>
      </c>
      <c r="R173" s="671"/>
      <c r="AT173" s="671"/>
      <c r="AU173" s="671"/>
      <c r="AV173" s="671"/>
      <c r="AW173" s="671"/>
      <c r="BY173" t="s">
        <v>6501</v>
      </c>
      <c r="BZ173" t="s">
        <v>6470</v>
      </c>
      <c r="CA173" s="923">
        <v>7.0000000000000007E-2</v>
      </c>
      <c r="CB173" s="38">
        <v>0</v>
      </c>
    </row>
    <row r="174" spans="15:80" x14ac:dyDescent="0.25">
      <c r="O174" t="s">
        <v>1057</v>
      </c>
      <c r="P174" t="s">
        <v>5212</v>
      </c>
      <c r="Q174" s="671">
        <v>60107</v>
      </c>
      <c r="R174" s="671"/>
      <c r="AT174" s="671"/>
      <c r="AU174" s="671"/>
      <c r="AV174" s="671"/>
      <c r="AW174" s="671"/>
      <c r="BY174" t="s">
        <v>6528</v>
      </c>
      <c r="BZ174" t="s">
        <v>6469</v>
      </c>
      <c r="CA174" s="923">
        <v>0.1</v>
      </c>
      <c r="CB174" s="38">
        <f t="shared" si="2"/>
        <v>0.1</v>
      </c>
    </row>
    <row r="175" spans="15:80" x14ac:dyDescent="0.25">
      <c r="O175" t="s">
        <v>1061</v>
      </c>
      <c r="P175" t="s">
        <v>5212</v>
      </c>
      <c r="Q175" s="671">
        <v>60107</v>
      </c>
      <c r="R175" s="671"/>
      <c r="AT175" s="671"/>
      <c r="AU175" s="671"/>
      <c r="AV175" s="671"/>
      <c r="AW175" s="671"/>
      <c r="BY175" t="s">
        <v>6242</v>
      </c>
      <c r="BZ175" t="s">
        <v>6445</v>
      </c>
      <c r="CA175" s="923">
        <v>0.08</v>
      </c>
      <c r="CB175" s="38">
        <f t="shared" si="2"/>
        <v>0.08</v>
      </c>
    </row>
    <row r="176" spans="15:80" x14ac:dyDescent="0.25">
      <c r="O176" t="s">
        <v>1053</v>
      </c>
      <c r="P176" t="s">
        <v>5212</v>
      </c>
      <c r="Q176" s="671">
        <v>60107</v>
      </c>
      <c r="R176" s="671"/>
      <c r="AT176" s="671"/>
      <c r="AU176" s="671"/>
      <c r="AV176" s="671"/>
      <c r="AW176" s="671"/>
      <c r="BY176" t="s">
        <v>6243</v>
      </c>
      <c r="BZ176" t="s">
        <v>6503</v>
      </c>
      <c r="CA176" s="923">
        <v>0.1</v>
      </c>
      <c r="CB176" s="38">
        <v>0</v>
      </c>
    </row>
    <row r="177" spans="15:80" x14ac:dyDescent="0.25">
      <c r="O177" t="s">
        <v>1043</v>
      </c>
      <c r="P177" t="s">
        <v>5212</v>
      </c>
      <c r="Q177" s="671">
        <v>60107</v>
      </c>
      <c r="R177" s="671"/>
      <c r="AT177" s="671"/>
      <c r="AU177" s="671"/>
      <c r="AV177" s="671"/>
      <c r="AW177" s="671"/>
      <c r="BY177" t="s">
        <v>6244</v>
      </c>
      <c r="BZ177" t="s">
        <v>6426</v>
      </c>
      <c r="CA177" s="923">
        <v>0.05</v>
      </c>
      <c r="CB177" s="38">
        <v>0</v>
      </c>
    </row>
    <row r="178" spans="15:80" x14ac:dyDescent="0.25">
      <c r="O178" t="s">
        <v>1043</v>
      </c>
      <c r="P178" t="s">
        <v>5212</v>
      </c>
      <c r="Q178" s="671">
        <v>60107</v>
      </c>
      <c r="R178" s="671"/>
      <c r="AT178" s="671"/>
      <c r="AU178" s="671"/>
      <c r="AV178" s="671"/>
      <c r="AW178" s="671"/>
      <c r="BY178" t="s">
        <v>6245</v>
      </c>
      <c r="BZ178" t="s">
        <v>6504</v>
      </c>
      <c r="CA178" s="923">
        <v>0.08</v>
      </c>
      <c r="CB178" s="38">
        <f t="shared" si="2"/>
        <v>0.04</v>
      </c>
    </row>
    <row r="179" spans="15:80" x14ac:dyDescent="0.25">
      <c r="O179" t="s">
        <v>1072</v>
      </c>
      <c r="P179" t="s">
        <v>5220</v>
      </c>
      <c r="Q179" s="671">
        <v>60108</v>
      </c>
      <c r="R179" s="671"/>
      <c r="AT179" s="671"/>
      <c r="AU179" s="671"/>
      <c r="AV179" s="671"/>
      <c r="AW179" s="671"/>
      <c r="BY179" t="s">
        <v>6246</v>
      </c>
      <c r="BZ179" t="s">
        <v>6265</v>
      </c>
      <c r="CA179" s="923">
        <v>0.1</v>
      </c>
      <c r="CB179" s="38">
        <v>0</v>
      </c>
    </row>
    <row r="180" spans="15:80" x14ac:dyDescent="0.25">
      <c r="O180" t="s">
        <v>4613</v>
      </c>
      <c r="P180" t="s">
        <v>5221</v>
      </c>
      <c r="Q180" s="671">
        <v>67079</v>
      </c>
      <c r="R180" s="671"/>
      <c r="AT180" s="671"/>
      <c r="AU180" s="671"/>
      <c r="AV180" s="671"/>
      <c r="AW180" s="671"/>
      <c r="BY180" t="s">
        <v>6247</v>
      </c>
      <c r="BZ180" t="s">
        <v>6482</v>
      </c>
      <c r="CA180" s="923">
        <v>0.05</v>
      </c>
      <c r="CB180" s="38">
        <f t="shared" si="2"/>
        <v>0.05</v>
      </c>
    </row>
    <row r="181" spans="15:80" x14ac:dyDescent="0.25">
      <c r="O181" t="s">
        <v>4617</v>
      </c>
      <c r="P181" t="s">
        <v>5221</v>
      </c>
      <c r="Q181" s="671">
        <v>67079</v>
      </c>
      <c r="R181" s="671"/>
      <c r="AT181" s="671"/>
      <c r="AU181" s="671"/>
      <c r="AV181" s="671"/>
      <c r="AW181" s="671"/>
      <c r="BY181" t="s">
        <v>6248</v>
      </c>
      <c r="BZ181" t="s">
        <v>6199</v>
      </c>
      <c r="CA181" s="923">
        <v>0.08</v>
      </c>
      <c r="CB181" s="38">
        <v>0</v>
      </c>
    </row>
    <row r="182" spans="15:80" x14ac:dyDescent="0.25">
      <c r="O182" t="s">
        <v>4621</v>
      </c>
      <c r="P182" t="s">
        <v>5221</v>
      </c>
      <c r="Q182" s="671">
        <v>67079</v>
      </c>
      <c r="R182" s="671"/>
      <c r="AT182" s="671"/>
      <c r="AU182" s="671"/>
      <c r="AV182" s="671"/>
      <c r="AW182" s="671"/>
      <c r="BY182" t="s">
        <v>6249</v>
      </c>
      <c r="BZ182" t="s">
        <v>6422</v>
      </c>
      <c r="CA182" s="923">
        <v>0</v>
      </c>
      <c r="CB182" s="38">
        <v>0</v>
      </c>
    </row>
    <row r="183" spans="15:80" x14ac:dyDescent="0.25">
      <c r="O183" t="s">
        <v>4623</v>
      </c>
      <c r="P183" t="s">
        <v>5221</v>
      </c>
      <c r="Q183" s="671">
        <v>67079</v>
      </c>
      <c r="R183" s="671"/>
      <c r="AT183" s="671"/>
      <c r="AU183" s="671"/>
      <c r="AV183" s="671"/>
      <c r="AW183" s="671"/>
      <c r="BY183" t="s">
        <v>6505</v>
      </c>
      <c r="BZ183" t="s">
        <v>6506</v>
      </c>
      <c r="CA183" s="923">
        <v>0.05</v>
      </c>
      <c r="CB183" s="38">
        <v>0</v>
      </c>
    </row>
    <row r="184" spans="15:80" x14ac:dyDescent="0.25">
      <c r="O184" t="s">
        <v>4623</v>
      </c>
      <c r="P184" t="s">
        <v>5221</v>
      </c>
      <c r="Q184" s="671">
        <v>67079</v>
      </c>
      <c r="R184" s="671"/>
      <c r="AT184" s="671"/>
      <c r="AU184" s="671"/>
      <c r="AV184" s="671"/>
      <c r="AW184" s="671"/>
      <c r="BY184" t="s">
        <v>6250</v>
      </c>
      <c r="BZ184" t="s">
        <v>6507</v>
      </c>
      <c r="CA184" s="923">
        <v>0.08</v>
      </c>
      <c r="CB184" s="38">
        <f t="shared" si="2"/>
        <v>0.06</v>
      </c>
    </row>
    <row r="185" spans="15:80" x14ac:dyDescent="0.25">
      <c r="O185" t="s">
        <v>4641</v>
      </c>
      <c r="P185" t="s">
        <v>5221</v>
      </c>
      <c r="Q185" s="671">
        <v>67079</v>
      </c>
      <c r="R185" s="671"/>
      <c r="AT185" s="671"/>
      <c r="AU185" s="671"/>
      <c r="AV185" s="671"/>
      <c r="AW185" s="671"/>
      <c r="BY185" t="s">
        <v>6251</v>
      </c>
      <c r="BZ185" t="s">
        <v>6426</v>
      </c>
      <c r="CA185" s="923">
        <v>0.05</v>
      </c>
      <c r="CB185" s="38">
        <v>0</v>
      </c>
    </row>
    <row r="186" spans="15:80" x14ac:dyDescent="0.25">
      <c r="O186" t="s">
        <v>4641</v>
      </c>
      <c r="P186" t="s">
        <v>5221</v>
      </c>
      <c r="Q186" s="671">
        <v>67079</v>
      </c>
      <c r="R186" s="671"/>
      <c r="AT186" s="671"/>
      <c r="AU186" s="671"/>
      <c r="AV186" s="671"/>
      <c r="AW186" s="671"/>
      <c r="BY186" t="s">
        <v>6252</v>
      </c>
      <c r="BZ186" t="s">
        <v>6452</v>
      </c>
      <c r="CA186" s="923">
        <v>0.1</v>
      </c>
      <c r="CB186" s="38">
        <v>0</v>
      </c>
    </row>
    <row r="187" spans="15:80" x14ac:dyDescent="0.25">
      <c r="O187" t="s">
        <v>4641</v>
      </c>
      <c r="P187" t="s">
        <v>5221</v>
      </c>
      <c r="Q187" s="671">
        <v>67079</v>
      </c>
      <c r="R187" s="671"/>
      <c r="AT187" s="671"/>
      <c r="AU187" s="671"/>
      <c r="AV187" s="671"/>
      <c r="AW187" s="671"/>
      <c r="BY187" t="s">
        <v>6253</v>
      </c>
      <c r="BZ187" t="s">
        <v>6444</v>
      </c>
      <c r="CA187" s="923">
        <v>7.0000000000000007E-2</v>
      </c>
      <c r="CB187" s="38">
        <f t="shared" si="2"/>
        <v>0.04</v>
      </c>
    </row>
    <row r="188" spans="15:80" x14ac:dyDescent="0.25">
      <c r="O188" t="s">
        <v>4641</v>
      </c>
      <c r="P188" t="s">
        <v>5221</v>
      </c>
      <c r="Q188" s="671">
        <v>67079</v>
      </c>
      <c r="R188" s="671"/>
      <c r="AT188" s="671"/>
      <c r="AU188" s="671"/>
      <c r="AV188" s="671"/>
      <c r="AW188" s="671"/>
      <c r="BY188" t="s">
        <v>6254</v>
      </c>
      <c r="BZ188" t="s">
        <v>6508</v>
      </c>
      <c r="CA188" s="923">
        <v>7.0000000000000007E-2</v>
      </c>
      <c r="CB188" s="38">
        <v>0</v>
      </c>
    </row>
    <row r="189" spans="15:80" x14ac:dyDescent="0.25">
      <c r="O189" t="s">
        <v>4638</v>
      </c>
      <c r="P189" t="s">
        <v>5221</v>
      </c>
      <c r="Q189" s="671">
        <v>67079</v>
      </c>
      <c r="R189" s="671"/>
      <c r="AT189" s="671"/>
      <c r="AU189" s="671"/>
      <c r="AV189" s="671"/>
      <c r="AW189" s="671"/>
      <c r="BY189" t="s">
        <v>6255</v>
      </c>
      <c r="BZ189" t="s">
        <v>6265</v>
      </c>
      <c r="CA189" s="923">
        <v>0.03</v>
      </c>
      <c r="CB189" s="38">
        <v>0</v>
      </c>
    </row>
    <row r="190" spans="15:80" x14ac:dyDescent="0.25">
      <c r="O190" t="s">
        <v>4634</v>
      </c>
      <c r="P190" t="s">
        <v>5221</v>
      </c>
      <c r="Q190" s="671">
        <v>67079</v>
      </c>
      <c r="R190" s="671"/>
      <c r="AT190" s="671"/>
      <c r="AU190" s="671"/>
      <c r="AV190" s="671"/>
      <c r="AW190" s="671"/>
      <c r="BY190" t="s">
        <v>6256</v>
      </c>
      <c r="BZ190" t="s">
        <v>6438</v>
      </c>
      <c r="CA190" s="923">
        <v>0.08</v>
      </c>
      <c r="CB190" s="38">
        <v>0</v>
      </c>
    </row>
    <row r="191" spans="15:80" x14ac:dyDescent="0.25">
      <c r="O191" t="s">
        <v>4634</v>
      </c>
      <c r="P191" t="s">
        <v>5221</v>
      </c>
      <c r="Q191" s="671">
        <v>67079</v>
      </c>
      <c r="R191" s="671"/>
      <c r="AT191" s="671"/>
      <c r="AU191" s="671"/>
      <c r="AV191" s="671"/>
      <c r="AW191" s="671"/>
      <c r="BY191" t="s">
        <v>6509</v>
      </c>
      <c r="BZ191" t="s">
        <v>6426</v>
      </c>
      <c r="CA191" s="923">
        <v>0.05</v>
      </c>
      <c r="CB191" s="38">
        <v>0</v>
      </c>
    </row>
    <row r="192" spans="15:80" x14ac:dyDescent="0.25">
      <c r="O192" t="s">
        <v>4634</v>
      </c>
      <c r="P192" t="s">
        <v>5221</v>
      </c>
      <c r="Q192" s="671">
        <v>67079</v>
      </c>
      <c r="R192" s="671"/>
      <c r="AT192" s="671"/>
      <c r="AU192" s="671"/>
      <c r="AV192" s="671"/>
      <c r="AW192" s="671"/>
      <c r="BY192" t="s">
        <v>6529</v>
      </c>
      <c r="BZ192" t="s">
        <v>6529</v>
      </c>
      <c r="CA192" s="923">
        <v>0.05</v>
      </c>
      <c r="CB192" s="38">
        <v>0</v>
      </c>
    </row>
    <row r="193" spans="15:80" x14ac:dyDescent="0.25">
      <c r="O193" t="s">
        <v>4625</v>
      </c>
      <c r="P193" t="s">
        <v>5221</v>
      </c>
      <c r="Q193" s="671">
        <v>67079</v>
      </c>
      <c r="R193" s="671"/>
      <c r="AT193" s="671"/>
      <c r="AU193" s="671"/>
      <c r="AV193" s="671"/>
      <c r="AW193" s="671"/>
      <c r="BY193" t="s">
        <v>6257</v>
      </c>
      <c r="BZ193" t="s">
        <v>6207</v>
      </c>
      <c r="CA193" s="923">
        <v>9.1999999999999998E-2</v>
      </c>
      <c r="CB193" s="38">
        <v>0</v>
      </c>
    </row>
    <row r="194" spans="15:80" x14ac:dyDescent="0.25">
      <c r="O194" t="s">
        <v>4625</v>
      </c>
      <c r="P194" t="s">
        <v>5221</v>
      </c>
      <c r="Q194" s="671">
        <v>67079</v>
      </c>
      <c r="R194" s="671"/>
      <c r="AT194" s="671"/>
      <c r="AU194" s="671"/>
      <c r="AV194" s="671"/>
      <c r="AW194" s="671"/>
      <c r="BY194" t="s">
        <v>6258</v>
      </c>
      <c r="BZ194" t="s">
        <v>6445</v>
      </c>
      <c r="CA194" s="923">
        <v>0.1</v>
      </c>
      <c r="CB194" s="38">
        <f t="shared" si="2"/>
        <v>0.08</v>
      </c>
    </row>
    <row r="195" spans="15:80" x14ac:dyDescent="0.25">
      <c r="O195" t="s">
        <v>4631</v>
      </c>
      <c r="P195" t="s">
        <v>5221</v>
      </c>
      <c r="Q195" s="671">
        <v>67079</v>
      </c>
      <c r="R195" s="671"/>
      <c r="AT195" s="671"/>
      <c r="AU195" s="671"/>
      <c r="AV195" s="671"/>
      <c r="AW195" s="671"/>
      <c r="BY195" t="s">
        <v>6259</v>
      </c>
      <c r="BZ195" t="s">
        <v>6207</v>
      </c>
      <c r="CA195" s="923">
        <v>0.08</v>
      </c>
      <c r="CB195" s="38">
        <v>0</v>
      </c>
    </row>
    <row r="196" spans="15:80" x14ac:dyDescent="0.25">
      <c r="O196" t="s">
        <v>4629</v>
      </c>
      <c r="P196" t="s">
        <v>5221</v>
      </c>
      <c r="Q196" s="671">
        <v>67079</v>
      </c>
      <c r="R196" s="671"/>
      <c r="AT196" s="671"/>
      <c r="AU196" s="671"/>
      <c r="AV196" s="671"/>
      <c r="AW196" s="671"/>
      <c r="BY196" t="s">
        <v>6260</v>
      </c>
      <c r="BZ196" t="s">
        <v>6426</v>
      </c>
      <c r="CA196" s="923">
        <v>0.05</v>
      </c>
      <c r="CB196" s="38">
        <v>0</v>
      </c>
    </row>
    <row r="197" spans="15:80" x14ac:dyDescent="0.25">
      <c r="O197" t="s">
        <v>4605</v>
      </c>
      <c r="P197" t="s">
        <v>5222</v>
      </c>
      <c r="Q197" s="671">
        <v>67084</v>
      </c>
      <c r="R197" s="671"/>
      <c r="AT197" s="671"/>
      <c r="AU197" s="671"/>
      <c r="AV197" s="671"/>
      <c r="AW197" s="671"/>
      <c r="BY197" t="s">
        <v>6261</v>
      </c>
      <c r="BZ197" t="s">
        <v>6426</v>
      </c>
      <c r="CA197" s="923">
        <v>0.05</v>
      </c>
      <c r="CB197" s="38">
        <v>0</v>
      </c>
    </row>
    <row r="198" spans="15:80" x14ac:dyDescent="0.25">
      <c r="O198" t="s">
        <v>4601</v>
      </c>
      <c r="P198" t="s">
        <v>5222</v>
      </c>
      <c r="Q198" s="671">
        <v>67084</v>
      </c>
      <c r="R198" s="671"/>
      <c r="AT198" s="671"/>
      <c r="AU198" s="671"/>
      <c r="AV198" s="671"/>
      <c r="AW198" s="671"/>
      <c r="BY198" t="s">
        <v>6262</v>
      </c>
      <c r="BZ198" t="s">
        <v>6472</v>
      </c>
      <c r="CA198" s="923">
        <v>0.1</v>
      </c>
      <c r="CB198" s="38">
        <f t="shared" ref="CB198:CB258" si="3">VLOOKUP(BZ198,$BV$2:$BW$36,2,FALSE)</f>
        <v>0.1</v>
      </c>
    </row>
    <row r="199" spans="15:80" x14ac:dyDescent="0.25">
      <c r="O199" t="s">
        <v>4611</v>
      </c>
      <c r="P199" t="s">
        <v>5222</v>
      </c>
      <c r="Q199" s="671">
        <v>67084</v>
      </c>
      <c r="R199" s="671"/>
      <c r="AT199" s="671"/>
      <c r="AU199" s="671"/>
      <c r="AV199" s="671"/>
      <c r="AW199" s="671"/>
      <c r="BY199" t="s">
        <v>6263</v>
      </c>
      <c r="BZ199" t="s">
        <v>6130</v>
      </c>
      <c r="CA199" s="923">
        <v>0.04</v>
      </c>
      <c r="CB199" s="38">
        <v>0</v>
      </c>
    </row>
    <row r="200" spans="15:80" x14ac:dyDescent="0.25">
      <c r="O200" t="s">
        <v>4611</v>
      </c>
      <c r="P200" t="s">
        <v>5222</v>
      </c>
      <c r="Q200" s="671">
        <v>67084</v>
      </c>
      <c r="R200" s="671"/>
      <c r="AT200" s="671"/>
      <c r="AU200" s="671"/>
      <c r="AV200" s="671"/>
      <c r="AW200" s="671"/>
      <c r="BY200" t="s">
        <v>6264</v>
      </c>
      <c r="BZ200" t="s">
        <v>6426</v>
      </c>
      <c r="CA200" s="923">
        <v>0.05</v>
      </c>
      <c r="CB200" s="38">
        <v>0</v>
      </c>
    </row>
    <row r="201" spans="15:80" x14ac:dyDescent="0.25">
      <c r="O201" t="s">
        <v>4607</v>
      </c>
      <c r="P201" t="s">
        <v>5222</v>
      </c>
      <c r="Q201" s="671">
        <v>67084</v>
      </c>
      <c r="R201" s="671"/>
      <c r="AT201" s="671"/>
      <c r="AU201" s="671"/>
      <c r="AV201" s="671"/>
      <c r="AW201" s="671"/>
      <c r="BY201" t="s">
        <v>6265</v>
      </c>
      <c r="BZ201" t="s">
        <v>6146</v>
      </c>
      <c r="CA201" s="923">
        <v>0.04</v>
      </c>
      <c r="CB201" s="38">
        <f t="shared" si="3"/>
        <v>0.02</v>
      </c>
    </row>
    <row r="202" spans="15:80" x14ac:dyDescent="0.25">
      <c r="O202" t="s">
        <v>4597</v>
      </c>
      <c r="P202" t="s">
        <v>5223</v>
      </c>
      <c r="Q202" s="671">
        <v>67089</v>
      </c>
      <c r="R202" s="671"/>
      <c r="AT202" s="671"/>
      <c r="AU202" s="671"/>
      <c r="AV202" s="671"/>
      <c r="AW202" s="671"/>
      <c r="BY202" t="s">
        <v>6266</v>
      </c>
      <c r="BZ202" t="s">
        <v>6425</v>
      </c>
      <c r="CA202" s="923">
        <v>0.09</v>
      </c>
      <c r="CB202" s="38">
        <v>0</v>
      </c>
    </row>
    <row r="203" spans="15:80" x14ac:dyDescent="0.25">
      <c r="O203" t="s">
        <v>4597</v>
      </c>
      <c r="P203" t="s">
        <v>5223</v>
      </c>
      <c r="Q203" s="671">
        <v>67089</v>
      </c>
      <c r="R203" s="671"/>
      <c r="AT203" s="671"/>
      <c r="AU203" s="671"/>
      <c r="AV203" s="671"/>
      <c r="AW203" s="671"/>
      <c r="BY203" t="s">
        <v>6267</v>
      </c>
      <c r="BZ203" t="s">
        <v>6426</v>
      </c>
      <c r="CA203" s="923">
        <v>5.8000000000000003E-2</v>
      </c>
      <c r="CB203" s="38">
        <v>0</v>
      </c>
    </row>
    <row r="204" spans="15:80" x14ac:dyDescent="0.25">
      <c r="O204" t="s">
        <v>4597</v>
      </c>
      <c r="P204" t="s">
        <v>5223</v>
      </c>
      <c r="Q204" s="671">
        <v>67089</v>
      </c>
      <c r="R204" s="671"/>
      <c r="AT204" s="671"/>
      <c r="AU204" s="671"/>
      <c r="AV204" s="671"/>
      <c r="AW204" s="671"/>
      <c r="BY204" t="s">
        <v>6268</v>
      </c>
      <c r="BZ204" t="s">
        <v>6510</v>
      </c>
      <c r="CA204" s="923">
        <v>0.09</v>
      </c>
      <c r="CB204" s="38">
        <v>0</v>
      </c>
    </row>
    <row r="205" spans="15:80" x14ac:dyDescent="0.25">
      <c r="O205" t="s">
        <v>4599</v>
      </c>
      <c r="P205" t="s">
        <v>5223</v>
      </c>
      <c r="Q205" s="671">
        <v>67089</v>
      </c>
      <c r="R205" s="671"/>
      <c r="AT205" s="671"/>
      <c r="AU205" s="671"/>
      <c r="AV205" s="671"/>
      <c r="AW205" s="671"/>
      <c r="BY205" t="s">
        <v>6269</v>
      </c>
      <c r="BZ205" t="s">
        <v>6474</v>
      </c>
      <c r="CA205" s="923">
        <v>7.0000000000000007E-2</v>
      </c>
      <c r="CB205" s="38">
        <f t="shared" si="3"/>
        <v>7.0000000000000007E-2</v>
      </c>
    </row>
    <row r="206" spans="15:80" x14ac:dyDescent="0.25">
      <c r="O206" t="s">
        <v>4599</v>
      </c>
      <c r="P206" t="s">
        <v>5223</v>
      </c>
      <c r="Q206" s="671">
        <v>67089</v>
      </c>
      <c r="R206" s="671"/>
      <c r="AT206" s="671"/>
      <c r="AU206" s="671"/>
      <c r="AV206" s="671"/>
      <c r="AW206" s="671"/>
      <c r="BY206" t="s">
        <v>6511</v>
      </c>
      <c r="BZ206" t="s">
        <v>789</v>
      </c>
      <c r="CA206" s="923">
        <v>0.05</v>
      </c>
      <c r="CB206" s="38">
        <v>0</v>
      </c>
    </row>
    <row r="207" spans="15:80" x14ac:dyDescent="0.25">
      <c r="O207" t="s">
        <v>4599</v>
      </c>
      <c r="P207" t="s">
        <v>5223</v>
      </c>
      <c r="Q207" s="671">
        <v>67089</v>
      </c>
      <c r="R207" s="671"/>
      <c r="AT207" s="671"/>
      <c r="AU207" s="671"/>
      <c r="AV207" s="671"/>
      <c r="AW207" s="671"/>
      <c r="BY207" t="s">
        <v>6270</v>
      </c>
      <c r="BZ207" t="s">
        <v>6233</v>
      </c>
      <c r="CA207" s="923">
        <v>0.1</v>
      </c>
      <c r="CB207" s="38">
        <f t="shared" si="3"/>
        <v>0.05</v>
      </c>
    </row>
    <row r="208" spans="15:80" x14ac:dyDescent="0.25">
      <c r="O208" t="s">
        <v>4599</v>
      </c>
      <c r="P208" t="s">
        <v>5223</v>
      </c>
      <c r="Q208" s="671">
        <v>67089</v>
      </c>
      <c r="R208" s="671"/>
      <c r="AT208" s="671"/>
      <c r="AU208" s="671"/>
      <c r="AV208" s="671"/>
      <c r="AW208" s="671"/>
      <c r="BY208" t="s">
        <v>6271</v>
      </c>
      <c r="BZ208" t="s">
        <v>6426</v>
      </c>
      <c r="CA208" s="923">
        <v>0.05</v>
      </c>
      <c r="CB208" s="38">
        <v>0</v>
      </c>
    </row>
    <row r="209" spans="15:80" x14ac:dyDescent="0.25">
      <c r="O209" t="s">
        <v>4599</v>
      </c>
      <c r="P209" t="s">
        <v>5223</v>
      </c>
      <c r="Q209" s="671">
        <v>67089</v>
      </c>
      <c r="R209" s="671"/>
      <c r="AT209" s="671"/>
      <c r="AU209" s="671"/>
      <c r="AV209" s="671"/>
      <c r="AW209" s="671"/>
      <c r="BY209" t="s">
        <v>6272</v>
      </c>
      <c r="BZ209" t="s">
        <v>6426</v>
      </c>
      <c r="CA209" s="923">
        <v>0.05</v>
      </c>
      <c r="CB209" s="38">
        <v>0</v>
      </c>
    </row>
    <row r="210" spans="15:80" x14ac:dyDescent="0.25">
      <c r="O210" t="s">
        <v>4599</v>
      </c>
      <c r="P210" t="s">
        <v>5223</v>
      </c>
      <c r="Q210" s="671">
        <v>67089</v>
      </c>
      <c r="R210" s="671"/>
      <c r="AT210" s="671"/>
      <c r="AU210" s="671"/>
      <c r="AV210" s="671"/>
      <c r="AW210" s="671"/>
      <c r="BY210" t="s">
        <v>6273</v>
      </c>
      <c r="BZ210" t="s">
        <v>6426</v>
      </c>
      <c r="CA210" s="923">
        <v>0.05</v>
      </c>
      <c r="CB210" s="38">
        <v>0</v>
      </c>
    </row>
    <row r="211" spans="15:80" x14ac:dyDescent="0.25">
      <c r="O211" t="s">
        <v>4575</v>
      </c>
      <c r="P211" t="s">
        <v>5223</v>
      </c>
      <c r="Q211" s="671">
        <v>67079</v>
      </c>
      <c r="R211" s="671"/>
      <c r="AT211" s="671"/>
      <c r="AU211" s="671"/>
      <c r="AV211" s="671"/>
      <c r="AW211" s="671"/>
      <c r="BY211" t="s">
        <v>6274</v>
      </c>
      <c r="BZ211" t="s">
        <v>6424</v>
      </c>
      <c r="CA211" s="923">
        <v>0.1</v>
      </c>
      <c r="CB211" s="38">
        <f t="shared" si="3"/>
        <v>0.1</v>
      </c>
    </row>
    <row r="212" spans="15:80" x14ac:dyDescent="0.25">
      <c r="O212" t="s">
        <v>4577</v>
      </c>
      <c r="P212" t="s">
        <v>5223</v>
      </c>
      <c r="Q212" s="671">
        <v>67079</v>
      </c>
      <c r="R212" s="671"/>
      <c r="AT212" s="671"/>
      <c r="AU212" s="671"/>
      <c r="AV212" s="671"/>
      <c r="AW212" s="671"/>
      <c r="BY212" t="s">
        <v>6275</v>
      </c>
      <c r="BZ212" t="s">
        <v>6424</v>
      </c>
      <c r="CA212" s="923">
        <v>0.1</v>
      </c>
      <c r="CB212" s="38">
        <f t="shared" si="3"/>
        <v>0.1</v>
      </c>
    </row>
    <row r="213" spans="15:80" x14ac:dyDescent="0.25">
      <c r="O213" t="s">
        <v>4581</v>
      </c>
      <c r="P213" t="s">
        <v>5223</v>
      </c>
      <c r="Q213" s="671">
        <v>67079</v>
      </c>
      <c r="R213" s="671"/>
      <c r="AT213" s="671"/>
      <c r="AU213" s="671"/>
      <c r="AV213" s="671"/>
      <c r="AW213" s="671"/>
      <c r="BY213" t="s">
        <v>6276</v>
      </c>
      <c r="BZ213" t="s">
        <v>6512</v>
      </c>
      <c r="CA213" s="923">
        <v>0.03</v>
      </c>
      <c r="CB213" s="38">
        <f t="shared" si="3"/>
        <v>0.06</v>
      </c>
    </row>
    <row r="214" spans="15:80" x14ac:dyDescent="0.25">
      <c r="O214" t="s">
        <v>4581</v>
      </c>
      <c r="P214" t="s">
        <v>5223</v>
      </c>
      <c r="Q214" s="671">
        <v>67079</v>
      </c>
      <c r="R214" s="671"/>
      <c r="AT214" s="671"/>
      <c r="AU214" s="671"/>
      <c r="AV214" s="671"/>
      <c r="AW214" s="671"/>
      <c r="BY214" t="s">
        <v>6277</v>
      </c>
      <c r="BZ214" t="s">
        <v>6426</v>
      </c>
      <c r="CA214" s="923">
        <v>0.05</v>
      </c>
      <c r="CB214" s="38">
        <v>0</v>
      </c>
    </row>
    <row r="215" spans="15:80" x14ac:dyDescent="0.25">
      <c r="O215" t="s">
        <v>4571</v>
      </c>
      <c r="P215" t="s">
        <v>5223</v>
      </c>
      <c r="Q215" s="671">
        <v>65258</v>
      </c>
      <c r="R215" s="671"/>
      <c r="AT215" s="671"/>
      <c r="AU215" s="671"/>
      <c r="AV215" s="671"/>
      <c r="AW215" s="671"/>
      <c r="BY215" t="s">
        <v>6278</v>
      </c>
      <c r="BZ215" t="s">
        <v>6513</v>
      </c>
      <c r="CA215" s="923">
        <v>0.05</v>
      </c>
      <c r="CB215" s="38">
        <v>0</v>
      </c>
    </row>
    <row r="216" spans="15:80" x14ac:dyDescent="0.25">
      <c r="O216" t="s">
        <v>4571</v>
      </c>
      <c r="P216" t="s">
        <v>5223</v>
      </c>
      <c r="Q216" s="671">
        <v>65258</v>
      </c>
      <c r="R216" s="671"/>
      <c r="AT216" s="671"/>
      <c r="AU216" s="671"/>
      <c r="AV216" s="671"/>
      <c r="AW216" s="671"/>
      <c r="BY216" t="s">
        <v>6279</v>
      </c>
      <c r="BZ216" t="s">
        <v>6514</v>
      </c>
      <c r="CA216" s="923">
        <v>0.12</v>
      </c>
      <c r="CB216" s="38">
        <v>0</v>
      </c>
    </row>
    <row r="217" spans="15:80" x14ac:dyDescent="0.25">
      <c r="O217" t="s">
        <v>4593</v>
      </c>
      <c r="P217" t="s">
        <v>5223</v>
      </c>
      <c r="Q217" s="671">
        <v>67079</v>
      </c>
      <c r="R217" s="671"/>
      <c r="AT217" s="671"/>
      <c r="AU217" s="671"/>
      <c r="AV217" s="671"/>
      <c r="AW217" s="671"/>
      <c r="BY217" t="s">
        <v>6280</v>
      </c>
      <c r="BZ217" t="s">
        <v>6433</v>
      </c>
      <c r="CA217" s="923">
        <v>0.08</v>
      </c>
      <c r="CB217" s="38">
        <f t="shared" si="3"/>
        <v>0.05</v>
      </c>
    </row>
    <row r="218" spans="15:80" x14ac:dyDescent="0.25">
      <c r="O218" t="s">
        <v>4593</v>
      </c>
      <c r="P218" t="s">
        <v>5223</v>
      </c>
      <c r="Q218" s="671">
        <v>67079</v>
      </c>
      <c r="R218" s="671"/>
      <c r="AT218" s="671"/>
      <c r="AU218" s="671"/>
      <c r="AV218" s="671"/>
      <c r="AW218" s="671"/>
      <c r="BY218" t="s">
        <v>6281</v>
      </c>
      <c r="BZ218" t="s">
        <v>6426</v>
      </c>
      <c r="CA218" s="923">
        <v>0.05</v>
      </c>
      <c r="CB218" s="38">
        <v>0</v>
      </c>
    </row>
    <row r="219" spans="15:80" x14ac:dyDescent="0.25">
      <c r="O219" t="s">
        <v>4593</v>
      </c>
      <c r="P219" t="s">
        <v>5223</v>
      </c>
      <c r="Q219" s="671">
        <v>67079</v>
      </c>
      <c r="R219" s="671"/>
      <c r="AT219" s="671"/>
      <c r="AU219" s="671"/>
      <c r="AV219" s="671"/>
      <c r="AW219" s="671"/>
      <c r="BY219" t="s">
        <v>6282</v>
      </c>
      <c r="BZ219" t="s">
        <v>6515</v>
      </c>
      <c r="CA219" s="923">
        <v>0.05</v>
      </c>
      <c r="CB219" s="38">
        <f t="shared" si="3"/>
        <v>0.05</v>
      </c>
    </row>
    <row r="220" spans="15:80" x14ac:dyDescent="0.25">
      <c r="O220" t="s">
        <v>4593</v>
      </c>
      <c r="P220" t="s">
        <v>5223</v>
      </c>
      <c r="Q220" s="671">
        <v>67079</v>
      </c>
      <c r="R220" s="671"/>
      <c r="AT220" s="671"/>
      <c r="AU220" s="671"/>
      <c r="AV220" s="671"/>
      <c r="AW220" s="671"/>
      <c r="BY220" t="s">
        <v>6283</v>
      </c>
      <c r="BZ220" t="s">
        <v>6502</v>
      </c>
      <c r="CA220" s="923">
        <v>0.05</v>
      </c>
      <c r="CB220" s="38">
        <v>0</v>
      </c>
    </row>
    <row r="221" spans="15:80" x14ac:dyDescent="0.25">
      <c r="O221" t="s">
        <v>4593</v>
      </c>
      <c r="P221" t="s">
        <v>5223</v>
      </c>
      <c r="Q221" s="671">
        <v>67079</v>
      </c>
      <c r="R221" s="671"/>
      <c r="AT221" s="671"/>
      <c r="AU221" s="671"/>
      <c r="AV221" s="671"/>
      <c r="AW221" s="671"/>
      <c r="BY221" t="s">
        <v>6284</v>
      </c>
      <c r="BZ221" t="s">
        <v>6516</v>
      </c>
      <c r="CA221" s="923">
        <v>7.0000000000000007E-2</v>
      </c>
      <c r="CB221" s="38">
        <v>0</v>
      </c>
    </row>
    <row r="222" spans="15:80" x14ac:dyDescent="0.25">
      <c r="O222" t="s">
        <v>4595</v>
      </c>
      <c r="P222" t="s">
        <v>5223</v>
      </c>
      <c r="Q222" s="671">
        <v>67079</v>
      </c>
      <c r="R222" s="671"/>
      <c r="AT222" s="671"/>
      <c r="AU222" s="671"/>
      <c r="AV222" s="671"/>
      <c r="AW222" s="671"/>
      <c r="BY222" t="s">
        <v>6285</v>
      </c>
      <c r="BZ222" t="s">
        <v>6114</v>
      </c>
      <c r="CA222" s="923">
        <v>0</v>
      </c>
      <c r="CB222" s="38">
        <v>0</v>
      </c>
    </row>
    <row r="223" spans="15:80" x14ac:dyDescent="0.25">
      <c r="O223" t="s">
        <v>4595</v>
      </c>
      <c r="P223" t="s">
        <v>5223</v>
      </c>
      <c r="Q223" s="671">
        <v>67079</v>
      </c>
      <c r="R223" s="671"/>
      <c r="AT223" s="671"/>
      <c r="AU223" s="671"/>
      <c r="AV223" s="671"/>
      <c r="AW223" s="671"/>
      <c r="BY223" t="s">
        <v>6286</v>
      </c>
      <c r="BZ223" t="s">
        <v>6472</v>
      </c>
      <c r="CA223" s="923">
        <v>0.1</v>
      </c>
      <c r="CB223" s="38">
        <f t="shared" si="3"/>
        <v>0.1</v>
      </c>
    </row>
    <row r="224" spans="15:80" x14ac:dyDescent="0.25">
      <c r="O224" t="s">
        <v>4595</v>
      </c>
      <c r="P224" t="s">
        <v>5223</v>
      </c>
      <c r="Q224" s="671">
        <v>67079</v>
      </c>
      <c r="R224" s="671"/>
      <c r="AT224" s="671"/>
      <c r="AU224" s="671"/>
      <c r="AV224" s="671"/>
      <c r="AW224" s="671"/>
      <c r="BY224" t="s">
        <v>6287</v>
      </c>
      <c r="BZ224" t="s">
        <v>6453</v>
      </c>
      <c r="CA224" s="923">
        <v>0.1</v>
      </c>
      <c r="CB224" s="38">
        <v>0</v>
      </c>
    </row>
    <row r="225" spans="15:80" x14ac:dyDescent="0.25">
      <c r="O225" t="s">
        <v>4595</v>
      </c>
      <c r="P225" t="s">
        <v>5223</v>
      </c>
      <c r="Q225" s="671">
        <v>67079</v>
      </c>
      <c r="R225" s="671"/>
      <c r="AT225" s="671"/>
      <c r="AU225" s="671"/>
      <c r="AV225" s="671"/>
      <c r="AW225" s="671"/>
      <c r="BY225" t="s">
        <v>6288</v>
      </c>
      <c r="BZ225" t="s">
        <v>6444</v>
      </c>
      <c r="CA225" s="923">
        <v>0.04</v>
      </c>
      <c r="CB225" s="38">
        <f t="shared" si="3"/>
        <v>0.04</v>
      </c>
    </row>
    <row r="226" spans="15:80" x14ac:dyDescent="0.25">
      <c r="O226" t="s">
        <v>4591</v>
      </c>
      <c r="P226" t="s">
        <v>5223</v>
      </c>
      <c r="Q226" s="671">
        <v>67079</v>
      </c>
      <c r="R226" s="671"/>
      <c r="AT226" s="671"/>
      <c r="AU226" s="671"/>
      <c r="AV226" s="671"/>
      <c r="AW226" s="671"/>
      <c r="BY226" t="s">
        <v>6289</v>
      </c>
      <c r="BZ226" t="s">
        <v>6482</v>
      </c>
      <c r="CA226" s="923">
        <v>0.04</v>
      </c>
      <c r="CB226" s="38">
        <f t="shared" si="3"/>
        <v>0.05</v>
      </c>
    </row>
    <row r="227" spans="15:80" x14ac:dyDescent="0.25">
      <c r="O227" t="s">
        <v>4591</v>
      </c>
      <c r="P227" t="s">
        <v>5223</v>
      </c>
      <c r="Q227" s="671">
        <v>67079</v>
      </c>
      <c r="R227" s="671"/>
      <c r="AT227" s="671"/>
      <c r="AU227" s="671"/>
      <c r="AV227" s="671"/>
      <c r="AW227" s="671"/>
      <c r="BY227" t="s">
        <v>6290</v>
      </c>
      <c r="BZ227" t="s">
        <v>6442</v>
      </c>
      <c r="CA227" s="923">
        <v>9.5000000000000001E-2</v>
      </c>
      <c r="CB227" s="38">
        <f t="shared" si="3"/>
        <v>0.05</v>
      </c>
    </row>
    <row r="228" spans="15:80" x14ac:dyDescent="0.25">
      <c r="O228" t="s">
        <v>4587</v>
      </c>
      <c r="P228" t="s">
        <v>5223</v>
      </c>
      <c r="Q228" s="671">
        <v>67079</v>
      </c>
      <c r="R228" s="671"/>
      <c r="AT228" s="671"/>
      <c r="AU228" s="671"/>
      <c r="AV228" s="671"/>
      <c r="AW228" s="671"/>
      <c r="BY228" t="s">
        <v>6291</v>
      </c>
      <c r="BZ228" t="s">
        <v>6439</v>
      </c>
      <c r="CA228" s="923">
        <v>9.1999999999999998E-2</v>
      </c>
      <c r="CB228" s="38">
        <v>0</v>
      </c>
    </row>
    <row r="229" spans="15:80" x14ac:dyDescent="0.25">
      <c r="O229" t="s">
        <v>4583</v>
      </c>
      <c r="P229" t="s">
        <v>5223</v>
      </c>
      <c r="Q229" s="671">
        <v>67079</v>
      </c>
      <c r="R229" s="671"/>
      <c r="AT229" s="671"/>
      <c r="AU229" s="671"/>
      <c r="AV229" s="671"/>
      <c r="AW229" s="671"/>
      <c r="BY229" t="s">
        <v>6292</v>
      </c>
      <c r="BZ229" t="s">
        <v>6492</v>
      </c>
      <c r="CA229" s="923">
        <v>9.5000000000000001E-2</v>
      </c>
      <c r="CB229" s="38">
        <v>0</v>
      </c>
    </row>
    <row r="230" spans="15:80" x14ac:dyDescent="0.25">
      <c r="O230" t="s">
        <v>1274</v>
      </c>
      <c r="P230" t="s">
        <v>5224</v>
      </c>
      <c r="Q230" s="671">
        <v>61515</v>
      </c>
      <c r="R230" s="671"/>
      <c r="AT230" s="671"/>
      <c r="AU230" s="671"/>
      <c r="AV230" s="671"/>
      <c r="AW230" s="671"/>
      <c r="BY230" t="s">
        <v>6293</v>
      </c>
      <c r="BZ230" t="s">
        <v>6426</v>
      </c>
      <c r="CA230" s="923">
        <v>0.05</v>
      </c>
      <c r="CB230" s="38">
        <v>0</v>
      </c>
    </row>
    <row r="231" spans="15:80" x14ac:dyDescent="0.25">
      <c r="O231" t="s">
        <v>1274</v>
      </c>
      <c r="P231" t="s">
        <v>5224</v>
      </c>
      <c r="Q231" s="671">
        <v>61515</v>
      </c>
      <c r="R231" s="671"/>
      <c r="AT231" s="671"/>
      <c r="AU231" s="671"/>
      <c r="AV231" s="671"/>
      <c r="AW231" s="671"/>
      <c r="BY231" t="s">
        <v>6294</v>
      </c>
      <c r="BZ231" t="s">
        <v>6472</v>
      </c>
      <c r="CA231" s="923">
        <v>0.1</v>
      </c>
      <c r="CB231" s="38">
        <f t="shared" si="3"/>
        <v>0.1</v>
      </c>
    </row>
    <row r="232" spans="15:80" x14ac:dyDescent="0.25">
      <c r="O232" t="s">
        <v>1274</v>
      </c>
      <c r="P232" t="s">
        <v>5224</v>
      </c>
      <c r="Q232" s="671">
        <v>61515</v>
      </c>
      <c r="R232" s="671"/>
      <c r="AT232" s="671"/>
      <c r="AU232" s="671"/>
      <c r="AV232" s="671"/>
      <c r="AW232" s="671"/>
      <c r="BY232" t="s">
        <v>6295</v>
      </c>
      <c r="BZ232" t="s">
        <v>6454</v>
      </c>
      <c r="CA232" s="923">
        <v>0.12</v>
      </c>
      <c r="CB232" s="38">
        <v>0</v>
      </c>
    </row>
    <row r="233" spans="15:80" x14ac:dyDescent="0.25">
      <c r="O233" t="s">
        <v>1274</v>
      </c>
      <c r="P233" t="s">
        <v>5224</v>
      </c>
      <c r="Q233" s="671">
        <v>61515</v>
      </c>
      <c r="R233" s="671"/>
      <c r="AT233" s="671"/>
      <c r="AU233" s="671"/>
      <c r="AV233" s="671"/>
      <c r="AW233" s="671"/>
      <c r="BY233" t="s">
        <v>6296</v>
      </c>
      <c r="BZ233" t="s">
        <v>6430</v>
      </c>
      <c r="CA233" s="923">
        <v>0.08</v>
      </c>
      <c r="CB233" s="38">
        <v>0</v>
      </c>
    </row>
    <row r="234" spans="15:80" x14ac:dyDescent="0.25">
      <c r="O234" t="s">
        <v>1274</v>
      </c>
      <c r="P234" t="s">
        <v>5224</v>
      </c>
      <c r="Q234" s="671">
        <v>61515</v>
      </c>
      <c r="R234" s="671"/>
      <c r="AT234" s="671"/>
      <c r="AU234" s="671"/>
      <c r="AV234" s="671"/>
      <c r="AW234" s="671"/>
      <c r="BY234" t="s">
        <v>6297</v>
      </c>
      <c r="BZ234" t="s">
        <v>6424</v>
      </c>
      <c r="CA234" s="923">
        <v>0.15</v>
      </c>
      <c r="CB234" s="38">
        <f t="shared" si="3"/>
        <v>0.1</v>
      </c>
    </row>
    <row r="235" spans="15:80" x14ac:dyDescent="0.25">
      <c r="O235" t="s">
        <v>1274</v>
      </c>
      <c r="P235" t="s">
        <v>5224</v>
      </c>
      <c r="Q235" s="671">
        <v>61515</v>
      </c>
      <c r="R235" s="671"/>
      <c r="AT235" s="671"/>
      <c r="AU235" s="671"/>
      <c r="AV235" s="671"/>
      <c r="AW235" s="671"/>
      <c r="BY235" t="s">
        <v>6298</v>
      </c>
      <c r="BZ235" t="s">
        <v>6500</v>
      </c>
      <c r="CA235" s="923">
        <v>6.5000000000000002E-2</v>
      </c>
      <c r="CB235" s="38">
        <v>0</v>
      </c>
    </row>
    <row r="236" spans="15:80" x14ac:dyDescent="0.25">
      <c r="O236" t="s">
        <v>1268</v>
      </c>
      <c r="P236" t="s">
        <v>5224</v>
      </c>
      <c r="Q236" s="671">
        <v>61515</v>
      </c>
      <c r="R236" s="671"/>
      <c r="AT236" s="671"/>
      <c r="AU236" s="671"/>
      <c r="AV236" s="671"/>
      <c r="AW236" s="671"/>
      <c r="BY236" t="s">
        <v>6299</v>
      </c>
      <c r="BZ236" t="s">
        <v>6426</v>
      </c>
      <c r="CA236" s="923">
        <v>0.05</v>
      </c>
      <c r="CB236" s="38">
        <v>0</v>
      </c>
    </row>
    <row r="237" spans="15:80" x14ac:dyDescent="0.25">
      <c r="O237" t="s">
        <v>1268</v>
      </c>
      <c r="P237" t="s">
        <v>5224</v>
      </c>
      <c r="Q237" s="671">
        <v>61515</v>
      </c>
      <c r="R237" s="671"/>
      <c r="AT237" s="671"/>
      <c r="AU237" s="671"/>
      <c r="AV237" s="671"/>
      <c r="AW237" s="671"/>
      <c r="BY237" t="s">
        <v>6300</v>
      </c>
      <c r="BZ237" t="s">
        <v>6514</v>
      </c>
      <c r="CA237" s="923">
        <v>0.09</v>
      </c>
      <c r="CB237" s="38">
        <v>0</v>
      </c>
    </row>
    <row r="238" spans="15:80" x14ac:dyDescent="0.25">
      <c r="O238" t="s">
        <v>1268</v>
      </c>
      <c r="P238" t="s">
        <v>5224</v>
      </c>
      <c r="Q238" s="671">
        <v>61515</v>
      </c>
      <c r="R238" s="671"/>
      <c r="AT238" s="671"/>
      <c r="AU238" s="671"/>
      <c r="AV238" s="671"/>
      <c r="AW238" s="671"/>
      <c r="BY238" t="s">
        <v>6301</v>
      </c>
      <c r="BZ238" t="s">
        <v>6426</v>
      </c>
      <c r="CA238" s="923">
        <v>0.05</v>
      </c>
      <c r="CB238" s="38">
        <v>0</v>
      </c>
    </row>
    <row r="239" spans="15:80" x14ac:dyDescent="0.25">
      <c r="O239" t="s">
        <v>1268</v>
      </c>
      <c r="P239" t="s">
        <v>5224</v>
      </c>
      <c r="Q239" s="671">
        <v>61515</v>
      </c>
      <c r="R239" s="671"/>
      <c r="AT239" s="671"/>
      <c r="AU239" s="671"/>
      <c r="AV239" s="671"/>
      <c r="AW239" s="671"/>
      <c r="BY239" t="s">
        <v>6302</v>
      </c>
      <c r="BZ239" t="s">
        <v>6472</v>
      </c>
      <c r="CA239" s="923">
        <v>0.1</v>
      </c>
      <c r="CB239" s="38">
        <f t="shared" si="3"/>
        <v>0.1</v>
      </c>
    </row>
    <row r="240" spans="15:80" x14ac:dyDescent="0.25">
      <c r="O240" t="s">
        <v>1262</v>
      </c>
      <c r="P240" t="s">
        <v>5224</v>
      </c>
      <c r="Q240" s="671">
        <v>61515</v>
      </c>
      <c r="R240" s="671"/>
      <c r="AT240" s="671"/>
      <c r="AU240" s="671"/>
      <c r="AV240" s="671"/>
      <c r="AW240" s="671"/>
      <c r="BY240" t="s">
        <v>6303</v>
      </c>
      <c r="BZ240" t="s">
        <v>6426</v>
      </c>
      <c r="CA240" s="923">
        <v>0.05</v>
      </c>
      <c r="CB240" s="38">
        <v>0</v>
      </c>
    </row>
    <row r="241" spans="15:80" x14ac:dyDescent="0.25">
      <c r="O241" t="s">
        <v>1258</v>
      </c>
      <c r="P241" t="s">
        <v>5224</v>
      </c>
      <c r="Q241" s="671">
        <v>61515</v>
      </c>
      <c r="R241" s="671"/>
      <c r="AT241" s="671"/>
      <c r="AU241" s="671"/>
      <c r="AV241" s="671"/>
      <c r="AW241" s="671"/>
      <c r="BY241" t="s">
        <v>6304</v>
      </c>
      <c r="BZ241" t="s">
        <v>6470</v>
      </c>
      <c r="CA241" s="923">
        <v>0.1</v>
      </c>
      <c r="CB241" s="38">
        <v>0</v>
      </c>
    </row>
    <row r="242" spans="15:80" x14ac:dyDescent="0.25">
      <c r="O242" t="s">
        <v>1258</v>
      </c>
      <c r="P242" t="s">
        <v>5224</v>
      </c>
      <c r="Q242" s="671">
        <v>61515</v>
      </c>
      <c r="R242" s="671"/>
      <c r="AT242" s="671"/>
      <c r="AU242" s="671"/>
      <c r="AV242" s="671"/>
      <c r="AW242" s="671"/>
      <c r="BY242" t="s">
        <v>6305</v>
      </c>
      <c r="BZ242" t="s">
        <v>6441</v>
      </c>
      <c r="CA242" s="923">
        <v>0.05</v>
      </c>
      <c r="CB242" s="38">
        <v>0</v>
      </c>
    </row>
    <row r="243" spans="15:80" x14ac:dyDescent="0.25">
      <c r="O243" t="s">
        <v>1251</v>
      </c>
      <c r="P243" t="s">
        <v>5224</v>
      </c>
      <c r="Q243" s="671">
        <v>61515</v>
      </c>
      <c r="R243" s="671"/>
      <c r="AT243" s="671"/>
      <c r="AU243" s="671"/>
      <c r="AV243" s="671"/>
      <c r="AW243" s="671"/>
      <c r="BY243" t="s">
        <v>6306</v>
      </c>
      <c r="BZ243" t="s">
        <v>6426</v>
      </c>
      <c r="CA243" s="923">
        <v>0.05</v>
      </c>
      <c r="CB243" s="38">
        <v>0</v>
      </c>
    </row>
    <row r="244" spans="15:80" x14ac:dyDescent="0.25">
      <c r="O244" t="s">
        <v>1251</v>
      </c>
      <c r="P244" t="s">
        <v>5224</v>
      </c>
      <c r="Q244" s="671">
        <v>61515</v>
      </c>
      <c r="R244" s="671"/>
      <c r="AT244" s="671"/>
      <c r="AU244" s="671"/>
      <c r="AV244" s="671"/>
      <c r="AW244" s="671"/>
      <c r="BY244" t="s">
        <v>6307</v>
      </c>
      <c r="BZ244" t="s">
        <v>6489</v>
      </c>
      <c r="CA244" s="923">
        <v>0.08</v>
      </c>
      <c r="CB244" s="38">
        <f t="shared" si="3"/>
        <v>4.4999999999999998E-2</v>
      </c>
    </row>
    <row r="245" spans="15:80" x14ac:dyDescent="0.25">
      <c r="O245" t="s">
        <v>1266</v>
      </c>
      <c r="P245" t="s">
        <v>5224</v>
      </c>
      <c r="Q245" s="671">
        <v>61515</v>
      </c>
      <c r="R245" s="671"/>
      <c r="AT245" s="671"/>
      <c r="AU245" s="671"/>
      <c r="AV245" s="671"/>
      <c r="AW245" s="671"/>
      <c r="BY245" t="s">
        <v>6308</v>
      </c>
      <c r="BZ245" t="s">
        <v>6469</v>
      </c>
      <c r="CA245" s="923">
        <v>0.1</v>
      </c>
      <c r="CB245" s="38">
        <f t="shared" si="3"/>
        <v>0.1</v>
      </c>
    </row>
    <row r="246" spans="15:80" x14ac:dyDescent="0.25">
      <c r="O246" t="s">
        <v>1266</v>
      </c>
      <c r="P246" t="s">
        <v>5224</v>
      </c>
      <c r="Q246" s="671">
        <v>61515</v>
      </c>
      <c r="R246" s="671"/>
      <c r="AT246" s="671"/>
      <c r="AU246" s="671"/>
      <c r="AV246" s="671"/>
      <c r="AW246" s="671"/>
      <c r="BY246" t="s">
        <v>6309</v>
      </c>
      <c r="BZ246" t="s">
        <v>6517</v>
      </c>
      <c r="CA246" s="923">
        <v>0.08</v>
      </c>
      <c r="CB246" s="38">
        <f t="shared" si="3"/>
        <v>8.8999999999999996E-2</v>
      </c>
    </row>
    <row r="247" spans="15:80" x14ac:dyDescent="0.25">
      <c r="O247" t="s">
        <v>1266</v>
      </c>
      <c r="P247" t="s">
        <v>5224</v>
      </c>
      <c r="Q247" s="671">
        <v>61515</v>
      </c>
      <c r="R247" s="671"/>
      <c r="AT247" s="671"/>
      <c r="AU247" s="671"/>
      <c r="AV247" s="671"/>
      <c r="AW247" s="671"/>
      <c r="BY247" t="s">
        <v>6310</v>
      </c>
      <c r="BZ247" t="s">
        <v>6518</v>
      </c>
      <c r="CA247" s="923">
        <v>0.08</v>
      </c>
      <c r="CB247" s="38">
        <v>0</v>
      </c>
    </row>
    <row r="248" spans="15:80" x14ac:dyDescent="0.25">
      <c r="O248" t="s">
        <v>1266</v>
      </c>
      <c r="P248" t="s">
        <v>5224</v>
      </c>
      <c r="Q248" s="671">
        <v>61515</v>
      </c>
      <c r="R248" s="671"/>
      <c r="AT248" s="671"/>
      <c r="AU248" s="671"/>
      <c r="AV248" s="671"/>
      <c r="AW248" s="671"/>
      <c r="BY248" t="s">
        <v>6311</v>
      </c>
      <c r="BZ248" t="s">
        <v>6519</v>
      </c>
      <c r="CA248" s="923">
        <v>0.06</v>
      </c>
      <c r="CB248" s="38">
        <v>0</v>
      </c>
    </row>
    <row r="249" spans="15:80" x14ac:dyDescent="0.25">
      <c r="O249" t="s">
        <v>1294</v>
      </c>
      <c r="P249" t="s">
        <v>5225</v>
      </c>
      <c r="Q249" s="671">
        <v>61516</v>
      </c>
      <c r="R249" s="671"/>
      <c r="AT249" s="671"/>
      <c r="AU249" s="671"/>
      <c r="AV249" s="671"/>
      <c r="AW249" s="671"/>
      <c r="BY249" t="s">
        <v>6312</v>
      </c>
      <c r="BZ249" t="s">
        <v>6520</v>
      </c>
      <c r="CA249" s="923">
        <v>0.08</v>
      </c>
      <c r="CB249" s="38">
        <v>0</v>
      </c>
    </row>
    <row r="250" spans="15:80" x14ac:dyDescent="0.25">
      <c r="O250" t="s">
        <v>1294</v>
      </c>
      <c r="P250" t="s">
        <v>5225</v>
      </c>
      <c r="Q250" s="671">
        <v>61516</v>
      </c>
      <c r="R250" s="671"/>
      <c r="AT250" s="671"/>
      <c r="AU250" s="671"/>
      <c r="AV250" s="671"/>
      <c r="AW250" s="671"/>
      <c r="BY250" t="s">
        <v>6313</v>
      </c>
      <c r="BZ250" t="s">
        <v>6514</v>
      </c>
      <c r="CA250" s="923">
        <v>0.1</v>
      </c>
      <c r="CB250" s="38">
        <v>0</v>
      </c>
    </row>
    <row r="251" spans="15:80" x14ac:dyDescent="0.25">
      <c r="O251" t="s">
        <v>1294</v>
      </c>
      <c r="P251" t="s">
        <v>5225</v>
      </c>
      <c r="Q251" s="671">
        <v>61516</v>
      </c>
      <c r="R251" s="671"/>
      <c r="AT251" s="671"/>
      <c r="AU251" s="671"/>
      <c r="AV251" s="671"/>
      <c r="AW251" s="671"/>
      <c r="BY251" t="s">
        <v>6314</v>
      </c>
      <c r="BZ251" t="s">
        <v>6459</v>
      </c>
      <c r="CA251" s="923">
        <v>0.08</v>
      </c>
      <c r="CB251" s="38">
        <v>0</v>
      </c>
    </row>
    <row r="252" spans="15:80" x14ac:dyDescent="0.25">
      <c r="O252" t="s">
        <v>1294</v>
      </c>
      <c r="P252" t="s">
        <v>5225</v>
      </c>
      <c r="Q252" s="671">
        <v>61516</v>
      </c>
      <c r="R252" s="671"/>
      <c r="AT252" s="671"/>
      <c r="AU252" s="671"/>
      <c r="AV252" s="671"/>
      <c r="AW252" s="671"/>
      <c r="BY252" t="s">
        <v>6315</v>
      </c>
      <c r="BZ252" t="s">
        <v>6445</v>
      </c>
      <c r="CA252" s="923">
        <v>0.1</v>
      </c>
      <c r="CB252" s="38">
        <f t="shared" si="3"/>
        <v>0.08</v>
      </c>
    </row>
    <row r="253" spans="15:80" x14ac:dyDescent="0.25">
      <c r="O253" t="s">
        <v>1290</v>
      </c>
      <c r="P253" t="s">
        <v>5225</v>
      </c>
      <c r="Q253" s="671">
        <v>61516</v>
      </c>
      <c r="R253" s="671"/>
      <c r="AT253" s="671"/>
      <c r="AU253" s="671"/>
      <c r="AV253" s="671"/>
      <c r="AW253" s="671"/>
      <c r="BY253" t="s">
        <v>6316</v>
      </c>
      <c r="BZ253" t="s">
        <v>6426</v>
      </c>
      <c r="CA253" s="923">
        <v>0.05</v>
      </c>
      <c r="CB253" s="38">
        <v>0</v>
      </c>
    </row>
    <row r="254" spans="15:80" x14ac:dyDescent="0.25">
      <c r="O254" t="s">
        <v>1302</v>
      </c>
      <c r="P254" t="s">
        <v>5225</v>
      </c>
      <c r="Q254" s="671">
        <v>61516</v>
      </c>
      <c r="R254" s="671"/>
      <c r="AT254" s="671"/>
      <c r="AU254" s="671"/>
      <c r="AV254" s="671"/>
      <c r="AW254" s="671"/>
      <c r="BY254" t="s">
        <v>6317</v>
      </c>
      <c r="BZ254" t="s">
        <v>6470</v>
      </c>
      <c r="CA254" s="923">
        <v>5.5E-2</v>
      </c>
      <c r="CB254" s="38">
        <v>0</v>
      </c>
    </row>
    <row r="255" spans="15:80" x14ac:dyDescent="0.25">
      <c r="O255" t="s">
        <v>1302</v>
      </c>
      <c r="P255" t="s">
        <v>5225</v>
      </c>
      <c r="Q255" s="671">
        <v>61516</v>
      </c>
      <c r="R255" s="671"/>
      <c r="AT255" s="671"/>
      <c r="AU255" s="671"/>
      <c r="AV255" s="671"/>
      <c r="AW255" s="671"/>
      <c r="BY255" t="s">
        <v>6318</v>
      </c>
      <c r="BZ255" t="s">
        <v>6471</v>
      </c>
      <c r="CA255" s="923">
        <v>0.1</v>
      </c>
      <c r="CB255" s="38">
        <v>0</v>
      </c>
    </row>
    <row r="256" spans="15:80" x14ac:dyDescent="0.25">
      <c r="O256" t="s">
        <v>1302</v>
      </c>
      <c r="P256" t="s">
        <v>5225</v>
      </c>
      <c r="Q256" s="671">
        <v>61516</v>
      </c>
      <c r="R256" s="671"/>
      <c r="AT256" s="671"/>
      <c r="AU256" s="671"/>
      <c r="AV256" s="671"/>
      <c r="AW256" s="671"/>
      <c r="BY256" t="s">
        <v>6319</v>
      </c>
      <c r="BZ256" t="s">
        <v>6469</v>
      </c>
      <c r="CA256" s="923">
        <v>0.1</v>
      </c>
      <c r="CB256" s="38">
        <f t="shared" si="3"/>
        <v>0.1</v>
      </c>
    </row>
    <row r="257" spans="15:80" x14ac:dyDescent="0.25">
      <c r="O257" t="s">
        <v>1302</v>
      </c>
      <c r="P257" t="s">
        <v>5225</v>
      </c>
      <c r="Q257" s="671">
        <v>61516</v>
      </c>
      <c r="R257" s="671"/>
      <c r="AT257" s="671"/>
      <c r="AU257" s="671"/>
      <c r="AV257" s="671"/>
      <c r="AW257" s="671"/>
      <c r="BY257" t="s">
        <v>6320</v>
      </c>
      <c r="BZ257" t="s">
        <v>6512</v>
      </c>
      <c r="CA257" s="923">
        <v>0.08</v>
      </c>
      <c r="CB257" s="38">
        <f t="shared" si="3"/>
        <v>0.06</v>
      </c>
    </row>
    <row r="258" spans="15:80" x14ac:dyDescent="0.25">
      <c r="O258" t="s">
        <v>1286</v>
      </c>
      <c r="P258" t="s">
        <v>5225</v>
      </c>
      <c r="Q258" s="671">
        <v>61516</v>
      </c>
      <c r="R258" s="671"/>
      <c r="AT258" s="671"/>
      <c r="AU258" s="671"/>
      <c r="AV258" s="671"/>
      <c r="AW258" s="671"/>
      <c r="BY258" t="s">
        <v>6321</v>
      </c>
      <c r="BZ258" t="s">
        <v>6482</v>
      </c>
      <c r="CA258" s="923">
        <v>0.05</v>
      </c>
      <c r="CB258" s="38">
        <f t="shared" si="3"/>
        <v>0.05</v>
      </c>
    </row>
    <row r="259" spans="15:80" x14ac:dyDescent="0.25">
      <c r="O259" t="s">
        <v>1286</v>
      </c>
      <c r="P259" t="s">
        <v>5225</v>
      </c>
      <c r="Q259" s="671">
        <v>61516</v>
      </c>
      <c r="R259" s="671"/>
      <c r="AT259" s="671"/>
      <c r="AU259" s="671"/>
      <c r="AV259" s="671"/>
      <c r="AW259" s="671"/>
      <c r="BY259" t="s">
        <v>6322</v>
      </c>
      <c r="BZ259" t="s">
        <v>6426</v>
      </c>
      <c r="CA259" s="923">
        <v>0.05</v>
      </c>
      <c r="CB259" s="38">
        <v>0</v>
      </c>
    </row>
    <row r="260" spans="15:80" x14ac:dyDescent="0.25">
      <c r="O260" t="s">
        <v>1286</v>
      </c>
      <c r="P260" t="s">
        <v>5225</v>
      </c>
      <c r="Q260" s="671">
        <v>61516</v>
      </c>
      <c r="R260" s="671"/>
      <c r="AT260" s="671"/>
      <c r="AU260" s="671"/>
      <c r="AV260" s="671"/>
      <c r="AW260" s="671"/>
      <c r="BY260" t="s">
        <v>6323</v>
      </c>
      <c r="BZ260" t="s">
        <v>6454</v>
      </c>
      <c r="CA260" s="923">
        <v>0.1</v>
      </c>
      <c r="CB260" s="38">
        <v>0</v>
      </c>
    </row>
    <row r="261" spans="15:80" x14ac:dyDescent="0.25">
      <c r="O261" t="s">
        <v>1286</v>
      </c>
      <c r="P261" t="s">
        <v>5225</v>
      </c>
      <c r="Q261" s="671">
        <v>61516</v>
      </c>
      <c r="R261" s="671"/>
      <c r="AT261" s="671"/>
      <c r="AU261" s="671"/>
      <c r="AV261" s="671"/>
      <c r="AW261" s="671"/>
      <c r="BY261" t="s">
        <v>6324</v>
      </c>
      <c r="BZ261" t="s">
        <v>6441</v>
      </c>
      <c r="CA261" s="923">
        <v>0.05</v>
      </c>
      <c r="CB261" s="38">
        <v>0</v>
      </c>
    </row>
    <row r="262" spans="15:80" x14ac:dyDescent="0.25">
      <c r="O262" t="s">
        <v>1288</v>
      </c>
      <c r="P262" t="s">
        <v>5225</v>
      </c>
      <c r="Q262" s="671">
        <v>61516</v>
      </c>
      <c r="R262" s="671"/>
      <c r="AT262" s="671"/>
      <c r="AU262" s="671"/>
      <c r="AV262" s="671"/>
      <c r="AW262" s="671"/>
      <c r="BY262" t="s">
        <v>6325</v>
      </c>
      <c r="BZ262" t="s">
        <v>6443</v>
      </c>
      <c r="CA262" s="923">
        <v>0.06</v>
      </c>
      <c r="CB262" s="38">
        <v>0</v>
      </c>
    </row>
    <row r="263" spans="15:80" x14ac:dyDescent="0.25">
      <c r="O263" t="s">
        <v>1288</v>
      </c>
      <c r="P263" t="s">
        <v>5225</v>
      </c>
      <c r="Q263" s="671">
        <v>61516</v>
      </c>
      <c r="R263" s="671"/>
      <c r="AT263" s="671"/>
      <c r="AU263" s="671"/>
      <c r="AV263" s="671"/>
      <c r="AW263" s="671"/>
      <c r="BY263" t="s">
        <v>6326</v>
      </c>
      <c r="BZ263" t="s">
        <v>6425</v>
      </c>
      <c r="CA263" s="923">
        <v>0.08</v>
      </c>
      <c r="CB263" s="38">
        <v>0</v>
      </c>
    </row>
    <row r="264" spans="15:80" x14ac:dyDescent="0.25">
      <c r="O264" t="s">
        <v>1288</v>
      </c>
      <c r="P264" t="s">
        <v>5225</v>
      </c>
      <c r="Q264" s="671">
        <v>61516</v>
      </c>
      <c r="R264" s="671"/>
      <c r="AT264" s="671"/>
      <c r="AU264" s="671"/>
      <c r="AV264" s="671"/>
      <c r="AW264" s="671"/>
      <c r="BY264" t="s">
        <v>6327</v>
      </c>
      <c r="BZ264" t="s">
        <v>6458</v>
      </c>
      <c r="CA264" s="923">
        <v>0.06</v>
      </c>
      <c r="CB264" s="38">
        <v>0</v>
      </c>
    </row>
    <row r="265" spans="15:80" x14ac:dyDescent="0.25">
      <c r="O265" t="s">
        <v>1280</v>
      </c>
      <c r="P265" t="s">
        <v>5225</v>
      </c>
      <c r="Q265" s="671">
        <v>61516</v>
      </c>
      <c r="R265" s="671"/>
      <c r="AT265" s="671"/>
      <c r="AU265" s="671"/>
      <c r="AV265" s="671"/>
      <c r="AW265" s="671"/>
      <c r="BY265" t="s">
        <v>6328</v>
      </c>
      <c r="BZ265" t="s">
        <v>6473</v>
      </c>
      <c r="CA265" s="923">
        <v>0.05</v>
      </c>
      <c r="CB265" s="38">
        <v>0</v>
      </c>
    </row>
    <row r="266" spans="15:80" x14ac:dyDescent="0.25">
      <c r="O266" t="s">
        <v>1280</v>
      </c>
      <c r="P266" t="s">
        <v>5225</v>
      </c>
      <c r="Q266" s="671">
        <v>61516</v>
      </c>
      <c r="R266" s="671"/>
      <c r="AT266" s="671"/>
      <c r="AU266" s="671"/>
      <c r="AV266" s="671"/>
      <c r="AW266" s="671"/>
      <c r="BY266" t="s">
        <v>6329</v>
      </c>
      <c r="BZ266" t="s">
        <v>6426</v>
      </c>
      <c r="CA266" s="923">
        <v>7.0000000000000007E-2</v>
      </c>
      <c r="CB266" s="38">
        <v>0</v>
      </c>
    </row>
    <row r="267" spans="15:80" x14ac:dyDescent="0.25">
      <c r="O267" t="s">
        <v>1280</v>
      </c>
      <c r="P267" t="s">
        <v>5225</v>
      </c>
      <c r="Q267" s="671">
        <v>61516</v>
      </c>
      <c r="R267" s="671"/>
      <c r="AT267" s="671"/>
      <c r="AU267" s="671"/>
      <c r="AV267" s="671"/>
      <c r="AW267" s="671"/>
      <c r="BY267" t="s">
        <v>6330</v>
      </c>
      <c r="BZ267" t="s">
        <v>6460</v>
      </c>
      <c r="CA267" s="923">
        <v>7.4999999999999997E-2</v>
      </c>
      <c r="CB267" s="38">
        <v>0</v>
      </c>
    </row>
    <row r="268" spans="15:80" x14ac:dyDescent="0.25">
      <c r="O268" t="s">
        <v>1280</v>
      </c>
      <c r="P268" t="s">
        <v>5225</v>
      </c>
      <c r="Q268" s="671">
        <v>61516</v>
      </c>
      <c r="R268" s="671"/>
      <c r="AT268" s="671"/>
      <c r="AU268" s="671"/>
      <c r="AV268" s="671"/>
      <c r="AW268" s="671"/>
      <c r="BY268" t="s">
        <v>6331</v>
      </c>
      <c r="BZ268" t="s">
        <v>6202</v>
      </c>
      <c r="CA268" s="923">
        <v>0.08</v>
      </c>
      <c r="CB268" s="38">
        <v>0</v>
      </c>
    </row>
    <row r="269" spans="15:80" x14ac:dyDescent="0.25">
      <c r="O269" t="s">
        <v>1332</v>
      </c>
      <c r="P269" t="s">
        <v>5215</v>
      </c>
      <c r="Q269" s="671">
        <v>61517</v>
      </c>
      <c r="R269" s="671"/>
      <c r="AT269" s="671"/>
      <c r="AU269" s="671"/>
      <c r="AV269" s="671"/>
      <c r="AW269" s="671"/>
      <c r="BY269" t="s">
        <v>6332</v>
      </c>
      <c r="BZ269" t="s">
        <v>6477</v>
      </c>
      <c r="CA269" s="923">
        <v>0.11</v>
      </c>
      <c r="CB269" s="38">
        <v>0</v>
      </c>
    </row>
    <row r="270" spans="15:80" x14ac:dyDescent="0.25">
      <c r="O270" t="s">
        <v>1332</v>
      </c>
      <c r="P270" t="s">
        <v>5215</v>
      </c>
      <c r="Q270" s="671">
        <v>61517</v>
      </c>
      <c r="R270" s="671"/>
      <c r="AT270" s="671"/>
      <c r="AU270" s="671"/>
      <c r="AV270" s="671"/>
      <c r="AW270" s="671"/>
      <c r="BY270" t="s">
        <v>6333</v>
      </c>
      <c r="BZ270" t="s">
        <v>6497</v>
      </c>
      <c r="CA270" s="923">
        <v>0.125</v>
      </c>
      <c r="CB270" s="38">
        <v>0</v>
      </c>
    </row>
    <row r="271" spans="15:80" x14ac:dyDescent="0.25">
      <c r="O271" t="s">
        <v>1342</v>
      </c>
      <c r="P271" t="s">
        <v>5215</v>
      </c>
      <c r="Q271" s="671">
        <v>61517</v>
      </c>
      <c r="R271" s="671"/>
      <c r="AT271" s="671"/>
      <c r="AU271" s="671"/>
      <c r="AV271" s="671"/>
      <c r="AW271" s="671"/>
      <c r="BY271" t="s">
        <v>6334</v>
      </c>
      <c r="BZ271" t="s">
        <v>6426</v>
      </c>
      <c r="CA271" s="923">
        <v>0.05</v>
      </c>
      <c r="CB271" s="38">
        <v>0</v>
      </c>
    </row>
    <row r="272" spans="15:80" x14ac:dyDescent="0.25">
      <c r="O272" t="s">
        <v>1342</v>
      </c>
      <c r="P272" t="s">
        <v>5215</v>
      </c>
      <c r="Q272" s="671">
        <v>61517</v>
      </c>
      <c r="R272" s="671"/>
      <c r="AT272" s="671"/>
      <c r="AU272" s="671"/>
      <c r="AV272" s="671"/>
      <c r="AW272" s="671"/>
      <c r="BY272" t="s">
        <v>6335</v>
      </c>
      <c r="BZ272" t="s">
        <v>6435</v>
      </c>
      <c r="CA272" s="923">
        <v>0.08</v>
      </c>
      <c r="CB272" s="38">
        <v>0</v>
      </c>
    </row>
    <row r="273" spans="15:80" x14ac:dyDescent="0.25">
      <c r="O273" t="s">
        <v>1342</v>
      </c>
      <c r="P273" t="s">
        <v>5215</v>
      </c>
      <c r="Q273" s="671">
        <v>61517</v>
      </c>
      <c r="R273" s="671"/>
      <c r="AT273" s="671"/>
      <c r="AU273" s="671"/>
      <c r="AV273" s="671"/>
      <c r="AW273" s="671"/>
      <c r="BY273" t="s">
        <v>6336</v>
      </c>
      <c r="BZ273" t="s">
        <v>6469</v>
      </c>
      <c r="CA273" s="923">
        <v>0.1</v>
      </c>
      <c r="CB273" s="38">
        <f t="shared" ref="CB273:CB322" si="4">VLOOKUP(BZ273,$BV$2:$BW$36,2,FALSE)</f>
        <v>0.1</v>
      </c>
    </row>
    <row r="274" spans="15:80" x14ac:dyDescent="0.25">
      <c r="O274" t="s">
        <v>1338</v>
      </c>
      <c r="P274" t="s">
        <v>5215</v>
      </c>
      <c r="Q274" s="671">
        <v>61517</v>
      </c>
      <c r="R274" s="671"/>
      <c r="AT274" s="671"/>
      <c r="AU274" s="671"/>
      <c r="AV274" s="671"/>
      <c r="AW274" s="671"/>
      <c r="BY274" t="s">
        <v>6337</v>
      </c>
      <c r="BZ274" t="s">
        <v>6426</v>
      </c>
      <c r="CA274" s="923">
        <v>0.05</v>
      </c>
      <c r="CB274" s="38">
        <v>0</v>
      </c>
    </row>
    <row r="275" spans="15:80" x14ac:dyDescent="0.25">
      <c r="O275" t="s">
        <v>1338</v>
      </c>
      <c r="P275" t="s">
        <v>5215</v>
      </c>
      <c r="Q275" s="671">
        <v>61517</v>
      </c>
      <c r="R275" s="671"/>
      <c r="AT275" s="671"/>
      <c r="AU275" s="671"/>
      <c r="AV275" s="671"/>
      <c r="AW275" s="671"/>
      <c r="BY275" t="s">
        <v>6338</v>
      </c>
      <c r="BZ275" t="s">
        <v>6212</v>
      </c>
      <c r="CA275" s="923">
        <v>0.08</v>
      </c>
      <c r="CB275" s="38">
        <f t="shared" si="4"/>
        <v>0.08</v>
      </c>
    </row>
    <row r="276" spans="15:80" x14ac:dyDescent="0.25">
      <c r="O276" t="s">
        <v>1338</v>
      </c>
      <c r="P276" t="s">
        <v>5215</v>
      </c>
      <c r="Q276" s="671">
        <v>61517</v>
      </c>
      <c r="R276" s="671"/>
      <c r="AT276" s="671"/>
      <c r="AU276" s="671"/>
      <c r="AV276" s="671"/>
      <c r="AW276" s="671"/>
      <c r="BY276" t="s">
        <v>6339</v>
      </c>
      <c r="BZ276" t="s">
        <v>789</v>
      </c>
      <c r="CA276" s="923">
        <v>0.06</v>
      </c>
      <c r="CB276" s="38">
        <v>0</v>
      </c>
    </row>
    <row r="277" spans="15:80" x14ac:dyDescent="0.25">
      <c r="O277" t="s">
        <v>1338</v>
      </c>
      <c r="P277" t="s">
        <v>5215</v>
      </c>
      <c r="Q277" s="671">
        <v>61517</v>
      </c>
      <c r="R277" s="671"/>
      <c r="AT277" s="671"/>
      <c r="AU277" s="671"/>
      <c r="AV277" s="671"/>
      <c r="AW277" s="671"/>
      <c r="BY277" t="s">
        <v>6340</v>
      </c>
      <c r="BZ277" t="s">
        <v>6426</v>
      </c>
      <c r="CA277" s="923">
        <v>0.05</v>
      </c>
      <c r="CB277" s="38">
        <v>0</v>
      </c>
    </row>
    <row r="278" spans="15:80" x14ac:dyDescent="0.25">
      <c r="O278" t="s">
        <v>1346</v>
      </c>
      <c r="P278" t="s">
        <v>5215</v>
      </c>
      <c r="Q278" s="671">
        <v>61517</v>
      </c>
      <c r="R278" s="671"/>
      <c r="AT278" s="671"/>
      <c r="AU278" s="671"/>
      <c r="AV278" s="671"/>
      <c r="AW278" s="671"/>
      <c r="BY278" t="s">
        <v>6341</v>
      </c>
      <c r="BZ278" t="s">
        <v>6426</v>
      </c>
      <c r="CA278" s="923">
        <v>0.05</v>
      </c>
      <c r="CB278" s="38">
        <v>0</v>
      </c>
    </row>
    <row r="279" spans="15:80" x14ac:dyDescent="0.25">
      <c r="O279" t="s">
        <v>1346</v>
      </c>
      <c r="P279" t="s">
        <v>5215</v>
      </c>
      <c r="Q279" s="671">
        <v>61517</v>
      </c>
      <c r="R279" s="671"/>
      <c r="AT279" s="671"/>
      <c r="AU279" s="671"/>
      <c r="AV279" s="671"/>
      <c r="AW279" s="671"/>
      <c r="BY279" t="s">
        <v>6342</v>
      </c>
      <c r="BZ279" t="s">
        <v>6499</v>
      </c>
      <c r="CA279" s="923">
        <v>0.1</v>
      </c>
      <c r="CB279" s="38">
        <v>0</v>
      </c>
    </row>
    <row r="280" spans="15:80" x14ac:dyDescent="0.25">
      <c r="O280" t="s">
        <v>1346</v>
      </c>
      <c r="P280" t="s">
        <v>5215</v>
      </c>
      <c r="Q280" s="671">
        <v>61517</v>
      </c>
      <c r="R280" s="671"/>
      <c r="AT280" s="671"/>
      <c r="AU280" s="671"/>
      <c r="AV280" s="671"/>
      <c r="AW280" s="671"/>
      <c r="BY280" t="s">
        <v>6343</v>
      </c>
      <c r="BZ280" t="s">
        <v>6422</v>
      </c>
      <c r="CA280" s="923">
        <v>7.0000000000000007E-2</v>
      </c>
      <c r="CB280" s="38">
        <v>0</v>
      </c>
    </row>
    <row r="281" spans="15:80" x14ac:dyDescent="0.25">
      <c r="O281" t="s">
        <v>1346</v>
      </c>
      <c r="P281" t="s">
        <v>5215</v>
      </c>
      <c r="Q281" s="671">
        <v>61517</v>
      </c>
      <c r="R281" s="671"/>
      <c r="AT281" s="671"/>
      <c r="AU281" s="671"/>
      <c r="AV281" s="671"/>
      <c r="AW281" s="671"/>
      <c r="BY281" t="s">
        <v>6344</v>
      </c>
      <c r="BZ281" t="s">
        <v>6445</v>
      </c>
      <c r="CA281" s="923">
        <v>0.05</v>
      </c>
      <c r="CB281" s="38">
        <f t="shared" si="4"/>
        <v>0.08</v>
      </c>
    </row>
    <row r="282" spans="15:80" x14ac:dyDescent="0.25">
      <c r="O282" t="s">
        <v>1346</v>
      </c>
      <c r="P282" t="s">
        <v>5215</v>
      </c>
      <c r="Q282" s="671">
        <v>61517</v>
      </c>
      <c r="R282" s="671"/>
      <c r="AT282" s="671"/>
      <c r="AU282" s="671"/>
      <c r="AV282" s="671"/>
      <c r="AW282" s="671"/>
      <c r="BY282" t="s">
        <v>6345</v>
      </c>
      <c r="BZ282" t="s">
        <v>6452</v>
      </c>
      <c r="CA282" s="923">
        <v>0.08</v>
      </c>
      <c r="CB282" s="38">
        <v>0</v>
      </c>
    </row>
    <row r="283" spans="15:80" x14ac:dyDescent="0.25">
      <c r="O283" t="s">
        <v>1360</v>
      </c>
      <c r="P283" t="s">
        <v>5215</v>
      </c>
      <c r="Q283" s="671">
        <v>61517</v>
      </c>
      <c r="R283" s="671"/>
      <c r="AT283" s="671"/>
      <c r="AU283" s="671"/>
      <c r="AV283" s="671"/>
      <c r="AW283" s="671"/>
      <c r="BY283" t="s">
        <v>6346</v>
      </c>
      <c r="BZ283" t="s">
        <v>6486</v>
      </c>
      <c r="CA283" s="923">
        <v>0.1</v>
      </c>
      <c r="CB283" s="38">
        <v>0</v>
      </c>
    </row>
    <row r="284" spans="15:80" x14ac:dyDescent="0.25">
      <c r="O284" t="s">
        <v>1360</v>
      </c>
      <c r="P284" t="s">
        <v>5215</v>
      </c>
      <c r="Q284" s="671">
        <v>61517</v>
      </c>
      <c r="R284" s="671"/>
      <c r="AT284" s="671"/>
      <c r="AU284" s="671"/>
      <c r="AV284" s="671"/>
      <c r="AW284" s="671"/>
      <c r="BY284" t="s">
        <v>6347</v>
      </c>
      <c r="BZ284" t="s">
        <v>6522</v>
      </c>
      <c r="CA284" s="923">
        <v>0.08</v>
      </c>
      <c r="CB284" s="38">
        <v>0</v>
      </c>
    </row>
    <row r="285" spans="15:80" x14ac:dyDescent="0.25">
      <c r="O285" t="s">
        <v>1356</v>
      </c>
      <c r="P285" t="s">
        <v>5215</v>
      </c>
      <c r="Q285" s="671">
        <v>61517</v>
      </c>
      <c r="R285" s="671"/>
      <c r="AT285" s="671"/>
      <c r="AU285" s="671"/>
      <c r="AV285" s="671"/>
      <c r="AW285" s="671"/>
      <c r="BY285" t="s">
        <v>6348</v>
      </c>
      <c r="BZ285" t="s">
        <v>6523</v>
      </c>
      <c r="CA285" s="923">
        <v>0.09</v>
      </c>
      <c r="CB285" s="38">
        <f t="shared" si="4"/>
        <v>0.06</v>
      </c>
    </row>
    <row r="286" spans="15:80" x14ac:dyDescent="0.25">
      <c r="O286" t="s">
        <v>1362</v>
      </c>
      <c r="P286" t="s">
        <v>5215</v>
      </c>
      <c r="Q286" s="671">
        <v>61517</v>
      </c>
      <c r="R286" s="671"/>
      <c r="AT286" s="671"/>
      <c r="AU286" s="671"/>
      <c r="AV286" s="671"/>
      <c r="AW286" s="671"/>
      <c r="BY286" t="s">
        <v>6349</v>
      </c>
      <c r="BZ286" t="s">
        <v>6449</v>
      </c>
      <c r="CA286" s="923">
        <v>0.05</v>
      </c>
      <c r="CB286" s="38">
        <f t="shared" si="4"/>
        <v>5.5E-2</v>
      </c>
    </row>
    <row r="287" spans="15:80" x14ac:dyDescent="0.25">
      <c r="O287" t="s">
        <v>1362</v>
      </c>
      <c r="P287" t="s">
        <v>5215</v>
      </c>
      <c r="Q287" s="671">
        <v>61517</v>
      </c>
      <c r="R287" s="671"/>
      <c r="AT287" s="671"/>
      <c r="AU287" s="671"/>
      <c r="AV287" s="671"/>
      <c r="AW287" s="671"/>
      <c r="BY287" t="s">
        <v>6350</v>
      </c>
      <c r="BZ287" t="s">
        <v>6077</v>
      </c>
      <c r="CA287" s="923">
        <v>0.04</v>
      </c>
      <c r="CB287" s="38">
        <v>0</v>
      </c>
    </row>
    <row r="288" spans="15:80" x14ac:dyDescent="0.25">
      <c r="O288" t="s">
        <v>1354</v>
      </c>
      <c r="P288" t="s">
        <v>5215</v>
      </c>
      <c r="Q288" s="671">
        <v>61517</v>
      </c>
      <c r="R288" s="671"/>
      <c r="AT288" s="671"/>
      <c r="AU288" s="671"/>
      <c r="AV288" s="671"/>
      <c r="AW288" s="671"/>
      <c r="BY288" t="s">
        <v>6351</v>
      </c>
      <c r="BZ288" t="s">
        <v>6460</v>
      </c>
      <c r="CA288" s="923">
        <v>7.0000000000000007E-2</v>
      </c>
      <c r="CB288" s="38">
        <v>0</v>
      </c>
    </row>
    <row r="289" spans="15:80" x14ac:dyDescent="0.25">
      <c r="O289" t="s">
        <v>1354</v>
      </c>
      <c r="P289" t="s">
        <v>5215</v>
      </c>
      <c r="Q289" s="671">
        <v>61517</v>
      </c>
      <c r="R289" s="671"/>
      <c r="AT289" s="671"/>
      <c r="AU289" s="671"/>
      <c r="AV289" s="671"/>
      <c r="AW289" s="671"/>
      <c r="BY289" t="s">
        <v>6352</v>
      </c>
      <c r="BZ289" t="s">
        <v>6426</v>
      </c>
      <c r="CA289" s="923">
        <v>0.05</v>
      </c>
      <c r="CB289" s="38">
        <v>0</v>
      </c>
    </row>
    <row r="290" spans="15:80" x14ac:dyDescent="0.25">
      <c r="O290" t="s">
        <v>1358</v>
      </c>
      <c r="P290" t="s">
        <v>5215</v>
      </c>
      <c r="Q290" s="671">
        <v>61517</v>
      </c>
      <c r="R290" s="671"/>
      <c r="AT290" s="671"/>
      <c r="AU290" s="671"/>
      <c r="AV290" s="671"/>
      <c r="AW290" s="671"/>
      <c r="BY290" t="s">
        <v>6353</v>
      </c>
      <c r="BZ290" t="s">
        <v>6521</v>
      </c>
      <c r="CA290" s="923">
        <v>0.05</v>
      </c>
      <c r="CB290" s="38">
        <v>0</v>
      </c>
    </row>
    <row r="291" spans="15:80" x14ac:dyDescent="0.25">
      <c r="O291" t="s">
        <v>1312</v>
      </c>
      <c r="P291" t="s">
        <v>5215</v>
      </c>
      <c r="Q291" s="671">
        <v>61517</v>
      </c>
      <c r="R291" s="671"/>
      <c r="AT291" s="671"/>
      <c r="AU291" s="671"/>
      <c r="AV291" s="671"/>
      <c r="AW291" s="671"/>
      <c r="BY291" t="s">
        <v>6354</v>
      </c>
      <c r="BZ291" t="s">
        <v>6482</v>
      </c>
      <c r="CA291" s="923">
        <v>0.04</v>
      </c>
      <c r="CB291" s="38">
        <f t="shared" si="4"/>
        <v>0.05</v>
      </c>
    </row>
    <row r="292" spans="15:80" x14ac:dyDescent="0.25">
      <c r="O292" t="s">
        <v>1320</v>
      </c>
      <c r="P292" t="s">
        <v>5215</v>
      </c>
      <c r="Q292" s="671">
        <v>61517</v>
      </c>
      <c r="R292" s="671"/>
      <c r="AT292" s="671"/>
      <c r="AU292" s="671"/>
      <c r="AV292" s="671"/>
      <c r="AW292" s="671"/>
      <c r="BY292" t="s">
        <v>6355</v>
      </c>
      <c r="BZ292" t="s">
        <v>6426</v>
      </c>
      <c r="CA292" s="923">
        <v>0.1</v>
      </c>
      <c r="CB292" s="38">
        <v>0</v>
      </c>
    </row>
    <row r="293" spans="15:80" x14ac:dyDescent="0.25">
      <c r="O293" t="s">
        <v>1320</v>
      </c>
      <c r="P293" t="s">
        <v>5215</v>
      </c>
      <c r="Q293" s="671">
        <v>61517</v>
      </c>
      <c r="R293" s="671"/>
      <c r="AT293" s="671"/>
      <c r="AU293" s="671"/>
      <c r="AV293" s="671"/>
      <c r="AW293" s="671"/>
      <c r="BY293" t="s">
        <v>6356</v>
      </c>
      <c r="BZ293" t="s">
        <v>6424</v>
      </c>
      <c r="CA293" s="923">
        <v>0.1</v>
      </c>
      <c r="CB293" s="38">
        <f t="shared" si="4"/>
        <v>0.1</v>
      </c>
    </row>
    <row r="294" spans="15:80" x14ac:dyDescent="0.25">
      <c r="O294" t="s">
        <v>1316</v>
      </c>
      <c r="P294" t="s">
        <v>5215</v>
      </c>
      <c r="Q294" s="671">
        <v>61517</v>
      </c>
      <c r="R294" s="671"/>
      <c r="AT294" s="671"/>
      <c r="AU294" s="671"/>
      <c r="AV294" s="671"/>
      <c r="AW294" s="671"/>
      <c r="BY294" t="s">
        <v>6357</v>
      </c>
      <c r="BZ294" t="s">
        <v>6521</v>
      </c>
      <c r="CA294" s="923">
        <v>0.05</v>
      </c>
      <c r="CB294" s="38">
        <v>0</v>
      </c>
    </row>
    <row r="295" spans="15:80" x14ac:dyDescent="0.25">
      <c r="O295" t="s">
        <v>1316</v>
      </c>
      <c r="P295" t="s">
        <v>5215</v>
      </c>
      <c r="Q295" s="671">
        <v>61517</v>
      </c>
      <c r="R295" s="671"/>
      <c r="AT295" s="671"/>
      <c r="AU295" s="671"/>
      <c r="AV295" s="671"/>
      <c r="AW295" s="671"/>
      <c r="BY295" t="s">
        <v>6358</v>
      </c>
      <c r="BZ295" t="s">
        <v>6460</v>
      </c>
      <c r="CA295" s="923">
        <v>0.05</v>
      </c>
      <c r="CB295" s="38">
        <v>0</v>
      </c>
    </row>
    <row r="296" spans="15:80" x14ac:dyDescent="0.25">
      <c r="O296" t="s">
        <v>1330</v>
      </c>
      <c r="P296" t="s">
        <v>5215</v>
      </c>
      <c r="Q296" s="671">
        <v>61517</v>
      </c>
      <c r="R296" s="671"/>
      <c r="AT296" s="671"/>
      <c r="AU296" s="671"/>
      <c r="AV296" s="671"/>
      <c r="AW296" s="671"/>
      <c r="BY296" t="s">
        <v>6359</v>
      </c>
      <c r="BZ296" t="s">
        <v>6454</v>
      </c>
      <c r="CA296" s="923">
        <v>6.5000000000000002E-2</v>
      </c>
      <c r="CB296" s="38">
        <v>0</v>
      </c>
    </row>
    <row r="297" spans="15:80" x14ac:dyDescent="0.25">
      <c r="O297" t="s">
        <v>1330</v>
      </c>
      <c r="P297" t="s">
        <v>5215</v>
      </c>
      <c r="Q297" s="671">
        <v>61517</v>
      </c>
      <c r="R297" s="671"/>
      <c r="AT297" s="671"/>
      <c r="AU297" s="671"/>
      <c r="AV297" s="671"/>
      <c r="AW297" s="671"/>
      <c r="BY297" t="s">
        <v>6360</v>
      </c>
      <c r="BZ297" t="s">
        <v>6253</v>
      </c>
      <c r="CA297" s="923">
        <v>0.06</v>
      </c>
      <c r="CB297" s="38">
        <v>0</v>
      </c>
    </row>
    <row r="298" spans="15:80" x14ac:dyDescent="0.25">
      <c r="O298" t="s">
        <v>1304</v>
      </c>
      <c r="P298" t="s">
        <v>5215</v>
      </c>
      <c r="Q298" s="671">
        <v>61517</v>
      </c>
      <c r="R298" s="671"/>
      <c r="AT298" s="671"/>
      <c r="AU298" s="671"/>
      <c r="AV298" s="671"/>
      <c r="AW298" s="671"/>
      <c r="BY298" t="s">
        <v>6361</v>
      </c>
      <c r="BZ298" t="s">
        <v>6441</v>
      </c>
      <c r="CA298" s="923">
        <v>7.0000000000000007E-2</v>
      </c>
      <c r="CB298" s="38">
        <v>0</v>
      </c>
    </row>
    <row r="299" spans="15:80" x14ac:dyDescent="0.25">
      <c r="O299" t="s">
        <v>1324</v>
      </c>
      <c r="P299" t="s">
        <v>5215</v>
      </c>
      <c r="Q299" s="671">
        <v>61517</v>
      </c>
      <c r="R299" s="671"/>
      <c r="AT299" s="671"/>
      <c r="AU299" s="671"/>
      <c r="AV299" s="671"/>
      <c r="AW299" s="671"/>
      <c r="BY299" t="s">
        <v>6362</v>
      </c>
      <c r="BZ299" t="s">
        <v>6449</v>
      </c>
      <c r="CA299" s="923">
        <v>0.06</v>
      </c>
      <c r="CB299" s="38">
        <f t="shared" si="4"/>
        <v>5.5E-2</v>
      </c>
    </row>
    <row r="300" spans="15:80" x14ac:dyDescent="0.25">
      <c r="O300" t="s">
        <v>1328</v>
      </c>
      <c r="P300" t="s">
        <v>5215</v>
      </c>
      <c r="Q300" s="671">
        <v>61517</v>
      </c>
      <c r="R300" s="671"/>
      <c r="AT300" s="671"/>
      <c r="AU300" s="671"/>
      <c r="AV300" s="671"/>
      <c r="AW300" s="671"/>
      <c r="BY300" t="s">
        <v>6363</v>
      </c>
      <c r="BZ300" t="s">
        <v>6202</v>
      </c>
      <c r="CA300" s="923">
        <v>0.06</v>
      </c>
      <c r="CB300" s="38">
        <v>0</v>
      </c>
    </row>
    <row r="301" spans="15:80" x14ac:dyDescent="0.25">
      <c r="O301" t="s">
        <v>1308</v>
      </c>
      <c r="P301" t="s">
        <v>5215</v>
      </c>
      <c r="Q301" s="671">
        <v>61517</v>
      </c>
      <c r="R301" s="671"/>
      <c r="AT301" s="671"/>
      <c r="AU301" s="671"/>
      <c r="AV301" s="671"/>
      <c r="AW301" s="671"/>
      <c r="BY301" t="s">
        <v>6364</v>
      </c>
      <c r="BZ301" t="s">
        <v>6424</v>
      </c>
      <c r="CA301" s="923">
        <v>0.1</v>
      </c>
      <c r="CB301" s="38">
        <f t="shared" si="4"/>
        <v>0.1</v>
      </c>
    </row>
    <row r="302" spans="15:80" x14ac:dyDescent="0.25">
      <c r="O302" t="s">
        <v>1372</v>
      </c>
      <c r="P302" t="s">
        <v>5215</v>
      </c>
      <c r="Q302" s="671">
        <v>61517</v>
      </c>
      <c r="R302" s="671"/>
      <c r="AT302" s="671"/>
      <c r="AU302" s="671"/>
      <c r="AV302" s="671"/>
      <c r="AW302" s="671"/>
      <c r="BY302" t="s">
        <v>6365</v>
      </c>
      <c r="BZ302" t="s">
        <v>6487</v>
      </c>
      <c r="CA302" s="923">
        <v>0.06</v>
      </c>
      <c r="CB302" s="38">
        <v>0</v>
      </c>
    </row>
    <row r="303" spans="15:80" x14ac:dyDescent="0.25">
      <c r="O303" t="s">
        <v>1372</v>
      </c>
      <c r="P303" t="s">
        <v>5215</v>
      </c>
      <c r="Q303" s="671">
        <v>61517</v>
      </c>
      <c r="R303" s="671"/>
      <c r="AT303" s="671"/>
      <c r="AU303" s="671"/>
      <c r="AV303" s="671"/>
      <c r="AW303" s="671"/>
      <c r="BY303" t="s">
        <v>6366</v>
      </c>
      <c r="BZ303" t="s">
        <v>6426</v>
      </c>
      <c r="CA303" s="923">
        <v>0.05</v>
      </c>
      <c r="CB303" s="38">
        <v>0</v>
      </c>
    </row>
    <row r="304" spans="15:80" x14ac:dyDescent="0.25">
      <c r="O304" t="s">
        <v>1372</v>
      </c>
      <c r="P304" t="s">
        <v>5215</v>
      </c>
      <c r="Q304" s="671">
        <v>61517</v>
      </c>
      <c r="R304" s="671"/>
      <c r="AT304" s="671"/>
      <c r="AU304" s="671"/>
      <c r="AV304" s="671"/>
      <c r="AW304" s="671"/>
      <c r="BY304" t="s">
        <v>6367</v>
      </c>
      <c r="BZ304" t="s">
        <v>804</v>
      </c>
      <c r="CA304" s="923">
        <v>0.06</v>
      </c>
      <c r="CB304" s="38">
        <f t="shared" si="4"/>
        <v>0.04</v>
      </c>
    </row>
    <row r="305" spans="15:80" x14ac:dyDescent="0.25">
      <c r="O305" t="s">
        <v>1364</v>
      </c>
      <c r="P305" t="s">
        <v>5215</v>
      </c>
      <c r="Q305" s="671">
        <v>61517</v>
      </c>
      <c r="R305" s="671"/>
      <c r="AT305" s="671"/>
      <c r="AU305" s="671"/>
      <c r="AV305" s="671"/>
      <c r="AW305" s="671"/>
      <c r="BY305" t="s">
        <v>6368</v>
      </c>
      <c r="BZ305" t="s">
        <v>6472</v>
      </c>
      <c r="CA305" s="923">
        <v>0.1</v>
      </c>
      <c r="CB305" s="38">
        <f t="shared" si="4"/>
        <v>0.1</v>
      </c>
    </row>
    <row r="306" spans="15:80" ht="15" customHeight="1" x14ac:dyDescent="0.25">
      <c r="O306" t="s">
        <v>1364</v>
      </c>
      <c r="P306" t="s">
        <v>5215</v>
      </c>
      <c r="Q306" s="671">
        <v>61517</v>
      </c>
      <c r="R306" s="671"/>
      <c r="AT306" s="671"/>
      <c r="AU306" s="671"/>
      <c r="AV306" s="671"/>
      <c r="AW306" s="671"/>
      <c r="BY306" t="s">
        <v>6369</v>
      </c>
      <c r="BZ306" t="s">
        <v>6426</v>
      </c>
      <c r="CA306" s="923">
        <v>0.05</v>
      </c>
      <c r="CB306" s="38">
        <v>0</v>
      </c>
    </row>
    <row r="307" spans="15:80" x14ac:dyDescent="0.25">
      <c r="O307" t="s">
        <v>1364</v>
      </c>
      <c r="P307" t="s">
        <v>5215</v>
      </c>
      <c r="Q307" s="671">
        <v>61517</v>
      </c>
      <c r="R307" s="671"/>
      <c r="AT307" s="671"/>
      <c r="AU307" s="671"/>
      <c r="AV307" s="671"/>
      <c r="AW307" s="671"/>
      <c r="BY307" t="s">
        <v>6370</v>
      </c>
      <c r="BZ307" t="s">
        <v>6426</v>
      </c>
      <c r="CA307" s="923">
        <v>0.05</v>
      </c>
      <c r="CB307" s="38">
        <v>0</v>
      </c>
    </row>
    <row r="308" spans="15:80" x14ac:dyDescent="0.25">
      <c r="O308" t="s">
        <v>1364</v>
      </c>
      <c r="P308" t="s">
        <v>5215</v>
      </c>
      <c r="Q308" s="671">
        <v>61517</v>
      </c>
      <c r="R308" s="671"/>
      <c r="AT308" s="671"/>
      <c r="AU308" s="671"/>
      <c r="AV308" s="671"/>
      <c r="AW308" s="671"/>
      <c r="BY308" t="s">
        <v>6371</v>
      </c>
      <c r="BZ308" t="s">
        <v>6486</v>
      </c>
      <c r="CA308" s="923">
        <v>0.06</v>
      </c>
      <c r="CB308" s="38">
        <v>0</v>
      </c>
    </row>
    <row r="309" spans="15:80" x14ac:dyDescent="0.25">
      <c r="O309" t="s">
        <v>1364</v>
      </c>
      <c r="P309" t="s">
        <v>5215</v>
      </c>
      <c r="Q309" s="671">
        <v>61517</v>
      </c>
      <c r="R309" s="671"/>
      <c r="AT309" s="671"/>
      <c r="AU309" s="671"/>
      <c r="AV309" s="671"/>
      <c r="AW309" s="671"/>
      <c r="BY309" t="s">
        <v>6372</v>
      </c>
      <c r="BZ309" t="s">
        <v>6468</v>
      </c>
      <c r="CA309" s="923">
        <v>0.09</v>
      </c>
      <c r="CB309" s="38">
        <v>0</v>
      </c>
    </row>
    <row r="310" spans="15:80" x14ac:dyDescent="0.25">
      <c r="O310" t="s">
        <v>1364</v>
      </c>
      <c r="P310" t="s">
        <v>5215</v>
      </c>
      <c r="Q310" s="671">
        <v>61517</v>
      </c>
      <c r="R310" s="671"/>
      <c r="AT310" s="671"/>
      <c r="AU310" s="671"/>
      <c r="AV310" s="671"/>
      <c r="AW310" s="671"/>
      <c r="BY310" t="s">
        <v>6373</v>
      </c>
      <c r="BZ310" t="s">
        <v>6461</v>
      </c>
      <c r="CA310" s="923">
        <v>0.05</v>
      </c>
      <c r="CB310" s="38">
        <f t="shared" si="4"/>
        <v>0.05</v>
      </c>
    </row>
    <row r="311" spans="15:80" x14ac:dyDescent="0.25">
      <c r="O311" t="s">
        <v>1364</v>
      </c>
      <c r="P311" t="s">
        <v>5215</v>
      </c>
      <c r="Q311" s="671">
        <v>61517</v>
      </c>
      <c r="R311" s="671"/>
      <c r="AT311" s="671"/>
      <c r="AU311" s="671"/>
      <c r="AV311" s="671"/>
      <c r="AW311" s="671"/>
      <c r="BY311" t="s">
        <v>6374</v>
      </c>
      <c r="BZ311" t="s">
        <v>6426</v>
      </c>
      <c r="CA311" s="923">
        <v>7.0000000000000007E-2</v>
      </c>
      <c r="CB311" s="38">
        <v>0</v>
      </c>
    </row>
    <row r="312" spans="15:80" x14ac:dyDescent="0.25">
      <c r="O312" t="s">
        <v>1364</v>
      </c>
      <c r="P312" t="s">
        <v>5215</v>
      </c>
      <c r="Q312" s="671">
        <v>61517</v>
      </c>
      <c r="R312" s="671"/>
      <c r="AT312" s="671"/>
      <c r="AU312" s="671"/>
      <c r="AV312" s="671"/>
      <c r="AW312" s="671"/>
      <c r="BY312" t="s">
        <v>6375</v>
      </c>
      <c r="BZ312" t="s">
        <v>6426</v>
      </c>
      <c r="CA312" s="923">
        <v>0.05</v>
      </c>
      <c r="CB312" s="38">
        <v>0</v>
      </c>
    </row>
    <row r="313" spans="15:80" x14ac:dyDescent="0.25">
      <c r="O313" t="s">
        <v>1364</v>
      </c>
      <c r="P313" t="s">
        <v>5215</v>
      </c>
      <c r="Q313" s="671">
        <v>61517</v>
      </c>
      <c r="R313" s="671"/>
      <c r="AT313" s="671"/>
      <c r="AU313" s="671"/>
      <c r="AV313" s="671"/>
      <c r="AW313" s="671"/>
      <c r="BY313" t="s">
        <v>6376</v>
      </c>
      <c r="BZ313" t="s">
        <v>6516</v>
      </c>
      <c r="CA313" s="923">
        <v>0.12</v>
      </c>
      <c r="CB313" s="38">
        <v>0</v>
      </c>
    </row>
    <row r="314" spans="15:80" ht="30" customHeight="1" x14ac:dyDescent="0.25">
      <c r="O314" t="s">
        <v>1364</v>
      </c>
      <c r="P314" t="s">
        <v>5215</v>
      </c>
      <c r="Q314" s="671">
        <v>61517</v>
      </c>
      <c r="R314" s="671"/>
      <c r="AT314" s="671"/>
      <c r="AU314" s="671"/>
      <c r="AV314" s="671"/>
      <c r="AW314" s="671"/>
      <c r="BY314" t="s">
        <v>6377</v>
      </c>
      <c r="BZ314" t="s">
        <v>6426</v>
      </c>
      <c r="CA314" s="923">
        <v>0.08</v>
      </c>
      <c r="CB314" s="38">
        <v>0</v>
      </c>
    </row>
    <row r="315" spans="15:80" x14ac:dyDescent="0.25">
      <c r="O315" t="s">
        <v>4415</v>
      </c>
      <c r="P315" t="s">
        <v>5226</v>
      </c>
      <c r="Q315" s="671">
        <v>67082</v>
      </c>
      <c r="R315" s="671"/>
      <c r="AT315" s="671"/>
      <c r="AU315" s="671"/>
      <c r="AV315" s="671"/>
      <c r="AW315" s="671"/>
      <c r="BY315" t="s">
        <v>6378</v>
      </c>
      <c r="BZ315" t="s">
        <v>6445</v>
      </c>
      <c r="CA315" s="923">
        <v>0.08</v>
      </c>
      <c r="CB315" s="38">
        <f t="shared" si="4"/>
        <v>0.08</v>
      </c>
    </row>
    <row r="316" spans="15:80" x14ac:dyDescent="0.25">
      <c r="O316" t="s">
        <v>4418</v>
      </c>
      <c r="P316" t="s">
        <v>5226</v>
      </c>
      <c r="Q316" s="671">
        <v>67082</v>
      </c>
      <c r="R316" s="671"/>
      <c r="AT316" s="671"/>
      <c r="AU316" s="671"/>
      <c r="AV316" s="671"/>
      <c r="AW316" s="671"/>
      <c r="BY316" t="s">
        <v>6379</v>
      </c>
      <c r="BZ316" t="s">
        <v>6524</v>
      </c>
      <c r="CA316" s="923">
        <v>7.0000000000000007E-2</v>
      </c>
      <c r="CB316" s="38">
        <f t="shared" si="4"/>
        <v>0.03</v>
      </c>
    </row>
    <row r="317" spans="15:80" x14ac:dyDescent="0.25">
      <c r="O317" t="s">
        <v>4422</v>
      </c>
      <c r="P317" t="s">
        <v>5227</v>
      </c>
      <c r="Q317" s="671">
        <v>67082</v>
      </c>
      <c r="R317" s="671"/>
      <c r="AT317" s="671"/>
      <c r="AU317" s="671"/>
      <c r="AV317" s="671"/>
      <c r="AW317" s="671"/>
      <c r="BY317" t="s">
        <v>6380</v>
      </c>
      <c r="BZ317" t="s">
        <v>6426</v>
      </c>
      <c r="CA317" s="923">
        <v>0.05</v>
      </c>
      <c r="CB317" s="38">
        <v>0</v>
      </c>
    </row>
    <row r="318" spans="15:80" x14ac:dyDescent="0.25">
      <c r="O318" t="s">
        <v>4411</v>
      </c>
      <c r="P318" t="s">
        <v>5228</v>
      </c>
      <c r="Q318" s="671">
        <v>67082</v>
      </c>
      <c r="R318" s="671"/>
      <c r="AT318" s="671"/>
      <c r="AU318" s="671"/>
      <c r="AV318" s="671"/>
      <c r="AW318" s="671"/>
      <c r="BY318" t="s">
        <v>6381</v>
      </c>
      <c r="BZ318" t="s">
        <v>6426</v>
      </c>
      <c r="CA318" s="923">
        <v>0.05</v>
      </c>
      <c r="CB318" s="38">
        <v>0</v>
      </c>
    </row>
    <row r="319" spans="15:80" x14ac:dyDescent="0.25">
      <c r="O319" t="s">
        <v>4454</v>
      </c>
      <c r="P319" t="s">
        <v>5229</v>
      </c>
      <c r="Q319" s="671">
        <v>67082</v>
      </c>
      <c r="R319" s="671"/>
      <c r="AT319" s="671"/>
      <c r="AU319" s="671"/>
      <c r="AV319" s="671"/>
      <c r="AW319" s="671"/>
      <c r="BY319" t="s">
        <v>6382</v>
      </c>
      <c r="BZ319" t="s">
        <v>6481</v>
      </c>
      <c r="CA319" s="923">
        <v>0.05</v>
      </c>
      <c r="CB319" s="38">
        <v>0</v>
      </c>
    </row>
    <row r="320" spans="15:80" x14ac:dyDescent="0.25">
      <c r="O320" t="s">
        <v>4454</v>
      </c>
      <c r="P320" t="s">
        <v>5229</v>
      </c>
      <c r="Q320" s="671">
        <v>67082</v>
      </c>
      <c r="R320" s="671"/>
      <c r="AT320" s="671"/>
      <c r="AU320" s="671"/>
      <c r="AV320" s="671"/>
      <c r="AW320" s="671"/>
      <c r="BY320" t="s">
        <v>6383</v>
      </c>
      <c r="BZ320" t="s">
        <v>6478</v>
      </c>
      <c r="CA320" s="923">
        <v>0.06</v>
      </c>
      <c r="CB320" s="38">
        <f t="shared" si="4"/>
        <v>0.06</v>
      </c>
    </row>
    <row r="321" spans="15:80" x14ac:dyDescent="0.25">
      <c r="O321" t="s">
        <v>4404</v>
      </c>
      <c r="P321" t="s">
        <v>5230</v>
      </c>
      <c r="Q321" s="671">
        <v>67082</v>
      </c>
      <c r="R321" s="671"/>
      <c r="AT321" s="671"/>
      <c r="AU321" s="671"/>
      <c r="AV321" s="671"/>
      <c r="AW321" s="671"/>
      <c r="BY321" t="s">
        <v>6384</v>
      </c>
      <c r="BZ321" t="s">
        <v>6516</v>
      </c>
      <c r="CA321" s="923">
        <v>0.12</v>
      </c>
      <c r="CB321" s="38">
        <v>0</v>
      </c>
    </row>
    <row r="322" spans="15:80" x14ac:dyDescent="0.25">
      <c r="O322" t="s">
        <v>4408</v>
      </c>
      <c r="P322" t="s">
        <v>5231</v>
      </c>
      <c r="Q322" s="671">
        <v>67082</v>
      </c>
      <c r="R322" s="671"/>
      <c r="AT322" s="671"/>
      <c r="AU322" s="671"/>
      <c r="AV322" s="671"/>
      <c r="AW322" s="671"/>
      <c r="BY322" t="s">
        <v>6385</v>
      </c>
      <c r="BZ322" t="s">
        <v>6465</v>
      </c>
      <c r="CA322" s="923">
        <v>0.06</v>
      </c>
      <c r="CB322" s="38">
        <f t="shared" si="4"/>
        <v>0.06</v>
      </c>
    </row>
    <row r="323" spans="15:80" x14ac:dyDescent="0.25">
      <c r="O323" t="s">
        <v>4452</v>
      </c>
      <c r="P323" t="s">
        <v>5227</v>
      </c>
      <c r="Q323" s="671">
        <v>67082</v>
      </c>
      <c r="R323" s="671"/>
      <c r="AT323" s="671"/>
      <c r="AU323" s="671"/>
      <c r="AV323" s="671"/>
      <c r="AW323" s="671"/>
      <c r="BY323" t="s">
        <v>6386</v>
      </c>
      <c r="BZ323" t="s">
        <v>6513</v>
      </c>
      <c r="CA323" s="923">
        <v>0.09</v>
      </c>
      <c r="CB323" s="38">
        <v>0</v>
      </c>
    </row>
    <row r="324" spans="15:80" x14ac:dyDescent="0.25">
      <c r="O324" t="s">
        <v>4452</v>
      </c>
      <c r="P324" t="s">
        <v>5227</v>
      </c>
      <c r="Q324" s="671">
        <v>67082</v>
      </c>
      <c r="R324" s="671"/>
      <c r="AT324" s="671"/>
      <c r="AU324" s="671"/>
      <c r="AV324" s="671"/>
      <c r="AW324" s="671"/>
      <c r="BY324" t="s">
        <v>6387</v>
      </c>
      <c r="BZ324" t="s">
        <v>6447</v>
      </c>
      <c r="CA324" s="923">
        <v>0.1</v>
      </c>
      <c r="CB324" s="38">
        <v>0</v>
      </c>
    </row>
    <row r="325" spans="15:80" x14ac:dyDescent="0.25">
      <c r="O325" t="s">
        <v>4450</v>
      </c>
      <c r="P325" t="s">
        <v>5227</v>
      </c>
      <c r="Q325" s="671">
        <v>67082</v>
      </c>
      <c r="R325" s="671"/>
      <c r="AT325" s="671"/>
      <c r="AU325" s="671"/>
      <c r="AV325" s="671"/>
      <c r="AW325" s="671"/>
      <c r="BY325" t="s">
        <v>6388</v>
      </c>
      <c r="BZ325" t="s">
        <v>6445</v>
      </c>
      <c r="CA325" s="923">
        <v>7.0000000000000007E-2</v>
      </c>
      <c r="CB325" s="38">
        <f t="shared" ref="CB325:CB353" si="5">VLOOKUP(BZ325,$BV$2:$BW$36,2,FALSE)</f>
        <v>0.08</v>
      </c>
    </row>
    <row r="326" spans="15:80" x14ac:dyDescent="0.25">
      <c r="O326" t="s">
        <v>4448</v>
      </c>
      <c r="P326" t="s">
        <v>5227</v>
      </c>
      <c r="Q326" s="671">
        <v>67082</v>
      </c>
      <c r="R326" s="671"/>
      <c r="AT326" s="671"/>
      <c r="AU326" s="671"/>
      <c r="AV326" s="671"/>
      <c r="AW326" s="671"/>
      <c r="BY326" t="s">
        <v>6389</v>
      </c>
      <c r="BZ326" t="s">
        <v>6477</v>
      </c>
      <c r="CA326" s="923">
        <v>0.1</v>
      </c>
      <c r="CB326" s="38">
        <v>0</v>
      </c>
    </row>
    <row r="327" spans="15:80" x14ac:dyDescent="0.25">
      <c r="O327" t="s">
        <v>4440</v>
      </c>
      <c r="P327" t="s">
        <v>5227</v>
      </c>
      <c r="Q327" s="671">
        <v>67082</v>
      </c>
      <c r="R327" s="671"/>
      <c r="AT327" s="671"/>
      <c r="AU327" s="671"/>
      <c r="AV327" s="671"/>
      <c r="AW327" s="671"/>
      <c r="BY327" t="s">
        <v>6390</v>
      </c>
      <c r="BZ327" t="s">
        <v>6480</v>
      </c>
      <c r="CA327" s="923">
        <v>0.05</v>
      </c>
      <c r="CB327" s="38">
        <v>0</v>
      </c>
    </row>
    <row r="328" spans="15:80" x14ac:dyDescent="0.25">
      <c r="O328" t="s">
        <v>4440</v>
      </c>
      <c r="P328" t="s">
        <v>5227</v>
      </c>
      <c r="Q328" s="671">
        <v>67082</v>
      </c>
      <c r="R328" s="671"/>
      <c r="AT328" s="671"/>
      <c r="AU328" s="671"/>
      <c r="AV328" s="671"/>
      <c r="AW328" s="671"/>
      <c r="BY328" t="s">
        <v>6391</v>
      </c>
      <c r="BZ328" t="s">
        <v>6487</v>
      </c>
      <c r="CA328" s="923">
        <v>0.06</v>
      </c>
      <c r="CB328" s="38">
        <v>0</v>
      </c>
    </row>
    <row r="329" spans="15:80" x14ac:dyDescent="0.25">
      <c r="O329" t="s">
        <v>4446</v>
      </c>
      <c r="P329" t="s">
        <v>5227</v>
      </c>
      <c r="Q329" s="671">
        <v>67082</v>
      </c>
      <c r="R329" s="671"/>
      <c r="AT329" s="671"/>
      <c r="AU329" s="671"/>
      <c r="AV329" s="671"/>
      <c r="AW329" s="671"/>
      <c r="BY329" t="s">
        <v>6392</v>
      </c>
      <c r="BZ329" t="s">
        <v>6426</v>
      </c>
      <c r="CA329" s="923">
        <v>0.05</v>
      </c>
      <c r="CB329" s="38">
        <v>0</v>
      </c>
    </row>
    <row r="330" spans="15:80" x14ac:dyDescent="0.25">
      <c r="O330" t="s">
        <v>4444</v>
      </c>
      <c r="P330" t="s">
        <v>5227</v>
      </c>
      <c r="Q330" s="671">
        <v>67082</v>
      </c>
      <c r="R330" s="671"/>
      <c r="AT330" s="671"/>
      <c r="AU330" s="671"/>
      <c r="AV330" s="671"/>
      <c r="AW330" s="671"/>
      <c r="BY330" t="s">
        <v>6393</v>
      </c>
      <c r="BZ330" t="s">
        <v>6425</v>
      </c>
      <c r="CA330" s="923">
        <v>0.08</v>
      </c>
      <c r="CB330" s="38">
        <v>0</v>
      </c>
    </row>
    <row r="331" spans="15:80" x14ac:dyDescent="0.25">
      <c r="O331" t="s">
        <v>4444</v>
      </c>
      <c r="P331" t="s">
        <v>5227</v>
      </c>
      <c r="Q331" s="671">
        <v>67082</v>
      </c>
      <c r="R331" s="671"/>
      <c r="AT331" s="671"/>
      <c r="AU331" s="671"/>
      <c r="AV331" s="671"/>
      <c r="AW331" s="671"/>
      <c r="BY331" t="s">
        <v>6394</v>
      </c>
      <c r="BZ331" t="s">
        <v>6426</v>
      </c>
      <c r="CA331" s="923">
        <v>0.05</v>
      </c>
      <c r="CB331" s="38">
        <v>0</v>
      </c>
    </row>
    <row r="332" spans="15:80" x14ac:dyDescent="0.25">
      <c r="O332" t="s">
        <v>4436</v>
      </c>
      <c r="P332" t="s">
        <v>5232</v>
      </c>
      <c r="Q332" s="671">
        <v>67082</v>
      </c>
      <c r="R332" s="671"/>
      <c r="AT332" s="671"/>
      <c r="AU332" s="671"/>
      <c r="AV332" s="671"/>
      <c r="AW332" s="671"/>
      <c r="BY332" t="s">
        <v>6395</v>
      </c>
      <c r="BZ332" t="s">
        <v>6426</v>
      </c>
      <c r="CA332" s="923">
        <v>0.1</v>
      </c>
      <c r="CB332" s="38">
        <v>0</v>
      </c>
    </row>
    <row r="333" spans="15:80" x14ac:dyDescent="0.25">
      <c r="O333" t="s">
        <v>4426</v>
      </c>
      <c r="P333" t="s">
        <v>5232</v>
      </c>
      <c r="Q333" s="671">
        <v>67082</v>
      </c>
      <c r="R333" s="671"/>
      <c r="AT333" s="671"/>
      <c r="AU333" s="671"/>
      <c r="AV333" s="671"/>
      <c r="AW333" s="671"/>
      <c r="BY333" t="s">
        <v>6396</v>
      </c>
      <c r="BZ333" t="s">
        <v>6525</v>
      </c>
      <c r="CA333" s="923">
        <v>0.1</v>
      </c>
      <c r="CB333" s="38">
        <f t="shared" si="5"/>
        <v>4.4999999999999998E-2</v>
      </c>
    </row>
    <row r="334" spans="15:80" x14ac:dyDescent="0.25">
      <c r="O334" t="s">
        <v>4426</v>
      </c>
      <c r="P334" t="s">
        <v>5232</v>
      </c>
      <c r="Q334" s="671">
        <v>67082</v>
      </c>
      <c r="R334" s="671"/>
      <c r="AT334" s="671"/>
      <c r="AU334" s="671"/>
      <c r="AV334" s="671"/>
      <c r="AW334" s="671"/>
      <c r="BY334" t="s">
        <v>6397</v>
      </c>
      <c r="BZ334" t="s">
        <v>6477</v>
      </c>
      <c r="CA334" s="923">
        <v>0.12</v>
      </c>
      <c r="CB334" s="38">
        <v>0</v>
      </c>
    </row>
    <row r="335" spans="15:80" x14ac:dyDescent="0.25">
      <c r="O335" t="s">
        <v>4432</v>
      </c>
      <c r="P335" t="s">
        <v>5232</v>
      </c>
      <c r="Q335" s="671">
        <v>67082</v>
      </c>
      <c r="R335" s="671"/>
      <c r="AT335" s="671"/>
      <c r="AU335" s="671"/>
      <c r="AV335" s="671"/>
      <c r="AW335" s="671"/>
      <c r="BY335" t="s">
        <v>6398</v>
      </c>
      <c r="BZ335" t="s">
        <v>6426</v>
      </c>
      <c r="CA335" s="923">
        <v>0.06</v>
      </c>
      <c r="CB335" s="38">
        <v>0</v>
      </c>
    </row>
    <row r="336" spans="15:80" x14ac:dyDescent="0.25">
      <c r="O336" t="s">
        <v>4432</v>
      </c>
      <c r="P336" t="s">
        <v>5232</v>
      </c>
      <c r="Q336" s="671">
        <v>67082</v>
      </c>
      <c r="R336" s="671"/>
      <c r="AT336" s="671"/>
      <c r="AU336" s="671"/>
      <c r="AV336" s="671"/>
      <c r="AW336" s="671"/>
      <c r="BY336" t="s">
        <v>6399</v>
      </c>
      <c r="BZ336" t="s">
        <v>6460</v>
      </c>
      <c r="CA336" s="923">
        <v>0.08</v>
      </c>
      <c r="CB336" s="38">
        <v>0</v>
      </c>
    </row>
    <row r="337" spans="15:80" x14ac:dyDescent="0.25">
      <c r="O337" t="s">
        <v>4438</v>
      </c>
      <c r="P337" t="s">
        <v>5232</v>
      </c>
      <c r="Q337" s="671">
        <v>67082</v>
      </c>
      <c r="R337" s="671"/>
      <c r="AT337" s="671"/>
      <c r="AU337" s="671"/>
      <c r="AV337" s="671"/>
      <c r="AW337" s="671"/>
      <c r="BY337" t="s">
        <v>6400</v>
      </c>
      <c r="BZ337" t="s">
        <v>6425</v>
      </c>
      <c r="CA337" s="923">
        <v>0.05</v>
      </c>
      <c r="CB337" s="38">
        <v>0</v>
      </c>
    </row>
    <row r="338" spans="15:80" x14ac:dyDescent="0.25">
      <c r="O338" t="s">
        <v>4438</v>
      </c>
      <c r="P338" t="s">
        <v>5232</v>
      </c>
      <c r="Q338" s="671">
        <v>67082</v>
      </c>
      <c r="R338" s="671"/>
      <c r="AT338" s="671"/>
      <c r="AU338" s="671"/>
      <c r="AV338" s="671"/>
      <c r="AW338" s="671"/>
      <c r="BY338" t="s">
        <v>6401</v>
      </c>
      <c r="BZ338" t="s">
        <v>6472</v>
      </c>
      <c r="CA338" s="923">
        <v>0.1</v>
      </c>
      <c r="CB338" s="38">
        <f t="shared" si="5"/>
        <v>0.1</v>
      </c>
    </row>
    <row r="339" spans="15:80" x14ac:dyDescent="0.25">
      <c r="O339" t="s">
        <v>4438</v>
      </c>
      <c r="P339" t="s">
        <v>5232</v>
      </c>
      <c r="Q339" s="671">
        <v>67082</v>
      </c>
      <c r="R339" s="671"/>
      <c r="AT339" s="671"/>
      <c r="AU339" s="671"/>
      <c r="AV339" s="671"/>
      <c r="AW339" s="671"/>
      <c r="BY339" t="s">
        <v>6402</v>
      </c>
      <c r="BZ339" t="s">
        <v>6437</v>
      </c>
      <c r="CA339" s="923">
        <v>0.05</v>
      </c>
      <c r="CB339" s="38">
        <v>0</v>
      </c>
    </row>
    <row r="340" spans="15:80" x14ac:dyDescent="0.25">
      <c r="O340" t="s">
        <v>3940</v>
      </c>
      <c r="P340" t="s">
        <v>5233</v>
      </c>
      <c r="Q340" s="671"/>
      <c r="R340" s="671"/>
      <c r="AT340" s="671"/>
      <c r="AU340" s="671"/>
      <c r="AV340" s="671"/>
      <c r="AW340" s="671"/>
      <c r="BY340" t="s">
        <v>6403</v>
      </c>
      <c r="BZ340" t="s">
        <v>6517</v>
      </c>
      <c r="CA340" s="923">
        <v>8.8999999999999996E-2</v>
      </c>
      <c r="CB340" s="38">
        <f t="shared" si="5"/>
        <v>8.8999999999999996E-2</v>
      </c>
    </row>
    <row r="341" spans="15:80" x14ac:dyDescent="0.25">
      <c r="O341" t="s">
        <v>3940</v>
      </c>
      <c r="P341" t="s">
        <v>5233</v>
      </c>
      <c r="Q341" s="671"/>
      <c r="R341" s="671"/>
      <c r="AT341" s="671"/>
      <c r="AU341" s="671"/>
      <c r="AV341" s="671"/>
      <c r="AW341" s="671"/>
      <c r="BY341" t="s">
        <v>6404</v>
      </c>
      <c r="BZ341" t="s">
        <v>6431</v>
      </c>
      <c r="CA341" s="923">
        <v>4.4999999999999998E-2</v>
      </c>
      <c r="CB341" s="38">
        <v>0</v>
      </c>
    </row>
    <row r="342" spans="15:80" x14ac:dyDescent="0.25">
      <c r="O342" t="s">
        <v>3940</v>
      </c>
      <c r="P342" t="s">
        <v>5233</v>
      </c>
      <c r="Q342" s="671"/>
      <c r="R342" s="671"/>
      <c r="AT342" s="671"/>
      <c r="AU342" s="671"/>
      <c r="AV342" s="671"/>
      <c r="AW342" s="671"/>
      <c r="BY342" t="s">
        <v>6405</v>
      </c>
      <c r="BZ342" t="s">
        <v>6424</v>
      </c>
      <c r="CA342" s="923">
        <v>0.1</v>
      </c>
      <c r="CB342" s="38">
        <f t="shared" si="5"/>
        <v>0.1</v>
      </c>
    </row>
    <row r="343" spans="15:80" x14ac:dyDescent="0.25">
      <c r="O343" t="s">
        <v>3936</v>
      </c>
      <c r="P343" t="s">
        <v>5233</v>
      </c>
      <c r="Q343" s="671"/>
      <c r="R343" s="671"/>
      <c r="AT343" s="671"/>
      <c r="AU343" s="671"/>
      <c r="AV343" s="671"/>
      <c r="AW343" s="671"/>
      <c r="BY343" t="s">
        <v>6406</v>
      </c>
      <c r="BZ343" t="s">
        <v>6426</v>
      </c>
      <c r="CA343" s="923">
        <v>0.05</v>
      </c>
      <c r="CB343" s="38">
        <v>0</v>
      </c>
    </row>
    <row r="344" spans="15:80" x14ac:dyDescent="0.25">
      <c r="O344" t="s">
        <v>3944</v>
      </c>
      <c r="P344" t="s">
        <v>5233</v>
      </c>
      <c r="Q344" s="671"/>
      <c r="R344" s="671"/>
      <c r="AT344" s="671"/>
      <c r="AU344" s="671"/>
      <c r="AV344" s="671"/>
      <c r="AW344" s="671"/>
      <c r="BY344" t="s">
        <v>6407</v>
      </c>
      <c r="BZ344" t="s">
        <v>6466</v>
      </c>
      <c r="CA344" s="923">
        <v>0.06</v>
      </c>
      <c r="CB344" s="38">
        <v>0</v>
      </c>
    </row>
    <row r="345" spans="15:80" ht="15" customHeight="1" x14ac:dyDescent="0.25">
      <c r="O345" t="s">
        <v>3944</v>
      </c>
      <c r="P345" t="s">
        <v>5233</v>
      </c>
      <c r="Q345" s="671"/>
      <c r="R345" s="671"/>
      <c r="AT345" s="671"/>
      <c r="AU345" s="671"/>
      <c r="AV345" s="671"/>
      <c r="AW345" s="671"/>
      <c r="BY345" t="s">
        <v>6408</v>
      </c>
      <c r="BZ345" t="s">
        <v>6467</v>
      </c>
      <c r="CA345" s="923">
        <v>6.8000000000000005E-2</v>
      </c>
      <c r="CB345" s="38">
        <v>0</v>
      </c>
    </row>
    <row r="346" spans="15:80" x14ac:dyDescent="0.25">
      <c r="O346" t="s">
        <v>3882</v>
      </c>
      <c r="P346" t="s">
        <v>5234</v>
      </c>
      <c r="Q346" s="671">
        <v>66060</v>
      </c>
      <c r="R346" s="671"/>
      <c r="AT346" s="671"/>
      <c r="AU346" s="671"/>
      <c r="AV346" s="671"/>
      <c r="AW346" s="671"/>
      <c r="BY346" t="s">
        <v>6409</v>
      </c>
      <c r="BZ346" t="s">
        <v>6500</v>
      </c>
      <c r="CA346" s="923">
        <v>0.06</v>
      </c>
      <c r="CB346" s="38">
        <v>0</v>
      </c>
    </row>
    <row r="347" spans="15:80" x14ac:dyDescent="0.25">
      <c r="O347" t="s">
        <v>3882</v>
      </c>
      <c r="P347" t="s">
        <v>5234</v>
      </c>
      <c r="Q347" s="671">
        <v>66060</v>
      </c>
      <c r="R347" s="671"/>
      <c r="AT347" s="671"/>
      <c r="AU347" s="671"/>
      <c r="AV347" s="671"/>
      <c r="AW347" s="671"/>
      <c r="BY347" t="s">
        <v>6410</v>
      </c>
      <c r="BZ347" t="s">
        <v>6526</v>
      </c>
      <c r="CA347" s="923">
        <v>0.08</v>
      </c>
      <c r="CB347" s="38">
        <f t="shared" si="5"/>
        <v>0.04</v>
      </c>
    </row>
    <row r="348" spans="15:80" x14ac:dyDescent="0.25">
      <c r="O348" t="s">
        <v>3882</v>
      </c>
      <c r="P348" t="s">
        <v>5234</v>
      </c>
      <c r="Q348" s="671">
        <v>66060</v>
      </c>
      <c r="R348" s="671"/>
      <c r="AT348" s="671"/>
      <c r="AU348" s="671"/>
      <c r="AV348" s="671"/>
      <c r="AW348" s="671"/>
      <c r="BY348" t="s">
        <v>6411</v>
      </c>
      <c r="BZ348" t="s">
        <v>6426</v>
      </c>
      <c r="CA348" s="923">
        <v>0.05</v>
      </c>
      <c r="CB348" s="38">
        <v>0</v>
      </c>
    </row>
    <row r="349" spans="15:80" x14ac:dyDescent="0.25">
      <c r="O349" t="s">
        <v>3882</v>
      </c>
      <c r="P349" t="s">
        <v>5234</v>
      </c>
      <c r="Q349" s="671">
        <v>66060</v>
      </c>
      <c r="R349" s="671"/>
      <c r="AT349" s="671"/>
      <c r="AU349" s="671"/>
      <c r="AV349" s="671"/>
      <c r="AW349" s="671"/>
      <c r="BY349" t="s">
        <v>6412</v>
      </c>
      <c r="BZ349" t="s">
        <v>6510</v>
      </c>
      <c r="CA349" s="923">
        <v>0.05</v>
      </c>
      <c r="CB349" s="38">
        <v>0</v>
      </c>
    </row>
    <row r="350" spans="15:80" x14ac:dyDescent="0.25">
      <c r="O350" t="s">
        <v>3899</v>
      </c>
      <c r="P350" t="s">
        <v>5234</v>
      </c>
      <c r="Q350" s="671">
        <v>66060</v>
      </c>
      <c r="R350" s="671"/>
      <c r="AT350" s="671"/>
      <c r="AU350" s="671"/>
      <c r="AV350" s="671"/>
      <c r="AW350" s="671"/>
      <c r="BY350" t="s">
        <v>6413</v>
      </c>
      <c r="BZ350" t="s">
        <v>6441</v>
      </c>
      <c r="CA350" s="923">
        <v>0.02</v>
      </c>
      <c r="CB350" s="38">
        <v>0</v>
      </c>
    </row>
    <row r="351" spans="15:80" x14ac:dyDescent="0.25">
      <c r="O351" t="s">
        <v>3899</v>
      </c>
      <c r="P351" t="s">
        <v>5234</v>
      </c>
      <c r="Q351" s="671">
        <v>66060</v>
      </c>
      <c r="R351" s="671"/>
      <c r="AT351" s="671"/>
      <c r="AU351" s="671"/>
      <c r="AV351" s="671"/>
      <c r="AW351" s="671"/>
      <c r="BY351" t="s">
        <v>6414</v>
      </c>
      <c r="BZ351" t="s">
        <v>6114</v>
      </c>
      <c r="CA351" s="923">
        <v>0.05</v>
      </c>
      <c r="CB351" s="38">
        <v>0</v>
      </c>
    </row>
    <row r="352" spans="15:80" x14ac:dyDescent="0.25">
      <c r="O352" t="s">
        <v>3905</v>
      </c>
      <c r="P352" t="s">
        <v>5234</v>
      </c>
      <c r="Q352" s="671">
        <v>66060</v>
      </c>
      <c r="R352" s="671"/>
      <c r="AT352" s="671"/>
      <c r="AU352" s="671"/>
      <c r="AV352" s="671"/>
      <c r="AW352" s="671"/>
      <c r="BY352" t="s">
        <v>6415</v>
      </c>
      <c r="BZ352" t="s">
        <v>6426</v>
      </c>
      <c r="CA352" s="923">
        <v>0.08</v>
      </c>
      <c r="CB352" s="38">
        <v>0</v>
      </c>
    </row>
    <row r="353" spans="15:80" x14ac:dyDescent="0.25">
      <c r="O353" t="s">
        <v>3892</v>
      </c>
      <c r="P353" t="s">
        <v>5234</v>
      </c>
      <c r="Q353" s="671">
        <v>66060</v>
      </c>
      <c r="R353" s="671"/>
      <c r="AT353" s="671"/>
      <c r="AU353" s="671"/>
      <c r="AV353" s="671"/>
      <c r="AW353" s="671"/>
      <c r="BY353" t="s">
        <v>6416</v>
      </c>
      <c r="BZ353" t="s">
        <v>6424</v>
      </c>
      <c r="CA353" s="923">
        <v>0.1</v>
      </c>
      <c r="CB353" s="38">
        <f t="shared" si="5"/>
        <v>0.1</v>
      </c>
    </row>
    <row r="354" spans="15:80" x14ac:dyDescent="0.25">
      <c r="O354" t="s">
        <v>3892</v>
      </c>
      <c r="P354" t="s">
        <v>5234</v>
      </c>
      <c r="Q354" s="671">
        <v>66060</v>
      </c>
      <c r="R354" s="671"/>
      <c r="AT354" s="671"/>
      <c r="AU354" s="671"/>
      <c r="AV354" s="671"/>
      <c r="AW354" s="671"/>
      <c r="BY354" t="s">
        <v>6417</v>
      </c>
      <c r="BZ354" t="s">
        <v>6426</v>
      </c>
      <c r="CA354" s="923">
        <v>0.05</v>
      </c>
      <c r="CB354" s="38">
        <v>0</v>
      </c>
    </row>
    <row r="355" spans="15:80" x14ac:dyDescent="0.25">
      <c r="O355" t="s">
        <v>3907</v>
      </c>
      <c r="P355" t="s">
        <v>5235</v>
      </c>
      <c r="Q355" s="671">
        <v>66061</v>
      </c>
      <c r="R355" s="671"/>
      <c r="AT355" s="671"/>
      <c r="AU355" s="671"/>
      <c r="AV355" s="671"/>
      <c r="AW355" s="671"/>
      <c r="BY355" t="s">
        <v>6418</v>
      </c>
      <c r="BZ355" t="s">
        <v>6202</v>
      </c>
      <c r="CA355" s="923">
        <v>0.08</v>
      </c>
      <c r="CB355" s="38">
        <v>0</v>
      </c>
    </row>
    <row r="356" spans="15:80" x14ac:dyDescent="0.25">
      <c r="O356" t="s">
        <v>3907</v>
      </c>
      <c r="P356" t="s">
        <v>5235</v>
      </c>
      <c r="Q356" s="671">
        <v>66061</v>
      </c>
      <c r="R356" s="671"/>
      <c r="AT356" s="671"/>
      <c r="AU356" s="671"/>
      <c r="AV356" s="671"/>
      <c r="AW356" s="671"/>
      <c r="BY356" t="s">
        <v>6419</v>
      </c>
      <c r="BZ356" t="s">
        <v>6426</v>
      </c>
      <c r="CA356" s="923">
        <v>0.06</v>
      </c>
      <c r="CB356" s="38">
        <v>0</v>
      </c>
    </row>
    <row r="357" spans="15:80" x14ac:dyDescent="0.25">
      <c r="O357" t="s">
        <v>3907</v>
      </c>
      <c r="P357" t="s">
        <v>5235</v>
      </c>
      <c r="Q357" s="671">
        <v>66061</v>
      </c>
      <c r="R357" s="671"/>
      <c r="AT357" s="671"/>
      <c r="AU357" s="671"/>
      <c r="AV357" s="671"/>
      <c r="AW357" s="671"/>
      <c r="BY357" t="s">
        <v>6420</v>
      </c>
      <c r="BZ357" t="s">
        <v>6458</v>
      </c>
      <c r="CA357" s="923">
        <v>0.05</v>
      </c>
      <c r="CB357" s="38">
        <v>0</v>
      </c>
    </row>
    <row r="358" spans="15:80" x14ac:dyDescent="0.25">
      <c r="O358" t="s">
        <v>3907</v>
      </c>
      <c r="P358" t="s">
        <v>5235</v>
      </c>
      <c r="Q358" s="671">
        <v>66061</v>
      </c>
      <c r="R358" s="671"/>
      <c r="AT358" s="671"/>
      <c r="AU358" s="671"/>
      <c r="AV358" s="671"/>
      <c r="AW358" s="671"/>
      <c r="BY358" t="s">
        <v>6421</v>
      </c>
      <c r="BZ358" t="s">
        <v>6202</v>
      </c>
      <c r="CA358" s="923">
        <v>0.08</v>
      </c>
      <c r="CB358" s="38">
        <v>0</v>
      </c>
    </row>
    <row r="359" spans="15:80" x14ac:dyDescent="0.25">
      <c r="O359" t="s">
        <v>3932</v>
      </c>
      <c r="P359" t="s">
        <v>5235</v>
      </c>
      <c r="Q359" s="671">
        <v>66061</v>
      </c>
      <c r="R359" s="671"/>
      <c r="AT359" s="671"/>
      <c r="AU359" s="671"/>
      <c r="AV359" s="671"/>
      <c r="AW359" s="671"/>
    </row>
    <row r="360" spans="15:80" x14ac:dyDescent="0.25">
      <c r="O360" t="s">
        <v>3932</v>
      </c>
      <c r="P360" t="s">
        <v>5235</v>
      </c>
      <c r="Q360" s="671">
        <v>66061</v>
      </c>
      <c r="R360" s="671"/>
      <c r="AT360" s="671"/>
      <c r="AU360" s="671"/>
      <c r="AV360" s="671"/>
      <c r="AW360" s="671"/>
    </row>
    <row r="361" spans="15:80" x14ac:dyDescent="0.25">
      <c r="O361" t="s">
        <v>3932</v>
      </c>
      <c r="P361" t="s">
        <v>5235</v>
      </c>
      <c r="Q361" s="671">
        <v>66061</v>
      </c>
      <c r="R361" s="671"/>
      <c r="AT361" s="671"/>
      <c r="AU361" s="671"/>
      <c r="AV361" s="671"/>
      <c r="AW361" s="671"/>
    </row>
    <row r="362" spans="15:80" x14ac:dyDescent="0.25">
      <c r="O362" t="s">
        <v>3932</v>
      </c>
      <c r="P362" t="s">
        <v>5235</v>
      </c>
      <c r="Q362" s="671">
        <v>66061</v>
      </c>
      <c r="R362" s="671"/>
      <c r="AT362" s="671"/>
      <c r="AU362" s="671"/>
      <c r="AV362" s="671"/>
      <c r="AW362" s="671"/>
    </row>
    <row r="363" spans="15:80" x14ac:dyDescent="0.25">
      <c r="O363" t="s">
        <v>3932</v>
      </c>
      <c r="P363" t="s">
        <v>5235</v>
      </c>
      <c r="Q363" s="671">
        <v>66061</v>
      </c>
      <c r="R363" s="671"/>
      <c r="AT363" s="671"/>
      <c r="AU363" s="671"/>
      <c r="AV363" s="671"/>
      <c r="AW363" s="671"/>
    </row>
    <row r="364" spans="15:80" x14ac:dyDescent="0.25">
      <c r="O364" t="s">
        <v>3932</v>
      </c>
      <c r="P364" t="s">
        <v>5235</v>
      </c>
      <c r="Q364" s="671">
        <v>66061</v>
      </c>
      <c r="R364" s="671"/>
      <c r="AT364" s="671"/>
      <c r="AU364" s="671"/>
      <c r="AV364" s="671"/>
      <c r="AW364" s="671"/>
    </row>
    <row r="365" spans="15:80" x14ac:dyDescent="0.25">
      <c r="O365" t="s">
        <v>3932</v>
      </c>
      <c r="P365" t="s">
        <v>5235</v>
      </c>
      <c r="Q365" s="671">
        <v>66061</v>
      </c>
      <c r="R365" s="671"/>
      <c r="AT365" s="671"/>
      <c r="AU365" s="671"/>
      <c r="AV365" s="671"/>
      <c r="AW365" s="671"/>
    </row>
    <row r="366" spans="15:80" x14ac:dyDescent="0.25">
      <c r="O366" t="s">
        <v>3932</v>
      </c>
      <c r="P366" t="s">
        <v>5235</v>
      </c>
      <c r="Q366" s="671">
        <v>66061</v>
      </c>
      <c r="R366" s="671"/>
      <c r="AT366" s="671"/>
      <c r="AU366" s="671"/>
      <c r="AV366" s="671"/>
      <c r="AW366" s="671"/>
    </row>
    <row r="367" spans="15:80" ht="30" customHeight="1" x14ac:dyDescent="0.25">
      <c r="O367" t="s">
        <v>3918</v>
      </c>
      <c r="P367" t="s">
        <v>5235</v>
      </c>
      <c r="Q367" s="671">
        <v>66061</v>
      </c>
      <c r="R367" s="671"/>
      <c r="AT367" s="671"/>
      <c r="AU367" s="671"/>
      <c r="AV367" s="671"/>
      <c r="AW367" s="671"/>
    </row>
    <row r="368" spans="15:80" x14ac:dyDescent="0.25">
      <c r="O368" t="s">
        <v>3926</v>
      </c>
      <c r="P368" t="s">
        <v>5235</v>
      </c>
      <c r="Q368" s="671">
        <v>66061</v>
      </c>
      <c r="R368" s="671"/>
      <c r="AT368" s="671"/>
      <c r="AU368" s="671"/>
      <c r="AV368" s="671"/>
      <c r="AW368" s="671"/>
    </row>
    <row r="369" spans="15:49" x14ac:dyDescent="0.25">
      <c r="O369" t="s">
        <v>3926</v>
      </c>
      <c r="P369" t="s">
        <v>5235</v>
      </c>
      <c r="Q369" s="671">
        <v>66061</v>
      </c>
      <c r="R369" s="671"/>
      <c r="AT369" s="671"/>
      <c r="AU369" s="671"/>
      <c r="AV369" s="671"/>
      <c r="AW369" s="671"/>
    </row>
    <row r="370" spans="15:49" x14ac:dyDescent="0.25">
      <c r="O370" t="s">
        <v>3926</v>
      </c>
      <c r="P370" t="s">
        <v>5235</v>
      </c>
      <c r="Q370" s="671">
        <v>66061</v>
      </c>
      <c r="R370" s="671"/>
      <c r="AT370" s="671"/>
      <c r="AU370" s="671"/>
      <c r="AV370" s="671"/>
      <c r="AW370" s="671"/>
    </row>
    <row r="371" spans="15:49" x14ac:dyDescent="0.25">
      <c r="O371" t="s">
        <v>3926</v>
      </c>
      <c r="P371" t="s">
        <v>5235</v>
      </c>
      <c r="Q371" s="671">
        <v>66061</v>
      </c>
      <c r="R371" s="671"/>
      <c r="AT371" s="671"/>
      <c r="AU371" s="671"/>
      <c r="AV371" s="671"/>
      <c r="AW371" s="671"/>
    </row>
    <row r="372" spans="15:49" x14ac:dyDescent="0.25">
      <c r="O372" t="s">
        <v>3920</v>
      </c>
      <c r="P372" t="s">
        <v>5235</v>
      </c>
      <c r="Q372" s="671">
        <v>66061</v>
      </c>
      <c r="R372" s="671"/>
      <c r="AT372" s="671"/>
      <c r="AU372" s="671"/>
      <c r="AV372" s="671"/>
      <c r="AW372" s="671"/>
    </row>
    <row r="373" spans="15:49" x14ac:dyDescent="0.25">
      <c r="O373" t="s">
        <v>3920</v>
      </c>
      <c r="P373" t="s">
        <v>5235</v>
      </c>
      <c r="Q373" s="671">
        <v>66061</v>
      </c>
      <c r="R373" s="671"/>
      <c r="AT373" s="671"/>
      <c r="AU373" s="671"/>
      <c r="AV373" s="671"/>
      <c r="AW373" s="671"/>
    </row>
    <row r="374" spans="15:49" x14ac:dyDescent="0.25">
      <c r="O374" t="s">
        <v>3920</v>
      </c>
      <c r="P374" t="s">
        <v>5235</v>
      </c>
      <c r="Q374" s="671">
        <v>66061</v>
      </c>
      <c r="R374" s="671"/>
      <c r="AT374" s="671"/>
      <c r="AU374" s="671"/>
      <c r="AV374" s="671"/>
      <c r="AW374" s="671"/>
    </row>
    <row r="375" spans="15:49" x14ac:dyDescent="0.25">
      <c r="O375" t="s">
        <v>3930</v>
      </c>
      <c r="P375" t="s">
        <v>5235</v>
      </c>
      <c r="Q375" s="671">
        <v>66061</v>
      </c>
      <c r="R375" s="671"/>
      <c r="AT375" s="671"/>
      <c r="AU375" s="671"/>
      <c r="AV375" s="671"/>
      <c r="AW375" s="671"/>
    </row>
    <row r="376" spans="15:49" x14ac:dyDescent="0.25">
      <c r="O376" t="s">
        <v>3930</v>
      </c>
      <c r="P376" t="s">
        <v>5235</v>
      </c>
      <c r="Q376" s="671">
        <v>66061</v>
      </c>
      <c r="R376" s="671"/>
      <c r="AT376" s="671"/>
      <c r="AU376" s="671"/>
      <c r="AV376" s="671"/>
      <c r="AW376" s="671"/>
    </row>
    <row r="377" spans="15:49" x14ac:dyDescent="0.25">
      <c r="O377" t="s">
        <v>3913</v>
      </c>
      <c r="P377" t="s">
        <v>5235</v>
      </c>
      <c r="Q377" s="671">
        <v>66061</v>
      </c>
      <c r="R377" s="671"/>
      <c r="AT377" s="671"/>
      <c r="AU377" s="671"/>
      <c r="AV377" s="671"/>
      <c r="AW377" s="671"/>
    </row>
    <row r="378" spans="15:49" x14ac:dyDescent="0.25">
      <c r="O378" t="s">
        <v>3913</v>
      </c>
      <c r="P378" t="s">
        <v>5235</v>
      </c>
      <c r="Q378" s="671">
        <v>66061</v>
      </c>
      <c r="R378" s="671"/>
      <c r="AT378" s="671"/>
      <c r="AU378" s="671"/>
      <c r="AV378" s="671"/>
      <c r="AW378" s="671"/>
    </row>
    <row r="379" spans="15:49" x14ac:dyDescent="0.25">
      <c r="O379" t="s">
        <v>3913</v>
      </c>
      <c r="P379" t="s">
        <v>5235</v>
      </c>
      <c r="Q379" s="671">
        <v>66061</v>
      </c>
      <c r="R379" s="671"/>
      <c r="AT379" s="671"/>
      <c r="AU379" s="671"/>
      <c r="AV379" s="671"/>
      <c r="AW379" s="671"/>
    </row>
    <row r="380" spans="15:49" x14ac:dyDescent="0.25">
      <c r="O380" t="s">
        <v>4028</v>
      </c>
      <c r="P380" t="s">
        <v>5236</v>
      </c>
      <c r="Q380" s="671">
        <v>66062</v>
      </c>
      <c r="R380" s="671"/>
      <c r="AT380" s="671"/>
      <c r="AU380" s="671"/>
      <c r="AV380" s="671"/>
      <c r="AW380" s="671"/>
    </row>
    <row r="381" spans="15:49" x14ac:dyDescent="0.25">
      <c r="O381" t="s">
        <v>4030</v>
      </c>
      <c r="P381" t="s">
        <v>5237</v>
      </c>
      <c r="Q381" s="671">
        <v>66064</v>
      </c>
      <c r="R381" s="671"/>
      <c r="AT381" s="671"/>
      <c r="AU381" s="671"/>
      <c r="AV381" s="671"/>
      <c r="AW381" s="671"/>
    </row>
    <row r="382" spans="15:49" x14ac:dyDescent="0.25">
      <c r="O382" t="s">
        <v>4030</v>
      </c>
      <c r="P382" t="s">
        <v>5237</v>
      </c>
      <c r="Q382" s="671">
        <v>66064</v>
      </c>
      <c r="R382" s="671"/>
      <c r="AT382" s="671"/>
      <c r="AU382" s="671"/>
      <c r="AV382" s="671"/>
      <c r="AW382" s="671"/>
    </row>
    <row r="383" spans="15:49" x14ac:dyDescent="0.25">
      <c r="O383" t="s">
        <v>4030</v>
      </c>
      <c r="P383" t="s">
        <v>5237</v>
      </c>
      <c r="Q383" s="671">
        <v>66064</v>
      </c>
      <c r="R383" s="671"/>
      <c r="AT383" s="671"/>
      <c r="AU383" s="671"/>
      <c r="AV383" s="671"/>
      <c r="AW383" s="671"/>
    </row>
    <row r="384" spans="15:49" x14ac:dyDescent="0.25">
      <c r="O384" t="s">
        <v>4030</v>
      </c>
      <c r="P384" t="s">
        <v>5237</v>
      </c>
      <c r="Q384" s="671">
        <v>66064</v>
      </c>
      <c r="R384" s="671"/>
      <c r="AT384" s="671"/>
      <c r="AU384" s="671"/>
      <c r="AV384" s="671"/>
      <c r="AW384" s="671"/>
    </row>
    <row r="385" spans="15:49" x14ac:dyDescent="0.25">
      <c r="O385" t="s">
        <v>4026</v>
      </c>
      <c r="P385" t="s">
        <v>5236</v>
      </c>
      <c r="Q385" s="671">
        <v>66062</v>
      </c>
      <c r="R385" s="671"/>
      <c r="AT385" s="671"/>
      <c r="AU385" s="671"/>
      <c r="AV385" s="671"/>
      <c r="AW385" s="671"/>
    </row>
    <row r="386" spans="15:49" x14ac:dyDescent="0.25">
      <c r="O386" t="s">
        <v>4032</v>
      </c>
      <c r="P386" t="s">
        <v>5238</v>
      </c>
      <c r="Q386" s="671">
        <v>66067</v>
      </c>
      <c r="R386" s="671"/>
      <c r="AT386" s="671"/>
      <c r="AU386" s="671"/>
      <c r="AV386" s="671"/>
      <c r="AW386" s="671"/>
    </row>
    <row r="387" spans="15:49" ht="15" customHeight="1" x14ac:dyDescent="0.25">
      <c r="O387" t="s">
        <v>4038</v>
      </c>
      <c r="P387" t="s">
        <v>5239</v>
      </c>
      <c r="Q387" s="671">
        <v>66067</v>
      </c>
      <c r="R387" s="671"/>
      <c r="AT387" s="671"/>
      <c r="AU387" s="671"/>
      <c r="AV387" s="671"/>
      <c r="AW387" s="671"/>
    </row>
    <row r="388" spans="15:49" x14ac:dyDescent="0.25">
      <c r="O388" t="s">
        <v>4038</v>
      </c>
      <c r="P388" t="s">
        <v>5239</v>
      </c>
      <c r="Q388" s="671">
        <v>66067</v>
      </c>
      <c r="R388" s="671"/>
      <c r="AT388" s="671"/>
      <c r="AU388" s="671"/>
      <c r="AV388" s="671"/>
      <c r="AW388" s="671"/>
    </row>
    <row r="389" spans="15:49" x14ac:dyDescent="0.25">
      <c r="O389" t="s">
        <v>4038</v>
      </c>
      <c r="P389" t="s">
        <v>5239</v>
      </c>
      <c r="Q389" s="671">
        <v>66067</v>
      </c>
      <c r="R389" s="671"/>
      <c r="AT389" s="671"/>
      <c r="AU389" s="671"/>
      <c r="AV389" s="671"/>
      <c r="AW389" s="671"/>
    </row>
    <row r="390" spans="15:49" x14ac:dyDescent="0.25">
      <c r="O390" t="s">
        <v>4036</v>
      </c>
      <c r="P390" t="s">
        <v>5240</v>
      </c>
      <c r="Q390" s="671">
        <v>66067</v>
      </c>
      <c r="R390" s="671"/>
      <c r="AT390" s="671"/>
      <c r="AU390" s="671"/>
      <c r="AV390" s="671"/>
      <c r="AW390" s="671"/>
    </row>
    <row r="391" spans="15:49" x14ac:dyDescent="0.25">
      <c r="O391" t="s">
        <v>4014</v>
      </c>
      <c r="P391" t="s">
        <v>5241</v>
      </c>
      <c r="Q391" s="671">
        <v>66064</v>
      </c>
      <c r="R391" s="671"/>
      <c r="AT391" s="671"/>
      <c r="AU391" s="671"/>
      <c r="AV391" s="671"/>
      <c r="AW391" s="671"/>
    </row>
    <row r="392" spans="15:49" x14ac:dyDescent="0.25">
      <c r="O392" t="s">
        <v>4024</v>
      </c>
      <c r="P392" t="s">
        <v>5241</v>
      </c>
      <c r="Q392" s="671">
        <v>66064</v>
      </c>
      <c r="R392" s="671"/>
      <c r="AT392" s="671"/>
      <c r="AU392" s="671"/>
      <c r="AV392" s="671"/>
      <c r="AW392" s="671"/>
    </row>
    <row r="393" spans="15:49" x14ac:dyDescent="0.25">
      <c r="O393" t="s">
        <v>4019</v>
      </c>
      <c r="P393" t="s">
        <v>5241</v>
      </c>
      <c r="Q393" s="671">
        <v>66064</v>
      </c>
      <c r="R393" s="671"/>
      <c r="AT393" s="671"/>
      <c r="AU393" s="671"/>
      <c r="AV393" s="671"/>
      <c r="AW393" s="671"/>
    </row>
    <row r="394" spans="15:49" ht="30" customHeight="1" x14ac:dyDescent="0.25">
      <c r="O394" t="s">
        <v>4022</v>
      </c>
      <c r="P394" t="s">
        <v>5241</v>
      </c>
      <c r="Q394" s="671">
        <v>66064</v>
      </c>
      <c r="R394" s="671"/>
      <c r="AT394" s="671"/>
      <c r="AU394" s="671"/>
      <c r="AV394" s="671"/>
      <c r="AW394" s="671"/>
    </row>
    <row r="395" spans="15:49" x14ac:dyDescent="0.25">
      <c r="O395" t="s">
        <v>4022</v>
      </c>
      <c r="P395" t="s">
        <v>5241</v>
      </c>
      <c r="Q395" s="671">
        <v>66064</v>
      </c>
      <c r="R395" s="671"/>
      <c r="AT395" s="671"/>
      <c r="AU395" s="671"/>
      <c r="AV395" s="671"/>
      <c r="AW395" s="671"/>
    </row>
    <row r="396" spans="15:49" x14ac:dyDescent="0.25">
      <c r="O396" t="s">
        <v>3998</v>
      </c>
      <c r="P396" t="s">
        <v>5242</v>
      </c>
      <c r="Q396" s="671">
        <v>66063</v>
      </c>
      <c r="R396" s="671"/>
      <c r="AT396" s="671"/>
      <c r="AU396" s="671"/>
      <c r="AV396" s="671"/>
      <c r="AW396" s="671"/>
    </row>
    <row r="397" spans="15:49" x14ac:dyDescent="0.25">
      <c r="O397" t="s">
        <v>3998</v>
      </c>
      <c r="P397" t="s">
        <v>5242</v>
      </c>
      <c r="Q397" s="671">
        <v>66063</v>
      </c>
      <c r="R397" s="671"/>
      <c r="AT397" s="671"/>
      <c r="AU397" s="671"/>
      <c r="AV397" s="671"/>
      <c r="AW397" s="671"/>
    </row>
    <row r="398" spans="15:49" x14ac:dyDescent="0.25">
      <c r="O398" t="s">
        <v>4004</v>
      </c>
      <c r="P398" t="s">
        <v>5242</v>
      </c>
      <c r="Q398" s="671">
        <v>66063</v>
      </c>
      <c r="R398" s="671"/>
      <c r="AT398" s="671"/>
      <c r="AU398" s="671"/>
      <c r="AV398" s="671"/>
      <c r="AW398" s="671"/>
    </row>
    <row r="399" spans="15:49" x14ac:dyDescent="0.25">
      <c r="O399" t="s">
        <v>4008</v>
      </c>
      <c r="P399" t="s">
        <v>5242</v>
      </c>
      <c r="Q399" s="671">
        <v>66063</v>
      </c>
      <c r="R399" s="671"/>
      <c r="AT399" s="671"/>
      <c r="AU399" s="671"/>
      <c r="AV399" s="671"/>
      <c r="AW399" s="671"/>
    </row>
    <row r="400" spans="15:49" x14ac:dyDescent="0.25">
      <c r="O400" t="s">
        <v>4008</v>
      </c>
      <c r="P400" t="s">
        <v>5242</v>
      </c>
      <c r="Q400" s="671">
        <v>66063</v>
      </c>
      <c r="R400" s="671"/>
      <c r="AT400" s="671"/>
      <c r="AU400" s="671"/>
      <c r="AV400" s="671"/>
      <c r="AW400" s="671"/>
    </row>
    <row r="401" spans="15:49" x14ac:dyDescent="0.25">
      <c r="O401" t="s">
        <v>4008</v>
      </c>
      <c r="P401" t="s">
        <v>5242</v>
      </c>
      <c r="Q401" s="671">
        <v>66063</v>
      </c>
      <c r="R401" s="671"/>
      <c r="AT401" s="671"/>
      <c r="AU401" s="671"/>
      <c r="AV401" s="671"/>
      <c r="AW401" s="671"/>
    </row>
    <row r="402" spans="15:49" x14ac:dyDescent="0.25">
      <c r="O402" t="s">
        <v>4008</v>
      </c>
      <c r="P402" t="s">
        <v>5242</v>
      </c>
      <c r="Q402" s="671">
        <v>66063</v>
      </c>
      <c r="R402" s="671"/>
      <c r="AT402" s="671"/>
      <c r="AU402" s="671"/>
      <c r="AV402" s="671"/>
      <c r="AW402" s="671"/>
    </row>
    <row r="403" spans="15:49" x14ac:dyDescent="0.25">
      <c r="O403" t="s">
        <v>3994</v>
      </c>
      <c r="P403" t="s">
        <v>5243</v>
      </c>
      <c r="Q403" s="671">
        <v>66063</v>
      </c>
      <c r="R403" s="671"/>
      <c r="AT403" s="671"/>
      <c r="AU403" s="671"/>
      <c r="AV403" s="671"/>
      <c r="AW403" s="671"/>
    </row>
    <row r="404" spans="15:49" x14ac:dyDescent="0.25">
      <c r="O404" t="s">
        <v>3994</v>
      </c>
      <c r="P404" t="s">
        <v>5243</v>
      </c>
      <c r="Q404" s="671">
        <v>66063</v>
      </c>
      <c r="R404" s="671"/>
      <c r="AT404" s="671"/>
      <c r="AU404" s="671"/>
      <c r="AV404" s="671"/>
      <c r="AW404" s="671"/>
    </row>
    <row r="405" spans="15:49" x14ac:dyDescent="0.25">
      <c r="O405" t="s">
        <v>3987</v>
      </c>
      <c r="P405" t="s">
        <v>5243</v>
      </c>
      <c r="Q405" s="671">
        <v>66063</v>
      </c>
      <c r="R405" s="671"/>
      <c r="AT405" s="671"/>
      <c r="AU405" s="671"/>
      <c r="AV405" s="671"/>
      <c r="AW405" s="671"/>
    </row>
    <row r="406" spans="15:49" x14ac:dyDescent="0.25">
      <c r="O406" t="s">
        <v>3987</v>
      </c>
      <c r="P406" t="s">
        <v>5243</v>
      </c>
      <c r="Q406" s="671">
        <v>66063</v>
      </c>
      <c r="R406" s="671"/>
      <c r="AT406" s="671"/>
      <c r="AU406" s="671"/>
      <c r="AV406" s="671"/>
      <c r="AW406" s="671"/>
    </row>
    <row r="407" spans="15:49" x14ac:dyDescent="0.25">
      <c r="O407" t="s">
        <v>4012</v>
      </c>
      <c r="P407" t="s">
        <v>5244</v>
      </c>
      <c r="Q407" s="671">
        <v>66063</v>
      </c>
      <c r="R407" s="671"/>
      <c r="AT407" s="671"/>
      <c r="AU407" s="671"/>
      <c r="AV407" s="671"/>
      <c r="AW407" s="671"/>
    </row>
    <row r="408" spans="15:49" x14ac:dyDescent="0.25">
      <c r="O408" t="s">
        <v>4012</v>
      </c>
      <c r="P408" t="s">
        <v>5244</v>
      </c>
      <c r="Q408" s="671">
        <v>66063</v>
      </c>
      <c r="R408" s="671"/>
      <c r="AT408" s="671"/>
      <c r="AU408" s="671"/>
      <c r="AV408" s="671"/>
      <c r="AW408" s="671"/>
    </row>
    <row r="409" spans="15:49" x14ac:dyDescent="0.25">
      <c r="O409" t="s">
        <v>4012</v>
      </c>
      <c r="P409" t="s">
        <v>5244</v>
      </c>
      <c r="Q409" s="671">
        <v>66063</v>
      </c>
      <c r="R409" s="671"/>
      <c r="AT409" s="671"/>
      <c r="AU409" s="671"/>
      <c r="AV409" s="671"/>
      <c r="AW409" s="671"/>
    </row>
    <row r="410" spans="15:49" x14ac:dyDescent="0.25">
      <c r="O410" t="s">
        <v>4012</v>
      </c>
      <c r="P410" t="s">
        <v>5244</v>
      </c>
      <c r="Q410" s="671">
        <v>66063</v>
      </c>
      <c r="R410" s="671"/>
      <c r="AT410" s="671"/>
      <c r="AU410" s="671"/>
      <c r="AV410" s="671"/>
      <c r="AW410" s="671"/>
    </row>
    <row r="411" spans="15:49" x14ac:dyDescent="0.25">
      <c r="O411" t="s">
        <v>4012</v>
      </c>
      <c r="P411" t="s">
        <v>5244</v>
      </c>
      <c r="Q411" s="671">
        <v>66063</v>
      </c>
      <c r="R411" s="671"/>
      <c r="AT411" s="671"/>
      <c r="AU411" s="671"/>
      <c r="AV411" s="671"/>
      <c r="AW411" s="671"/>
    </row>
    <row r="412" spans="15:49" x14ac:dyDescent="0.25">
      <c r="O412" t="s">
        <v>4012</v>
      </c>
      <c r="P412" t="s">
        <v>5244</v>
      </c>
      <c r="Q412" s="671">
        <v>66063</v>
      </c>
      <c r="R412" s="671"/>
      <c r="AT412" s="671"/>
      <c r="AU412" s="671"/>
      <c r="AV412" s="671"/>
      <c r="AW412" s="671"/>
    </row>
    <row r="413" spans="15:49" x14ac:dyDescent="0.25">
      <c r="O413" t="s">
        <v>3876</v>
      </c>
      <c r="P413" t="s">
        <v>5245</v>
      </c>
      <c r="Q413" s="671">
        <v>67078</v>
      </c>
      <c r="R413" s="671"/>
      <c r="AT413" s="671"/>
      <c r="AU413" s="671"/>
      <c r="AV413" s="671"/>
      <c r="AW413" s="671"/>
    </row>
    <row r="414" spans="15:49" x14ac:dyDescent="0.25">
      <c r="O414" t="s">
        <v>3985</v>
      </c>
      <c r="P414" t="s">
        <v>5246</v>
      </c>
      <c r="Q414" s="671">
        <v>66062</v>
      </c>
      <c r="R414" s="671"/>
      <c r="AT414" s="671"/>
      <c r="AU414" s="671"/>
      <c r="AV414" s="671"/>
      <c r="AW414" s="671"/>
    </row>
    <row r="415" spans="15:49" ht="30" customHeight="1" x14ac:dyDescent="0.25">
      <c r="O415" t="s">
        <v>3985</v>
      </c>
      <c r="P415" t="s">
        <v>5246</v>
      </c>
      <c r="Q415" s="671">
        <v>66062</v>
      </c>
      <c r="R415" s="671"/>
      <c r="AT415" s="671"/>
      <c r="AU415" s="671"/>
      <c r="AV415" s="671"/>
      <c r="AW415" s="671"/>
    </row>
    <row r="416" spans="15:49" x14ac:dyDescent="0.25">
      <c r="O416" t="s">
        <v>3979</v>
      </c>
      <c r="P416" t="s">
        <v>5246</v>
      </c>
      <c r="Q416" s="671">
        <v>66062</v>
      </c>
      <c r="R416" s="671"/>
      <c r="AT416" s="671"/>
      <c r="AU416" s="671"/>
      <c r="AV416" s="671"/>
      <c r="AW416" s="671"/>
    </row>
    <row r="417" spans="15:49" x14ac:dyDescent="0.25">
      <c r="O417" t="s">
        <v>3979</v>
      </c>
      <c r="P417" t="s">
        <v>5246</v>
      </c>
      <c r="Q417" s="671">
        <v>66062</v>
      </c>
      <c r="R417" s="671"/>
      <c r="AT417" s="671"/>
      <c r="AU417" s="671"/>
      <c r="AV417" s="671"/>
      <c r="AW417" s="671"/>
    </row>
    <row r="418" spans="15:49" x14ac:dyDescent="0.25">
      <c r="O418" t="s">
        <v>3979</v>
      </c>
      <c r="P418" t="s">
        <v>5246</v>
      </c>
      <c r="Q418" s="671">
        <v>66062</v>
      </c>
      <c r="R418" s="671"/>
      <c r="AT418" s="671"/>
      <c r="AU418" s="671"/>
      <c r="AV418" s="671"/>
      <c r="AW418" s="671"/>
    </row>
    <row r="419" spans="15:49" x14ac:dyDescent="0.25">
      <c r="O419" t="s">
        <v>3979</v>
      </c>
      <c r="P419" t="s">
        <v>5246</v>
      </c>
      <c r="Q419" s="671">
        <v>66062</v>
      </c>
      <c r="R419" s="671"/>
      <c r="AT419" s="671"/>
      <c r="AU419" s="671"/>
      <c r="AV419" s="671"/>
      <c r="AW419" s="671"/>
    </row>
    <row r="420" spans="15:49" x14ac:dyDescent="0.25">
      <c r="O420" t="s">
        <v>3978</v>
      </c>
      <c r="P420" t="s">
        <v>5247</v>
      </c>
      <c r="Q420" s="671">
        <v>66062</v>
      </c>
      <c r="R420" s="671"/>
      <c r="AT420" s="671"/>
      <c r="AU420" s="671"/>
      <c r="AV420" s="671"/>
      <c r="AW420" s="671"/>
    </row>
    <row r="421" spans="15:49" x14ac:dyDescent="0.25">
      <c r="O421" t="s">
        <v>3964</v>
      </c>
      <c r="P421" t="s">
        <v>5248</v>
      </c>
      <c r="Q421" s="671">
        <v>66062</v>
      </c>
      <c r="R421" s="671"/>
      <c r="AT421" s="671"/>
      <c r="AU421" s="671"/>
      <c r="AV421" s="671"/>
      <c r="AW421" s="671"/>
    </row>
    <row r="422" spans="15:49" x14ac:dyDescent="0.25">
      <c r="O422" t="s">
        <v>3964</v>
      </c>
      <c r="P422" t="s">
        <v>5248</v>
      </c>
      <c r="Q422" s="671">
        <v>66062</v>
      </c>
      <c r="R422" s="671"/>
      <c r="AT422" s="671"/>
      <c r="AU422" s="671"/>
      <c r="AV422" s="671"/>
      <c r="AW422" s="671"/>
    </row>
    <row r="423" spans="15:49" x14ac:dyDescent="0.25">
      <c r="O423" t="s">
        <v>3964</v>
      </c>
      <c r="P423" t="s">
        <v>5248</v>
      </c>
      <c r="Q423" s="671">
        <v>66062</v>
      </c>
      <c r="R423" s="671"/>
      <c r="AT423" s="671"/>
      <c r="AU423" s="671"/>
      <c r="AV423" s="671"/>
      <c r="AW423" s="671"/>
    </row>
    <row r="424" spans="15:49" x14ac:dyDescent="0.25">
      <c r="O424" t="s">
        <v>3964</v>
      </c>
      <c r="P424" t="s">
        <v>5248</v>
      </c>
      <c r="Q424" s="671">
        <v>66062</v>
      </c>
      <c r="R424" s="671"/>
      <c r="AT424" s="671"/>
      <c r="AU424" s="671"/>
      <c r="AV424" s="671"/>
      <c r="AW424" s="671"/>
    </row>
    <row r="425" spans="15:49" x14ac:dyDescent="0.25">
      <c r="O425" t="s">
        <v>3968</v>
      </c>
      <c r="P425" t="s">
        <v>5247</v>
      </c>
      <c r="Q425" s="671">
        <v>66062</v>
      </c>
      <c r="R425" s="671"/>
      <c r="AT425" s="671"/>
      <c r="AU425" s="671"/>
      <c r="AV425" s="671"/>
      <c r="AW425" s="671"/>
    </row>
    <row r="426" spans="15:49" x14ac:dyDescent="0.25">
      <c r="O426" t="s">
        <v>3968</v>
      </c>
      <c r="P426" t="s">
        <v>5247</v>
      </c>
      <c r="Q426" s="671">
        <v>66062</v>
      </c>
      <c r="R426" s="671"/>
      <c r="AT426" s="671"/>
      <c r="AU426" s="671"/>
      <c r="AV426" s="671"/>
      <c r="AW426" s="671"/>
    </row>
    <row r="427" spans="15:49" x14ac:dyDescent="0.25">
      <c r="O427" t="s">
        <v>3968</v>
      </c>
      <c r="P427" t="s">
        <v>5247</v>
      </c>
      <c r="Q427" s="671">
        <v>66062</v>
      </c>
      <c r="R427" s="671"/>
      <c r="AT427" s="671"/>
      <c r="AU427" s="671"/>
      <c r="AV427" s="671"/>
      <c r="AW427" s="671"/>
    </row>
    <row r="428" spans="15:49" x14ac:dyDescent="0.25">
      <c r="O428" t="s">
        <v>3968</v>
      </c>
      <c r="P428" t="s">
        <v>5247</v>
      </c>
      <c r="Q428" s="671">
        <v>66062</v>
      </c>
      <c r="R428" s="671"/>
      <c r="AT428" s="671"/>
      <c r="AU428" s="671"/>
      <c r="AV428" s="671"/>
      <c r="AW428" s="671"/>
    </row>
    <row r="429" spans="15:49" x14ac:dyDescent="0.25">
      <c r="O429" t="s">
        <v>3958</v>
      </c>
      <c r="P429" t="s">
        <v>5249</v>
      </c>
      <c r="Q429" s="671">
        <v>66062</v>
      </c>
      <c r="R429" s="671"/>
      <c r="AT429" s="671"/>
      <c r="AU429" s="671"/>
      <c r="AV429" s="671"/>
      <c r="AW429" s="671"/>
    </row>
    <row r="430" spans="15:49" x14ac:dyDescent="0.25">
      <c r="O430" t="s">
        <v>3952</v>
      </c>
      <c r="P430" t="s">
        <v>5249</v>
      </c>
      <c r="Q430" s="671">
        <v>66062</v>
      </c>
      <c r="R430" s="671"/>
      <c r="AT430" s="671"/>
      <c r="AU430" s="671"/>
      <c r="AV430" s="671"/>
      <c r="AW430" s="671"/>
    </row>
    <row r="431" spans="15:49" x14ac:dyDescent="0.25">
      <c r="O431" t="s">
        <v>3952</v>
      </c>
      <c r="P431" t="s">
        <v>5249</v>
      </c>
      <c r="Q431" s="671">
        <v>66062</v>
      </c>
      <c r="R431" s="671"/>
      <c r="AT431" s="671"/>
      <c r="AU431" s="671"/>
      <c r="AV431" s="671"/>
      <c r="AW431" s="671"/>
    </row>
    <row r="432" spans="15:49" x14ac:dyDescent="0.25">
      <c r="O432" t="s">
        <v>3952</v>
      </c>
      <c r="P432" t="s">
        <v>5249</v>
      </c>
      <c r="Q432" s="671">
        <v>66062</v>
      </c>
      <c r="R432" s="671"/>
      <c r="AT432" s="671"/>
      <c r="AU432" s="671"/>
      <c r="AV432" s="671"/>
      <c r="AW432" s="671"/>
    </row>
    <row r="433" spans="15:49" x14ac:dyDescent="0.25">
      <c r="O433" t="s">
        <v>3946</v>
      </c>
      <c r="P433" t="s">
        <v>5250</v>
      </c>
      <c r="Q433" s="671">
        <v>66062</v>
      </c>
      <c r="R433" s="671"/>
      <c r="AT433" s="671"/>
      <c r="AU433" s="671"/>
      <c r="AV433" s="671"/>
      <c r="AW433" s="671"/>
    </row>
    <row r="434" spans="15:49" x14ac:dyDescent="0.25">
      <c r="O434" t="s">
        <v>3950</v>
      </c>
      <c r="P434" t="s">
        <v>5250</v>
      </c>
      <c r="Q434" s="671">
        <v>66062</v>
      </c>
      <c r="R434" s="671"/>
      <c r="AT434" s="671"/>
      <c r="AU434" s="671"/>
      <c r="AV434" s="671"/>
      <c r="AW434" s="671"/>
    </row>
    <row r="435" spans="15:49" x14ac:dyDescent="0.25">
      <c r="O435" t="s">
        <v>3960</v>
      </c>
      <c r="P435" t="s">
        <v>5251</v>
      </c>
      <c r="Q435" s="671">
        <v>66067</v>
      </c>
      <c r="R435" s="671"/>
      <c r="AT435" s="671"/>
      <c r="AU435" s="671"/>
      <c r="AV435" s="671"/>
      <c r="AW435" s="671"/>
    </row>
    <row r="436" spans="15:49" x14ac:dyDescent="0.25">
      <c r="O436" t="s">
        <v>4508</v>
      </c>
      <c r="P436" t="s">
        <v>5252</v>
      </c>
      <c r="Q436" s="671">
        <v>67080</v>
      </c>
      <c r="R436" s="671"/>
      <c r="AT436" s="671"/>
      <c r="AU436" s="671"/>
      <c r="AV436" s="671"/>
      <c r="AW436" s="671"/>
    </row>
    <row r="437" spans="15:49" x14ac:dyDescent="0.25">
      <c r="O437" t="s">
        <v>4506</v>
      </c>
      <c r="P437" t="s">
        <v>5252</v>
      </c>
      <c r="Q437" s="671">
        <v>67080</v>
      </c>
      <c r="R437" s="671"/>
      <c r="AT437" s="671"/>
      <c r="AU437" s="671"/>
      <c r="AV437" s="671"/>
      <c r="AW437" s="671"/>
    </row>
    <row r="438" spans="15:49" x14ac:dyDescent="0.25">
      <c r="O438" t="s">
        <v>4503</v>
      </c>
      <c r="P438" t="s">
        <v>5252</v>
      </c>
      <c r="Q438" s="671">
        <v>67080</v>
      </c>
      <c r="R438" s="671"/>
      <c r="AT438" s="671"/>
      <c r="AU438" s="671"/>
      <c r="AV438" s="671"/>
      <c r="AW438" s="671"/>
    </row>
    <row r="439" spans="15:49" x14ac:dyDescent="0.25">
      <c r="O439" t="s">
        <v>4464</v>
      </c>
      <c r="P439" t="s">
        <v>5252</v>
      </c>
      <c r="Q439" s="671">
        <v>67080</v>
      </c>
      <c r="R439" s="671"/>
      <c r="AT439" s="671"/>
      <c r="AU439" s="671"/>
      <c r="AV439" s="671"/>
      <c r="AW439" s="671"/>
    </row>
    <row r="440" spans="15:49" x14ac:dyDescent="0.25">
      <c r="O440" t="s">
        <v>4486</v>
      </c>
      <c r="P440" t="s">
        <v>5252</v>
      </c>
      <c r="Q440" s="671">
        <v>67080</v>
      </c>
      <c r="R440" s="671"/>
      <c r="AT440" s="671"/>
      <c r="AU440" s="671"/>
      <c r="AV440" s="671"/>
      <c r="AW440" s="671"/>
    </row>
    <row r="441" spans="15:49" x14ac:dyDescent="0.25">
      <c r="O441" t="s">
        <v>4486</v>
      </c>
      <c r="P441" t="s">
        <v>5252</v>
      </c>
      <c r="Q441" s="671">
        <v>67080</v>
      </c>
      <c r="R441" s="671"/>
      <c r="AT441" s="671"/>
      <c r="AU441" s="671"/>
      <c r="AV441" s="671"/>
      <c r="AW441" s="671"/>
    </row>
    <row r="442" spans="15:49" x14ac:dyDescent="0.25">
      <c r="O442" t="s">
        <v>4482</v>
      </c>
      <c r="P442" t="s">
        <v>5252</v>
      </c>
      <c r="Q442" s="671">
        <v>67080</v>
      </c>
      <c r="R442" s="671"/>
      <c r="AT442" s="671"/>
      <c r="AU442" s="671"/>
      <c r="AV442" s="671"/>
      <c r="AW442" s="671"/>
    </row>
    <row r="443" spans="15:49" x14ac:dyDescent="0.25">
      <c r="O443" t="s">
        <v>4468</v>
      </c>
      <c r="P443" t="s">
        <v>5252</v>
      </c>
      <c r="Q443" s="671">
        <v>67080</v>
      </c>
      <c r="R443" s="671"/>
      <c r="AT443" s="671"/>
      <c r="AU443" s="671"/>
      <c r="AV443" s="671"/>
      <c r="AW443" s="671"/>
    </row>
    <row r="444" spans="15:49" x14ac:dyDescent="0.25">
      <c r="O444" t="s">
        <v>4476</v>
      </c>
      <c r="P444" t="s">
        <v>5252</v>
      </c>
      <c r="Q444" s="671">
        <v>67080</v>
      </c>
      <c r="R444" s="671"/>
      <c r="AT444" s="671"/>
      <c r="AU444" s="671"/>
      <c r="AV444" s="671"/>
      <c r="AW444" s="671"/>
    </row>
    <row r="445" spans="15:49" x14ac:dyDescent="0.25">
      <c r="O445" t="s">
        <v>4472</v>
      </c>
      <c r="P445" t="s">
        <v>5252</v>
      </c>
      <c r="Q445" s="671">
        <v>67080</v>
      </c>
      <c r="R445" s="671"/>
      <c r="AT445" s="671"/>
      <c r="AU445" s="671"/>
      <c r="AV445" s="671"/>
      <c r="AW445" s="671"/>
    </row>
    <row r="446" spans="15:49" x14ac:dyDescent="0.25">
      <c r="O446" t="s">
        <v>4480</v>
      </c>
      <c r="P446" t="s">
        <v>5252</v>
      </c>
      <c r="Q446" s="671">
        <v>67080</v>
      </c>
      <c r="R446" s="671"/>
      <c r="AT446" s="671"/>
      <c r="AU446" s="671"/>
      <c r="AV446" s="671"/>
      <c r="AW446" s="671"/>
    </row>
    <row r="447" spans="15:49" x14ac:dyDescent="0.25">
      <c r="O447" t="s">
        <v>4456</v>
      </c>
      <c r="P447" t="s">
        <v>5252</v>
      </c>
      <c r="Q447" s="671">
        <v>67080</v>
      </c>
      <c r="R447" s="671"/>
      <c r="AT447" s="671"/>
      <c r="AU447" s="671"/>
      <c r="AV447" s="671"/>
      <c r="AW447" s="671"/>
    </row>
    <row r="448" spans="15:49" x14ac:dyDescent="0.25">
      <c r="O448" t="s">
        <v>4456</v>
      </c>
      <c r="P448" t="s">
        <v>5252</v>
      </c>
      <c r="Q448" s="671">
        <v>67080</v>
      </c>
      <c r="R448" s="671"/>
      <c r="AT448" s="671"/>
      <c r="AU448" s="671"/>
      <c r="AV448" s="671"/>
      <c r="AW448" s="671"/>
    </row>
    <row r="449" spans="15:49" x14ac:dyDescent="0.25">
      <c r="O449" t="s">
        <v>4462</v>
      </c>
      <c r="P449" t="s">
        <v>5252</v>
      </c>
      <c r="Q449" s="671">
        <v>67080</v>
      </c>
      <c r="R449" s="671"/>
      <c r="AT449" s="671"/>
      <c r="AU449" s="671"/>
      <c r="AV449" s="671"/>
      <c r="AW449" s="671"/>
    </row>
    <row r="450" spans="15:49" x14ac:dyDescent="0.25">
      <c r="O450" t="s">
        <v>4462</v>
      </c>
      <c r="P450" t="s">
        <v>5252</v>
      </c>
      <c r="Q450" s="671">
        <v>67080</v>
      </c>
      <c r="R450" s="671"/>
      <c r="AT450" s="671"/>
      <c r="AU450" s="671"/>
      <c r="AV450" s="671"/>
      <c r="AW450" s="671"/>
    </row>
    <row r="451" spans="15:49" x14ac:dyDescent="0.25">
      <c r="O451" t="s">
        <v>4515</v>
      </c>
      <c r="P451" t="s">
        <v>5252</v>
      </c>
      <c r="Q451" s="671">
        <v>67080</v>
      </c>
      <c r="R451" s="671"/>
      <c r="AT451" s="671"/>
      <c r="AU451" s="671"/>
      <c r="AV451" s="671"/>
      <c r="AW451" s="671"/>
    </row>
    <row r="452" spans="15:49" x14ac:dyDescent="0.25">
      <c r="O452" t="s">
        <v>4513</v>
      </c>
      <c r="P452" t="s">
        <v>5252</v>
      </c>
      <c r="Q452" s="671">
        <v>67080</v>
      </c>
      <c r="R452" s="671"/>
      <c r="AT452" s="671"/>
      <c r="AU452" s="671"/>
      <c r="AV452" s="671"/>
      <c r="AW452" s="671"/>
    </row>
    <row r="453" spans="15:49" x14ac:dyDescent="0.25">
      <c r="O453" t="s">
        <v>4511</v>
      </c>
      <c r="P453" t="s">
        <v>5252</v>
      </c>
      <c r="Q453" s="671">
        <v>67080</v>
      </c>
      <c r="R453" s="671"/>
      <c r="AT453" s="671"/>
      <c r="AU453" s="671"/>
      <c r="AV453" s="671"/>
      <c r="AW453" s="671"/>
    </row>
    <row r="454" spans="15:49" x14ac:dyDescent="0.25">
      <c r="O454" t="s">
        <v>4511</v>
      </c>
      <c r="P454" t="s">
        <v>5252</v>
      </c>
      <c r="Q454" s="671">
        <v>67080</v>
      </c>
      <c r="R454" s="671"/>
      <c r="AT454" s="671"/>
      <c r="AU454" s="671"/>
      <c r="AV454" s="671"/>
      <c r="AW454" s="671"/>
    </row>
    <row r="455" spans="15:49" x14ac:dyDescent="0.25">
      <c r="O455" t="s">
        <v>4490</v>
      </c>
      <c r="P455" t="s">
        <v>5252</v>
      </c>
      <c r="Q455" s="671">
        <v>67080</v>
      </c>
      <c r="R455" s="671"/>
      <c r="AT455" s="671"/>
      <c r="AU455" s="671"/>
      <c r="AV455" s="671"/>
      <c r="AW455" s="671"/>
    </row>
    <row r="456" spans="15:49" x14ac:dyDescent="0.25">
      <c r="O456" t="s">
        <v>4490</v>
      </c>
      <c r="P456" t="s">
        <v>5252</v>
      </c>
      <c r="Q456" s="671">
        <v>67080</v>
      </c>
      <c r="R456" s="671"/>
      <c r="AT456" s="671"/>
      <c r="AU456" s="671"/>
      <c r="AV456" s="671"/>
      <c r="AW456" s="671"/>
    </row>
    <row r="457" spans="15:49" x14ac:dyDescent="0.25">
      <c r="O457" t="s">
        <v>4501</v>
      </c>
      <c r="P457" t="s">
        <v>5252</v>
      </c>
      <c r="Q457" s="671">
        <v>67080</v>
      </c>
      <c r="R457" s="671"/>
      <c r="AT457" s="671"/>
      <c r="AU457" s="671"/>
      <c r="AV457" s="671"/>
      <c r="AW457" s="671"/>
    </row>
    <row r="458" spans="15:49" x14ac:dyDescent="0.25">
      <c r="O458" t="s">
        <v>4499</v>
      </c>
      <c r="P458" t="s">
        <v>5252</v>
      </c>
      <c r="Q458" s="671">
        <v>67080</v>
      </c>
      <c r="R458" s="671"/>
      <c r="AT458" s="671"/>
      <c r="AU458" s="671"/>
      <c r="AV458" s="671"/>
      <c r="AW458" s="671"/>
    </row>
    <row r="459" spans="15:49" x14ac:dyDescent="0.25">
      <c r="O459" t="s">
        <v>4494</v>
      </c>
      <c r="P459" t="s">
        <v>5252</v>
      </c>
      <c r="Q459" s="671">
        <v>67080</v>
      </c>
      <c r="R459" s="671"/>
      <c r="AT459" s="671"/>
      <c r="AU459" s="671"/>
      <c r="AV459" s="671"/>
      <c r="AW459" s="671"/>
    </row>
    <row r="460" spans="15:49" x14ac:dyDescent="0.25">
      <c r="O460" t="s">
        <v>4496</v>
      </c>
      <c r="P460" t="s">
        <v>5252</v>
      </c>
      <c r="Q460" s="671">
        <v>67080</v>
      </c>
      <c r="R460" s="671"/>
      <c r="AT460" s="671"/>
      <c r="AU460" s="671"/>
      <c r="AV460" s="671"/>
      <c r="AW460" s="671"/>
    </row>
    <row r="461" spans="15:49" x14ac:dyDescent="0.25">
      <c r="O461" t="s">
        <v>4492</v>
      </c>
      <c r="P461" t="s">
        <v>5252</v>
      </c>
      <c r="Q461" s="671">
        <v>67080</v>
      </c>
      <c r="R461" s="671"/>
      <c r="AT461" s="671"/>
      <c r="AU461" s="671"/>
      <c r="AV461" s="671"/>
      <c r="AW461" s="671"/>
    </row>
    <row r="462" spans="15:49" x14ac:dyDescent="0.25">
      <c r="O462" t="s">
        <v>4517</v>
      </c>
      <c r="P462" t="s">
        <v>5253</v>
      </c>
      <c r="Q462" s="671">
        <v>67080</v>
      </c>
      <c r="R462" s="671"/>
      <c r="AT462" s="671"/>
      <c r="AU462" s="671"/>
      <c r="AV462" s="671"/>
      <c r="AW462" s="671"/>
    </row>
    <row r="463" spans="15:49" x14ac:dyDescent="0.25">
      <c r="O463" t="s">
        <v>4517</v>
      </c>
      <c r="P463" t="s">
        <v>5253</v>
      </c>
      <c r="Q463" s="671">
        <v>67080</v>
      </c>
      <c r="R463" s="671"/>
      <c r="AT463" s="671"/>
      <c r="AU463" s="671"/>
      <c r="AV463" s="671"/>
      <c r="AW463" s="671"/>
    </row>
    <row r="464" spans="15:49" x14ac:dyDescent="0.25">
      <c r="O464" t="s">
        <v>4522</v>
      </c>
      <c r="P464" t="s">
        <v>5253</v>
      </c>
      <c r="Q464" s="671">
        <v>67080</v>
      </c>
      <c r="R464" s="671"/>
      <c r="AT464" s="671"/>
      <c r="AU464" s="671"/>
      <c r="AV464" s="671"/>
      <c r="AW464" s="671"/>
    </row>
    <row r="465" spans="15:49" x14ac:dyDescent="0.25">
      <c r="O465" t="s">
        <v>4522</v>
      </c>
      <c r="P465" t="s">
        <v>5253</v>
      </c>
      <c r="Q465" s="671">
        <v>67080</v>
      </c>
      <c r="R465" s="671"/>
      <c r="AT465" s="671"/>
      <c r="AU465" s="671"/>
      <c r="AV465" s="671"/>
      <c r="AW465" s="671"/>
    </row>
    <row r="466" spans="15:49" x14ac:dyDescent="0.25">
      <c r="O466" t="s">
        <v>4526</v>
      </c>
      <c r="P466" t="s">
        <v>5253</v>
      </c>
      <c r="Q466" s="671">
        <v>67080</v>
      </c>
      <c r="R466" s="671"/>
      <c r="AT466" s="671"/>
      <c r="AU466" s="671"/>
      <c r="AV466" s="671"/>
      <c r="AW466" s="671"/>
    </row>
    <row r="467" spans="15:49" x14ac:dyDescent="0.25">
      <c r="O467" t="s">
        <v>4544</v>
      </c>
      <c r="P467" t="s">
        <v>5254</v>
      </c>
      <c r="Q467" s="671">
        <v>67080</v>
      </c>
      <c r="R467" s="671"/>
      <c r="AT467" s="671"/>
      <c r="AU467" s="671"/>
      <c r="AV467" s="671"/>
      <c r="AW467" s="671"/>
    </row>
    <row r="468" spans="15:49" x14ac:dyDescent="0.25">
      <c r="O468" t="s">
        <v>4542</v>
      </c>
      <c r="P468" t="s">
        <v>5254</v>
      </c>
      <c r="Q468" s="671">
        <v>67080</v>
      </c>
      <c r="R468" s="671"/>
      <c r="AT468" s="671"/>
      <c r="AU468" s="671"/>
      <c r="AV468" s="671"/>
      <c r="AW468" s="671"/>
    </row>
    <row r="469" spans="15:49" x14ac:dyDescent="0.25">
      <c r="O469" t="s">
        <v>4542</v>
      </c>
      <c r="P469" t="s">
        <v>5254</v>
      </c>
      <c r="Q469" s="671">
        <v>67080</v>
      </c>
      <c r="R469" s="671"/>
      <c r="AT469" s="671"/>
      <c r="AU469" s="671"/>
      <c r="AV469" s="671"/>
      <c r="AW469" s="671"/>
    </row>
    <row r="470" spans="15:49" x14ac:dyDescent="0.25">
      <c r="O470" t="s">
        <v>4542</v>
      </c>
      <c r="P470" t="s">
        <v>5254</v>
      </c>
      <c r="Q470" s="671">
        <v>67080</v>
      </c>
      <c r="R470" s="671"/>
      <c r="AT470" s="671"/>
      <c r="AU470" s="671"/>
      <c r="AV470" s="671"/>
      <c r="AW470" s="671"/>
    </row>
    <row r="471" spans="15:49" x14ac:dyDescent="0.25">
      <c r="O471" t="s">
        <v>4528</v>
      </c>
      <c r="P471" t="s">
        <v>5254</v>
      </c>
      <c r="Q471" s="671">
        <v>67080</v>
      </c>
      <c r="R471" s="671"/>
      <c r="AT471" s="671"/>
      <c r="AU471" s="671"/>
      <c r="AV471" s="671"/>
      <c r="AW471" s="671"/>
    </row>
    <row r="472" spans="15:49" x14ac:dyDescent="0.25">
      <c r="O472" t="s">
        <v>4528</v>
      </c>
      <c r="P472" t="s">
        <v>5254</v>
      </c>
      <c r="Q472" s="671">
        <v>67080</v>
      </c>
      <c r="R472" s="671"/>
      <c r="AT472" s="671"/>
      <c r="AU472" s="671"/>
      <c r="AV472" s="671"/>
      <c r="AW472" s="671"/>
    </row>
    <row r="473" spans="15:49" x14ac:dyDescent="0.25">
      <c r="O473" t="s">
        <v>4528</v>
      </c>
      <c r="P473" t="s">
        <v>5254</v>
      </c>
      <c r="Q473" s="671">
        <v>67080</v>
      </c>
      <c r="R473" s="671"/>
      <c r="AT473" s="671"/>
      <c r="AU473" s="671"/>
      <c r="AV473" s="671"/>
      <c r="AW473" s="671"/>
    </row>
    <row r="474" spans="15:49" x14ac:dyDescent="0.25">
      <c r="O474" t="s">
        <v>4546</v>
      </c>
      <c r="P474" t="s">
        <v>5254</v>
      </c>
      <c r="Q474" s="671">
        <v>67080</v>
      </c>
      <c r="R474" s="671"/>
      <c r="AT474" s="671"/>
      <c r="AU474" s="671"/>
      <c r="AV474" s="671"/>
      <c r="AW474" s="671"/>
    </row>
    <row r="475" spans="15:49" x14ac:dyDescent="0.25">
      <c r="O475" t="s">
        <v>4536</v>
      </c>
      <c r="P475" t="s">
        <v>5254</v>
      </c>
      <c r="Q475" s="671">
        <v>67080</v>
      </c>
      <c r="R475" s="671"/>
      <c r="AT475" s="671"/>
      <c r="AU475" s="671"/>
      <c r="AV475" s="671"/>
      <c r="AW475" s="671"/>
    </row>
    <row r="476" spans="15:49" x14ac:dyDescent="0.25">
      <c r="O476" t="s">
        <v>4536</v>
      </c>
      <c r="P476" t="s">
        <v>5254</v>
      </c>
      <c r="Q476" s="671">
        <v>67080</v>
      </c>
      <c r="R476" s="671"/>
      <c r="AT476" s="671"/>
      <c r="AU476" s="671"/>
      <c r="AV476" s="671"/>
      <c r="AW476" s="671"/>
    </row>
    <row r="477" spans="15:49" x14ac:dyDescent="0.25">
      <c r="O477" t="s">
        <v>4536</v>
      </c>
      <c r="P477" t="s">
        <v>5254</v>
      </c>
      <c r="Q477" s="671">
        <v>67080</v>
      </c>
      <c r="R477" s="671"/>
      <c r="AT477" s="671"/>
      <c r="AU477" s="671"/>
      <c r="AV477" s="671"/>
      <c r="AW477" s="671"/>
    </row>
    <row r="478" spans="15:49" x14ac:dyDescent="0.25">
      <c r="O478" t="s">
        <v>4536</v>
      </c>
      <c r="P478" t="s">
        <v>5254</v>
      </c>
      <c r="Q478" s="671">
        <v>67080</v>
      </c>
      <c r="R478" s="671"/>
      <c r="AT478" s="671"/>
      <c r="AU478" s="671"/>
      <c r="AV478" s="671"/>
      <c r="AW478" s="671"/>
    </row>
    <row r="479" spans="15:49" x14ac:dyDescent="0.25">
      <c r="O479" t="s">
        <v>4540</v>
      </c>
      <c r="P479" t="s">
        <v>5254</v>
      </c>
      <c r="Q479" s="671">
        <v>67080</v>
      </c>
      <c r="R479" s="671"/>
      <c r="AT479" s="671"/>
      <c r="AU479" s="671"/>
      <c r="AV479" s="671"/>
      <c r="AW479" s="671"/>
    </row>
    <row r="480" spans="15:49" x14ac:dyDescent="0.25">
      <c r="O480" t="s">
        <v>4568</v>
      </c>
      <c r="P480" t="s">
        <v>5255</v>
      </c>
      <c r="Q480" s="671">
        <v>67083</v>
      </c>
      <c r="R480" s="671"/>
      <c r="AT480" s="671"/>
      <c r="AU480" s="671"/>
      <c r="AV480" s="671"/>
      <c r="AW480" s="671"/>
    </row>
    <row r="481" spans="15:49" x14ac:dyDescent="0.25">
      <c r="O481" t="s">
        <v>4556</v>
      </c>
      <c r="P481" t="s">
        <v>5255</v>
      </c>
      <c r="Q481" s="671">
        <v>67083</v>
      </c>
      <c r="R481" s="671"/>
      <c r="AT481" s="671"/>
      <c r="AU481" s="671"/>
      <c r="AV481" s="671"/>
      <c r="AW481" s="671"/>
    </row>
    <row r="482" spans="15:49" x14ac:dyDescent="0.25">
      <c r="O482" t="s">
        <v>4560</v>
      </c>
      <c r="P482" t="s">
        <v>5255</v>
      </c>
      <c r="Q482" s="671">
        <v>67083</v>
      </c>
      <c r="R482" s="671"/>
      <c r="AT482" s="671"/>
      <c r="AU482" s="671"/>
      <c r="AV482" s="671"/>
      <c r="AW482" s="671"/>
    </row>
    <row r="483" spans="15:49" x14ac:dyDescent="0.25">
      <c r="O483" t="s">
        <v>4558</v>
      </c>
      <c r="P483" t="s">
        <v>5255</v>
      </c>
      <c r="Q483" s="671">
        <v>67083</v>
      </c>
      <c r="R483" s="671"/>
      <c r="AT483" s="671"/>
      <c r="AU483" s="671"/>
      <c r="AV483" s="671"/>
      <c r="AW483" s="671"/>
    </row>
    <row r="484" spans="15:49" x14ac:dyDescent="0.25">
      <c r="O484" t="s">
        <v>4562</v>
      </c>
      <c r="P484" t="s">
        <v>5255</v>
      </c>
      <c r="Q484" s="671">
        <v>67083</v>
      </c>
      <c r="R484" s="671"/>
      <c r="AT484" s="671"/>
      <c r="AU484" s="671"/>
      <c r="AV484" s="671"/>
      <c r="AW484" s="671"/>
    </row>
    <row r="485" spans="15:49" x14ac:dyDescent="0.25">
      <c r="O485" t="s">
        <v>4548</v>
      </c>
      <c r="P485" t="s">
        <v>5255</v>
      </c>
      <c r="Q485" s="671">
        <v>67083</v>
      </c>
      <c r="R485" s="671"/>
      <c r="AT485" s="671"/>
      <c r="AU485" s="671"/>
      <c r="AV485" s="671"/>
      <c r="AW485" s="671"/>
    </row>
    <row r="486" spans="15:49" x14ac:dyDescent="0.25">
      <c r="O486" t="s">
        <v>4554</v>
      </c>
      <c r="P486" t="s">
        <v>5255</v>
      </c>
      <c r="Q486" s="671">
        <v>67083</v>
      </c>
      <c r="R486" s="671"/>
      <c r="AT486" s="671"/>
      <c r="AU486" s="671"/>
      <c r="AV486" s="671"/>
      <c r="AW486" s="671"/>
    </row>
    <row r="487" spans="15:49" x14ac:dyDescent="0.25">
      <c r="O487" t="s">
        <v>4552</v>
      </c>
      <c r="P487" t="s">
        <v>5255</v>
      </c>
      <c r="Q487" s="671">
        <v>67083</v>
      </c>
      <c r="R487" s="671"/>
      <c r="AT487" s="671"/>
      <c r="AU487" s="671"/>
      <c r="AV487" s="671"/>
      <c r="AW487" s="671"/>
    </row>
    <row r="488" spans="15:49" x14ac:dyDescent="0.25">
      <c r="O488" t="s">
        <v>4564</v>
      </c>
      <c r="P488" t="s">
        <v>5255</v>
      </c>
      <c r="Q488" s="671">
        <v>67083</v>
      </c>
      <c r="R488" s="671"/>
      <c r="AT488" s="671"/>
      <c r="AU488" s="671"/>
      <c r="AV488" s="671"/>
      <c r="AW488" s="671"/>
    </row>
    <row r="489" spans="15:49" x14ac:dyDescent="0.25">
      <c r="O489" t="s">
        <v>3836</v>
      </c>
      <c r="P489" t="s">
        <v>5256</v>
      </c>
      <c r="Q489" s="671">
        <v>64048</v>
      </c>
      <c r="R489" s="671"/>
      <c r="AT489" s="671"/>
      <c r="AU489" s="671"/>
      <c r="AV489" s="671"/>
      <c r="AW489" s="671"/>
    </row>
    <row r="490" spans="15:49" x14ac:dyDescent="0.25">
      <c r="O490" t="s">
        <v>3826</v>
      </c>
      <c r="P490" t="s">
        <v>5256</v>
      </c>
      <c r="Q490" s="671">
        <v>64048</v>
      </c>
      <c r="R490" s="671"/>
      <c r="AT490" s="671"/>
      <c r="AU490" s="671"/>
      <c r="AV490" s="671"/>
      <c r="AW490" s="671"/>
    </row>
    <row r="491" spans="15:49" x14ac:dyDescent="0.25">
      <c r="O491" t="s">
        <v>3830</v>
      </c>
      <c r="P491" t="s">
        <v>5256</v>
      </c>
      <c r="Q491" s="671">
        <v>64048</v>
      </c>
      <c r="R491" s="671"/>
      <c r="AT491" s="671"/>
      <c r="AU491" s="671"/>
      <c r="AV491" s="671"/>
      <c r="AW491" s="671"/>
    </row>
    <row r="492" spans="15:49" x14ac:dyDescent="0.25">
      <c r="O492" t="s">
        <v>3832</v>
      </c>
      <c r="P492" t="s">
        <v>5256</v>
      </c>
      <c r="Q492" s="671">
        <v>64048</v>
      </c>
      <c r="R492" s="671"/>
      <c r="AT492" s="671"/>
      <c r="AU492" s="671"/>
      <c r="AV492" s="671"/>
      <c r="AW492" s="671"/>
    </row>
    <row r="493" spans="15:49" x14ac:dyDescent="0.25">
      <c r="O493" t="s">
        <v>3859</v>
      </c>
      <c r="P493" t="s">
        <v>5257</v>
      </c>
      <c r="Q493" s="671">
        <v>67089</v>
      </c>
      <c r="R493" s="671"/>
      <c r="AT493" s="671"/>
      <c r="AU493" s="671"/>
      <c r="AV493" s="671"/>
      <c r="AW493" s="671"/>
    </row>
    <row r="494" spans="15:49" x14ac:dyDescent="0.25">
      <c r="O494" t="s">
        <v>3859</v>
      </c>
      <c r="P494" t="s">
        <v>5257</v>
      </c>
      <c r="Q494" s="671">
        <v>67089</v>
      </c>
      <c r="R494" s="671"/>
      <c r="AT494" s="671"/>
      <c r="AU494" s="671"/>
      <c r="AV494" s="671"/>
      <c r="AW494" s="671"/>
    </row>
    <row r="495" spans="15:49" x14ac:dyDescent="0.25">
      <c r="O495" t="s">
        <v>3859</v>
      </c>
      <c r="P495" t="s">
        <v>5257</v>
      </c>
      <c r="Q495" s="671">
        <v>67089</v>
      </c>
      <c r="R495" s="671"/>
      <c r="AT495" s="671"/>
      <c r="AU495" s="671"/>
      <c r="AV495" s="671"/>
      <c r="AW495" s="671"/>
    </row>
    <row r="496" spans="15:49" x14ac:dyDescent="0.25">
      <c r="O496" t="s">
        <v>3798</v>
      </c>
      <c r="P496" t="s">
        <v>5258</v>
      </c>
      <c r="Q496" s="671">
        <v>67078</v>
      </c>
      <c r="R496" s="671"/>
      <c r="AT496" s="671"/>
      <c r="AU496" s="671"/>
      <c r="AV496" s="671"/>
      <c r="AW496" s="671"/>
    </row>
    <row r="497" spans="15:49" x14ac:dyDescent="0.25">
      <c r="O497" t="s">
        <v>3798</v>
      </c>
      <c r="P497" t="s">
        <v>5258</v>
      </c>
      <c r="Q497" s="671">
        <v>67078</v>
      </c>
      <c r="R497" s="671"/>
      <c r="AT497" s="671"/>
      <c r="AU497" s="671"/>
      <c r="AV497" s="671"/>
      <c r="AW497" s="671"/>
    </row>
    <row r="498" spans="15:49" x14ac:dyDescent="0.25">
      <c r="O498" t="s">
        <v>3806</v>
      </c>
      <c r="P498" t="s">
        <v>5258</v>
      </c>
      <c r="Q498" s="671">
        <v>67078</v>
      </c>
      <c r="R498" s="671"/>
      <c r="AT498" s="671"/>
      <c r="AU498" s="671"/>
      <c r="AV498" s="671"/>
      <c r="AW498" s="671"/>
    </row>
    <row r="499" spans="15:49" x14ac:dyDescent="0.25">
      <c r="O499" t="s">
        <v>3802</v>
      </c>
      <c r="P499" t="s">
        <v>5258</v>
      </c>
      <c r="Q499" s="671">
        <v>67078</v>
      </c>
      <c r="R499" s="671"/>
      <c r="AT499" s="671"/>
      <c r="AU499" s="671"/>
      <c r="AV499" s="671"/>
      <c r="AW499" s="671"/>
    </row>
    <row r="500" spans="15:49" x14ac:dyDescent="0.25">
      <c r="O500" t="s">
        <v>3795</v>
      </c>
      <c r="P500" t="s">
        <v>5258</v>
      </c>
      <c r="Q500" s="671">
        <v>67078</v>
      </c>
      <c r="R500" s="671"/>
      <c r="AT500" s="671"/>
      <c r="AU500" s="671"/>
      <c r="AV500" s="671"/>
      <c r="AW500" s="671"/>
    </row>
    <row r="501" spans="15:49" x14ac:dyDescent="0.25">
      <c r="O501" t="s">
        <v>3812</v>
      </c>
      <c r="P501" t="s">
        <v>5258</v>
      </c>
      <c r="Q501" s="671">
        <v>67078</v>
      </c>
      <c r="R501" s="671"/>
      <c r="AT501" s="671"/>
      <c r="AU501" s="671"/>
      <c r="AV501" s="671"/>
      <c r="AW501" s="671"/>
    </row>
    <row r="502" spans="15:49" x14ac:dyDescent="0.25">
      <c r="O502" t="s">
        <v>3812</v>
      </c>
      <c r="P502" t="s">
        <v>5258</v>
      </c>
      <c r="Q502" s="671">
        <v>67078</v>
      </c>
      <c r="R502" s="671"/>
      <c r="AT502" s="671"/>
      <c r="AU502" s="671"/>
      <c r="AV502" s="671"/>
      <c r="AW502" s="671"/>
    </row>
    <row r="503" spans="15:49" x14ac:dyDescent="0.25">
      <c r="O503" t="s">
        <v>3810</v>
      </c>
      <c r="P503" t="s">
        <v>5258</v>
      </c>
      <c r="Q503" s="671">
        <v>67078</v>
      </c>
      <c r="R503" s="671"/>
      <c r="AT503" s="671"/>
      <c r="AU503" s="671"/>
      <c r="AV503" s="671"/>
      <c r="AW503" s="671"/>
    </row>
    <row r="504" spans="15:49" x14ac:dyDescent="0.25">
      <c r="O504" t="s">
        <v>3814</v>
      </c>
      <c r="P504" t="s">
        <v>5258</v>
      </c>
      <c r="Q504" s="671">
        <v>67078</v>
      </c>
      <c r="R504" s="671"/>
      <c r="AT504" s="671"/>
      <c r="AU504" s="671"/>
      <c r="AV504" s="671"/>
      <c r="AW504" s="671"/>
    </row>
    <row r="505" spans="15:49" x14ac:dyDescent="0.25">
      <c r="O505" t="s">
        <v>3814</v>
      </c>
      <c r="P505" t="s">
        <v>5258</v>
      </c>
      <c r="Q505" s="671">
        <v>67078</v>
      </c>
      <c r="R505" s="671"/>
      <c r="AT505" s="671"/>
      <c r="AU505" s="671"/>
      <c r="AV505" s="671"/>
      <c r="AW505" s="671"/>
    </row>
    <row r="506" spans="15:49" x14ac:dyDescent="0.25">
      <c r="O506" t="s">
        <v>3814</v>
      </c>
      <c r="P506" t="s">
        <v>5258</v>
      </c>
      <c r="Q506" s="671">
        <v>67078</v>
      </c>
      <c r="R506" s="671"/>
      <c r="AT506" s="671"/>
      <c r="AU506" s="671"/>
      <c r="AV506" s="671"/>
      <c r="AW506" s="671"/>
    </row>
    <row r="507" spans="15:49" x14ac:dyDescent="0.25">
      <c r="O507" t="s">
        <v>3822</v>
      </c>
      <c r="P507" t="s">
        <v>5258</v>
      </c>
      <c r="Q507" s="671">
        <v>67078</v>
      </c>
      <c r="R507" s="671"/>
      <c r="AT507" s="671"/>
      <c r="AU507" s="671"/>
      <c r="AV507" s="671"/>
      <c r="AW507" s="671"/>
    </row>
    <row r="508" spans="15:49" x14ac:dyDescent="0.25">
      <c r="O508" t="s">
        <v>3822</v>
      </c>
      <c r="P508" t="s">
        <v>5258</v>
      </c>
      <c r="Q508" s="671">
        <v>67078</v>
      </c>
      <c r="R508" s="671"/>
      <c r="AT508" s="671"/>
      <c r="AU508" s="671"/>
      <c r="AV508" s="671"/>
      <c r="AW508" s="671"/>
    </row>
    <row r="509" spans="15:49" x14ac:dyDescent="0.25">
      <c r="O509" t="s">
        <v>3820</v>
      </c>
      <c r="P509" t="s">
        <v>5258</v>
      </c>
      <c r="Q509" s="671">
        <v>67078</v>
      </c>
      <c r="R509" s="671"/>
      <c r="AT509" s="671"/>
      <c r="AU509" s="671"/>
      <c r="AV509" s="671"/>
      <c r="AW509" s="671"/>
    </row>
    <row r="510" spans="15:49" x14ac:dyDescent="0.25">
      <c r="O510" t="s">
        <v>3820</v>
      </c>
      <c r="P510" t="s">
        <v>5258</v>
      </c>
      <c r="Q510" s="671">
        <v>67078</v>
      </c>
      <c r="R510" s="671"/>
      <c r="AT510" s="671"/>
      <c r="AU510" s="671"/>
      <c r="AV510" s="671"/>
      <c r="AW510" s="671"/>
    </row>
    <row r="511" spans="15:49" x14ac:dyDescent="0.25">
      <c r="O511" t="s">
        <v>3818</v>
      </c>
      <c r="P511" t="s">
        <v>5258</v>
      </c>
      <c r="Q511" s="671">
        <v>67078</v>
      </c>
      <c r="R511" s="671"/>
      <c r="AT511" s="671"/>
      <c r="AU511" s="671"/>
      <c r="AV511" s="671"/>
      <c r="AW511" s="671"/>
    </row>
    <row r="512" spans="15:49" x14ac:dyDescent="0.25">
      <c r="O512" t="s">
        <v>3874</v>
      </c>
      <c r="P512" t="s">
        <v>5257</v>
      </c>
      <c r="Q512" s="671">
        <v>67089</v>
      </c>
      <c r="R512" s="671"/>
      <c r="AT512" s="671"/>
      <c r="AU512" s="671"/>
      <c r="AV512" s="671"/>
      <c r="AW512" s="671"/>
    </row>
    <row r="513" spans="15:49" x14ac:dyDescent="0.25">
      <c r="O513" t="s">
        <v>3872</v>
      </c>
      <c r="P513" t="s">
        <v>5257</v>
      </c>
      <c r="Q513" s="671">
        <v>67089</v>
      </c>
      <c r="R513" s="671"/>
      <c r="AT513" s="671"/>
      <c r="AU513" s="671"/>
      <c r="AV513" s="671"/>
      <c r="AW513" s="671"/>
    </row>
    <row r="514" spans="15:49" x14ac:dyDescent="0.25">
      <c r="O514" t="s">
        <v>3872</v>
      </c>
      <c r="P514" t="s">
        <v>5257</v>
      </c>
      <c r="Q514" s="671">
        <v>67089</v>
      </c>
      <c r="R514" s="671"/>
      <c r="AT514" s="671"/>
      <c r="AU514" s="671"/>
      <c r="AV514" s="671"/>
      <c r="AW514" s="671"/>
    </row>
    <row r="515" spans="15:49" x14ac:dyDescent="0.25">
      <c r="O515" t="s">
        <v>3872</v>
      </c>
      <c r="P515" t="s">
        <v>5257</v>
      </c>
      <c r="Q515" s="671">
        <v>67089</v>
      </c>
      <c r="R515" s="671"/>
      <c r="AT515" s="671"/>
      <c r="AU515" s="671"/>
      <c r="AV515" s="671"/>
      <c r="AW515" s="671"/>
    </row>
    <row r="516" spans="15:49" x14ac:dyDescent="0.25">
      <c r="O516" t="s">
        <v>3872</v>
      </c>
      <c r="P516" t="s">
        <v>5257</v>
      </c>
      <c r="Q516" s="671">
        <v>67089</v>
      </c>
      <c r="R516" s="671"/>
      <c r="AT516" s="671"/>
      <c r="AU516" s="671"/>
      <c r="AV516" s="671"/>
      <c r="AW516" s="671"/>
    </row>
    <row r="517" spans="15:49" x14ac:dyDescent="0.25">
      <c r="O517" t="s">
        <v>3872</v>
      </c>
      <c r="P517" t="s">
        <v>5257</v>
      </c>
      <c r="Q517" s="671">
        <v>67089</v>
      </c>
      <c r="R517" s="671"/>
      <c r="AT517" s="671"/>
      <c r="AU517" s="671"/>
      <c r="AV517" s="671"/>
      <c r="AW517" s="671"/>
    </row>
    <row r="518" spans="15:49" x14ac:dyDescent="0.25">
      <c r="O518" t="s">
        <v>3872</v>
      </c>
      <c r="P518" t="s">
        <v>5257</v>
      </c>
      <c r="Q518" s="671">
        <v>67089</v>
      </c>
      <c r="R518" s="671"/>
      <c r="AT518" s="671"/>
      <c r="AU518" s="671"/>
      <c r="AV518" s="671"/>
      <c r="AW518" s="671"/>
    </row>
    <row r="519" spans="15:49" x14ac:dyDescent="0.25">
      <c r="O519" t="s">
        <v>3868</v>
      </c>
      <c r="P519" t="s">
        <v>5257</v>
      </c>
      <c r="Q519" s="671">
        <v>67089</v>
      </c>
      <c r="R519" s="671"/>
      <c r="AT519" s="671"/>
      <c r="AU519" s="671"/>
      <c r="AV519" s="671"/>
      <c r="AW519" s="671"/>
    </row>
    <row r="520" spans="15:49" x14ac:dyDescent="0.25">
      <c r="O520" t="s">
        <v>3868</v>
      </c>
      <c r="P520" t="s">
        <v>5257</v>
      </c>
      <c r="Q520" s="671">
        <v>67089</v>
      </c>
      <c r="R520" s="671"/>
      <c r="AT520" s="671"/>
      <c r="AU520" s="671"/>
      <c r="AV520" s="671"/>
      <c r="AW520" s="671"/>
    </row>
    <row r="521" spans="15:49" x14ac:dyDescent="0.25">
      <c r="O521" t="s">
        <v>3865</v>
      </c>
      <c r="P521" t="s">
        <v>5257</v>
      </c>
      <c r="Q521" s="671">
        <v>67089</v>
      </c>
      <c r="R521" s="671"/>
      <c r="AT521" s="671"/>
      <c r="AU521" s="671"/>
      <c r="AV521" s="671"/>
      <c r="AW521" s="671"/>
    </row>
    <row r="522" spans="15:49" x14ac:dyDescent="0.25">
      <c r="O522" t="s">
        <v>3780</v>
      </c>
      <c r="P522" t="s">
        <v>5259</v>
      </c>
      <c r="Q522" s="671">
        <v>67089</v>
      </c>
      <c r="R522" s="671"/>
      <c r="AT522" s="671"/>
      <c r="AU522" s="671"/>
      <c r="AV522" s="671"/>
      <c r="AW522" s="671"/>
    </row>
    <row r="523" spans="15:49" x14ac:dyDescent="0.25">
      <c r="O523" t="s">
        <v>3780</v>
      </c>
      <c r="P523" t="s">
        <v>5259</v>
      </c>
      <c r="Q523" s="671">
        <v>67089</v>
      </c>
      <c r="R523" s="671"/>
      <c r="AT523" s="671"/>
      <c r="AU523" s="671"/>
      <c r="AV523" s="671"/>
      <c r="AW523" s="671"/>
    </row>
    <row r="524" spans="15:49" x14ac:dyDescent="0.25">
      <c r="O524" t="s">
        <v>3784</v>
      </c>
      <c r="P524" t="s">
        <v>5259</v>
      </c>
      <c r="Q524" s="671">
        <v>67089</v>
      </c>
      <c r="R524" s="671"/>
      <c r="AT524" s="671"/>
      <c r="AU524" s="671"/>
      <c r="AV524" s="671"/>
      <c r="AW524" s="671"/>
    </row>
    <row r="525" spans="15:49" x14ac:dyDescent="0.25">
      <c r="O525" t="s">
        <v>3784</v>
      </c>
      <c r="P525" t="s">
        <v>5259</v>
      </c>
      <c r="Q525" s="671">
        <v>67089</v>
      </c>
      <c r="R525" s="671"/>
      <c r="AT525" s="671"/>
      <c r="AU525" s="671"/>
      <c r="AV525" s="671"/>
      <c r="AW525" s="671"/>
    </row>
    <row r="526" spans="15:49" x14ac:dyDescent="0.25">
      <c r="O526" t="s">
        <v>3770</v>
      </c>
      <c r="P526" t="s">
        <v>5259</v>
      </c>
      <c r="Q526" s="671">
        <v>67089</v>
      </c>
      <c r="R526" s="671"/>
      <c r="AT526" s="671"/>
      <c r="AU526" s="671"/>
      <c r="AV526" s="671"/>
      <c r="AW526" s="671"/>
    </row>
    <row r="527" spans="15:49" x14ac:dyDescent="0.25">
      <c r="O527" t="s">
        <v>3790</v>
      </c>
      <c r="P527" t="s">
        <v>5259</v>
      </c>
      <c r="Q527" s="671">
        <v>67089</v>
      </c>
      <c r="R527" s="671"/>
      <c r="AT527" s="671"/>
      <c r="AU527" s="671"/>
      <c r="AV527" s="671"/>
      <c r="AW527" s="671"/>
    </row>
    <row r="528" spans="15:49" x14ac:dyDescent="0.25">
      <c r="O528" t="s">
        <v>3788</v>
      </c>
      <c r="P528" t="s">
        <v>5259</v>
      </c>
      <c r="Q528" s="671">
        <v>67089</v>
      </c>
      <c r="R528" s="671"/>
      <c r="AT528" s="671"/>
      <c r="AU528" s="671"/>
      <c r="AV528" s="671"/>
      <c r="AW528" s="671"/>
    </row>
    <row r="529" spans="15:49" x14ac:dyDescent="0.25">
      <c r="O529" t="s">
        <v>3774</v>
      </c>
      <c r="P529" t="s">
        <v>5259</v>
      </c>
      <c r="Q529" s="671">
        <v>67089</v>
      </c>
      <c r="R529" s="671"/>
      <c r="AT529" s="671"/>
      <c r="AU529" s="671"/>
      <c r="AV529" s="671"/>
      <c r="AW529" s="671"/>
    </row>
    <row r="530" spans="15:49" x14ac:dyDescent="0.25">
      <c r="O530" t="s">
        <v>3774</v>
      </c>
      <c r="P530" t="s">
        <v>5259</v>
      </c>
      <c r="Q530" s="671">
        <v>67089</v>
      </c>
      <c r="R530" s="671"/>
      <c r="AT530" s="671"/>
      <c r="AU530" s="671"/>
      <c r="AV530" s="671"/>
      <c r="AW530" s="671"/>
    </row>
    <row r="531" spans="15:49" x14ac:dyDescent="0.25">
      <c r="O531" t="s">
        <v>3792</v>
      </c>
      <c r="P531" t="s">
        <v>5260</v>
      </c>
      <c r="Q531" s="671">
        <v>67089</v>
      </c>
      <c r="R531" s="671"/>
      <c r="AT531" s="671"/>
      <c r="AU531" s="671"/>
      <c r="AV531" s="671"/>
      <c r="AW531" s="671"/>
    </row>
    <row r="532" spans="15:49" x14ac:dyDescent="0.25">
      <c r="O532" t="s">
        <v>3857</v>
      </c>
      <c r="P532" t="s">
        <v>5256</v>
      </c>
      <c r="Q532" s="671">
        <v>64048</v>
      </c>
      <c r="R532" s="671"/>
      <c r="AT532" s="671"/>
      <c r="AU532" s="671"/>
      <c r="AV532" s="671"/>
      <c r="AW532" s="671"/>
    </row>
    <row r="533" spans="15:49" x14ac:dyDescent="0.25">
      <c r="O533" t="s">
        <v>3857</v>
      </c>
      <c r="P533" t="s">
        <v>5256</v>
      </c>
      <c r="Q533" s="671">
        <v>64048</v>
      </c>
      <c r="R533" s="671"/>
      <c r="AT533" s="671"/>
      <c r="AU533" s="671"/>
      <c r="AV533" s="671"/>
      <c r="AW533" s="671"/>
    </row>
    <row r="534" spans="15:49" x14ac:dyDescent="0.25">
      <c r="O534" t="s">
        <v>3855</v>
      </c>
      <c r="P534" t="s">
        <v>5256</v>
      </c>
      <c r="Q534" s="671">
        <v>64048</v>
      </c>
      <c r="R534" s="671"/>
      <c r="AT534" s="671"/>
      <c r="AU534" s="671"/>
      <c r="AV534" s="671"/>
      <c r="AW534" s="671"/>
    </row>
    <row r="535" spans="15:49" x14ac:dyDescent="0.25">
      <c r="O535" t="s">
        <v>3855</v>
      </c>
      <c r="P535" t="s">
        <v>5256</v>
      </c>
      <c r="Q535" s="671">
        <v>64048</v>
      </c>
      <c r="R535" s="671"/>
      <c r="AT535" s="671"/>
      <c r="AU535" s="671"/>
      <c r="AV535" s="671"/>
      <c r="AW535" s="671"/>
    </row>
    <row r="536" spans="15:49" x14ac:dyDescent="0.25">
      <c r="O536" t="s">
        <v>3853</v>
      </c>
      <c r="P536" t="s">
        <v>5256</v>
      </c>
      <c r="Q536" s="671">
        <v>64048</v>
      </c>
      <c r="R536" s="671"/>
      <c r="AT536" s="671"/>
      <c r="AU536" s="671"/>
      <c r="AV536" s="671"/>
      <c r="AW536" s="671"/>
    </row>
    <row r="537" spans="15:49" x14ac:dyDescent="0.25">
      <c r="O537" t="s">
        <v>3840</v>
      </c>
      <c r="P537" t="s">
        <v>5256</v>
      </c>
      <c r="Q537" s="671">
        <v>64048</v>
      </c>
      <c r="R537" s="671"/>
      <c r="AT537" s="671"/>
      <c r="AU537" s="671"/>
      <c r="AV537" s="671"/>
      <c r="AW537" s="671"/>
    </row>
    <row r="538" spans="15:49" x14ac:dyDescent="0.25">
      <c r="O538" t="s">
        <v>3840</v>
      </c>
      <c r="P538" t="s">
        <v>5256</v>
      </c>
      <c r="Q538" s="671">
        <v>64048</v>
      </c>
      <c r="R538" s="671"/>
      <c r="AT538" s="671"/>
      <c r="AU538" s="671"/>
      <c r="AV538" s="671"/>
      <c r="AW538" s="671"/>
    </row>
    <row r="539" spans="15:49" x14ac:dyDescent="0.25">
      <c r="O539" t="s">
        <v>3840</v>
      </c>
      <c r="P539" t="s">
        <v>5256</v>
      </c>
      <c r="Q539" s="671">
        <v>64048</v>
      </c>
      <c r="R539" s="671"/>
      <c r="AT539" s="671"/>
      <c r="AU539" s="671"/>
      <c r="AV539" s="671"/>
      <c r="AW539" s="671"/>
    </row>
    <row r="540" spans="15:49" x14ac:dyDescent="0.25">
      <c r="O540" t="s">
        <v>3840</v>
      </c>
      <c r="P540" t="s">
        <v>5256</v>
      </c>
      <c r="Q540" s="671">
        <v>64048</v>
      </c>
      <c r="R540" s="671"/>
      <c r="AT540" s="671"/>
      <c r="AU540" s="671"/>
      <c r="AV540" s="671"/>
      <c r="AW540" s="671"/>
    </row>
    <row r="541" spans="15:49" x14ac:dyDescent="0.25">
      <c r="O541" t="s">
        <v>3849</v>
      </c>
      <c r="P541" t="s">
        <v>5256</v>
      </c>
      <c r="Q541" s="671">
        <v>64048</v>
      </c>
      <c r="R541" s="671"/>
      <c r="AT541" s="671"/>
      <c r="AU541" s="671"/>
      <c r="AV541" s="671"/>
      <c r="AW541" s="671"/>
    </row>
    <row r="542" spans="15:49" x14ac:dyDescent="0.25">
      <c r="O542" t="s">
        <v>3849</v>
      </c>
      <c r="P542" t="s">
        <v>5256</v>
      </c>
      <c r="Q542" s="671">
        <v>64048</v>
      </c>
      <c r="R542" s="671"/>
      <c r="AT542" s="671"/>
      <c r="AU542" s="671"/>
      <c r="AV542" s="671"/>
      <c r="AW542" s="671"/>
    </row>
    <row r="543" spans="15:49" x14ac:dyDescent="0.25">
      <c r="O543" t="s">
        <v>4284</v>
      </c>
      <c r="P543" t="s">
        <v>5261</v>
      </c>
      <c r="Q543" s="671">
        <v>67087</v>
      </c>
      <c r="R543" s="671"/>
      <c r="AT543" s="671"/>
      <c r="AU543" s="671"/>
      <c r="AV543" s="671"/>
      <c r="AW543" s="671"/>
    </row>
    <row r="544" spans="15:49" x14ac:dyDescent="0.25">
      <c r="O544" t="s">
        <v>4276</v>
      </c>
      <c r="P544" t="s">
        <v>5261</v>
      </c>
      <c r="Q544" s="671">
        <v>66067</v>
      </c>
      <c r="R544" s="671"/>
      <c r="AT544" s="671"/>
      <c r="AU544" s="671"/>
      <c r="AV544" s="671"/>
      <c r="AW544" s="671"/>
    </row>
    <row r="545" spans="15:49" x14ac:dyDescent="0.25">
      <c r="O545" t="s">
        <v>4280</v>
      </c>
      <c r="P545" t="s">
        <v>5261</v>
      </c>
      <c r="Q545" s="671">
        <v>66067</v>
      </c>
      <c r="R545" s="671"/>
      <c r="AT545" s="671"/>
      <c r="AU545" s="671"/>
      <c r="AV545" s="671"/>
      <c r="AW545" s="671"/>
    </row>
    <row r="546" spans="15:49" x14ac:dyDescent="0.25">
      <c r="O546" t="s">
        <v>1749</v>
      </c>
      <c r="P546" t="s">
        <v>5262</v>
      </c>
      <c r="Q546" s="671">
        <v>62023</v>
      </c>
      <c r="R546" s="671"/>
      <c r="AT546" s="671"/>
      <c r="AU546" s="671"/>
      <c r="AV546" s="671"/>
      <c r="AW546" s="671"/>
    </row>
    <row r="547" spans="15:49" x14ac:dyDescent="0.25">
      <c r="O547" t="s">
        <v>1749</v>
      </c>
      <c r="P547" t="s">
        <v>5262</v>
      </c>
      <c r="Q547" s="671">
        <v>62023</v>
      </c>
      <c r="R547" s="671"/>
      <c r="AT547" s="671"/>
      <c r="AU547" s="671"/>
      <c r="AV547" s="671"/>
      <c r="AW547" s="671"/>
    </row>
    <row r="548" spans="15:49" x14ac:dyDescent="0.25">
      <c r="O548" t="s">
        <v>1749</v>
      </c>
      <c r="P548" t="s">
        <v>5262</v>
      </c>
      <c r="Q548" s="671">
        <v>62023</v>
      </c>
      <c r="R548" s="671"/>
      <c r="AT548" s="671"/>
      <c r="AU548" s="671"/>
      <c r="AV548" s="671"/>
      <c r="AW548" s="671"/>
    </row>
    <row r="549" spans="15:49" x14ac:dyDescent="0.25">
      <c r="O549" t="s">
        <v>1749</v>
      </c>
      <c r="P549" t="s">
        <v>5262</v>
      </c>
      <c r="Q549" s="671">
        <v>62023</v>
      </c>
      <c r="R549" s="671"/>
      <c r="AT549" s="671"/>
      <c r="AU549" s="671"/>
      <c r="AV549" s="671"/>
      <c r="AW549" s="671"/>
    </row>
    <row r="550" spans="15:49" x14ac:dyDescent="0.25">
      <c r="O550" t="s">
        <v>1749</v>
      </c>
      <c r="P550" t="s">
        <v>5262</v>
      </c>
      <c r="Q550" s="671">
        <v>62023</v>
      </c>
      <c r="R550" s="671"/>
      <c r="AT550" s="671"/>
      <c r="AU550" s="671"/>
      <c r="AV550" s="671"/>
      <c r="AW550" s="671"/>
    </row>
    <row r="551" spans="15:49" x14ac:dyDescent="0.25">
      <c r="O551" t="s">
        <v>1749</v>
      </c>
      <c r="P551" t="s">
        <v>5262</v>
      </c>
      <c r="Q551" s="671">
        <v>62023</v>
      </c>
      <c r="R551" s="671"/>
      <c r="AT551" s="671"/>
      <c r="AU551" s="671"/>
      <c r="AV551" s="671"/>
      <c r="AW551" s="671"/>
    </row>
    <row r="552" spans="15:49" x14ac:dyDescent="0.25">
      <c r="O552" t="s">
        <v>1749</v>
      </c>
      <c r="P552" t="s">
        <v>5262</v>
      </c>
      <c r="Q552" s="671">
        <v>62023</v>
      </c>
      <c r="R552" s="671"/>
      <c r="AT552" s="671"/>
      <c r="AU552" s="671"/>
      <c r="AV552" s="671"/>
      <c r="AW552" s="671"/>
    </row>
    <row r="553" spans="15:49" x14ac:dyDescent="0.25">
      <c r="O553" t="s">
        <v>1749</v>
      </c>
      <c r="P553" t="s">
        <v>5262</v>
      </c>
      <c r="Q553" s="671">
        <v>62023</v>
      </c>
      <c r="R553" s="671"/>
      <c r="AT553" s="671"/>
      <c r="AU553" s="671"/>
      <c r="AV553" s="671"/>
      <c r="AW553" s="671"/>
    </row>
    <row r="554" spans="15:49" x14ac:dyDescent="0.25">
      <c r="O554" t="s">
        <v>1749</v>
      </c>
      <c r="P554" t="s">
        <v>5262</v>
      </c>
      <c r="Q554" s="671">
        <v>62023</v>
      </c>
      <c r="R554" s="671"/>
      <c r="AT554" s="671"/>
      <c r="AU554" s="671"/>
      <c r="AV554" s="671"/>
      <c r="AW554" s="671"/>
    </row>
    <row r="555" spans="15:49" x14ac:dyDescent="0.25">
      <c r="O555" t="s">
        <v>1749</v>
      </c>
      <c r="P555" t="s">
        <v>5262</v>
      </c>
      <c r="Q555" s="671">
        <v>62023</v>
      </c>
      <c r="R555" s="671"/>
      <c r="AT555" s="671"/>
      <c r="AU555" s="671"/>
      <c r="AV555" s="671"/>
      <c r="AW555" s="671"/>
    </row>
    <row r="556" spans="15:49" x14ac:dyDescent="0.25">
      <c r="O556" t="s">
        <v>1749</v>
      </c>
      <c r="P556" t="s">
        <v>5262</v>
      </c>
      <c r="Q556" s="671">
        <v>62023</v>
      </c>
      <c r="R556" s="671"/>
      <c r="AT556" s="671"/>
      <c r="AU556" s="671"/>
      <c r="AV556" s="671"/>
      <c r="AW556" s="671"/>
    </row>
    <row r="557" spans="15:49" x14ac:dyDescent="0.25">
      <c r="O557" t="s">
        <v>1735</v>
      </c>
      <c r="P557" t="s">
        <v>5262</v>
      </c>
      <c r="Q557" s="671">
        <v>62022</v>
      </c>
      <c r="R557" s="671"/>
      <c r="AT557" s="671"/>
      <c r="AU557" s="671"/>
      <c r="AV557" s="671"/>
      <c r="AW557" s="671"/>
    </row>
    <row r="558" spans="15:49" x14ac:dyDescent="0.25">
      <c r="O558" t="s">
        <v>1735</v>
      </c>
      <c r="P558" t="s">
        <v>5262</v>
      </c>
      <c r="Q558" s="671">
        <v>62022</v>
      </c>
      <c r="R558" s="671"/>
      <c r="AT558" s="671"/>
      <c r="AU558" s="671"/>
      <c r="AV558" s="671"/>
      <c r="AW558" s="671"/>
    </row>
    <row r="559" spans="15:49" x14ac:dyDescent="0.25">
      <c r="O559" t="s">
        <v>1737</v>
      </c>
      <c r="P559" t="s">
        <v>5262</v>
      </c>
      <c r="Q559" s="671">
        <v>62022</v>
      </c>
      <c r="R559" s="671"/>
      <c r="AT559" s="671"/>
      <c r="AU559" s="671"/>
      <c r="AV559" s="671"/>
      <c r="AW559" s="671"/>
    </row>
    <row r="560" spans="15:49" x14ac:dyDescent="0.25">
      <c r="O560" t="s">
        <v>1737</v>
      </c>
      <c r="P560" t="s">
        <v>5262</v>
      </c>
      <c r="Q560" s="671">
        <v>62022</v>
      </c>
      <c r="R560" s="671"/>
      <c r="AT560" s="671"/>
      <c r="AU560" s="671"/>
      <c r="AV560" s="671"/>
      <c r="AW560" s="671"/>
    </row>
    <row r="561" spans="15:49" x14ac:dyDescent="0.25">
      <c r="O561" t="s">
        <v>1737</v>
      </c>
      <c r="P561" t="s">
        <v>5262</v>
      </c>
      <c r="Q561" s="671">
        <v>62022</v>
      </c>
      <c r="R561" s="671"/>
      <c r="AT561" s="671"/>
      <c r="AU561" s="671"/>
      <c r="AV561" s="671"/>
      <c r="AW561" s="671"/>
    </row>
    <row r="562" spans="15:49" x14ac:dyDescent="0.25">
      <c r="O562" t="s">
        <v>1739</v>
      </c>
      <c r="P562" t="s">
        <v>5262</v>
      </c>
      <c r="Q562" s="671">
        <v>62023</v>
      </c>
      <c r="R562" s="671"/>
      <c r="AT562" s="671"/>
      <c r="AU562" s="671"/>
      <c r="AV562" s="671"/>
      <c r="AW562" s="671"/>
    </row>
    <row r="563" spans="15:49" x14ac:dyDescent="0.25">
      <c r="O563" t="s">
        <v>1739</v>
      </c>
      <c r="P563" t="s">
        <v>5262</v>
      </c>
      <c r="Q563" s="671">
        <v>62023</v>
      </c>
      <c r="R563" s="671"/>
      <c r="AT563" s="671"/>
      <c r="AU563" s="671"/>
      <c r="AV563" s="671"/>
      <c r="AW563" s="671"/>
    </row>
    <row r="564" spans="15:49" x14ac:dyDescent="0.25">
      <c r="O564" t="s">
        <v>1739</v>
      </c>
      <c r="P564" t="s">
        <v>5262</v>
      </c>
      <c r="Q564" s="671">
        <v>62023</v>
      </c>
      <c r="R564" s="671"/>
      <c r="AT564" s="671"/>
      <c r="AU564" s="671"/>
      <c r="AV564" s="671"/>
      <c r="AW564" s="671"/>
    </row>
    <row r="565" spans="15:49" x14ac:dyDescent="0.25">
      <c r="O565" t="s">
        <v>1739</v>
      </c>
      <c r="P565" t="s">
        <v>5262</v>
      </c>
      <c r="Q565" s="671">
        <v>62023</v>
      </c>
      <c r="R565" s="671"/>
      <c r="AT565" s="671"/>
      <c r="AU565" s="671"/>
      <c r="AV565" s="671"/>
      <c r="AW565" s="671"/>
    </row>
    <row r="566" spans="15:49" x14ac:dyDescent="0.25">
      <c r="O566" t="s">
        <v>1739</v>
      </c>
      <c r="P566" t="s">
        <v>5262</v>
      </c>
      <c r="Q566" s="671">
        <v>62023</v>
      </c>
      <c r="R566" s="671"/>
      <c r="AT566" s="671"/>
      <c r="AU566" s="671"/>
      <c r="AV566" s="671"/>
      <c r="AW566" s="671"/>
    </row>
    <row r="567" spans="15:49" x14ac:dyDescent="0.25">
      <c r="O567" t="s">
        <v>1739</v>
      </c>
      <c r="P567" t="s">
        <v>5262</v>
      </c>
      <c r="Q567" s="671">
        <v>62023</v>
      </c>
      <c r="R567" s="671"/>
      <c r="AT567" s="671"/>
      <c r="AU567" s="671"/>
      <c r="AV567" s="671"/>
      <c r="AW567" s="671"/>
    </row>
    <row r="568" spans="15:49" x14ac:dyDescent="0.25">
      <c r="O568" t="s">
        <v>1739</v>
      </c>
      <c r="P568" t="s">
        <v>5262</v>
      </c>
      <c r="Q568" s="671">
        <v>62023</v>
      </c>
      <c r="R568" s="671"/>
      <c r="AT568" s="671"/>
      <c r="AU568" s="671"/>
      <c r="AV568" s="671"/>
      <c r="AW568" s="671"/>
    </row>
    <row r="569" spans="15:49" x14ac:dyDescent="0.25">
      <c r="O569" t="s">
        <v>1739</v>
      </c>
      <c r="P569" t="s">
        <v>5262</v>
      </c>
      <c r="Q569" s="671">
        <v>62023</v>
      </c>
      <c r="R569" s="671"/>
      <c r="AT569" s="671"/>
      <c r="AU569" s="671"/>
      <c r="AV569" s="671"/>
      <c r="AW569" s="671"/>
    </row>
    <row r="570" spans="15:49" x14ac:dyDescent="0.25">
      <c r="O570" t="s">
        <v>1739</v>
      </c>
      <c r="P570" t="s">
        <v>5262</v>
      </c>
      <c r="Q570" s="671">
        <v>62023</v>
      </c>
      <c r="R570" s="671"/>
      <c r="AT570" s="671"/>
      <c r="AU570" s="671"/>
      <c r="AV570" s="671"/>
      <c r="AW570" s="671"/>
    </row>
    <row r="571" spans="15:49" x14ac:dyDescent="0.25">
      <c r="O571" t="s">
        <v>1739</v>
      </c>
      <c r="P571" t="s">
        <v>5262</v>
      </c>
      <c r="Q571" s="671">
        <v>62023</v>
      </c>
      <c r="R571" s="671"/>
      <c r="AT571" s="671"/>
      <c r="AU571" s="671"/>
      <c r="AV571" s="671"/>
      <c r="AW571" s="671"/>
    </row>
    <row r="572" spans="15:49" x14ac:dyDescent="0.25">
      <c r="O572" t="s">
        <v>1739</v>
      </c>
      <c r="P572" t="s">
        <v>5262</v>
      </c>
      <c r="Q572" s="671">
        <v>62023</v>
      </c>
      <c r="R572" s="671"/>
      <c r="AT572" s="671"/>
      <c r="AU572" s="671"/>
      <c r="AV572" s="671"/>
      <c r="AW572" s="671"/>
    </row>
    <row r="573" spans="15:49" x14ac:dyDescent="0.25">
      <c r="O573" t="s">
        <v>1739</v>
      </c>
      <c r="P573" t="s">
        <v>5262</v>
      </c>
      <c r="Q573" s="671">
        <v>62023</v>
      </c>
      <c r="R573" s="671"/>
      <c r="AT573" s="671"/>
      <c r="AU573" s="671"/>
      <c r="AV573" s="671"/>
      <c r="AW573" s="671"/>
    </row>
    <row r="574" spans="15:49" x14ac:dyDescent="0.25">
      <c r="O574" t="s">
        <v>1739</v>
      </c>
      <c r="P574" t="s">
        <v>5262</v>
      </c>
      <c r="Q574" s="671">
        <v>62023</v>
      </c>
      <c r="R574" s="671"/>
      <c r="AT574" s="671"/>
      <c r="AU574" s="671"/>
      <c r="AV574" s="671"/>
      <c r="AW574" s="671"/>
    </row>
    <row r="575" spans="15:49" x14ac:dyDescent="0.25">
      <c r="O575" t="s">
        <v>1739</v>
      </c>
      <c r="P575" t="s">
        <v>5262</v>
      </c>
      <c r="Q575" s="671">
        <v>62023</v>
      </c>
      <c r="R575" s="671"/>
      <c r="AT575" s="671"/>
      <c r="AU575" s="671"/>
      <c r="AV575" s="671"/>
      <c r="AW575" s="671"/>
    </row>
    <row r="576" spans="15:49" x14ac:dyDescent="0.25">
      <c r="O576" t="s">
        <v>1739</v>
      </c>
      <c r="P576" t="s">
        <v>5262</v>
      </c>
      <c r="Q576" s="671">
        <v>62023</v>
      </c>
      <c r="R576" s="671"/>
      <c r="AT576" s="671"/>
      <c r="AU576" s="671"/>
      <c r="AV576" s="671"/>
      <c r="AW576" s="671"/>
    </row>
    <row r="577" spans="15:49" x14ac:dyDescent="0.25">
      <c r="O577" t="s">
        <v>1739</v>
      </c>
      <c r="P577" t="s">
        <v>5262</v>
      </c>
      <c r="Q577" s="671">
        <v>62023</v>
      </c>
      <c r="R577" s="671"/>
      <c r="AT577" s="671"/>
      <c r="AU577" s="671"/>
      <c r="AV577" s="671"/>
      <c r="AW577" s="671"/>
    </row>
    <row r="578" spans="15:49" x14ac:dyDescent="0.25">
      <c r="O578" t="s">
        <v>1739</v>
      </c>
      <c r="P578" t="s">
        <v>5262</v>
      </c>
      <c r="Q578" s="671">
        <v>62023</v>
      </c>
      <c r="R578" s="671"/>
      <c r="AT578" s="671"/>
      <c r="AU578" s="671"/>
      <c r="AV578" s="671"/>
      <c r="AW578" s="671"/>
    </row>
    <row r="579" spans="15:49" x14ac:dyDescent="0.25">
      <c r="O579" t="s">
        <v>1739</v>
      </c>
      <c r="P579" t="s">
        <v>5262</v>
      </c>
      <c r="Q579" s="671">
        <v>62023</v>
      </c>
      <c r="R579" s="671"/>
      <c r="AT579" s="671"/>
      <c r="AU579" s="671"/>
      <c r="AV579" s="671"/>
      <c r="AW579" s="671"/>
    </row>
    <row r="580" spans="15:49" x14ac:dyDescent="0.25">
      <c r="O580" t="s">
        <v>1739</v>
      </c>
      <c r="P580" t="s">
        <v>5262</v>
      </c>
      <c r="Q580" s="671">
        <v>62023</v>
      </c>
      <c r="R580" s="671"/>
      <c r="AT580" s="671"/>
      <c r="AU580" s="671"/>
      <c r="AV580" s="671"/>
      <c r="AW580" s="671"/>
    </row>
    <row r="581" spans="15:49" x14ac:dyDescent="0.25">
      <c r="O581" t="s">
        <v>1739</v>
      </c>
      <c r="P581" t="s">
        <v>5262</v>
      </c>
      <c r="Q581" s="671">
        <v>62023</v>
      </c>
      <c r="R581" s="671"/>
      <c r="AT581" s="671"/>
      <c r="AU581" s="671"/>
      <c r="AV581" s="671"/>
      <c r="AW581" s="671"/>
    </row>
    <row r="582" spans="15:49" x14ac:dyDescent="0.25">
      <c r="O582" t="s">
        <v>1739</v>
      </c>
      <c r="P582" t="s">
        <v>5262</v>
      </c>
      <c r="Q582" s="671">
        <v>62023</v>
      </c>
      <c r="R582" s="671"/>
      <c r="AT582" s="671"/>
      <c r="AU582" s="671"/>
      <c r="AV582" s="671"/>
      <c r="AW582" s="671"/>
    </row>
    <row r="583" spans="15:49" x14ac:dyDescent="0.25">
      <c r="O583" t="s">
        <v>1739</v>
      </c>
      <c r="P583" t="s">
        <v>5262</v>
      </c>
      <c r="Q583" s="671">
        <v>62023</v>
      </c>
      <c r="R583" s="671"/>
      <c r="AT583" s="671"/>
      <c r="AU583" s="671"/>
      <c r="AV583" s="671"/>
      <c r="AW583" s="671"/>
    </row>
    <row r="584" spans="15:49" x14ac:dyDescent="0.25">
      <c r="O584" t="s">
        <v>1739</v>
      </c>
      <c r="P584" t="s">
        <v>5262</v>
      </c>
      <c r="Q584" s="671">
        <v>62023</v>
      </c>
      <c r="R584" s="671"/>
      <c r="AT584" s="671"/>
      <c r="AU584" s="671"/>
      <c r="AV584" s="671"/>
      <c r="AW584" s="671"/>
    </row>
    <row r="585" spans="15:49" x14ac:dyDescent="0.25">
      <c r="O585" t="s">
        <v>1739</v>
      </c>
      <c r="P585" t="s">
        <v>5262</v>
      </c>
      <c r="Q585" s="671">
        <v>62023</v>
      </c>
      <c r="R585" s="671"/>
      <c r="AT585" s="671"/>
      <c r="AU585" s="671"/>
      <c r="AV585" s="671"/>
      <c r="AW585" s="671"/>
    </row>
    <row r="586" spans="15:49" x14ac:dyDescent="0.25">
      <c r="O586" t="s">
        <v>1739</v>
      </c>
      <c r="P586" t="s">
        <v>5262</v>
      </c>
      <c r="Q586" s="671">
        <v>62023</v>
      </c>
      <c r="R586" s="671"/>
      <c r="AT586" s="671"/>
      <c r="AU586" s="671"/>
      <c r="AV586" s="671"/>
      <c r="AW586" s="671"/>
    </row>
    <row r="587" spans="15:49" x14ac:dyDescent="0.25">
      <c r="O587" t="s">
        <v>1739</v>
      </c>
      <c r="P587" t="s">
        <v>5262</v>
      </c>
      <c r="Q587" s="671">
        <v>62023</v>
      </c>
      <c r="R587" s="671"/>
      <c r="AT587" s="671"/>
      <c r="AU587" s="671"/>
      <c r="AV587" s="671"/>
      <c r="AW587" s="671"/>
    </row>
    <row r="588" spans="15:49" x14ac:dyDescent="0.25">
      <c r="O588" t="s">
        <v>1739</v>
      </c>
      <c r="P588" t="s">
        <v>5262</v>
      </c>
      <c r="Q588" s="671">
        <v>62023</v>
      </c>
      <c r="R588" s="671"/>
      <c r="AT588" s="671"/>
      <c r="AU588" s="671"/>
      <c r="AV588" s="671"/>
      <c r="AW588" s="671"/>
    </row>
    <row r="589" spans="15:49" x14ac:dyDescent="0.25">
      <c r="O589" t="s">
        <v>1741</v>
      </c>
      <c r="P589" t="s">
        <v>5262</v>
      </c>
      <c r="Q589" s="671">
        <v>62023</v>
      </c>
      <c r="R589" s="671"/>
      <c r="AT589" s="671"/>
      <c r="AU589" s="671"/>
      <c r="AV589" s="671"/>
      <c r="AW589" s="671"/>
    </row>
    <row r="590" spans="15:49" x14ac:dyDescent="0.25">
      <c r="O590" t="s">
        <v>1741</v>
      </c>
      <c r="P590" t="s">
        <v>5262</v>
      </c>
      <c r="Q590" s="671">
        <v>62023</v>
      </c>
      <c r="R590" s="671"/>
      <c r="AT590" s="671"/>
      <c r="AU590" s="671"/>
      <c r="AV590" s="671"/>
      <c r="AW590" s="671"/>
    </row>
    <row r="591" spans="15:49" x14ac:dyDescent="0.25">
      <c r="O591" t="s">
        <v>1741</v>
      </c>
      <c r="P591" t="s">
        <v>5262</v>
      </c>
      <c r="Q591" s="671">
        <v>62023</v>
      </c>
      <c r="R591" s="671"/>
      <c r="AT591" s="671"/>
      <c r="AU591" s="671"/>
      <c r="AV591" s="671"/>
      <c r="AW591" s="671"/>
    </row>
    <row r="592" spans="15:49" x14ac:dyDescent="0.25">
      <c r="O592" t="s">
        <v>1741</v>
      </c>
      <c r="P592" t="s">
        <v>5262</v>
      </c>
      <c r="Q592" s="671">
        <v>62023</v>
      </c>
      <c r="R592" s="671"/>
      <c r="AT592" s="671"/>
      <c r="AU592" s="671"/>
      <c r="AV592" s="671"/>
      <c r="AW592" s="671"/>
    </row>
    <row r="593" spans="15:49" x14ac:dyDescent="0.25">
      <c r="O593" t="s">
        <v>1741</v>
      </c>
      <c r="P593" t="s">
        <v>5262</v>
      </c>
      <c r="Q593" s="671">
        <v>62023</v>
      </c>
      <c r="R593" s="671"/>
      <c r="AT593" s="671"/>
      <c r="AU593" s="671"/>
      <c r="AV593" s="671"/>
      <c r="AW593" s="671"/>
    </row>
    <row r="594" spans="15:49" x14ac:dyDescent="0.25">
      <c r="O594" t="s">
        <v>1741</v>
      </c>
      <c r="P594" t="s">
        <v>5262</v>
      </c>
      <c r="Q594" s="671">
        <v>62023</v>
      </c>
      <c r="R594" s="671"/>
      <c r="AT594" s="671"/>
      <c r="AU594" s="671"/>
      <c r="AV594" s="671"/>
      <c r="AW594" s="671"/>
    </row>
    <row r="595" spans="15:49" x14ac:dyDescent="0.25">
      <c r="O595" t="s">
        <v>1741</v>
      </c>
      <c r="P595" t="s">
        <v>5262</v>
      </c>
      <c r="Q595" s="671">
        <v>62023</v>
      </c>
      <c r="R595" s="671"/>
      <c r="AT595" s="671"/>
      <c r="AU595" s="671"/>
      <c r="AV595" s="671"/>
      <c r="AW595" s="671"/>
    </row>
    <row r="596" spans="15:49" x14ac:dyDescent="0.25">
      <c r="O596" t="s">
        <v>1741</v>
      </c>
      <c r="P596" t="s">
        <v>5262</v>
      </c>
      <c r="Q596" s="671">
        <v>62023</v>
      </c>
      <c r="R596" s="671"/>
      <c r="AT596" s="671"/>
      <c r="AU596" s="671"/>
      <c r="AV596" s="671"/>
      <c r="AW596" s="671"/>
    </row>
    <row r="597" spans="15:49" x14ac:dyDescent="0.25">
      <c r="O597" t="s">
        <v>1741</v>
      </c>
      <c r="P597" t="s">
        <v>5262</v>
      </c>
      <c r="Q597" s="671">
        <v>62023</v>
      </c>
      <c r="R597" s="671"/>
      <c r="AT597" s="671"/>
      <c r="AU597" s="671"/>
      <c r="AV597" s="671"/>
      <c r="AW597" s="671"/>
    </row>
    <row r="598" spans="15:49" x14ac:dyDescent="0.25">
      <c r="O598" t="s">
        <v>1741</v>
      </c>
      <c r="P598" t="s">
        <v>5262</v>
      </c>
      <c r="Q598" s="671">
        <v>62023</v>
      </c>
      <c r="R598" s="671"/>
      <c r="AT598" s="671"/>
      <c r="AU598" s="671"/>
      <c r="AV598" s="671"/>
      <c r="AW598" s="671"/>
    </row>
    <row r="599" spans="15:49" x14ac:dyDescent="0.25">
      <c r="O599" t="s">
        <v>1741</v>
      </c>
      <c r="P599" t="s">
        <v>5262</v>
      </c>
      <c r="Q599" s="671">
        <v>62023</v>
      </c>
      <c r="R599" s="671"/>
      <c r="AT599" s="671"/>
      <c r="AU599" s="671"/>
      <c r="AV599" s="671"/>
      <c r="AW599" s="671"/>
    </row>
    <row r="600" spans="15:49" x14ac:dyDescent="0.25">
      <c r="O600" t="s">
        <v>1741</v>
      </c>
      <c r="P600" t="s">
        <v>5262</v>
      </c>
      <c r="Q600" s="671">
        <v>62023</v>
      </c>
      <c r="R600" s="671"/>
      <c r="AT600" s="671"/>
      <c r="AU600" s="671"/>
      <c r="AV600" s="671"/>
      <c r="AW600" s="671"/>
    </row>
    <row r="601" spans="15:49" x14ac:dyDescent="0.25">
      <c r="O601" t="s">
        <v>1747</v>
      </c>
      <c r="P601" t="s">
        <v>5262</v>
      </c>
      <c r="Q601" s="671">
        <v>62023</v>
      </c>
      <c r="R601" s="671"/>
      <c r="AT601" s="671"/>
      <c r="AU601" s="671"/>
      <c r="AV601" s="671"/>
      <c r="AW601" s="671"/>
    </row>
    <row r="602" spans="15:49" x14ac:dyDescent="0.25">
      <c r="O602" t="s">
        <v>1747</v>
      </c>
      <c r="P602" t="s">
        <v>5262</v>
      </c>
      <c r="Q602" s="671">
        <v>62023</v>
      </c>
      <c r="R602" s="671"/>
      <c r="AT602" s="671"/>
      <c r="AU602" s="671"/>
      <c r="AV602" s="671"/>
      <c r="AW602" s="671"/>
    </row>
    <row r="603" spans="15:49" x14ac:dyDescent="0.25">
      <c r="O603" t="s">
        <v>1747</v>
      </c>
      <c r="P603" t="s">
        <v>5262</v>
      </c>
      <c r="Q603" s="671">
        <v>62023</v>
      </c>
      <c r="R603" s="671"/>
      <c r="AT603" s="671"/>
      <c r="AU603" s="671"/>
      <c r="AV603" s="671"/>
      <c r="AW603" s="671"/>
    </row>
    <row r="604" spans="15:49" x14ac:dyDescent="0.25">
      <c r="O604" t="s">
        <v>1747</v>
      </c>
      <c r="P604" t="s">
        <v>5262</v>
      </c>
      <c r="Q604" s="671">
        <v>62023</v>
      </c>
      <c r="R604" s="671"/>
      <c r="AT604" s="671"/>
      <c r="AU604" s="671"/>
      <c r="AV604" s="671"/>
      <c r="AW604" s="671"/>
    </row>
    <row r="605" spans="15:49" x14ac:dyDescent="0.25">
      <c r="O605" t="s">
        <v>1747</v>
      </c>
      <c r="P605" t="s">
        <v>5262</v>
      </c>
      <c r="Q605" s="671">
        <v>62023</v>
      </c>
      <c r="R605" s="671"/>
      <c r="AT605" s="671"/>
      <c r="AU605" s="671"/>
      <c r="AV605" s="671"/>
      <c r="AW605" s="671"/>
    </row>
    <row r="606" spans="15:49" x14ac:dyDescent="0.25">
      <c r="O606" t="s">
        <v>1747</v>
      </c>
      <c r="P606" t="s">
        <v>5262</v>
      </c>
      <c r="Q606" s="671">
        <v>62023</v>
      </c>
      <c r="R606" s="671"/>
      <c r="AT606" s="671"/>
      <c r="AU606" s="671"/>
      <c r="AV606" s="671"/>
      <c r="AW606" s="671"/>
    </row>
    <row r="607" spans="15:49" x14ac:dyDescent="0.25">
      <c r="O607" t="s">
        <v>1747</v>
      </c>
      <c r="P607" t="s">
        <v>5262</v>
      </c>
      <c r="Q607" s="671">
        <v>62023</v>
      </c>
      <c r="R607" s="671"/>
      <c r="AT607" s="671"/>
      <c r="AU607" s="671"/>
      <c r="AV607" s="671"/>
      <c r="AW607" s="671"/>
    </row>
    <row r="608" spans="15:49" x14ac:dyDescent="0.25">
      <c r="O608" t="s">
        <v>1745</v>
      </c>
      <c r="P608" t="s">
        <v>5262</v>
      </c>
      <c r="Q608" s="671">
        <v>62023</v>
      </c>
      <c r="R608" s="671"/>
      <c r="AT608" s="671"/>
      <c r="AU608" s="671"/>
      <c r="AV608" s="671"/>
      <c r="AW608" s="671"/>
    </row>
    <row r="609" spans="15:49" x14ac:dyDescent="0.25">
      <c r="O609" t="s">
        <v>1745</v>
      </c>
      <c r="P609" t="s">
        <v>5262</v>
      </c>
      <c r="Q609" s="671">
        <v>62023</v>
      </c>
      <c r="R609" s="671"/>
      <c r="AT609" s="671"/>
      <c r="AU609" s="671"/>
      <c r="AV609" s="671"/>
      <c r="AW609" s="671"/>
    </row>
    <row r="610" spans="15:49" x14ac:dyDescent="0.25">
      <c r="O610" t="s">
        <v>1745</v>
      </c>
      <c r="P610" t="s">
        <v>5262</v>
      </c>
      <c r="Q610" s="671">
        <v>62023</v>
      </c>
      <c r="R610" s="671"/>
      <c r="AT610" s="671"/>
      <c r="AU610" s="671"/>
      <c r="AV610" s="671"/>
      <c r="AW610" s="671"/>
    </row>
    <row r="611" spans="15:49" x14ac:dyDescent="0.25">
      <c r="O611" t="s">
        <v>1745</v>
      </c>
      <c r="P611" t="s">
        <v>5262</v>
      </c>
      <c r="Q611" s="671">
        <v>62023</v>
      </c>
      <c r="R611" s="671"/>
      <c r="AT611" s="671"/>
      <c r="AU611" s="671"/>
      <c r="AV611" s="671"/>
      <c r="AW611" s="671"/>
    </row>
    <row r="612" spans="15:49" x14ac:dyDescent="0.25">
      <c r="O612" t="s">
        <v>1745</v>
      </c>
      <c r="P612" t="s">
        <v>5262</v>
      </c>
      <c r="Q612" s="671">
        <v>62023</v>
      </c>
      <c r="R612" s="671"/>
      <c r="AT612" s="671"/>
      <c r="AU612" s="671"/>
      <c r="AV612" s="671"/>
      <c r="AW612" s="671"/>
    </row>
    <row r="613" spans="15:49" x14ac:dyDescent="0.25">
      <c r="O613" t="s">
        <v>1745</v>
      </c>
      <c r="P613" t="s">
        <v>5262</v>
      </c>
      <c r="Q613" s="671">
        <v>62023</v>
      </c>
      <c r="R613" s="671"/>
      <c r="AT613" s="671"/>
      <c r="AU613" s="671"/>
      <c r="AV613" s="671"/>
      <c r="AW613" s="671"/>
    </row>
    <row r="614" spans="15:49" x14ac:dyDescent="0.25">
      <c r="O614" t="s">
        <v>1745</v>
      </c>
      <c r="P614" t="s">
        <v>5262</v>
      </c>
      <c r="Q614" s="671">
        <v>62023</v>
      </c>
      <c r="R614" s="671"/>
      <c r="AT614" s="671"/>
      <c r="AU614" s="671"/>
      <c r="AV614" s="671"/>
      <c r="AW614" s="671"/>
    </row>
    <row r="615" spans="15:49" x14ac:dyDescent="0.25">
      <c r="O615" t="s">
        <v>1745</v>
      </c>
      <c r="P615" t="s">
        <v>5262</v>
      </c>
      <c r="Q615" s="671">
        <v>62023</v>
      </c>
      <c r="R615" s="671"/>
      <c r="AT615" s="671"/>
      <c r="AU615" s="671"/>
      <c r="AV615" s="671"/>
      <c r="AW615" s="671"/>
    </row>
    <row r="616" spans="15:49" x14ac:dyDescent="0.25">
      <c r="O616" t="s">
        <v>1745</v>
      </c>
      <c r="P616" t="s">
        <v>5262</v>
      </c>
      <c r="Q616" s="671">
        <v>62023</v>
      </c>
      <c r="R616" s="671"/>
      <c r="AT616" s="671"/>
      <c r="AU616" s="671"/>
      <c r="AV616" s="671"/>
      <c r="AW616" s="671"/>
    </row>
    <row r="617" spans="15:49" x14ac:dyDescent="0.25">
      <c r="O617" t="s">
        <v>1745</v>
      </c>
      <c r="P617" t="s">
        <v>5262</v>
      </c>
      <c r="Q617" s="671">
        <v>62023</v>
      </c>
      <c r="R617" s="671"/>
      <c r="AT617" s="671"/>
      <c r="AU617" s="671"/>
      <c r="AV617" s="671"/>
      <c r="AW617" s="671"/>
    </row>
    <row r="618" spans="15:49" x14ac:dyDescent="0.25">
      <c r="O618" t="s">
        <v>1745</v>
      </c>
      <c r="P618" t="s">
        <v>5262</v>
      </c>
      <c r="Q618" s="671">
        <v>62023</v>
      </c>
      <c r="R618" s="671"/>
      <c r="AT618" s="671"/>
      <c r="AU618" s="671"/>
      <c r="AV618" s="671"/>
      <c r="AW618" s="671"/>
    </row>
    <row r="619" spans="15:49" x14ac:dyDescent="0.25">
      <c r="O619" t="s">
        <v>1745</v>
      </c>
      <c r="P619" t="s">
        <v>5262</v>
      </c>
      <c r="Q619" s="671">
        <v>62023</v>
      </c>
      <c r="R619" s="671"/>
      <c r="AT619" s="671"/>
      <c r="AU619" s="671"/>
      <c r="AV619" s="671"/>
      <c r="AW619" s="671"/>
    </row>
    <row r="620" spans="15:49" x14ac:dyDescent="0.25">
      <c r="O620" t="s">
        <v>1568</v>
      </c>
      <c r="P620" t="s">
        <v>5263</v>
      </c>
      <c r="Q620" s="671">
        <v>62020</v>
      </c>
      <c r="R620" s="671"/>
      <c r="AT620" s="671"/>
      <c r="AU620" s="671"/>
      <c r="AV620" s="671"/>
      <c r="AW620" s="671"/>
    </row>
    <row r="621" spans="15:49" x14ac:dyDescent="0.25">
      <c r="O621" t="s">
        <v>1576</v>
      </c>
      <c r="P621" t="s">
        <v>5263</v>
      </c>
      <c r="Q621" s="671">
        <v>62020</v>
      </c>
      <c r="R621" s="671"/>
      <c r="AT621" s="671"/>
      <c r="AU621" s="671"/>
      <c r="AV621" s="671"/>
      <c r="AW621" s="671"/>
    </row>
    <row r="622" spans="15:49" x14ac:dyDescent="0.25">
      <c r="O622" t="s">
        <v>1560</v>
      </c>
      <c r="P622" t="s">
        <v>5263</v>
      </c>
      <c r="Q622" s="671">
        <v>62020</v>
      </c>
      <c r="R622" s="671"/>
      <c r="AT622" s="671"/>
      <c r="AU622" s="671"/>
      <c r="AV622" s="671"/>
      <c r="AW622" s="671"/>
    </row>
    <row r="623" spans="15:49" x14ac:dyDescent="0.25">
      <c r="O623" t="s">
        <v>1560</v>
      </c>
      <c r="P623" t="s">
        <v>5263</v>
      </c>
      <c r="Q623" s="671">
        <v>62020</v>
      </c>
      <c r="R623" s="671"/>
      <c r="AT623" s="671"/>
      <c r="AU623" s="671"/>
      <c r="AV623" s="671"/>
      <c r="AW623" s="671"/>
    </row>
    <row r="624" spans="15:49" x14ac:dyDescent="0.25">
      <c r="O624" t="s">
        <v>1564</v>
      </c>
      <c r="P624" t="s">
        <v>5263</v>
      </c>
      <c r="Q624" s="671">
        <v>62020</v>
      </c>
      <c r="R624" s="671"/>
      <c r="AT624" s="671"/>
      <c r="AU624" s="671"/>
      <c r="AV624" s="671"/>
      <c r="AW624" s="671"/>
    </row>
    <row r="625" spans="15:49" x14ac:dyDescent="0.25">
      <c r="O625" t="s">
        <v>1556</v>
      </c>
      <c r="P625" t="s">
        <v>5263</v>
      </c>
      <c r="Q625" s="671">
        <v>62020</v>
      </c>
      <c r="R625" s="671"/>
      <c r="AT625" s="671"/>
      <c r="AU625" s="671"/>
      <c r="AV625" s="671"/>
      <c r="AW625" s="671"/>
    </row>
    <row r="626" spans="15:49" x14ac:dyDescent="0.25">
      <c r="O626" t="s">
        <v>1570</v>
      </c>
      <c r="P626" t="s">
        <v>5263</v>
      </c>
      <c r="Q626" s="671">
        <v>62020</v>
      </c>
      <c r="R626" s="671"/>
      <c r="AT626" s="671"/>
      <c r="AU626" s="671"/>
      <c r="AV626" s="671"/>
      <c r="AW626" s="671"/>
    </row>
    <row r="627" spans="15:49" x14ac:dyDescent="0.25">
      <c r="O627" t="s">
        <v>1570</v>
      </c>
      <c r="P627" t="s">
        <v>5263</v>
      </c>
      <c r="Q627" s="671">
        <v>62020</v>
      </c>
      <c r="R627" s="671"/>
      <c r="AT627" s="671"/>
      <c r="AU627" s="671"/>
      <c r="AV627" s="671"/>
      <c r="AW627" s="671"/>
    </row>
    <row r="628" spans="15:49" x14ac:dyDescent="0.25">
      <c r="O628" t="s">
        <v>1578</v>
      </c>
      <c r="P628" t="s">
        <v>5263</v>
      </c>
      <c r="Q628" s="671">
        <v>62021</v>
      </c>
      <c r="R628" s="671"/>
      <c r="AT628" s="671"/>
      <c r="AU628" s="671"/>
      <c r="AV628" s="671"/>
      <c r="AW628" s="671"/>
    </row>
    <row r="629" spans="15:49" x14ac:dyDescent="0.25">
      <c r="O629" t="s">
        <v>1578</v>
      </c>
      <c r="P629" t="s">
        <v>5263</v>
      </c>
      <c r="Q629" s="671">
        <v>62021</v>
      </c>
      <c r="R629" s="671"/>
      <c r="AT629" s="671"/>
      <c r="AU629" s="671"/>
      <c r="AV629" s="671"/>
      <c r="AW629" s="671"/>
    </row>
    <row r="630" spans="15:49" x14ac:dyDescent="0.25">
      <c r="O630" t="s">
        <v>1578</v>
      </c>
      <c r="P630" t="s">
        <v>5263</v>
      </c>
      <c r="Q630" s="671">
        <v>62021</v>
      </c>
      <c r="R630" s="671"/>
      <c r="AT630" s="671"/>
      <c r="AU630" s="671"/>
      <c r="AV630" s="671"/>
      <c r="AW630" s="671"/>
    </row>
    <row r="631" spans="15:49" x14ac:dyDescent="0.25">
      <c r="O631" t="s">
        <v>1578</v>
      </c>
      <c r="P631" t="s">
        <v>5263</v>
      </c>
      <c r="Q631" s="671">
        <v>62021</v>
      </c>
      <c r="R631" s="671"/>
      <c r="AT631" s="671"/>
      <c r="AU631" s="671"/>
      <c r="AV631" s="671"/>
      <c r="AW631" s="671"/>
    </row>
    <row r="632" spans="15:49" x14ac:dyDescent="0.25">
      <c r="O632" t="s">
        <v>1578</v>
      </c>
      <c r="P632" t="s">
        <v>5263</v>
      </c>
      <c r="Q632" s="671">
        <v>62021</v>
      </c>
      <c r="R632" s="671"/>
      <c r="AT632" s="671"/>
      <c r="AU632" s="671"/>
      <c r="AV632" s="671"/>
      <c r="AW632" s="671"/>
    </row>
    <row r="633" spans="15:49" x14ac:dyDescent="0.25">
      <c r="O633" t="s">
        <v>1965</v>
      </c>
      <c r="P633" t="s">
        <v>5264</v>
      </c>
      <c r="Q633" s="671">
        <v>62028</v>
      </c>
      <c r="R633" s="671"/>
      <c r="AT633" s="671"/>
      <c r="AU633" s="671"/>
      <c r="AV633" s="671"/>
      <c r="AW633" s="671"/>
    </row>
    <row r="634" spans="15:49" x14ac:dyDescent="0.25">
      <c r="O634" t="s">
        <v>1965</v>
      </c>
      <c r="P634" t="s">
        <v>5264</v>
      </c>
      <c r="Q634" s="671">
        <v>62028</v>
      </c>
      <c r="R634" s="671"/>
      <c r="AT634" s="671"/>
      <c r="AU634" s="671"/>
      <c r="AV634" s="671"/>
      <c r="AW634" s="671"/>
    </row>
    <row r="635" spans="15:49" x14ac:dyDescent="0.25">
      <c r="O635" t="s">
        <v>1973</v>
      </c>
      <c r="P635" t="s">
        <v>5264</v>
      </c>
      <c r="Q635" s="671">
        <v>62028</v>
      </c>
      <c r="R635" s="671"/>
      <c r="AT635" s="671"/>
      <c r="AU635" s="671"/>
      <c r="AV635" s="671"/>
      <c r="AW635" s="671"/>
    </row>
    <row r="636" spans="15:49" x14ac:dyDescent="0.25">
      <c r="O636" t="s">
        <v>1973</v>
      </c>
      <c r="P636" t="s">
        <v>5264</v>
      </c>
      <c r="Q636" s="671">
        <v>62028</v>
      </c>
      <c r="R636" s="671"/>
      <c r="AT636" s="671"/>
      <c r="AU636" s="671"/>
      <c r="AV636" s="671"/>
      <c r="AW636" s="671"/>
    </row>
    <row r="637" spans="15:49" x14ac:dyDescent="0.25">
      <c r="O637" t="s">
        <v>1973</v>
      </c>
      <c r="P637" t="s">
        <v>5264</v>
      </c>
      <c r="Q637" s="671">
        <v>62028</v>
      </c>
      <c r="R637" s="671"/>
      <c r="AT637" s="671"/>
      <c r="AU637" s="671"/>
      <c r="AV637" s="671"/>
      <c r="AW637" s="671"/>
    </row>
    <row r="638" spans="15:49" x14ac:dyDescent="0.25">
      <c r="O638" t="s">
        <v>1973</v>
      </c>
      <c r="P638" t="s">
        <v>5264</v>
      </c>
      <c r="Q638" s="671">
        <v>62028</v>
      </c>
      <c r="R638" s="671"/>
      <c r="AT638" s="671"/>
      <c r="AU638" s="671"/>
      <c r="AV638" s="671"/>
      <c r="AW638" s="671"/>
    </row>
    <row r="639" spans="15:49" x14ac:dyDescent="0.25">
      <c r="O639" t="s">
        <v>1973</v>
      </c>
      <c r="P639" t="s">
        <v>5264</v>
      </c>
      <c r="Q639" s="671">
        <v>62028</v>
      </c>
      <c r="R639" s="671"/>
      <c r="AT639" s="671"/>
      <c r="AU639" s="671"/>
      <c r="AV639" s="671"/>
      <c r="AW639" s="671"/>
    </row>
    <row r="640" spans="15:49" x14ac:dyDescent="0.25">
      <c r="O640" t="s">
        <v>1985</v>
      </c>
      <c r="P640" t="s">
        <v>5264</v>
      </c>
      <c r="Q640" s="671">
        <v>62028</v>
      </c>
      <c r="R640" s="671"/>
      <c r="AT640" s="671"/>
      <c r="AU640" s="671"/>
      <c r="AV640" s="671"/>
      <c r="AW640" s="671"/>
    </row>
    <row r="641" spans="15:49" x14ac:dyDescent="0.25">
      <c r="O641" t="s">
        <v>1985</v>
      </c>
      <c r="P641" t="s">
        <v>5264</v>
      </c>
      <c r="Q641" s="671">
        <v>62028</v>
      </c>
      <c r="R641" s="671"/>
      <c r="AT641" s="671"/>
      <c r="AU641" s="671"/>
      <c r="AV641" s="671"/>
      <c r="AW641" s="671"/>
    </row>
    <row r="642" spans="15:49" x14ac:dyDescent="0.25">
      <c r="O642" t="s">
        <v>1981</v>
      </c>
      <c r="P642" t="s">
        <v>5264</v>
      </c>
      <c r="Q642" s="671">
        <v>62028</v>
      </c>
      <c r="R642" s="671"/>
      <c r="AT642" s="671"/>
      <c r="AU642" s="671"/>
      <c r="AV642" s="671"/>
      <c r="AW642" s="671"/>
    </row>
    <row r="643" spans="15:49" x14ac:dyDescent="0.25">
      <c r="O643" t="s">
        <v>1981</v>
      </c>
      <c r="P643" t="s">
        <v>5264</v>
      </c>
      <c r="Q643" s="671">
        <v>62028</v>
      </c>
      <c r="R643" s="671"/>
      <c r="AT643" s="671"/>
      <c r="AU643" s="671"/>
      <c r="AV643" s="671"/>
      <c r="AW643" s="671"/>
    </row>
    <row r="644" spans="15:49" x14ac:dyDescent="0.25">
      <c r="O644" t="s">
        <v>1981</v>
      </c>
      <c r="P644" t="s">
        <v>5264</v>
      </c>
      <c r="Q644" s="671">
        <v>62028</v>
      </c>
      <c r="R644" s="671"/>
      <c r="AT644" s="671"/>
      <c r="AU644" s="671"/>
      <c r="AV644" s="671"/>
      <c r="AW644" s="671"/>
    </row>
    <row r="645" spans="15:49" x14ac:dyDescent="0.25">
      <c r="O645" t="s">
        <v>1979</v>
      </c>
      <c r="P645" t="s">
        <v>5264</v>
      </c>
      <c r="Q645" s="671">
        <v>62028</v>
      </c>
      <c r="R645" s="671"/>
      <c r="AT645" s="671"/>
      <c r="AU645" s="671"/>
      <c r="AV645" s="671"/>
      <c r="AW645" s="671"/>
    </row>
    <row r="646" spans="15:49" x14ac:dyDescent="0.25">
      <c r="O646" t="s">
        <v>1958</v>
      </c>
      <c r="P646" t="s">
        <v>5264</v>
      </c>
      <c r="Q646" s="671">
        <v>62028</v>
      </c>
      <c r="R646" s="671"/>
      <c r="AT646" s="671"/>
      <c r="AU646" s="671"/>
      <c r="AV646" s="671"/>
      <c r="AW646" s="671"/>
    </row>
    <row r="647" spans="15:49" x14ac:dyDescent="0.25">
      <c r="O647" t="s">
        <v>1958</v>
      </c>
      <c r="P647" t="s">
        <v>5264</v>
      </c>
      <c r="Q647" s="671">
        <v>62028</v>
      </c>
      <c r="R647" s="671"/>
      <c r="AT647" s="671"/>
      <c r="AU647" s="671"/>
      <c r="AV647" s="671"/>
      <c r="AW647" s="671"/>
    </row>
    <row r="648" spans="15:49" x14ac:dyDescent="0.25">
      <c r="O648" t="s">
        <v>1969</v>
      </c>
      <c r="P648" t="s">
        <v>5264</v>
      </c>
      <c r="Q648" s="671">
        <v>62028</v>
      </c>
      <c r="R648" s="671"/>
      <c r="AT648" s="671"/>
      <c r="AU648" s="671"/>
      <c r="AV648" s="671"/>
      <c r="AW648" s="671"/>
    </row>
    <row r="649" spans="15:49" x14ac:dyDescent="0.25">
      <c r="O649" t="s">
        <v>1969</v>
      </c>
      <c r="P649" t="s">
        <v>5264</v>
      </c>
      <c r="Q649" s="671">
        <v>62028</v>
      </c>
      <c r="R649" s="671"/>
      <c r="AT649" s="671"/>
      <c r="AU649" s="671"/>
      <c r="AV649" s="671"/>
      <c r="AW649" s="671"/>
    </row>
    <row r="650" spans="15:49" x14ac:dyDescent="0.25">
      <c r="O650" t="s">
        <v>1969</v>
      </c>
      <c r="P650" t="s">
        <v>5264</v>
      </c>
      <c r="Q650" s="671">
        <v>62028</v>
      </c>
      <c r="R650" s="671"/>
      <c r="AT650" s="671"/>
      <c r="AU650" s="671"/>
      <c r="AV650" s="671"/>
      <c r="AW650" s="671"/>
    </row>
    <row r="651" spans="15:49" x14ac:dyDescent="0.25">
      <c r="O651" t="s">
        <v>2075</v>
      </c>
      <c r="P651" t="s">
        <v>5264</v>
      </c>
      <c r="Q651" s="671">
        <v>62039</v>
      </c>
      <c r="R651" s="671"/>
      <c r="AT651" s="671"/>
      <c r="AU651" s="671"/>
      <c r="AV651" s="671"/>
      <c r="AW651" s="671"/>
    </row>
    <row r="652" spans="15:49" x14ac:dyDescent="0.25">
      <c r="O652" t="s">
        <v>2075</v>
      </c>
      <c r="P652" t="s">
        <v>5264</v>
      </c>
      <c r="Q652" s="671">
        <v>62039</v>
      </c>
      <c r="R652" s="671"/>
      <c r="AT652" s="671"/>
      <c r="AU652" s="671"/>
      <c r="AV652" s="671"/>
      <c r="AW652" s="671"/>
    </row>
    <row r="653" spans="15:49" x14ac:dyDescent="0.25">
      <c r="O653" t="s">
        <v>2075</v>
      </c>
      <c r="P653" t="s">
        <v>5264</v>
      </c>
      <c r="Q653" s="671">
        <v>62039</v>
      </c>
      <c r="R653" s="671"/>
      <c r="AT653" s="671"/>
      <c r="AU653" s="671"/>
      <c r="AV653" s="671"/>
      <c r="AW653" s="671"/>
    </row>
    <row r="654" spans="15:49" x14ac:dyDescent="0.25">
      <c r="O654" t="s">
        <v>2075</v>
      </c>
      <c r="P654" t="s">
        <v>5264</v>
      </c>
      <c r="Q654" s="671">
        <v>62039</v>
      </c>
      <c r="R654" s="671"/>
      <c r="AT654" s="671"/>
      <c r="AU654" s="671"/>
      <c r="AV654" s="671"/>
      <c r="AW654" s="671"/>
    </row>
    <row r="655" spans="15:49" x14ac:dyDescent="0.25">
      <c r="O655" t="s">
        <v>2075</v>
      </c>
      <c r="P655" t="s">
        <v>5264</v>
      </c>
      <c r="Q655" s="671">
        <v>62039</v>
      </c>
      <c r="R655" s="671"/>
      <c r="AT655" s="671"/>
      <c r="AU655" s="671"/>
      <c r="AV655" s="671"/>
      <c r="AW655" s="671"/>
    </row>
    <row r="656" spans="15:49" x14ac:dyDescent="0.25">
      <c r="O656" t="s">
        <v>2075</v>
      </c>
      <c r="P656" t="s">
        <v>5264</v>
      </c>
      <c r="Q656" s="671">
        <v>62039</v>
      </c>
      <c r="R656" s="671"/>
      <c r="AT656" s="671"/>
      <c r="AU656" s="671"/>
      <c r="AV656" s="671"/>
      <c r="AW656" s="671"/>
    </row>
    <row r="657" spans="15:49" x14ac:dyDescent="0.25">
      <c r="O657" t="s">
        <v>2067</v>
      </c>
      <c r="P657" t="s">
        <v>5265</v>
      </c>
      <c r="Q657" s="671">
        <v>62030</v>
      </c>
      <c r="R657" s="671"/>
      <c r="AT657" s="671"/>
      <c r="AU657" s="671"/>
      <c r="AV657" s="671"/>
      <c r="AW657" s="671"/>
    </row>
    <row r="658" spans="15:49" x14ac:dyDescent="0.25">
      <c r="O658" t="s">
        <v>2071</v>
      </c>
      <c r="P658" t="s">
        <v>5264</v>
      </c>
      <c r="Q658" s="671">
        <v>62039</v>
      </c>
      <c r="R658" s="671"/>
      <c r="AT658" s="671"/>
      <c r="AU658" s="671"/>
      <c r="AV658" s="671"/>
      <c r="AW658" s="671"/>
    </row>
    <row r="659" spans="15:49" x14ac:dyDescent="0.25">
      <c r="O659" t="s">
        <v>2063</v>
      </c>
      <c r="P659" t="s">
        <v>5264</v>
      </c>
      <c r="Q659" s="671">
        <v>62028</v>
      </c>
      <c r="R659" s="671"/>
      <c r="AT659" s="671"/>
      <c r="AU659" s="671"/>
      <c r="AV659" s="671"/>
      <c r="AW659" s="671"/>
    </row>
    <row r="660" spans="15:49" x14ac:dyDescent="0.25">
      <c r="O660" t="s">
        <v>2059</v>
      </c>
      <c r="P660" t="s">
        <v>5264</v>
      </c>
      <c r="Q660" s="671">
        <v>62028</v>
      </c>
      <c r="R660" s="671"/>
      <c r="AT660" s="671"/>
      <c r="AU660" s="671"/>
      <c r="AV660" s="671"/>
      <c r="AW660" s="671"/>
    </row>
    <row r="661" spans="15:49" x14ac:dyDescent="0.25">
      <c r="O661" t="s">
        <v>2039</v>
      </c>
      <c r="P661" t="s">
        <v>5264</v>
      </c>
      <c r="Q661" s="671">
        <v>62028</v>
      </c>
      <c r="R661" s="671"/>
      <c r="AT661" s="671"/>
      <c r="AU661" s="671"/>
      <c r="AV661" s="671"/>
      <c r="AW661" s="671"/>
    </row>
    <row r="662" spans="15:49" x14ac:dyDescent="0.25">
      <c r="O662" t="s">
        <v>2035</v>
      </c>
      <c r="P662" t="s">
        <v>5264</v>
      </c>
      <c r="Q662" s="671">
        <v>62028</v>
      </c>
      <c r="R662" s="671"/>
      <c r="AT662" s="671"/>
      <c r="AU662" s="671"/>
      <c r="AV662" s="671"/>
      <c r="AW662" s="671"/>
    </row>
    <row r="663" spans="15:49" x14ac:dyDescent="0.25">
      <c r="O663" t="s">
        <v>2035</v>
      </c>
      <c r="P663" t="s">
        <v>5264</v>
      </c>
      <c r="Q663" s="671">
        <v>62028</v>
      </c>
      <c r="R663" s="671"/>
      <c r="AT663" s="671"/>
      <c r="AU663" s="671"/>
      <c r="AV663" s="671"/>
      <c r="AW663" s="671"/>
    </row>
    <row r="664" spans="15:49" x14ac:dyDescent="0.25">
      <c r="O664" t="s">
        <v>2009</v>
      </c>
      <c r="P664" t="s">
        <v>5264</v>
      </c>
      <c r="Q664" s="671">
        <v>62028</v>
      </c>
      <c r="R664" s="671"/>
      <c r="AT664" s="671"/>
      <c r="AU664" s="671"/>
      <c r="AV664" s="671"/>
      <c r="AW664" s="671"/>
    </row>
    <row r="665" spans="15:49" x14ac:dyDescent="0.25">
      <c r="O665" t="s">
        <v>2001</v>
      </c>
      <c r="P665" t="s">
        <v>5264</v>
      </c>
      <c r="Q665" s="671">
        <v>62028</v>
      </c>
      <c r="R665" s="671"/>
      <c r="AT665" s="671"/>
      <c r="AU665" s="671"/>
      <c r="AV665" s="671"/>
      <c r="AW665" s="671"/>
    </row>
    <row r="666" spans="15:49" x14ac:dyDescent="0.25">
      <c r="O666" t="s">
        <v>2005</v>
      </c>
      <c r="P666" t="s">
        <v>5264</v>
      </c>
      <c r="Q666" s="671">
        <v>62028</v>
      </c>
      <c r="R666" s="671"/>
      <c r="AT666" s="671"/>
      <c r="AU666" s="671"/>
      <c r="AV666" s="671"/>
      <c r="AW666" s="671"/>
    </row>
    <row r="667" spans="15:49" x14ac:dyDescent="0.25">
      <c r="O667" t="s">
        <v>2013</v>
      </c>
      <c r="P667" t="s">
        <v>5264</v>
      </c>
      <c r="Q667" s="671">
        <v>62028</v>
      </c>
      <c r="R667" s="671"/>
      <c r="AT667" s="671"/>
      <c r="AU667" s="671"/>
      <c r="AV667" s="671"/>
      <c r="AW667" s="671"/>
    </row>
    <row r="668" spans="15:49" x14ac:dyDescent="0.25">
      <c r="O668" t="s">
        <v>2031</v>
      </c>
      <c r="P668" t="s">
        <v>5266</v>
      </c>
      <c r="Q668" s="671">
        <v>62039</v>
      </c>
      <c r="R668" s="671"/>
      <c r="AT668" s="671"/>
      <c r="AU668" s="671"/>
      <c r="AV668" s="671"/>
      <c r="AW668" s="671"/>
    </row>
    <row r="669" spans="15:49" x14ac:dyDescent="0.25">
      <c r="O669" t="s">
        <v>2029</v>
      </c>
      <c r="P669" t="s">
        <v>5266</v>
      </c>
      <c r="Q669" s="671">
        <v>62039</v>
      </c>
      <c r="R669" s="671"/>
      <c r="AT669" s="671"/>
      <c r="AU669" s="671"/>
      <c r="AV669" s="671"/>
      <c r="AW669" s="671"/>
    </row>
    <row r="670" spans="15:49" x14ac:dyDescent="0.25">
      <c r="O670" t="s">
        <v>2017</v>
      </c>
      <c r="P670" t="s">
        <v>5266</v>
      </c>
      <c r="Q670" s="671">
        <v>62039</v>
      </c>
      <c r="R670" s="671"/>
      <c r="AT670" s="671"/>
      <c r="AU670" s="671"/>
      <c r="AV670" s="671"/>
      <c r="AW670" s="671"/>
    </row>
    <row r="671" spans="15:49" x14ac:dyDescent="0.25">
      <c r="O671" t="s">
        <v>2023</v>
      </c>
      <c r="P671" t="s">
        <v>5266</v>
      </c>
      <c r="Q671" s="671">
        <v>62039</v>
      </c>
      <c r="R671" s="671"/>
      <c r="AT671" s="671"/>
      <c r="AU671" s="671"/>
      <c r="AV671" s="671"/>
      <c r="AW671" s="671"/>
    </row>
    <row r="672" spans="15:49" x14ac:dyDescent="0.25">
      <c r="O672" t="s">
        <v>2023</v>
      </c>
      <c r="P672" t="s">
        <v>5266</v>
      </c>
      <c r="Q672" s="671">
        <v>62039</v>
      </c>
      <c r="R672" s="671"/>
      <c r="AT672" s="671"/>
      <c r="AU672" s="671"/>
      <c r="AV672" s="671"/>
      <c r="AW672" s="671"/>
    </row>
    <row r="673" spans="15:49" x14ac:dyDescent="0.25">
      <c r="O673" t="s">
        <v>1995</v>
      </c>
      <c r="P673" t="s">
        <v>5264</v>
      </c>
      <c r="Q673" s="671">
        <v>62028</v>
      </c>
      <c r="R673" s="671"/>
      <c r="AT673" s="671"/>
      <c r="AU673" s="671"/>
      <c r="AV673" s="671"/>
      <c r="AW673" s="671"/>
    </row>
    <row r="674" spans="15:49" x14ac:dyDescent="0.25">
      <c r="O674" t="s">
        <v>1995</v>
      </c>
      <c r="P674" t="s">
        <v>5264</v>
      </c>
      <c r="Q674" s="671">
        <v>62028</v>
      </c>
      <c r="R674" s="671"/>
      <c r="AT674" s="671"/>
      <c r="AU674" s="671"/>
      <c r="AV674" s="671"/>
      <c r="AW674" s="671"/>
    </row>
    <row r="675" spans="15:49" x14ac:dyDescent="0.25">
      <c r="O675" t="s">
        <v>1987</v>
      </c>
      <c r="P675" t="s">
        <v>5264</v>
      </c>
      <c r="Q675" s="671">
        <v>62028</v>
      </c>
      <c r="R675" s="671"/>
      <c r="AT675" s="671"/>
      <c r="AU675" s="671"/>
      <c r="AV675" s="671"/>
      <c r="AW675" s="671"/>
    </row>
    <row r="676" spans="15:49" x14ac:dyDescent="0.25">
      <c r="O676" t="s">
        <v>1991</v>
      </c>
      <c r="P676" t="s">
        <v>5264</v>
      </c>
      <c r="Q676" s="671">
        <v>62028</v>
      </c>
      <c r="R676" s="671"/>
      <c r="AT676" s="671"/>
      <c r="AU676" s="671"/>
      <c r="AV676" s="671"/>
      <c r="AW676" s="671"/>
    </row>
    <row r="677" spans="15:49" x14ac:dyDescent="0.25">
      <c r="O677" t="s">
        <v>2049</v>
      </c>
      <c r="P677" t="s">
        <v>5264</v>
      </c>
      <c r="Q677" s="671">
        <v>62028</v>
      </c>
      <c r="R677" s="671"/>
      <c r="AT677" s="671"/>
      <c r="AU677" s="671"/>
      <c r="AV677" s="671"/>
      <c r="AW677" s="671"/>
    </row>
    <row r="678" spans="15:49" x14ac:dyDescent="0.25">
      <c r="O678" t="s">
        <v>2043</v>
      </c>
      <c r="P678" t="s">
        <v>5264</v>
      </c>
      <c r="Q678" s="671">
        <v>62028</v>
      </c>
      <c r="R678" s="671"/>
      <c r="AT678" s="671"/>
      <c r="AU678" s="671"/>
      <c r="AV678" s="671"/>
      <c r="AW678" s="671"/>
    </row>
    <row r="679" spans="15:49" x14ac:dyDescent="0.25">
      <c r="O679" t="s">
        <v>2043</v>
      </c>
      <c r="P679" t="s">
        <v>5264</v>
      </c>
      <c r="Q679" s="671">
        <v>62028</v>
      </c>
      <c r="R679" s="671"/>
      <c r="AT679" s="671"/>
      <c r="AU679" s="671"/>
      <c r="AV679" s="671"/>
      <c r="AW679" s="671"/>
    </row>
    <row r="680" spans="15:49" x14ac:dyDescent="0.25">
      <c r="O680" t="s">
        <v>2053</v>
      </c>
      <c r="P680" t="s">
        <v>5264</v>
      </c>
      <c r="Q680" s="671">
        <v>62028</v>
      </c>
      <c r="R680" s="671"/>
      <c r="AT680" s="671"/>
      <c r="AU680" s="671"/>
      <c r="AV680" s="671"/>
      <c r="AW680" s="671"/>
    </row>
    <row r="681" spans="15:49" x14ac:dyDescent="0.25">
      <c r="O681" t="s">
        <v>2057</v>
      </c>
      <c r="P681" t="s">
        <v>5264</v>
      </c>
      <c r="Q681" s="671">
        <v>62028</v>
      </c>
      <c r="R681" s="671"/>
      <c r="AT681" s="671"/>
      <c r="AU681" s="671"/>
      <c r="AV681" s="671"/>
      <c r="AW681" s="671"/>
    </row>
    <row r="682" spans="15:49" x14ac:dyDescent="0.25">
      <c r="O682" t="s">
        <v>2680</v>
      </c>
      <c r="P682" t="s">
        <v>5267</v>
      </c>
      <c r="Q682" s="671">
        <v>62039</v>
      </c>
      <c r="R682" s="671"/>
      <c r="AT682" s="671"/>
      <c r="AU682" s="671"/>
      <c r="AV682" s="671"/>
      <c r="AW682" s="671"/>
    </row>
    <row r="683" spans="15:49" x14ac:dyDescent="0.25">
      <c r="O683" t="s">
        <v>2680</v>
      </c>
      <c r="P683" t="s">
        <v>5267</v>
      </c>
      <c r="Q683" s="671">
        <v>62039</v>
      </c>
      <c r="R683" s="671"/>
      <c r="AT683" s="671"/>
      <c r="AU683" s="671"/>
      <c r="AV683" s="671"/>
      <c r="AW683" s="671"/>
    </row>
    <row r="684" spans="15:49" x14ac:dyDescent="0.25">
      <c r="O684" t="s">
        <v>2676</v>
      </c>
      <c r="P684" t="s">
        <v>5267</v>
      </c>
      <c r="Q684" s="671">
        <v>62039</v>
      </c>
      <c r="R684" s="671"/>
      <c r="AT684" s="671"/>
      <c r="AU684" s="671"/>
      <c r="AV684" s="671"/>
      <c r="AW684" s="671"/>
    </row>
    <row r="685" spans="15:49" x14ac:dyDescent="0.25">
      <c r="O685" t="s">
        <v>2669</v>
      </c>
      <c r="P685" t="s">
        <v>5267</v>
      </c>
      <c r="Q685" s="671">
        <v>62039</v>
      </c>
      <c r="R685" s="671"/>
      <c r="AT685" s="671"/>
      <c r="AU685" s="671"/>
      <c r="AV685" s="671"/>
      <c r="AW685" s="671"/>
    </row>
    <row r="686" spans="15:49" x14ac:dyDescent="0.25">
      <c r="O686" t="s">
        <v>2669</v>
      </c>
      <c r="P686" t="s">
        <v>5267</v>
      </c>
      <c r="Q686" s="671">
        <v>62039</v>
      </c>
      <c r="R686" s="671"/>
      <c r="AT686" s="671"/>
      <c r="AU686" s="671"/>
      <c r="AV686" s="671"/>
      <c r="AW686" s="671"/>
    </row>
    <row r="687" spans="15:49" x14ac:dyDescent="0.25">
      <c r="O687" t="s">
        <v>2665</v>
      </c>
      <c r="P687" t="s">
        <v>5267</v>
      </c>
      <c r="Q687" s="671">
        <v>62039</v>
      </c>
      <c r="R687" s="671"/>
      <c r="AT687" s="671"/>
      <c r="AU687" s="671"/>
      <c r="AV687" s="671"/>
      <c r="AW687" s="671"/>
    </row>
    <row r="688" spans="15:49" x14ac:dyDescent="0.25">
      <c r="O688" t="s">
        <v>2657</v>
      </c>
      <c r="P688" t="s">
        <v>5267</v>
      </c>
      <c r="Q688" s="671">
        <v>62039</v>
      </c>
      <c r="R688" s="671"/>
      <c r="AT688" s="671"/>
      <c r="AU688" s="671"/>
      <c r="AV688" s="671"/>
      <c r="AW688" s="671"/>
    </row>
    <row r="689" spans="15:49" x14ac:dyDescent="0.25">
      <c r="O689" t="s">
        <v>2661</v>
      </c>
      <c r="P689" t="s">
        <v>5267</v>
      </c>
      <c r="Q689" s="671">
        <v>62039</v>
      </c>
      <c r="R689" s="671"/>
      <c r="AT689" s="671"/>
      <c r="AU689" s="671"/>
      <c r="AV689" s="671"/>
      <c r="AW689" s="671"/>
    </row>
    <row r="690" spans="15:49" x14ac:dyDescent="0.25">
      <c r="O690" t="s">
        <v>2661</v>
      </c>
      <c r="P690" t="s">
        <v>5267</v>
      </c>
      <c r="Q690" s="671">
        <v>62039</v>
      </c>
      <c r="R690" s="671"/>
      <c r="AT690" s="671"/>
      <c r="AU690" s="671"/>
      <c r="AV690" s="671"/>
      <c r="AW690" s="671"/>
    </row>
    <row r="691" spans="15:49" x14ac:dyDescent="0.25">
      <c r="O691" t="s">
        <v>2661</v>
      </c>
      <c r="P691" t="s">
        <v>5267</v>
      </c>
      <c r="Q691" s="671">
        <v>62039</v>
      </c>
      <c r="R691" s="671"/>
      <c r="AT691" s="671"/>
      <c r="AU691" s="671"/>
      <c r="AV691" s="671"/>
      <c r="AW691" s="671"/>
    </row>
    <row r="692" spans="15:49" x14ac:dyDescent="0.25">
      <c r="O692" t="s">
        <v>2653</v>
      </c>
      <c r="P692" t="s">
        <v>5267</v>
      </c>
      <c r="Q692" s="671">
        <v>62039</v>
      </c>
      <c r="R692" s="671"/>
      <c r="AT692" s="671"/>
      <c r="AU692" s="671"/>
      <c r="AV692" s="671"/>
      <c r="AW692" s="671"/>
    </row>
    <row r="693" spans="15:49" x14ac:dyDescent="0.25">
      <c r="O693" t="s">
        <v>2752</v>
      </c>
      <c r="P693" t="s">
        <v>5267</v>
      </c>
      <c r="Q693" s="671">
        <v>62039</v>
      </c>
      <c r="R693" s="671"/>
      <c r="AT693" s="671"/>
      <c r="AU693" s="671"/>
      <c r="AV693" s="671"/>
      <c r="AW693" s="671"/>
    </row>
    <row r="694" spans="15:49" x14ac:dyDescent="0.25">
      <c r="O694" t="s">
        <v>2752</v>
      </c>
      <c r="P694" t="s">
        <v>5267</v>
      </c>
      <c r="Q694" s="671">
        <v>62039</v>
      </c>
      <c r="R694" s="671"/>
      <c r="AT694" s="671"/>
      <c r="AU694" s="671"/>
      <c r="AV694" s="671"/>
      <c r="AW694" s="671"/>
    </row>
    <row r="695" spans="15:49" x14ac:dyDescent="0.25">
      <c r="O695" t="s">
        <v>2756</v>
      </c>
      <c r="P695" t="s">
        <v>5267</v>
      </c>
      <c r="Q695" s="671">
        <v>62039</v>
      </c>
      <c r="R695" s="671"/>
      <c r="AT695" s="671"/>
      <c r="AU695" s="671"/>
      <c r="AV695" s="671"/>
      <c r="AW695" s="671"/>
    </row>
    <row r="696" spans="15:49" x14ac:dyDescent="0.25">
      <c r="O696" t="s">
        <v>2756</v>
      </c>
      <c r="P696" t="s">
        <v>5267</v>
      </c>
      <c r="Q696" s="671">
        <v>62039</v>
      </c>
      <c r="R696" s="671"/>
      <c r="AT696" s="671"/>
      <c r="AU696" s="671"/>
      <c r="AV696" s="671"/>
      <c r="AW696" s="671"/>
    </row>
    <row r="697" spans="15:49" x14ac:dyDescent="0.25">
      <c r="O697" t="s">
        <v>2756</v>
      </c>
      <c r="P697" t="s">
        <v>5267</v>
      </c>
      <c r="Q697" s="671">
        <v>62039</v>
      </c>
      <c r="R697" s="671"/>
      <c r="AT697" s="671"/>
      <c r="AU697" s="671"/>
      <c r="AV697" s="671"/>
      <c r="AW697" s="671"/>
    </row>
    <row r="698" spans="15:49" x14ac:dyDescent="0.25">
      <c r="O698" t="s">
        <v>2738</v>
      </c>
      <c r="P698" t="s">
        <v>5267</v>
      </c>
      <c r="Q698" s="671">
        <v>62039</v>
      </c>
      <c r="R698" s="671"/>
      <c r="AT698" s="671"/>
      <c r="AU698" s="671"/>
      <c r="AV698" s="671"/>
      <c r="AW698" s="671"/>
    </row>
    <row r="699" spans="15:49" x14ac:dyDescent="0.25">
      <c r="O699" t="s">
        <v>2720</v>
      </c>
      <c r="P699" t="s">
        <v>5267</v>
      </c>
      <c r="Q699" s="671">
        <v>62039</v>
      </c>
      <c r="R699" s="671"/>
      <c r="AT699" s="671"/>
      <c r="AU699" s="671"/>
      <c r="AV699" s="671"/>
      <c r="AW699" s="671"/>
    </row>
    <row r="700" spans="15:49" x14ac:dyDescent="0.25">
      <c r="O700" t="s">
        <v>2711</v>
      </c>
      <c r="P700" t="s">
        <v>5267</v>
      </c>
      <c r="Q700" s="671">
        <v>62039</v>
      </c>
      <c r="R700" s="671"/>
      <c r="AT700" s="671"/>
      <c r="AU700" s="671"/>
      <c r="AV700" s="671"/>
      <c r="AW700" s="671"/>
    </row>
    <row r="701" spans="15:49" x14ac:dyDescent="0.25">
      <c r="O701" t="s">
        <v>2711</v>
      </c>
      <c r="P701" t="s">
        <v>5267</v>
      </c>
      <c r="Q701" s="671">
        <v>62039</v>
      </c>
      <c r="R701" s="671"/>
      <c r="AT701" s="671"/>
      <c r="AU701" s="671"/>
      <c r="AV701" s="671"/>
      <c r="AW701" s="671"/>
    </row>
    <row r="702" spans="15:49" x14ac:dyDescent="0.25">
      <c r="O702" t="s">
        <v>2736</v>
      </c>
      <c r="P702" t="s">
        <v>5267</v>
      </c>
      <c r="Q702" s="671">
        <v>62039</v>
      </c>
      <c r="R702" s="671"/>
      <c r="AT702" s="671"/>
      <c r="AU702" s="671"/>
      <c r="AV702" s="671"/>
      <c r="AW702" s="671"/>
    </row>
    <row r="703" spans="15:49" x14ac:dyDescent="0.25">
      <c r="O703" t="s">
        <v>2736</v>
      </c>
      <c r="P703" t="s">
        <v>5267</v>
      </c>
      <c r="Q703" s="671">
        <v>62039</v>
      </c>
      <c r="R703" s="671"/>
      <c r="AT703" s="671"/>
      <c r="AU703" s="671"/>
      <c r="AV703" s="671"/>
      <c r="AW703" s="671"/>
    </row>
    <row r="704" spans="15:49" x14ac:dyDescent="0.25">
      <c r="O704" t="s">
        <v>2736</v>
      </c>
      <c r="P704" t="s">
        <v>5267</v>
      </c>
      <c r="Q704" s="671">
        <v>62039</v>
      </c>
      <c r="R704" s="671"/>
      <c r="AT704" s="671"/>
      <c r="AU704" s="671"/>
      <c r="AV704" s="671"/>
      <c r="AW704" s="671"/>
    </row>
    <row r="705" spans="15:49" x14ac:dyDescent="0.25">
      <c r="O705" t="s">
        <v>2724</v>
      </c>
      <c r="P705" t="s">
        <v>5267</v>
      </c>
      <c r="Q705" s="671">
        <v>62039</v>
      </c>
      <c r="R705" s="671"/>
      <c r="AT705" s="671"/>
      <c r="AU705" s="671"/>
      <c r="AV705" s="671"/>
      <c r="AW705" s="671"/>
    </row>
    <row r="706" spans="15:49" x14ac:dyDescent="0.25">
      <c r="O706" t="s">
        <v>2742</v>
      </c>
      <c r="P706" t="s">
        <v>5267</v>
      </c>
      <c r="Q706" s="671">
        <v>62039</v>
      </c>
      <c r="R706" s="671"/>
      <c r="AT706" s="671"/>
      <c r="AU706" s="671"/>
      <c r="AV706" s="671"/>
      <c r="AW706" s="671"/>
    </row>
    <row r="707" spans="15:49" x14ac:dyDescent="0.25">
      <c r="O707" t="s">
        <v>2742</v>
      </c>
      <c r="P707" t="s">
        <v>5267</v>
      </c>
      <c r="Q707" s="671">
        <v>62039</v>
      </c>
      <c r="R707" s="671"/>
      <c r="AT707" s="671"/>
      <c r="AU707" s="671"/>
      <c r="AV707" s="671"/>
      <c r="AW707" s="671"/>
    </row>
    <row r="708" spans="15:49" x14ac:dyDescent="0.25">
      <c r="O708" t="s">
        <v>2746</v>
      </c>
      <c r="P708" t="s">
        <v>5267</v>
      </c>
      <c r="Q708" s="671">
        <v>62039</v>
      </c>
      <c r="R708" s="671"/>
      <c r="AT708" s="671"/>
      <c r="AU708" s="671"/>
      <c r="AV708" s="671"/>
      <c r="AW708" s="671"/>
    </row>
    <row r="709" spans="15:49" x14ac:dyDescent="0.25">
      <c r="O709" t="s">
        <v>2746</v>
      </c>
      <c r="P709" t="s">
        <v>5267</v>
      </c>
      <c r="Q709" s="671">
        <v>62039</v>
      </c>
      <c r="R709" s="671"/>
      <c r="AT709" s="671"/>
      <c r="AU709" s="671"/>
      <c r="AV709" s="671"/>
      <c r="AW709" s="671"/>
    </row>
    <row r="710" spans="15:49" x14ac:dyDescent="0.25">
      <c r="O710" t="s">
        <v>2746</v>
      </c>
      <c r="P710" t="s">
        <v>5267</v>
      </c>
      <c r="Q710" s="671">
        <v>62039</v>
      </c>
      <c r="R710" s="671"/>
      <c r="AT710" s="671"/>
      <c r="AU710" s="671"/>
      <c r="AV710" s="671"/>
      <c r="AW710" s="671"/>
    </row>
    <row r="711" spans="15:49" x14ac:dyDescent="0.25">
      <c r="O711" t="s">
        <v>2746</v>
      </c>
      <c r="P711" t="s">
        <v>5267</v>
      </c>
      <c r="Q711" s="671">
        <v>62039</v>
      </c>
      <c r="R711" s="671"/>
      <c r="AT711" s="671"/>
      <c r="AU711" s="671"/>
      <c r="AV711" s="671"/>
      <c r="AW711" s="671"/>
    </row>
    <row r="712" spans="15:49" x14ac:dyDescent="0.25">
      <c r="O712" t="s">
        <v>2746</v>
      </c>
      <c r="P712" t="s">
        <v>5267</v>
      </c>
      <c r="Q712" s="671">
        <v>62039</v>
      </c>
      <c r="R712" s="671"/>
      <c r="AT712" s="671"/>
      <c r="AU712" s="671"/>
      <c r="AV712" s="671"/>
      <c r="AW712" s="671"/>
    </row>
    <row r="713" spans="15:49" x14ac:dyDescent="0.25">
      <c r="O713" t="s">
        <v>2746</v>
      </c>
      <c r="P713" t="s">
        <v>5267</v>
      </c>
      <c r="Q713" s="671">
        <v>62039</v>
      </c>
      <c r="R713" s="671"/>
      <c r="AT713" s="671"/>
      <c r="AU713" s="671"/>
      <c r="AV713" s="671"/>
      <c r="AW713" s="671"/>
    </row>
    <row r="714" spans="15:49" x14ac:dyDescent="0.25">
      <c r="O714" t="s">
        <v>2746</v>
      </c>
      <c r="P714" t="s">
        <v>5267</v>
      </c>
      <c r="Q714" s="671">
        <v>62039</v>
      </c>
      <c r="R714" s="671"/>
      <c r="AT714" s="671"/>
      <c r="AU714" s="671"/>
      <c r="AV714" s="671"/>
      <c r="AW714" s="671"/>
    </row>
    <row r="715" spans="15:49" x14ac:dyDescent="0.25">
      <c r="O715" t="s">
        <v>2716</v>
      </c>
      <c r="P715" t="s">
        <v>5267</v>
      </c>
      <c r="Q715" s="671">
        <v>62039</v>
      </c>
      <c r="R715" s="671"/>
      <c r="AT715" s="671"/>
      <c r="AU715" s="671"/>
      <c r="AV715" s="671"/>
      <c r="AW715" s="671"/>
    </row>
    <row r="716" spans="15:49" x14ac:dyDescent="0.25">
      <c r="O716" t="s">
        <v>2728</v>
      </c>
      <c r="P716" t="s">
        <v>5267</v>
      </c>
      <c r="Q716" s="671">
        <v>62039</v>
      </c>
      <c r="R716" s="671"/>
      <c r="AT716" s="671"/>
      <c r="AU716" s="671"/>
      <c r="AV716" s="671"/>
      <c r="AW716" s="671"/>
    </row>
    <row r="717" spans="15:49" x14ac:dyDescent="0.25">
      <c r="O717" t="s">
        <v>2728</v>
      </c>
      <c r="P717" t="s">
        <v>5267</v>
      </c>
      <c r="Q717" s="671">
        <v>62039</v>
      </c>
      <c r="R717" s="671"/>
      <c r="AT717" s="671"/>
      <c r="AU717" s="671"/>
      <c r="AV717" s="671"/>
      <c r="AW717" s="671"/>
    </row>
    <row r="718" spans="15:49" x14ac:dyDescent="0.25">
      <c r="O718" t="s">
        <v>2728</v>
      </c>
      <c r="P718" t="s">
        <v>5267</v>
      </c>
      <c r="Q718" s="671">
        <v>62039</v>
      </c>
      <c r="R718" s="671"/>
      <c r="AT718" s="671"/>
      <c r="AU718" s="671"/>
      <c r="AV718" s="671"/>
      <c r="AW718" s="671"/>
    </row>
    <row r="719" spans="15:49" x14ac:dyDescent="0.25">
      <c r="O719" t="s">
        <v>2684</v>
      </c>
      <c r="P719" t="s">
        <v>5267</v>
      </c>
      <c r="Q719" s="671">
        <v>62039</v>
      </c>
      <c r="R719" s="671"/>
      <c r="AT719" s="671"/>
      <c r="AU719" s="671"/>
      <c r="AV719" s="671"/>
      <c r="AW719" s="671"/>
    </row>
    <row r="720" spans="15:49" x14ac:dyDescent="0.25">
      <c r="O720" t="s">
        <v>2693</v>
      </c>
      <c r="P720" t="s">
        <v>5267</v>
      </c>
      <c r="Q720" s="671">
        <v>62039</v>
      </c>
      <c r="R720" s="671"/>
      <c r="AT720" s="671"/>
      <c r="AU720" s="671"/>
      <c r="AV720" s="671"/>
      <c r="AW720" s="671"/>
    </row>
    <row r="721" spans="15:49" x14ac:dyDescent="0.25">
      <c r="O721" t="s">
        <v>2693</v>
      </c>
      <c r="P721" t="s">
        <v>5267</v>
      </c>
      <c r="Q721" s="671">
        <v>62039</v>
      </c>
      <c r="R721" s="671"/>
      <c r="AT721" s="671"/>
      <c r="AU721" s="671"/>
      <c r="AV721" s="671"/>
      <c r="AW721" s="671"/>
    </row>
    <row r="722" spans="15:49" x14ac:dyDescent="0.25">
      <c r="O722" t="s">
        <v>2693</v>
      </c>
      <c r="P722" t="s">
        <v>5267</v>
      </c>
      <c r="Q722" s="671">
        <v>62039</v>
      </c>
      <c r="R722" s="671"/>
      <c r="AT722" s="671"/>
      <c r="AU722" s="671"/>
      <c r="AV722" s="671"/>
      <c r="AW722" s="671"/>
    </row>
    <row r="723" spans="15:49" x14ac:dyDescent="0.25">
      <c r="O723" t="s">
        <v>2701</v>
      </c>
      <c r="P723" t="s">
        <v>5267</v>
      </c>
      <c r="Q723" s="671">
        <v>62039</v>
      </c>
      <c r="R723" s="671"/>
      <c r="AT723" s="671"/>
      <c r="AU723" s="671"/>
      <c r="AV723" s="671"/>
      <c r="AW723" s="671"/>
    </row>
    <row r="724" spans="15:49" x14ac:dyDescent="0.25">
      <c r="O724" t="s">
        <v>2707</v>
      </c>
      <c r="P724" t="s">
        <v>5267</v>
      </c>
      <c r="Q724" s="671">
        <v>62039</v>
      </c>
      <c r="R724" s="671"/>
      <c r="AT724" s="671"/>
      <c r="AU724" s="671"/>
      <c r="AV724" s="671"/>
      <c r="AW724" s="671"/>
    </row>
    <row r="725" spans="15:49" x14ac:dyDescent="0.25">
      <c r="O725" t="s">
        <v>2707</v>
      </c>
      <c r="P725" t="s">
        <v>5267</v>
      </c>
      <c r="Q725" s="671">
        <v>62039</v>
      </c>
      <c r="R725" s="671"/>
      <c r="AT725" s="671"/>
      <c r="AU725" s="671"/>
      <c r="AV725" s="671"/>
      <c r="AW725" s="671"/>
    </row>
    <row r="726" spans="15:49" x14ac:dyDescent="0.25">
      <c r="O726" t="s">
        <v>2705</v>
      </c>
      <c r="P726" t="s">
        <v>5267</v>
      </c>
      <c r="Q726" s="671">
        <v>62039</v>
      </c>
      <c r="R726" s="671"/>
      <c r="AT726" s="671"/>
      <c r="AU726" s="671"/>
      <c r="AV726" s="671"/>
      <c r="AW726" s="671"/>
    </row>
    <row r="727" spans="15:49" x14ac:dyDescent="0.25">
      <c r="O727" t="s">
        <v>2705</v>
      </c>
      <c r="P727" t="s">
        <v>5267</v>
      </c>
      <c r="Q727" s="671">
        <v>62039</v>
      </c>
      <c r="R727" s="671"/>
      <c r="AT727" s="671"/>
      <c r="AU727" s="671"/>
      <c r="AV727" s="671"/>
      <c r="AW727" s="671"/>
    </row>
    <row r="728" spans="15:49" x14ac:dyDescent="0.25">
      <c r="O728" t="s">
        <v>2705</v>
      </c>
      <c r="P728" t="s">
        <v>5267</v>
      </c>
      <c r="Q728" s="671">
        <v>62039</v>
      </c>
      <c r="R728" s="671"/>
      <c r="AT728" s="671"/>
      <c r="AU728" s="671"/>
      <c r="AV728" s="671"/>
      <c r="AW728" s="671"/>
    </row>
    <row r="729" spans="15:49" x14ac:dyDescent="0.25">
      <c r="O729" t="s">
        <v>2689</v>
      </c>
      <c r="P729" t="s">
        <v>5267</v>
      </c>
      <c r="Q729" s="671">
        <v>62039</v>
      </c>
      <c r="R729" s="671"/>
      <c r="AT729" s="671"/>
      <c r="AU729" s="671"/>
      <c r="AV729" s="671"/>
      <c r="AW729" s="671"/>
    </row>
    <row r="730" spans="15:49" x14ac:dyDescent="0.25">
      <c r="O730" t="s">
        <v>2764</v>
      </c>
      <c r="P730" t="s">
        <v>5268</v>
      </c>
      <c r="Q730" s="671">
        <v>62036</v>
      </c>
      <c r="R730" s="671"/>
      <c r="AT730" s="671"/>
      <c r="AU730" s="671"/>
      <c r="AV730" s="671"/>
      <c r="AW730" s="671"/>
    </row>
    <row r="731" spans="15:49" x14ac:dyDescent="0.25">
      <c r="O731" t="s">
        <v>2772</v>
      </c>
      <c r="P731" t="s">
        <v>5268</v>
      </c>
      <c r="Q731" s="671">
        <v>62036</v>
      </c>
      <c r="R731" s="671"/>
      <c r="AT731" s="671"/>
      <c r="AU731" s="671"/>
      <c r="AV731" s="671"/>
      <c r="AW731" s="671"/>
    </row>
    <row r="732" spans="15:49" x14ac:dyDescent="0.25">
      <c r="O732" t="s">
        <v>2776</v>
      </c>
      <c r="P732" t="s">
        <v>5268</v>
      </c>
      <c r="Q732" s="671">
        <v>62036</v>
      </c>
      <c r="R732" s="671"/>
      <c r="AT732" s="671"/>
      <c r="AU732" s="671"/>
      <c r="AV732" s="671"/>
      <c r="AW732" s="671"/>
    </row>
    <row r="733" spans="15:49" x14ac:dyDescent="0.25">
      <c r="O733" t="s">
        <v>2776</v>
      </c>
      <c r="P733" t="s">
        <v>5268</v>
      </c>
      <c r="Q733" s="671">
        <v>62036</v>
      </c>
      <c r="R733" s="671"/>
      <c r="AT733" s="671"/>
      <c r="AU733" s="671"/>
      <c r="AV733" s="671"/>
      <c r="AW733" s="671"/>
    </row>
    <row r="734" spans="15:49" x14ac:dyDescent="0.25">
      <c r="O734" t="s">
        <v>2768</v>
      </c>
      <c r="P734" t="s">
        <v>5268</v>
      </c>
      <c r="Q734" s="671">
        <v>62036</v>
      </c>
      <c r="R734" s="671"/>
      <c r="AT734" s="671"/>
      <c r="AU734" s="671"/>
      <c r="AV734" s="671"/>
      <c r="AW734" s="671"/>
    </row>
    <row r="735" spans="15:49" x14ac:dyDescent="0.25">
      <c r="O735" t="s">
        <v>2768</v>
      </c>
      <c r="P735" t="s">
        <v>5268</v>
      </c>
      <c r="Q735" s="671">
        <v>62036</v>
      </c>
      <c r="R735" s="671"/>
      <c r="AT735" s="671"/>
      <c r="AU735" s="671"/>
      <c r="AV735" s="671"/>
      <c r="AW735" s="671"/>
    </row>
    <row r="736" spans="15:49" x14ac:dyDescent="0.25">
      <c r="O736" t="s">
        <v>2796</v>
      </c>
      <c r="P736" t="s">
        <v>5268</v>
      </c>
      <c r="Q736" s="671">
        <v>62036</v>
      </c>
      <c r="R736" s="671"/>
      <c r="AT736" s="671"/>
      <c r="AU736" s="671"/>
      <c r="AV736" s="671"/>
      <c r="AW736" s="671"/>
    </row>
    <row r="737" spans="15:49" x14ac:dyDescent="0.25">
      <c r="O737" t="s">
        <v>2796</v>
      </c>
      <c r="P737" t="s">
        <v>5268</v>
      </c>
      <c r="Q737" s="671">
        <v>62036</v>
      </c>
      <c r="R737" s="671"/>
      <c r="AT737" s="671"/>
      <c r="AU737" s="671"/>
      <c r="AV737" s="671"/>
      <c r="AW737" s="671"/>
    </row>
    <row r="738" spans="15:49" x14ac:dyDescent="0.25">
      <c r="O738" t="s">
        <v>2792</v>
      </c>
      <c r="P738" t="s">
        <v>5268</v>
      </c>
      <c r="Q738" s="671">
        <v>62036</v>
      </c>
      <c r="R738" s="671"/>
      <c r="AT738" s="671"/>
      <c r="AU738" s="671"/>
      <c r="AV738" s="671"/>
      <c r="AW738" s="671"/>
    </row>
    <row r="739" spans="15:49" x14ac:dyDescent="0.25">
      <c r="O739" t="s">
        <v>2792</v>
      </c>
      <c r="P739" t="s">
        <v>5268</v>
      </c>
      <c r="Q739" s="671">
        <v>62036</v>
      </c>
      <c r="R739" s="671"/>
      <c r="AT739" s="671"/>
      <c r="AU739" s="671"/>
      <c r="AV739" s="671"/>
      <c r="AW739" s="671"/>
    </row>
    <row r="740" spans="15:49" x14ac:dyDescent="0.25">
      <c r="O740" t="s">
        <v>2806</v>
      </c>
      <c r="P740" t="s">
        <v>5268</v>
      </c>
      <c r="Q740" s="671">
        <v>62036</v>
      </c>
      <c r="R740" s="671"/>
      <c r="AT740" s="671"/>
      <c r="AU740" s="671"/>
      <c r="AV740" s="671"/>
      <c r="AW740" s="671"/>
    </row>
    <row r="741" spans="15:49" x14ac:dyDescent="0.25">
      <c r="O741" t="s">
        <v>2802</v>
      </c>
      <c r="P741" t="s">
        <v>5268</v>
      </c>
      <c r="Q741" s="671">
        <v>62036</v>
      </c>
      <c r="R741" s="671"/>
      <c r="AT741" s="671"/>
      <c r="AU741" s="671"/>
      <c r="AV741" s="671"/>
      <c r="AW741" s="671"/>
    </row>
    <row r="742" spans="15:49" x14ac:dyDescent="0.25">
      <c r="O742" t="s">
        <v>2784</v>
      </c>
      <c r="P742" t="s">
        <v>5268</v>
      </c>
      <c r="Q742" s="671">
        <v>62036</v>
      </c>
      <c r="R742" s="671"/>
      <c r="AT742" s="671"/>
      <c r="AU742" s="671"/>
      <c r="AV742" s="671"/>
      <c r="AW742" s="671"/>
    </row>
    <row r="743" spans="15:49" x14ac:dyDescent="0.25">
      <c r="O743" t="s">
        <v>2784</v>
      </c>
      <c r="P743" t="s">
        <v>5268</v>
      </c>
      <c r="Q743" s="671">
        <v>62036</v>
      </c>
      <c r="R743" s="671"/>
      <c r="AT743" s="671"/>
      <c r="AU743" s="671"/>
      <c r="AV743" s="671"/>
      <c r="AW743" s="671"/>
    </row>
    <row r="744" spans="15:49" x14ac:dyDescent="0.25">
      <c r="O744" t="s">
        <v>2784</v>
      </c>
      <c r="P744" t="s">
        <v>5268</v>
      </c>
      <c r="Q744" s="671">
        <v>62036</v>
      </c>
      <c r="R744" s="671"/>
      <c r="AT744" s="671"/>
      <c r="AU744" s="671"/>
      <c r="AV744" s="671"/>
      <c r="AW744" s="671"/>
    </row>
    <row r="745" spans="15:49" x14ac:dyDescent="0.25">
      <c r="O745" t="s">
        <v>2784</v>
      </c>
      <c r="P745" t="s">
        <v>5268</v>
      </c>
      <c r="Q745" s="671">
        <v>62036</v>
      </c>
      <c r="R745" s="671"/>
      <c r="AT745" s="671"/>
      <c r="AU745" s="671"/>
      <c r="AV745" s="671"/>
      <c r="AW745" s="671"/>
    </row>
    <row r="746" spans="15:49" x14ac:dyDescent="0.25">
      <c r="O746" t="s">
        <v>2780</v>
      </c>
      <c r="P746" t="s">
        <v>5268</v>
      </c>
      <c r="Q746" s="671">
        <v>62036</v>
      </c>
      <c r="R746" s="671"/>
      <c r="AT746" s="671"/>
      <c r="AU746" s="671"/>
      <c r="AV746" s="671"/>
      <c r="AW746" s="671"/>
    </row>
    <row r="747" spans="15:49" x14ac:dyDescent="0.25">
      <c r="O747" t="s">
        <v>2780</v>
      </c>
      <c r="P747" t="s">
        <v>5268</v>
      </c>
      <c r="Q747" s="671">
        <v>62036</v>
      </c>
      <c r="R747" s="671"/>
      <c r="AT747" s="671"/>
      <c r="AU747" s="671"/>
      <c r="AV747" s="671"/>
      <c r="AW747" s="671"/>
    </row>
    <row r="748" spans="15:49" x14ac:dyDescent="0.25">
      <c r="O748" t="s">
        <v>2780</v>
      </c>
      <c r="P748" t="s">
        <v>5268</v>
      </c>
      <c r="Q748" s="671">
        <v>62036</v>
      </c>
      <c r="R748" s="671"/>
      <c r="AT748" s="671"/>
      <c r="AU748" s="671"/>
      <c r="AV748" s="671"/>
      <c r="AW748" s="671"/>
    </row>
    <row r="749" spans="15:49" x14ac:dyDescent="0.25">
      <c r="O749" t="s">
        <v>2780</v>
      </c>
      <c r="P749" t="s">
        <v>5268</v>
      </c>
      <c r="Q749" s="671">
        <v>62036</v>
      </c>
      <c r="R749" s="671"/>
      <c r="AT749" s="671"/>
      <c r="AU749" s="671"/>
      <c r="AV749" s="671"/>
      <c r="AW749" s="671"/>
    </row>
    <row r="750" spans="15:49" x14ac:dyDescent="0.25">
      <c r="O750" t="s">
        <v>2832</v>
      </c>
      <c r="P750" t="s">
        <v>5268</v>
      </c>
      <c r="Q750" s="671">
        <v>62036</v>
      </c>
      <c r="R750" s="671"/>
      <c r="AT750" s="671"/>
      <c r="AU750" s="671"/>
      <c r="AV750" s="671"/>
      <c r="AW750" s="671"/>
    </row>
    <row r="751" spans="15:49" x14ac:dyDescent="0.25">
      <c r="O751" t="s">
        <v>2832</v>
      </c>
      <c r="P751" t="s">
        <v>5268</v>
      </c>
      <c r="Q751" s="671">
        <v>62036</v>
      </c>
      <c r="R751" s="671"/>
      <c r="AT751" s="671"/>
      <c r="AU751" s="671"/>
      <c r="AV751" s="671"/>
      <c r="AW751" s="671"/>
    </row>
    <row r="752" spans="15:49" x14ac:dyDescent="0.25">
      <c r="O752" t="s">
        <v>2828</v>
      </c>
      <c r="P752" t="s">
        <v>5268</v>
      </c>
      <c r="Q752" s="671">
        <v>62036</v>
      </c>
      <c r="R752" s="671"/>
      <c r="AT752" s="671"/>
      <c r="AU752" s="671"/>
      <c r="AV752" s="671"/>
      <c r="AW752" s="671"/>
    </row>
    <row r="753" spans="15:49" x14ac:dyDescent="0.25">
      <c r="O753" t="s">
        <v>2814</v>
      </c>
      <c r="P753" t="s">
        <v>5268</v>
      </c>
      <c r="Q753" s="671">
        <v>62036</v>
      </c>
      <c r="R753" s="671"/>
      <c r="AT753" s="671"/>
      <c r="AU753" s="671"/>
      <c r="AV753" s="671"/>
      <c r="AW753" s="671"/>
    </row>
    <row r="754" spans="15:49" x14ac:dyDescent="0.25">
      <c r="O754" t="s">
        <v>2810</v>
      </c>
      <c r="P754" t="s">
        <v>5268</v>
      </c>
      <c r="Q754" s="671">
        <v>62036</v>
      </c>
      <c r="R754" s="671"/>
      <c r="AT754" s="671"/>
      <c r="AU754" s="671"/>
      <c r="AV754" s="671"/>
      <c r="AW754" s="671"/>
    </row>
    <row r="755" spans="15:49" x14ac:dyDescent="0.25">
      <c r="O755" t="s">
        <v>2818</v>
      </c>
      <c r="P755" t="s">
        <v>5268</v>
      </c>
      <c r="Q755" s="671">
        <v>62036</v>
      </c>
      <c r="R755" s="671"/>
      <c r="AT755" s="671"/>
      <c r="AU755" s="671"/>
      <c r="AV755" s="671"/>
      <c r="AW755" s="671"/>
    </row>
    <row r="756" spans="15:49" x14ac:dyDescent="0.25">
      <c r="O756" t="s">
        <v>2820</v>
      </c>
      <c r="P756" t="s">
        <v>5268</v>
      </c>
      <c r="Q756" s="671">
        <v>62036</v>
      </c>
      <c r="R756" s="671"/>
      <c r="AT756" s="671"/>
      <c r="AU756" s="671"/>
      <c r="AV756" s="671"/>
      <c r="AW756" s="671"/>
    </row>
    <row r="757" spans="15:49" x14ac:dyDescent="0.25">
      <c r="O757" t="s">
        <v>2822</v>
      </c>
      <c r="P757" t="s">
        <v>5268</v>
      </c>
      <c r="Q757" s="671">
        <v>62036</v>
      </c>
      <c r="R757" s="671"/>
      <c r="AT757" s="671"/>
      <c r="AU757" s="671"/>
      <c r="AV757" s="671"/>
      <c r="AW757" s="671"/>
    </row>
    <row r="758" spans="15:49" x14ac:dyDescent="0.25">
      <c r="O758" t="s">
        <v>2826</v>
      </c>
      <c r="P758" t="s">
        <v>5268</v>
      </c>
      <c r="Q758" s="671">
        <v>62036</v>
      </c>
      <c r="R758" s="671"/>
      <c r="AT758" s="671"/>
      <c r="AU758" s="671"/>
      <c r="AV758" s="671"/>
      <c r="AW758" s="671"/>
    </row>
    <row r="759" spans="15:49" x14ac:dyDescent="0.25">
      <c r="O759" t="s">
        <v>2365</v>
      </c>
      <c r="P759" t="s">
        <v>5269</v>
      </c>
      <c r="Q759" s="671">
        <v>62034</v>
      </c>
      <c r="R759" s="671"/>
      <c r="AT759" s="671"/>
      <c r="AU759" s="671"/>
      <c r="AV759" s="671"/>
      <c r="AW759" s="671"/>
    </row>
    <row r="760" spans="15:49" x14ac:dyDescent="0.25">
      <c r="O760" t="s">
        <v>2365</v>
      </c>
      <c r="P760" t="s">
        <v>5269</v>
      </c>
      <c r="Q760" s="671">
        <v>62034</v>
      </c>
      <c r="R760" s="671"/>
      <c r="AT760" s="671"/>
      <c r="AU760" s="671"/>
      <c r="AV760" s="671"/>
      <c r="AW760" s="671"/>
    </row>
    <row r="761" spans="15:49" x14ac:dyDescent="0.25">
      <c r="O761" t="s">
        <v>2373</v>
      </c>
      <c r="P761" t="s">
        <v>5269</v>
      </c>
      <c r="Q761" s="671">
        <v>62034</v>
      </c>
      <c r="R761" s="671"/>
      <c r="AT761" s="671"/>
      <c r="AU761" s="671"/>
      <c r="AV761" s="671"/>
      <c r="AW761" s="671"/>
    </row>
    <row r="762" spans="15:49" x14ac:dyDescent="0.25">
      <c r="O762" t="s">
        <v>2373</v>
      </c>
      <c r="P762" t="s">
        <v>5269</v>
      </c>
      <c r="Q762" s="671">
        <v>62034</v>
      </c>
      <c r="R762" s="671"/>
      <c r="AT762" s="671"/>
      <c r="AU762" s="671"/>
      <c r="AV762" s="671"/>
      <c r="AW762" s="671"/>
    </row>
    <row r="763" spans="15:49" x14ac:dyDescent="0.25">
      <c r="O763" t="s">
        <v>2373</v>
      </c>
      <c r="P763" t="s">
        <v>5269</v>
      </c>
      <c r="Q763" s="671">
        <v>62034</v>
      </c>
      <c r="R763" s="671"/>
      <c r="AT763" s="671"/>
      <c r="AU763" s="671"/>
      <c r="AV763" s="671"/>
      <c r="AW763" s="671"/>
    </row>
    <row r="764" spans="15:49" x14ac:dyDescent="0.25">
      <c r="O764" t="s">
        <v>2371</v>
      </c>
      <c r="P764" t="s">
        <v>5269</v>
      </c>
      <c r="Q764" s="671">
        <v>62034</v>
      </c>
      <c r="R764" s="671"/>
      <c r="AT764" s="671"/>
      <c r="AU764" s="671"/>
      <c r="AV764" s="671"/>
      <c r="AW764" s="671"/>
    </row>
    <row r="765" spans="15:49" x14ac:dyDescent="0.25">
      <c r="O765" t="s">
        <v>2357</v>
      </c>
      <c r="P765" t="s">
        <v>5269</v>
      </c>
      <c r="Q765" s="671">
        <v>62034</v>
      </c>
      <c r="R765" s="671"/>
      <c r="AT765" s="671"/>
      <c r="AU765" s="671"/>
      <c r="AV765" s="671"/>
      <c r="AW765" s="671"/>
    </row>
    <row r="766" spans="15:49" x14ac:dyDescent="0.25">
      <c r="O766" t="s">
        <v>2357</v>
      </c>
      <c r="P766" t="s">
        <v>5269</v>
      </c>
      <c r="Q766" s="671">
        <v>62034</v>
      </c>
      <c r="R766" s="671"/>
      <c r="AT766" s="671"/>
      <c r="AU766" s="671"/>
      <c r="AV766" s="671"/>
      <c r="AW766" s="671"/>
    </row>
    <row r="767" spans="15:49" x14ac:dyDescent="0.25">
      <c r="O767" t="s">
        <v>2361</v>
      </c>
      <c r="P767" t="s">
        <v>5269</v>
      </c>
      <c r="Q767" s="671">
        <v>62034</v>
      </c>
      <c r="R767" s="671"/>
      <c r="AT767" s="671"/>
      <c r="AU767" s="671"/>
      <c r="AV767" s="671"/>
      <c r="AW767" s="671"/>
    </row>
    <row r="768" spans="15:49" x14ac:dyDescent="0.25">
      <c r="O768" t="s">
        <v>2353</v>
      </c>
      <c r="P768" t="s">
        <v>5269</v>
      </c>
      <c r="Q768" s="671">
        <v>62034</v>
      </c>
      <c r="R768" s="671"/>
      <c r="AT768" s="671"/>
      <c r="AU768" s="671"/>
      <c r="AV768" s="671"/>
      <c r="AW768" s="671"/>
    </row>
    <row r="769" spans="15:49" x14ac:dyDescent="0.25">
      <c r="O769" t="s">
        <v>2383</v>
      </c>
      <c r="P769" t="s">
        <v>5269</v>
      </c>
      <c r="Q769" s="671">
        <v>62034</v>
      </c>
      <c r="R769" s="671"/>
      <c r="AT769" s="671"/>
      <c r="AU769" s="671"/>
      <c r="AV769" s="671"/>
      <c r="AW769" s="671"/>
    </row>
    <row r="770" spans="15:49" x14ac:dyDescent="0.25">
      <c r="O770" t="s">
        <v>2387</v>
      </c>
      <c r="P770" t="s">
        <v>5269</v>
      </c>
      <c r="Q770" s="671">
        <v>62034</v>
      </c>
      <c r="R770" s="671"/>
      <c r="AT770" s="671"/>
      <c r="AU770" s="671"/>
      <c r="AV770" s="671"/>
      <c r="AW770" s="671"/>
    </row>
    <row r="771" spans="15:49" x14ac:dyDescent="0.25">
      <c r="O771" t="s">
        <v>2387</v>
      </c>
      <c r="P771" t="s">
        <v>5269</v>
      </c>
      <c r="Q771" s="671">
        <v>62034</v>
      </c>
      <c r="R771" s="671"/>
      <c r="AT771" s="671"/>
      <c r="AU771" s="671"/>
      <c r="AV771" s="671"/>
      <c r="AW771" s="671"/>
    </row>
    <row r="772" spans="15:49" x14ac:dyDescent="0.25">
      <c r="O772" t="s">
        <v>2387</v>
      </c>
      <c r="P772" t="s">
        <v>5269</v>
      </c>
      <c r="Q772" s="671">
        <v>62034</v>
      </c>
      <c r="R772" s="671"/>
      <c r="AT772" s="671"/>
      <c r="AU772" s="671"/>
      <c r="AV772" s="671"/>
      <c r="AW772" s="671"/>
    </row>
    <row r="773" spans="15:49" x14ac:dyDescent="0.25">
      <c r="O773" t="s">
        <v>2387</v>
      </c>
      <c r="P773" t="s">
        <v>5269</v>
      </c>
      <c r="Q773" s="671">
        <v>62034</v>
      </c>
      <c r="R773" s="671"/>
      <c r="AT773" s="671"/>
      <c r="AU773" s="671"/>
      <c r="AV773" s="671"/>
      <c r="AW773" s="671"/>
    </row>
    <row r="774" spans="15:49" x14ac:dyDescent="0.25">
      <c r="O774" t="s">
        <v>2387</v>
      </c>
      <c r="P774" t="s">
        <v>5269</v>
      </c>
      <c r="Q774" s="671">
        <v>62034</v>
      </c>
      <c r="R774" s="671"/>
      <c r="AT774" s="671"/>
      <c r="AU774" s="671"/>
      <c r="AV774" s="671"/>
      <c r="AW774" s="671"/>
    </row>
    <row r="775" spans="15:49" x14ac:dyDescent="0.25">
      <c r="O775" t="s">
        <v>2387</v>
      </c>
      <c r="P775" t="s">
        <v>5269</v>
      </c>
      <c r="Q775" s="671">
        <v>62034</v>
      </c>
      <c r="R775" s="671"/>
      <c r="AT775" s="671"/>
      <c r="AU775" s="671"/>
      <c r="AV775" s="671"/>
      <c r="AW775" s="671"/>
    </row>
    <row r="776" spans="15:49" x14ac:dyDescent="0.25">
      <c r="O776" t="s">
        <v>2381</v>
      </c>
      <c r="P776" t="s">
        <v>5269</v>
      </c>
      <c r="Q776" s="671">
        <v>62034</v>
      </c>
      <c r="R776" s="671"/>
      <c r="AT776" s="671"/>
      <c r="AU776" s="671"/>
      <c r="AV776" s="671"/>
      <c r="AW776" s="671"/>
    </row>
    <row r="777" spans="15:49" x14ac:dyDescent="0.25">
      <c r="O777" t="s">
        <v>2377</v>
      </c>
      <c r="P777" t="s">
        <v>5269</v>
      </c>
      <c r="Q777" s="671">
        <v>62034</v>
      </c>
      <c r="R777" s="671"/>
      <c r="AT777" s="671"/>
      <c r="AU777" s="671"/>
      <c r="AV777" s="671"/>
      <c r="AW777" s="671"/>
    </row>
    <row r="778" spans="15:49" x14ac:dyDescent="0.25">
      <c r="O778" t="s">
        <v>2377</v>
      </c>
      <c r="P778" t="s">
        <v>5269</v>
      </c>
      <c r="Q778" s="671">
        <v>62034</v>
      </c>
      <c r="R778" s="671"/>
      <c r="AT778" s="671"/>
      <c r="AU778" s="671"/>
      <c r="AV778" s="671"/>
      <c r="AW778" s="671"/>
    </row>
    <row r="779" spans="15:49" x14ac:dyDescent="0.25">
      <c r="O779" t="s">
        <v>2424</v>
      </c>
      <c r="P779" t="s">
        <v>5269</v>
      </c>
      <c r="Q779" s="671">
        <v>62034</v>
      </c>
      <c r="R779" s="671"/>
      <c r="AT779" s="671"/>
      <c r="AU779" s="671"/>
      <c r="AV779" s="671"/>
      <c r="AW779" s="671"/>
    </row>
    <row r="780" spans="15:49" x14ac:dyDescent="0.25">
      <c r="O780" t="s">
        <v>2424</v>
      </c>
      <c r="P780" t="s">
        <v>5269</v>
      </c>
      <c r="Q780" s="671">
        <v>62034</v>
      </c>
      <c r="R780" s="671"/>
      <c r="AT780" s="671"/>
      <c r="AU780" s="671"/>
      <c r="AV780" s="671"/>
      <c r="AW780" s="671"/>
    </row>
    <row r="781" spans="15:49" x14ac:dyDescent="0.25">
      <c r="O781" t="s">
        <v>2424</v>
      </c>
      <c r="P781" t="s">
        <v>5269</v>
      </c>
      <c r="Q781" s="671">
        <v>62034</v>
      </c>
      <c r="R781" s="671"/>
      <c r="AT781" s="671"/>
      <c r="AU781" s="671"/>
      <c r="AV781" s="671"/>
      <c r="AW781" s="671"/>
    </row>
    <row r="782" spans="15:49" x14ac:dyDescent="0.25">
      <c r="O782" t="s">
        <v>2420</v>
      </c>
      <c r="P782" t="s">
        <v>5269</v>
      </c>
      <c r="Q782" s="671">
        <v>62034</v>
      </c>
      <c r="R782" s="671"/>
      <c r="AT782" s="671"/>
      <c r="AU782" s="671"/>
      <c r="AV782" s="671"/>
      <c r="AW782" s="671"/>
    </row>
    <row r="783" spans="15:49" x14ac:dyDescent="0.25">
      <c r="O783" t="s">
        <v>2420</v>
      </c>
      <c r="P783" t="s">
        <v>5269</v>
      </c>
      <c r="Q783" s="671">
        <v>62034</v>
      </c>
      <c r="R783" s="671"/>
      <c r="AT783" s="671"/>
      <c r="AU783" s="671"/>
      <c r="AV783" s="671"/>
      <c r="AW783" s="671"/>
    </row>
    <row r="784" spans="15:49" x14ac:dyDescent="0.25">
      <c r="O784" t="s">
        <v>2417</v>
      </c>
      <c r="P784" t="s">
        <v>5269</v>
      </c>
      <c r="Q784" s="671">
        <v>62034</v>
      </c>
      <c r="R784" s="671"/>
      <c r="AT784" s="671"/>
      <c r="AU784" s="671"/>
      <c r="AV784" s="671"/>
      <c r="AW784" s="671"/>
    </row>
    <row r="785" spans="15:49" x14ac:dyDescent="0.25">
      <c r="O785" t="s">
        <v>2331</v>
      </c>
      <c r="P785" t="s">
        <v>5269</v>
      </c>
      <c r="Q785" s="671">
        <v>62034</v>
      </c>
      <c r="R785" s="671"/>
      <c r="AT785" s="671"/>
      <c r="AU785" s="671"/>
      <c r="AV785" s="671"/>
      <c r="AW785" s="671"/>
    </row>
    <row r="786" spans="15:49" x14ac:dyDescent="0.25">
      <c r="O786" t="s">
        <v>2331</v>
      </c>
      <c r="P786" t="s">
        <v>5269</v>
      </c>
      <c r="Q786" s="671">
        <v>62034</v>
      </c>
      <c r="R786" s="671"/>
      <c r="AT786" s="671"/>
      <c r="AU786" s="671"/>
      <c r="AV786" s="671"/>
      <c r="AW786" s="671"/>
    </row>
    <row r="787" spans="15:49" x14ac:dyDescent="0.25">
      <c r="O787" t="s">
        <v>2331</v>
      </c>
      <c r="P787" t="s">
        <v>5269</v>
      </c>
      <c r="Q787" s="671">
        <v>62034</v>
      </c>
      <c r="R787" s="671"/>
      <c r="AT787" s="671"/>
      <c r="AU787" s="671"/>
      <c r="AV787" s="671"/>
      <c r="AW787" s="671"/>
    </row>
    <row r="788" spans="15:49" x14ac:dyDescent="0.25">
      <c r="O788" t="s">
        <v>2331</v>
      </c>
      <c r="P788" t="s">
        <v>5269</v>
      </c>
      <c r="Q788" s="671">
        <v>62034</v>
      </c>
      <c r="R788" s="671"/>
      <c r="AT788" s="671"/>
      <c r="AU788" s="671"/>
      <c r="AV788" s="671"/>
      <c r="AW788" s="671"/>
    </row>
    <row r="789" spans="15:49" x14ac:dyDescent="0.25">
      <c r="O789" t="s">
        <v>2331</v>
      </c>
      <c r="P789" t="s">
        <v>5269</v>
      </c>
      <c r="Q789" s="671">
        <v>62034</v>
      </c>
      <c r="R789" s="671"/>
      <c r="AT789" s="671"/>
      <c r="AU789" s="671"/>
      <c r="AV789" s="671"/>
      <c r="AW789" s="671"/>
    </row>
    <row r="790" spans="15:49" x14ac:dyDescent="0.25">
      <c r="O790" t="s">
        <v>2339</v>
      </c>
      <c r="P790" t="s">
        <v>5269</v>
      </c>
      <c r="Q790" s="671">
        <v>62034</v>
      </c>
      <c r="R790" s="671"/>
      <c r="AT790" s="671"/>
      <c r="AU790" s="671"/>
      <c r="AV790" s="671"/>
      <c r="AW790" s="671"/>
    </row>
    <row r="791" spans="15:49" x14ac:dyDescent="0.25">
      <c r="O791" t="s">
        <v>2339</v>
      </c>
      <c r="P791" t="s">
        <v>5269</v>
      </c>
      <c r="Q791" s="671">
        <v>62034</v>
      </c>
      <c r="R791" s="671"/>
      <c r="AT791" s="671"/>
      <c r="AU791" s="671"/>
      <c r="AV791" s="671"/>
      <c r="AW791" s="671"/>
    </row>
    <row r="792" spans="15:49" x14ac:dyDescent="0.25">
      <c r="O792" t="s">
        <v>2339</v>
      </c>
      <c r="P792" t="s">
        <v>5269</v>
      </c>
      <c r="Q792" s="671">
        <v>62034</v>
      </c>
      <c r="R792" s="671"/>
      <c r="AT792" s="671"/>
      <c r="AU792" s="671"/>
      <c r="AV792" s="671"/>
      <c r="AW792" s="671"/>
    </row>
    <row r="793" spans="15:49" x14ac:dyDescent="0.25">
      <c r="O793" t="s">
        <v>2339</v>
      </c>
      <c r="P793" t="s">
        <v>5269</v>
      </c>
      <c r="Q793" s="671">
        <v>62034</v>
      </c>
      <c r="R793" s="671"/>
      <c r="AT793" s="671"/>
      <c r="AU793" s="671"/>
      <c r="AV793" s="671"/>
      <c r="AW793" s="671"/>
    </row>
    <row r="794" spans="15:49" x14ac:dyDescent="0.25">
      <c r="O794" t="s">
        <v>2339</v>
      </c>
      <c r="P794" t="s">
        <v>5269</v>
      </c>
      <c r="Q794" s="671">
        <v>62034</v>
      </c>
      <c r="R794" s="671"/>
      <c r="AT794" s="671"/>
      <c r="AU794" s="671"/>
      <c r="AV794" s="671"/>
      <c r="AW794" s="671"/>
    </row>
    <row r="795" spans="15:49" x14ac:dyDescent="0.25">
      <c r="O795" t="s">
        <v>2339</v>
      </c>
      <c r="P795" t="s">
        <v>5269</v>
      </c>
      <c r="Q795" s="671">
        <v>62034</v>
      </c>
      <c r="R795" s="671"/>
      <c r="AT795" s="671"/>
      <c r="AU795" s="671"/>
      <c r="AV795" s="671"/>
      <c r="AW795" s="671"/>
    </row>
    <row r="796" spans="15:49" x14ac:dyDescent="0.25">
      <c r="O796" t="s">
        <v>2339</v>
      </c>
      <c r="P796" t="s">
        <v>5269</v>
      </c>
      <c r="Q796" s="671">
        <v>62034</v>
      </c>
      <c r="R796" s="671"/>
      <c r="AT796" s="671"/>
      <c r="AU796" s="671"/>
      <c r="AV796" s="671"/>
      <c r="AW796" s="671"/>
    </row>
    <row r="797" spans="15:49" x14ac:dyDescent="0.25">
      <c r="O797" t="s">
        <v>2339</v>
      </c>
      <c r="P797" t="s">
        <v>5269</v>
      </c>
      <c r="Q797" s="671">
        <v>62034</v>
      </c>
      <c r="R797" s="671"/>
      <c r="AT797" s="671"/>
      <c r="AU797" s="671"/>
      <c r="AV797" s="671"/>
      <c r="AW797" s="671"/>
    </row>
    <row r="798" spans="15:49" x14ac:dyDescent="0.25">
      <c r="O798" t="s">
        <v>2317</v>
      </c>
      <c r="P798" t="s">
        <v>5269</v>
      </c>
      <c r="Q798" s="671">
        <v>62034</v>
      </c>
      <c r="R798" s="671"/>
      <c r="AT798" s="671"/>
      <c r="AU798" s="671"/>
      <c r="AV798" s="671"/>
      <c r="AW798" s="671"/>
    </row>
    <row r="799" spans="15:49" x14ac:dyDescent="0.25">
      <c r="O799" t="s">
        <v>2309</v>
      </c>
      <c r="P799" t="s">
        <v>5269</v>
      </c>
      <c r="Q799" s="671">
        <v>62034</v>
      </c>
      <c r="R799" s="671"/>
      <c r="AT799" s="671"/>
      <c r="AU799" s="671"/>
      <c r="AV799" s="671"/>
      <c r="AW799" s="671"/>
    </row>
    <row r="800" spans="15:49" x14ac:dyDescent="0.25">
      <c r="O800" t="s">
        <v>2325</v>
      </c>
      <c r="P800" t="s">
        <v>5269</v>
      </c>
      <c r="Q800" s="671">
        <v>62034</v>
      </c>
      <c r="R800" s="671"/>
      <c r="AT800" s="671"/>
      <c r="AU800" s="671"/>
      <c r="AV800" s="671"/>
      <c r="AW800" s="671"/>
    </row>
    <row r="801" spans="15:49" x14ac:dyDescent="0.25">
      <c r="O801" t="s">
        <v>2325</v>
      </c>
      <c r="P801" t="s">
        <v>5269</v>
      </c>
      <c r="Q801" s="671">
        <v>62034</v>
      </c>
      <c r="R801" s="671"/>
      <c r="AT801" s="671"/>
      <c r="AU801" s="671"/>
      <c r="AV801" s="671"/>
      <c r="AW801" s="671"/>
    </row>
    <row r="802" spans="15:49" x14ac:dyDescent="0.25">
      <c r="O802" t="s">
        <v>2313</v>
      </c>
      <c r="P802" t="s">
        <v>5269</v>
      </c>
      <c r="Q802" s="671">
        <v>62034</v>
      </c>
      <c r="R802" s="671"/>
      <c r="AT802" s="671"/>
      <c r="AU802" s="671"/>
      <c r="AV802" s="671"/>
      <c r="AW802" s="671"/>
    </row>
    <row r="803" spans="15:49" x14ac:dyDescent="0.25">
      <c r="O803" t="s">
        <v>2321</v>
      </c>
      <c r="P803" t="s">
        <v>5269</v>
      </c>
      <c r="Q803" s="671">
        <v>62034</v>
      </c>
      <c r="R803" s="671"/>
      <c r="AT803" s="671"/>
      <c r="AU803" s="671"/>
      <c r="AV803" s="671"/>
      <c r="AW803" s="671"/>
    </row>
    <row r="804" spans="15:49" x14ac:dyDescent="0.25">
      <c r="O804" t="s">
        <v>2395</v>
      </c>
      <c r="P804" t="s">
        <v>5269</v>
      </c>
      <c r="Q804" s="671">
        <v>62034</v>
      </c>
      <c r="R804" s="671"/>
      <c r="AT804" s="671"/>
      <c r="AU804" s="671"/>
      <c r="AV804" s="671"/>
      <c r="AW804" s="671"/>
    </row>
    <row r="805" spans="15:49" x14ac:dyDescent="0.25">
      <c r="O805" t="s">
        <v>2395</v>
      </c>
      <c r="P805" t="s">
        <v>5269</v>
      </c>
      <c r="Q805" s="671">
        <v>62034</v>
      </c>
      <c r="R805" s="671"/>
      <c r="AT805" s="671"/>
      <c r="AU805" s="671"/>
      <c r="AV805" s="671"/>
      <c r="AW805" s="671"/>
    </row>
    <row r="806" spans="15:49" x14ac:dyDescent="0.25">
      <c r="O806" t="s">
        <v>2405</v>
      </c>
      <c r="P806" t="s">
        <v>5269</v>
      </c>
      <c r="Q806" s="671">
        <v>62034</v>
      </c>
      <c r="R806" s="671"/>
      <c r="AT806" s="671"/>
      <c r="AU806" s="671"/>
      <c r="AV806" s="671"/>
      <c r="AW806" s="671"/>
    </row>
    <row r="807" spans="15:49" x14ac:dyDescent="0.25">
      <c r="O807" t="s">
        <v>2413</v>
      </c>
      <c r="P807" t="s">
        <v>5269</v>
      </c>
      <c r="Q807" s="671">
        <v>62034</v>
      </c>
      <c r="R807" s="671"/>
      <c r="AT807" s="671"/>
      <c r="AU807" s="671"/>
      <c r="AV807" s="671"/>
      <c r="AW807" s="671"/>
    </row>
    <row r="808" spans="15:49" x14ac:dyDescent="0.25">
      <c r="O808" t="s">
        <v>2413</v>
      </c>
      <c r="P808" t="s">
        <v>5269</v>
      </c>
      <c r="Q808" s="671">
        <v>62034</v>
      </c>
      <c r="R808" s="671"/>
      <c r="AT808" s="671"/>
      <c r="AU808" s="671"/>
      <c r="AV808" s="671"/>
      <c r="AW808" s="671"/>
    </row>
    <row r="809" spans="15:49" x14ac:dyDescent="0.25">
      <c r="O809" t="s">
        <v>2409</v>
      </c>
      <c r="P809" t="s">
        <v>5269</v>
      </c>
      <c r="Q809" s="671">
        <v>62034</v>
      </c>
      <c r="R809" s="671"/>
      <c r="AT809" s="671"/>
      <c r="AU809" s="671"/>
      <c r="AV809" s="671"/>
      <c r="AW809" s="671"/>
    </row>
    <row r="810" spans="15:49" x14ac:dyDescent="0.25">
      <c r="O810" t="s">
        <v>2470</v>
      </c>
      <c r="P810" t="s">
        <v>5269</v>
      </c>
      <c r="Q810" s="671">
        <v>62034</v>
      </c>
      <c r="R810" s="671"/>
      <c r="AT810" s="671"/>
      <c r="AU810" s="671"/>
      <c r="AV810" s="671"/>
      <c r="AW810" s="671"/>
    </row>
    <row r="811" spans="15:49" x14ac:dyDescent="0.25">
      <c r="O811" t="s">
        <v>2470</v>
      </c>
      <c r="P811" t="s">
        <v>5269</v>
      </c>
      <c r="Q811" s="671">
        <v>62034</v>
      </c>
      <c r="R811" s="671"/>
      <c r="AT811" s="671"/>
      <c r="AU811" s="671"/>
      <c r="AV811" s="671"/>
      <c r="AW811" s="671"/>
    </row>
    <row r="812" spans="15:49" x14ac:dyDescent="0.25">
      <c r="O812" t="s">
        <v>2470</v>
      </c>
      <c r="P812" t="s">
        <v>5269</v>
      </c>
      <c r="Q812" s="671">
        <v>62034</v>
      </c>
      <c r="R812" s="671"/>
      <c r="AT812" s="671"/>
      <c r="AU812" s="671"/>
      <c r="AV812" s="671"/>
      <c r="AW812" s="671"/>
    </row>
    <row r="813" spans="15:49" x14ac:dyDescent="0.25">
      <c r="O813" t="s">
        <v>2470</v>
      </c>
      <c r="P813" t="s">
        <v>5269</v>
      </c>
      <c r="Q813" s="671">
        <v>62034</v>
      </c>
      <c r="R813" s="671"/>
      <c r="AT813" s="671"/>
      <c r="AU813" s="671"/>
      <c r="AV813" s="671"/>
      <c r="AW813" s="671"/>
    </row>
    <row r="814" spans="15:49" x14ac:dyDescent="0.25">
      <c r="O814" t="s">
        <v>2470</v>
      </c>
      <c r="P814" t="s">
        <v>5269</v>
      </c>
      <c r="Q814" s="671">
        <v>62034</v>
      </c>
      <c r="R814" s="671"/>
      <c r="AT814" s="671"/>
      <c r="AU814" s="671"/>
      <c r="AV814" s="671"/>
      <c r="AW814" s="671"/>
    </row>
    <row r="815" spans="15:49" x14ac:dyDescent="0.25">
      <c r="O815" t="s">
        <v>2470</v>
      </c>
      <c r="P815" t="s">
        <v>5269</v>
      </c>
      <c r="Q815" s="671">
        <v>62034</v>
      </c>
      <c r="R815" s="671"/>
      <c r="AT815" s="671"/>
      <c r="AU815" s="671"/>
      <c r="AV815" s="671"/>
      <c r="AW815" s="671"/>
    </row>
    <row r="816" spans="15:49" x14ac:dyDescent="0.25">
      <c r="O816" t="s">
        <v>2470</v>
      </c>
      <c r="P816" t="s">
        <v>5269</v>
      </c>
      <c r="Q816" s="671">
        <v>62034</v>
      </c>
      <c r="R816" s="671"/>
      <c r="AT816" s="671"/>
      <c r="AU816" s="671"/>
      <c r="AV816" s="671"/>
      <c r="AW816" s="671"/>
    </row>
    <row r="817" spans="15:49" x14ac:dyDescent="0.25">
      <c r="O817" t="s">
        <v>2470</v>
      </c>
      <c r="P817" t="s">
        <v>5269</v>
      </c>
      <c r="Q817" s="671">
        <v>62034</v>
      </c>
      <c r="R817" s="671"/>
      <c r="AT817" s="671"/>
      <c r="AU817" s="671"/>
      <c r="AV817" s="671"/>
      <c r="AW817" s="671"/>
    </row>
    <row r="818" spans="15:49" x14ac:dyDescent="0.25">
      <c r="O818" t="s">
        <v>2470</v>
      </c>
      <c r="P818" t="s">
        <v>5269</v>
      </c>
      <c r="Q818" s="671">
        <v>62034</v>
      </c>
      <c r="R818" s="671"/>
      <c r="AT818" s="671"/>
      <c r="AU818" s="671"/>
      <c r="AV818" s="671"/>
      <c r="AW818" s="671"/>
    </row>
    <row r="819" spans="15:49" x14ac:dyDescent="0.25">
      <c r="O819" t="s">
        <v>2470</v>
      </c>
      <c r="P819" t="s">
        <v>5269</v>
      </c>
      <c r="Q819" s="671">
        <v>62034</v>
      </c>
      <c r="R819" s="671"/>
      <c r="AT819" s="671"/>
      <c r="AU819" s="671"/>
      <c r="AV819" s="671"/>
      <c r="AW819" s="671"/>
    </row>
    <row r="820" spans="15:49" x14ac:dyDescent="0.25">
      <c r="O820" t="s">
        <v>2470</v>
      </c>
      <c r="P820" t="s">
        <v>5269</v>
      </c>
      <c r="Q820" s="671">
        <v>62034</v>
      </c>
      <c r="R820" s="671"/>
      <c r="AT820" s="671"/>
      <c r="AU820" s="671"/>
      <c r="AV820" s="671"/>
      <c r="AW820" s="671"/>
    </row>
    <row r="821" spans="15:49" x14ac:dyDescent="0.25">
      <c r="O821" t="s">
        <v>2470</v>
      </c>
      <c r="P821" t="s">
        <v>5269</v>
      </c>
      <c r="Q821" s="671">
        <v>62034</v>
      </c>
      <c r="R821" s="671"/>
      <c r="AT821" s="671"/>
      <c r="AU821" s="671"/>
      <c r="AV821" s="671"/>
      <c r="AW821" s="671"/>
    </row>
    <row r="822" spans="15:49" x14ac:dyDescent="0.25">
      <c r="O822" t="s">
        <v>2454</v>
      </c>
      <c r="P822" t="s">
        <v>5269</v>
      </c>
      <c r="Q822" s="671">
        <v>62034</v>
      </c>
      <c r="R822" s="671"/>
      <c r="AT822" s="671"/>
      <c r="AU822" s="671"/>
      <c r="AV822" s="671"/>
      <c r="AW822" s="671"/>
    </row>
    <row r="823" spans="15:49" x14ac:dyDescent="0.25">
      <c r="O823" t="s">
        <v>2446</v>
      </c>
      <c r="P823" t="s">
        <v>5269</v>
      </c>
      <c r="Q823" s="671">
        <v>62034</v>
      </c>
      <c r="R823" s="671"/>
      <c r="AT823" s="671"/>
      <c r="AU823" s="671"/>
      <c r="AV823" s="671"/>
      <c r="AW823" s="671"/>
    </row>
    <row r="824" spans="15:49" x14ac:dyDescent="0.25">
      <c r="O824" t="s">
        <v>2466</v>
      </c>
      <c r="P824" t="s">
        <v>5269</v>
      </c>
      <c r="Q824" s="671">
        <v>62034</v>
      </c>
      <c r="R824" s="671"/>
      <c r="AT824" s="671"/>
      <c r="AU824" s="671"/>
      <c r="AV824" s="671"/>
      <c r="AW824" s="671"/>
    </row>
    <row r="825" spans="15:49" x14ac:dyDescent="0.25">
      <c r="O825" t="s">
        <v>2450</v>
      </c>
      <c r="P825" t="s">
        <v>5269</v>
      </c>
      <c r="Q825" s="671">
        <v>62034</v>
      </c>
      <c r="R825" s="671"/>
      <c r="AT825" s="671"/>
      <c r="AU825" s="671"/>
      <c r="AV825" s="671"/>
      <c r="AW825" s="671"/>
    </row>
    <row r="826" spans="15:49" x14ac:dyDescent="0.25">
      <c r="O826" t="s">
        <v>2458</v>
      </c>
      <c r="P826" t="s">
        <v>5269</v>
      </c>
      <c r="Q826" s="671">
        <v>62034</v>
      </c>
      <c r="R826" s="671"/>
      <c r="AT826" s="671"/>
      <c r="AU826" s="671"/>
      <c r="AV826" s="671"/>
      <c r="AW826" s="671"/>
    </row>
    <row r="827" spans="15:49" x14ac:dyDescent="0.25">
      <c r="O827" t="s">
        <v>2458</v>
      </c>
      <c r="P827" t="s">
        <v>5269</v>
      </c>
      <c r="Q827" s="671">
        <v>62034</v>
      </c>
      <c r="R827" s="671"/>
      <c r="AT827" s="671"/>
      <c r="AU827" s="671"/>
      <c r="AV827" s="671"/>
      <c r="AW827" s="671"/>
    </row>
    <row r="828" spans="15:49" x14ac:dyDescent="0.25">
      <c r="O828" t="s">
        <v>2458</v>
      </c>
      <c r="P828" t="s">
        <v>5269</v>
      </c>
      <c r="Q828" s="671">
        <v>62034</v>
      </c>
      <c r="R828" s="671"/>
      <c r="AT828" s="671"/>
      <c r="AU828" s="671"/>
      <c r="AV828" s="671"/>
      <c r="AW828" s="671"/>
    </row>
    <row r="829" spans="15:49" x14ac:dyDescent="0.25">
      <c r="O829" t="s">
        <v>2432</v>
      </c>
      <c r="P829" t="s">
        <v>5269</v>
      </c>
      <c r="Q829" s="671">
        <v>62034</v>
      </c>
      <c r="R829" s="671"/>
      <c r="AT829" s="671"/>
      <c r="AU829" s="671"/>
      <c r="AV829" s="671"/>
      <c r="AW829" s="671"/>
    </row>
    <row r="830" spans="15:49" x14ac:dyDescent="0.25">
      <c r="O830" t="s">
        <v>2432</v>
      </c>
      <c r="P830" t="s">
        <v>5269</v>
      </c>
      <c r="Q830" s="671">
        <v>62034</v>
      </c>
      <c r="R830" s="671"/>
      <c r="AT830" s="671"/>
      <c r="AU830" s="671"/>
      <c r="AV830" s="671"/>
      <c r="AW830" s="671"/>
    </row>
    <row r="831" spans="15:49" x14ac:dyDescent="0.25">
      <c r="O831" t="s">
        <v>2428</v>
      </c>
      <c r="P831" t="s">
        <v>5269</v>
      </c>
      <c r="Q831" s="671">
        <v>62034</v>
      </c>
      <c r="R831" s="671"/>
      <c r="AT831" s="671"/>
      <c r="AU831" s="671"/>
      <c r="AV831" s="671"/>
      <c r="AW831" s="671"/>
    </row>
    <row r="832" spans="15:49" x14ac:dyDescent="0.25">
      <c r="O832" t="s">
        <v>2442</v>
      </c>
      <c r="P832" t="s">
        <v>5269</v>
      </c>
      <c r="Q832" s="671">
        <v>62034</v>
      </c>
      <c r="R832" s="671"/>
      <c r="AT832" s="671"/>
      <c r="AU832" s="671"/>
      <c r="AV832" s="671"/>
      <c r="AW832" s="671"/>
    </row>
    <row r="833" spans="15:49" x14ac:dyDescent="0.25">
      <c r="O833" t="s">
        <v>2442</v>
      </c>
      <c r="P833" t="s">
        <v>5269</v>
      </c>
      <c r="Q833" s="671">
        <v>62034</v>
      </c>
      <c r="R833" s="671"/>
      <c r="AT833" s="671"/>
      <c r="AU833" s="671"/>
      <c r="AV833" s="671"/>
      <c r="AW833" s="671"/>
    </row>
    <row r="834" spans="15:49" x14ac:dyDescent="0.25">
      <c r="O834" t="s">
        <v>2442</v>
      </c>
      <c r="P834" t="s">
        <v>5269</v>
      </c>
      <c r="Q834" s="671">
        <v>62034</v>
      </c>
      <c r="R834" s="671"/>
      <c r="AT834" s="671"/>
      <c r="AU834" s="671"/>
      <c r="AV834" s="671"/>
      <c r="AW834" s="671"/>
    </row>
    <row r="835" spans="15:49" x14ac:dyDescent="0.25">
      <c r="O835" t="s">
        <v>2442</v>
      </c>
      <c r="P835" t="s">
        <v>5269</v>
      </c>
      <c r="Q835" s="671">
        <v>62034</v>
      </c>
      <c r="R835" s="671"/>
      <c r="AT835" s="671"/>
      <c r="AU835" s="671"/>
      <c r="AV835" s="671"/>
      <c r="AW835" s="671"/>
    </row>
    <row r="836" spans="15:49" x14ac:dyDescent="0.25">
      <c r="O836" t="s">
        <v>2438</v>
      </c>
      <c r="P836" t="s">
        <v>5269</v>
      </c>
      <c r="Q836" s="671">
        <v>62034</v>
      </c>
      <c r="R836" s="671"/>
      <c r="AT836" s="671"/>
      <c r="AU836" s="671"/>
      <c r="AV836" s="671"/>
      <c r="AW836" s="671"/>
    </row>
    <row r="837" spans="15:49" x14ac:dyDescent="0.25">
      <c r="O837" t="s">
        <v>2403</v>
      </c>
      <c r="P837" t="s">
        <v>5269</v>
      </c>
      <c r="Q837" s="671">
        <v>62034</v>
      </c>
      <c r="R837" s="671"/>
      <c r="AT837" s="671"/>
      <c r="AU837" s="671"/>
      <c r="AV837" s="671"/>
      <c r="AW837" s="671"/>
    </row>
    <row r="838" spans="15:49" x14ac:dyDescent="0.25">
      <c r="O838" t="s">
        <v>2403</v>
      </c>
      <c r="P838" t="s">
        <v>5269</v>
      </c>
      <c r="Q838" s="671">
        <v>62034</v>
      </c>
      <c r="R838" s="671"/>
      <c r="AT838" s="671"/>
      <c r="AU838" s="671"/>
      <c r="AV838" s="671"/>
      <c r="AW838" s="671"/>
    </row>
    <row r="839" spans="15:49" x14ac:dyDescent="0.25">
      <c r="O839" t="s">
        <v>2403</v>
      </c>
      <c r="P839" t="s">
        <v>5269</v>
      </c>
      <c r="Q839" s="671">
        <v>62034</v>
      </c>
      <c r="R839" s="671"/>
      <c r="AT839" s="671"/>
      <c r="AU839" s="671"/>
      <c r="AV839" s="671"/>
      <c r="AW839" s="671"/>
    </row>
    <row r="840" spans="15:49" x14ac:dyDescent="0.25">
      <c r="O840" t="s">
        <v>2397</v>
      </c>
      <c r="P840" t="s">
        <v>5269</v>
      </c>
      <c r="Q840" s="671">
        <v>62034</v>
      </c>
      <c r="R840" s="671"/>
      <c r="AT840" s="671"/>
      <c r="AU840" s="671"/>
      <c r="AV840" s="671"/>
      <c r="AW840" s="671"/>
    </row>
    <row r="841" spans="15:49" x14ac:dyDescent="0.25">
      <c r="O841" t="s">
        <v>2397</v>
      </c>
      <c r="P841" t="s">
        <v>5269</v>
      </c>
      <c r="Q841" s="671">
        <v>62034</v>
      </c>
      <c r="R841" s="671"/>
      <c r="AT841" s="671"/>
      <c r="AU841" s="671"/>
      <c r="AV841" s="671"/>
      <c r="AW841" s="671"/>
    </row>
    <row r="842" spans="15:49" x14ac:dyDescent="0.25">
      <c r="O842" t="s">
        <v>1374</v>
      </c>
      <c r="P842" t="s">
        <v>5270</v>
      </c>
      <c r="Q842" s="671">
        <v>62020</v>
      </c>
      <c r="R842" s="671"/>
      <c r="AT842" s="671"/>
      <c r="AU842" s="671"/>
      <c r="AV842" s="671"/>
      <c r="AW842" s="671"/>
    </row>
    <row r="843" spans="15:49" x14ac:dyDescent="0.25">
      <c r="O843" t="s">
        <v>1378</v>
      </c>
      <c r="P843" t="s">
        <v>5270</v>
      </c>
      <c r="Q843" s="671">
        <v>62020</v>
      </c>
      <c r="R843" s="671"/>
      <c r="AT843" s="671"/>
      <c r="AU843" s="671"/>
      <c r="AV843" s="671"/>
      <c r="AW843" s="671"/>
    </row>
    <row r="844" spans="15:49" x14ac:dyDescent="0.25">
      <c r="O844" t="s">
        <v>1378</v>
      </c>
      <c r="P844" t="s">
        <v>5270</v>
      </c>
      <c r="Q844" s="671">
        <v>62020</v>
      </c>
      <c r="R844" s="671"/>
      <c r="AT844" s="671"/>
      <c r="AU844" s="671"/>
      <c r="AV844" s="671"/>
      <c r="AW844" s="671"/>
    </row>
    <row r="845" spans="15:49" x14ac:dyDescent="0.25">
      <c r="O845" t="s">
        <v>1479</v>
      </c>
      <c r="P845" t="s">
        <v>5270</v>
      </c>
      <c r="Q845" s="671">
        <v>62020</v>
      </c>
      <c r="R845" s="671"/>
      <c r="AT845" s="671"/>
      <c r="AU845" s="671"/>
      <c r="AV845" s="671"/>
      <c r="AW845" s="671"/>
    </row>
    <row r="846" spans="15:49" x14ac:dyDescent="0.25">
      <c r="O846" t="s">
        <v>1479</v>
      </c>
      <c r="P846" t="s">
        <v>5270</v>
      </c>
      <c r="Q846" s="671">
        <v>62020</v>
      </c>
      <c r="R846" s="671"/>
      <c r="AT846" s="671"/>
      <c r="AU846" s="671"/>
      <c r="AV846" s="671"/>
      <c r="AW846" s="671"/>
    </row>
    <row r="847" spans="15:49" x14ac:dyDescent="0.25">
      <c r="O847" t="s">
        <v>1479</v>
      </c>
      <c r="P847" t="s">
        <v>5270</v>
      </c>
      <c r="Q847" s="671">
        <v>62020</v>
      </c>
      <c r="R847" s="671"/>
      <c r="AT847" s="671"/>
      <c r="AU847" s="671"/>
      <c r="AV847" s="671"/>
      <c r="AW847" s="671"/>
    </row>
    <row r="848" spans="15:49" x14ac:dyDescent="0.25">
      <c r="O848" t="s">
        <v>1484</v>
      </c>
      <c r="P848" t="s">
        <v>5270</v>
      </c>
      <c r="Q848" s="671">
        <v>62020</v>
      </c>
      <c r="R848" s="671"/>
      <c r="AT848" s="671"/>
      <c r="AU848" s="671"/>
      <c r="AV848" s="671"/>
      <c r="AW848" s="671"/>
    </row>
    <row r="849" spans="15:49" x14ac:dyDescent="0.25">
      <c r="O849" t="s">
        <v>1484</v>
      </c>
      <c r="P849" t="s">
        <v>5270</v>
      </c>
      <c r="Q849" s="671">
        <v>62020</v>
      </c>
      <c r="R849" s="671"/>
      <c r="AT849" s="671"/>
      <c r="AU849" s="671"/>
      <c r="AV849" s="671"/>
      <c r="AW849" s="671"/>
    </row>
    <row r="850" spans="15:49" x14ac:dyDescent="0.25">
      <c r="O850" t="s">
        <v>1494</v>
      </c>
      <c r="P850" t="s">
        <v>5270</v>
      </c>
      <c r="Q850" s="671">
        <v>62020</v>
      </c>
      <c r="R850" s="671"/>
      <c r="AT850" s="671"/>
      <c r="AU850" s="671"/>
      <c r="AV850" s="671"/>
      <c r="AW850" s="671"/>
    </row>
    <row r="851" spans="15:49" x14ac:dyDescent="0.25">
      <c r="O851" t="s">
        <v>1490</v>
      </c>
      <c r="P851" t="s">
        <v>5270</v>
      </c>
      <c r="Q851" s="671">
        <v>62020</v>
      </c>
      <c r="R851" s="671"/>
      <c r="AT851" s="671"/>
      <c r="AU851" s="671"/>
      <c r="AV851" s="671"/>
      <c r="AW851" s="671"/>
    </row>
    <row r="852" spans="15:49" x14ac:dyDescent="0.25">
      <c r="O852" t="s">
        <v>1490</v>
      </c>
      <c r="P852" t="s">
        <v>5270</v>
      </c>
      <c r="Q852" s="671">
        <v>62020</v>
      </c>
      <c r="R852" s="671"/>
      <c r="AT852" s="671"/>
      <c r="AU852" s="671"/>
      <c r="AV852" s="671"/>
      <c r="AW852" s="671"/>
    </row>
    <row r="853" spans="15:49" x14ac:dyDescent="0.25">
      <c r="O853" t="s">
        <v>1507</v>
      </c>
      <c r="P853" t="s">
        <v>5270</v>
      </c>
      <c r="Q853" s="671">
        <v>62020</v>
      </c>
      <c r="R853" s="671"/>
      <c r="AT853" s="671"/>
      <c r="AU853" s="671"/>
      <c r="AV853" s="671"/>
      <c r="AW853" s="671"/>
    </row>
    <row r="854" spans="15:49" x14ac:dyDescent="0.25">
      <c r="O854" t="s">
        <v>1507</v>
      </c>
      <c r="P854" t="s">
        <v>5270</v>
      </c>
      <c r="Q854" s="671">
        <v>62020</v>
      </c>
      <c r="R854" s="671"/>
      <c r="AT854" s="671"/>
      <c r="AU854" s="671"/>
      <c r="AV854" s="671"/>
      <c r="AW854" s="671"/>
    </row>
    <row r="855" spans="15:49" x14ac:dyDescent="0.25">
      <c r="O855" t="s">
        <v>1513</v>
      </c>
      <c r="P855" t="s">
        <v>5270</v>
      </c>
      <c r="Q855" s="671">
        <v>62020</v>
      </c>
      <c r="R855" s="671"/>
      <c r="AT855" s="671"/>
      <c r="AU855" s="671"/>
      <c r="AV855" s="671"/>
      <c r="AW855" s="671"/>
    </row>
    <row r="856" spans="15:49" x14ac:dyDescent="0.25">
      <c r="O856" t="s">
        <v>1504</v>
      </c>
      <c r="P856" t="s">
        <v>5270</v>
      </c>
      <c r="Q856" s="671">
        <v>62020</v>
      </c>
      <c r="R856" s="671"/>
      <c r="AT856" s="671"/>
      <c r="AU856" s="671"/>
      <c r="AV856" s="671"/>
      <c r="AW856" s="671"/>
    </row>
    <row r="857" spans="15:49" x14ac:dyDescent="0.25">
      <c r="O857" t="s">
        <v>1517</v>
      </c>
      <c r="P857" t="s">
        <v>5270</v>
      </c>
      <c r="Q857" s="671">
        <v>62020</v>
      </c>
      <c r="R857" s="671"/>
      <c r="AT857" s="671"/>
      <c r="AU857" s="671"/>
      <c r="AV857" s="671"/>
      <c r="AW857" s="671"/>
    </row>
    <row r="858" spans="15:49" x14ac:dyDescent="0.25">
      <c r="O858" t="s">
        <v>1519</v>
      </c>
      <c r="P858" t="s">
        <v>5270</v>
      </c>
      <c r="Q858" s="671">
        <v>62020</v>
      </c>
      <c r="R858" s="671"/>
      <c r="AT858" s="671"/>
      <c r="AU858" s="671"/>
      <c r="AV858" s="671"/>
      <c r="AW858" s="671"/>
    </row>
    <row r="859" spans="15:49" x14ac:dyDescent="0.25">
      <c r="O859" t="s">
        <v>1519</v>
      </c>
      <c r="P859" t="s">
        <v>5270</v>
      </c>
      <c r="Q859" s="671">
        <v>62020</v>
      </c>
      <c r="R859" s="671"/>
      <c r="AT859" s="671"/>
      <c r="AU859" s="671"/>
      <c r="AV859" s="671"/>
      <c r="AW859" s="671"/>
    </row>
    <row r="860" spans="15:49" x14ac:dyDescent="0.25">
      <c r="O860" t="s">
        <v>1519</v>
      </c>
      <c r="P860" t="s">
        <v>5270</v>
      </c>
      <c r="Q860" s="671">
        <v>62020</v>
      </c>
      <c r="R860" s="671"/>
      <c r="AT860" s="671"/>
      <c r="AU860" s="671"/>
      <c r="AV860" s="671"/>
      <c r="AW860" s="671"/>
    </row>
    <row r="861" spans="15:49" x14ac:dyDescent="0.25">
      <c r="O861" t="s">
        <v>1525</v>
      </c>
      <c r="P861" t="s">
        <v>5270</v>
      </c>
      <c r="Q861" s="671">
        <v>62020</v>
      </c>
      <c r="R861" s="671"/>
      <c r="AT861" s="671"/>
      <c r="AU861" s="671"/>
      <c r="AV861" s="671"/>
      <c r="AW861" s="671"/>
    </row>
    <row r="862" spans="15:49" x14ac:dyDescent="0.25">
      <c r="O862" t="s">
        <v>1469</v>
      </c>
      <c r="P862" t="s">
        <v>5270</v>
      </c>
      <c r="Q862" s="671">
        <v>62020</v>
      </c>
      <c r="R862" s="671"/>
      <c r="AT862" s="671"/>
      <c r="AU862" s="671"/>
      <c r="AV862" s="671"/>
      <c r="AW862" s="671"/>
    </row>
    <row r="863" spans="15:49" x14ac:dyDescent="0.25">
      <c r="O863" t="s">
        <v>1465</v>
      </c>
      <c r="P863" t="s">
        <v>5270</v>
      </c>
      <c r="Q863" s="671">
        <v>62020</v>
      </c>
      <c r="R863" s="671"/>
      <c r="AT863" s="671"/>
      <c r="AU863" s="671"/>
      <c r="AV863" s="671"/>
      <c r="AW863" s="671"/>
    </row>
    <row r="864" spans="15:49" x14ac:dyDescent="0.25">
      <c r="O864" t="s">
        <v>1473</v>
      </c>
      <c r="P864" t="s">
        <v>5270</v>
      </c>
      <c r="Q864" s="671">
        <v>62020</v>
      </c>
      <c r="R864" s="671"/>
      <c r="AT864" s="671"/>
      <c r="AU864" s="671"/>
      <c r="AV864" s="671"/>
      <c r="AW864" s="671"/>
    </row>
    <row r="865" spans="15:49" x14ac:dyDescent="0.25">
      <c r="O865" t="s">
        <v>1473</v>
      </c>
      <c r="P865" t="s">
        <v>5270</v>
      </c>
      <c r="Q865" s="671">
        <v>62020</v>
      </c>
      <c r="R865" s="671"/>
      <c r="AT865" s="671"/>
      <c r="AU865" s="671"/>
      <c r="AV865" s="671"/>
      <c r="AW865" s="671"/>
    </row>
    <row r="866" spans="15:49" x14ac:dyDescent="0.25">
      <c r="O866" t="s">
        <v>1459</v>
      </c>
      <c r="P866" t="s">
        <v>5270</v>
      </c>
      <c r="Q866" s="671">
        <v>62020</v>
      </c>
      <c r="R866" s="671"/>
      <c r="AT866" s="671"/>
      <c r="AU866" s="671"/>
      <c r="AV866" s="671"/>
      <c r="AW866" s="671"/>
    </row>
    <row r="867" spans="15:49" x14ac:dyDescent="0.25">
      <c r="O867" t="s">
        <v>1459</v>
      </c>
      <c r="P867" t="s">
        <v>5270</v>
      </c>
      <c r="Q867" s="671">
        <v>62020</v>
      </c>
      <c r="R867" s="671"/>
      <c r="AT867" s="671"/>
      <c r="AU867" s="671"/>
      <c r="AV867" s="671"/>
      <c r="AW867" s="671"/>
    </row>
    <row r="868" spans="15:49" x14ac:dyDescent="0.25">
      <c r="O868" t="s">
        <v>1475</v>
      </c>
      <c r="P868" t="s">
        <v>5270</v>
      </c>
      <c r="Q868" s="671">
        <v>62020</v>
      </c>
      <c r="R868" s="671"/>
      <c r="AT868" s="671"/>
      <c r="AU868" s="671"/>
      <c r="AV868" s="671"/>
      <c r="AW868" s="671"/>
    </row>
    <row r="869" spans="15:49" x14ac:dyDescent="0.25">
      <c r="O869" t="s">
        <v>1439</v>
      </c>
      <c r="P869" t="s">
        <v>5270</v>
      </c>
      <c r="Q869" s="671">
        <v>62020</v>
      </c>
      <c r="R869" s="671"/>
      <c r="AT869" s="671"/>
      <c r="AU869" s="671"/>
      <c r="AV869" s="671"/>
      <c r="AW869" s="671"/>
    </row>
    <row r="870" spans="15:49" x14ac:dyDescent="0.25">
      <c r="O870" t="s">
        <v>1443</v>
      </c>
      <c r="P870" t="s">
        <v>5270</v>
      </c>
      <c r="Q870" s="671">
        <v>62020</v>
      </c>
      <c r="R870" s="671"/>
      <c r="AT870" s="671"/>
      <c r="AU870" s="671"/>
      <c r="AV870" s="671"/>
      <c r="AW870" s="671"/>
    </row>
    <row r="871" spans="15:49" x14ac:dyDescent="0.25">
      <c r="O871" t="s">
        <v>1457</v>
      </c>
      <c r="P871" t="s">
        <v>5270</v>
      </c>
      <c r="Q871" s="671">
        <v>62020</v>
      </c>
      <c r="R871" s="671"/>
      <c r="AT871" s="671"/>
      <c r="AU871" s="671"/>
      <c r="AV871" s="671"/>
      <c r="AW871" s="671"/>
    </row>
    <row r="872" spans="15:49" x14ac:dyDescent="0.25">
      <c r="O872" t="s">
        <v>1457</v>
      </c>
      <c r="P872" t="s">
        <v>5270</v>
      </c>
      <c r="Q872" s="671">
        <v>62020</v>
      </c>
      <c r="R872" s="671"/>
      <c r="AT872" s="671"/>
      <c r="AU872" s="671"/>
      <c r="AV872" s="671"/>
      <c r="AW872" s="671"/>
    </row>
    <row r="873" spans="15:49" x14ac:dyDescent="0.25">
      <c r="O873" t="s">
        <v>1447</v>
      </c>
      <c r="P873" t="s">
        <v>5270</v>
      </c>
      <c r="Q873" s="671">
        <v>62020</v>
      </c>
      <c r="R873" s="671"/>
      <c r="AT873" s="671"/>
      <c r="AU873" s="671"/>
      <c r="AV873" s="671"/>
      <c r="AW873" s="671"/>
    </row>
    <row r="874" spans="15:49" x14ac:dyDescent="0.25">
      <c r="O874" t="s">
        <v>1447</v>
      </c>
      <c r="P874" t="s">
        <v>5270</v>
      </c>
      <c r="Q874" s="671">
        <v>62020</v>
      </c>
      <c r="R874" s="671"/>
      <c r="AT874" s="671"/>
      <c r="AU874" s="671"/>
      <c r="AV874" s="671"/>
      <c r="AW874" s="671"/>
    </row>
    <row r="875" spans="15:49" x14ac:dyDescent="0.25">
      <c r="O875" t="s">
        <v>1453</v>
      </c>
      <c r="P875" t="s">
        <v>5270</v>
      </c>
      <c r="Q875" s="671">
        <v>62020</v>
      </c>
      <c r="R875" s="671"/>
      <c r="AT875" s="671"/>
      <c r="AU875" s="671"/>
      <c r="AV875" s="671"/>
      <c r="AW875" s="671"/>
    </row>
    <row r="876" spans="15:49" x14ac:dyDescent="0.25">
      <c r="O876" t="s">
        <v>1411</v>
      </c>
      <c r="P876" t="s">
        <v>5270</v>
      </c>
      <c r="Q876" s="671">
        <v>62020</v>
      </c>
      <c r="R876" s="671"/>
      <c r="AT876" s="671"/>
      <c r="AU876" s="671"/>
      <c r="AV876" s="671"/>
      <c r="AW876" s="671"/>
    </row>
    <row r="877" spans="15:49" x14ac:dyDescent="0.25">
      <c r="O877" t="s">
        <v>1383</v>
      </c>
      <c r="P877" t="s">
        <v>5270</v>
      </c>
      <c r="Q877" s="671">
        <v>62020</v>
      </c>
      <c r="R877" s="671"/>
      <c r="AT877" s="671"/>
      <c r="AU877" s="671"/>
      <c r="AV877" s="671"/>
      <c r="AW877" s="671"/>
    </row>
    <row r="878" spans="15:49" x14ac:dyDescent="0.25">
      <c r="O878" t="s">
        <v>1383</v>
      </c>
      <c r="P878" t="s">
        <v>5270</v>
      </c>
      <c r="Q878" s="671">
        <v>62020</v>
      </c>
      <c r="R878" s="671"/>
      <c r="AT878" s="671"/>
      <c r="AU878" s="671"/>
      <c r="AV878" s="671"/>
      <c r="AW878" s="671"/>
    </row>
    <row r="879" spans="15:49" x14ac:dyDescent="0.25">
      <c r="O879" t="s">
        <v>1392</v>
      </c>
      <c r="P879" t="s">
        <v>5270</v>
      </c>
      <c r="Q879" s="671">
        <v>62020</v>
      </c>
      <c r="R879" s="671"/>
      <c r="AT879" s="671"/>
      <c r="AU879" s="671"/>
      <c r="AV879" s="671"/>
      <c r="AW879" s="671"/>
    </row>
    <row r="880" spans="15:49" x14ac:dyDescent="0.25">
      <c r="O880" t="s">
        <v>1389</v>
      </c>
      <c r="P880" t="s">
        <v>5270</v>
      </c>
      <c r="Q880" s="671">
        <v>62020</v>
      </c>
      <c r="R880" s="671"/>
      <c r="AT880" s="671"/>
      <c r="AU880" s="671"/>
      <c r="AV880" s="671"/>
      <c r="AW880" s="671"/>
    </row>
    <row r="881" spans="15:49" x14ac:dyDescent="0.25">
      <c r="O881" t="s">
        <v>1389</v>
      </c>
      <c r="P881" t="s">
        <v>5270</v>
      </c>
      <c r="Q881" s="671">
        <v>62020</v>
      </c>
      <c r="R881" s="671"/>
      <c r="AT881" s="671"/>
      <c r="AU881" s="671"/>
      <c r="AV881" s="671"/>
      <c r="AW881" s="671"/>
    </row>
    <row r="882" spans="15:49" x14ac:dyDescent="0.25">
      <c r="O882" t="s">
        <v>1409</v>
      </c>
      <c r="P882" t="s">
        <v>5270</v>
      </c>
      <c r="Q882" s="671">
        <v>62020</v>
      </c>
      <c r="R882" s="671"/>
      <c r="AT882" s="671"/>
      <c r="AU882" s="671"/>
      <c r="AV882" s="671"/>
      <c r="AW882" s="671"/>
    </row>
    <row r="883" spans="15:49" x14ac:dyDescent="0.25">
      <c r="O883" t="s">
        <v>1409</v>
      </c>
      <c r="P883" t="s">
        <v>5270</v>
      </c>
      <c r="Q883" s="671">
        <v>62020</v>
      </c>
      <c r="R883" s="671"/>
      <c r="AT883" s="671"/>
      <c r="AU883" s="671"/>
      <c r="AV883" s="671"/>
      <c r="AW883" s="671"/>
    </row>
    <row r="884" spans="15:49" x14ac:dyDescent="0.25">
      <c r="O884" t="s">
        <v>1409</v>
      </c>
      <c r="P884" t="s">
        <v>5270</v>
      </c>
      <c r="Q884" s="671">
        <v>62020</v>
      </c>
      <c r="R884" s="671"/>
      <c r="AT884" s="671"/>
      <c r="AU884" s="671"/>
      <c r="AV884" s="671"/>
      <c r="AW884" s="671"/>
    </row>
    <row r="885" spans="15:49" x14ac:dyDescent="0.25">
      <c r="O885" t="s">
        <v>1409</v>
      </c>
      <c r="P885" t="s">
        <v>5270</v>
      </c>
      <c r="Q885" s="671">
        <v>62020</v>
      </c>
      <c r="R885" s="671"/>
      <c r="AT885" s="671"/>
      <c r="AU885" s="671"/>
      <c r="AV885" s="671"/>
      <c r="AW885" s="671"/>
    </row>
    <row r="886" spans="15:49" x14ac:dyDescent="0.25">
      <c r="O886" t="s">
        <v>1409</v>
      </c>
      <c r="P886" t="s">
        <v>5270</v>
      </c>
      <c r="Q886" s="671">
        <v>62020</v>
      </c>
      <c r="R886" s="671"/>
      <c r="AT886" s="671"/>
      <c r="AU886" s="671"/>
      <c r="AV886" s="671"/>
      <c r="AW886" s="671"/>
    </row>
    <row r="887" spans="15:49" x14ac:dyDescent="0.25">
      <c r="O887" t="s">
        <v>1399</v>
      </c>
      <c r="P887" t="s">
        <v>5270</v>
      </c>
      <c r="Q887" s="671">
        <v>62020</v>
      </c>
      <c r="R887" s="671"/>
      <c r="AT887" s="671"/>
      <c r="AU887" s="671"/>
      <c r="AV887" s="671"/>
      <c r="AW887" s="671"/>
    </row>
    <row r="888" spans="15:49" x14ac:dyDescent="0.25">
      <c r="O888" t="s">
        <v>1399</v>
      </c>
      <c r="P888" t="s">
        <v>5270</v>
      </c>
      <c r="Q888" s="671">
        <v>62020</v>
      </c>
      <c r="R888" s="671"/>
      <c r="AT888" s="671"/>
      <c r="AU888" s="671"/>
      <c r="AV888" s="671"/>
      <c r="AW888" s="671"/>
    </row>
    <row r="889" spans="15:49" x14ac:dyDescent="0.25">
      <c r="O889" t="s">
        <v>1399</v>
      </c>
      <c r="P889" t="s">
        <v>5270</v>
      </c>
      <c r="Q889" s="671">
        <v>62020</v>
      </c>
      <c r="R889" s="671"/>
      <c r="AT889" s="671"/>
      <c r="AU889" s="671"/>
      <c r="AV889" s="671"/>
      <c r="AW889" s="671"/>
    </row>
    <row r="890" spans="15:49" x14ac:dyDescent="0.25">
      <c r="O890" t="s">
        <v>1399</v>
      </c>
      <c r="P890" t="s">
        <v>5270</v>
      </c>
      <c r="Q890" s="671">
        <v>62020</v>
      </c>
      <c r="R890" s="671"/>
      <c r="AT890" s="671"/>
      <c r="AU890" s="671"/>
      <c r="AV890" s="671"/>
      <c r="AW890" s="671"/>
    </row>
    <row r="891" spans="15:49" x14ac:dyDescent="0.25">
      <c r="O891" t="s">
        <v>1396</v>
      </c>
      <c r="P891" t="s">
        <v>5270</v>
      </c>
      <c r="Q891" s="671">
        <v>62020</v>
      </c>
      <c r="R891" s="671"/>
      <c r="AT891" s="671"/>
      <c r="AU891" s="671"/>
      <c r="AV891" s="671"/>
      <c r="AW891" s="671"/>
    </row>
    <row r="892" spans="15:49" x14ac:dyDescent="0.25">
      <c r="O892" t="s">
        <v>1554</v>
      </c>
      <c r="P892" t="s">
        <v>5270</v>
      </c>
      <c r="Q892" s="671">
        <v>62020</v>
      </c>
      <c r="R892" s="671"/>
      <c r="AT892" s="671"/>
      <c r="AU892" s="671"/>
      <c r="AV892" s="671"/>
      <c r="AW892" s="671"/>
    </row>
    <row r="893" spans="15:49" x14ac:dyDescent="0.25">
      <c r="O893" t="s">
        <v>1554</v>
      </c>
      <c r="P893" t="s">
        <v>5270</v>
      </c>
      <c r="Q893" s="671">
        <v>62020</v>
      </c>
      <c r="R893" s="671"/>
      <c r="AT893" s="671"/>
      <c r="AU893" s="671"/>
      <c r="AV893" s="671"/>
      <c r="AW893" s="671"/>
    </row>
    <row r="894" spans="15:49" x14ac:dyDescent="0.25">
      <c r="O894" t="s">
        <v>1554</v>
      </c>
      <c r="P894" t="s">
        <v>5270</v>
      </c>
      <c r="Q894" s="671">
        <v>62020</v>
      </c>
      <c r="R894" s="671"/>
      <c r="AT894" s="671"/>
      <c r="AU894" s="671"/>
      <c r="AV894" s="671"/>
      <c r="AW894" s="671"/>
    </row>
    <row r="895" spans="15:49" x14ac:dyDescent="0.25">
      <c r="O895" t="s">
        <v>1554</v>
      </c>
      <c r="P895" t="s">
        <v>5270</v>
      </c>
      <c r="Q895" s="671">
        <v>62020</v>
      </c>
      <c r="R895" s="671"/>
      <c r="AT895" s="671"/>
      <c r="AU895" s="671"/>
      <c r="AV895" s="671"/>
      <c r="AW895" s="671"/>
    </row>
    <row r="896" spans="15:49" x14ac:dyDescent="0.25">
      <c r="O896" t="s">
        <v>1554</v>
      </c>
      <c r="P896" t="s">
        <v>5270</v>
      </c>
      <c r="Q896" s="671">
        <v>62020</v>
      </c>
      <c r="R896" s="671"/>
      <c r="AT896" s="671"/>
      <c r="AU896" s="671"/>
      <c r="AV896" s="671"/>
      <c r="AW896" s="671"/>
    </row>
    <row r="897" spans="15:49" x14ac:dyDescent="0.25">
      <c r="O897" t="s">
        <v>1552</v>
      </c>
      <c r="P897" t="s">
        <v>5270</v>
      </c>
      <c r="Q897" s="671">
        <v>62020</v>
      </c>
      <c r="R897" s="671"/>
      <c r="AT897" s="671"/>
      <c r="AU897" s="671"/>
      <c r="AV897" s="671"/>
      <c r="AW897" s="671"/>
    </row>
    <row r="898" spans="15:49" x14ac:dyDescent="0.25">
      <c r="O898" t="s">
        <v>1535</v>
      </c>
      <c r="P898" t="s">
        <v>5270</v>
      </c>
      <c r="Q898" s="671">
        <v>62020</v>
      </c>
      <c r="R898" s="671"/>
      <c r="AT898" s="671"/>
      <c r="AU898" s="671"/>
      <c r="AV898" s="671"/>
      <c r="AW898" s="671"/>
    </row>
    <row r="899" spans="15:49" x14ac:dyDescent="0.25">
      <c r="O899" t="s">
        <v>1535</v>
      </c>
      <c r="P899" t="s">
        <v>5270</v>
      </c>
      <c r="Q899" s="671">
        <v>62020</v>
      </c>
      <c r="R899" s="671"/>
      <c r="AT899" s="671"/>
      <c r="AU899" s="671"/>
      <c r="AV899" s="671"/>
      <c r="AW899" s="671"/>
    </row>
    <row r="900" spans="15:49" x14ac:dyDescent="0.25">
      <c r="O900" t="s">
        <v>1535</v>
      </c>
      <c r="P900" t="s">
        <v>5270</v>
      </c>
      <c r="Q900" s="671">
        <v>62020</v>
      </c>
      <c r="R900" s="671"/>
      <c r="AT900" s="671"/>
      <c r="AU900" s="671"/>
      <c r="AV900" s="671"/>
      <c r="AW900" s="671"/>
    </row>
    <row r="901" spans="15:49" x14ac:dyDescent="0.25">
      <c r="O901" t="s">
        <v>1535</v>
      </c>
      <c r="P901" t="s">
        <v>5270</v>
      </c>
      <c r="Q901" s="671">
        <v>62020</v>
      </c>
      <c r="R901" s="671"/>
      <c r="AT901" s="671"/>
      <c r="AU901" s="671"/>
      <c r="AV901" s="671"/>
      <c r="AW901" s="671"/>
    </row>
    <row r="902" spans="15:49" x14ac:dyDescent="0.25">
      <c r="O902" t="s">
        <v>1542</v>
      </c>
      <c r="P902" t="s">
        <v>5270</v>
      </c>
      <c r="Q902" s="671">
        <v>62020</v>
      </c>
      <c r="R902" s="671"/>
      <c r="AT902" s="671"/>
      <c r="AU902" s="671"/>
      <c r="AV902" s="671"/>
      <c r="AW902" s="671"/>
    </row>
    <row r="903" spans="15:49" x14ac:dyDescent="0.25">
      <c r="O903" t="s">
        <v>1544</v>
      </c>
      <c r="P903" t="s">
        <v>5270</v>
      </c>
      <c r="Q903" s="671">
        <v>62020</v>
      </c>
      <c r="R903" s="671"/>
      <c r="AT903" s="671"/>
      <c r="AU903" s="671"/>
      <c r="AV903" s="671"/>
      <c r="AW903" s="671"/>
    </row>
    <row r="904" spans="15:49" x14ac:dyDescent="0.25">
      <c r="O904" t="s">
        <v>1544</v>
      </c>
      <c r="P904" t="s">
        <v>5270</v>
      </c>
      <c r="Q904" s="671">
        <v>62020</v>
      </c>
      <c r="R904" s="671"/>
      <c r="AT904" s="671"/>
      <c r="AU904" s="671"/>
      <c r="AV904" s="671"/>
      <c r="AW904" s="671"/>
    </row>
    <row r="905" spans="15:49" x14ac:dyDescent="0.25">
      <c r="O905" t="s">
        <v>1546</v>
      </c>
      <c r="P905" t="s">
        <v>5270</v>
      </c>
      <c r="Q905" s="671">
        <v>62020</v>
      </c>
      <c r="R905" s="671"/>
      <c r="AT905" s="671"/>
      <c r="AU905" s="671"/>
      <c r="AV905" s="671"/>
      <c r="AW905" s="671"/>
    </row>
    <row r="906" spans="15:49" x14ac:dyDescent="0.25">
      <c r="O906" t="s">
        <v>1546</v>
      </c>
      <c r="P906" t="s">
        <v>5270</v>
      </c>
      <c r="Q906" s="671">
        <v>62020</v>
      </c>
      <c r="R906" s="671"/>
      <c r="AT906" s="671"/>
      <c r="AU906" s="671"/>
      <c r="AV906" s="671"/>
      <c r="AW906" s="671"/>
    </row>
    <row r="907" spans="15:49" x14ac:dyDescent="0.25">
      <c r="O907" t="s">
        <v>1546</v>
      </c>
      <c r="P907" t="s">
        <v>5270</v>
      </c>
      <c r="Q907" s="671">
        <v>62020</v>
      </c>
      <c r="R907" s="671"/>
      <c r="AT907" s="671"/>
      <c r="AU907" s="671"/>
      <c r="AV907" s="671"/>
      <c r="AW907" s="671"/>
    </row>
    <row r="908" spans="15:49" x14ac:dyDescent="0.25">
      <c r="O908" t="s">
        <v>1546</v>
      </c>
      <c r="P908" t="s">
        <v>5270</v>
      </c>
      <c r="Q908" s="671">
        <v>62020</v>
      </c>
      <c r="R908" s="671"/>
      <c r="AT908" s="671"/>
      <c r="AU908" s="671"/>
      <c r="AV908" s="671"/>
      <c r="AW908" s="671"/>
    </row>
    <row r="909" spans="15:49" x14ac:dyDescent="0.25">
      <c r="O909" t="s">
        <v>1531</v>
      </c>
      <c r="P909" t="s">
        <v>5270</v>
      </c>
      <c r="Q909" s="671">
        <v>62020</v>
      </c>
      <c r="R909" s="671"/>
      <c r="AT909" s="671"/>
      <c r="AU909" s="671"/>
      <c r="AV909" s="671"/>
      <c r="AW909" s="671"/>
    </row>
    <row r="910" spans="15:49" x14ac:dyDescent="0.25">
      <c r="O910" t="s">
        <v>1531</v>
      </c>
      <c r="P910" t="s">
        <v>5270</v>
      </c>
      <c r="Q910" s="671">
        <v>62020</v>
      </c>
      <c r="R910" s="671"/>
      <c r="AT910" s="671"/>
      <c r="AU910" s="671"/>
      <c r="AV910" s="671"/>
      <c r="AW910" s="671"/>
    </row>
    <row r="911" spans="15:49" x14ac:dyDescent="0.25">
      <c r="O911" t="s">
        <v>1527</v>
      </c>
      <c r="P911" t="s">
        <v>5270</v>
      </c>
      <c r="Q911" s="671">
        <v>62020</v>
      </c>
      <c r="R911" s="671"/>
      <c r="AT911" s="671"/>
      <c r="AU911" s="671"/>
      <c r="AV911" s="671"/>
      <c r="AW911" s="671"/>
    </row>
    <row r="912" spans="15:49" x14ac:dyDescent="0.25">
      <c r="O912" t="s">
        <v>1527</v>
      </c>
      <c r="P912" t="s">
        <v>5270</v>
      </c>
      <c r="Q912" s="671">
        <v>62020</v>
      </c>
      <c r="R912" s="671"/>
      <c r="AT912" s="671"/>
      <c r="AU912" s="671"/>
      <c r="AV912" s="671"/>
      <c r="AW912" s="671"/>
    </row>
    <row r="913" spans="15:49" x14ac:dyDescent="0.25">
      <c r="O913" t="s">
        <v>1498</v>
      </c>
      <c r="P913" t="s">
        <v>5270</v>
      </c>
      <c r="Q913" s="671">
        <v>62020</v>
      </c>
      <c r="R913" s="671"/>
      <c r="AT913" s="671"/>
      <c r="AU913" s="671"/>
      <c r="AV913" s="671"/>
      <c r="AW913" s="671"/>
    </row>
    <row r="914" spans="15:49" x14ac:dyDescent="0.25">
      <c r="O914" t="s">
        <v>1498</v>
      </c>
      <c r="P914" t="s">
        <v>5270</v>
      </c>
      <c r="Q914" s="671">
        <v>62020</v>
      </c>
      <c r="R914" s="671"/>
      <c r="AT914" s="671"/>
      <c r="AU914" s="671"/>
      <c r="AV914" s="671"/>
      <c r="AW914" s="671"/>
    </row>
    <row r="915" spans="15:49" x14ac:dyDescent="0.25">
      <c r="O915" t="s">
        <v>1498</v>
      </c>
      <c r="P915" t="s">
        <v>5270</v>
      </c>
      <c r="Q915" s="671">
        <v>62020</v>
      </c>
      <c r="R915" s="671"/>
      <c r="AT915" s="671"/>
      <c r="AU915" s="671"/>
      <c r="AV915" s="671"/>
      <c r="AW915" s="671"/>
    </row>
    <row r="916" spans="15:49" x14ac:dyDescent="0.25">
      <c r="O916" t="s">
        <v>1433</v>
      </c>
      <c r="P916" t="s">
        <v>5270</v>
      </c>
      <c r="Q916" s="671">
        <v>62020</v>
      </c>
      <c r="R916" s="671"/>
      <c r="AT916" s="671"/>
      <c r="AU916" s="671"/>
      <c r="AV916" s="671"/>
      <c r="AW916" s="671"/>
    </row>
    <row r="917" spans="15:49" x14ac:dyDescent="0.25">
      <c r="O917" t="s">
        <v>1437</v>
      </c>
      <c r="P917" t="s">
        <v>5270</v>
      </c>
      <c r="Q917" s="671">
        <v>62020</v>
      </c>
      <c r="R917" s="671"/>
      <c r="AT917" s="671"/>
      <c r="AU917" s="671"/>
      <c r="AV917" s="671"/>
      <c r="AW917" s="671"/>
    </row>
    <row r="918" spans="15:49" x14ac:dyDescent="0.25">
      <c r="O918" t="s">
        <v>1437</v>
      </c>
      <c r="P918" t="s">
        <v>5270</v>
      </c>
      <c r="Q918" s="671">
        <v>62020</v>
      </c>
      <c r="R918" s="671"/>
      <c r="AT918" s="671"/>
      <c r="AU918" s="671"/>
      <c r="AV918" s="671"/>
      <c r="AW918" s="671"/>
    </row>
    <row r="919" spans="15:49" x14ac:dyDescent="0.25">
      <c r="O919" t="s">
        <v>1437</v>
      </c>
      <c r="P919" t="s">
        <v>5270</v>
      </c>
      <c r="Q919" s="671">
        <v>62020</v>
      </c>
      <c r="R919" s="671"/>
      <c r="AT919" s="671"/>
      <c r="AU919" s="671"/>
      <c r="AV919" s="671"/>
      <c r="AW919" s="671"/>
    </row>
    <row r="920" spans="15:49" x14ac:dyDescent="0.25">
      <c r="O920" t="s">
        <v>1425</v>
      </c>
      <c r="P920" t="s">
        <v>5270</v>
      </c>
      <c r="Q920" s="671">
        <v>62020</v>
      </c>
      <c r="R920" s="671"/>
      <c r="AT920" s="671"/>
      <c r="AU920" s="671"/>
      <c r="AV920" s="671"/>
      <c r="AW920" s="671"/>
    </row>
    <row r="921" spans="15:49" x14ac:dyDescent="0.25">
      <c r="O921" t="s">
        <v>1425</v>
      </c>
      <c r="P921" t="s">
        <v>5270</v>
      </c>
      <c r="Q921" s="671">
        <v>62020</v>
      </c>
      <c r="R921" s="671"/>
      <c r="AT921" s="671"/>
      <c r="AU921" s="671"/>
      <c r="AV921" s="671"/>
      <c r="AW921" s="671"/>
    </row>
    <row r="922" spans="15:49" x14ac:dyDescent="0.25">
      <c r="O922" t="s">
        <v>1425</v>
      </c>
      <c r="P922" t="s">
        <v>5270</v>
      </c>
      <c r="Q922" s="671">
        <v>62020</v>
      </c>
      <c r="R922" s="671"/>
      <c r="AT922" s="671"/>
      <c r="AU922" s="671"/>
      <c r="AV922" s="671"/>
      <c r="AW922" s="671"/>
    </row>
    <row r="923" spans="15:49" x14ac:dyDescent="0.25">
      <c r="O923" t="s">
        <v>1425</v>
      </c>
      <c r="P923" t="s">
        <v>5270</v>
      </c>
      <c r="Q923" s="671">
        <v>62020</v>
      </c>
      <c r="R923" s="671"/>
      <c r="AT923" s="671"/>
      <c r="AU923" s="671"/>
      <c r="AV923" s="671"/>
      <c r="AW923" s="671"/>
    </row>
    <row r="924" spans="15:49" x14ac:dyDescent="0.25">
      <c r="O924" t="s">
        <v>1415</v>
      </c>
      <c r="P924" t="s">
        <v>5270</v>
      </c>
      <c r="Q924" s="671">
        <v>62020</v>
      </c>
      <c r="R924" s="671"/>
      <c r="AT924" s="671"/>
      <c r="AU924" s="671"/>
      <c r="AV924" s="671"/>
      <c r="AW924" s="671"/>
    </row>
    <row r="925" spans="15:49" x14ac:dyDescent="0.25">
      <c r="O925" t="s">
        <v>1419</v>
      </c>
      <c r="P925" t="s">
        <v>5270</v>
      </c>
      <c r="Q925" s="671">
        <v>62020</v>
      </c>
      <c r="R925" s="671"/>
      <c r="AT925" s="671"/>
      <c r="AU925" s="671"/>
      <c r="AV925" s="671"/>
      <c r="AW925" s="671"/>
    </row>
    <row r="926" spans="15:49" x14ac:dyDescent="0.25">
      <c r="O926" t="s">
        <v>1419</v>
      </c>
      <c r="P926" t="s">
        <v>5270</v>
      </c>
      <c r="Q926" s="671">
        <v>62020</v>
      </c>
      <c r="R926" s="671"/>
      <c r="AT926" s="671"/>
      <c r="AU926" s="671"/>
      <c r="AV926" s="671"/>
      <c r="AW926" s="671"/>
    </row>
    <row r="927" spans="15:49" x14ac:dyDescent="0.25">
      <c r="O927" t="s">
        <v>2959</v>
      </c>
      <c r="P927" t="s">
        <v>5271</v>
      </c>
      <c r="Q927" s="671">
        <v>62025</v>
      </c>
      <c r="R927" s="671"/>
      <c r="AT927" s="671"/>
      <c r="AU927" s="671"/>
      <c r="AV927" s="671"/>
      <c r="AW927" s="671"/>
    </row>
    <row r="928" spans="15:49" x14ac:dyDescent="0.25">
      <c r="O928" t="s">
        <v>2959</v>
      </c>
      <c r="P928" t="s">
        <v>5271</v>
      </c>
      <c r="Q928" s="671">
        <v>62025</v>
      </c>
      <c r="R928" s="671"/>
      <c r="AT928" s="671"/>
      <c r="AU928" s="671"/>
      <c r="AV928" s="671"/>
      <c r="AW928" s="671"/>
    </row>
    <row r="929" spans="15:49" x14ac:dyDescent="0.25">
      <c r="O929" t="s">
        <v>2964</v>
      </c>
      <c r="P929" t="s">
        <v>5271</v>
      </c>
      <c r="Q929" s="671">
        <v>62025</v>
      </c>
      <c r="R929" s="671"/>
      <c r="AT929" s="671"/>
      <c r="AU929" s="671"/>
      <c r="AV929" s="671"/>
      <c r="AW929" s="671"/>
    </row>
    <row r="930" spans="15:49" x14ac:dyDescent="0.25">
      <c r="O930" t="s">
        <v>2964</v>
      </c>
      <c r="P930" t="s">
        <v>5271</v>
      </c>
      <c r="Q930" s="671">
        <v>62025</v>
      </c>
      <c r="R930" s="671"/>
      <c r="AT930" s="671"/>
      <c r="AU930" s="671"/>
      <c r="AV930" s="671"/>
      <c r="AW930" s="671"/>
    </row>
    <row r="931" spans="15:49" x14ac:dyDescent="0.25">
      <c r="O931" t="s">
        <v>2964</v>
      </c>
      <c r="P931" t="s">
        <v>5271</v>
      </c>
      <c r="Q931" s="671">
        <v>62025</v>
      </c>
      <c r="R931" s="671"/>
      <c r="AT931" s="671"/>
      <c r="AU931" s="671"/>
      <c r="AV931" s="671"/>
      <c r="AW931" s="671"/>
    </row>
    <row r="932" spans="15:49" x14ac:dyDescent="0.25">
      <c r="O932" t="s">
        <v>2964</v>
      </c>
      <c r="P932" t="s">
        <v>5271</v>
      </c>
      <c r="Q932" s="671">
        <v>62025</v>
      </c>
      <c r="R932" s="671"/>
      <c r="AT932" s="671"/>
      <c r="AU932" s="671"/>
      <c r="AV932" s="671"/>
      <c r="AW932" s="671"/>
    </row>
    <row r="933" spans="15:49" x14ac:dyDescent="0.25">
      <c r="O933" t="s">
        <v>2964</v>
      </c>
      <c r="P933" t="s">
        <v>5271</v>
      </c>
      <c r="Q933" s="671">
        <v>62025</v>
      </c>
      <c r="R933" s="671"/>
      <c r="AT933" s="671"/>
      <c r="AU933" s="671"/>
      <c r="AV933" s="671"/>
      <c r="AW933" s="671"/>
    </row>
    <row r="934" spans="15:49" x14ac:dyDescent="0.25">
      <c r="O934" t="s">
        <v>2964</v>
      </c>
      <c r="P934" t="s">
        <v>5271</v>
      </c>
      <c r="Q934" s="671">
        <v>62025</v>
      </c>
      <c r="R934" s="671"/>
      <c r="AT934" s="671"/>
      <c r="AU934" s="671"/>
      <c r="AV934" s="671"/>
      <c r="AW934" s="671"/>
    </row>
    <row r="935" spans="15:49" x14ac:dyDescent="0.25">
      <c r="O935" t="s">
        <v>2964</v>
      </c>
      <c r="P935" t="s">
        <v>5271</v>
      </c>
      <c r="Q935" s="671">
        <v>62025</v>
      </c>
      <c r="R935" s="671"/>
      <c r="AT935" s="671"/>
      <c r="AU935" s="671"/>
      <c r="AV935" s="671"/>
      <c r="AW935" s="671"/>
    </row>
    <row r="936" spans="15:49" x14ac:dyDescent="0.25">
      <c r="O936" t="s">
        <v>2964</v>
      </c>
      <c r="P936" t="s">
        <v>5271</v>
      </c>
      <c r="Q936" s="671">
        <v>62025</v>
      </c>
      <c r="R936" s="671"/>
      <c r="AT936" s="671"/>
      <c r="AU936" s="671"/>
      <c r="AV936" s="671"/>
      <c r="AW936" s="671"/>
    </row>
    <row r="937" spans="15:49" x14ac:dyDescent="0.25">
      <c r="O937" t="s">
        <v>2957</v>
      </c>
      <c r="P937" t="s">
        <v>5271</v>
      </c>
      <c r="Q937" s="671">
        <v>62025</v>
      </c>
      <c r="R937" s="671"/>
      <c r="AT937" s="671"/>
      <c r="AU937" s="671"/>
      <c r="AV937" s="671"/>
      <c r="AW937" s="671"/>
    </row>
    <row r="938" spans="15:49" x14ac:dyDescent="0.25">
      <c r="O938" t="s">
        <v>2953</v>
      </c>
      <c r="P938" t="s">
        <v>5271</v>
      </c>
      <c r="Q938" s="671">
        <v>62025</v>
      </c>
      <c r="R938" s="671"/>
      <c r="AT938" s="671"/>
      <c r="AU938" s="671"/>
      <c r="AV938" s="671"/>
      <c r="AW938" s="671"/>
    </row>
    <row r="939" spans="15:49" x14ac:dyDescent="0.25">
      <c r="O939" t="s">
        <v>2953</v>
      </c>
      <c r="P939" t="s">
        <v>5271</v>
      </c>
      <c r="Q939" s="671">
        <v>62025</v>
      </c>
      <c r="R939" s="671"/>
      <c r="AT939" s="671"/>
      <c r="AU939" s="671"/>
      <c r="AV939" s="671"/>
      <c r="AW939" s="671"/>
    </row>
    <row r="940" spans="15:49" x14ac:dyDescent="0.25">
      <c r="O940" t="s">
        <v>2945</v>
      </c>
      <c r="P940" t="s">
        <v>5271</v>
      </c>
      <c r="Q940" s="671">
        <v>62025</v>
      </c>
      <c r="R940" s="671"/>
      <c r="AT940" s="671"/>
      <c r="AU940" s="671"/>
      <c r="AV940" s="671"/>
      <c r="AW940" s="671"/>
    </row>
    <row r="941" spans="15:49" x14ac:dyDescent="0.25">
      <c r="O941" t="s">
        <v>2945</v>
      </c>
      <c r="P941" t="s">
        <v>5271</v>
      </c>
      <c r="Q941" s="671">
        <v>62025</v>
      </c>
      <c r="R941" s="671"/>
      <c r="AT941" s="671"/>
      <c r="AU941" s="671"/>
      <c r="AV941" s="671"/>
      <c r="AW941" s="671"/>
    </row>
    <row r="942" spans="15:49" x14ac:dyDescent="0.25">
      <c r="O942" t="s">
        <v>2945</v>
      </c>
      <c r="P942" t="s">
        <v>5271</v>
      </c>
      <c r="Q942" s="671">
        <v>62025</v>
      </c>
      <c r="R942" s="671"/>
      <c r="AT942" s="671"/>
      <c r="AU942" s="671"/>
      <c r="AV942" s="671"/>
      <c r="AW942" s="671"/>
    </row>
    <row r="943" spans="15:49" x14ac:dyDescent="0.25">
      <c r="O943" t="s">
        <v>2945</v>
      </c>
      <c r="P943" t="s">
        <v>5271</v>
      </c>
      <c r="Q943" s="671">
        <v>62025</v>
      </c>
      <c r="R943" s="671"/>
      <c r="AT943" s="671"/>
      <c r="AU943" s="671"/>
      <c r="AV943" s="671"/>
      <c r="AW943" s="671"/>
    </row>
    <row r="944" spans="15:49" x14ac:dyDescent="0.25">
      <c r="O944" t="s">
        <v>2936</v>
      </c>
      <c r="P944" t="s">
        <v>5271</v>
      </c>
      <c r="Q944" s="671">
        <v>62025</v>
      </c>
      <c r="R944" s="671"/>
      <c r="AT944" s="671"/>
      <c r="AU944" s="671"/>
      <c r="AV944" s="671"/>
      <c r="AW944" s="671"/>
    </row>
    <row r="945" spans="15:49" x14ac:dyDescent="0.25">
      <c r="O945" t="s">
        <v>2936</v>
      </c>
      <c r="P945" t="s">
        <v>5271</v>
      </c>
      <c r="Q945" s="671">
        <v>62025</v>
      </c>
      <c r="R945" s="671"/>
      <c r="AT945" s="671"/>
      <c r="AU945" s="671"/>
      <c r="AV945" s="671"/>
      <c r="AW945" s="671"/>
    </row>
    <row r="946" spans="15:49" x14ac:dyDescent="0.25">
      <c r="O946" t="s">
        <v>2936</v>
      </c>
      <c r="P946" t="s">
        <v>5271</v>
      </c>
      <c r="Q946" s="671">
        <v>62025</v>
      </c>
      <c r="R946" s="671"/>
      <c r="AT946" s="671"/>
      <c r="AU946" s="671"/>
      <c r="AV946" s="671"/>
      <c r="AW946" s="671"/>
    </row>
    <row r="947" spans="15:49" x14ac:dyDescent="0.25">
      <c r="O947" t="s">
        <v>2972</v>
      </c>
      <c r="P947" t="s">
        <v>5271</v>
      </c>
      <c r="Q947" s="671">
        <v>62025</v>
      </c>
      <c r="R947" s="671"/>
      <c r="AT947" s="671"/>
      <c r="AU947" s="671"/>
      <c r="AV947" s="671"/>
      <c r="AW947" s="671"/>
    </row>
    <row r="948" spans="15:49" x14ac:dyDescent="0.25">
      <c r="O948" t="s">
        <v>2974</v>
      </c>
      <c r="P948" t="s">
        <v>5271</v>
      </c>
      <c r="Q948" s="671">
        <v>62025</v>
      </c>
      <c r="R948" s="671"/>
      <c r="AT948" s="671"/>
      <c r="AU948" s="671"/>
      <c r="AV948" s="671"/>
      <c r="AW948" s="671"/>
    </row>
    <row r="949" spans="15:49" x14ac:dyDescent="0.25">
      <c r="O949" t="s">
        <v>2978</v>
      </c>
      <c r="P949" t="s">
        <v>5271</v>
      </c>
      <c r="Q949" s="671">
        <v>62025</v>
      </c>
      <c r="R949" s="671"/>
      <c r="AT949" s="671"/>
      <c r="AU949" s="671"/>
      <c r="AV949" s="671"/>
      <c r="AW949" s="671"/>
    </row>
    <row r="950" spans="15:49" x14ac:dyDescent="0.25">
      <c r="O950" t="s">
        <v>2978</v>
      </c>
      <c r="P950" t="s">
        <v>5271</v>
      </c>
      <c r="Q950" s="671">
        <v>62025</v>
      </c>
      <c r="R950" s="671"/>
      <c r="AT950" s="671"/>
      <c r="AU950" s="671"/>
      <c r="AV950" s="671"/>
      <c r="AW950" s="671"/>
    </row>
    <row r="951" spans="15:49" x14ac:dyDescent="0.25">
      <c r="O951" t="s">
        <v>2978</v>
      </c>
      <c r="P951" t="s">
        <v>5271</v>
      </c>
      <c r="Q951" s="671">
        <v>62025</v>
      </c>
      <c r="R951" s="671"/>
      <c r="AT951" s="671"/>
      <c r="AU951" s="671"/>
      <c r="AV951" s="671"/>
      <c r="AW951" s="671"/>
    </row>
    <row r="952" spans="15:49" x14ac:dyDescent="0.25">
      <c r="O952" t="s">
        <v>2978</v>
      </c>
      <c r="P952" t="s">
        <v>5271</v>
      </c>
      <c r="Q952" s="671">
        <v>62025</v>
      </c>
      <c r="R952" s="671"/>
      <c r="AT952" s="671"/>
      <c r="AU952" s="671"/>
      <c r="AV952" s="671"/>
      <c r="AW952" s="671"/>
    </row>
    <row r="953" spans="15:49" x14ac:dyDescent="0.25">
      <c r="O953" t="s">
        <v>2978</v>
      </c>
      <c r="P953" t="s">
        <v>5271</v>
      </c>
      <c r="Q953" s="671">
        <v>62025</v>
      </c>
      <c r="R953" s="671"/>
      <c r="AT953" s="671"/>
      <c r="AU953" s="671"/>
      <c r="AV953" s="671"/>
      <c r="AW953" s="671"/>
    </row>
    <row r="954" spans="15:49" x14ac:dyDescent="0.25">
      <c r="O954" t="s">
        <v>2978</v>
      </c>
      <c r="P954" t="s">
        <v>5271</v>
      </c>
      <c r="Q954" s="671">
        <v>62025</v>
      </c>
      <c r="R954" s="671"/>
      <c r="AT954" s="671"/>
      <c r="AU954" s="671"/>
      <c r="AV954" s="671"/>
      <c r="AW954" s="671"/>
    </row>
    <row r="955" spans="15:49" x14ac:dyDescent="0.25">
      <c r="O955" t="s">
        <v>2978</v>
      </c>
      <c r="P955" t="s">
        <v>5271</v>
      </c>
      <c r="Q955" s="671">
        <v>62025</v>
      </c>
      <c r="R955" s="671"/>
      <c r="AT955" s="671"/>
      <c r="AU955" s="671"/>
      <c r="AV955" s="671"/>
      <c r="AW955" s="671"/>
    </row>
    <row r="956" spans="15:49" x14ac:dyDescent="0.25">
      <c r="O956" t="s">
        <v>2978</v>
      </c>
      <c r="P956" t="s">
        <v>5271</v>
      </c>
      <c r="Q956" s="671">
        <v>62025</v>
      </c>
      <c r="R956" s="671"/>
      <c r="AT956" s="671"/>
      <c r="AU956" s="671"/>
      <c r="AV956" s="671"/>
      <c r="AW956" s="671"/>
    </row>
    <row r="957" spans="15:49" x14ac:dyDescent="0.25">
      <c r="O957" t="s">
        <v>2968</v>
      </c>
      <c r="P957" t="s">
        <v>5271</v>
      </c>
      <c r="Q957" s="671">
        <v>62025</v>
      </c>
      <c r="R957" s="671"/>
      <c r="AT957" s="671"/>
      <c r="AU957" s="671"/>
      <c r="AV957" s="671"/>
      <c r="AW957" s="671"/>
    </row>
    <row r="958" spans="15:49" x14ac:dyDescent="0.25">
      <c r="O958" t="s">
        <v>2982</v>
      </c>
      <c r="P958" t="s">
        <v>5271</v>
      </c>
      <c r="Q958" s="671">
        <v>62025</v>
      </c>
      <c r="R958" s="671"/>
      <c r="AT958" s="671"/>
      <c r="AU958" s="671"/>
      <c r="AV958" s="671"/>
      <c r="AW958" s="671"/>
    </row>
    <row r="959" spans="15:49" x14ac:dyDescent="0.25">
      <c r="O959" t="s">
        <v>2980</v>
      </c>
      <c r="P959" t="s">
        <v>5271</v>
      </c>
      <c r="Q959" s="671">
        <v>62025</v>
      </c>
      <c r="R959" s="671"/>
      <c r="AT959" s="671"/>
      <c r="AU959" s="671"/>
      <c r="AV959" s="671"/>
      <c r="AW959" s="671"/>
    </row>
    <row r="960" spans="15:49" x14ac:dyDescent="0.25">
      <c r="O960" t="s">
        <v>1758</v>
      </c>
      <c r="P960" t="s">
        <v>5272</v>
      </c>
      <c r="Q960" s="671">
        <v>62031</v>
      </c>
      <c r="R960" s="671"/>
      <c r="AT960" s="671"/>
      <c r="AU960" s="671"/>
      <c r="AV960" s="671"/>
      <c r="AW960" s="671"/>
    </row>
    <row r="961" spans="15:49" x14ac:dyDescent="0.25">
      <c r="O961" t="s">
        <v>1758</v>
      </c>
      <c r="P961" t="s">
        <v>5272</v>
      </c>
      <c r="Q961" s="671">
        <v>62031</v>
      </c>
      <c r="R961" s="671"/>
      <c r="AT961" s="671"/>
      <c r="AU961" s="671"/>
      <c r="AV961" s="671"/>
      <c r="AW961" s="671"/>
    </row>
    <row r="962" spans="15:49" x14ac:dyDescent="0.25">
      <c r="O962" t="s">
        <v>1758</v>
      </c>
      <c r="P962" t="s">
        <v>5272</v>
      </c>
      <c r="Q962" s="671">
        <v>62031</v>
      </c>
      <c r="R962" s="671"/>
      <c r="AT962" s="671"/>
      <c r="AU962" s="671"/>
      <c r="AV962" s="671"/>
      <c r="AW962" s="671"/>
    </row>
    <row r="963" spans="15:49" x14ac:dyDescent="0.25">
      <c r="O963" t="s">
        <v>1758</v>
      </c>
      <c r="P963" t="s">
        <v>5265</v>
      </c>
      <c r="Q963" s="671">
        <v>62030</v>
      </c>
      <c r="R963" s="671"/>
      <c r="AT963" s="671"/>
      <c r="AU963" s="671"/>
      <c r="AV963" s="671"/>
      <c r="AW963" s="671"/>
    </row>
    <row r="964" spans="15:49" x14ac:dyDescent="0.25">
      <c r="O964" t="s">
        <v>1758</v>
      </c>
      <c r="P964" t="s">
        <v>5272</v>
      </c>
      <c r="Q964" s="671">
        <v>62031</v>
      </c>
      <c r="R964" s="671"/>
      <c r="AT964" s="671"/>
      <c r="AU964" s="671"/>
      <c r="AV964" s="671"/>
      <c r="AW964" s="671"/>
    </row>
    <row r="965" spans="15:49" x14ac:dyDescent="0.25">
      <c r="O965" t="s">
        <v>1751</v>
      </c>
      <c r="P965" t="s">
        <v>5272</v>
      </c>
      <c r="Q965" s="671">
        <v>62031</v>
      </c>
      <c r="R965" s="671"/>
      <c r="AT965" s="671"/>
      <c r="AU965" s="671"/>
      <c r="AV965" s="671"/>
      <c r="AW965" s="671"/>
    </row>
    <row r="966" spans="15:49" x14ac:dyDescent="0.25">
      <c r="O966" t="s">
        <v>1751</v>
      </c>
      <c r="P966" t="s">
        <v>5273</v>
      </c>
      <c r="Q966" s="671">
        <v>62039</v>
      </c>
      <c r="R966" s="671"/>
      <c r="AT966" s="671"/>
      <c r="AU966" s="671"/>
      <c r="AV966" s="671"/>
      <c r="AW966" s="671"/>
    </row>
    <row r="967" spans="15:49" x14ac:dyDescent="0.25">
      <c r="O967" t="s">
        <v>1774</v>
      </c>
      <c r="P967" t="s">
        <v>5272</v>
      </c>
      <c r="Q967" s="671">
        <v>62031</v>
      </c>
      <c r="R967" s="671"/>
      <c r="AT967" s="671"/>
      <c r="AU967" s="671"/>
      <c r="AV967" s="671"/>
      <c r="AW967" s="671"/>
    </row>
    <row r="968" spans="15:49" x14ac:dyDescent="0.25">
      <c r="O968" t="s">
        <v>1774</v>
      </c>
      <c r="P968" t="s">
        <v>5272</v>
      </c>
      <c r="Q968" s="671">
        <v>62031</v>
      </c>
      <c r="R968" s="671"/>
      <c r="AT968" s="671"/>
      <c r="AU968" s="671"/>
      <c r="AV968" s="671"/>
      <c r="AW968" s="671"/>
    </row>
    <row r="969" spans="15:49" x14ac:dyDescent="0.25">
      <c r="O969" t="s">
        <v>1774</v>
      </c>
      <c r="P969" t="s">
        <v>5272</v>
      </c>
      <c r="Q969" s="671">
        <v>62031</v>
      </c>
      <c r="R969" s="671"/>
      <c r="AT969" s="671"/>
      <c r="AU969" s="671"/>
      <c r="AV969" s="671"/>
      <c r="AW969" s="671"/>
    </row>
    <row r="970" spans="15:49" x14ac:dyDescent="0.25">
      <c r="O970" t="s">
        <v>1774</v>
      </c>
      <c r="P970" t="s">
        <v>5272</v>
      </c>
      <c r="Q970" s="671">
        <v>62031</v>
      </c>
      <c r="R970" s="671"/>
      <c r="AT970" s="671"/>
      <c r="AU970" s="671"/>
      <c r="AV970" s="671"/>
      <c r="AW970" s="671"/>
    </row>
    <row r="971" spans="15:49" x14ac:dyDescent="0.25">
      <c r="O971" t="s">
        <v>1770</v>
      </c>
      <c r="P971" t="s">
        <v>5272</v>
      </c>
      <c r="Q971" s="671">
        <v>62031</v>
      </c>
      <c r="R971" s="671"/>
      <c r="AT971" s="671"/>
      <c r="AU971" s="671"/>
      <c r="AV971" s="671"/>
      <c r="AW971" s="671"/>
    </row>
    <row r="972" spans="15:49" x14ac:dyDescent="0.25">
      <c r="O972" t="s">
        <v>2477</v>
      </c>
      <c r="P972" t="s">
        <v>5274</v>
      </c>
      <c r="Q972" s="671">
        <v>62036</v>
      </c>
      <c r="R972" s="671"/>
      <c r="AT972" s="671"/>
      <c r="AU972" s="671"/>
      <c r="AV972" s="671"/>
      <c r="AW972" s="671"/>
    </row>
    <row r="973" spans="15:49" x14ac:dyDescent="0.25">
      <c r="O973" t="s">
        <v>2477</v>
      </c>
      <c r="P973" t="s">
        <v>5274</v>
      </c>
      <c r="Q973" s="671">
        <v>62035</v>
      </c>
      <c r="R973" s="671"/>
      <c r="AT973" s="671"/>
      <c r="AU973" s="671"/>
      <c r="AV973" s="671"/>
      <c r="AW973" s="671"/>
    </row>
    <row r="974" spans="15:49" x14ac:dyDescent="0.25">
      <c r="O974" t="s">
        <v>2479</v>
      </c>
      <c r="P974" t="s">
        <v>5274</v>
      </c>
      <c r="Q974" s="671">
        <v>62036</v>
      </c>
      <c r="R974" s="671"/>
      <c r="AT974" s="671"/>
      <c r="AU974" s="671"/>
      <c r="AV974" s="671"/>
      <c r="AW974" s="671"/>
    </row>
    <row r="975" spans="15:49" x14ac:dyDescent="0.25">
      <c r="O975" t="s">
        <v>2481</v>
      </c>
      <c r="P975" t="s">
        <v>5274</v>
      </c>
      <c r="Q975" s="671">
        <v>62036</v>
      </c>
      <c r="R975" s="671"/>
      <c r="AT975" s="671"/>
      <c r="AU975" s="671"/>
      <c r="AV975" s="671"/>
      <c r="AW975" s="671"/>
    </row>
    <row r="976" spans="15:49" x14ac:dyDescent="0.25">
      <c r="O976" t="s">
        <v>2485</v>
      </c>
      <c r="P976" t="s">
        <v>5274</v>
      </c>
      <c r="Q976" s="671">
        <v>62036</v>
      </c>
      <c r="R976" s="671"/>
      <c r="AT976" s="671"/>
      <c r="AU976" s="671"/>
      <c r="AV976" s="671"/>
      <c r="AW976" s="671"/>
    </row>
    <row r="977" spans="15:49" x14ac:dyDescent="0.25">
      <c r="O977" t="s">
        <v>2489</v>
      </c>
      <c r="P977" t="s">
        <v>5274</v>
      </c>
      <c r="Q977" s="671">
        <v>62036</v>
      </c>
      <c r="R977" s="671"/>
      <c r="AT977" s="671"/>
      <c r="AU977" s="671"/>
      <c r="AV977" s="671"/>
      <c r="AW977" s="671"/>
    </row>
    <row r="978" spans="15:49" x14ac:dyDescent="0.25">
      <c r="O978" t="s">
        <v>2521</v>
      </c>
      <c r="P978" t="s">
        <v>5274</v>
      </c>
      <c r="Q978" s="671">
        <v>62039</v>
      </c>
      <c r="R978" s="671"/>
      <c r="AT978" s="671"/>
      <c r="AU978" s="671"/>
      <c r="AV978" s="671"/>
      <c r="AW978" s="671"/>
    </row>
    <row r="979" spans="15:49" x14ac:dyDescent="0.25">
      <c r="O979" t="s">
        <v>2532</v>
      </c>
      <c r="P979" t="s">
        <v>5274</v>
      </c>
      <c r="Q979" s="671">
        <v>62039</v>
      </c>
      <c r="R979" s="671"/>
      <c r="AT979" s="671"/>
      <c r="AU979" s="671"/>
      <c r="AV979" s="671"/>
      <c r="AW979" s="671"/>
    </row>
    <row r="980" spans="15:49" x14ac:dyDescent="0.25">
      <c r="O980" t="s">
        <v>2532</v>
      </c>
      <c r="P980" t="s">
        <v>5274</v>
      </c>
      <c r="Q980" s="671">
        <v>62039</v>
      </c>
      <c r="R980" s="671"/>
      <c r="AT980" s="671"/>
      <c r="AU980" s="671"/>
      <c r="AV980" s="671"/>
      <c r="AW980" s="671"/>
    </row>
    <row r="981" spans="15:49" x14ac:dyDescent="0.25">
      <c r="O981" t="s">
        <v>2532</v>
      </c>
      <c r="P981" t="s">
        <v>5274</v>
      </c>
      <c r="Q981" s="671">
        <v>62039</v>
      </c>
      <c r="R981" s="671"/>
      <c r="AT981" s="671"/>
      <c r="AU981" s="671"/>
      <c r="AV981" s="671"/>
      <c r="AW981" s="671"/>
    </row>
    <row r="982" spans="15:49" x14ac:dyDescent="0.25">
      <c r="O982" t="s">
        <v>2532</v>
      </c>
      <c r="P982" t="s">
        <v>5274</v>
      </c>
      <c r="Q982" s="671">
        <v>62039</v>
      </c>
      <c r="R982" s="671"/>
      <c r="AT982" s="671"/>
      <c r="AU982" s="671"/>
      <c r="AV982" s="671"/>
      <c r="AW982" s="671"/>
    </row>
    <row r="983" spans="15:49" x14ac:dyDescent="0.25">
      <c r="O983" t="s">
        <v>2532</v>
      </c>
      <c r="P983" t="s">
        <v>5274</v>
      </c>
      <c r="Q983" s="671">
        <v>62039</v>
      </c>
      <c r="R983" s="671"/>
      <c r="AT983" s="671"/>
      <c r="AU983" s="671"/>
      <c r="AV983" s="671"/>
      <c r="AW983" s="671"/>
    </row>
    <row r="984" spans="15:49" x14ac:dyDescent="0.25">
      <c r="O984" t="s">
        <v>2532</v>
      </c>
      <c r="P984" t="s">
        <v>5274</v>
      </c>
      <c r="Q984" s="671">
        <v>62039</v>
      </c>
      <c r="R984" s="671"/>
      <c r="AT984" s="671"/>
      <c r="AU984" s="671"/>
      <c r="AV984" s="671"/>
      <c r="AW984" s="671"/>
    </row>
    <row r="985" spans="15:49" x14ac:dyDescent="0.25">
      <c r="O985" t="s">
        <v>2532</v>
      </c>
      <c r="P985" t="s">
        <v>5274</v>
      </c>
      <c r="Q985" s="671">
        <v>62039</v>
      </c>
      <c r="R985" s="671"/>
      <c r="AT985" s="671"/>
      <c r="AU985" s="671"/>
      <c r="AV985" s="671"/>
      <c r="AW985" s="671"/>
    </row>
    <row r="986" spans="15:49" x14ac:dyDescent="0.25">
      <c r="O986" t="s">
        <v>2532</v>
      </c>
      <c r="P986" t="s">
        <v>5274</v>
      </c>
      <c r="Q986" s="671">
        <v>62039</v>
      </c>
      <c r="R986" s="671"/>
      <c r="AT986" s="671"/>
      <c r="AU986" s="671"/>
      <c r="AV986" s="671"/>
      <c r="AW986" s="671"/>
    </row>
    <row r="987" spans="15:49" x14ac:dyDescent="0.25">
      <c r="O987" t="s">
        <v>2532</v>
      </c>
      <c r="P987" t="s">
        <v>5274</v>
      </c>
      <c r="Q987" s="671">
        <v>62039</v>
      </c>
      <c r="R987" s="671"/>
      <c r="AT987" s="671"/>
      <c r="AU987" s="671"/>
      <c r="AV987" s="671"/>
      <c r="AW987" s="671"/>
    </row>
    <row r="988" spans="15:49" x14ac:dyDescent="0.25">
      <c r="O988" t="s">
        <v>2525</v>
      </c>
      <c r="P988" t="s">
        <v>5274</v>
      </c>
      <c r="Q988" s="671">
        <v>62039</v>
      </c>
      <c r="R988" s="671"/>
      <c r="AT988" s="671"/>
      <c r="AU988" s="671"/>
      <c r="AV988" s="671"/>
      <c r="AW988" s="671"/>
    </row>
    <row r="989" spans="15:49" x14ac:dyDescent="0.25">
      <c r="O989" t="s">
        <v>2525</v>
      </c>
      <c r="P989" t="s">
        <v>5274</v>
      </c>
      <c r="Q989" s="671">
        <v>62039</v>
      </c>
      <c r="R989" s="671"/>
      <c r="AT989" s="671"/>
      <c r="AU989" s="671"/>
      <c r="AV989" s="671"/>
      <c r="AW989" s="671"/>
    </row>
    <row r="990" spans="15:49" x14ac:dyDescent="0.25">
      <c r="O990" t="s">
        <v>2525</v>
      </c>
      <c r="P990" t="s">
        <v>5274</v>
      </c>
      <c r="Q990" s="671">
        <v>62039</v>
      </c>
      <c r="R990" s="671"/>
      <c r="AT990" s="671"/>
      <c r="AU990" s="671"/>
      <c r="AV990" s="671"/>
      <c r="AW990" s="671"/>
    </row>
    <row r="991" spans="15:49" x14ac:dyDescent="0.25">
      <c r="O991" t="s">
        <v>2586</v>
      </c>
      <c r="P991" t="s">
        <v>5274</v>
      </c>
      <c r="Q991" s="671">
        <v>62036</v>
      </c>
      <c r="R991" s="671"/>
      <c r="AT991" s="671"/>
      <c r="AU991" s="671"/>
      <c r="AV991" s="671"/>
      <c r="AW991" s="671"/>
    </row>
    <row r="992" spans="15:49" x14ac:dyDescent="0.25">
      <c r="O992" t="s">
        <v>2590</v>
      </c>
      <c r="P992" t="s">
        <v>5274</v>
      </c>
      <c r="Q992" s="671">
        <v>62035</v>
      </c>
      <c r="R992" s="671"/>
      <c r="AT992" s="671"/>
      <c r="AU992" s="671"/>
      <c r="AV992" s="671"/>
      <c r="AW992" s="671"/>
    </row>
    <row r="993" spans="15:49" x14ac:dyDescent="0.25">
      <c r="O993" t="s">
        <v>2590</v>
      </c>
      <c r="P993" t="s">
        <v>5274</v>
      </c>
      <c r="Q993" s="671">
        <v>62036</v>
      </c>
      <c r="R993" s="671"/>
      <c r="AT993" s="671"/>
      <c r="AU993" s="671"/>
      <c r="AV993" s="671"/>
      <c r="AW993" s="671"/>
    </row>
    <row r="994" spans="15:49" x14ac:dyDescent="0.25">
      <c r="O994" t="s">
        <v>2582</v>
      </c>
      <c r="P994" t="s">
        <v>5274</v>
      </c>
      <c r="Q994" s="671">
        <v>62036</v>
      </c>
      <c r="R994" s="671"/>
      <c r="AT994" s="671"/>
      <c r="AU994" s="671"/>
      <c r="AV994" s="671"/>
      <c r="AW994" s="671"/>
    </row>
    <row r="995" spans="15:49" x14ac:dyDescent="0.25">
      <c r="O995" t="s">
        <v>2578</v>
      </c>
      <c r="P995" t="s">
        <v>5274</v>
      </c>
      <c r="Q995" s="671">
        <v>62036</v>
      </c>
      <c r="R995" s="671"/>
      <c r="AT995" s="671"/>
      <c r="AU995" s="671"/>
      <c r="AV995" s="671"/>
      <c r="AW995" s="671"/>
    </row>
    <row r="996" spans="15:49" x14ac:dyDescent="0.25">
      <c r="O996" t="s">
        <v>2493</v>
      </c>
      <c r="P996" t="s">
        <v>5274</v>
      </c>
      <c r="Q996" s="671">
        <v>62035</v>
      </c>
      <c r="R996" s="671"/>
      <c r="AT996" s="671"/>
      <c r="AU996" s="671"/>
      <c r="AV996" s="671"/>
      <c r="AW996" s="671"/>
    </row>
    <row r="997" spans="15:49" x14ac:dyDescent="0.25">
      <c r="O997" t="s">
        <v>2511</v>
      </c>
      <c r="P997" t="s">
        <v>5274</v>
      </c>
      <c r="Q997" s="671">
        <v>62035</v>
      </c>
      <c r="R997" s="671"/>
      <c r="AT997" s="671"/>
      <c r="AU997" s="671"/>
      <c r="AV997" s="671"/>
      <c r="AW997" s="671"/>
    </row>
    <row r="998" spans="15:49" x14ac:dyDescent="0.25">
      <c r="O998" t="s">
        <v>2511</v>
      </c>
      <c r="P998" t="s">
        <v>5274</v>
      </c>
      <c r="Q998" s="671">
        <v>62035</v>
      </c>
      <c r="R998" s="671"/>
      <c r="AT998" s="671"/>
      <c r="AU998" s="671"/>
      <c r="AV998" s="671"/>
      <c r="AW998" s="671"/>
    </row>
    <row r="999" spans="15:49" x14ac:dyDescent="0.25">
      <c r="O999" t="s">
        <v>2511</v>
      </c>
      <c r="P999" t="s">
        <v>5274</v>
      </c>
      <c r="Q999" s="671">
        <v>62035</v>
      </c>
      <c r="R999" s="671"/>
      <c r="AT999" s="671"/>
      <c r="AU999" s="671"/>
      <c r="AV999" s="671"/>
      <c r="AW999" s="671"/>
    </row>
    <row r="1000" spans="15:49" x14ac:dyDescent="0.25">
      <c r="O1000" t="s">
        <v>2511</v>
      </c>
      <c r="P1000" t="s">
        <v>5274</v>
      </c>
      <c r="Q1000" s="671">
        <v>62035</v>
      </c>
      <c r="R1000" s="671"/>
      <c r="AT1000" s="671"/>
      <c r="AU1000" s="671"/>
      <c r="AV1000" s="671"/>
      <c r="AW1000" s="671"/>
    </row>
    <row r="1001" spans="15:49" x14ac:dyDescent="0.25">
      <c r="O1001" t="s">
        <v>2511</v>
      </c>
      <c r="P1001" t="s">
        <v>5274</v>
      </c>
      <c r="Q1001" s="671">
        <v>62035</v>
      </c>
      <c r="R1001" s="671"/>
      <c r="AT1001" s="671"/>
      <c r="AU1001" s="671"/>
      <c r="AV1001" s="671"/>
      <c r="AW1001" s="671"/>
    </row>
    <row r="1002" spans="15:49" x14ac:dyDescent="0.25">
      <c r="O1002" t="s">
        <v>2511</v>
      </c>
      <c r="P1002" t="s">
        <v>5274</v>
      </c>
      <c r="Q1002" s="671">
        <v>62035</v>
      </c>
      <c r="R1002" s="671"/>
      <c r="AT1002" s="671"/>
      <c r="AU1002" s="671"/>
      <c r="AV1002" s="671"/>
      <c r="AW1002" s="671"/>
    </row>
    <row r="1003" spans="15:49" x14ac:dyDescent="0.25">
      <c r="O1003" t="s">
        <v>2505</v>
      </c>
      <c r="P1003" t="s">
        <v>5274</v>
      </c>
      <c r="Q1003" s="671">
        <v>62035</v>
      </c>
      <c r="R1003" s="671"/>
      <c r="AT1003" s="671"/>
      <c r="AU1003" s="671"/>
      <c r="AV1003" s="671"/>
      <c r="AW1003" s="671"/>
    </row>
    <row r="1004" spans="15:49" x14ac:dyDescent="0.25">
      <c r="O1004" t="s">
        <v>2499</v>
      </c>
      <c r="P1004" t="s">
        <v>5274</v>
      </c>
      <c r="Q1004" s="671">
        <v>62035</v>
      </c>
      <c r="R1004" s="671"/>
      <c r="AT1004" s="671"/>
      <c r="AU1004" s="671"/>
      <c r="AV1004" s="671"/>
      <c r="AW1004" s="671"/>
    </row>
    <row r="1005" spans="15:49" x14ac:dyDescent="0.25">
      <c r="O1005" t="s">
        <v>2499</v>
      </c>
      <c r="P1005" t="s">
        <v>5274</v>
      </c>
      <c r="Q1005" s="671">
        <v>62035</v>
      </c>
      <c r="R1005" s="671"/>
      <c r="AT1005" s="671"/>
      <c r="AU1005" s="671"/>
      <c r="AV1005" s="671"/>
      <c r="AW1005" s="671"/>
    </row>
    <row r="1006" spans="15:49" x14ac:dyDescent="0.25">
      <c r="O1006" t="s">
        <v>2497</v>
      </c>
      <c r="P1006" t="s">
        <v>5274</v>
      </c>
      <c r="Q1006" s="671">
        <v>62035</v>
      </c>
      <c r="R1006" s="671"/>
      <c r="AT1006" s="671"/>
      <c r="AU1006" s="671"/>
      <c r="AV1006" s="671"/>
      <c r="AW1006" s="671"/>
    </row>
    <row r="1007" spans="15:49" x14ac:dyDescent="0.25">
      <c r="O1007" t="s">
        <v>2564</v>
      </c>
      <c r="P1007" t="s">
        <v>5274</v>
      </c>
      <c r="Q1007" s="671">
        <v>62036</v>
      </c>
      <c r="R1007" s="671"/>
      <c r="AT1007" s="671"/>
      <c r="AU1007" s="671"/>
      <c r="AV1007" s="671"/>
      <c r="AW1007" s="671"/>
    </row>
    <row r="1008" spans="15:49" x14ac:dyDescent="0.25">
      <c r="O1008" t="s">
        <v>2558</v>
      </c>
      <c r="P1008" t="s">
        <v>5274</v>
      </c>
      <c r="Q1008" s="671">
        <v>62036</v>
      </c>
      <c r="R1008" s="671"/>
      <c r="AT1008" s="671"/>
      <c r="AU1008" s="671"/>
      <c r="AV1008" s="671"/>
      <c r="AW1008" s="671"/>
    </row>
    <row r="1009" spans="15:49" x14ac:dyDescent="0.25">
      <c r="O1009" t="s">
        <v>2566</v>
      </c>
      <c r="P1009" t="s">
        <v>5274</v>
      </c>
      <c r="Q1009" s="671">
        <v>62036</v>
      </c>
      <c r="R1009" s="671"/>
      <c r="AT1009" s="671"/>
      <c r="AU1009" s="671"/>
      <c r="AV1009" s="671"/>
      <c r="AW1009" s="671"/>
    </row>
    <row r="1010" spans="15:49" x14ac:dyDescent="0.25">
      <c r="O1010" t="s">
        <v>2566</v>
      </c>
      <c r="P1010" t="s">
        <v>5274</v>
      </c>
      <c r="Q1010" s="671">
        <v>62036</v>
      </c>
      <c r="R1010" s="671"/>
      <c r="AT1010" s="671"/>
      <c r="AU1010" s="671"/>
      <c r="AV1010" s="671"/>
      <c r="AW1010" s="671"/>
    </row>
    <row r="1011" spans="15:49" x14ac:dyDescent="0.25">
      <c r="O1011" t="s">
        <v>2572</v>
      </c>
      <c r="P1011" t="s">
        <v>5274</v>
      </c>
      <c r="Q1011" s="671">
        <v>62036</v>
      </c>
      <c r="R1011" s="671"/>
      <c r="AT1011" s="671"/>
      <c r="AU1011" s="671"/>
      <c r="AV1011" s="671"/>
      <c r="AW1011" s="671"/>
    </row>
    <row r="1012" spans="15:49" x14ac:dyDescent="0.25">
      <c r="O1012" t="s">
        <v>2572</v>
      </c>
      <c r="P1012" t="s">
        <v>5274</v>
      </c>
      <c r="Q1012" s="671">
        <v>62036</v>
      </c>
      <c r="R1012" s="671"/>
      <c r="AT1012" s="671"/>
      <c r="AU1012" s="671"/>
      <c r="AV1012" s="671"/>
      <c r="AW1012" s="671"/>
    </row>
    <row r="1013" spans="15:49" x14ac:dyDescent="0.25">
      <c r="O1013" t="s">
        <v>2562</v>
      </c>
      <c r="P1013" t="s">
        <v>5274</v>
      </c>
      <c r="Q1013" s="671">
        <v>62036</v>
      </c>
      <c r="R1013" s="671"/>
      <c r="AT1013" s="671"/>
      <c r="AU1013" s="671"/>
      <c r="AV1013" s="671"/>
      <c r="AW1013" s="671"/>
    </row>
    <row r="1014" spans="15:49" x14ac:dyDescent="0.25">
      <c r="O1014" t="s">
        <v>2651</v>
      </c>
      <c r="P1014" t="s">
        <v>5274</v>
      </c>
      <c r="Q1014" s="671">
        <v>62039</v>
      </c>
      <c r="R1014" s="671"/>
      <c r="AT1014" s="671"/>
      <c r="AU1014" s="671"/>
      <c r="AV1014" s="671"/>
      <c r="AW1014" s="671"/>
    </row>
    <row r="1015" spans="15:49" x14ac:dyDescent="0.25">
      <c r="O1015" t="s">
        <v>2651</v>
      </c>
      <c r="P1015" t="s">
        <v>5274</v>
      </c>
      <c r="Q1015" s="671">
        <v>62039</v>
      </c>
      <c r="R1015" s="671"/>
      <c r="AT1015" s="671"/>
      <c r="AU1015" s="671"/>
      <c r="AV1015" s="671"/>
      <c r="AW1015" s="671"/>
    </row>
    <row r="1016" spans="15:49" x14ac:dyDescent="0.25">
      <c r="O1016" t="s">
        <v>2651</v>
      </c>
      <c r="P1016" t="s">
        <v>5274</v>
      </c>
      <c r="Q1016" s="671">
        <v>62036</v>
      </c>
      <c r="R1016" s="671"/>
      <c r="AT1016" s="671"/>
      <c r="AU1016" s="671"/>
      <c r="AV1016" s="671"/>
      <c r="AW1016" s="671"/>
    </row>
    <row r="1017" spans="15:49" x14ac:dyDescent="0.25">
      <c r="O1017" t="s">
        <v>2651</v>
      </c>
      <c r="P1017" t="s">
        <v>5274</v>
      </c>
      <c r="Q1017" s="671">
        <v>62039</v>
      </c>
      <c r="R1017" s="671"/>
      <c r="AT1017" s="671"/>
      <c r="AU1017" s="671"/>
      <c r="AV1017" s="671"/>
      <c r="AW1017" s="671"/>
    </row>
    <row r="1018" spans="15:49" x14ac:dyDescent="0.25">
      <c r="O1018" t="s">
        <v>2651</v>
      </c>
      <c r="P1018" t="s">
        <v>5274</v>
      </c>
      <c r="Q1018" s="671">
        <v>62039</v>
      </c>
      <c r="R1018" s="671"/>
      <c r="AT1018" s="671"/>
      <c r="AU1018" s="671"/>
      <c r="AV1018" s="671"/>
      <c r="AW1018" s="671"/>
    </row>
    <row r="1019" spans="15:49" x14ac:dyDescent="0.25">
      <c r="O1019" t="s">
        <v>2639</v>
      </c>
      <c r="P1019" t="s">
        <v>5274</v>
      </c>
      <c r="Q1019" s="671">
        <v>62036</v>
      </c>
      <c r="R1019" s="671"/>
      <c r="AT1019" s="671"/>
      <c r="AU1019" s="671"/>
      <c r="AV1019" s="671"/>
      <c r="AW1019" s="671"/>
    </row>
    <row r="1020" spans="15:49" x14ac:dyDescent="0.25">
      <c r="O1020" t="s">
        <v>2643</v>
      </c>
      <c r="P1020" t="s">
        <v>5274</v>
      </c>
      <c r="Q1020" s="671">
        <v>62036</v>
      </c>
      <c r="R1020" s="671"/>
      <c r="AT1020" s="671"/>
      <c r="AU1020" s="671"/>
      <c r="AV1020" s="671"/>
      <c r="AW1020" s="671"/>
    </row>
    <row r="1021" spans="15:49" x14ac:dyDescent="0.25">
      <c r="O1021" t="s">
        <v>2635</v>
      </c>
      <c r="P1021" t="s">
        <v>5274</v>
      </c>
      <c r="Q1021" s="671">
        <v>62039</v>
      </c>
      <c r="R1021" s="671"/>
      <c r="AT1021" s="671"/>
      <c r="AU1021" s="671"/>
      <c r="AV1021" s="671"/>
      <c r="AW1021" s="671"/>
    </row>
    <row r="1022" spans="15:49" x14ac:dyDescent="0.25">
      <c r="O1022" t="s">
        <v>2635</v>
      </c>
      <c r="P1022" t="s">
        <v>5274</v>
      </c>
      <c r="Q1022" s="671">
        <v>62036</v>
      </c>
      <c r="R1022" s="671"/>
      <c r="AT1022" s="671"/>
      <c r="AU1022" s="671"/>
      <c r="AV1022" s="671"/>
      <c r="AW1022" s="671"/>
    </row>
    <row r="1023" spans="15:49" x14ac:dyDescent="0.25">
      <c r="O1023" t="s">
        <v>2635</v>
      </c>
      <c r="P1023" t="s">
        <v>5274</v>
      </c>
      <c r="Q1023" s="671">
        <v>62039</v>
      </c>
      <c r="R1023" s="671"/>
      <c r="AT1023" s="671"/>
      <c r="AU1023" s="671"/>
      <c r="AV1023" s="671"/>
      <c r="AW1023" s="671"/>
    </row>
    <row r="1024" spans="15:49" x14ac:dyDescent="0.25">
      <c r="O1024" t="s">
        <v>2635</v>
      </c>
      <c r="P1024" t="s">
        <v>5274</v>
      </c>
      <c r="Q1024" s="671">
        <v>62039</v>
      </c>
      <c r="R1024" s="671"/>
      <c r="AT1024" s="671"/>
      <c r="AU1024" s="671"/>
      <c r="AV1024" s="671"/>
      <c r="AW1024" s="671"/>
    </row>
    <row r="1025" spans="15:49" x14ac:dyDescent="0.25">
      <c r="O1025" t="s">
        <v>2631</v>
      </c>
      <c r="P1025" t="s">
        <v>5274</v>
      </c>
      <c r="Q1025" s="671">
        <v>62036</v>
      </c>
      <c r="R1025" s="671"/>
      <c r="AT1025" s="671"/>
      <c r="AU1025" s="671"/>
      <c r="AV1025" s="671"/>
      <c r="AW1025" s="671"/>
    </row>
    <row r="1026" spans="15:49" x14ac:dyDescent="0.25">
      <c r="O1026" t="s">
        <v>2623</v>
      </c>
      <c r="P1026" t="s">
        <v>5274</v>
      </c>
      <c r="Q1026" s="671">
        <v>62036</v>
      </c>
      <c r="R1026" s="671"/>
      <c r="AT1026" s="671"/>
      <c r="AU1026" s="671"/>
      <c r="AV1026" s="671"/>
      <c r="AW1026" s="671"/>
    </row>
    <row r="1027" spans="15:49" x14ac:dyDescent="0.25">
      <c r="O1027" t="s">
        <v>2647</v>
      </c>
      <c r="P1027" t="s">
        <v>5274</v>
      </c>
      <c r="Q1027" s="671">
        <v>62039</v>
      </c>
      <c r="R1027" s="671"/>
      <c r="AT1027" s="671"/>
      <c r="AU1027" s="671"/>
      <c r="AV1027" s="671"/>
      <c r="AW1027" s="671"/>
    </row>
    <row r="1028" spans="15:49" x14ac:dyDescent="0.25">
      <c r="O1028" t="s">
        <v>2647</v>
      </c>
      <c r="P1028" t="s">
        <v>5274</v>
      </c>
      <c r="Q1028" s="671">
        <v>62039</v>
      </c>
      <c r="R1028" s="671"/>
      <c r="AT1028" s="671"/>
      <c r="AU1028" s="671"/>
      <c r="AV1028" s="671"/>
      <c r="AW1028" s="671"/>
    </row>
    <row r="1029" spans="15:49" x14ac:dyDescent="0.25">
      <c r="O1029" t="s">
        <v>2647</v>
      </c>
      <c r="P1029" t="s">
        <v>5274</v>
      </c>
      <c r="Q1029" s="671">
        <v>62036</v>
      </c>
      <c r="R1029" s="671"/>
      <c r="AT1029" s="671"/>
      <c r="AU1029" s="671"/>
      <c r="AV1029" s="671"/>
      <c r="AW1029" s="671"/>
    </row>
    <row r="1030" spans="15:49" x14ac:dyDescent="0.25">
      <c r="O1030" t="s">
        <v>2647</v>
      </c>
      <c r="P1030" t="s">
        <v>5274</v>
      </c>
      <c r="Q1030" s="671">
        <v>62039</v>
      </c>
      <c r="R1030" s="671"/>
      <c r="AT1030" s="671"/>
      <c r="AU1030" s="671"/>
      <c r="AV1030" s="671"/>
      <c r="AW1030" s="671"/>
    </row>
    <row r="1031" spans="15:49" x14ac:dyDescent="0.25">
      <c r="O1031" t="s">
        <v>2627</v>
      </c>
      <c r="P1031" t="s">
        <v>5274</v>
      </c>
      <c r="Q1031" s="671">
        <v>62039</v>
      </c>
      <c r="R1031" s="671"/>
      <c r="AT1031" s="671"/>
      <c r="AU1031" s="671"/>
      <c r="AV1031" s="671"/>
      <c r="AW1031" s="671"/>
    </row>
    <row r="1032" spans="15:49" x14ac:dyDescent="0.25">
      <c r="O1032" t="s">
        <v>2627</v>
      </c>
      <c r="P1032" t="s">
        <v>5274</v>
      </c>
      <c r="Q1032" s="671">
        <v>62039</v>
      </c>
      <c r="R1032" s="671"/>
      <c r="AT1032" s="671"/>
      <c r="AU1032" s="671"/>
      <c r="AV1032" s="671"/>
      <c r="AW1032" s="671"/>
    </row>
    <row r="1033" spans="15:49" x14ac:dyDescent="0.25">
      <c r="O1033" t="s">
        <v>2611</v>
      </c>
      <c r="P1033" t="s">
        <v>5274</v>
      </c>
      <c r="Q1033" s="671">
        <v>62036</v>
      </c>
      <c r="R1033" s="671"/>
      <c r="AT1033" s="671"/>
      <c r="AU1033" s="671"/>
      <c r="AV1033" s="671"/>
      <c r="AW1033" s="671"/>
    </row>
    <row r="1034" spans="15:49" x14ac:dyDescent="0.25">
      <c r="O1034" t="s">
        <v>2611</v>
      </c>
      <c r="P1034" t="s">
        <v>5274</v>
      </c>
      <c r="Q1034" s="671">
        <v>62035</v>
      </c>
      <c r="R1034" s="671"/>
      <c r="AT1034" s="671"/>
      <c r="AU1034" s="671"/>
      <c r="AV1034" s="671"/>
      <c r="AW1034" s="671"/>
    </row>
    <row r="1035" spans="15:49" x14ac:dyDescent="0.25">
      <c r="O1035" t="s">
        <v>2607</v>
      </c>
      <c r="P1035" t="s">
        <v>5274</v>
      </c>
      <c r="Q1035" s="671">
        <v>62036</v>
      </c>
      <c r="R1035" s="671"/>
      <c r="AT1035" s="671"/>
      <c r="AU1035" s="671"/>
      <c r="AV1035" s="671"/>
      <c r="AW1035" s="671"/>
    </row>
    <row r="1036" spans="15:49" x14ac:dyDescent="0.25">
      <c r="O1036" t="s">
        <v>2619</v>
      </c>
      <c r="P1036" t="s">
        <v>5274</v>
      </c>
      <c r="Q1036" s="671">
        <v>62036</v>
      </c>
      <c r="R1036" s="671"/>
      <c r="AT1036" s="671"/>
      <c r="AU1036" s="671"/>
      <c r="AV1036" s="671"/>
      <c r="AW1036" s="671"/>
    </row>
    <row r="1037" spans="15:49" x14ac:dyDescent="0.25">
      <c r="O1037" t="s">
        <v>2619</v>
      </c>
      <c r="P1037" t="s">
        <v>5274</v>
      </c>
      <c r="Q1037" s="671">
        <v>62035</v>
      </c>
      <c r="R1037" s="671"/>
      <c r="AT1037" s="671"/>
      <c r="AU1037" s="671"/>
      <c r="AV1037" s="671"/>
      <c r="AW1037" s="671"/>
    </row>
    <row r="1038" spans="15:49" x14ac:dyDescent="0.25">
      <c r="O1038" t="s">
        <v>2619</v>
      </c>
      <c r="P1038" t="s">
        <v>5274</v>
      </c>
      <c r="Q1038" s="671">
        <v>62035</v>
      </c>
      <c r="R1038" s="671"/>
      <c r="AT1038" s="671"/>
      <c r="AU1038" s="671"/>
      <c r="AV1038" s="671"/>
      <c r="AW1038" s="671"/>
    </row>
    <row r="1039" spans="15:49" x14ac:dyDescent="0.25">
      <c r="O1039" t="s">
        <v>2615</v>
      </c>
      <c r="P1039" t="s">
        <v>5274</v>
      </c>
      <c r="Q1039" s="671">
        <v>62035</v>
      </c>
      <c r="R1039" s="671"/>
      <c r="AT1039" s="671"/>
      <c r="AU1039" s="671"/>
      <c r="AV1039" s="671"/>
      <c r="AW1039" s="671"/>
    </row>
    <row r="1040" spans="15:49" x14ac:dyDescent="0.25">
      <c r="O1040" t="s">
        <v>2615</v>
      </c>
      <c r="P1040" t="s">
        <v>5274</v>
      </c>
      <c r="Q1040" s="671">
        <v>62035</v>
      </c>
      <c r="R1040" s="671"/>
      <c r="AT1040" s="671"/>
      <c r="AU1040" s="671"/>
      <c r="AV1040" s="671"/>
      <c r="AW1040" s="671"/>
    </row>
    <row r="1041" spans="15:49" x14ac:dyDescent="0.25">
      <c r="O1041" t="s">
        <v>2615</v>
      </c>
      <c r="P1041" t="s">
        <v>5274</v>
      </c>
      <c r="Q1041" s="671">
        <v>62036</v>
      </c>
      <c r="R1041" s="671"/>
      <c r="AT1041" s="671"/>
      <c r="AU1041" s="671"/>
      <c r="AV1041" s="671"/>
      <c r="AW1041" s="671"/>
    </row>
    <row r="1042" spans="15:49" x14ac:dyDescent="0.25">
      <c r="O1042" t="s">
        <v>2594</v>
      </c>
      <c r="P1042" t="s">
        <v>5274</v>
      </c>
      <c r="Q1042" s="671">
        <v>62036</v>
      </c>
      <c r="R1042" s="671"/>
      <c r="AT1042" s="671"/>
      <c r="AU1042" s="671"/>
      <c r="AV1042" s="671"/>
      <c r="AW1042" s="671"/>
    </row>
    <row r="1043" spans="15:49" x14ac:dyDescent="0.25">
      <c r="O1043" t="s">
        <v>2598</v>
      </c>
      <c r="P1043" t="s">
        <v>5274</v>
      </c>
      <c r="Q1043" s="671">
        <v>62036</v>
      </c>
      <c r="R1043" s="671"/>
      <c r="AT1043" s="671"/>
      <c r="AU1043" s="671"/>
      <c r="AV1043" s="671"/>
      <c r="AW1043" s="671"/>
    </row>
    <row r="1044" spans="15:49" x14ac:dyDescent="0.25">
      <c r="O1044" t="s">
        <v>2598</v>
      </c>
      <c r="P1044" t="s">
        <v>5274</v>
      </c>
      <c r="Q1044" s="671">
        <v>62036</v>
      </c>
      <c r="R1044" s="671"/>
      <c r="AT1044" s="671"/>
      <c r="AU1044" s="671"/>
      <c r="AV1044" s="671"/>
      <c r="AW1044" s="671"/>
    </row>
    <row r="1045" spans="15:49" x14ac:dyDescent="0.25">
      <c r="O1045" t="s">
        <v>2598</v>
      </c>
      <c r="P1045" t="s">
        <v>5274</v>
      </c>
      <c r="Q1045" s="671">
        <v>62036</v>
      </c>
      <c r="R1045" s="671"/>
      <c r="AT1045" s="671"/>
      <c r="AU1045" s="671"/>
      <c r="AV1045" s="671"/>
      <c r="AW1045" s="671"/>
    </row>
    <row r="1046" spans="15:49" x14ac:dyDescent="0.25">
      <c r="O1046" t="s">
        <v>2554</v>
      </c>
      <c r="P1046" t="s">
        <v>5274</v>
      </c>
      <c r="Q1046" s="671">
        <v>62036</v>
      </c>
      <c r="R1046" s="671"/>
      <c r="AT1046" s="671"/>
      <c r="AU1046" s="671"/>
      <c r="AV1046" s="671"/>
      <c r="AW1046" s="671"/>
    </row>
    <row r="1047" spans="15:49" x14ac:dyDescent="0.25">
      <c r="O1047" t="s">
        <v>2554</v>
      </c>
      <c r="P1047" t="s">
        <v>5274</v>
      </c>
      <c r="Q1047" s="671">
        <v>62036</v>
      </c>
      <c r="R1047" s="671"/>
      <c r="AT1047" s="671"/>
      <c r="AU1047" s="671"/>
      <c r="AV1047" s="671"/>
      <c r="AW1047" s="671"/>
    </row>
    <row r="1048" spans="15:49" x14ac:dyDescent="0.25">
      <c r="O1048" t="s">
        <v>2554</v>
      </c>
      <c r="P1048" t="s">
        <v>5274</v>
      </c>
      <c r="Q1048" s="671">
        <v>62036</v>
      </c>
      <c r="R1048" s="671"/>
      <c r="AT1048" s="671"/>
      <c r="AU1048" s="671"/>
      <c r="AV1048" s="671"/>
      <c r="AW1048" s="671"/>
    </row>
    <row r="1049" spans="15:49" x14ac:dyDescent="0.25">
      <c r="O1049" t="s">
        <v>2554</v>
      </c>
      <c r="P1049" t="s">
        <v>5274</v>
      </c>
      <c r="Q1049" s="671">
        <v>62036</v>
      </c>
      <c r="R1049" s="671"/>
      <c r="AT1049" s="671"/>
      <c r="AU1049" s="671"/>
      <c r="AV1049" s="671"/>
      <c r="AW1049" s="671"/>
    </row>
    <row r="1050" spans="15:49" x14ac:dyDescent="0.25">
      <c r="O1050" t="s">
        <v>2554</v>
      </c>
      <c r="P1050" t="s">
        <v>5274</v>
      </c>
      <c r="Q1050" s="671">
        <v>62036</v>
      </c>
      <c r="R1050" s="671"/>
      <c r="AT1050" s="671"/>
      <c r="AU1050" s="671"/>
      <c r="AV1050" s="671"/>
      <c r="AW1050" s="671"/>
    </row>
    <row r="1051" spans="15:49" x14ac:dyDescent="0.25">
      <c r="O1051" t="s">
        <v>2554</v>
      </c>
      <c r="P1051" t="s">
        <v>5274</v>
      </c>
      <c r="Q1051" s="671">
        <v>62036</v>
      </c>
      <c r="R1051" s="671"/>
      <c r="AT1051" s="671"/>
      <c r="AU1051" s="671"/>
      <c r="AV1051" s="671"/>
      <c r="AW1051" s="671"/>
    </row>
    <row r="1052" spans="15:49" x14ac:dyDescent="0.25">
      <c r="O1052" t="s">
        <v>2554</v>
      </c>
      <c r="P1052" t="s">
        <v>5274</v>
      </c>
      <c r="Q1052" s="671">
        <v>62036</v>
      </c>
      <c r="R1052" s="671"/>
      <c r="AT1052" s="671"/>
      <c r="AU1052" s="671"/>
      <c r="AV1052" s="671"/>
      <c r="AW1052" s="671"/>
    </row>
    <row r="1053" spans="15:49" x14ac:dyDescent="0.25">
      <c r="O1053" t="s">
        <v>2548</v>
      </c>
      <c r="P1053" t="s">
        <v>5274</v>
      </c>
      <c r="Q1053" s="671">
        <v>62036</v>
      </c>
      <c r="R1053" s="671"/>
      <c r="AT1053" s="671"/>
      <c r="AU1053" s="671"/>
      <c r="AV1053" s="671"/>
      <c r="AW1053" s="671"/>
    </row>
    <row r="1054" spans="15:49" x14ac:dyDescent="0.25">
      <c r="O1054" t="s">
        <v>2548</v>
      </c>
      <c r="P1054" t="s">
        <v>5274</v>
      </c>
      <c r="Q1054" s="671">
        <v>62036</v>
      </c>
      <c r="R1054" s="671"/>
      <c r="AT1054" s="671"/>
      <c r="AU1054" s="671"/>
      <c r="AV1054" s="671"/>
      <c r="AW1054" s="671"/>
    </row>
    <row r="1055" spans="15:49" x14ac:dyDescent="0.25">
      <c r="O1055" t="s">
        <v>2548</v>
      </c>
      <c r="P1055" t="s">
        <v>5274</v>
      </c>
      <c r="Q1055" s="671">
        <v>62034</v>
      </c>
      <c r="R1055" s="671"/>
      <c r="AT1055" s="671"/>
      <c r="AU1055" s="671"/>
      <c r="AV1055" s="671"/>
      <c r="AW1055" s="671"/>
    </row>
    <row r="1056" spans="15:49" x14ac:dyDescent="0.25">
      <c r="O1056" t="s">
        <v>2544</v>
      </c>
      <c r="P1056" t="s">
        <v>5274</v>
      </c>
      <c r="Q1056" s="671">
        <v>62036</v>
      </c>
      <c r="R1056" s="671"/>
      <c r="AT1056" s="671"/>
      <c r="AU1056" s="671"/>
      <c r="AV1056" s="671"/>
      <c r="AW1056" s="671"/>
    </row>
    <row r="1057" spans="15:49" x14ac:dyDescent="0.25">
      <c r="O1057" t="s">
        <v>2994</v>
      </c>
      <c r="P1057" t="s">
        <v>5273</v>
      </c>
      <c r="Q1057" s="671">
        <v>62039</v>
      </c>
      <c r="R1057" s="671"/>
      <c r="AT1057" s="671"/>
      <c r="AU1057" s="671"/>
      <c r="AV1057" s="671"/>
      <c r="AW1057" s="671"/>
    </row>
    <row r="1058" spans="15:49" x14ac:dyDescent="0.25">
      <c r="O1058" t="s">
        <v>3002</v>
      </c>
      <c r="P1058" t="s">
        <v>5273</v>
      </c>
      <c r="Q1058" s="671">
        <v>62039</v>
      </c>
      <c r="R1058" s="671"/>
      <c r="AT1058" s="671"/>
      <c r="AU1058" s="671"/>
      <c r="AV1058" s="671"/>
      <c r="AW1058" s="671"/>
    </row>
    <row r="1059" spans="15:49" x14ac:dyDescent="0.25">
      <c r="O1059" t="s">
        <v>2998</v>
      </c>
      <c r="P1059" t="s">
        <v>5273</v>
      </c>
      <c r="Q1059" s="671">
        <v>62039</v>
      </c>
      <c r="R1059" s="671"/>
      <c r="AT1059" s="671"/>
      <c r="AU1059" s="671"/>
      <c r="AV1059" s="671"/>
      <c r="AW1059" s="671"/>
    </row>
    <row r="1060" spans="15:49" x14ac:dyDescent="0.25">
      <c r="O1060" t="s">
        <v>2998</v>
      </c>
      <c r="P1060" t="s">
        <v>5273</v>
      </c>
      <c r="Q1060" s="671">
        <v>62039</v>
      </c>
      <c r="R1060" s="671"/>
      <c r="AT1060" s="671"/>
      <c r="AU1060" s="671"/>
      <c r="AV1060" s="671"/>
      <c r="AW1060" s="671"/>
    </row>
    <row r="1061" spans="15:49" x14ac:dyDescent="0.25">
      <c r="O1061" t="s">
        <v>2986</v>
      </c>
      <c r="P1061" t="s">
        <v>5273</v>
      </c>
      <c r="Q1061" s="671">
        <v>62039</v>
      </c>
      <c r="R1061" s="671"/>
      <c r="AT1061" s="671"/>
      <c r="AU1061" s="671"/>
      <c r="AV1061" s="671"/>
      <c r="AW1061" s="671"/>
    </row>
    <row r="1062" spans="15:49" x14ac:dyDescent="0.25">
      <c r="O1062" t="s">
        <v>2986</v>
      </c>
      <c r="P1062" t="s">
        <v>5273</v>
      </c>
      <c r="Q1062" s="671">
        <v>62039</v>
      </c>
      <c r="R1062" s="671"/>
      <c r="AT1062" s="671"/>
      <c r="AU1062" s="671"/>
      <c r="AV1062" s="671"/>
      <c r="AW1062" s="671"/>
    </row>
    <row r="1063" spans="15:49" x14ac:dyDescent="0.25">
      <c r="O1063" t="s">
        <v>2988</v>
      </c>
      <c r="P1063" t="s">
        <v>5273</v>
      </c>
      <c r="Q1063" s="671">
        <v>62039</v>
      </c>
      <c r="R1063" s="671"/>
      <c r="AT1063" s="671"/>
      <c r="AU1063" s="671"/>
      <c r="AV1063" s="671"/>
      <c r="AW1063" s="671"/>
    </row>
    <row r="1064" spans="15:49" x14ac:dyDescent="0.25">
      <c r="O1064" t="s">
        <v>2988</v>
      </c>
      <c r="P1064" t="s">
        <v>5273</v>
      </c>
      <c r="Q1064" s="671">
        <v>62039</v>
      </c>
      <c r="R1064" s="671"/>
      <c r="AT1064" s="671"/>
      <c r="AU1064" s="671"/>
      <c r="AV1064" s="671"/>
      <c r="AW1064" s="671"/>
    </row>
    <row r="1065" spans="15:49" x14ac:dyDescent="0.25">
      <c r="O1065" t="s">
        <v>2988</v>
      </c>
      <c r="P1065" t="s">
        <v>5273</v>
      </c>
      <c r="Q1065" s="671">
        <v>62039</v>
      </c>
      <c r="R1065" s="671"/>
      <c r="AT1065" s="671"/>
      <c r="AU1065" s="671"/>
      <c r="AV1065" s="671"/>
      <c r="AW1065" s="671"/>
    </row>
    <row r="1066" spans="15:49" x14ac:dyDescent="0.25">
      <c r="O1066" t="s">
        <v>2988</v>
      </c>
      <c r="P1066" t="s">
        <v>5273</v>
      </c>
      <c r="Q1066" s="671">
        <v>62039</v>
      </c>
      <c r="R1066" s="671"/>
      <c r="AT1066" s="671"/>
      <c r="AU1066" s="671"/>
      <c r="AV1066" s="671"/>
      <c r="AW1066" s="671"/>
    </row>
    <row r="1067" spans="15:49" x14ac:dyDescent="0.25">
      <c r="O1067" t="s">
        <v>2988</v>
      </c>
      <c r="P1067" t="s">
        <v>5273</v>
      </c>
      <c r="Q1067" s="671">
        <v>62039</v>
      </c>
      <c r="R1067" s="671"/>
      <c r="AT1067" s="671"/>
      <c r="AU1067" s="671"/>
      <c r="AV1067" s="671"/>
      <c r="AW1067" s="671"/>
    </row>
    <row r="1068" spans="15:49" x14ac:dyDescent="0.25">
      <c r="O1068" t="s">
        <v>2988</v>
      </c>
      <c r="P1068" t="s">
        <v>5273</v>
      </c>
      <c r="Q1068" s="671">
        <v>62039</v>
      </c>
      <c r="R1068" s="671"/>
      <c r="AT1068" s="671"/>
      <c r="AU1068" s="671"/>
      <c r="AV1068" s="671"/>
      <c r="AW1068" s="671"/>
    </row>
    <row r="1069" spans="15:49" x14ac:dyDescent="0.25">
      <c r="O1069" t="s">
        <v>2988</v>
      </c>
      <c r="P1069" t="s">
        <v>5273</v>
      </c>
      <c r="Q1069" s="671">
        <v>62039</v>
      </c>
      <c r="R1069" s="671"/>
      <c r="AT1069" s="671"/>
      <c r="AU1069" s="671"/>
      <c r="AV1069" s="671"/>
      <c r="AW1069" s="671"/>
    </row>
    <row r="1070" spans="15:49" x14ac:dyDescent="0.25">
      <c r="O1070" t="s">
        <v>2988</v>
      </c>
      <c r="P1070" t="s">
        <v>5273</v>
      </c>
      <c r="Q1070" s="671">
        <v>62039</v>
      </c>
      <c r="R1070" s="671"/>
      <c r="AT1070" s="671"/>
      <c r="AU1070" s="671"/>
      <c r="AV1070" s="671"/>
      <c r="AW1070" s="671"/>
    </row>
    <row r="1071" spans="15:49" x14ac:dyDescent="0.25">
      <c r="O1071" t="s">
        <v>2988</v>
      </c>
      <c r="P1071" t="s">
        <v>5273</v>
      </c>
      <c r="Q1071" s="671">
        <v>62039</v>
      </c>
      <c r="R1071" s="671"/>
      <c r="AT1071" s="671"/>
      <c r="AU1071" s="671"/>
      <c r="AV1071" s="671"/>
      <c r="AW1071" s="671"/>
    </row>
    <row r="1072" spans="15:49" x14ac:dyDescent="0.25">
      <c r="O1072" t="s">
        <v>3051</v>
      </c>
      <c r="P1072" t="s">
        <v>5273</v>
      </c>
      <c r="Q1072" s="671">
        <v>62039</v>
      </c>
      <c r="R1072" s="671"/>
      <c r="AT1072" s="671"/>
      <c r="AU1072" s="671"/>
      <c r="AV1072" s="671"/>
      <c r="AW1072" s="671"/>
    </row>
    <row r="1073" spans="15:49" x14ac:dyDescent="0.25">
      <c r="O1073" t="s">
        <v>3051</v>
      </c>
      <c r="P1073" t="s">
        <v>5273</v>
      </c>
      <c r="Q1073" s="671">
        <v>62039</v>
      </c>
      <c r="R1073" s="671"/>
      <c r="AT1073" s="671"/>
      <c r="AU1073" s="671"/>
      <c r="AV1073" s="671"/>
      <c r="AW1073" s="671"/>
    </row>
    <row r="1074" spans="15:49" x14ac:dyDescent="0.25">
      <c r="O1074" t="s">
        <v>3051</v>
      </c>
      <c r="P1074" t="s">
        <v>5273</v>
      </c>
      <c r="Q1074" s="671">
        <v>62039</v>
      </c>
      <c r="R1074" s="671"/>
      <c r="AT1074" s="671"/>
      <c r="AU1074" s="671"/>
      <c r="AV1074" s="671"/>
      <c r="AW1074" s="671"/>
    </row>
    <row r="1075" spans="15:49" x14ac:dyDescent="0.25">
      <c r="O1075" t="s">
        <v>3051</v>
      </c>
      <c r="P1075" t="s">
        <v>5273</v>
      </c>
      <c r="Q1075" s="671">
        <v>62039</v>
      </c>
      <c r="R1075" s="671"/>
      <c r="AT1075" s="671"/>
      <c r="AU1075" s="671"/>
      <c r="AV1075" s="671"/>
      <c r="AW1075" s="671"/>
    </row>
    <row r="1076" spans="15:49" x14ac:dyDescent="0.25">
      <c r="O1076" t="s">
        <v>3043</v>
      </c>
      <c r="P1076" t="s">
        <v>5273</v>
      </c>
      <c r="Q1076" s="671">
        <v>62039</v>
      </c>
      <c r="R1076" s="671"/>
      <c r="AT1076" s="671"/>
      <c r="AU1076" s="671"/>
      <c r="AV1076" s="671"/>
      <c r="AW1076" s="671"/>
    </row>
    <row r="1077" spans="15:49" x14ac:dyDescent="0.25">
      <c r="O1077" t="s">
        <v>3043</v>
      </c>
      <c r="P1077" t="s">
        <v>5273</v>
      </c>
      <c r="Q1077" s="671">
        <v>62039</v>
      </c>
      <c r="R1077" s="671"/>
      <c r="AT1077" s="671"/>
      <c r="AU1077" s="671"/>
      <c r="AV1077" s="671"/>
      <c r="AW1077" s="671"/>
    </row>
    <row r="1078" spans="15:49" x14ac:dyDescent="0.25">
      <c r="O1078" t="s">
        <v>3047</v>
      </c>
      <c r="P1078" t="s">
        <v>5273</v>
      </c>
      <c r="Q1078" s="671">
        <v>62039</v>
      </c>
      <c r="R1078" s="671"/>
      <c r="AT1078" s="671"/>
      <c r="AU1078" s="671"/>
      <c r="AV1078" s="671"/>
      <c r="AW1078" s="671"/>
    </row>
    <row r="1079" spans="15:49" x14ac:dyDescent="0.25">
      <c r="O1079" t="s">
        <v>3039</v>
      </c>
      <c r="P1079" t="s">
        <v>5273</v>
      </c>
      <c r="Q1079" s="671">
        <v>62039</v>
      </c>
      <c r="R1079" s="671"/>
      <c r="AT1079" s="671"/>
      <c r="AU1079" s="671"/>
      <c r="AV1079" s="671"/>
      <c r="AW1079" s="671"/>
    </row>
    <row r="1080" spans="15:49" x14ac:dyDescent="0.25">
      <c r="O1080" t="s">
        <v>3039</v>
      </c>
      <c r="P1080" t="s">
        <v>5273</v>
      </c>
      <c r="Q1080" s="671">
        <v>62039</v>
      </c>
      <c r="R1080" s="671"/>
      <c r="AT1080" s="671"/>
      <c r="AU1080" s="671"/>
      <c r="AV1080" s="671"/>
      <c r="AW1080" s="671"/>
    </row>
    <row r="1081" spans="15:49" x14ac:dyDescent="0.25">
      <c r="O1081" t="s">
        <v>3039</v>
      </c>
      <c r="P1081" t="s">
        <v>5273</v>
      </c>
      <c r="Q1081" s="671">
        <v>62039</v>
      </c>
      <c r="R1081" s="671"/>
      <c r="AT1081" s="671"/>
      <c r="AU1081" s="671"/>
      <c r="AV1081" s="671"/>
      <c r="AW1081" s="671"/>
    </row>
    <row r="1082" spans="15:49" x14ac:dyDescent="0.25">
      <c r="O1082" t="s">
        <v>3031</v>
      </c>
      <c r="P1082" t="s">
        <v>5273</v>
      </c>
      <c r="Q1082" s="671">
        <v>62039</v>
      </c>
      <c r="R1082" s="671"/>
      <c r="AT1082" s="671"/>
      <c r="AU1082" s="671"/>
      <c r="AV1082" s="671"/>
      <c r="AW1082" s="671"/>
    </row>
    <row r="1083" spans="15:49" x14ac:dyDescent="0.25">
      <c r="O1083" t="s">
        <v>3035</v>
      </c>
      <c r="P1083" t="s">
        <v>5273</v>
      </c>
      <c r="Q1083" s="671">
        <v>62039</v>
      </c>
      <c r="R1083" s="671"/>
      <c r="AT1083" s="671"/>
      <c r="AU1083" s="671"/>
      <c r="AV1083" s="671"/>
      <c r="AW1083" s="671"/>
    </row>
    <row r="1084" spans="15:49" x14ac:dyDescent="0.25">
      <c r="O1084" t="s">
        <v>3016</v>
      </c>
      <c r="P1084" t="s">
        <v>5273</v>
      </c>
      <c r="Q1084" s="671">
        <v>62039</v>
      </c>
      <c r="R1084" s="671"/>
      <c r="AT1084" s="671"/>
      <c r="AU1084" s="671"/>
      <c r="AV1084" s="671"/>
      <c r="AW1084" s="671"/>
    </row>
    <row r="1085" spans="15:49" x14ac:dyDescent="0.25">
      <c r="O1085" t="s">
        <v>3016</v>
      </c>
      <c r="P1085" t="s">
        <v>5273</v>
      </c>
      <c r="Q1085" s="671">
        <v>62039</v>
      </c>
      <c r="R1085" s="671"/>
      <c r="AT1085" s="671"/>
      <c r="AU1085" s="671"/>
      <c r="AV1085" s="671"/>
      <c r="AW1085" s="671"/>
    </row>
    <row r="1086" spans="15:49" x14ac:dyDescent="0.25">
      <c r="O1086" t="s">
        <v>3016</v>
      </c>
      <c r="P1086" t="s">
        <v>5273</v>
      </c>
      <c r="Q1086" s="671">
        <v>62039</v>
      </c>
      <c r="R1086" s="671"/>
      <c r="AT1086" s="671"/>
      <c r="AU1086" s="671"/>
      <c r="AV1086" s="671"/>
      <c r="AW1086" s="671"/>
    </row>
    <row r="1087" spans="15:49" x14ac:dyDescent="0.25">
      <c r="O1087" t="s">
        <v>3016</v>
      </c>
      <c r="P1087" t="s">
        <v>5273</v>
      </c>
      <c r="Q1087" s="671">
        <v>62039</v>
      </c>
      <c r="R1087" s="671"/>
      <c r="AT1087" s="671"/>
      <c r="AU1087" s="671"/>
      <c r="AV1087" s="671"/>
      <c r="AW1087" s="671"/>
    </row>
    <row r="1088" spans="15:49" x14ac:dyDescent="0.25">
      <c r="O1088" t="s">
        <v>3006</v>
      </c>
      <c r="P1088" t="s">
        <v>5273</v>
      </c>
      <c r="Q1088" s="671">
        <v>62039</v>
      </c>
      <c r="R1088" s="671"/>
      <c r="AT1088" s="671"/>
      <c r="AU1088" s="671"/>
      <c r="AV1088" s="671"/>
      <c r="AW1088" s="671"/>
    </row>
    <row r="1089" spans="15:49" x14ac:dyDescent="0.25">
      <c r="O1089" t="s">
        <v>3006</v>
      </c>
      <c r="P1089" t="s">
        <v>5273</v>
      </c>
      <c r="Q1089" s="671">
        <v>62039</v>
      </c>
      <c r="R1089" s="671"/>
      <c r="AT1089" s="671"/>
      <c r="AU1089" s="671"/>
      <c r="AV1089" s="671"/>
      <c r="AW1089" s="671"/>
    </row>
    <row r="1090" spans="15:49" x14ac:dyDescent="0.25">
      <c r="O1090" t="s">
        <v>3006</v>
      </c>
      <c r="P1090" t="s">
        <v>5273</v>
      </c>
      <c r="Q1090" s="671">
        <v>62039</v>
      </c>
      <c r="R1090" s="671"/>
      <c r="AT1090" s="671"/>
      <c r="AU1090" s="671"/>
      <c r="AV1090" s="671"/>
      <c r="AW1090" s="671"/>
    </row>
    <row r="1091" spans="15:49" x14ac:dyDescent="0.25">
      <c r="O1091" t="s">
        <v>3006</v>
      </c>
      <c r="P1091" t="s">
        <v>5273</v>
      </c>
      <c r="Q1091" s="671">
        <v>62039</v>
      </c>
      <c r="R1091" s="671"/>
      <c r="AT1091" s="671"/>
      <c r="AU1091" s="671"/>
      <c r="AV1091" s="671"/>
      <c r="AW1091" s="671"/>
    </row>
    <row r="1092" spans="15:49" x14ac:dyDescent="0.25">
      <c r="O1092" t="s">
        <v>3006</v>
      </c>
      <c r="P1092" t="s">
        <v>5273</v>
      </c>
      <c r="Q1092" s="671">
        <v>62039</v>
      </c>
      <c r="R1092" s="671"/>
      <c r="AT1092" s="671"/>
      <c r="AU1092" s="671"/>
      <c r="AV1092" s="671"/>
      <c r="AW1092" s="671"/>
    </row>
    <row r="1093" spans="15:49" x14ac:dyDescent="0.25">
      <c r="O1093" t="s">
        <v>3006</v>
      </c>
      <c r="P1093" t="s">
        <v>5273</v>
      </c>
      <c r="Q1093" s="671">
        <v>62039</v>
      </c>
      <c r="R1093" s="671"/>
      <c r="AT1093" s="671"/>
      <c r="AU1093" s="671"/>
      <c r="AV1093" s="671"/>
      <c r="AW1093" s="671"/>
    </row>
    <row r="1094" spans="15:49" x14ac:dyDescent="0.25">
      <c r="O1094" t="s">
        <v>3021</v>
      </c>
      <c r="P1094" t="s">
        <v>5273</v>
      </c>
      <c r="Q1094" s="671">
        <v>62039</v>
      </c>
      <c r="R1094" s="671"/>
      <c r="AT1094" s="671"/>
      <c r="AU1094" s="671"/>
      <c r="AV1094" s="671"/>
      <c r="AW1094" s="671"/>
    </row>
    <row r="1095" spans="15:49" x14ac:dyDescent="0.25">
      <c r="O1095" t="s">
        <v>3021</v>
      </c>
      <c r="P1095" t="s">
        <v>5273</v>
      </c>
      <c r="Q1095" s="671">
        <v>62039</v>
      </c>
      <c r="R1095" s="671"/>
      <c r="AT1095" s="671"/>
      <c r="AU1095" s="671"/>
      <c r="AV1095" s="671"/>
      <c r="AW1095" s="671"/>
    </row>
    <row r="1096" spans="15:49" x14ac:dyDescent="0.25">
      <c r="O1096" t="s">
        <v>3021</v>
      </c>
      <c r="P1096" t="s">
        <v>5273</v>
      </c>
      <c r="Q1096" s="671">
        <v>62039</v>
      </c>
      <c r="R1096" s="671"/>
      <c r="AT1096" s="671"/>
      <c r="AU1096" s="671"/>
      <c r="AV1096" s="671"/>
      <c r="AW1096" s="671"/>
    </row>
    <row r="1097" spans="15:49" x14ac:dyDescent="0.25">
      <c r="O1097" t="s">
        <v>3021</v>
      </c>
      <c r="P1097" t="s">
        <v>5273</v>
      </c>
      <c r="Q1097" s="671">
        <v>62039</v>
      </c>
      <c r="R1097" s="671"/>
      <c r="AT1097" s="671"/>
      <c r="AU1097" s="671"/>
      <c r="AV1097" s="671"/>
      <c r="AW1097" s="671"/>
    </row>
    <row r="1098" spans="15:49" x14ac:dyDescent="0.25">
      <c r="O1098" t="s">
        <v>3021</v>
      </c>
      <c r="P1098" t="s">
        <v>5273</v>
      </c>
      <c r="Q1098" s="671">
        <v>62039</v>
      </c>
      <c r="R1098" s="671"/>
      <c r="AT1098" s="671"/>
      <c r="AU1098" s="671"/>
      <c r="AV1098" s="671"/>
      <c r="AW1098" s="671"/>
    </row>
    <row r="1099" spans="15:49" x14ac:dyDescent="0.25">
      <c r="O1099" t="s">
        <v>3021</v>
      </c>
      <c r="P1099" t="s">
        <v>5273</v>
      </c>
      <c r="Q1099" s="671">
        <v>62039</v>
      </c>
      <c r="R1099" s="671"/>
      <c r="AT1099" s="671"/>
      <c r="AU1099" s="671"/>
      <c r="AV1099" s="671"/>
      <c r="AW1099" s="671"/>
    </row>
    <row r="1100" spans="15:49" x14ac:dyDescent="0.25">
      <c r="O1100" t="s">
        <v>3029</v>
      </c>
      <c r="P1100" t="s">
        <v>5273</v>
      </c>
      <c r="Q1100" s="671">
        <v>62039</v>
      </c>
      <c r="R1100" s="671"/>
      <c r="AT1100" s="671"/>
      <c r="AU1100" s="671"/>
      <c r="AV1100" s="671"/>
      <c r="AW1100" s="671"/>
    </row>
    <row r="1101" spans="15:49" x14ac:dyDescent="0.25">
      <c r="O1101" t="s">
        <v>3012</v>
      </c>
      <c r="P1101" t="s">
        <v>5273</v>
      </c>
      <c r="Q1101" s="671">
        <v>62039</v>
      </c>
      <c r="R1101" s="671"/>
      <c r="AT1101" s="671"/>
      <c r="AU1101" s="671"/>
      <c r="AV1101" s="671"/>
      <c r="AW1101" s="671"/>
    </row>
    <row r="1102" spans="15:49" x14ac:dyDescent="0.25">
      <c r="O1102" t="s">
        <v>3012</v>
      </c>
      <c r="P1102" t="s">
        <v>5273</v>
      </c>
      <c r="Q1102" s="671">
        <v>62039</v>
      </c>
      <c r="R1102" s="671"/>
      <c r="AT1102" s="671"/>
      <c r="AU1102" s="671"/>
      <c r="AV1102" s="671"/>
      <c r="AW1102" s="671"/>
    </row>
    <row r="1103" spans="15:49" x14ac:dyDescent="0.25">
      <c r="O1103" t="s">
        <v>2182</v>
      </c>
      <c r="P1103" t="s">
        <v>5275</v>
      </c>
      <c r="Q1103" s="671">
        <v>62032</v>
      </c>
      <c r="R1103" s="671"/>
      <c r="AT1103" s="671"/>
      <c r="AU1103" s="671"/>
      <c r="AV1103" s="671"/>
      <c r="AW1103" s="671"/>
    </row>
    <row r="1104" spans="15:49" x14ac:dyDescent="0.25">
      <c r="O1104" t="s">
        <v>2190</v>
      </c>
      <c r="P1104" t="s">
        <v>5275</v>
      </c>
      <c r="Q1104" s="671">
        <v>62032</v>
      </c>
      <c r="R1104" s="671"/>
      <c r="AT1104" s="671"/>
      <c r="AU1104" s="671"/>
      <c r="AV1104" s="671"/>
      <c r="AW1104" s="671"/>
    </row>
    <row r="1105" spans="15:49" x14ac:dyDescent="0.25">
      <c r="O1105" t="s">
        <v>2190</v>
      </c>
      <c r="P1105" t="s">
        <v>5275</v>
      </c>
      <c r="Q1105" s="671">
        <v>62032</v>
      </c>
      <c r="R1105" s="671"/>
      <c r="AT1105" s="671"/>
      <c r="AU1105" s="671"/>
      <c r="AV1105" s="671"/>
      <c r="AW1105" s="671"/>
    </row>
    <row r="1106" spans="15:49" x14ac:dyDescent="0.25">
      <c r="O1106" t="s">
        <v>2194</v>
      </c>
      <c r="P1106" t="s">
        <v>5275</v>
      </c>
      <c r="Q1106" s="671">
        <v>62032</v>
      </c>
      <c r="R1106" s="671"/>
      <c r="AT1106" s="671"/>
      <c r="AU1106" s="671"/>
      <c r="AV1106" s="671"/>
      <c r="AW1106" s="671"/>
    </row>
    <row r="1107" spans="15:49" x14ac:dyDescent="0.25">
      <c r="O1107" t="s">
        <v>2198</v>
      </c>
      <c r="P1107" t="s">
        <v>5275</v>
      </c>
      <c r="Q1107" s="671">
        <v>62032</v>
      </c>
      <c r="R1107" s="671"/>
      <c r="AT1107" s="671"/>
      <c r="AU1107" s="671"/>
      <c r="AV1107" s="671"/>
      <c r="AW1107" s="671"/>
    </row>
    <row r="1108" spans="15:49" x14ac:dyDescent="0.25">
      <c r="O1108" t="s">
        <v>2186</v>
      </c>
      <c r="P1108" t="s">
        <v>5275</v>
      </c>
      <c r="Q1108" s="671">
        <v>62032</v>
      </c>
      <c r="R1108" s="671"/>
      <c r="AT1108" s="671"/>
      <c r="AU1108" s="671"/>
      <c r="AV1108" s="671"/>
      <c r="AW1108" s="671"/>
    </row>
    <row r="1109" spans="15:49" x14ac:dyDescent="0.25">
      <c r="O1109" t="s">
        <v>2154</v>
      </c>
      <c r="P1109" t="s">
        <v>5275</v>
      </c>
      <c r="Q1109" s="671">
        <v>62032</v>
      </c>
      <c r="R1109" s="671"/>
      <c r="AT1109" s="671"/>
      <c r="AU1109" s="671"/>
      <c r="AV1109" s="671"/>
      <c r="AW1109" s="671"/>
    </row>
    <row r="1110" spans="15:49" x14ac:dyDescent="0.25">
      <c r="O1110" t="s">
        <v>2154</v>
      </c>
      <c r="P1110" t="s">
        <v>5275</v>
      </c>
      <c r="Q1110" s="671">
        <v>62032</v>
      </c>
      <c r="R1110" s="671"/>
      <c r="AT1110" s="671"/>
      <c r="AU1110" s="671"/>
      <c r="AV1110" s="671"/>
      <c r="AW1110" s="671"/>
    </row>
    <row r="1111" spans="15:49" x14ac:dyDescent="0.25">
      <c r="O1111" t="s">
        <v>2154</v>
      </c>
      <c r="P1111" t="s">
        <v>5275</v>
      </c>
      <c r="Q1111" s="671">
        <v>62032</v>
      </c>
      <c r="R1111" s="671"/>
      <c r="AT1111" s="671"/>
      <c r="AU1111" s="671"/>
      <c r="AV1111" s="671"/>
      <c r="AW1111" s="671"/>
    </row>
    <row r="1112" spans="15:49" x14ac:dyDescent="0.25">
      <c r="O1112" t="s">
        <v>2154</v>
      </c>
      <c r="P1112" t="s">
        <v>5275</v>
      </c>
      <c r="Q1112" s="671">
        <v>62032</v>
      </c>
      <c r="R1112" s="671"/>
      <c r="AT1112" s="671"/>
      <c r="AU1112" s="671"/>
      <c r="AV1112" s="671"/>
      <c r="AW1112" s="671"/>
    </row>
    <row r="1113" spans="15:49" x14ac:dyDescent="0.25">
      <c r="O1113" t="s">
        <v>2154</v>
      </c>
      <c r="P1113" t="s">
        <v>5275</v>
      </c>
      <c r="Q1113" s="671">
        <v>62032</v>
      </c>
      <c r="R1113" s="671"/>
      <c r="AT1113" s="671"/>
      <c r="AU1113" s="671"/>
      <c r="AV1113" s="671"/>
      <c r="AW1113" s="671"/>
    </row>
    <row r="1114" spans="15:49" x14ac:dyDescent="0.25">
      <c r="O1114" t="s">
        <v>2138</v>
      </c>
      <c r="P1114" t="s">
        <v>5275</v>
      </c>
      <c r="Q1114" s="671">
        <v>62032</v>
      </c>
      <c r="R1114" s="671"/>
      <c r="AT1114" s="671"/>
      <c r="AU1114" s="671"/>
      <c r="AV1114" s="671"/>
      <c r="AW1114" s="671"/>
    </row>
    <row r="1115" spans="15:49" x14ac:dyDescent="0.25">
      <c r="O1115" t="s">
        <v>2138</v>
      </c>
      <c r="P1115" t="s">
        <v>5275</v>
      </c>
      <c r="Q1115" s="671">
        <v>62032</v>
      </c>
      <c r="R1115" s="671"/>
      <c r="AT1115" s="671"/>
      <c r="AU1115" s="671"/>
      <c r="AV1115" s="671"/>
      <c r="AW1115" s="671"/>
    </row>
    <row r="1116" spans="15:49" x14ac:dyDescent="0.25">
      <c r="O1116" t="s">
        <v>2138</v>
      </c>
      <c r="P1116" t="s">
        <v>5275</v>
      </c>
      <c r="Q1116" s="671">
        <v>62032</v>
      </c>
      <c r="R1116" s="671"/>
      <c r="AT1116" s="671"/>
      <c r="AU1116" s="671"/>
      <c r="AV1116" s="671"/>
      <c r="AW1116" s="671"/>
    </row>
    <row r="1117" spans="15:49" x14ac:dyDescent="0.25">
      <c r="O1117" t="s">
        <v>2138</v>
      </c>
      <c r="P1117" t="s">
        <v>5275</v>
      </c>
      <c r="Q1117" s="671">
        <v>62032</v>
      </c>
      <c r="R1117" s="671"/>
      <c r="AT1117" s="671"/>
      <c r="AU1117" s="671"/>
      <c r="AV1117" s="671"/>
      <c r="AW1117" s="671"/>
    </row>
    <row r="1118" spans="15:49" x14ac:dyDescent="0.25">
      <c r="O1118" t="s">
        <v>2138</v>
      </c>
      <c r="P1118" t="s">
        <v>5275</v>
      </c>
      <c r="Q1118" s="671">
        <v>62032</v>
      </c>
      <c r="R1118" s="671"/>
      <c r="AT1118" s="671"/>
      <c r="AU1118" s="671"/>
      <c r="AV1118" s="671"/>
      <c r="AW1118" s="671"/>
    </row>
    <row r="1119" spans="15:49" x14ac:dyDescent="0.25">
      <c r="O1119" t="s">
        <v>2138</v>
      </c>
      <c r="P1119" t="s">
        <v>5275</v>
      </c>
      <c r="Q1119" s="671">
        <v>62032</v>
      </c>
      <c r="R1119" s="671"/>
      <c r="AT1119" s="671"/>
      <c r="AU1119" s="671"/>
      <c r="AV1119" s="671"/>
      <c r="AW1119" s="671"/>
    </row>
    <row r="1120" spans="15:49" x14ac:dyDescent="0.25">
      <c r="O1120" t="s">
        <v>2138</v>
      </c>
      <c r="P1120" t="s">
        <v>5275</v>
      </c>
      <c r="Q1120" s="671">
        <v>62032</v>
      </c>
      <c r="R1120" s="671"/>
      <c r="AT1120" s="671"/>
      <c r="AU1120" s="671"/>
      <c r="AV1120" s="671"/>
      <c r="AW1120" s="671"/>
    </row>
    <row r="1121" spans="15:49" x14ac:dyDescent="0.25">
      <c r="O1121" t="s">
        <v>2166</v>
      </c>
      <c r="P1121" t="s">
        <v>5275</v>
      </c>
      <c r="Q1121" s="671">
        <v>62032</v>
      </c>
      <c r="R1121" s="671"/>
      <c r="AT1121" s="671"/>
      <c r="AU1121" s="671"/>
      <c r="AV1121" s="671"/>
      <c r="AW1121" s="671"/>
    </row>
    <row r="1122" spans="15:49" x14ac:dyDescent="0.25">
      <c r="O1122" t="s">
        <v>2174</v>
      </c>
      <c r="P1122" t="s">
        <v>5275</v>
      </c>
      <c r="Q1122" s="671">
        <v>62032</v>
      </c>
      <c r="R1122" s="671"/>
      <c r="AT1122" s="671"/>
      <c r="AU1122" s="671"/>
      <c r="AV1122" s="671"/>
      <c r="AW1122" s="671"/>
    </row>
    <row r="1123" spans="15:49" x14ac:dyDescent="0.25">
      <c r="O1123" t="s">
        <v>2178</v>
      </c>
      <c r="P1123" t="s">
        <v>5275</v>
      </c>
      <c r="Q1123" s="671">
        <v>62032</v>
      </c>
      <c r="R1123" s="671"/>
      <c r="AT1123" s="671"/>
      <c r="AU1123" s="671"/>
      <c r="AV1123" s="671"/>
      <c r="AW1123" s="671"/>
    </row>
    <row r="1124" spans="15:49" x14ac:dyDescent="0.25">
      <c r="O1124" t="s">
        <v>2170</v>
      </c>
      <c r="P1124" t="s">
        <v>5275</v>
      </c>
      <c r="Q1124" s="671">
        <v>62032</v>
      </c>
      <c r="R1124" s="671"/>
      <c r="AT1124" s="671"/>
      <c r="AU1124" s="671"/>
      <c r="AV1124" s="671"/>
      <c r="AW1124" s="671"/>
    </row>
    <row r="1125" spans="15:49" x14ac:dyDescent="0.25">
      <c r="O1125" t="s">
        <v>2204</v>
      </c>
      <c r="P1125" t="s">
        <v>5275</v>
      </c>
      <c r="Q1125" s="671">
        <v>62032</v>
      </c>
      <c r="R1125" s="671"/>
      <c r="AT1125" s="671"/>
      <c r="AU1125" s="671"/>
      <c r="AV1125" s="671"/>
      <c r="AW1125" s="671"/>
    </row>
    <row r="1126" spans="15:49" x14ac:dyDescent="0.25">
      <c r="O1126" t="s">
        <v>2204</v>
      </c>
      <c r="P1126" t="s">
        <v>5275</v>
      </c>
      <c r="Q1126" s="671">
        <v>62032</v>
      </c>
      <c r="R1126" s="671"/>
      <c r="AT1126" s="671"/>
      <c r="AU1126" s="671"/>
      <c r="AV1126" s="671"/>
      <c r="AW1126" s="671"/>
    </row>
    <row r="1127" spans="15:49" x14ac:dyDescent="0.25">
      <c r="O1127" t="s">
        <v>2200</v>
      </c>
      <c r="P1127" t="s">
        <v>5275</v>
      </c>
      <c r="Q1127" s="671">
        <v>62032</v>
      </c>
      <c r="R1127" s="671"/>
      <c r="AT1127" s="671"/>
      <c r="AU1127" s="671"/>
      <c r="AV1127" s="671"/>
      <c r="AW1127" s="671"/>
    </row>
    <row r="1128" spans="15:49" x14ac:dyDescent="0.25">
      <c r="O1128" t="s">
        <v>2208</v>
      </c>
      <c r="P1128" t="s">
        <v>5275</v>
      </c>
      <c r="Q1128" s="671">
        <v>62032</v>
      </c>
      <c r="R1128" s="671"/>
      <c r="AT1128" s="671"/>
      <c r="AU1128" s="671"/>
      <c r="AV1128" s="671"/>
      <c r="AW1128" s="671"/>
    </row>
    <row r="1129" spans="15:49" x14ac:dyDescent="0.25">
      <c r="O1129" t="s">
        <v>2222</v>
      </c>
      <c r="P1129" t="s">
        <v>5275</v>
      </c>
      <c r="Q1129" s="671">
        <v>62039</v>
      </c>
      <c r="R1129" s="671"/>
      <c r="AT1129" s="671"/>
      <c r="AU1129" s="671"/>
      <c r="AV1129" s="671"/>
      <c r="AW1129" s="671"/>
    </row>
    <row r="1130" spans="15:49" x14ac:dyDescent="0.25">
      <c r="O1130" t="s">
        <v>2222</v>
      </c>
      <c r="P1130" t="s">
        <v>5275</v>
      </c>
      <c r="Q1130" s="671">
        <v>62039</v>
      </c>
      <c r="R1130" s="671"/>
      <c r="AT1130" s="671"/>
      <c r="AU1130" s="671"/>
      <c r="AV1130" s="671"/>
      <c r="AW1130" s="671"/>
    </row>
    <row r="1131" spans="15:49" x14ac:dyDescent="0.25">
      <c r="O1131" t="s">
        <v>2222</v>
      </c>
      <c r="P1131" t="s">
        <v>5275</v>
      </c>
      <c r="Q1131" s="671">
        <v>62039</v>
      </c>
      <c r="R1131" s="671"/>
      <c r="AT1131" s="671"/>
      <c r="AU1131" s="671"/>
      <c r="AV1131" s="671"/>
      <c r="AW1131" s="671"/>
    </row>
    <row r="1132" spans="15:49" x14ac:dyDescent="0.25">
      <c r="O1132" t="s">
        <v>2212</v>
      </c>
      <c r="P1132" t="s">
        <v>5275</v>
      </c>
      <c r="Q1132" s="671">
        <v>62032</v>
      </c>
      <c r="R1132" s="671"/>
      <c r="AT1132" s="671"/>
      <c r="AU1132" s="671"/>
      <c r="AV1132" s="671"/>
      <c r="AW1132" s="671"/>
    </row>
    <row r="1133" spans="15:49" x14ac:dyDescent="0.25">
      <c r="O1133" t="s">
        <v>2216</v>
      </c>
      <c r="P1133" t="s">
        <v>5275</v>
      </c>
      <c r="Q1133" s="671">
        <v>62032</v>
      </c>
      <c r="R1133" s="671"/>
      <c r="AT1133" s="671"/>
      <c r="AU1133" s="671"/>
      <c r="AV1133" s="671"/>
      <c r="AW1133" s="671"/>
    </row>
    <row r="1134" spans="15:49" x14ac:dyDescent="0.25">
      <c r="O1134" t="s">
        <v>2218</v>
      </c>
      <c r="P1134" t="s">
        <v>5275</v>
      </c>
      <c r="Q1134" s="671">
        <v>62032</v>
      </c>
      <c r="R1134" s="671"/>
      <c r="AT1134" s="671"/>
      <c r="AU1134" s="671"/>
      <c r="AV1134" s="671"/>
      <c r="AW1134" s="671"/>
    </row>
    <row r="1135" spans="15:49" x14ac:dyDescent="0.25">
      <c r="O1135" t="s">
        <v>1900</v>
      </c>
      <c r="P1135" t="s">
        <v>5276</v>
      </c>
      <c r="Q1135" s="671">
        <v>62026</v>
      </c>
      <c r="R1135" s="671"/>
      <c r="AT1135" s="671"/>
      <c r="AU1135" s="671"/>
      <c r="AV1135" s="671"/>
      <c r="AW1135" s="671"/>
    </row>
    <row r="1136" spans="15:49" x14ac:dyDescent="0.25">
      <c r="O1136" t="s">
        <v>1900</v>
      </c>
      <c r="P1136" t="s">
        <v>5276</v>
      </c>
      <c r="Q1136" s="671">
        <v>62026</v>
      </c>
      <c r="R1136" s="671"/>
      <c r="AT1136" s="671"/>
      <c r="AU1136" s="671"/>
      <c r="AV1136" s="671"/>
      <c r="AW1136" s="671"/>
    </row>
    <row r="1137" spans="15:49" x14ac:dyDescent="0.25">
      <c r="O1137" t="s">
        <v>1894</v>
      </c>
      <c r="P1137" t="s">
        <v>5276</v>
      </c>
      <c r="Q1137" s="671">
        <v>62026</v>
      </c>
      <c r="R1137" s="671"/>
      <c r="AT1137" s="671"/>
      <c r="AU1137" s="671"/>
      <c r="AV1137" s="671"/>
      <c r="AW1137" s="671"/>
    </row>
    <row r="1138" spans="15:49" x14ac:dyDescent="0.25">
      <c r="O1138" t="s">
        <v>1894</v>
      </c>
      <c r="P1138" t="s">
        <v>5276</v>
      </c>
      <c r="Q1138" s="671">
        <v>62026</v>
      </c>
      <c r="R1138" s="671"/>
      <c r="AT1138" s="671"/>
      <c r="AU1138" s="671"/>
      <c r="AV1138" s="671"/>
      <c r="AW1138" s="671"/>
    </row>
    <row r="1139" spans="15:49" x14ac:dyDescent="0.25">
      <c r="O1139" t="s">
        <v>1874</v>
      </c>
      <c r="P1139" t="s">
        <v>5276</v>
      </c>
      <c r="Q1139" s="671">
        <v>62026</v>
      </c>
      <c r="R1139" s="671"/>
      <c r="AT1139" s="671"/>
      <c r="AU1139" s="671"/>
      <c r="AV1139" s="671"/>
      <c r="AW1139" s="671"/>
    </row>
    <row r="1140" spans="15:49" x14ac:dyDescent="0.25">
      <c r="O1140" t="s">
        <v>1874</v>
      </c>
      <c r="P1140" t="s">
        <v>5276</v>
      </c>
      <c r="Q1140" s="671">
        <v>62026</v>
      </c>
      <c r="R1140" s="671"/>
      <c r="AT1140" s="671"/>
      <c r="AU1140" s="671"/>
      <c r="AV1140" s="671"/>
      <c r="AW1140" s="671"/>
    </row>
    <row r="1141" spans="15:49" x14ac:dyDescent="0.25">
      <c r="O1141" t="s">
        <v>1874</v>
      </c>
      <c r="P1141" t="s">
        <v>5276</v>
      </c>
      <c r="Q1141" s="671">
        <v>62026</v>
      </c>
      <c r="R1141" s="671"/>
      <c r="AT1141" s="671"/>
      <c r="AU1141" s="671"/>
      <c r="AV1141" s="671"/>
      <c r="AW1141" s="671"/>
    </row>
    <row r="1142" spans="15:49" x14ac:dyDescent="0.25">
      <c r="O1142" t="s">
        <v>1874</v>
      </c>
      <c r="P1142" t="s">
        <v>5276</v>
      </c>
      <c r="Q1142" s="671">
        <v>62026</v>
      </c>
      <c r="R1142" s="671"/>
      <c r="AT1142" s="671"/>
      <c r="AU1142" s="671"/>
      <c r="AV1142" s="671"/>
      <c r="AW1142" s="671"/>
    </row>
    <row r="1143" spans="15:49" x14ac:dyDescent="0.25">
      <c r="O1143" t="s">
        <v>1874</v>
      </c>
      <c r="P1143" t="s">
        <v>5276</v>
      </c>
      <c r="Q1143" s="671">
        <v>62026</v>
      </c>
      <c r="R1143" s="671"/>
      <c r="AT1143" s="671"/>
      <c r="AU1143" s="671"/>
      <c r="AV1143" s="671"/>
      <c r="AW1143" s="671"/>
    </row>
    <row r="1144" spans="15:49" x14ac:dyDescent="0.25">
      <c r="O1144" t="s">
        <v>1874</v>
      </c>
      <c r="P1144" t="s">
        <v>5276</v>
      </c>
      <c r="Q1144" s="671">
        <v>62026</v>
      </c>
      <c r="R1144" s="671"/>
      <c r="AT1144" s="671"/>
      <c r="AU1144" s="671"/>
      <c r="AV1144" s="671"/>
      <c r="AW1144" s="671"/>
    </row>
    <row r="1145" spans="15:49" x14ac:dyDescent="0.25">
      <c r="O1145" t="s">
        <v>1874</v>
      </c>
      <c r="P1145" t="s">
        <v>5276</v>
      </c>
      <c r="Q1145" s="671">
        <v>62026</v>
      </c>
      <c r="R1145" s="671"/>
      <c r="AT1145" s="671"/>
      <c r="AU1145" s="671"/>
      <c r="AV1145" s="671"/>
      <c r="AW1145" s="671"/>
    </row>
    <row r="1146" spans="15:49" x14ac:dyDescent="0.25">
      <c r="O1146" t="s">
        <v>1856</v>
      </c>
      <c r="P1146" t="s">
        <v>5276</v>
      </c>
      <c r="Q1146" s="671">
        <v>62026</v>
      </c>
      <c r="R1146" s="671"/>
      <c r="AT1146" s="671"/>
      <c r="AU1146" s="671"/>
      <c r="AV1146" s="671"/>
      <c r="AW1146" s="671"/>
    </row>
    <row r="1147" spans="15:49" x14ac:dyDescent="0.25">
      <c r="O1147" t="s">
        <v>1856</v>
      </c>
      <c r="P1147" t="s">
        <v>5276</v>
      </c>
      <c r="Q1147" s="671">
        <v>62026</v>
      </c>
      <c r="R1147" s="671"/>
      <c r="AT1147" s="671"/>
      <c r="AU1147" s="671"/>
      <c r="AV1147" s="671"/>
      <c r="AW1147" s="671"/>
    </row>
    <row r="1148" spans="15:49" x14ac:dyDescent="0.25">
      <c r="O1148" t="s">
        <v>1862</v>
      </c>
      <c r="P1148" t="s">
        <v>5276</v>
      </c>
      <c r="Q1148" s="671">
        <v>62026</v>
      </c>
      <c r="R1148" s="671"/>
      <c r="AT1148" s="671"/>
      <c r="AU1148" s="671"/>
      <c r="AV1148" s="671"/>
      <c r="AW1148" s="671"/>
    </row>
    <row r="1149" spans="15:49" x14ac:dyDescent="0.25">
      <c r="O1149" t="s">
        <v>1866</v>
      </c>
      <c r="P1149" t="s">
        <v>5276</v>
      </c>
      <c r="Q1149" s="671">
        <v>62026</v>
      </c>
      <c r="R1149" s="671"/>
      <c r="AT1149" s="671"/>
      <c r="AU1149" s="671"/>
      <c r="AV1149" s="671"/>
      <c r="AW1149" s="671"/>
    </row>
    <row r="1150" spans="15:49" x14ac:dyDescent="0.25">
      <c r="O1150" t="s">
        <v>1866</v>
      </c>
      <c r="P1150" t="s">
        <v>5276</v>
      </c>
      <c r="Q1150" s="671">
        <v>62026</v>
      </c>
      <c r="R1150" s="671"/>
      <c r="AT1150" s="671"/>
      <c r="AU1150" s="671"/>
      <c r="AV1150" s="671"/>
      <c r="AW1150" s="671"/>
    </row>
    <row r="1151" spans="15:49" x14ac:dyDescent="0.25">
      <c r="O1151" t="s">
        <v>1866</v>
      </c>
      <c r="P1151" t="s">
        <v>5276</v>
      </c>
      <c r="Q1151" s="671">
        <v>62026</v>
      </c>
      <c r="R1151" s="671"/>
      <c r="AT1151" s="671"/>
      <c r="AU1151" s="671"/>
      <c r="AV1151" s="671"/>
      <c r="AW1151" s="671"/>
    </row>
    <row r="1152" spans="15:49" x14ac:dyDescent="0.25">
      <c r="O1152" t="s">
        <v>1888</v>
      </c>
      <c r="P1152" t="s">
        <v>5276</v>
      </c>
      <c r="Q1152" s="671">
        <v>62026</v>
      </c>
      <c r="R1152" s="671"/>
      <c r="AT1152" s="671"/>
      <c r="AU1152" s="671"/>
      <c r="AV1152" s="671"/>
      <c r="AW1152" s="671"/>
    </row>
    <row r="1153" spans="15:49" x14ac:dyDescent="0.25">
      <c r="O1153" t="s">
        <v>1888</v>
      </c>
      <c r="P1153" t="s">
        <v>5276</v>
      </c>
      <c r="Q1153" s="671">
        <v>62026</v>
      </c>
      <c r="R1153" s="671"/>
      <c r="AT1153" s="671"/>
      <c r="AU1153" s="671"/>
      <c r="AV1153" s="671"/>
      <c r="AW1153" s="671"/>
    </row>
    <row r="1154" spans="15:49" x14ac:dyDescent="0.25">
      <c r="O1154" t="s">
        <v>1888</v>
      </c>
      <c r="P1154" t="s">
        <v>5276</v>
      </c>
      <c r="Q1154" s="671">
        <v>62026</v>
      </c>
      <c r="R1154" s="671"/>
      <c r="AT1154" s="671"/>
      <c r="AU1154" s="671"/>
      <c r="AV1154" s="671"/>
      <c r="AW1154" s="671"/>
    </row>
    <row r="1155" spans="15:49" x14ac:dyDescent="0.25">
      <c r="O1155" t="s">
        <v>1888</v>
      </c>
      <c r="P1155" t="s">
        <v>5276</v>
      </c>
      <c r="Q1155" s="671">
        <v>62026</v>
      </c>
      <c r="R1155" s="671"/>
      <c r="AT1155" s="671"/>
      <c r="AU1155" s="671"/>
      <c r="AV1155" s="671"/>
      <c r="AW1155" s="671"/>
    </row>
    <row r="1156" spans="15:49" x14ac:dyDescent="0.25">
      <c r="O1156" t="s">
        <v>1851</v>
      </c>
      <c r="P1156" t="s">
        <v>5276</v>
      </c>
      <c r="Q1156" s="671">
        <v>62026</v>
      </c>
      <c r="R1156" s="671"/>
      <c r="AT1156" s="671"/>
      <c r="AU1156" s="671"/>
      <c r="AV1156" s="671"/>
      <c r="AW1156" s="671"/>
    </row>
    <row r="1157" spans="15:49" x14ac:dyDescent="0.25">
      <c r="O1157" t="s">
        <v>1851</v>
      </c>
      <c r="P1157" t="s">
        <v>5276</v>
      </c>
      <c r="Q1157" s="671">
        <v>62026</v>
      </c>
      <c r="R1157" s="671"/>
      <c r="AT1157" s="671"/>
      <c r="AU1157" s="671"/>
      <c r="AV1157" s="671"/>
      <c r="AW1157" s="671"/>
    </row>
    <row r="1158" spans="15:49" x14ac:dyDescent="0.25">
      <c r="O1158" t="s">
        <v>1847</v>
      </c>
      <c r="P1158" t="s">
        <v>5276</v>
      </c>
      <c r="Q1158" s="671">
        <v>62026</v>
      </c>
      <c r="R1158" s="671"/>
      <c r="AT1158" s="671"/>
      <c r="AU1158" s="671"/>
      <c r="AV1158" s="671"/>
      <c r="AW1158" s="671"/>
    </row>
    <row r="1159" spans="15:49" x14ac:dyDescent="0.25">
      <c r="O1159" t="s">
        <v>1847</v>
      </c>
      <c r="P1159" t="s">
        <v>5276</v>
      </c>
      <c r="Q1159" s="671">
        <v>62026</v>
      </c>
      <c r="R1159" s="671"/>
      <c r="AT1159" s="671"/>
      <c r="AU1159" s="671"/>
      <c r="AV1159" s="671"/>
      <c r="AW1159" s="671"/>
    </row>
    <row r="1160" spans="15:49" x14ac:dyDescent="0.25">
      <c r="O1160" t="s">
        <v>1853</v>
      </c>
      <c r="P1160" t="s">
        <v>5276</v>
      </c>
      <c r="Q1160" s="671">
        <v>62026</v>
      </c>
      <c r="R1160" s="671"/>
      <c r="AT1160" s="671"/>
      <c r="AU1160" s="671"/>
      <c r="AV1160" s="671"/>
      <c r="AW1160" s="671"/>
    </row>
    <row r="1161" spans="15:49" x14ac:dyDescent="0.25">
      <c r="O1161" t="s">
        <v>1853</v>
      </c>
      <c r="P1161" t="s">
        <v>5276</v>
      </c>
      <c r="Q1161" s="671">
        <v>62026</v>
      </c>
      <c r="R1161" s="671"/>
      <c r="AT1161" s="671"/>
      <c r="AU1161" s="671"/>
      <c r="AV1161" s="671"/>
      <c r="AW1161" s="671"/>
    </row>
    <row r="1162" spans="15:49" x14ac:dyDescent="0.25">
      <c r="O1162" t="s">
        <v>1844</v>
      </c>
      <c r="P1162" t="s">
        <v>5276</v>
      </c>
      <c r="Q1162" s="671">
        <v>62026</v>
      </c>
      <c r="R1162" s="671"/>
      <c r="AT1162" s="671"/>
      <c r="AU1162" s="671"/>
      <c r="AV1162" s="671"/>
      <c r="AW1162" s="671"/>
    </row>
    <row r="1163" spans="15:49" x14ac:dyDescent="0.25">
      <c r="O1163" t="s">
        <v>1940</v>
      </c>
      <c r="P1163" t="s">
        <v>5277</v>
      </c>
      <c r="Q1163" s="671">
        <v>62029</v>
      </c>
      <c r="R1163" s="671"/>
      <c r="AT1163" s="671"/>
      <c r="AU1163" s="671"/>
      <c r="AV1163" s="671"/>
      <c r="AW1163" s="671"/>
    </row>
    <row r="1164" spans="15:49" x14ac:dyDescent="0.25">
      <c r="O1164" t="s">
        <v>1944</v>
      </c>
      <c r="P1164" t="s">
        <v>5277</v>
      </c>
      <c r="Q1164" s="671">
        <v>62029</v>
      </c>
      <c r="R1164" s="671"/>
      <c r="AT1164" s="671"/>
      <c r="AU1164" s="671"/>
      <c r="AV1164" s="671"/>
      <c r="AW1164" s="671"/>
    </row>
    <row r="1165" spans="15:49" x14ac:dyDescent="0.25">
      <c r="O1165" t="s">
        <v>1952</v>
      </c>
      <c r="P1165" t="s">
        <v>5278</v>
      </c>
      <c r="Q1165" s="671">
        <v>62033</v>
      </c>
      <c r="R1165" s="671"/>
      <c r="AT1165" s="671"/>
      <c r="AU1165" s="671"/>
      <c r="AV1165" s="671"/>
      <c r="AW1165" s="671"/>
    </row>
    <row r="1166" spans="15:49" x14ac:dyDescent="0.25">
      <c r="O1166" t="s">
        <v>1952</v>
      </c>
      <c r="P1166" t="s">
        <v>5277</v>
      </c>
      <c r="Q1166" s="671">
        <v>62029</v>
      </c>
      <c r="R1166" s="671"/>
      <c r="AT1166" s="671"/>
      <c r="AU1166" s="671"/>
      <c r="AV1166" s="671"/>
      <c r="AW1166" s="671"/>
    </row>
    <row r="1167" spans="15:49" x14ac:dyDescent="0.25">
      <c r="O1167" t="s">
        <v>1948</v>
      </c>
      <c r="P1167" t="s">
        <v>5277</v>
      </c>
      <c r="Q1167" s="671">
        <v>62029</v>
      </c>
      <c r="R1167" s="671"/>
      <c r="AT1167" s="671"/>
      <c r="AU1167" s="671"/>
      <c r="AV1167" s="671"/>
      <c r="AW1167" s="671"/>
    </row>
    <row r="1168" spans="15:49" x14ac:dyDescent="0.25">
      <c r="O1168" t="s">
        <v>1936</v>
      </c>
      <c r="P1168" t="s">
        <v>5277</v>
      </c>
      <c r="Q1168" s="671">
        <v>62029</v>
      </c>
      <c r="R1168" s="671"/>
      <c r="AT1168" s="671"/>
      <c r="AU1168" s="671"/>
      <c r="AV1168" s="671"/>
      <c r="AW1168" s="671"/>
    </row>
    <row r="1169" spans="15:49" x14ac:dyDescent="0.25">
      <c r="O1169" t="s">
        <v>2097</v>
      </c>
      <c r="P1169" t="s">
        <v>5265</v>
      </c>
      <c r="Q1169" s="671">
        <v>62030</v>
      </c>
      <c r="R1169" s="671"/>
      <c r="AT1169" s="671"/>
      <c r="AU1169" s="671"/>
      <c r="AV1169" s="671"/>
      <c r="AW1169" s="671"/>
    </row>
    <row r="1170" spans="15:49" x14ac:dyDescent="0.25">
      <c r="O1170" t="s">
        <v>2115</v>
      </c>
      <c r="P1170" t="s">
        <v>5265</v>
      </c>
      <c r="Q1170" s="671">
        <v>62030</v>
      </c>
      <c r="R1170" s="671"/>
      <c r="AT1170" s="671"/>
      <c r="AU1170" s="671"/>
      <c r="AV1170" s="671"/>
      <c r="AW1170" s="671"/>
    </row>
    <row r="1171" spans="15:49" x14ac:dyDescent="0.25">
      <c r="O1171" t="s">
        <v>2115</v>
      </c>
      <c r="P1171" t="s">
        <v>5265</v>
      </c>
      <c r="Q1171" s="671">
        <v>62030</v>
      </c>
      <c r="R1171" s="671"/>
      <c r="AT1171" s="671"/>
      <c r="AU1171" s="671"/>
      <c r="AV1171" s="671"/>
      <c r="AW1171" s="671"/>
    </row>
    <row r="1172" spans="15:49" x14ac:dyDescent="0.25">
      <c r="O1172" t="s">
        <v>2115</v>
      </c>
      <c r="P1172" t="s">
        <v>5265</v>
      </c>
      <c r="Q1172" s="671">
        <v>62030</v>
      </c>
      <c r="R1172" s="671"/>
      <c r="AT1172" s="671"/>
      <c r="AU1172" s="671"/>
      <c r="AV1172" s="671"/>
      <c r="AW1172" s="671"/>
    </row>
    <row r="1173" spans="15:49" x14ac:dyDescent="0.25">
      <c r="O1173" t="s">
        <v>2115</v>
      </c>
      <c r="P1173" t="s">
        <v>5265</v>
      </c>
      <c r="Q1173" s="671">
        <v>62030</v>
      </c>
      <c r="R1173" s="671"/>
      <c r="AT1173" s="671"/>
      <c r="AU1173" s="671"/>
      <c r="AV1173" s="671"/>
      <c r="AW1173" s="671"/>
    </row>
    <row r="1174" spans="15:49" x14ac:dyDescent="0.25">
      <c r="O1174" t="s">
        <v>2111</v>
      </c>
      <c r="P1174" t="s">
        <v>5265</v>
      </c>
      <c r="Q1174" s="671">
        <v>62030</v>
      </c>
      <c r="R1174" s="671"/>
      <c r="AT1174" s="671"/>
      <c r="AU1174" s="671"/>
      <c r="AV1174" s="671"/>
      <c r="AW1174" s="671"/>
    </row>
    <row r="1175" spans="15:49" x14ac:dyDescent="0.25">
      <c r="O1175" t="s">
        <v>2107</v>
      </c>
      <c r="P1175" t="s">
        <v>5265</v>
      </c>
      <c r="Q1175" s="671">
        <v>62030</v>
      </c>
      <c r="R1175" s="671"/>
      <c r="AT1175" s="671"/>
      <c r="AU1175" s="671"/>
      <c r="AV1175" s="671"/>
      <c r="AW1175" s="671"/>
    </row>
    <row r="1176" spans="15:49" x14ac:dyDescent="0.25">
      <c r="O1176" t="s">
        <v>2079</v>
      </c>
      <c r="P1176" t="s">
        <v>5265</v>
      </c>
      <c r="Q1176" s="671">
        <v>62030</v>
      </c>
      <c r="R1176" s="671"/>
      <c r="AT1176" s="671"/>
      <c r="AU1176" s="671"/>
      <c r="AV1176" s="671"/>
      <c r="AW1176" s="671"/>
    </row>
    <row r="1177" spans="15:49" x14ac:dyDescent="0.25">
      <c r="O1177" t="s">
        <v>2081</v>
      </c>
      <c r="P1177" t="s">
        <v>5265</v>
      </c>
      <c r="Q1177" s="671">
        <v>62030</v>
      </c>
      <c r="R1177" s="671"/>
      <c r="AT1177" s="671"/>
      <c r="AU1177" s="671"/>
      <c r="AV1177" s="671"/>
      <c r="AW1177" s="671"/>
    </row>
    <row r="1178" spans="15:49" x14ac:dyDescent="0.25">
      <c r="O1178" t="s">
        <v>2083</v>
      </c>
      <c r="P1178" t="s">
        <v>5265</v>
      </c>
      <c r="Q1178" s="671">
        <v>62030</v>
      </c>
      <c r="R1178" s="671"/>
      <c r="AT1178" s="671"/>
      <c r="AU1178" s="671"/>
      <c r="AV1178" s="671"/>
      <c r="AW1178" s="671"/>
    </row>
    <row r="1179" spans="15:49" x14ac:dyDescent="0.25">
      <c r="O1179" t="s">
        <v>2093</v>
      </c>
      <c r="P1179" t="s">
        <v>5265</v>
      </c>
      <c r="Q1179" s="671">
        <v>62030</v>
      </c>
      <c r="R1179" s="671"/>
      <c r="AT1179" s="671"/>
      <c r="AU1179" s="671"/>
      <c r="AV1179" s="671"/>
      <c r="AW1179" s="671"/>
    </row>
    <row r="1180" spans="15:49" x14ac:dyDescent="0.25">
      <c r="O1180" t="s">
        <v>2093</v>
      </c>
      <c r="P1180" t="s">
        <v>5265</v>
      </c>
      <c r="Q1180" s="671">
        <v>62030</v>
      </c>
      <c r="R1180" s="671"/>
      <c r="AT1180" s="671"/>
      <c r="AU1180" s="671"/>
      <c r="AV1180" s="671"/>
      <c r="AW1180" s="671"/>
    </row>
    <row r="1181" spans="15:49" x14ac:dyDescent="0.25">
      <c r="O1181" t="s">
        <v>2087</v>
      </c>
      <c r="P1181" t="s">
        <v>5265</v>
      </c>
      <c r="Q1181" s="671">
        <v>62030</v>
      </c>
      <c r="R1181" s="671"/>
      <c r="AT1181" s="671"/>
      <c r="AU1181" s="671"/>
      <c r="AV1181" s="671"/>
      <c r="AW1181" s="671"/>
    </row>
    <row r="1182" spans="15:49" x14ac:dyDescent="0.25">
      <c r="O1182" t="s">
        <v>2087</v>
      </c>
      <c r="P1182" t="s">
        <v>5265</v>
      </c>
      <c r="Q1182" s="671">
        <v>62030</v>
      </c>
      <c r="R1182" s="671"/>
      <c r="AT1182" s="671"/>
      <c r="AU1182" s="671"/>
      <c r="AV1182" s="671"/>
      <c r="AW1182" s="671"/>
    </row>
    <row r="1183" spans="15:49" x14ac:dyDescent="0.25">
      <c r="O1183" t="s">
        <v>2101</v>
      </c>
      <c r="P1183" t="s">
        <v>5265</v>
      </c>
      <c r="Q1183" s="671">
        <v>62030</v>
      </c>
      <c r="R1183" s="671"/>
      <c r="AT1183" s="671"/>
      <c r="AU1183" s="671"/>
      <c r="AV1183" s="671"/>
      <c r="AW1183" s="671"/>
    </row>
    <row r="1184" spans="15:49" x14ac:dyDescent="0.25">
      <c r="O1184" t="s">
        <v>2105</v>
      </c>
      <c r="P1184" t="s">
        <v>5265</v>
      </c>
      <c r="Q1184" s="671">
        <v>62030</v>
      </c>
      <c r="R1184" s="671"/>
      <c r="AT1184" s="671"/>
      <c r="AU1184" s="671"/>
      <c r="AV1184" s="671"/>
      <c r="AW1184" s="671"/>
    </row>
    <row r="1185" spans="15:49" x14ac:dyDescent="0.25">
      <c r="O1185" t="s">
        <v>2136</v>
      </c>
      <c r="P1185" t="s">
        <v>5265</v>
      </c>
      <c r="Q1185" s="671">
        <v>62030</v>
      </c>
      <c r="R1185" s="671"/>
      <c r="AT1185" s="671"/>
      <c r="AU1185" s="671"/>
      <c r="AV1185" s="671"/>
      <c r="AW1185" s="671"/>
    </row>
    <row r="1186" spans="15:49" x14ac:dyDescent="0.25">
      <c r="O1186" t="s">
        <v>2136</v>
      </c>
      <c r="P1186" t="s">
        <v>5265</v>
      </c>
      <c r="Q1186" s="671">
        <v>62030</v>
      </c>
      <c r="R1186" s="671"/>
      <c r="AT1186" s="671"/>
      <c r="AU1186" s="671"/>
      <c r="AV1186" s="671"/>
      <c r="AW1186" s="671"/>
    </row>
    <row r="1187" spans="15:49" x14ac:dyDescent="0.25">
      <c r="O1187" t="s">
        <v>2132</v>
      </c>
      <c r="P1187" t="s">
        <v>5265</v>
      </c>
      <c r="Q1187" s="671">
        <v>62030</v>
      </c>
      <c r="R1187" s="671"/>
      <c r="AT1187" s="671"/>
      <c r="AU1187" s="671"/>
      <c r="AV1187" s="671"/>
      <c r="AW1187" s="671"/>
    </row>
    <row r="1188" spans="15:49" x14ac:dyDescent="0.25">
      <c r="O1188" t="s">
        <v>2128</v>
      </c>
      <c r="P1188" t="s">
        <v>5265</v>
      </c>
      <c r="Q1188" s="671">
        <v>62030</v>
      </c>
      <c r="R1188" s="671"/>
      <c r="AT1188" s="671"/>
      <c r="AU1188" s="671"/>
      <c r="AV1188" s="671"/>
      <c r="AW1188" s="671"/>
    </row>
    <row r="1189" spans="15:49" x14ac:dyDescent="0.25">
      <c r="O1189" t="s">
        <v>2119</v>
      </c>
      <c r="P1189" t="s">
        <v>5265</v>
      </c>
      <c r="Q1189" s="671">
        <v>62030</v>
      </c>
      <c r="R1189" s="671"/>
      <c r="AT1189" s="671"/>
      <c r="AU1189" s="671"/>
      <c r="AV1189" s="671"/>
      <c r="AW1189" s="671"/>
    </row>
    <row r="1190" spans="15:49" x14ac:dyDescent="0.25">
      <c r="O1190" t="s">
        <v>2124</v>
      </c>
      <c r="P1190" t="s">
        <v>5265</v>
      </c>
      <c r="Q1190" s="671">
        <v>62030</v>
      </c>
      <c r="R1190" s="671"/>
      <c r="AT1190" s="671"/>
      <c r="AU1190" s="671"/>
      <c r="AV1190" s="671"/>
      <c r="AW1190" s="671"/>
    </row>
    <row r="1191" spans="15:49" x14ac:dyDescent="0.25">
      <c r="O1191" t="s">
        <v>2244</v>
      </c>
      <c r="P1191" t="s">
        <v>5278</v>
      </c>
      <c r="Q1191" s="671">
        <v>62033</v>
      </c>
      <c r="R1191" s="671"/>
      <c r="AT1191" s="671"/>
      <c r="AU1191" s="671"/>
      <c r="AV1191" s="671"/>
      <c r="AW1191" s="671"/>
    </row>
    <row r="1192" spans="15:49" x14ac:dyDescent="0.25">
      <c r="O1192" t="s">
        <v>2244</v>
      </c>
      <c r="P1192" t="s">
        <v>5278</v>
      </c>
      <c r="Q1192" s="671">
        <v>62033</v>
      </c>
      <c r="R1192" s="671"/>
      <c r="AT1192" s="671"/>
      <c r="AU1192" s="671"/>
      <c r="AV1192" s="671"/>
      <c r="AW1192" s="671"/>
    </row>
    <row r="1193" spans="15:49" x14ac:dyDescent="0.25">
      <c r="O1193" t="s">
        <v>2252</v>
      </c>
      <c r="P1193" t="s">
        <v>5278</v>
      </c>
      <c r="Q1193" s="671">
        <v>62033</v>
      </c>
      <c r="R1193" s="671"/>
      <c r="AT1193" s="671"/>
      <c r="AU1193" s="671"/>
      <c r="AV1193" s="671"/>
      <c r="AW1193" s="671"/>
    </row>
    <row r="1194" spans="15:49" x14ac:dyDescent="0.25">
      <c r="O1194" t="s">
        <v>2256</v>
      </c>
      <c r="P1194" t="s">
        <v>5278</v>
      </c>
      <c r="Q1194" s="671">
        <v>62033</v>
      </c>
      <c r="R1194" s="671"/>
      <c r="AT1194" s="671"/>
      <c r="AU1194" s="671"/>
      <c r="AV1194" s="671"/>
      <c r="AW1194" s="671"/>
    </row>
    <row r="1195" spans="15:49" x14ac:dyDescent="0.25">
      <c r="O1195" t="s">
        <v>2256</v>
      </c>
      <c r="P1195" t="s">
        <v>5278</v>
      </c>
      <c r="Q1195" s="671">
        <v>62033</v>
      </c>
      <c r="R1195" s="671"/>
      <c r="AT1195" s="671"/>
      <c r="AU1195" s="671"/>
      <c r="AV1195" s="671"/>
      <c r="AW1195" s="671"/>
    </row>
    <row r="1196" spans="15:49" x14ac:dyDescent="0.25">
      <c r="O1196" t="s">
        <v>2256</v>
      </c>
      <c r="P1196" t="s">
        <v>5278</v>
      </c>
      <c r="Q1196" s="671">
        <v>62033</v>
      </c>
      <c r="R1196" s="671"/>
      <c r="AT1196" s="671"/>
      <c r="AU1196" s="671"/>
      <c r="AV1196" s="671"/>
      <c r="AW1196" s="671"/>
    </row>
    <row r="1197" spans="15:49" x14ac:dyDescent="0.25">
      <c r="O1197" t="s">
        <v>2248</v>
      </c>
      <c r="P1197" t="s">
        <v>5278</v>
      </c>
      <c r="Q1197" s="671">
        <v>62033</v>
      </c>
      <c r="R1197" s="671"/>
      <c r="AT1197" s="671"/>
      <c r="AU1197" s="671"/>
      <c r="AV1197" s="671"/>
      <c r="AW1197" s="671"/>
    </row>
    <row r="1198" spans="15:49" x14ac:dyDescent="0.25">
      <c r="O1198" t="s">
        <v>2248</v>
      </c>
      <c r="P1198" t="s">
        <v>5278</v>
      </c>
      <c r="Q1198" s="671">
        <v>62033</v>
      </c>
      <c r="R1198" s="671"/>
      <c r="AT1198" s="671"/>
      <c r="AU1198" s="671"/>
      <c r="AV1198" s="671"/>
      <c r="AW1198" s="671"/>
    </row>
    <row r="1199" spans="15:49" x14ac:dyDescent="0.25">
      <c r="O1199" t="s">
        <v>2280</v>
      </c>
      <c r="P1199" t="s">
        <v>5278</v>
      </c>
      <c r="Q1199" s="671">
        <v>62033</v>
      </c>
      <c r="R1199" s="671"/>
      <c r="AT1199" s="671"/>
      <c r="AU1199" s="671"/>
      <c r="AV1199" s="671"/>
      <c r="AW1199" s="671"/>
    </row>
    <row r="1200" spans="15:49" x14ac:dyDescent="0.25">
      <c r="O1200" t="s">
        <v>2280</v>
      </c>
      <c r="P1200" t="s">
        <v>5278</v>
      </c>
      <c r="Q1200" s="671">
        <v>62033</v>
      </c>
      <c r="R1200" s="671"/>
      <c r="AT1200" s="671"/>
      <c r="AU1200" s="671"/>
      <c r="AV1200" s="671"/>
      <c r="AW1200" s="671"/>
    </row>
    <row r="1201" spans="15:49" x14ac:dyDescent="0.25">
      <c r="O1201" t="s">
        <v>2289</v>
      </c>
      <c r="P1201" t="s">
        <v>5278</v>
      </c>
      <c r="Q1201" s="671">
        <v>62033</v>
      </c>
      <c r="R1201" s="671"/>
      <c r="AT1201" s="671"/>
      <c r="AU1201" s="671"/>
      <c r="AV1201" s="671"/>
      <c r="AW1201" s="671"/>
    </row>
    <row r="1202" spans="15:49" x14ac:dyDescent="0.25">
      <c r="O1202" t="s">
        <v>2286</v>
      </c>
      <c r="P1202" t="s">
        <v>5278</v>
      </c>
      <c r="Q1202" s="671">
        <v>62033</v>
      </c>
      <c r="R1202" s="671"/>
      <c r="AT1202" s="671"/>
      <c r="AU1202" s="671"/>
      <c r="AV1202" s="671"/>
      <c r="AW1202" s="671"/>
    </row>
    <row r="1203" spans="15:49" x14ac:dyDescent="0.25">
      <c r="O1203" t="s">
        <v>2299</v>
      </c>
      <c r="P1203" t="s">
        <v>5278</v>
      </c>
      <c r="Q1203" s="671">
        <v>62033</v>
      </c>
      <c r="R1203" s="671"/>
      <c r="AT1203" s="671"/>
      <c r="AU1203" s="671"/>
      <c r="AV1203" s="671"/>
      <c r="AW1203" s="671"/>
    </row>
    <row r="1204" spans="15:49" x14ac:dyDescent="0.25">
      <c r="O1204" t="s">
        <v>2293</v>
      </c>
      <c r="P1204" t="s">
        <v>5278</v>
      </c>
      <c r="Q1204" s="671">
        <v>62033</v>
      </c>
      <c r="R1204" s="671"/>
      <c r="AT1204" s="671"/>
      <c r="AU1204" s="671"/>
      <c r="AV1204" s="671"/>
      <c r="AW1204" s="671"/>
    </row>
    <row r="1205" spans="15:49" x14ac:dyDescent="0.25">
      <c r="O1205" t="s">
        <v>2293</v>
      </c>
      <c r="P1205" t="s">
        <v>5278</v>
      </c>
      <c r="Q1205" s="671">
        <v>62033</v>
      </c>
      <c r="R1205" s="671"/>
      <c r="AT1205" s="671"/>
      <c r="AU1205" s="671"/>
      <c r="AV1205" s="671"/>
      <c r="AW1205" s="671"/>
    </row>
    <row r="1206" spans="15:49" x14ac:dyDescent="0.25">
      <c r="O1206" t="s">
        <v>2303</v>
      </c>
      <c r="P1206" t="s">
        <v>5278</v>
      </c>
      <c r="Q1206" s="671">
        <v>62033</v>
      </c>
      <c r="R1206" s="671"/>
      <c r="AT1206" s="671"/>
      <c r="AU1206" s="671"/>
      <c r="AV1206" s="671"/>
      <c r="AW1206" s="671"/>
    </row>
    <row r="1207" spans="15:49" x14ac:dyDescent="0.25">
      <c r="O1207" t="s">
        <v>2303</v>
      </c>
      <c r="P1207" t="s">
        <v>5278</v>
      </c>
      <c r="Q1207" s="671">
        <v>62033</v>
      </c>
      <c r="R1207" s="671"/>
      <c r="AT1207" s="671"/>
      <c r="AU1207" s="671"/>
      <c r="AV1207" s="671"/>
      <c r="AW1207" s="671"/>
    </row>
    <row r="1208" spans="15:49" x14ac:dyDescent="0.25">
      <c r="O1208" t="s">
        <v>2226</v>
      </c>
      <c r="P1208" t="s">
        <v>5278</v>
      </c>
      <c r="Q1208" s="671">
        <v>62033</v>
      </c>
      <c r="R1208" s="671"/>
      <c r="AT1208" s="671"/>
      <c r="AU1208" s="671"/>
      <c r="AV1208" s="671"/>
      <c r="AW1208" s="671"/>
    </row>
    <row r="1209" spans="15:49" x14ac:dyDescent="0.25">
      <c r="O1209" t="s">
        <v>2226</v>
      </c>
      <c r="P1209" t="s">
        <v>5278</v>
      </c>
      <c r="Q1209" s="671">
        <v>62033</v>
      </c>
      <c r="R1209" s="671"/>
      <c r="AT1209" s="671"/>
      <c r="AU1209" s="671"/>
      <c r="AV1209" s="671"/>
      <c r="AW1209" s="671"/>
    </row>
    <row r="1210" spans="15:49" x14ac:dyDescent="0.25">
      <c r="O1210" t="s">
        <v>2226</v>
      </c>
      <c r="P1210" t="s">
        <v>5278</v>
      </c>
      <c r="Q1210" s="671">
        <v>62033</v>
      </c>
      <c r="R1210" s="671"/>
      <c r="AT1210" s="671"/>
      <c r="AU1210" s="671"/>
      <c r="AV1210" s="671"/>
      <c r="AW1210" s="671"/>
    </row>
    <row r="1211" spans="15:49" x14ac:dyDescent="0.25">
      <c r="O1211" t="s">
        <v>2270</v>
      </c>
      <c r="P1211" t="s">
        <v>5278</v>
      </c>
      <c r="Q1211" s="671">
        <v>62033</v>
      </c>
      <c r="R1211" s="671"/>
      <c r="AT1211" s="671"/>
      <c r="AU1211" s="671"/>
      <c r="AV1211" s="671"/>
      <c r="AW1211" s="671"/>
    </row>
    <row r="1212" spans="15:49" x14ac:dyDescent="0.25">
      <c r="O1212" t="s">
        <v>2270</v>
      </c>
      <c r="P1212" t="s">
        <v>5278</v>
      </c>
      <c r="Q1212" s="671">
        <v>62033</v>
      </c>
      <c r="R1212" s="671"/>
      <c r="AT1212" s="671"/>
      <c r="AU1212" s="671"/>
      <c r="AV1212" s="671"/>
      <c r="AW1212" s="671"/>
    </row>
    <row r="1213" spans="15:49" x14ac:dyDescent="0.25">
      <c r="O1213" t="s">
        <v>2270</v>
      </c>
      <c r="P1213" t="s">
        <v>5278</v>
      </c>
      <c r="Q1213" s="671">
        <v>62033</v>
      </c>
      <c r="R1213" s="671"/>
      <c r="AT1213" s="671"/>
      <c r="AU1213" s="671"/>
      <c r="AV1213" s="671"/>
      <c r="AW1213" s="671"/>
    </row>
    <row r="1214" spans="15:49" x14ac:dyDescent="0.25">
      <c r="O1214" t="s">
        <v>2270</v>
      </c>
      <c r="P1214" t="s">
        <v>5278</v>
      </c>
      <c r="Q1214" s="671">
        <v>62033</v>
      </c>
      <c r="R1214" s="671"/>
      <c r="AT1214" s="671"/>
      <c r="AU1214" s="671"/>
      <c r="AV1214" s="671"/>
      <c r="AW1214" s="671"/>
    </row>
    <row r="1215" spans="15:49" x14ac:dyDescent="0.25">
      <c r="O1215" t="s">
        <v>2264</v>
      </c>
      <c r="P1215" t="s">
        <v>5278</v>
      </c>
      <c r="Q1215" s="671">
        <v>62033</v>
      </c>
      <c r="R1215" s="671"/>
      <c r="AT1215" s="671"/>
      <c r="AU1215" s="671"/>
      <c r="AV1215" s="671"/>
      <c r="AW1215" s="671"/>
    </row>
    <row r="1216" spans="15:49" x14ac:dyDescent="0.25">
      <c r="O1216" t="s">
        <v>2264</v>
      </c>
      <c r="P1216" t="s">
        <v>5278</v>
      </c>
      <c r="Q1216" s="671">
        <v>62033</v>
      </c>
      <c r="R1216" s="671"/>
      <c r="AT1216" s="671"/>
      <c r="AU1216" s="671"/>
      <c r="AV1216" s="671"/>
      <c r="AW1216" s="671"/>
    </row>
    <row r="1217" spans="15:49" x14ac:dyDescent="0.25">
      <c r="O1217" t="s">
        <v>2274</v>
      </c>
      <c r="P1217" t="s">
        <v>5278</v>
      </c>
      <c r="Q1217" s="671">
        <v>62033</v>
      </c>
      <c r="R1217" s="671"/>
      <c r="AT1217" s="671"/>
      <c r="AU1217" s="671"/>
      <c r="AV1217" s="671"/>
      <c r="AW1217" s="671"/>
    </row>
    <row r="1218" spans="15:49" x14ac:dyDescent="0.25">
      <c r="O1218" t="s">
        <v>2274</v>
      </c>
      <c r="P1218" t="s">
        <v>5278</v>
      </c>
      <c r="Q1218" s="671">
        <v>62033</v>
      </c>
      <c r="R1218" s="671"/>
      <c r="AT1218" s="671"/>
      <c r="AU1218" s="671"/>
      <c r="AV1218" s="671"/>
      <c r="AW1218" s="671"/>
    </row>
    <row r="1219" spans="15:49" x14ac:dyDescent="0.25">
      <c r="O1219" t="s">
        <v>2278</v>
      </c>
      <c r="P1219" t="s">
        <v>5278</v>
      </c>
      <c r="Q1219" s="671">
        <v>62033</v>
      </c>
      <c r="R1219" s="671"/>
      <c r="AT1219" s="671"/>
      <c r="AU1219" s="671"/>
      <c r="AV1219" s="671"/>
      <c r="AW1219" s="671"/>
    </row>
    <row r="1220" spans="15:49" x14ac:dyDescent="0.25">
      <c r="O1220" t="s">
        <v>2278</v>
      </c>
      <c r="P1220" t="s">
        <v>5278</v>
      </c>
      <c r="Q1220" s="671">
        <v>62033</v>
      </c>
      <c r="R1220" s="671"/>
      <c r="AT1220" s="671"/>
      <c r="AU1220" s="671"/>
      <c r="AV1220" s="671"/>
      <c r="AW1220" s="671"/>
    </row>
    <row r="1221" spans="15:49" x14ac:dyDescent="0.25">
      <c r="O1221" t="s">
        <v>2232</v>
      </c>
      <c r="P1221" t="s">
        <v>5278</v>
      </c>
      <c r="Q1221" s="671">
        <v>62033</v>
      </c>
      <c r="R1221" s="671"/>
      <c r="AT1221" s="671"/>
      <c r="AU1221" s="671"/>
      <c r="AV1221" s="671"/>
      <c r="AW1221" s="671"/>
    </row>
    <row r="1222" spans="15:49" x14ac:dyDescent="0.25">
      <c r="O1222" t="s">
        <v>2236</v>
      </c>
      <c r="P1222" t="s">
        <v>5278</v>
      </c>
      <c r="Q1222" s="671">
        <v>62033</v>
      </c>
      <c r="R1222" s="671"/>
      <c r="AT1222" s="671"/>
      <c r="AU1222" s="671"/>
      <c r="AV1222" s="671"/>
      <c r="AW1222" s="671"/>
    </row>
    <row r="1223" spans="15:49" x14ac:dyDescent="0.25">
      <c r="O1223" t="s">
        <v>2236</v>
      </c>
      <c r="P1223" t="s">
        <v>5278</v>
      </c>
      <c r="Q1223" s="671">
        <v>62033</v>
      </c>
      <c r="R1223" s="671"/>
      <c r="AT1223" s="671"/>
      <c r="AU1223" s="671"/>
      <c r="AV1223" s="671"/>
      <c r="AW1223" s="671"/>
    </row>
    <row r="1224" spans="15:49" x14ac:dyDescent="0.25">
      <c r="O1224" t="s">
        <v>2236</v>
      </c>
      <c r="P1224" t="s">
        <v>5278</v>
      </c>
      <c r="Q1224" s="671">
        <v>62033</v>
      </c>
      <c r="R1224" s="671"/>
      <c r="AT1224" s="671"/>
      <c r="AU1224" s="671"/>
      <c r="AV1224" s="671"/>
      <c r="AW1224" s="671"/>
    </row>
    <row r="1225" spans="15:49" x14ac:dyDescent="0.25">
      <c r="O1225" t="s">
        <v>2240</v>
      </c>
      <c r="P1225" t="s">
        <v>5278</v>
      </c>
      <c r="Q1225" s="671">
        <v>62033</v>
      </c>
      <c r="R1225" s="671"/>
      <c r="AT1225" s="671"/>
      <c r="AU1225" s="671"/>
      <c r="AV1225" s="671"/>
      <c r="AW1225" s="671"/>
    </row>
    <row r="1226" spans="15:49" x14ac:dyDescent="0.25">
      <c r="O1226" t="s">
        <v>1924</v>
      </c>
      <c r="P1226" t="s">
        <v>5259</v>
      </c>
      <c r="Q1226" s="671">
        <v>62027</v>
      </c>
      <c r="R1226" s="671"/>
      <c r="AT1226" s="671"/>
      <c r="AU1226" s="671"/>
      <c r="AV1226" s="671"/>
      <c r="AW1226" s="671"/>
    </row>
    <row r="1227" spans="15:49" x14ac:dyDescent="0.25">
      <c r="O1227" t="s">
        <v>1902</v>
      </c>
      <c r="P1227" t="s">
        <v>5259</v>
      </c>
      <c r="Q1227" s="671">
        <v>62027</v>
      </c>
      <c r="R1227" s="671"/>
      <c r="AT1227" s="671"/>
      <c r="AU1227" s="671"/>
      <c r="AV1227" s="671"/>
      <c r="AW1227" s="671"/>
    </row>
    <row r="1228" spans="15:49" x14ac:dyDescent="0.25">
      <c r="O1228" t="s">
        <v>1902</v>
      </c>
      <c r="P1228" t="s">
        <v>5259</v>
      </c>
      <c r="Q1228" s="671">
        <v>62027</v>
      </c>
      <c r="R1228" s="671"/>
      <c r="AT1228" s="671"/>
      <c r="AU1228" s="671"/>
      <c r="AV1228" s="671"/>
      <c r="AW1228" s="671"/>
    </row>
    <row r="1229" spans="15:49" x14ac:dyDescent="0.25">
      <c r="O1229" t="s">
        <v>1902</v>
      </c>
      <c r="P1229" t="s">
        <v>5259</v>
      </c>
      <c r="Q1229" s="671">
        <v>62027</v>
      </c>
      <c r="R1229" s="671"/>
      <c r="AT1229" s="671"/>
      <c r="AU1229" s="671"/>
      <c r="AV1229" s="671"/>
      <c r="AW1229" s="671"/>
    </row>
    <row r="1230" spans="15:49" x14ac:dyDescent="0.25">
      <c r="O1230" t="s">
        <v>1902</v>
      </c>
      <c r="P1230" t="s">
        <v>5259</v>
      </c>
      <c r="Q1230" s="671">
        <v>62027</v>
      </c>
      <c r="R1230" s="671"/>
      <c r="AT1230" s="671"/>
      <c r="AU1230" s="671"/>
      <c r="AV1230" s="671"/>
      <c r="AW1230" s="671"/>
    </row>
    <row r="1231" spans="15:49" x14ac:dyDescent="0.25">
      <c r="O1231" t="s">
        <v>1902</v>
      </c>
      <c r="P1231" t="s">
        <v>5259</v>
      </c>
      <c r="Q1231" s="671">
        <v>62027</v>
      </c>
      <c r="R1231" s="671"/>
      <c r="AT1231" s="671"/>
      <c r="AU1231" s="671"/>
      <c r="AV1231" s="671"/>
      <c r="AW1231" s="671"/>
    </row>
    <row r="1232" spans="15:49" x14ac:dyDescent="0.25">
      <c r="O1232" t="s">
        <v>1902</v>
      </c>
      <c r="P1232" t="s">
        <v>5259</v>
      </c>
      <c r="Q1232" s="671">
        <v>62027</v>
      </c>
      <c r="R1232" s="671"/>
      <c r="AT1232" s="671"/>
      <c r="AU1232" s="671"/>
      <c r="AV1232" s="671"/>
      <c r="AW1232" s="671"/>
    </row>
    <row r="1233" spans="15:49" x14ac:dyDescent="0.25">
      <c r="O1233" t="s">
        <v>1902</v>
      </c>
      <c r="P1233" t="s">
        <v>5259</v>
      </c>
      <c r="Q1233" s="671">
        <v>62027</v>
      </c>
      <c r="R1233" s="671"/>
      <c r="AT1233" s="671"/>
      <c r="AU1233" s="671"/>
      <c r="AV1233" s="671"/>
      <c r="AW1233" s="671"/>
    </row>
    <row r="1234" spans="15:49" x14ac:dyDescent="0.25">
      <c r="O1234" t="s">
        <v>1919</v>
      </c>
      <c r="P1234" t="s">
        <v>5259</v>
      </c>
      <c r="Q1234" s="671">
        <v>62027</v>
      </c>
      <c r="R1234" s="671"/>
      <c r="AT1234" s="671"/>
      <c r="AU1234" s="671"/>
      <c r="AV1234" s="671"/>
      <c r="AW1234" s="671"/>
    </row>
    <row r="1235" spans="15:49" x14ac:dyDescent="0.25">
      <c r="O1235" t="s">
        <v>1919</v>
      </c>
      <c r="P1235" t="s">
        <v>5259</v>
      </c>
      <c r="Q1235" s="671">
        <v>62027</v>
      </c>
      <c r="R1235" s="671"/>
      <c r="AT1235" s="671"/>
      <c r="AU1235" s="671"/>
      <c r="AV1235" s="671"/>
      <c r="AW1235" s="671"/>
    </row>
    <row r="1236" spans="15:49" x14ac:dyDescent="0.25">
      <c r="O1236" t="s">
        <v>1919</v>
      </c>
      <c r="P1236" t="s">
        <v>5259</v>
      </c>
      <c r="Q1236" s="671">
        <v>62027</v>
      </c>
      <c r="R1236" s="671"/>
      <c r="AT1236" s="671"/>
      <c r="AU1236" s="671"/>
      <c r="AV1236" s="671"/>
      <c r="AW1236" s="671"/>
    </row>
    <row r="1237" spans="15:49" x14ac:dyDescent="0.25">
      <c r="O1237" t="s">
        <v>1919</v>
      </c>
      <c r="P1237" t="s">
        <v>5259</v>
      </c>
      <c r="Q1237" s="671">
        <v>62027</v>
      </c>
      <c r="R1237" s="671"/>
      <c r="AT1237" s="671"/>
      <c r="AU1237" s="671"/>
      <c r="AV1237" s="671"/>
      <c r="AW1237" s="671"/>
    </row>
    <row r="1238" spans="15:49" x14ac:dyDescent="0.25">
      <c r="O1238" t="s">
        <v>1928</v>
      </c>
      <c r="P1238" t="s">
        <v>5259</v>
      </c>
      <c r="Q1238" s="671">
        <v>62027</v>
      </c>
      <c r="R1238" s="671"/>
      <c r="AT1238" s="671"/>
      <c r="AU1238" s="671"/>
      <c r="AV1238" s="671"/>
      <c r="AW1238" s="671"/>
    </row>
    <row r="1239" spans="15:49" x14ac:dyDescent="0.25">
      <c r="O1239" t="s">
        <v>1928</v>
      </c>
      <c r="P1239" t="s">
        <v>5259</v>
      </c>
      <c r="Q1239" s="671">
        <v>62027</v>
      </c>
      <c r="R1239" s="671"/>
      <c r="AT1239" s="671"/>
      <c r="AU1239" s="671"/>
      <c r="AV1239" s="671"/>
      <c r="AW1239" s="671"/>
    </row>
    <row r="1240" spans="15:49" x14ac:dyDescent="0.25">
      <c r="O1240" t="s">
        <v>1928</v>
      </c>
      <c r="P1240" t="s">
        <v>5259</v>
      </c>
      <c r="Q1240" s="671">
        <v>62027</v>
      </c>
      <c r="R1240" s="671"/>
      <c r="AT1240" s="671"/>
      <c r="AU1240" s="671"/>
      <c r="AV1240" s="671"/>
      <c r="AW1240" s="671"/>
    </row>
    <row r="1241" spans="15:49" x14ac:dyDescent="0.25">
      <c r="O1241" t="s">
        <v>1604</v>
      </c>
      <c r="P1241" t="s">
        <v>5279</v>
      </c>
      <c r="Q1241" s="671">
        <v>62022</v>
      </c>
      <c r="R1241" s="671"/>
      <c r="AT1241" s="671"/>
      <c r="AU1241" s="671"/>
      <c r="AV1241" s="671"/>
      <c r="AW1241" s="671"/>
    </row>
    <row r="1242" spans="15:49" x14ac:dyDescent="0.25">
      <c r="O1242" t="s">
        <v>1604</v>
      </c>
      <c r="P1242" t="s">
        <v>5279</v>
      </c>
      <c r="Q1242" s="671">
        <v>62022</v>
      </c>
      <c r="R1242" s="671"/>
      <c r="AT1242" s="671"/>
      <c r="AU1242" s="671"/>
      <c r="AV1242" s="671"/>
      <c r="AW1242" s="671"/>
    </row>
    <row r="1243" spans="15:49" x14ac:dyDescent="0.25">
      <c r="O1243" t="s">
        <v>1604</v>
      </c>
      <c r="P1243" t="s">
        <v>5279</v>
      </c>
      <c r="Q1243" s="671">
        <v>62022</v>
      </c>
      <c r="R1243" s="671"/>
      <c r="AT1243" s="671"/>
      <c r="AU1243" s="671"/>
      <c r="AV1243" s="671"/>
      <c r="AW1243" s="671"/>
    </row>
    <row r="1244" spans="15:49" x14ac:dyDescent="0.25">
      <c r="O1244" t="s">
        <v>1604</v>
      </c>
      <c r="P1244" t="s">
        <v>5279</v>
      </c>
      <c r="Q1244" s="671">
        <v>62022</v>
      </c>
      <c r="R1244" s="671"/>
      <c r="AT1244" s="671"/>
      <c r="AU1244" s="671"/>
      <c r="AV1244" s="671"/>
      <c r="AW1244" s="671"/>
    </row>
    <row r="1245" spans="15:49" x14ac:dyDescent="0.25">
      <c r="O1245" t="s">
        <v>1623</v>
      </c>
      <c r="P1245" t="s">
        <v>5279</v>
      </c>
      <c r="Q1245" s="671">
        <v>62022</v>
      </c>
      <c r="R1245" s="671"/>
      <c r="AT1245" s="671"/>
      <c r="AU1245" s="671"/>
      <c r="AV1245" s="671"/>
      <c r="AW1245" s="671"/>
    </row>
    <row r="1246" spans="15:49" x14ac:dyDescent="0.25">
      <c r="O1246" t="s">
        <v>1623</v>
      </c>
      <c r="P1246" t="s">
        <v>5279</v>
      </c>
      <c r="Q1246" s="671">
        <v>62022</v>
      </c>
      <c r="R1246" s="671"/>
      <c r="AT1246" s="671"/>
      <c r="AU1246" s="671"/>
      <c r="AV1246" s="671"/>
      <c r="AW1246" s="671"/>
    </row>
    <row r="1247" spans="15:49" x14ac:dyDescent="0.25">
      <c r="O1247" t="s">
        <v>1623</v>
      </c>
      <c r="P1247" t="s">
        <v>5279</v>
      </c>
      <c r="Q1247" s="671">
        <v>62022</v>
      </c>
      <c r="R1247" s="671"/>
      <c r="AT1247" s="671"/>
      <c r="AU1247" s="671"/>
      <c r="AV1247" s="671"/>
      <c r="AW1247" s="671"/>
    </row>
    <row r="1248" spans="15:49" x14ac:dyDescent="0.25">
      <c r="O1248" t="s">
        <v>1613</v>
      </c>
      <c r="P1248" t="s">
        <v>5279</v>
      </c>
      <c r="Q1248" s="671">
        <v>62022</v>
      </c>
      <c r="R1248" s="671"/>
      <c r="AT1248" s="671"/>
      <c r="AU1248" s="671"/>
      <c r="AV1248" s="671"/>
      <c r="AW1248" s="671"/>
    </row>
    <row r="1249" spans="15:49" x14ac:dyDescent="0.25">
      <c r="O1249" t="s">
        <v>1613</v>
      </c>
      <c r="P1249" t="s">
        <v>5279</v>
      </c>
      <c r="Q1249" s="671">
        <v>62022</v>
      </c>
      <c r="R1249" s="671"/>
      <c r="AT1249" s="671"/>
      <c r="AU1249" s="671"/>
      <c r="AV1249" s="671"/>
      <c r="AW1249" s="671"/>
    </row>
    <row r="1250" spans="15:49" x14ac:dyDescent="0.25">
      <c r="O1250" t="s">
        <v>1613</v>
      </c>
      <c r="P1250" t="s">
        <v>5279</v>
      </c>
      <c r="Q1250" s="671">
        <v>62022</v>
      </c>
      <c r="R1250" s="671"/>
      <c r="AT1250" s="671"/>
      <c r="AU1250" s="671"/>
      <c r="AV1250" s="671"/>
      <c r="AW1250" s="671"/>
    </row>
    <row r="1251" spans="15:49" x14ac:dyDescent="0.25">
      <c r="O1251" t="s">
        <v>1619</v>
      </c>
      <c r="P1251" t="s">
        <v>5279</v>
      </c>
      <c r="Q1251" s="671">
        <v>62022</v>
      </c>
      <c r="R1251" s="671"/>
      <c r="AT1251" s="671"/>
      <c r="AU1251" s="671"/>
      <c r="AV1251" s="671"/>
      <c r="AW1251" s="671"/>
    </row>
    <row r="1252" spans="15:49" x14ac:dyDescent="0.25">
      <c r="O1252" t="s">
        <v>1619</v>
      </c>
      <c r="P1252" t="s">
        <v>5279</v>
      </c>
      <c r="Q1252" s="671">
        <v>62022</v>
      </c>
      <c r="R1252" s="671"/>
      <c r="AT1252" s="671"/>
      <c r="AU1252" s="671"/>
      <c r="AV1252" s="671"/>
      <c r="AW1252" s="671"/>
    </row>
    <row r="1253" spans="15:49" x14ac:dyDescent="0.25">
      <c r="O1253" t="s">
        <v>1590</v>
      </c>
      <c r="P1253" t="s">
        <v>5279</v>
      </c>
      <c r="Q1253" s="671">
        <v>62022</v>
      </c>
      <c r="R1253" s="671"/>
      <c r="AT1253" s="671"/>
      <c r="AU1253" s="671"/>
      <c r="AV1253" s="671"/>
      <c r="AW1253" s="671"/>
    </row>
    <row r="1254" spans="15:49" x14ac:dyDescent="0.25">
      <c r="O1254" t="s">
        <v>1590</v>
      </c>
      <c r="P1254" t="s">
        <v>5279</v>
      </c>
      <c r="Q1254" s="671">
        <v>62022</v>
      </c>
      <c r="R1254" s="671"/>
      <c r="AT1254" s="671"/>
      <c r="AU1254" s="671"/>
      <c r="AV1254" s="671"/>
      <c r="AW1254" s="671"/>
    </row>
    <row r="1255" spans="15:49" x14ac:dyDescent="0.25">
      <c r="O1255" t="s">
        <v>1590</v>
      </c>
      <c r="P1255" t="s">
        <v>5279</v>
      </c>
      <c r="Q1255" s="671">
        <v>62022</v>
      </c>
      <c r="R1255" s="671"/>
      <c r="AT1255" s="671"/>
      <c r="AU1255" s="671"/>
      <c r="AV1255" s="671"/>
      <c r="AW1255" s="671"/>
    </row>
    <row r="1256" spans="15:49" x14ac:dyDescent="0.25">
      <c r="O1256" t="s">
        <v>1590</v>
      </c>
      <c r="P1256" t="s">
        <v>5279</v>
      </c>
      <c r="Q1256" s="671">
        <v>62022</v>
      </c>
      <c r="R1256" s="671"/>
      <c r="AT1256" s="671"/>
      <c r="AU1256" s="671"/>
      <c r="AV1256" s="671"/>
      <c r="AW1256" s="671"/>
    </row>
    <row r="1257" spans="15:49" x14ac:dyDescent="0.25">
      <c r="O1257" t="s">
        <v>1590</v>
      </c>
      <c r="P1257" t="s">
        <v>5279</v>
      </c>
      <c r="Q1257" s="671">
        <v>62022</v>
      </c>
      <c r="R1257" s="671"/>
      <c r="AT1257" s="671"/>
      <c r="AU1257" s="671"/>
      <c r="AV1257" s="671"/>
      <c r="AW1257" s="671"/>
    </row>
    <row r="1258" spans="15:49" x14ac:dyDescent="0.25">
      <c r="O1258" t="s">
        <v>1649</v>
      </c>
      <c r="P1258" t="s">
        <v>5279</v>
      </c>
      <c r="Q1258" s="671">
        <v>62022</v>
      </c>
      <c r="R1258" s="671"/>
      <c r="AT1258" s="671"/>
      <c r="AU1258" s="671"/>
      <c r="AV1258" s="671"/>
      <c r="AW1258" s="671"/>
    </row>
    <row r="1259" spans="15:49" x14ac:dyDescent="0.25">
      <c r="O1259" t="s">
        <v>1649</v>
      </c>
      <c r="P1259" t="s">
        <v>5279</v>
      </c>
      <c r="Q1259" s="671">
        <v>62022</v>
      </c>
      <c r="R1259" s="671"/>
      <c r="AT1259" s="671"/>
      <c r="AU1259" s="671"/>
      <c r="AV1259" s="671"/>
      <c r="AW1259" s="671"/>
    </row>
    <row r="1260" spans="15:49" x14ac:dyDescent="0.25">
      <c r="O1260" t="s">
        <v>1631</v>
      </c>
      <c r="P1260" t="s">
        <v>5279</v>
      </c>
      <c r="Q1260" s="671">
        <v>62022</v>
      </c>
      <c r="R1260" s="671"/>
      <c r="AT1260" s="671"/>
      <c r="AU1260" s="671"/>
      <c r="AV1260" s="671"/>
      <c r="AW1260" s="671"/>
    </row>
    <row r="1261" spans="15:49" x14ac:dyDescent="0.25">
      <c r="O1261" t="s">
        <v>1631</v>
      </c>
      <c r="P1261" t="s">
        <v>5279</v>
      </c>
      <c r="Q1261" s="671">
        <v>62022</v>
      </c>
      <c r="R1261" s="671"/>
      <c r="AT1261" s="671"/>
      <c r="AU1261" s="671"/>
      <c r="AV1261" s="671"/>
      <c r="AW1261" s="671"/>
    </row>
    <row r="1262" spans="15:49" x14ac:dyDescent="0.25">
      <c r="O1262" t="s">
        <v>1631</v>
      </c>
      <c r="P1262" t="s">
        <v>5279</v>
      </c>
      <c r="Q1262" s="671">
        <v>62022</v>
      </c>
      <c r="R1262" s="671"/>
      <c r="AT1262" s="671"/>
      <c r="AU1262" s="671"/>
      <c r="AV1262" s="671"/>
      <c r="AW1262" s="671"/>
    </row>
    <row r="1263" spans="15:49" x14ac:dyDescent="0.25">
      <c r="O1263" t="s">
        <v>1631</v>
      </c>
      <c r="P1263" t="s">
        <v>5279</v>
      </c>
      <c r="Q1263" s="671">
        <v>62022</v>
      </c>
      <c r="R1263" s="671"/>
      <c r="AT1263" s="671"/>
      <c r="AU1263" s="671"/>
      <c r="AV1263" s="671"/>
      <c r="AW1263" s="671"/>
    </row>
    <row r="1264" spans="15:49" x14ac:dyDescent="0.25">
      <c r="O1264" t="s">
        <v>1631</v>
      </c>
      <c r="P1264" t="s">
        <v>5279</v>
      </c>
      <c r="Q1264" s="671">
        <v>62022</v>
      </c>
      <c r="R1264" s="671"/>
      <c r="AT1264" s="671"/>
      <c r="AU1264" s="671"/>
      <c r="AV1264" s="671"/>
      <c r="AW1264" s="671"/>
    </row>
    <row r="1265" spans="15:49" x14ac:dyDescent="0.25">
      <c r="O1265" t="s">
        <v>1631</v>
      </c>
      <c r="P1265" t="s">
        <v>5279</v>
      </c>
      <c r="Q1265" s="671">
        <v>62022</v>
      </c>
      <c r="R1265" s="671"/>
      <c r="AT1265" s="671"/>
      <c r="AU1265" s="671"/>
      <c r="AV1265" s="671"/>
      <c r="AW1265" s="671"/>
    </row>
    <row r="1266" spans="15:49" x14ac:dyDescent="0.25">
      <c r="O1266" t="s">
        <v>1631</v>
      </c>
      <c r="P1266" t="s">
        <v>5279</v>
      </c>
      <c r="Q1266" s="671">
        <v>62022</v>
      </c>
      <c r="R1266" s="671"/>
      <c r="AT1266" s="671"/>
      <c r="AU1266" s="671"/>
      <c r="AV1266" s="671"/>
      <c r="AW1266" s="671"/>
    </row>
    <row r="1267" spans="15:49" x14ac:dyDescent="0.25">
      <c r="O1267" t="s">
        <v>1631</v>
      </c>
      <c r="P1267" t="s">
        <v>5279</v>
      </c>
      <c r="Q1267" s="671">
        <v>62022</v>
      </c>
      <c r="R1267" s="671"/>
      <c r="AT1267" s="671"/>
      <c r="AU1267" s="671"/>
      <c r="AV1267" s="671"/>
      <c r="AW1267" s="671"/>
    </row>
    <row r="1268" spans="15:49" x14ac:dyDescent="0.25">
      <c r="O1268" t="s">
        <v>1631</v>
      </c>
      <c r="P1268" t="s">
        <v>5279</v>
      </c>
      <c r="Q1268" s="671">
        <v>62022</v>
      </c>
      <c r="R1268" s="671"/>
      <c r="AT1268" s="671"/>
      <c r="AU1268" s="671"/>
      <c r="AV1268" s="671"/>
      <c r="AW1268" s="671"/>
    </row>
    <row r="1269" spans="15:49" x14ac:dyDescent="0.25">
      <c r="O1269" t="s">
        <v>1631</v>
      </c>
      <c r="P1269" t="s">
        <v>5279</v>
      </c>
      <c r="Q1269" s="671">
        <v>62022</v>
      </c>
      <c r="R1269" s="671"/>
      <c r="AT1269" s="671"/>
      <c r="AU1269" s="671"/>
      <c r="AV1269" s="671"/>
      <c r="AW1269" s="671"/>
    </row>
    <row r="1270" spans="15:49" x14ac:dyDescent="0.25">
      <c r="O1270" t="s">
        <v>1631</v>
      </c>
      <c r="P1270" t="s">
        <v>5279</v>
      </c>
      <c r="Q1270" s="671">
        <v>62022</v>
      </c>
      <c r="R1270" s="671"/>
      <c r="AT1270" s="671"/>
      <c r="AU1270" s="671"/>
      <c r="AV1270" s="671"/>
      <c r="AW1270" s="671"/>
    </row>
    <row r="1271" spans="15:49" x14ac:dyDescent="0.25">
      <c r="O1271" t="s">
        <v>1631</v>
      </c>
      <c r="P1271" t="s">
        <v>5279</v>
      </c>
      <c r="Q1271" s="671">
        <v>62022</v>
      </c>
      <c r="R1271" s="671"/>
      <c r="AT1271" s="671"/>
      <c r="AU1271" s="671"/>
      <c r="AV1271" s="671"/>
      <c r="AW1271" s="671"/>
    </row>
    <row r="1272" spans="15:49" x14ac:dyDescent="0.25">
      <c r="O1272" t="s">
        <v>1631</v>
      </c>
      <c r="P1272" t="s">
        <v>5279</v>
      </c>
      <c r="Q1272" s="671">
        <v>62022</v>
      </c>
      <c r="R1272" s="671"/>
      <c r="AT1272" s="671"/>
      <c r="AU1272" s="671"/>
      <c r="AV1272" s="671"/>
      <c r="AW1272" s="671"/>
    </row>
    <row r="1273" spans="15:49" x14ac:dyDescent="0.25">
      <c r="O1273" t="s">
        <v>1631</v>
      </c>
      <c r="P1273" t="s">
        <v>5279</v>
      </c>
      <c r="Q1273" s="671">
        <v>62022</v>
      </c>
      <c r="R1273" s="671"/>
      <c r="AT1273" s="671"/>
      <c r="AU1273" s="671"/>
      <c r="AV1273" s="671"/>
      <c r="AW1273" s="671"/>
    </row>
    <row r="1274" spans="15:49" x14ac:dyDescent="0.25">
      <c r="O1274" t="s">
        <v>1631</v>
      </c>
      <c r="P1274" t="s">
        <v>5279</v>
      </c>
      <c r="Q1274" s="671">
        <v>62022</v>
      </c>
      <c r="R1274" s="671"/>
      <c r="AT1274" s="671"/>
      <c r="AU1274" s="671"/>
      <c r="AV1274" s="671"/>
      <c r="AW1274" s="671"/>
    </row>
    <row r="1275" spans="15:49" x14ac:dyDescent="0.25">
      <c r="O1275" t="s">
        <v>1677</v>
      </c>
      <c r="P1275" t="s">
        <v>5280</v>
      </c>
      <c r="Q1275" s="671">
        <v>62022</v>
      </c>
      <c r="R1275" s="671"/>
      <c r="AT1275" s="671"/>
      <c r="AU1275" s="671"/>
      <c r="AV1275" s="671"/>
      <c r="AW1275" s="671"/>
    </row>
    <row r="1276" spans="15:49" x14ac:dyDescent="0.25">
      <c r="O1276" t="s">
        <v>1677</v>
      </c>
      <c r="P1276" t="s">
        <v>5280</v>
      </c>
      <c r="Q1276" s="671">
        <v>62022</v>
      </c>
      <c r="R1276" s="671"/>
      <c r="AT1276" s="671"/>
      <c r="AU1276" s="671"/>
      <c r="AV1276" s="671"/>
      <c r="AW1276" s="671"/>
    </row>
    <row r="1277" spans="15:49" x14ac:dyDescent="0.25">
      <c r="O1277" t="s">
        <v>1677</v>
      </c>
      <c r="P1277" t="s">
        <v>5280</v>
      </c>
      <c r="Q1277" s="671">
        <v>62022</v>
      </c>
      <c r="R1277" s="671"/>
      <c r="AT1277" s="671"/>
      <c r="AU1277" s="671"/>
      <c r="AV1277" s="671"/>
      <c r="AW1277" s="671"/>
    </row>
    <row r="1278" spans="15:49" x14ac:dyDescent="0.25">
      <c r="O1278" t="s">
        <v>1677</v>
      </c>
      <c r="P1278" t="s">
        <v>5280</v>
      </c>
      <c r="Q1278" s="671">
        <v>62022</v>
      </c>
      <c r="R1278" s="671"/>
      <c r="AT1278" s="671"/>
      <c r="AU1278" s="671"/>
      <c r="AV1278" s="671"/>
      <c r="AW1278" s="671"/>
    </row>
    <row r="1279" spans="15:49" x14ac:dyDescent="0.25">
      <c r="O1279" t="s">
        <v>1677</v>
      </c>
      <c r="P1279" t="s">
        <v>5280</v>
      </c>
      <c r="Q1279" s="671">
        <v>62022</v>
      </c>
      <c r="R1279" s="671"/>
      <c r="AT1279" s="671"/>
      <c r="AU1279" s="671"/>
      <c r="AV1279" s="671"/>
      <c r="AW1279" s="671"/>
    </row>
    <row r="1280" spans="15:49" x14ac:dyDescent="0.25">
      <c r="O1280" t="s">
        <v>1677</v>
      </c>
      <c r="P1280" t="s">
        <v>5280</v>
      </c>
      <c r="Q1280" s="671">
        <v>62022</v>
      </c>
      <c r="R1280" s="671"/>
      <c r="AT1280" s="671"/>
      <c r="AU1280" s="671"/>
      <c r="AV1280" s="671"/>
      <c r="AW1280" s="671"/>
    </row>
    <row r="1281" spans="15:49" x14ac:dyDescent="0.25">
      <c r="O1281" t="s">
        <v>1677</v>
      </c>
      <c r="P1281" t="s">
        <v>5280</v>
      </c>
      <c r="Q1281" s="671">
        <v>62022</v>
      </c>
      <c r="R1281" s="671"/>
      <c r="AT1281" s="671"/>
      <c r="AU1281" s="671"/>
      <c r="AV1281" s="671"/>
      <c r="AW1281" s="671"/>
    </row>
    <row r="1282" spans="15:49" x14ac:dyDescent="0.25">
      <c r="O1282" t="s">
        <v>1677</v>
      </c>
      <c r="P1282" t="s">
        <v>5280</v>
      </c>
      <c r="Q1282" s="671">
        <v>62022</v>
      </c>
      <c r="R1282" s="671"/>
      <c r="AT1282" s="671"/>
      <c r="AU1282" s="671"/>
      <c r="AV1282" s="671"/>
      <c r="AW1282" s="671"/>
    </row>
    <row r="1283" spans="15:49" x14ac:dyDescent="0.25">
      <c r="O1283" t="s">
        <v>1677</v>
      </c>
      <c r="P1283" t="s">
        <v>5280</v>
      </c>
      <c r="Q1283" s="671">
        <v>62022</v>
      </c>
      <c r="R1283" s="671"/>
      <c r="AT1283" s="671"/>
      <c r="AU1283" s="671"/>
      <c r="AV1283" s="671"/>
      <c r="AW1283" s="671"/>
    </row>
    <row r="1284" spans="15:49" x14ac:dyDescent="0.25">
      <c r="O1284" t="s">
        <v>1677</v>
      </c>
      <c r="P1284" t="s">
        <v>5280</v>
      </c>
      <c r="Q1284" s="671">
        <v>62022</v>
      </c>
      <c r="R1284" s="671"/>
      <c r="AT1284" s="671"/>
      <c r="AU1284" s="671"/>
      <c r="AV1284" s="671"/>
      <c r="AW1284" s="671"/>
    </row>
    <row r="1285" spans="15:49" x14ac:dyDescent="0.25">
      <c r="O1285" t="s">
        <v>1677</v>
      </c>
      <c r="P1285" t="s">
        <v>5280</v>
      </c>
      <c r="Q1285" s="671">
        <v>62022</v>
      </c>
      <c r="R1285" s="671"/>
      <c r="AT1285" s="671"/>
      <c r="AU1285" s="671"/>
      <c r="AV1285" s="671"/>
      <c r="AW1285" s="671"/>
    </row>
    <row r="1286" spans="15:49" x14ac:dyDescent="0.25">
      <c r="O1286" t="s">
        <v>1677</v>
      </c>
      <c r="P1286" t="s">
        <v>5280</v>
      </c>
      <c r="Q1286" s="671">
        <v>62022</v>
      </c>
      <c r="R1286" s="671"/>
      <c r="AT1286" s="671"/>
      <c r="AU1286" s="671"/>
      <c r="AV1286" s="671"/>
      <c r="AW1286" s="671"/>
    </row>
    <row r="1287" spans="15:49" x14ac:dyDescent="0.25">
      <c r="O1287" t="s">
        <v>1677</v>
      </c>
      <c r="P1287" t="s">
        <v>5280</v>
      </c>
      <c r="Q1287" s="671">
        <v>62022</v>
      </c>
      <c r="R1287" s="671"/>
      <c r="AT1287" s="671"/>
      <c r="AU1287" s="671"/>
      <c r="AV1287" s="671"/>
      <c r="AW1287" s="671"/>
    </row>
    <row r="1288" spans="15:49" x14ac:dyDescent="0.25">
      <c r="O1288" t="s">
        <v>1677</v>
      </c>
      <c r="P1288" t="s">
        <v>5280</v>
      </c>
      <c r="Q1288" s="671">
        <v>62022</v>
      </c>
      <c r="R1288" s="671"/>
      <c r="AT1288" s="671"/>
      <c r="AU1288" s="671"/>
      <c r="AV1288" s="671"/>
      <c r="AW1288" s="671"/>
    </row>
    <row r="1289" spans="15:49" x14ac:dyDescent="0.25">
      <c r="O1289" t="s">
        <v>1677</v>
      </c>
      <c r="P1289" t="s">
        <v>5280</v>
      </c>
      <c r="Q1289" s="671">
        <v>62022</v>
      </c>
      <c r="R1289" s="671"/>
      <c r="AT1289" s="671"/>
      <c r="AU1289" s="671"/>
      <c r="AV1289" s="671"/>
      <c r="AW1289" s="671"/>
    </row>
    <row r="1290" spans="15:49" x14ac:dyDescent="0.25">
      <c r="O1290" t="s">
        <v>1677</v>
      </c>
      <c r="P1290" t="s">
        <v>5280</v>
      </c>
      <c r="Q1290" s="671">
        <v>62022</v>
      </c>
      <c r="R1290" s="671"/>
      <c r="AT1290" s="671"/>
      <c r="AU1290" s="671"/>
      <c r="AV1290" s="671"/>
      <c r="AW1290" s="671"/>
    </row>
    <row r="1291" spans="15:49" x14ac:dyDescent="0.25">
      <c r="O1291" t="s">
        <v>1677</v>
      </c>
      <c r="P1291" t="s">
        <v>5280</v>
      </c>
      <c r="Q1291" s="671">
        <v>62022</v>
      </c>
      <c r="R1291" s="671"/>
      <c r="AT1291" s="671"/>
      <c r="AU1291" s="671"/>
      <c r="AV1291" s="671"/>
      <c r="AW1291" s="671"/>
    </row>
    <row r="1292" spans="15:49" x14ac:dyDescent="0.25">
      <c r="O1292" t="s">
        <v>1677</v>
      </c>
      <c r="P1292" t="s">
        <v>5280</v>
      </c>
      <c r="Q1292" s="671">
        <v>62022</v>
      </c>
      <c r="R1292" s="671"/>
      <c r="AT1292" s="671"/>
      <c r="AU1292" s="671"/>
      <c r="AV1292" s="671"/>
      <c r="AW1292" s="671"/>
    </row>
    <row r="1293" spans="15:49" x14ac:dyDescent="0.25">
      <c r="O1293" t="s">
        <v>1677</v>
      </c>
      <c r="P1293" t="s">
        <v>5280</v>
      </c>
      <c r="Q1293" s="671">
        <v>62022</v>
      </c>
      <c r="R1293" s="671"/>
      <c r="AT1293" s="671"/>
      <c r="AU1293" s="671"/>
      <c r="AV1293" s="671"/>
      <c r="AW1293" s="671"/>
    </row>
    <row r="1294" spans="15:49" x14ac:dyDescent="0.25">
      <c r="O1294" t="s">
        <v>1677</v>
      </c>
      <c r="P1294" t="s">
        <v>5280</v>
      </c>
      <c r="Q1294" s="671">
        <v>62022</v>
      </c>
      <c r="R1294" s="671"/>
      <c r="AT1294" s="671"/>
      <c r="AU1294" s="671"/>
      <c r="AV1294" s="671"/>
      <c r="AW1294" s="671"/>
    </row>
    <row r="1295" spans="15:49" x14ac:dyDescent="0.25">
      <c r="O1295" t="s">
        <v>1677</v>
      </c>
      <c r="P1295" t="s">
        <v>5280</v>
      </c>
      <c r="Q1295" s="671">
        <v>62022</v>
      </c>
      <c r="R1295" s="671"/>
      <c r="AT1295" s="671"/>
      <c r="AU1295" s="671"/>
      <c r="AV1295" s="671"/>
      <c r="AW1295" s="671"/>
    </row>
    <row r="1296" spans="15:49" x14ac:dyDescent="0.25">
      <c r="O1296" t="s">
        <v>1677</v>
      </c>
      <c r="P1296" t="s">
        <v>5280</v>
      </c>
      <c r="Q1296" s="671">
        <v>62022</v>
      </c>
      <c r="R1296" s="671"/>
      <c r="AT1296" s="671"/>
      <c r="AU1296" s="671"/>
      <c r="AV1296" s="671"/>
      <c r="AW1296" s="671"/>
    </row>
    <row r="1297" spans="15:49" x14ac:dyDescent="0.25">
      <c r="O1297" t="s">
        <v>1677</v>
      </c>
      <c r="P1297" t="s">
        <v>5280</v>
      </c>
      <c r="Q1297" s="671">
        <v>62022</v>
      </c>
      <c r="R1297" s="671"/>
      <c r="AT1297" s="671"/>
      <c r="AU1297" s="671"/>
      <c r="AV1297" s="671"/>
      <c r="AW1297" s="671"/>
    </row>
    <row r="1298" spans="15:49" x14ac:dyDescent="0.25">
      <c r="O1298" t="s">
        <v>1677</v>
      </c>
      <c r="P1298" t="s">
        <v>5280</v>
      </c>
      <c r="Q1298" s="671">
        <v>62022</v>
      </c>
      <c r="R1298" s="671"/>
      <c r="AT1298" s="671"/>
      <c r="AU1298" s="671"/>
      <c r="AV1298" s="671"/>
      <c r="AW1298" s="671"/>
    </row>
    <row r="1299" spans="15:49" x14ac:dyDescent="0.25">
      <c r="O1299" t="s">
        <v>1677</v>
      </c>
      <c r="P1299" t="s">
        <v>5280</v>
      </c>
      <c r="Q1299" s="671">
        <v>62022</v>
      </c>
      <c r="R1299" s="671"/>
      <c r="AT1299" s="671"/>
      <c r="AU1299" s="671"/>
      <c r="AV1299" s="671"/>
      <c r="AW1299" s="671"/>
    </row>
    <row r="1300" spans="15:49" x14ac:dyDescent="0.25">
      <c r="O1300" t="s">
        <v>1677</v>
      </c>
      <c r="P1300" t="s">
        <v>5280</v>
      </c>
      <c r="Q1300" s="671">
        <v>62022</v>
      </c>
      <c r="R1300" s="671"/>
      <c r="AT1300" s="671"/>
      <c r="AU1300" s="671"/>
      <c r="AV1300" s="671"/>
      <c r="AW1300" s="671"/>
    </row>
    <row r="1301" spans="15:49" x14ac:dyDescent="0.25">
      <c r="O1301" t="s">
        <v>1677</v>
      </c>
      <c r="P1301" t="s">
        <v>5280</v>
      </c>
      <c r="Q1301" s="671">
        <v>62022</v>
      </c>
      <c r="R1301" s="671"/>
      <c r="AT1301" s="671"/>
      <c r="AU1301" s="671"/>
      <c r="AV1301" s="671"/>
      <c r="AW1301" s="671"/>
    </row>
    <row r="1302" spans="15:49" x14ac:dyDescent="0.25">
      <c r="O1302" t="s">
        <v>1677</v>
      </c>
      <c r="P1302" t="s">
        <v>5280</v>
      </c>
      <c r="Q1302" s="671">
        <v>62022</v>
      </c>
      <c r="R1302" s="671"/>
      <c r="AT1302" s="671"/>
      <c r="AU1302" s="671"/>
      <c r="AV1302" s="671"/>
      <c r="AW1302" s="671"/>
    </row>
    <row r="1303" spans="15:49" x14ac:dyDescent="0.25">
      <c r="O1303" t="s">
        <v>1677</v>
      </c>
      <c r="P1303" t="s">
        <v>5280</v>
      </c>
      <c r="Q1303" s="671">
        <v>62022</v>
      </c>
      <c r="R1303" s="671"/>
      <c r="AT1303" s="671"/>
      <c r="AU1303" s="671"/>
      <c r="AV1303" s="671"/>
      <c r="AW1303" s="671"/>
    </row>
    <row r="1304" spans="15:49" x14ac:dyDescent="0.25">
      <c r="O1304" t="s">
        <v>1677</v>
      </c>
      <c r="P1304" t="s">
        <v>5280</v>
      </c>
      <c r="Q1304" s="671">
        <v>62022</v>
      </c>
      <c r="R1304" s="671"/>
      <c r="AT1304" s="671"/>
      <c r="AU1304" s="671"/>
      <c r="AV1304" s="671"/>
      <c r="AW1304" s="671"/>
    </row>
    <row r="1305" spans="15:49" x14ac:dyDescent="0.25">
      <c r="O1305" t="s">
        <v>1677</v>
      </c>
      <c r="P1305" t="s">
        <v>5280</v>
      </c>
      <c r="Q1305" s="671">
        <v>62022</v>
      </c>
      <c r="R1305" s="671"/>
      <c r="AT1305" s="671"/>
      <c r="AU1305" s="671"/>
      <c r="AV1305" s="671"/>
      <c r="AW1305" s="671"/>
    </row>
    <row r="1306" spans="15:49" x14ac:dyDescent="0.25">
      <c r="O1306" t="s">
        <v>1673</v>
      </c>
      <c r="P1306" t="s">
        <v>5280</v>
      </c>
      <c r="Q1306" s="671">
        <v>62022</v>
      </c>
      <c r="R1306" s="671"/>
      <c r="AT1306" s="671"/>
      <c r="AU1306" s="671"/>
      <c r="AV1306" s="671"/>
      <c r="AW1306" s="671"/>
    </row>
    <row r="1307" spans="15:49" x14ac:dyDescent="0.25">
      <c r="O1307" t="s">
        <v>1673</v>
      </c>
      <c r="P1307" t="s">
        <v>5280</v>
      </c>
      <c r="Q1307" s="671">
        <v>62022</v>
      </c>
      <c r="R1307" s="671"/>
      <c r="AT1307" s="671"/>
      <c r="AU1307" s="671"/>
      <c r="AV1307" s="671"/>
      <c r="AW1307" s="671"/>
    </row>
    <row r="1308" spans="15:49" x14ac:dyDescent="0.25">
      <c r="O1308" t="s">
        <v>1667</v>
      </c>
      <c r="P1308" t="s">
        <v>5280</v>
      </c>
      <c r="Q1308" s="671">
        <v>62022</v>
      </c>
      <c r="R1308" s="671"/>
      <c r="AT1308" s="671"/>
      <c r="AU1308" s="671"/>
      <c r="AV1308" s="671"/>
      <c r="AW1308" s="671"/>
    </row>
    <row r="1309" spans="15:49" x14ac:dyDescent="0.25">
      <c r="O1309" t="s">
        <v>1667</v>
      </c>
      <c r="P1309" t="s">
        <v>5280</v>
      </c>
      <c r="Q1309" s="671">
        <v>62022</v>
      </c>
      <c r="R1309" s="671"/>
      <c r="AT1309" s="671"/>
      <c r="AU1309" s="671"/>
      <c r="AV1309" s="671"/>
      <c r="AW1309" s="671"/>
    </row>
    <row r="1310" spans="15:49" x14ac:dyDescent="0.25">
      <c r="O1310" t="s">
        <v>1667</v>
      </c>
      <c r="P1310" t="s">
        <v>5280</v>
      </c>
      <c r="Q1310" s="671">
        <v>62022</v>
      </c>
      <c r="R1310" s="671"/>
      <c r="AT1310" s="671"/>
      <c r="AU1310" s="671"/>
      <c r="AV1310" s="671"/>
      <c r="AW1310" s="671"/>
    </row>
    <row r="1311" spans="15:49" x14ac:dyDescent="0.25">
      <c r="O1311" t="s">
        <v>1667</v>
      </c>
      <c r="P1311" t="s">
        <v>5280</v>
      </c>
      <c r="Q1311" s="671">
        <v>62022</v>
      </c>
      <c r="R1311" s="671"/>
      <c r="AT1311" s="671"/>
      <c r="AU1311" s="671"/>
      <c r="AV1311" s="671"/>
      <c r="AW1311" s="671"/>
    </row>
    <row r="1312" spans="15:49" x14ac:dyDescent="0.25">
      <c r="O1312" t="s">
        <v>1655</v>
      </c>
      <c r="P1312" t="s">
        <v>5280</v>
      </c>
      <c r="Q1312" s="671">
        <v>62022</v>
      </c>
      <c r="R1312" s="671"/>
      <c r="AT1312" s="671"/>
      <c r="AU1312" s="671"/>
      <c r="AV1312" s="671"/>
      <c r="AW1312" s="671"/>
    </row>
    <row r="1313" spans="15:49" x14ac:dyDescent="0.25">
      <c r="O1313" t="s">
        <v>1659</v>
      </c>
      <c r="P1313" t="s">
        <v>5280</v>
      </c>
      <c r="Q1313" s="671">
        <v>62022</v>
      </c>
      <c r="R1313" s="671"/>
      <c r="AT1313" s="671"/>
      <c r="AU1313" s="671"/>
      <c r="AV1313" s="671"/>
      <c r="AW1313" s="671"/>
    </row>
    <row r="1314" spans="15:49" x14ac:dyDescent="0.25">
      <c r="O1314" t="s">
        <v>1659</v>
      </c>
      <c r="P1314" t="s">
        <v>5280</v>
      </c>
      <c r="Q1314" s="671">
        <v>62022</v>
      </c>
      <c r="R1314" s="671"/>
      <c r="AT1314" s="671"/>
      <c r="AU1314" s="671"/>
      <c r="AV1314" s="671"/>
      <c r="AW1314" s="671"/>
    </row>
    <row r="1315" spans="15:49" x14ac:dyDescent="0.25">
      <c r="O1315" t="s">
        <v>1659</v>
      </c>
      <c r="P1315" t="s">
        <v>5280</v>
      </c>
      <c r="Q1315" s="671">
        <v>62022</v>
      </c>
      <c r="R1315" s="671"/>
      <c r="AT1315" s="671"/>
      <c r="AU1315" s="671"/>
      <c r="AV1315" s="671"/>
      <c r="AW1315" s="671"/>
    </row>
    <row r="1316" spans="15:49" x14ac:dyDescent="0.25">
      <c r="O1316" t="s">
        <v>2894</v>
      </c>
      <c r="P1316" t="s">
        <v>5281</v>
      </c>
      <c r="Q1316" s="671">
        <v>62037</v>
      </c>
      <c r="R1316" s="671"/>
      <c r="AT1316" s="671"/>
      <c r="AU1316" s="671"/>
      <c r="AV1316" s="671"/>
      <c r="AW1316" s="671"/>
    </row>
    <row r="1317" spans="15:49" x14ac:dyDescent="0.25">
      <c r="O1317" t="s">
        <v>2889</v>
      </c>
      <c r="P1317" t="s">
        <v>5281</v>
      </c>
      <c r="Q1317" s="671">
        <v>62037</v>
      </c>
      <c r="R1317" s="671"/>
      <c r="AT1317" s="671"/>
      <c r="AU1317" s="671"/>
      <c r="AV1317" s="671"/>
      <c r="AW1317" s="671"/>
    </row>
    <row r="1318" spans="15:49" x14ac:dyDescent="0.25">
      <c r="O1318" t="s">
        <v>2889</v>
      </c>
      <c r="P1318" t="s">
        <v>5281</v>
      </c>
      <c r="Q1318" s="671">
        <v>62037</v>
      </c>
      <c r="R1318" s="671"/>
      <c r="AT1318" s="671"/>
      <c r="AU1318" s="671"/>
      <c r="AV1318" s="671"/>
      <c r="AW1318" s="671"/>
    </row>
    <row r="1319" spans="15:49" x14ac:dyDescent="0.25">
      <c r="O1319" t="s">
        <v>2900</v>
      </c>
      <c r="P1319" t="s">
        <v>5281</v>
      </c>
      <c r="Q1319" s="671">
        <v>62037</v>
      </c>
      <c r="R1319" s="671"/>
      <c r="AT1319" s="671"/>
      <c r="AU1319" s="671"/>
      <c r="AV1319" s="671"/>
      <c r="AW1319" s="671"/>
    </row>
    <row r="1320" spans="15:49" x14ac:dyDescent="0.25">
      <c r="O1320" t="s">
        <v>2904</v>
      </c>
      <c r="P1320" t="s">
        <v>5281</v>
      </c>
      <c r="Q1320" s="671">
        <v>62037</v>
      </c>
      <c r="R1320" s="671"/>
      <c r="AT1320" s="671"/>
      <c r="AU1320" s="671"/>
      <c r="AV1320" s="671"/>
      <c r="AW1320" s="671"/>
    </row>
    <row r="1321" spans="15:49" x14ac:dyDescent="0.25">
      <c r="O1321" t="s">
        <v>2898</v>
      </c>
      <c r="P1321" t="s">
        <v>5281</v>
      </c>
      <c r="Q1321" s="671">
        <v>62037</v>
      </c>
      <c r="R1321" s="671"/>
      <c r="AT1321" s="671"/>
      <c r="AU1321" s="671"/>
      <c r="AV1321" s="671"/>
      <c r="AW1321" s="671"/>
    </row>
    <row r="1322" spans="15:49" x14ac:dyDescent="0.25">
      <c r="O1322" t="s">
        <v>2908</v>
      </c>
      <c r="P1322" t="s">
        <v>5281</v>
      </c>
      <c r="Q1322" s="671">
        <v>62037</v>
      </c>
      <c r="R1322" s="671"/>
      <c r="AT1322" s="671"/>
      <c r="AU1322" s="671"/>
      <c r="AV1322" s="671"/>
      <c r="AW1322" s="671"/>
    </row>
    <row r="1323" spans="15:49" x14ac:dyDescent="0.25">
      <c r="O1323" t="s">
        <v>2855</v>
      </c>
      <c r="P1323" t="s">
        <v>5281</v>
      </c>
      <c r="Q1323" s="671">
        <v>62037</v>
      </c>
      <c r="R1323" s="671"/>
      <c r="AT1323" s="671"/>
      <c r="AU1323" s="671"/>
      <c r="AV1323" s="671"/>
      <c r="AW1323" s="671"/>
    </row>
    <row r="1324" spans="15:49" x14ac:dyDescent="0.25">
      <c r="O1324" t="s">
        <v>2845</v>
      </c>
      <c r="P1324" t="s">
        <v>5281</v>
      </c>
      <c r="Q1324" s="671">
        <v>62037</v>
      </c>
      <c r="R1324" s="671"/>
      <c r="AT1324" s="671"/>
      <c r="AU1324" s="671"/>
      <c r="AV1324" s="671"/>
      <c r="AW1324" s="671"/>
    </row>
    <row r="1325" spans="15:49" x14ac:dyDescent="0.25">
      <c r="O1325" t="s">
        <v>2845</v>
      </c>
      <c r="P1325" t="s">
        <v>5281</v>
      </c>
      <c r="Q1325" s="671">
        <v>62037</v>
      </c>
      <c r="R1325" s="671"/>
      <c r="AT1325" s="671"/>
      <c r="AU1325" s="671"/>
      <c r="AV1325" s="671"/>
      <c r="AW1325" s="671"/>
    </row>
    <row r="1326" spans="15:49" x14ac:dyDescent="0.25">
      <c r="O1326" t="s">
        <v>2845</v>
      </c>
      <c r="P1326" t="s">
        <v>5281</v>
      </c>
      <c r="Q1326" s="671">
        <v>62037</v>
      </c>
      <c r="R1326" s="671"/>
      <c r="AT1326" s="671"/>
      <c r="AU1326" s="671"/>
      <c r="AV1326" s="671"/>
      <c r="AW1326" s="671"/>
    </row>
    <row r="1327" spans="15:49" x14ac:dyDescent="0.25">
      <c r="O1327" t="s">
        <v>2859</v>
      </c>
      <c r="P1327" t="s">
        <v>5281</v>
      </c>
      <c r="Q1327" s="671">
        <v>62037</v>
      </c>
      <c r="R1327" s="671"/>
      <c r="AT1327" s="671"/>
      <c r="AU1327" s="671"/>
      <c r="AV1327" s="671"/>
      <c r="AW1327" s="671"/>
    </row>
    <row r="1328" spans="15:49" x14ac:dyDescent="0.25">
      <c r="O1328" t="s">
        <v>2859</v>
      </c>
      <c r="P1328" t="s">
        <v>5281</v>
      </c>
      <c r="Q1328" s="671">
        <v>62037</v>
      </c>
      <c r="R1328" s="671"/>
      <c r="AT1328" s="671"/>
      <c r="AU1328" s="671"/>
      <c r="AV1328" s="671"/>
      <c r="AW1328" s="671"/>
    </row>
    <row r="1329" spans="15:49" x14ac:dyDescent="0.25">
      <c r="O1329" t="s">
        <v>2851</v>
      </c>
      <c r="P1329" t="s">
        <v>5281</v>
      </c>
      <c r="Q1329" s="671">
        <v>62037</v>
      </c>
      <c r="R1329" s="671"/>
      <c r="AT1329" s="671"/>
      <c r="AU1329" s="671"/>
      <c r="AV1329" s="671"/>
      <c r="AW1329" s="671"/>
    </row>
    <row r="1330" spans="15:49" x14ac:dyDescent="0.25">
      <c r="O1330" t="s">
        <v>2836</v>
      </c>
      <c r="P1330" t="s">
        <v>5281</v>
      </c>
      <c r="Q1330" s="671">
        <v>62037</v>
      </c>
      <c r="R1330" s="671"/>
      <c r="AT1330" s="671"/>
      <c r="AU1330" s="671"/>
      <c r="AV1330" s="671"/>
      <c r="AW1330" s="671"/>
    </row>
    <row r="1331" spans="15:49" x14ac:dyDescent="0.25">
      <c r="O1331" t="s">
        <v>2840</v>
      </c>
      <c r="P1331" t="s">
        <v>5281</v>
      </c>
      <c r="Q1331" s="671">
        <v>62037</v>
      </c>
      <c r="R1331" s="671"/>
      <c r="AT1331" s="671"/>
      <c r="AU1331" s="671"/>
      <c r="AV1331" s="671"/>
      <c r="AW1331" s="671"/>
    </row>
    <row r="1332" spans="15:49" x14ac:dyDescent="0.25">
      <c r="O1332" t="s">
        <v>2843</v>
      </c>
      <c r="P1332" t="s">
        <v>5281</v>
      </c>
      <c r="Q1332" s="671">
        <v>62037</v>
      </c>
      <c r="R1332" s="671"/>
      <c r="AT1332" s="671"/>
      <c r="AU1332" s="671"/>
      <c r="AV1332" s="671"/>
      <c r="AW1332" s="671"/>
    </row>
    <row r="1333" spans="15:49" x14ac:dyDescent="0.25">
      <c r="O1333" t="s">
        <v>2875</v>
      </c>
      <c r="P1333" t="s">
        <v>5281</v>
      </c>
      <c r="Q1333" s="671">
        <v>62037</v>
      </c>
      <c r="R1333" s="671"/>
      <c r="AT1333" s="671"/>
      <c r="AU1333" s="671"/>
      <c r="AV1333" s="671"/>
      <c r="AW1333" s="671"/>
    </row>
    <row r="1334" spans="15:49" x14ac:dyDescent="0.25">
      <c r="O1334" t="s">
        <v>2875</v>
      </c>
      <c r="P1334" t="s">
        <v>5281</v>
      </c>
      <c r="Q1334" s="671">
        <v>62037</v>
      </c>
      <c r="R1334" s="671"/>
      <c r="AT1334" s="671"/>
      <c r="AU1334" s="671"/>
      <c r="AV1334" s="671"/>
      <c r="AW1334" s="671"/>
    </row>
    <row r="1335" spans="15:49" x14ac:dyDescent="0.25">
      <c r="O1335" t="s">
        <v>2867</v>
      </c>
      <c r="P1335" t="s">
        <v>5281</v>
      </c>
      <c r="Q1335" s="671">
        <v>62037</v>
      </c>
      <c r="R1335" s="671"/>
      <c r="AT1335" s="671"/>
      <c r="AU1335" s="671"/>
      <c r="AV1335" s="671"/>
      <c r="AW1335" s="671"/>
    </row>
    <row r="1336" spans="15:49" x14ac:dyDescent="0.25">
      <c r="O1336" t="s">
        <v>2867</v>
      </c>
      <c r="P1336" t="s">
        <v>5281</v>
      </c>
      <c r="Q1336" s="671">
        <v>62037</v>
      </c>
      <c r="R1336" s="671"/>
      <c r="AT1336" s="671"/>
      <c r="AU1336" s="671"/>
      <c r="AV1336" s="671"/>
      <c r="AW1336" s="671"/>
    </row>
    <row r="1337" spans="15:49" x14ac:dyDescent="0.25">
      <c r="O1337" t="s">
        <v>2867</v>
      </c>
      <c r="P1337" t="s">
        <v>5281</v>
      </c>
      <c r="Q1337" s="671">
        <v>62037</v>
      </c>
      <c r="R1337" s="671"/>
      <c r="AT1337" s="671"/>
      <c r="AU1337" s="671"/>
      <c r="AV1337" s="671"/>
      <c r="AW1337" s="671"/>
    </row>
    <row r="1338" spans="15:49" x14ac:dyDescent="0.25">
      <c r="O1338" t="s">
        <v>2863</v>
      </c>
      <c r="P1338" t="s">
        <v>5281</v>
      </c>
      <c r="Q1338" s="671">
        <v>62037</v>
      </c>
      <c r="R1338" s="671"/>
      <c r="AT1338" s="671"/>
      <c r="AU1338" s="671"/>
      <c r="AV1338" s="671"/>
      <c r="AW1338" s="671"/>
    </row>
    <row r="1339" spans="15:49" x14ac:dyDescent="0.25">
      <c r="O1339" t="s">
        <v>2863</v>
      </c>
      <c r="P1339" t="s">
        <v>5281</v>
      </c>
      <c r="Q1339" s="671">
        <v>62037</v>
      </c>
      <c r="R1339" s="671"/>
      <c r="AT1339" s="671"/>
      <c r="AU1339" s="671"/>
      <c r="AV1339" s="671"/>
      <c r="AW1339" s="671"/>
    </row>
    <row r="1340" spans="15:49" x14ac:dyDescent="0.25">
      <c r="O1340" t="s">
        <v>2883</v>
      </c>
      <c r="P1340" t="s">
        <v>5281</v>
      </c>
      <c r="Q1340" s="671">
        <v>62037</v>
      </c>
      <c r="R1340" s="671"/>
      <c r="AT1340" s="671"/>
      <c r="AU1340" s="671"/>
      <c r="AV1340" s="671"/>
      <c r="AW1340" s="671"/>
    </row>
    <row r="1341" spans="15:49" x14ac:dyDescent="0.25">
      <c r="O1341" t="s">
        <v>2879</v>
      </c>
      <c r="P1341" t="s">
        <v>5281</v>
      </c>
      <c r="Q1341" s="671">
        <v>62037</v>
      </c>
      <c r="R1341" s="671"/>
      <c r="AT1341" s="671"/>
      <c r="AU1341" s="671"/>
      <c r="AV1341" s="671"/>
      <c r="AW1341" s="671"/>
    </row>
    <row r="1342" spans="15:49" x14ac:dyDescent="0.25">
      <c r="O1342" t="s">
        <v>2879</v>
      </c>
      <c r="P1342" t="s">
        <v>5281</v>
      </c>
      <c r="Q1342" s="671">
        <v>62037</v>
      </c>
      <c r="R1342" s="671"/>
      <c r="AT1342" s="671"/>
      <c r="AU1342" s="671"/>
      <c r="AV1342" s="671"/>
      <c r="AW1342" s="671"/>
    </row>
    <row r="1343" spans="15:49" x14ac:dyDescent="0.25">
      <c r="O1343" t="s">
        <v>2879</v>
      </c>
      <c r="P1343" t="s">
        <v>5281</v>
      </c>
      <c r="Q1343" s="671">
        <v>62037</v>
      </c>
      <c r="R1343" s="671"/>
      <c r="AT1343" s="671"/>
      <c r="AU1343" s="671"/>
      <c r="AV1343" s="671"/>
      <c r="AW1343" s="671"/>
    </row>
    <row r="1344" spans="15:49" x14ac:dyDescent="0.25">
      <c r="O1344" t="s">
        <v>2879</v>
      </c>
      <c r="P1344" t="s">
        <v>5281</v>
      </c>
      <c r="Q1344" s="671">
        <v>62037</v>
      </c>
      <c r="R1344" s="671"/>
      <c r="AT1344" s="671"/>
      <c r="AU1344" s="671"/>
      <c r="AV1344" s="671"/>
      <c r="AW1344" s="671"/>
    </row>
    <row r="1345" spans="15:49" x14ac:dyDescent="0.25">
      <c r="O1345" t="s">
        <v>2873</v>
      </c>
      <c r="P1345" t="s">
        <v>5281</v>
      </c>
      <c r="Q1345" s="671">
        <v>62037</v>
      </c>
      <c r="R1345" s="671"/>
      <c r="AT1345" s="671"/>
      <c r="AU1345" s="671"/>
      <c r="AV1345" s="671"/>
      <c r="AW1345" s="671"/>
    </row>
    <row r="1346" spans="15:49" x14ac:dyDescent="0.25">
      <c r="O1346" t="s">
        <v>2877</v>
      </c>
      <c r="P1346" t="s">
        <v>5281</v>
      </c>
      <c r="Q1346" s="671">
        <v>62037</v>
      </c>
      <c r="R1346" s="671"/>
      <c r="AT1346" s="671"/>
      <c r="AU1346" s="671"/>
      <c r="AV1346" s="671"/>
      <c r="AW1346" s="671"/>
    </row>
    <row r="1347" spans="15:49" x14ac:dyDescent="0.25">
      <c r="O1347" t="s">
        <v>2877</v>
      </c>
      <c r="P1347" t="s">
        <v>5281</v>
      </c>
      <c r="Q1347" s="671">
        <v>62037</v>
      </c>
      <c r="R1347" s="671"/>
      <c r="AT1347" s="671"/>
      <c r="AU1347" s="671"/>
      <c r="AV1347" s="671"/>
      <c r="AW1347" s="671"/>
    </row>
    <row r="1348" spans="15:49" x14ac:dyDescent="0.25">
      <c r="O1348" t="s">
        <v>2887</v>
      </c>
      <c r="P1348" t="s">
        <v>5281</v>
      </c>
      <c r="Q1348" s="671">
        <v>62037</v>
      </c>
      <c r="R1348" s="671"/>
      <c r="AT1348" s="671"/>
      <c r="AU1348" s="671"/>
      <c r="AV1348" s="671"/>
      <c r="AW1348" s="671"/>
    </row>
    <row r="1349" spans="15:49" x14ac:dyDescent="0.25">
      <c r="O1349" t="s">
        <v>2887</v>
      </c>
      <c r="P1349" t="s">
        <v>5281</v>
      </c>
      <c r="Q1349" s="671">
        <v>62037</v>
      </c>
      <c r="R1349" s="671"/>
      <c r="AT1349" s="671"/>
      <c r="AU1349" s="671"/>
      <c r="AV1349" s="671"/>
      <c r="AW1349" s="671"/>
    </row>
    <row r="1350" spans="15:49" x14ac:dyDescent="0.25">
      <c r="O1350" t="s">
        <v>2887</v>
      </c>
      <c r="P1350" t="s">
        <v>5281</v>
      </c>
      <c r="Q1350" s="671">
        <v>62037</v>
      </c>
      <c r="R1350" s="671"/>
      <c r="AT1350" s="671"/>
      <c r="AU1350" s="671"/>
      <c r="AV1350" s="671"/>
      <c r="AW1350" s="671"/>
    </row>
    <row r="1351" spans="15:49" x14ac:dyDescent="0.25">
      <c r="O1351" t="s">
        <v>2887</v>
      </c>
      <c r="P1351" t="s">
        <v>5281</v>
      </c>
      <c r="Q1351" s="671">
        <v>62037</v>
      </c>
      <c r="R1351" s="671"/>
      <c r="AT1351" s="671"/>
      <c r="AU1351" s="671"/>
      <c r="AV1351" s="671"/>
      <c r="AW1351" s="671"/>
    </row>
    <row r="1352" spans="15:49" x14ac:dyDescent="0.25">
      <c r="O1352" t="s">
        <v>2887</v>
      </c>
      <c r="P1352" t="s">
        <v>5281</v>
      </c>
      <c r="Q1352" s="671">
        <v>62037</v>
      </c>
      <c r="R1352" s="671"/>
      <c r="AT1352" s="671"/>
      <c r="AU1352" s="671"/>
      <c r="AV1352" s="671"/>
      <c r="AW1352" s="671"/>
    </row>
    <row r="1353" spans="15:49" x14ac:dyDescent="0.25">
      <c r="O1353" t="s">
        <v>2887</v>
      </c>
      <c r="P1353" t="s">
        <v>5281</v>
      </c>
      <c r="Q1353" s="671">
        <v>62037</v>
      </c>
      <c r="R1353" s="671"/>
      <c r="AT1353" s="671"/>
      <c r="AU1353" s="671"/>
      <c r="AV1353" s="671"/>
      <c r="AW1353" s="671"/>
    </row>
    <row r="1354" spans="15:49" x14ac:dyDescent="0.25">
      <c r="O1354" t="s">
        <v>2934</v>
      </c>
      <c r="P1354" t="s">
        <v>5281</v>
      </c>
      <c r="Q1354" s="671">
        <v>62037</v>
      </c>
      <c r="R1354" s="671"/>
      <c r="AT1354" s="671"/>
      <c r="AU1354" s="671"/>
      <c r="AV1354" s="671"/>
      <c r="AW1354" s="671"/>
    </row>
    <row r="1355" spans="15:49" x14ac:dyDescent="0.25">
      <c r="O1355" t="s">
        <v>2930</v>
      </c>
      <c r="P1355" t="s">
        <v>5281</v>
      </c>
      <c r="Q1355" s="671">
        <v>62037</v>
      </c>
      <c r="R1355" s="671"/>
      <c r="AT1355" s="671"/>
      <c r="AU1355" s="671"/>
      <c r="AV1355" s="671"/>
      <c r="AW1355" s="671"/>
    </row>
    <row r="1356" spans="15:49" x14ac:dyDescent="0.25">
      <c r="O1356" t="s">
        <v>2930</v>
      </c>
      <c r="P1356" t="s">
        <v>5281</v>
      </c>
      <c r="Q1356" s="671">
        <v>62037</v>
      </c>
      <c r="R1356" s="671"/>
      <c r="AT1356" s="671"/>
      <c r="AU1356" s="671"/>
      <c r="AV1356" s="671"/>
      <c r="AW1356" s="671"/>
    </row>
    <row r="1357" spans="15:49" x14ac:dyDescent="0.25">
      <c r="O1357" t="s">
        <v>2923</v>
      </c>
      <c r="P1357" t="s">
        <v>5281</v>
      </c>
      <c r="Q1357" s="671">
        <v>62037</v>
      </c>
      <c r="R1357" s="671"/>
      <c r="AT1357" s="671"/>
      <c r="AU1357" s="671"/>
      <c r="AV1357" s="671"/>
      <c r="AW1357" s="671"/>
    </row>
    <row r="1358" spans="15:49" x14ac:dyDescent="0.25">
      <c r="O1358" t="s">
        <v>2923</v>
      </c>
      <c r="P1358" t="s">
        <v>5281</v>
      </c>
      <c r="Q1358" s="671">
        <v>62037</v>
      </c>
      <c r="R1358" s="671"/>
      <c r="AT1358" s="671"/>
      <c r="AU1358" s="671"/>
      <c r="AV1358" s="671"/>
      <c r="AW1358" s="671"/>
    </row>
    <row r="1359" spans="15:49" x14ac:dyDescent="0.25">
      <c r="O1359" t="s">
        <v>2912</v>
      </c>
      <c r="P1359" t="s">
        <v>5281</v>
      </c>
      <c r="Q1359" s="671">
        <v>62037</v>
      </c>
      <c r="R1359" s="671"/>
      <c r="AT1359" s="671"/>
      <c r="AU1359" s="671"/>
      <c r="AV1359" s="671"/>
      <c r="AW1359" s="671"/>
    </row>
    <row r="1360" spans="15:49" x14ac:dyDescent="0.25">
      <c r="O1360" t="s">
        <v>2912</v>
      </c>
      <c r="P1360" t="s">
        <v>5281</v>
      </c>
      <c r="Q1360" s="671">
        <v>62037</v>
      </c>
      <c r="R1360" s="671"/>
      <c r="AT1360" s="671"/>
      <c r="AU1360" s="671"/>
      <c r="AV1360" s="671"/>
      <c r="AW1360" s="671"/>
    </row>
    <row r="1361" spans="15:49" x14ac:dyDescent="0.25">
      <c r="O1361" t="s">
        <v>2918</v>
      </c>
      <c r="P1361" t="s">
        <v>5281</v>
      </c>
      <c r="Q1361" s="671">
        <v>62037</v>
      </c>
      <c r="R1361" s="671"/>
      <c r="AT1361" s="671"/>
      <c r="AU1361" s="671"/>
      <c r="AV1361" s="671"/>
      <c r="AW1361" s="671"/>
    </row>
    <row r="1362" spans="15:49" x14ac:dyDescent="0.25">
      <c r="O1362" t="s">
        <v>2918</v>
      </c>
      <c r="P1362" t="s">
        <v>5281</v>
      </c>
      <c r="Q1362" s="671">
        <v>62037</v>
      </c>
      <c r="R1362" s="671"/>
      <c r="AT1362" s="671"/>
      <c r="AU1362" s="671"/>
      <c r="AV1362" s="671"/>
      <c r="AW1362" s="671"/>
    </row>
    <row r="1363" spans="15:49" x14ac:dyDescent="0.25">
      <c r="O1363" t="s">
        <v>2918</v>
      </c>
      <c r="P1363" t="s">
        <v>5281</v>
      </c>
      <c r="Q1363" s="671">
        <v>62037</v>
      </c>
      <c r="R1363" s="671"/>
      <c r="AT1363" s="671"/>
      <c r="AU1363" s="671"/>
      <c r="AV1363" s="671"/>
      <c r="AW1363" s="671"/>
    </row>
    <row r="1364" spans="15:49" x14ac:dyDescent="0.25">
      <c r="O1364" t="s">
        <v>2918</v>
      </c>
      <c r="P1364" t="s">
        <v>5281</v>
      </c>
      <c r="Q1364" s="671">
        <v>62037</v>
      </c>
      <c r="R1364" s="671"/>
      <c r="AT1364" s="671"/>
      <c r="AU1364" s="671"/>
      <c r="AV1364" s="671"/>
      <c r="AW1364" s="671"/>
    </row>
    <row r="1365" spans="15:49" x14ac:dyDescent="0.25">
      <c r="O1365" t="s">
        <v>2914</v>
      </c>
      <c r="P1365" t="s">
        <v>5281</v>
      </c>
      <c r="Q1365" s="671">
        <v>62037</v>
      </c>
      <c r="R1365" s="671"/>
      <c r="AT1365" s="671"/>
      <c r="AU1365" s="671"/>
      <c r="AV1365" s="671"/>
      <c r="AW1365" s="671"/>
    </row>
    <row r="1366" spans="15:49" x14ac:dyDescent="0.25">
      <c r="O1366" t="s">
        <v>1840</v>
      </c>
      <c r="P1366" t="s">
        <v>5271</v>
      </c>
      <c r="Q1366" s="671">
        <v>62025</v>
      </c>
      <c r="R1366" s="671"/>
      <c r="AT1366" s="671"/>
      <c r="AU1366" s="671"/>
      <c r="AV1366" s="671"/>
      <c r="AW1366" s="671"/>
    </row>
    <row r="1367" spans="15:49" x14ac:dyDescent="0.25">
      <c r="O1367" t="s">
        <v>1840</v>
      </c>
      <c r="P1367" t="s">
        <v>5273</v>
      </c>
      <c r="Q1367" s="671">
        <v>62039</v>
      </c>
      <c r="R1367" s="671"/>
      <c r="AT1367" s="671"/>
      <c r="AU1367" s="671"/>
      <c r="AV1367" s="671"/>
      <c r="AW1367" s="671"/>
    </row>
    <row r="1368" spans="15:49" x14ac:dyDescent="0.25">
      <c r="O1368" t="s">
        <v>1840</v>
      </c>
      <c r="P1368" t="s">
        <v>5282</v>
      </c>
      <c r="Q1368" s="671">
        <v>62024</v>
      </c>
      <c r="R1368" s="671"/>
      <c r="AT1368" s="671"/>
      <c r="AU1368" s="671"/>
      <c r="AV1368" s="671"/>
      <c r="AW1368" s="671"/>
    </row>
    <row r="1369" spans="15:49" x14ac:dyDescent="0.25">
      <c r="O1369" t="s">
        <v>1840</v>
      </c>
      <c r="P1369" t="s">
        <v>5282</v>
      </c>
      <c r="Q1369" s="671">
        <v>62024</v>
      </c>
      <c r="R1369" s="671"/>
      <c r="AT1369" s="671"/>
      <c r="AU1369" s="671"/>
      <c r="AV1369" s="671"/>
      <c r="AW1369" s="671"/>
    </row>
    <row r="1370" spans="15:49" x14ac:dyDescent="0.25">
      <c r="O1370" t="s">
        <v>1840</v>
      </c>
      <c r="P1370" t="s">
        <v>5282</v>
      </c>
      <c r="Q1370" s="671">
        <v>62024</v>
      </c>
      <c r="R1370" s="671"/>
      <c r="AT1370" s="671"/>
      <c r="AU1370" s="671"/>
      <c r="AV1370" s="671"/>
      <c r="AW1370" s="671"/>
    </row>
    <row r="1371" spans="15:49" x14ac:dyDescent="0.25">
      <c r="O1371" t="s">
        <v>1840</v>
      </c>
      <c r="P1371" t="s">
        <v>5271</v>
      </c>
      <c r="Q1371" s="671">
        <v>62025</v>
      </c>
      <c r="R1371" s="671"/>
      <c r="AT1371" s="671"/>
      <c r="AU1371" s="671"/>
      <c r="AV1371" s="671"/>
      <c r="AW1371" s="671"/>
    </row>
    <row r="1372" spans="15:49" x14ac:dyDescent="0.25">
      <c r="O1372" t="s">
        <v>1832</v>
      </c>
      <c r="P1372" t="s">
        <v>5282</v>
      </c>
      <c r="Q1372" s="671">
        <v>62024</v>
      </c>
      <c r="R1372" s="671"/>
      <c r="AT1372" s="671"/>
      <c r="AU1372" s="671"/>
      <c r="AV1372" s="671"/>
      <c r="AW1372" s="671"/>
    </row>
    <row r="1373" spans="15:49" x14ac:dyDescent="0.25">
      <c r="O1373" t="s">
        <v>1836</v>
      </c>
      <c r="P1373" t="s">
        <v>5282</v>
      </c>
      <c r="Q1373" s="671">
        <v>62024</v>
      </c>
      <c r="R1373" s="671"/>
      <c r="AT1373" s="671"/>
      <c r="AU1373" s="671"/>
      <c r="AV1373" s="671"/>
      <c r="AW1373" s="671"/>
    </row>
    <row r="1374" spans="15:49" x14ac:dyDescent="0.25">
      <c r="O1374" t="s">
        <v>1818</v>
      </c>
      <c r="P1374" t="s">
        <v>5282</v>
      </c>
      <c r="Q1374" s="671">
        <v>62024</v>
      </c>
      <c r="R1374" s="671"/>
      <c r="AT1374" s="671"/>
      <c r="AU1374" s="671"/>
      <c r="AV1374" s="671"/>
      <c r="AW1374" s="671"/>
    </row>
    <row r="1375" spans="15:49" x14ac:dyDescent="0.25">
      <c r="O1375" t="s">
        <v>1818</v>
      </c>
      <c r="P1375" t="s">
        <v>5282</v>
      </c>
      <c r="Q1375" s="671">
        <v>62024</v>
      </c>
      <c r="R1375" s="671"/>
      <c r="AT1375" s="671"/>
      <c r="AU1375" s="671"/>
      <c r="AV1375" s="671"/>
      <c r="AW1375" s="671"/>
    </row>
    <row r="1376" spans="15:49" x14ac:dyDescent="0.25">
      <c r="O1376" t="s">
        <v>1820</v>
      </c>
      <c r="P1376" t="s">
        <v>5282</v>
      </c>
      <c r="Q1376" s="671">
        <v>62024</v>
      </c>
      <c r="R1376" s="671"/>
      <c r="AT1376" s="671"/>
      <c r="AU1376" s="671"/>
      <c r="AV1376" s="671"/>
      <c r="AW1376" s="671"/>
    </row>
    <row r="1377" spans="15:49" x14ac:dyDescent="0.25">
      <c r="O1377" t="s">
        <v>1820</v>
      </c>
      <c r="P1377" t="s">
        <v>5282</v>
      </c>
      <c r="Q1377" s="671">
        <v>62024</v>
      </c>
      <c r="R1377" s="671"/>
      <c r="AT1377" s="671"/>
      <c r="AU1377" s="671"/>
      <c r="AV1377" s="671"/>
      <c r="AW1377" s="671"/>
    </row>
    <row r="1378" spans="15:49" x14ac:dyDescent="0.25">
      <c r="O1378" t="s">
        <v>1820</v>
      </c>
      <c r="P1378" t="s">
        <v>5282</v>
      </c>
      <c r="Q1378" s="671">
        <v>62024</v>
      </c>
      <c r="R1378" s="671"/>
      <c r="AT1378" s="671"/>
      <c r="AU1378" s="671"/>
      <c r="AV1378" s="671"/>
      <c r="AW1378" s="671"/>
    </row>
    <row r="1379" spans="15:49" x14ac:dyDescent="0.25">
      <c r="O1379" t="s">
        <v>1814</v>
      </c>
      <c r="P1379" t="s">
        <v>5282</v>
      </c>
      <c r="Q1379" s="671">
        <v>62024</v>
      </c>
      <c r="R1379" s="671"/>
      <c r="AT1379" s="671"/>
      <c r="AU1379" s="671"/>
      <c r="AV1379" s="671"/>
      <c r="AW1379" s="671"/>
    </row>
    <row r="1380" spans="15:49" x14ac:dyDescent="0.25">
      <c r="O1380" t="s">
        <v>1822</v>
      </c>
      <c r="P1380" t="s">
        <v>5282</v>
      </c>
      <c r="Q1380" s="671">
        <v>62024</v>
      </c>
      <c r="R1380" s="671"/>
      <c r="AT1380" s="671"/>
      <c r="AU1380" s="671"/>
      <c r="AV1380" s="671"/>
      <c r="AW1380" s="671"/>
    </row>
    <row r="1381" spans="15:49" x14ac:dyDescent="0.25">
      <c r="O1381" t="s">
        <v>1822</v>
      </c>
      <c r="P1381" t="s">
        <v>5282</v>
      </c>
      <c r="Q1381" s="671">
        <v>62024</v>
      </c>
      <c r="R1381" s="671"/>
      <c r="AT1381" s="671"/>
      <c r="AU1381" s="671"/>
      <c r="AV1381" s="671"/>
      <c r="AW1381" s="671"/>
    </row>
    <row r="1382" spans="15:49" x14ac:dyDescent="0.25">
      <c r="O1382" t="s">
        <v>1822</v>
      </c>
      <c r="P1382" t="s">
        <v>5282</v>
      </c>
      <c r="Q1382" s="671">
        <v>62024</v>
      </c>
      <c r="R1382" s="671"/>
      <c r="AT1382" s="671"/>
      <c r="AU1382" s="671"/>
      <c r="AV1382" s="671"/>
      <c r="AW1382" s="671"/>
    </row>
    <row r="1383" spans="15:49" x14ac:dyDescent="0.25">
      <c r="O1383" t="s">
        <v>1822</v>
      </c>
      <c r="P1383" t="s">
        <v>5282</v>
      </c>
      <c r="Q1383" s="671">
        <v>62024</v>
      </c>
      <c r="R1383" s="671"/>
      <c r="AT1383" s="671"/>
      <c r="AU1383" s="671"/>
      <c r="AV1383" s="671"/>
      <c r="AW1383" s="671"/>
    </row>
    <row r="1384" spans="15:49" x14ac:dyDescent="0.25">
      <c r="O1384" t="s">
        <v>1822</v>
      </c>
      <c r="P1384" t="s">
        <v>5282</v>
      </c>
      <c r="Q1384" s="671">
        <v>62024</v>
      </c>
      <c r="R1384" s="671"/>
      <c r="AT1384" s="671"/>
      <c r="AU1384" s="671"/>
      <c r="AV1384" s="671"/>
      <c r="AW1384" s="671"/>
    </row>
    <row r="1385" spans="15:49" x14ac:dyDescent="0.25">
      <c r="O1385" t="s">
        <v>1822</v>
      </c>
      <c r="P1385" t="s">
        <v>5282</v>
      </c>
      <c r="Q1385" s="671">
        <v>62024</v>
      </c>
      <c r="R1385" s="671"/>
      <c r="AT1385" s="671"/>
      <c r="AU1385" s="671"/>
      <c r="AV1385" s="671"/>
      <c r="AW1385" s="671"/>
    </row>
    <row r="1386" spans="15:49" x14ac:dyDescent="0.25">
      <c r="O1386" t="s">
        <v>1784</v>
      </c>
      <c r="P1386" t="s">
        <v>5282</v>
      </c>
      <c r="Q1386" s="671">
        <v>62024</v>
      </c>
      <c r="R1386" s="671"/>
      <c r="AT1386" s="671"/>
      <c r="AU1386" s="671"/>
      <c r="AV1386" s="671"/>
      <c r="AW1386" s="671"/>
    </row>
    <row r="1387" spans="15:49" x14ac:dyDescent="0.25">
      <c r="O1387" t="s">
        <v>1784</v>
      </c>
      <c r="P1387" t="s">
        <v>5282</v>
      </c>
      <c r="Q1387" s="671">
        <v>62024</v>
      </c>
      <c r="R1387" s="671"/>
      <c r="AT1387" s="671"/>
      <c r="AU1387" s="671"/>
      <c r="AV1387" s="671"/>
      <c r="AW1387" s="671"/>
    </row>
    <row r="1388" spans="15:49" x14ac:dyDescent="0.25">
      <c r="O1388" t="s">
        <v>1784</v>
      </c>
      <c r="P1388" t="s">
        <v>5282</v>
      </c>
      <c r="Q1388" s="671">
        <v>62024</v>
      </c>
      <c r="R1388" s="671"/>
      <c r="AT1388" s="671"/>
      <c r="AU1388" s="671"/>
      <c r="AV1388" s="671"/>
      <c r="AW1388" s="671"/>
    </row>
    <row r="1389" spans="15:49" x14ac:dyDescent="0.25">
      <c r="O1389" t="s">
        <v>1792</v>
      </c>
      <c r="P1389" t="s">
        <v>5282</v>
      </c>
      <c r="Q1389" s="671">
        <v>62024</v>
      </c>
      <c r="R1389" s="671"/>
      <c r="AT1389" s="671"/>
      <c r="AU1389" s="671"/>
      <c r="AV1389" s="671"/>
      <c r="AW1389" s="671"/>
    </row>
    <row r="1390" spans="15:49" x14ac:dyDescent="0.25">
      <c r="O1390" t="s">
        <v>1804</v>
      </c>
      <c r="P1390" t="s">
        <v>5282</v>
      </c>
      <c r="Q1390" s="671">
        <v>62024</v>
      </c>
      <c r="R1390" s="671"/>
      <c r="AT1390" s="671"/>
      <c r="AU1390" s="671"/>
      <c r="AV1390" s="671"/>
      <c r="AW1390" s="671"/>
    </row>
    <row r="1391" spans="15:49" x14ac:dyDescent="0.25">
      <c r="O1391" t="s">
        <v>1796</v>
      </c>
      <c r="P1391" t="s">
        <v>5282</v>
      </c>
      <c r="Q1391" s="671">
        <v>62024</v>
      </c>
      <c r="R1391" s="671"/>
      <c r="AT1391" s="671"/>
      <c r="AU1391" s="671"/>
      <c r="AV1391" s="671"/>
      <c r="AW1391" s="671"/>
    </row>
    <row r="1392" spans="15:49" x14ac:dyDescent="0.25">
      <c r="O1392" t="s">
        <v>1810</v>
      </c>
      <c r="P1392" t="s">
        <v>5282</v>
      </c>
      <c r="Q1392" s="671">
        <v>62024</v>
      </c>
      <c r="R1392" s="671"/>
      <c r="AT1392" s="671"/>
      <c r="AU1392" s="671"/>
      <c r="AV1392" s="671"/>
      <c r="AW1392" s="671"/>
    </row>
    <row r="1393" spans="15:49" x14ac:dyDescent="0.25">
      <c r="O1393" t="s">
        <v>1800</v>
      </c>
      <c r="P1393" t="s">
        <v>5282</v>
      </c>
      <c r="Q1393" s="671">
        <v>62024</v>
      </c>
      <c r="R1393" s="671"/>
      <c r="AT1393" s="671"/>
      <c r="AU1393" s="671"/>
      <c r="AV1393" s="671"/>
      <c r="AW1393" s="671"/>
    </row>
    <row r="1394" spans="15:49" x14ac:dyDescent="0.25">
      <c r="O1394" t="s">
        <v>1808</v>
      </c>
      <c r="P1394" t="s">
        <v>5282</v>
      </c>
      <c r="Q1394" s="671">
        <v>62024</v>
      </c>
      <c r="R1394" s="671"/>
      <c r="AT1394" s="671"/>
      <c r="AU1394" s="671"/>
      <c r="AV1394" s="671"/>
      <c r="AW1394" s="671"/>
    </row>
    <row r="1395" spans="15:49" x14ac:dyDescent="0.25">
      <c r="O1395" t="s">
        <v>1097</v>
      </c>
      <c r="P1395" t="s">
        <v>5283</v>
      </c>
      <c r="Q1395" s="671">
        <v>61012</v>
      </c>
      <c r="R1395" s="671"/>
      <c r="AT1395" s="671"/>
      <c r="AU1395" s="671"/>
      <c r="AV1395" s="671"/>
      <c r="AW1395" s="671"/>
    </row>
    <row r="1396" spans="15:49" x14ac:dyDescent="0.25">
      <c r="O1396" t="s">
        <v>1088</v>
      </c>
      <c r="P1396" t="s">
        <v>5283</v>
      </c>
      <c r="Q1396" s="671">
        <v>61012</v>
      </c>
      <c r="R1396" s="671"/>
      <c r="AT1396" s="671"/>
      <c r="AU1396" s="671"/>
      <c r="AV1396" s="671"/>
      <c r="AW1396" s="671"/>
    </row>
    <row r="1397" spans="15:49" x14ac:dyDescent="0.25">
      <c r="O1397" t="s">
        <v>1093</v>
      </c>
      <c r="P1397" t="s">
        <v>5283</v>
      </c>
      <c r="Q1397" s="671">
        <v>61012</v>
      </c>
      <c r="R1397" s="671"/>
      <c r="AT1397" s="671"/>
      <c r="AU1397" s="671"/>
      <c r="AV1397" s="671"/>
      <c r="AW1397" s="671"/>
    </row>
    <row r="1398" spans="15:49" x14ac:dyDescent="0.25">
      <c r="O1398" t="s">
        <v>1114</v>
      </c>
      <c r="P1398" t="s">
        <v>5283</v>
      </c>
      <c r="Q1398" s="671">
        <v>61010</v>
      </c>
      <c r="R1398" s="671"/>
      <c r="AT1398" s="671"/>
      <c r="AU1398" s="671"/>
      <c r="AV1398" s="671"/>
      <c r="AW1398" s="671"/>
    </row>
    <row r="1399" spans="15:49" x14ac:dyDescent="0.25">
      <c r="O1399" t="s">
        <v>1114</v>
      </c>
      <c r="P1399" t="s">
        <v>5283</v>
      </c>
      <c r="Q1399" s="671">
        <v>61010</v>
      </c>
      <c r="R1399" s="671"/>
      <c r="AT1399" s="671"/>
      <c r="AU1399" s="671"/>
      <c r="AV1399" s="671"/>
      <c r="AW1399" s="671"/>
    </row>
    <row r="1400" spans="15:49" x14ac:dyDescent="0.25">
      <c r="O1400" t="s">
        <v>1114</v>
      </c>
      <c r="P1400" t="s">
        <v>5283</v>
      </c>
      <c r="Q1400" s="671">
        <v>61010</v>
      </c>
      <c r="R1400" s="671"/>
      <c r="AT1400" s="671"/>
      <c r="AU1400" s="671"/>
      <c r="AV1400" s="671"/>
      <c r="AW1400" s="671"/>
    </row>
    <row r="1401" spans="15:49" x14ac:dyDescent="0.25">
      <c r="O1401" t="s">
        <v>1106</v>
      </c>
      <c r="P1401" t="s">
        <v>5283</v>
      </c>
      <c r="Q1401" s="671">
        <v>61010</v>
      </c>
      <c r="R1401" s="671"/>
      <c r="AT1401" s="671"/>
      <c r="AU1401" s="671"/>
      <c r="AV1401" s="671"/>
      <c r="AW1401" s="671"/>
    </row>
    <row r="1402" spans="15:49" x14ac:dyDescent="0.25">
      <c r="O1402" t="s">
        <v>1110</v>
      </c>
      <c r="P1402" t="s">
        <v>5283</v>
      </c>
      <c r="Q1402" s="671">
        <v>61010</v>
      </c>
      <c r="R1402" s="671"/>
      <c r="AT1402" s="671"/>
      <c r="AU1402" s="671"/>
      <c r="AV1402" s="671"/>
      <c r="AW1402" s="671"/>
    </row>
    <row r="1403" spans="15:49" x14ac:dyDescent="0.25">
      <c r="O1403" t="s">
        <v>1102</v>
      </c>
      <c r="P1403" t="s">
        <v>5283</v>
      </c>
      <c r="Q1403" s="671">
        <v>61010</v>
      </c>
      <c r="R1403" s="671"/>
      <c r="AT1403" s="671"/>
      <c r="AU1403" s="671"/>
      <c r="AV1403" s="671"/>
      <c r="AW1403" s="671"/>
    </row>
    <row r="1404" spans="15:49" x14ac:dyDescent="0.25">
      <c r="O1404" t="s">
        <v>1126</v>
      </c>
      <c r="P1404" t="s">
        <v>5283</v>
      </c>
      <c r="Q1404" s="671">
        <v>61010</v>
      </c>
      <c r="R1404" s="671"/>
      <c r="AT1404" s="671"/>
      <c r="AU1404" s="671"/>
      <c r="AV1404" s="671"/>
      <c r="AW1404" s="671"/>
    </row>
    <row r="1405" spans="15:49" x14ac:dyDescent="0.25">
      <c r="O1405" t="s">
        <v>1126</v>
      </c>
      <c r="P1405" t="s">
        <v>5283</v>
      </c>
      <c r="Q1405" s="671">
        <v>61010</v>
      </c>
      <c r="R1405" s="671"/>
      <c r="AT1405" s="671"/>
      <c r="AU1405" s="671"/>
      <c r="AV1405" s="671"/>
      <c r="AW1405" s="671"/>
    </row>
    <row r="1406" spans="15:49" x14ac:dyDescent="0.25">
      <c r="O1406" t="s">
        <v>1122</v>
      </c>
      <c r="P1406" t="s">
        <v>5283</v>
      </c>
      <c r="Q1406" s="671">
        <v>61010</v>
      </c>
      <c r="R1406" s="671"/>
      <c r="AT1406" s="671"/>
      <c r="AU1406" s="671"/>
      <c r="AV1406" s="671"/>
      <c r="AW1406" s="671"/>
    </row>
    <row r="1407" spans="15:49" x14ac:dyDescent="0.25">
      <c r="O1407" t="s">
        <v>1178</v>
      </c>
      <c r="P1407" t="s">
        <v>5283</v>
      </c>
      <c r="Q1407" s="671">
        <v>61014</v>
      </c>
      <c r="R1407" s="671"/>
      <c r="AT1407" s="671"/>
      <c r="AU1407" s="671"/>
      <c r="AV1407" s="671"/>
      <c r="AW1407" s="671"/>
    </row>
    <row r="1408" spans="15:49" x14ac:dyDescent="0.25">
      <c r="O1408" t="s">
        <v>1178</v>
      </c>
      <c r="P1408" t="s">
        <v>5283</v>
      </c>
      <c r="Q1408" s="671">
        <v>61014</v>
      </c>
      <c r="R1408" s="671"/>
      <c r="AT1408" s="671"/>
      <c r="AU1408" s="671"/>
      <c r="AV1408" s="671"/>
      <c r="AW1408" s="671"/>
    </row>
    <row r="1409" spans="15:49" x14ac:dyDescent="0.25">
      <c r="O1409" t="s">
        <v>1174</v>
      </c>
      <c r="P1409" t="s">
        <v>5283</v>
      </c>
      <c r="Q1409" s="671">
        <v>61014</v>
      </c>
      <c r="R1409" s="671"/>
      <c r="AT1409" s="671"/>
      <c r="AU1409" s="671"/>
      <c r="AV1409" s="671"/>
      <c r="AW1409" s="671"/>
    </row>
    <row r="1410" spans="15:49" x14ac:dyDescent="0.25">
      <c r="O1410" t="s">
        <v>1174</v>
      </c>
      <c r="P1410" t="s">
        <v>5283</v>
      </c>
      <c r="Q1410" s="671">
        <v>61014</v>
      </c>
      <c r="R1410" s="671"/>
      <c r="AT1410" s="671"/>
      <c r="AU1410" s="671"/>
      <c r="AV1410" s="671"/>
      <c r="AW1410" s="671"/>
    </row>
    <row r="1411" spans="15:49" x14ac:dyDescent="0.25">
      <c r="O1411" t="s">
        <v>1170</v>
      </c>
      <c r="P1411" t="s">
        <v>5283</v>
      </c>
      <c r="Q1411" s="671">
        <v>61014</v>
      </c>
      <c r="R1411" s="671"/>
      <c r="AT1411" s="671"/>
      <c r="AU1411" s="671"/>
      <c r="AV1411" s="671"/>
      <c r="AW1411" s="671"/>
    </row>
    <row r="1412" spans="15:49" x14ac:dyDescent="0.25">
      <c r="O1412" t="s">
        <v>1166</v>
      </c>
      <c r="P1412" t="s">
        <v>5283</v>
      </c>
      <c r="Q1412" s="671">
        <v>61014</v>
      </c>
      <c r="R1412" s="671"/>
      <c r="AT1412" s="671"/>
      <c r="AU1412" s="671"/>
      <c r="AV1412" s="671"/>
      <c r="AW1412" s="671"/>
    </row>
    <row r="1413" spans="15:49" x14ac:dyDescent="0.25">
      <c r="O1413" t="s">
        <v>1162</v>
      </c>
      <c r="P1413" t="s">
        <v>5283</v>
      </c>
      <c r="Q1413" s="671">
        <v>61014</v>
      </c>
      <c r="R1413" s="671"/>
      <c r="AT1413" s="671"/>
      <c r="AU1413" s="671"/>
      <c r="AV1413" s="671"/>
      <c r="AW1413" s="671"/>
    </row>
    <row r="1414" spans="15:49" x14ac:dyDescent="0.25">
      <c r="O1414" t="s">
        <v>1162</v>
      </c>
      <c r="P1414" t="s">
        <v>5283</v>
      </c>
      <c r="Q1414" s="671">
        <v>61014</v>
      </c>
      <c r="R1414" s="671"/>
      <c r="AT1414" s="671"/>
      <c r="AU1414" s="671"/>
      <c r="AV1414" s="671"/>
      <c r="AW1414" s="671"/>
    </row>
    <row r="1415" spans="15:49" x14ac:dyDescent="0.25">
      <c r="O1415" t="s">
        <v>1148</v>
      </c>
      <c r="P1415" t="s">
        <v>5283</v>
      </c>
      <c r="Q1415" s="671">
        <v>61014</v>
      </c>
      <c r="R1415" s="671"/>
      <c r="AT1415" s="671"/>
      <c r="AU1415" s="671"/>
      <c r="AV1415" s="671"/>
      <c r="AW1415" s="671"/>
    </row>
    <row r="1416" spans="15:49" x14ac:dyDescent="0.25">
      <c r="O1416" t="s">
        <v>1152</v>
      </c>
      <c r="P1416" t="s">
        <v>5283</v>
      </c>
      <c r="Q1416" s="671">
        <v>61014</v>
      </c>
      <c r="R1416" s="671"/>
      <c r="AT1416" s="671"/>
      <c r="AU1416" s="671"/>
      <c r="AV1416" s="671"/>
      <c r="AW1416" s="671"/>
    </row>
    <row r="1417" spans="15:49" x14ac:dyDescent="0.25">
      <c r="O1417" t="s">
        <v>1156</v>
      </c>
      <c r="P1417" t="s">
        <v>5283</v>
      </c>
      <c r="Q1417" s="671">
        <v>61014</v>
      </c>
      <c r="R1417" s="671"/>
      <c r="AT1417" s="671"/>
      <c r="AU1417" s="671"/>
      <c r="AV1417" s="671"/>
      <c r="AW1417" s="671"/>
    </row>
    <row r="1418" spans="15:49" x14ac:dyDescent="0.25">
      <c r="O1418" t="s">
        <v>1156</v>
      </c>
      <c r="P1418" t="s">
        <v>5283</v>
      </c>
      <c r="Q1418" s="671">
        <v>61014</v>
      </c>
      <c r="R1418" s="671"/>
      <c r="AT1418" s="671"/>
      <c r="AU1418" s="671"/>
      <c r="AV1418" s="671"/>
      <c r="AW1418" s="671"/>
    </row>
    <row r="1419" spans="15:49" x14ac:dyDescent="0.25">
      <c r="O1419" t="s">
        <v>1138</v>
      </c>
      <c r="P1419" t="s">
        <v>5283</v>
      </c>
      <c r="Q1419" s="671">
        <v>61014</v>
      </c>
      <c r="R1419" s="671"/>
      <c r="AT1419" s="671"/>
      <c r="AU1419" s="671"/>
      <c r="AV1419" s="671"/>
      <c r="AW1419" s="671"/>
    </row>
    <row r="1420" spans="15:49" x14ac:dyDescent="0.25">
      <c r="O1420" t="s">
        <v>1134</v>
      </c>
      <c r="P1420" t="s">
        <v>5283</v>
      </c>
      <c r="Q1420" s="671">
        <v>61014</v>
      </c>
      <c r="R1420" s="671"/>
      <c r="AT1420" s="671"/>
      <c r="AU1420" s="671"/>
      <c r="AV1420" s="671"/>
      <c r="AW1420" s="671"/>
    </row>
    <row r="1421" spans="15:49" x14ac:dyDescent="0.25">
      <c r="O1421" t="s">
        <v>1130</v>
      </c>
      <c r="P1421" t="s">
        <v>5283</v>
      </c>
      <c r="Q1421" s="671">
        <v>61014</v>
      </c>
      <c r="R1421" s="671"/>
      <c r="AT1421" s="671"/>
      <c r="AU1421" s="671"/>
      <c r="AV1421" s="671"/>
      <c r="AW1421" s="671"/>
    </row>
    <row r="1422" spans="15:49" x14ac:dyDescent="0.25">
      <c r="O1422" t="s">
        <v>1142</v>
      </c>
      <c r="P1422" t="s">
        <v>5283</v>
      </c>
      <c r="Q1422" s="671">
        <v>61014</v>
      </c>
      <c r="R1422" s="671"/>
      <c r="AT1422" s="671"/>
      <c r="AU1422" s="671"/>
      <c r="AV1422" s="671"/>
      <c r="AW1422" s="671"/>
    </row>
    <row r="1423" spans="15:49" x14ac:dyDescent="0.25">
      <c r="O1423" t="s">
        <v>1142</v>
      </c>
      <c r="P1423" t="s">
        <v>5283</v>
      </c>
      <c r="Q1423" s="671">
        <v>61014</v>
      </c>
      <c r="R1423" s="671"/>
      <c r="AT1423" s="671"/>
      <c r="AU1423" s="671"/>
      <c r="AV1423" s="671"/>
      <c r="AW1423" s="671"/>
    </row>
    <row r="1424" spans="15:49" x14ac:dyDescent="0.25">
      <c r="O1424" t="s">
        <v>1076</v>
      </c>
      <c r="P1424" t="s">
        <v>5284</v>
      </c>
      <c r="Q1424" s="671">
        <v>61013</v>
      </c>
      <c r="R1424" s="671"/>
      <c r="AT1424" s="671"/>
      <c r="AU1424" s="671"/>
      <c r="AV1424" s="671"/>
      <c r="AW1424" s="671"/>
    </row>
    <row r="1425" spans="15:49" x14ac:dyDescent="0.25">
      <c r="O1425" t="s">
        <v>1082</v>
      </c>
      <c r="P1425" t="s">
        <v>5284</v>
      </c>
      <c r="Q1425" s="671">
        <v>61013</v>
      </c>
      <c r="R1425" s="671"/>
      <c r="AT1425" s="671"/>
      <c r="AU1425" s="671"/>
      <c r="AV1425" s="671"/>
      <c r="AW1425" s="671"/>
    </row>
    <row r="1426" spans="15:49" x14ac:dyDescent="0.25">
      <c r="O1426" t="s">
        <v>1082</v>
      </c>
      <c r="P1426" t="s">
        <v>5284</v>
      </c>
      <c r="Q1426" s="671">
        <v>61013</v>
      </c>
      <c r="R1426" s="671"/>
      <c r="AT1426" s="671"/>
      <c r="AU1426" s="671"/>
      <c r="AV1426" s="671"/>
      <c r="AW1426" s="671"/>
    </row>
    <row r="1427" spans="15:49" x14ac:dyDescent="0.25">
      <c r="O1427" t="s">
        <v>1082</v>
      </c>
      <c r="P1427" t="s">
        <v>5284</v>
      </c>
      <c r="Q1427" s="671">
        <v>61013</v>
      </c>
      <c r="R1427" s="671"/>
      <c r="AT1427" s="671"/>
      <c r="AU1427" s="671"/>
      <c r="AV1427" s="671"/>
      <c r="AW1427" s="671"/>
    </row>
    <row r="1428" spans="15:49" x14ac:dyDescent="0.25">
      <c r="O1428" t="s">
        <v>1180</v>
      </c>
      <c r="P1428" t="s">
        <v>5285</v>
      </c>
      <c r="Q1428" s="671">
        <v>61013</v>
      </c>
      <c r="R1428" s="671"/>
      <c r="AT1428" s="671"/>
      <c r="AU1428" s="671"/>
      <c r="AV1428" s="671"/>
      <c r="AW1428" s="671"/>
    </row>
    <row r="1429" spans="15:49" x14ac:dyDescent="0.25">
      <c r="O1429" t="s">
        <v>1189</v>
      </c>
      <c r="P1429" t="s">
        <v>5285</v>
      </c>
      <c r="Q1429" s="671">
        <v>61012</v>
      </c>
      <c r="R1429" s="671"/>
      <c r="AT1429" s="671"/>
      <c r="AU1429" s="671"/>
      <c r="AV1429" s="671"/>
      <c r="AW1429" s="671"/>
    </row>
    <row r="1430" spans="15:49" x14ac:dyDescent="0.25">
      <c r="O1430" t="s">
        <v>1193</v>
      </c>
      <c r="P1430" t="s">
        <v>5285</v>
      </c>
      <c r="Q1430" s="671">
        <v>61010</v>
      </c>
      <c r="R1430" s="671"/>
      <c r="AT1430" s="671"/>
      <c r="AU1430" s="671"/>
      <c r="AV1430" s="671"/>
      <c r="AW1430" s="671"/>
    </row>
    <row r="1431" spans="15:49" x14ac:dyDescent="0.25">
      <c r="O1431" t="s">
        <v>1197</v>
      </c>
      <c r="P1431" t="s">
        <v>5285</v>
      </c>
      <c r="Q1431" s="671">
        <v>61014</v>
      </c>
      <c r="R1431" s="671"/>
      <c r="AT1431" s="671"/>
      <c r="AU1431" s="671"/>
      <c r="AV1431" s="671"/>
      <c r="AW1431" s="671"/>
    </row>
    <row r="1432" spans="15:49" x14ac:dyDescent="0.25">
      <c r="O1432" t="s">
        <v>1183</v>
      </c>
      <c r="P1432" t="s">
        <v>5285</v>
      </c>
      <c r="Q1432" s="671">
        <v>61013</v>
      </c>
      <c r="R1432" s="671"/>
      <c r="AT1432" s="671"/>
      <c r="AU1432" s="671"/>
      <c r="AV1432" s="671"/>
      <c r="AW1432" s="671"/>
    </row>
    <row r="1433" spans="15:49" x14ac:dyDescent="0.25">
      <c r="O1433" t="s">
        <v>1183</v>
      </c>
      <c r="P1433" t="s">
        <v>5285</v>
      </c>
      <c r="Q1433" s="671">
        <v>61013</v>
      </c>
      <c r="R1433" s="671"/>
      <c r="AT1433" s="671"/>
      <c r="AU1433" s="671"/>
      <c r="AV1433" s="671"/>
      <c r="AW1433" s="671"/>
    </row>
    <row r="1434" spans="15:49" x14ac:dyDescent="0.25">
      <c r="O1434" t="s">
        <v>4756</v>
      </c>
      <c r="P1434" t="s">
        <v>5286</v>
      </c>
      <c r="Q1434" s="671">
        <v>67072</v>
      </c>
      <c r="R1434" s="671"/>
      <c r="AT1434" s="671"/>
      <c r="AU1434" s="671"/>
      <c r="AV1434" s="671"/>
      <c r="AW1434" s="671"/>
    </row>
    <row r="1435" spans="15:49" x14ac:dyDescent="0.25">
      <c r="O1435" t="s">
        <v>4756</v>
      </c>
      <c r="P1435" t="s">
        <v>5286</v>
      </c>
      <c r="Q1435" s="671">
        <v>67072</v>
      </c>
      <c r="R1435" s="671"/>
      <c r="AT1435" s="671"/>
      <c r="AU1435" s="671"/>
      <c r="AV1435" s="671"/>
      <c r="AW1435" s="671"/>
    </row>
    <row r="1436" spans="15:49" x14ac:dyDescent="0.25">
      <c r="O1436" t="s">
        <v>4756</v>
      </c>
      <c r="P1436" t="s">
        <v>5286</v>
      </c>
      <c r="Q1436" s="671">
        <v>67072</v>
      </c>
      <c r="R1436" s="671"/>
      <c r="AT1436" s="671"/>
      <c r="AU1436" s="671"/>
      <c r="AV1436" s="671"/>
      <c r="AW1436" s="671"/>
    </row>
    <row r="1437" spans="15:49" x14ac:dyDescent="0.25">
      <c r="O1437" t="s">
        <v>4752</v>
      </c>
      <c r="P1437" t="s">
        <v>5286</v>
      </c>
      <c r="Q1437" s="671">
        <v>67072</v>
      </c>
      <c r="R1437" s="671"/>
      <c r="AT1437" s="671"/>
      <c r="AU1437" s="671"/>
      <c r="AV1437" s="671"/>
      <c r="AW1437" s="671"/>
    </row>
    <row r="1438" spans="15:49" x14ac:dyDescent="0.25">
      <c r="O1438" t="s">
        <v>4760</v>
      </c>
      <c r="P1438" t="s">
        <v>5286</v>
      </c>
      <c r="Q1438" s="671">
        <v>67072</v>
      </c>
      <c r="R1438" s="671"/>
      <c r="AT1438" s="671"/>
      <c r="AU1438" s="671"/>
      <c r="AV1438" s="671"/>
      <c r="AW1438" s="671"/>
    </row>
    <row r="1439" spans="15:49" x14ac:dyDescent="0.25">
      <c r="O1439" t="s">
        <v>4764</v>
      </c>
      <c r="P1439" t="s">
        <v>5286</v>
      </c>
      <c r="Q1439" s="671">
        <v>67072</v>
      </c>
      <c r="R1439" s="671"/>
      <c r="AT1439" s="671"/>
      <c r="AU1439" s="671"/>
      <c r="AV1439" s="671"/>
      <c r="AW1439" s="671"/>
    </row>
    <row r="1440" spans="15:49" x14ac:dyDescent="0.25">
      <c r="O1440" t="s">
        <v>4764</v>
      </c>
      <c r="P1440" t="s">
        <v>5286</v>
      </c>
      <c r="Q1440" s="671">
        <v>67072</v>
      </c>
      <c r="R1440" s="671"/>
      <c r="AT1440" s="671"/>
      <c r="AU1440" s="671"/>
      <c r="AV1440" s="671"/>
      <c r="AW1440" s="671"/>
    </row>
    <row r="1441" spans="15:49" x14ac:dyDescent="0.25">
      <c r="O1441" t="s">
        <v>4764</v>
      </c>
      <c r="P1441" t="s">
        <v>5286</v>
      </c>
      <c r="Q1441" s="671">
        <v>67072</v>
      </c>
      <c r="R1441" s="671"/>
      <c r="AT1441" s="671"/>
      <c r="AU1441" s="671"/>
      <c r="AV1441" s="671"/>
      <c r="AW1441" s="671"/>
    </row>
    <row r="1442" spans="15:49" x14ac:dyDescent="0.25">
      <c r="O1442" t="s">
        <v>4764</v>
      </c>
      <c r="P1442" t="s">
        <v>5286</v>
      </c>
      <c r="Q1442" s="671">
        <v>67072</v>
      </c>
      <c r="R1442" s="671"/>
      <c r="AT1442" s="671"/>
      <c r="AU1442" s="671"/>
      <c r="AV1442" s="671"/>
      <c r="AW1442" s="671"/>
    </row>
    <row r="1443" spans="15:49" x14ac:dyDescent="0.25">
      <c r="O1443" t="s">
        <v>4764</v>
      </c>
      <c r="P1443" t="s">
        <v>5286</v>
      </c>
      <c r="Q1443" s="671">
        <v>67072</v>
      </c>
      <c r="R1443" s="671"/>
      <c r="AT1443" s="671"/>
      <c r="AU1443" s="671"/>
      <c r="AV1443" s="671"/>
      <c r="AW1443" s="671"/>
    </row>
    <row r="1444" spans="15:49" x14ac:dyDescent="0.25">
      <c r="O1444" t="s">
        <v>4764</v>
      </c>
      <c r="P1444" t="s">
        <v>5286</v>
      </c>
      <c r="Q1444" s="671">
        <v>67072</v>
      </c>
      <c r="R1444" s="671"/>
      <c r="AT1444" s="671"/>
      <c r="AU1444" s="671"/>
      <c r="AV1444" s="671"/>
      <c r="AW1444" s="671"/>
    </row>
    <row r="1445" spans="15:49" x14ac:dyDescent="0.25">
      <c r="O1445" t="s">
        <v>4775</v>
      </c>
      <c r="P1445" t="s">
        <v>5286</v>
      </c>
      <c r="Q1445" s="671">
        <v>67072</v>
      </c>
      <c r="R1445" s="671"/>
      <c r="AT1445" s="671"/>
      <c r="AU1445" s="671"/>
      <c r="AV1445" s="671"/>
      <c r="AW1445" s="671"/>
    </row>
    <row r="1446" spans="15:49" x14ac:dyDescent="0.25">
      <c r="O1446" t="s">
        <v>4772</v>
      </c>
      <c r="P1446" t="s">
        <v>5286</v>
      </c>
      <c r="Q1446" s="671">
        <v>67072</v>
      </c>
      <c r="R1446" s="671"/>
      <c r="AT1446" s="671"/>
      <c r="AU1446" s="671"/>
      <c r="AV1446" s="671"/>
      <c r="AW1446" s="671"/>
    </row>
    <row r="1447" spans="15:49" x14ac:dyDescent="0.25">
      <c r="O1447" t="s">
        <v>4772</v>
      </c>
      <c r="P1447" t="s">
        <v>5286</v>
      </c>
      <c r="Q1447" s="671">
        <v>67072</v>
      </c>
      <c r="R1447" s="671"/>
      <c r="AT1447" s="671"/>
      <c r="AU1447" s="671"/>
      <c r="AV1447" s="671"/>
      <c r="AW1447" s="671"/>
    </row>
    <row r="1448" spans="15:49" x14ac:dyDescent="0.25">
      <c r="O1448" t="s">
        <v>4790</v>
      </c>
      <c r="P1448" t="s">
        <v>5286</v>
      </c>
      <c r="Q1448" s="671">
        <v>67072</v>
      </c>
      <c r="R1448" s="671"/>
      <c r="AT1448" s="671"/>
      <c r="AU1448" s="671"/>
      <c r="AV1448" s="671"/>
      <c r="AW1448" s="671"/>
    </row>
    <row r="1449" spans="15:49" x14ac:dyDescent="0.25">
      <c r="O1449" t="s">
        <v>4790</v>
      </c>
      <c r="P1449" t="s">
        <v>5286</v>
      </c>
      <c r="Q1449" s="671">
        <v>67072</v>
      </c>
      <c r="R1449" s="671"/>
      <c r="AT1449" s="671"/>
      <c r="AU1449" s="671"/>
      <c r="AV1449" s="671"/>
      <c r="AW1449" s="671"/>
    </row>
    <row r="1450" spans="15:49" x14ac:dyDescent="0.25">
      <c r="O1450" t="s">
        <v>4790</v>
      </c>
      <c r="P1450" t="s">
        <v>5286</v>
      </c>
      <c r="Q1450" s="671">
        <v>67072</v>
      </c>
      <c r="R1450" s="671"/>
      <c r="AT1450" s="671"/>
      <c r="AU1450" s="671"/>
      <c r="AV1450" s="671"/>
      <c r="AW1450" s="671"/>
    </row>
    <row r="1451" spans="15:49" x14ac:dyDescent="0.25">
      <c r="O1451" t="s">
        <v>4790</v>
      </c>
      <c r="P1451" t="s">
        <v>5286</v>
      </c>
      <c r="Q1451" s="671">
        <v>67072</v>
      </c>
      <c r="R1451" s="671"/>
      <c r="AT1451" s="671"/>
      <c r="AU1451" s="671"/>
      <c r="AV1451" s="671"/>
      <c r="AW1451" s="671"/>
    </row>
    <row r="1452" spans="15:49" x14ac:dyDescent="0.25">
      <c r="O1452" t="s">
        <v>4790</v>
      </c>
      <c r="P1452" t="s">
        <v>5286</v>
      </c>
      <c r="Q1452" s="671">
        <v>67072</v>
      </c>
      <c r="R1452" s="671"/>
      <c r="AT1452" s="671"/>
      <c r="AU1452" s="671"/>
      <c r="AV1452" s="671"/>
      <c r="AW1452" s="671"/>
    </row>
    <row r="1453" spans="15:49" x14ac:dyDescent="0.25">
      <c r="O1453" t="s">
        <v>4786</v>
      </c>
      <c r="P1453" t="s">
        <v>5286</v>
      </c>
      <c r="Q1453" s="671">
        <v>67072</v>
      </c>
      <c r="R1453" s="671"/>
      <c r="AT1453" s="671"/>
      <c r="AU1453" s="671"/>
      <c r="AV1453" s="671"/>
      <c r="AW1453" s="671"/>
    </row>
    <row r="1454" spans="15:49" x14ac:dyDescent="0.25">
      <c r="O1454" t="s">
        <v>4786</v>
      </c>
      <c r="P1454" t="s">
        <v>5286</v>
      </c>
      <c r="Q1454" s="671">
        <v>67072</v>
      </c>
      <c r="R1454" s="671"/>
      <c r="AT1454" s="671"/>
      <c r="AU1454" s="671"/>
      <c r="AV1454" s="671"/>
      <c r="AW1454" s="671"/>
    </row>
    <row r="1455" spans="15:49" x14ac:dyDescent="0.25">
      <c r="O1455" t="s">
        <v>4778</v>
      </c>
      <c r="P1455" t="s">
        <v>5212</v>
      </c>
      <c r="Q1455" s="671">
        <v>67072</v>
      </c>
      <c r="R1455" s="671"/>
      <c r="AT1455" s="671"/>
      <c r="AU1455" s="671"/>
      <c r="AV1455" s="671"/>
      <c r="AW1455" s="671"/>
    </row>
    <row r="1456" spans="15:49" x14ac:dyDescent="0.25">
      <c r="O1456" t="s">
        <v>4784</v>
      </c>
      <c r="P1456" t="s">
        <v>5286</v>
      </c>
      <c r="Q1456" s="671">
        <v>67072</v>
      </c>
      <c r="R1456" s="671"/>
      <c r="AT1456" s="671"/>
      <c r="AU1456" s="671"/>
      <c r="AV1456" s="671"/>
      <c r="AW1456" s="671"/>
    </row>
    <row r="1457" spans="15:49" x14ac:dyDescent="0.25">
      <c r="O1457" t="s">
        <v>4780</v>
      </c>
      <c r="P1457" t="s">
        <v>5286</v>
      </c>
      <c r="Q1457" s="671">
        <v>67072</v>
      </c>
      <c r="R1457" s="671"/>
      <c r="AT1457" s="671"/>
      <c r="AU1457" s="671"/>
      <c r="AV1457" s="671"/>
      <c r="AW1457" s="671"/>
    </row>
    <row r="1458" spans="15:49" x14ac:dyDescent="0.25">
      <c r="O1458" t="s">
        <v>4743</v>
      </c>
      <c r="P1458" t="s">
        <v>5286</v>
      </c>
      <c r="Q1458" s="671">
        <v>67072</v>
      </c>
      <c r="R1458" s="671"/>
      <c r="AT1458" s="671"/>
      <c r="AU1458" s="671"/>
      <c r="AV1458" s="671"/>
      <c r="AW1458" s="671"/>
    </row>
    <row r="1459" spans="15:49" x14ac:dyDescent="0.25">
      <c r="O1459" t="s">
        <v>4744</v>
      </c>
      <c r="P1459" t="s">
        <v>5286</v>
      </c>
      <c r="Q1459" s="671">
        <v>67072</v>
      </c>
      <c r="R1459" s="671"/>
      <c r="AT1459" s="671"/>
      <c r="AU1459" s="671"/>
      <c r="AV1459" s="671"/>
      <c r="AW1459" s="671"/>
    </row>
    <row r="1460" spans="15:49" x14ac:dyDescent="0.25">
      <c r="O1460" t="s">
        <v>4746</v>
      </c>
      <c r="P1460" t="s">
        <v>5286</v>
      </c>
      <c r="Q1460" s="671">
        <v>67072</v>
      </c>
      <c r="R1460" s="671"/>
      <c r="AT1460" s="671"/>
      <c r="AU1460" s="671"/>
      <c r="AV1460" s="671"/>
      <c r="AW1460" s="671"/>
    </row>
    <row r="1461" spans="15:49" x14ac:dyDescent="0.25">
      <c r="O1461" t="s">
        <v>4748</v>
      </c>
      <c r="P1461" t="s">
        <v>5286</v>
      </c>
      <c r="Q1461" s="671">
        <v>67072</v>
      </c>
      <c r="R1461" s="671"/>
      <c r="AT1461" s="671"/>
      <c r="AU1461" s="671"/>
      <c r="AV1461" s="671"/>
      <c r="AW1461" s="671"/>
    </row>
    <row r="1462" spans="15:49" x14ac:dyDescent="0.25">
      <c r="O1462" t="s">
        <v>4750</v>
      </c>
      <c r="P1462" t="s">
        <v>5286</v>
      </c>
      <c r="Q1462" s="671">
        <v>67072</v>
      </c>
      <c r="R1462" s="671"/>
      <c r="AT1462" s="671"/>
      <c r="AU1462" s="671"/>
      <c r="AV1462" s="671"/>
      <c r="AW1462" s="671"/>
    </row>
    <row r="1463" spans="15:49" x14ac:dyDescent="0.25">
      <c r="O1463" t="s">
        <v>4831</v>
      </c>
      <c r="P1463" t="s">
        <v>5287</v>
      </c>
      <c r="Q1463" s="671">
        <v>67088</v>
      </c>
      <c r="R1463" s="671"/>
      <c r="AT1463" s="671"/>
      <c r="AU1463" s="671"/>
      <c r="AV1463" s="671"/>
      <c r="AW1463" s="671"/>
    </row>
    <row r="1464" spans="15:49" x14ac:dyDescent="0.25">
      <c r="O1464" t="s">
        <v>4816</v>
      </c>
      <c r="P1464" t="s">
        <v>5288</v>
      </c>
      <c r="Q1464" s="671">
        <v>67086</v>
      </c>
      <c r="R1464" s="671"/>
      <c r="AT1464" s="671"/>
      <c r="AU1464" s="671"/>
      <c r="AV1464" s="671"/>
      <c r="AW1464" s="671"/>
    </row>
    <row r="1465" spans="15:49" x14ac:dyDescent="0.25">
      <c r="O1465" t="s">
        <v>4816</v>
      </c>
      <c r="P1465" t="s">
        <v>5288</v>
      </c>
      <c r="Q1465" s="671">
        <v>67086</v>
      </c>
      <c r="R1465" s="671"/>
      <c r="AT1465" s="671"/>
      <c r="AU1465" s="671"/>
      <c r="AV1465" s="671"/>
      <c r="AW1465" s="671"/>
    </row>
    <row r="1466" spans="15:49" x14ac:dyDescent="0.25">
      <c r="O1466" t="s">
        <v>4822</v>
      </c>
      <c r="P1466" t="s">
        <v>5288</v>
      </c>
      <c r="Q1466" s="671">
        <v>67086</v>
      </c>
      <c r="R1466" s="671"/>
      <c r="AT1466" s="671"/>
      <c r="AU1466" s="671"/>
      <c r="AV1466" s="671"/>
      <c r="AW1466" s="671"/>
    </row>
    <row r="1467" spans="15:49" x14ac:dyDescent="0.25">
      <c r="O1467" t="s">
        <v>4829</v>
      </c>
      <c r="P1467" t="s">
        <v>5288</v>
      </c>
      <c r="Q1467" s="671">
        <v>67086</v>
      </c>
      <c r="R1467" s="671"/>
      <c r="AT1467" s="671"/>
      <c r="AU1467" s="671"/>
      <c r="AV1467" s="671"/>
      <c r="AW1467" s="671"/>
    </row>
    <row r="1468" spans="15:49" x14ac:dyDescent="0.25">
      <c r="O1468" t="s">
        <v>4829</v>
      </c>
      <c r="P1468" t="s">
        <v>5288</v>
      </c>
      <c r="Q1468" s="671">
        <v>67086</v>
      </c>
      <c r="R1468" s="671"/>
      <c r="AT1468" s="671"/>
      <c r="AU1468" s="671"/>
      <c r="AV1468" s="671"/>
      <c r="AW1468" s="671"/>
    </row>
    <row r="1469" spans="15:49" x14ac:dyDescent="0.25">
      <c r="O1469" t="s">
        <v>4829</v>
      </c>
      <c r="P1469" t="s">
        <v>5288</v>
      </c>
      <c r="Q1469" s="671">
        <v>67086</v>
      </c>
      <c r="R1469" s="671"/>
      <c r="AT1469" s="671"/>
      <c r="AU1469" s="671"/>
      <c r="AV1469" s="671"/>
      <c r="AW1469" s="671"/>
    </row>
    <row r="1470" spans="15:49" x14ac:dyDescent="0.25">
      <c r="O1470" t="s">
        <v>4826</v>
      </c>
      <c r="P1470" t="s">
        <v>5288</v>
      </c>
      <c r="Q1470" s="671">
        <v>67086</v>
      </c>
      <c r="R1470" s="671"/>
      <c r="AT1470" s="671"/>
      <c r="AU1470" s="671"/>
      <c r="AV1470" s="671"/>
      <c r="AW1470" s="671"/>
    </row>
    <row r="1471" spans="15:49" x14ac:dyDescent="0.25">
      <c r="O1471" t="s">
        <v>4819</v>
      </c>
      <c r="P1471" t="s">
        <v>5288</v>
      </c>
      <c r="Q1471" s="671">
        <v>67086</v>
      </c>
      <c r="R1471" s="671"/>
      <c r="AT1471" s="671"/>
      <c r="AU1471" s="671"/>
      <c r="AV1471" s="671"/>
      <c r="AW1471" s="671"/>
    </row>
    <row r="1472" spans="15:49" x14ac:dyDescent="0.25">
      <c r="O1472" t="s">
        <v>4814</v>
      </c>
      <c r="P1472" t="s">
        <v>5288</v>
      </c>
      <c r="Q1472" s="671">
        <v>67086</v>
      </c>
      <c r="R1472" s="671"/>
      <c r="AT1472" s="671"/>
      <c r="AU1472" s="671"/>
      <c r="AV1472" s="671"/>
      <c r="AW1472" s="671"/>
    </row>
    <row r="1473" spans="15:49" x14ac:dyDescent="0.25">
      <c r="O1473" t="s">
        <v>4814</v>
      </c>
      <c r="P1473" t="s">
        <v>5288</v>
      </c>
      <c r="Q1473" s="671">
        <v>67086</v>
      </c>
      <c r="R1473" s="671"/>
      <c r="AT1473" s="671"/>
      <c r="AU1473" s="671"/>
      <c r="AV1473" s="671"/>
      <c r="AW1473" s="671"/>
    </row>
    <row r="1474" spans="15:49" x14ac:dyDescent="0.25">
      <c r="O1474" t="s">
        <v>4796</v>
      </c>
      <c r="P1474" t="s">
        <v>5288</v>
      </c>
      <c r="Q1474" s="671">
        <v>67086</v>
      </c>
      <c r="R1474" s="671"/>
      <c r="AT1474" s="671"/>
      <c r="AU1474" s="671"/>
      <c r="AV1474" s="671"/>
      <c r="AW1474" s="671"/>
    </row>
    <row r="1475" spans="15:49" x14ac:dyDescent="0.25">
      <c r="O1475" t="s">
        <v>4804</v>
      </c>
      <c r="P1475" t="s">
        <v>5288</v>
      </c>
      <c r="Q1475" s="671">
        <v>67086</v>
      </c>
      <c r="R1475" s="671"/>
      <c r="AT1475" s="671"/>
      <c r="AU1475" s="671"/>
      <c r="AV1475" s="671"/>
      <c r="AW1475" s="671"/>
    </row>
    <row r="1476" spans="15:49" x14ac:dyDescent="0.25">
      <c r="O1476" t="s">
        <v>4800</v>
      </c>
      <c r="P1476" t="s">
        <v>5288</v>
      </c>
      <c r="Q1476" s="671">
        <v>67086</v>
      </c>
      <c r="R1476" s="671"/>
      <c r="AT1476" s="671"/>
      <c r="AU1476" s="671"/>
      <c r="AV1476" s="671"/>
      <c r="AW1476" s="671"/>
    </row>
    <row r="1477" spans="15:49" x14ac:dyDescent="0.25">
      <c r="O1477" t="s">
        <v>4792</v>
      </c>
      <c r="P1477" t="s">
        <v>5288</v>
      </c>
      <c r="Q1477" s="671">
        <v>67086</v>
      </c>
      <c r="R1477" s="671"/>
      <c r="AT1477" s="671"/>
      <c r="AU1477" s="671"/>
      <c r="AV1477" s="671"/>
      <c r="AW1477" s="671"/>
    </row>
    <row r="1478" spans="15:49" x14ac:dyDescent="0.25">
      <c r="O1478" t="s">
        <v>4808</v>
      </c>
      <c r="P1478" t="s">
        <v>5288</v>
      </c>
      <c r="Q1478" s="671">
        <v>67086</v>
      </c>
      <c r="R1478" s="671"/>
      <c r="AT1478" s="671"/>
      <c r="AU1478" s="671"/>
      <c r="AV1478" s="671"/>
      <c r="AW1478" s="671"/>
    </row>
    <row r="1479" spans="15:49" x14ac:dyDescent="0.25">
      <c r="O1479" t="s">
        <v>4808</v>
      </c>
      <c r="P1479" t="s">
        <v>5288</v>
      </c>
      <c r="Q1479" s="671">
        <v>67086</v>
      </c>
      <c r="R1479" s="671"/>
      <c r="AT1479" s="671"/>
      <c r="AU1479" s="671"/>
      <c r="AV1479" s="671"/>
      <c r="AW1479" s="671"/>
    </row>
    <row r="1480" spans="15:49" x14ac:dyDescent="0.25">
      <c r="O1480" t="s">
        <v>4806</v>
      </c>
      <c r="P1480" t="s">
        <v>5288</v>
      </c>
      <c r="Q1480" s="671">
        <v>67086</v>
      </c>
      <c r="R1480" s="671"/>
      <c r="AT1480" s="671"/>
      <c r="AU1480" s="671"/>
      <c r="AV1480" s="671"/>
      <c r="AW1480" s="671"/>
    </row>
    <row r="1481" spans="15:49" x14ac:dyDescent="0.25">
      <c r="O1481" t="s">
        <v>4810</v>
      </c>
      <c r="P1481" t="s">
        <v>5288</v>
      </c>
      <c r="Q1481" s="671">
        <v>67086</v>
      </c>
      <c r="R1481" s="671"/>
      <c r="AT1481" s="671"/>
      <c r="AU1481" s="671"/>
      <c r="AV1481" s="671"/>
      <c r="AW1481" s="671"/>
    </row>
    <row r="1482" spans="15:49" x14ac:dyDescent="0.25">
      <c r="O1482" t="s">
        <v>4810</v>
      </c>
      <c r="P1482" t="s">
        <v>5288</v>
      </c>
      <c r="Q1482" s="671">
        <v>67086</v>
      </c>
      <c r="R1482" s="671"/>
      <c r="AT1482" s="671"/>
      <c r="AU1482" s="671"/>
      <c r="AV1482" s="671"/>
      <c r="AW1482" s="671"/>
    </row>
    <row r="1483" spans="15:49" x14ac:dyDescent="0.25">
      <c r="O1483" t="s">
        <v>4701</v>
      </c>
      <c r="P1483" t="s">
        <v>5210</v>
      </c>
      <c r="Q1483" s="671">
        <v>67075</v>
      </c>
      <c r="R1483" s="671"/>
      <c r="AT1483" s="671"/>
      <c r="AU1483" s="671"/>
      <c r="AV1483" s="671"/>
      <c r="AW1483" s="671"/>
    </row>
    <row r="1484" spans="15:49" x14ac:dyDescent="0.25">
      <c r="O1484" t="s">
        <v>4705</v>
      </c>
      <c r="P1484" t="s">
        <v>5210</v>
      </c>
      <c r="Q1484" s="671">
        <v>67075</v>
      </c>
      <c r="R1484" s="671"/>
      <c r="AT1484" s="671"/>
      <c r="AU1484" s="671"/>
      <c r="AV1484" s="671"/>
      <c r="AW1484" s="671"/>
    </row>
    <row r="1485" spans="15:49" x14ac:dyDescent="0.25">
      <c r="O1485" t="s">
        <v>4705</v>
      </c>
      <c r="P1485" t="s">
        <v>5210</v>
      </c>
      <c r="Q1485" s="671">
        <v>67075</v>
      </c>
      <c r="R1485" s="671"/>
      <c r="AT1485" s="671"/>
      <c r="AU1485" s="671"/>
      <c r="AV1485" s="671"/>
      <c r="AW1485" s="671"/>
    </row>
    <row r="1486" spans="15:49" x14ac:dyDescent="0.25">
      <c r="O1486" t="s">
        <v>4689</v>
      </c>
      <c r="P1486" t="s">
        <v>5210</v>
      </c>
      <c r="Q1486" s="671">
        <v>67075</v>
      </c>
      <c r="R1486" s="671"/>
      <c r="AT1486" s="671"/>
      <c r="AU1486" s="671"/>
      <c r="AV1486" s="671"/>
      <c r="AW1486" s="671"/>
    </row>
    <row r="1487" spans="15:49" x14ac:dyDescent="0.25">
      <c r="O1487" t="s">
        <v>4693</v>
      </c>
      <c r="P1487" t="s">
        <v>5210</v>
      </c>
      <c r="Q1487" s="671">
        <v>67075</v>
      </c>
      <c r="R1487" s="671"/>
      <c r="AT1487" s="671"/>
      <c r="AU1487" s="671"/>
      <c r="AV1487" s="671"/>
      <c r="AW1487" s="671"/>
    </row>
    <row r="1488" spans="15:49" x14ac:dyDescent="0.25">
      <c r="O1488" t="s">
        <v>4685</v>
      </c>
      <c r="P1488" t="s">
        <v>5210</v>
      </c>
      <c r="Q1488" s="671">
        <v>67075</v>
      </c>
      <c r="R1488" s="671"/>
      <c r="AT1488" s="671"/>
      <c r="AU1488" s="671"/>
      <c r="AV1488" s="671"/>
      <c r="AW1488" s="671"/>
    </row>
    <row r="1489" spans="15:49" x14ac:dyDescent="0.25">
      <c r="O1489" t="s">
        <v>4697</v>
      </c>
      <c r="P1489" t="s">
        <v>5210</v>
      </c>
      <c r="Q1489" s="671">
        <v>67075</v>
      </c>
      <c r="R1489" s="671"/>
      <c r="AT1489" s="671"/>
      <c r="AU1489" s="671"/>
      <c r="AV1489" s="671"/>
      <c r="AW1489" s="671"/>
    </row>
    <row r="1490" spans="15:49" x14ac:dyDescent="0.25">
      <c r="O1490" t="s">
        <v>4714</v>
      </c>
      <c r="P1490" t="s">
        <v>5210</v>
      </c>
      <c r="Q1490" s="671">
        <v>67075</v>
      </c>
      <c r="R1490" s="671"/>
      <c r="AT1490" s="671"/>
      <c r="AU1490" s="671"/>
      <c r="AV1490" s="671"/>
      <c r="AW1490" s="671"/>
    </row>
    <row r="1491" spans="15:49" x14ac:dyDescent="0.25">
      <c r="O1491" t="s">
        <v>4714</v>
      </c>
      <c r="P1491" t="s">
        <v>5210</v>
      </c>
      <c r="Q1491" s="671">
        <v>67075</v>
      </c>
      <c r="R1491" s="671"/>
      <c r="AT1491" s="671"/>
      <c r="AU1491" s="671"/>
      <c r="AV1491" s="671"/>
      <c r="AW1491" s="671"/>
    </row>
    <row r="1492" spans="15:49" x14ac:dyDescent="0.25">
      <c r="O1492" t="s">
        <v>4714</v>
      </c>
      <c r="P1492" t="s">
        <v>5210</v>
      </c>
      <c r="Q1492" s="671">
        <v>67075</v>
      </c>
      <c r="R1492" s="671"/>
      <c r="AT1492" s="671"/>
      <c r="AU1492" s="671"/>
      <c r="AV1492" s="671"/>
      <c r="AW1492" s="671"/>
    </row>
    <row r="1493" spans="15:49" x14ac:dyDescent="0.25">
      <c r="O1493" t="s">
        <v>4708</v>
      </c>
      <c r="P1493" t="s">
        <v>5210</v>
      </c>
      <c r="Q1493" s="671">
        <v>67075</v>
      </c>
      <c r="R1493" s="671"/>
      <c r="AT1493" s="671"/>
      <c r="AU1493" s="671"/>
      <c r="AV1493" s="671"/>
      <c r="AW1493" s="671"/>
    </row>
    <row r="1494" spans="15:49" x14ac:dyDescent="0.25">
      <c r="O1494" t="s">
        <v>4710</v>
      </c>
      <c r="P1494" t="s">
        <v>5210</v>
      </c>
      <c r="Q1494" s="671">
        <v>67075</v>
      </c>
      <c r="R1494" s="671"/>
      <c r="AT1494" s="671"/>
      <c r="AU1494" s="671"/>
      <c r="AV1494" s="671"/>
      <c r="AW1494" s="671"/>
    </row>
    <row r="1495" spans="15:49" x14ac:dyDescent="0.25">
      <c r="O1495" t="s">
        <v>4724</v>
      </c>
      <c r="P1495" t="s">
        <v>5210</v>
      </c>
      <c r="Q1495" s="671">
        <v>67076</v>
      </c>
      <c r="R1495" s="671"/>
      <c r="AT1495" s="671"/>
      <c r="AU1495" s="671"/>
      <c r="AV1495" s="671"/>
      <c r="AW1495" s="671"/>
    </row>
    <row r="1496" spans="15:49" x14ac:dyDescent="0.25">
      <c r="O1496" t="s">
        <v>4724</v>
      </c>
      <c r="P1496" t="s">
        <v>5210</v>
      </c>
      <c r="Q1496" s="671">
        <v>67076</v>
      </c>
      <c r="R1496" s="671"/>
      <c r="AT1496" s="671"/>
      <c r="AU1496" s="671"/>
      <c r="AV1496" s="671"/>
      <c r="AW1496" s="671"/>
    </row>
    <row r="1497" spans="15:49" x14ac:dyDescent="0.25">
      <c r="O1497" t="s">
        <v>4724</v>
      </c>
      <c r="P1497" t="s">
        <v>5210</v>
      </c>
      <c r="Q1497" s="671">
        <v>67076</v>
      </c>
      <c r="R1497" s="671"/>
      <c r="AT1497" s="671"/>
      <c r="AU1497" s="671"/>
      <c r="AV1497" s="671"/>
      <c r="AW1497" s="671"/>
    </row>
    <row r="1498" spans="15:49" x14ac:dyDescent="0.25">
      <c r="O1498" t="s">
        <v>4724</v>
      </c>
      <c r="P1498" t="s">
        <v>5210</v>
      </c>
      <c r="Q1498" s="671">
        <v>67076</v>
      </c>
      <c r="R1498" s="671"/>
      <c r="AT1498" s="671"/>
      <c r="AU1498" s="671"/>
      <c r="AV1498" s="671"/>
      <c r="AW1498" s="671"/>
    </row>
    <row r="1499" spans="15:49" x14ac:dyDescent="0.25">
      <c r="O1499" t="s">
        <v>4720</v>
      </c>
      <c r="P1499" t="s">
        <v>5210</v>
      </c>
      <c r="Q1499" s="671">
        <v>67076</v>
      </c>
      <c r="R1499" s="671"/>
      <c r="AT1499" s="671"/>
      <c r="AU1499" s="671"/>
      <c r="AV1499" s="671"/>
      <c r="AW1499" s="671"/>
    </row>
    <row r="1500" spans="15:49" x14ac:dyDescent="0.25">
      <c r="O1500" t="s">
        <v>4720</v>
      </c>
      <c r="P1500" t="s">
        <v>5210</v>
      </c>
      <c r="Q1500" s="671">
        <v>67076</v>
      </c>
      <c r="R1500" s="671"/>
      <c r="AT1500" s="671"/>
      <c r="AU1500" s="671"/>
      <c r="AV1500" s="671"/>
      <c r="AW1500" s="671"/>
    </row>
    <row r="1501" spans="15:49" x14ac:dyDescent="0.25">
      <c r="O1501" t="s">
        <v>4718</v>
      </c>
      <c r="P1501" t="s">
        <v>5210</v>
      </c>
      <c r="Q1501" s="671">
        <v>67076</v>
      </c>
      <c r="R1501" s="671"/>
      <c r="AT1501" s="671"/>
      <c r="AU1501" s="671"/>
      <c r="AV1501" s="671"/>
      <c r="AW1501" s="671"/>
    </row>
    <row r="1502" spans="15:49" x14ac:dyDescent="0.25">
      <c r="O1502" t="s">
        <v>4718</v>
      </c>
      <c r="P1502" t="s">
        <v>5210</v>
      </c>
      <c r="Q1502" s="671">
        <v>67076</v>
      </c>
      <c r="R1502" s="671"/>
      <c r="AT1502" s="671"/>
      <c r="AU1502" s="671"/>
      <c r="AV1502" s="671"/>
      <c r="AW1502" s="671"/>
    </row>
    <row r="1503" spans="15:49" x14ac:dyDescent="0.25">
      <c r="O1503" t="s">
        <v>4718</v>
      </c>
      <c r="P1503" t="s">
        <v>5210</v>
      </c>
      <c r="Q1503" s="671">
        <v>67076</v>
      </c>
      <c r="R1503" s="671"/>
      <c r="AT1503" s="671"/>
      <c r="AU1503" s="671"/>
      <c r="AV1503" s="671"/>
      <c r="AW1503" s="671"/>
    </row>
    <row r="1504" spans="15:49" x14ac:dyDescent="0.25">
      <c r="O1504" t="s">
        <v>4716</v>
      </c>
      <c r="P1504" t="s">
        <v>5210</v>
      </c>
      <c r="Q1504" s="671">
        <v>67076</v>
      </c>
      <c r="R1504" s="671"/>
      <c r="AT1504" s="671"/>
      <c r="AU1504" s="671"/>
      <c r="AV1504" s="671"/>
      <c r="AW1504" s="671"/>
    </row>
    <row r="1505" spans="15:49" x14ac:dyDescent="0.25">
      <c r="O1505" t="s">
        <v>4716</v>
      </c>
      <c r="P1505" t="s">
        <v>5210</v>
      </c>
      <c r="Q1505" s="671">
        <v>67076</v>
      </c>
      <c r="R1505" s="671"/>
      <c r="AT1505" s="671"/>
      <c r="AU1505" s="671"/>
      <c r="AV1505" s="671"/>
      <c r="AW1505" s="671"/>
    </row>
    <row r="1506" spans="15:49" x14ac:dyDescent="0.25">
      <c r="O1506" t="s">
        <v>4716</v>
      </c>
      <c r="P1506" t="s">
        <v>5210</v>
      </c>
      <c r="Q1506" s="671">
        <v>67076</v>
      </c>
      <c r="R1506" s="671"/>
      <c r="AT1506" s="671"/>
      <c r="AU1506" s="671"/>
      <c r="AV1506" s="671"/>
      <c r="AW1506" s="671"/>
    </row>
    <row r="1507" spans="15:49" x14ac:dyDescent="0.25">
      <c r="O1507" t="s">
        <v>4722</v>
      </c>
      <c r="P1507" t="s">
        <v>5210</v>
      </c>
      <c r="Q1507" s="671">
        <v>67076</v>
      </c>
      <c r="R1507" s="671"/>
      <c r="AT1507" s="671"/>
      <c r="AU1507" s="671"/>
      <c r="AV1507" s="671"/>
      <c r="AW1507" s="671"/>
    </row>
    <row r="1508" spans="15:49" x14ac:dyDescent="0.25">
      <c r="O1508" t="s">
        <v>4722</v>
      </c>
      <c r="P1508" t="s">
        <v>5210</v>
      </c>
      <c r="Q1508" s="671">
        <v>67076</v>
      </c>
      <c r="R1508" s="671"/>
      <c r="AT1508" s="671"/>
      <c r="AU1508" s="671"/>
      <c r="AV1508" s="671"/>
      <c r="AW1508" s="671"/>
    </row>
    <row r="1509" spans="15:49" x14ac:dyDescent="0.25">
      <c r="O1509" t="s">
        <v>4735</v>
      </c>
      <c r="P1509" t="s">
        <v>5210</v>
      </c>
      <c r="Q1509" s="671">
        <v>67076</v>
      </c>
      <c r="R1509" s="671"/>
      <c r="AT1509" s="671"/>
      <c r="AU1509" s="671"/>
      <c r="AV1509" s="671"/>
      <c r="AW1509" s="671"/>
    </row>
    <row r="1510" spans="15:49" x14ac:dyDescent="0.25">
      <c r="O1510" t="s">
        <v>4735</v>
      </c>
      <c r="P1510" t="s">
        <v>5210</v>
      </c>
      <c r="Q1510" s="671">
        <v>67076</v>
      </c>
      <c r="R1510" s="671"/>
      <c r="AT1510" s="671"/>
      <c r="AU1510" s="671"/>
      <c r="AV1510" s="671"/>
      <c r="AW1510" s="671"/>
    </row>
    <row r="1511" spans="15:49" x14ac:dyDescent="0.25">
      <c r="O1511" t="s">
        <v>4730</v>
      </c>
      <c r="P1511" t="s">
        <v>5210</v>
      </c>
      <c r="Q1511" s="671">
        <v>67076</v>
      </c>
      <c r="R1511" s="671"/>
      <c r="AT1511" s="671"/>
      <c r="AU1511" s="671"/>
      <c r="AV1511" s="671"/>
      <c r="AW1511" s="671"/>
    </row>
    <row r="1512" spans="15:49" x14ac:dyDescent="0.25">
      <c r="O1512" t="s">
        <v>4730</v>
      </c>
      <c r="P1512" t="s">
        <v>5210</v>
      </c>
      <c r="Q1512" s="671">
        <v>67076</v>
      </c>
      <c r="R1512" s="671"/>
      <c r="AT1512" s="671"/>
      <c r="AU1512" s="671"/>
      <c r="AV1512" s="671"/>
      <c r="AW1512" s="671"/>
    </row>
    <row r="1513" spans="15:49" x14ac:dyDescent="0.25">
      <c r="O1513" t="s">
        <v>4730</v>
      </c>
      <c r="P1513" t="s">
        <v>5210</v>
      </c>
      <c r="Q1513" s="671">
        <v>67076</v>
      </c>
      <c r="R1513" s="671"/>
      <c r="AT1513" s="671"/>
      <c r="AU1513" s="671"/>
      <c r="AV1513" s="671"/>
      <c r="AW1513" s="671"/>
    </row>
    <row r="1514" spans="15:49" x14ac:dyDescent="0.25">
      <c r="O1514" t="s">
        <v>4728</v>
      </c>
      <c r="P1514" t="s">
        <v>5210</v>
      </c>
      <c r="Q1514" s="671">
        <v>67076</v>
      </c>
      <c r="R1514" s="671"/>
      <c r="AT1514" s="671"/>
      <c r="AU1514" s="671"/>
      <c r="AV1514" s="671"/>
      <c r="AW1514" s="671"/>
    </row>
    <row r="1515" spans="15:49" x14ac:dyDescent="0.25">
      <c r="O1515" t="s">
        <v>4739</v>
      </c>
      <c r="P1515" t="s">
        <v>5210</v>
      </c>
      <c r="Q1515" s="671">
        <v>67076</v>
      </c>
      <c r="R1515" s="671"/>
      <c r="AT1515" s="671"/>
      <c r="AU1515" s="671"/>
      <c r="AV1515" s="671"/>
      <c r="AW1515" s="671"/>
    </row>
    <row r="1516" spans="15:49" x14ac:dyDescent="0.25">
      <c r="O1516" t="s">
        <v>4739</v>
      </c>
      <c r="P1516" t="s">
        <v>5210</v>
      </c>
      <c r="Q1516" s="671">
        <v>67076</v>
      </c>
      <c r="R1516" s="671"/>
      <c r="AT1516" s="671"/>
      <c r="AU1516" s="671"/>
      <c r="AV1516" s="671"/>
      <c r="AW1516" s="671"/>
    </row>
    <row r="1517" spans="15:49" x14ac:dyDescent="0.25">
      <c r="O1517" t="s">
        <v>4739</v>
      </c>
      <c r="P1517" t="s">
        <v>5210</v>
      </c>
      <c r="Q1517" s="671">
        <v>67076</v>
      </c>
      <c r="R1517" s="671"/>
      <c r="AT1517" s="671"/>
      <c r="AU1517" s="671"/>
      <c r="AV1517" s="671"/>
      <c r="AW1517" s="671"/>
    </row>
    <row r="1518" spans="15:49" x14ac:dyDescent="0.25">
      <c r="O1518" t="s">
        <v>4739</v>
      </c>
      <c r="P1518" t="s">
        <v>5210</v>
      </c>
      <c r="Q1518" s="671">
        <v>67076</v>
      </c>
      <c r="R1518" s="671"/>
      <c r="AT1518" s="671"/>
      <c r="AU1518" s="671"/>
      <c r="AV1518" s="671"/>
      <c r="AW1518" s="671"/>
    </row>
    <row r="1519" spans="15:49" x14ac:dyDescent="0.25">
      <c r="O1519" t="s">
        <v>4732</v>
      </c>
      <c r="P1519" t="s">
        <v>5210</v>
      </c>
      <c r="Q1519" s="671">
        <v>67076</v>
      </c>
      <c r="R1519" s="671"/>
      <c r="AT1519" s="671"/>
      <c r="AU1519" s="671"/>
      <c r="AV1519" s="671"/>
      <c r="AW1519" s="671"/>
    </row>
    <row r="1520" spans="15:49" x14ac:dyDescent="0.25">
      <c r="O1520" t="s">
        <v>4732</v>
      </c>
      <c r="P1520" t="s">
        <v>5210</v>
      </c>
      <c r="Q1520" s="671">
        <v>67076</v>
      </c>
      <c r="R1520" s="671"/>
      <c r="AT1520" s="671"/>
      <c r="AU1520" s="671"/>
      <c r="AV1520" s="671"/>
      <c r="AW1520" s="671"/>
    </row>
    <row r="1521" spans="15:49" x14ac:dyDescent="0.25">
      <c r="O1521" t="s">
        <v>4138</v>
      </c>
      <c r="P1521" t="s">
        <v>5289</v>
      </c>
      <c r="Q1521" s="671">
        <v>67087</v>
      </c>
      <c r="R1521" s="671"/>
      <c r="AT1521" s="671"/>
      <c r="AU1521" s="671"/>
      <c r="AV1521" s="671"/>
      <c r="AW1521" s="671"/>
    </row>
    <row r="1522" spans="15:49" x14ac:dyDescent="0.25">
      <c r="O1522" t="s">
        <v>4148</v>
      </c>
      <c r="P1522" t="s">
        <v>5289</v>
      </c>
      <c r="Q1522" s="671">
        <v>67087</v>
      </c>
      <c r="R1522" s="671"/>
      <c r="AT1522" s="671"/>
      <c r="AU1522" s="671"/>
      <c r="AV1522" s="671"/>
      <c r="AW1522" s="671"/>
    </row>
    <row r="1523" spans="15:49" x14ac:dyDescent="0.25">
      <c r="O1523" t="s">
        <v>4146</v>
      </c>
      <c r="P1523" t="s">
        <v>5289</v>
      </c>
      <c r="Q1523" s="671">
        <v>67087</v>
      </c>
      <c r="R1523" s="671"/>
      <c r="AT1523" s="671"/>
      <c r="AU1523" s="671"/>
      <c r="AV1523" s="671"/>
      <c r="AW1523" s="671"/>
    </row>
    <row r="1524" spans="15:49" x14ac:dyDescent="0.25">
      <c r="O1524" t="s">
        <v>4146</v>
      </c>
      <c r="P1524" t="s">
        <v>5289</v>
      </c>
      <c r="Q1524" s="671">
        <v>67087</v>
      </c>
      <c r="R1524" s="671"/>
      <c r="AT1524" s="671"/>
      <c r="AU1524" s="671"/>
      <c r="AV1524" s="671"/>
      <c r="AW1524" s="671"/>
    </row>
    <row r="1525" spans="15:49" x14ac:dyDescent="0.25">
      <c r="O1525" t="s">
        <v>4142</v>
      </c>
      <c r="P1525" t="s">
        <v>5289</v>
      </c>
      <c r="Q1525" s="671">
        <v>67087</v>
      </c>
      <c r="R1525" s="671"/>
      <c r="AT1525" s="671"/>
      <c r="AU1525" s="671"/>
      <c r="AV1525" s="671"/>
      <c r="AW1525" s="671"/>
    </row>
    <row r="1526" spans="15:49" x14ac:dyDescent="0.25">
      <c r="O1526" t="s">
        <v>4236</v>
      </c>
      <c r="P1526" t="s">
        <v>5290</v>
      </c>
      <c r="Q1526" s="671">
        <v>67073</v>
      </c>
      <c r="R1526" s="671"/>
      <c r="AT1526" s="671"/>
      <c r="AU1526" s="671"/>
      <c r="AV1526" s="671"/>
      <c r="AW1526" s="671"/>
    </row>
    <row r="1527" spans="15:49" x14ac:dyDescent="0.25">
      <c r="O1527" t="s">
        <v>4255</v>
      </c>
      <c r="P1527" t="s">
        <v>5290</v>
      </c>
      <c r="Q1527" s="671">
        <v>67073</v>
      </c>
      <c r="R1527" s="671"/>
      <c r="AT1527" s="671"/>
      <c r="AU1527" s="671"/>
      <c r="AV1527" s="671"/>
      <c r="AW1527" s="671"/>
    </row>
    <row r="1528" spans="15:49" x14ac:dyDescent="0.25">
      <c r="O1528" t="s">
        <v>4255</v>
      </c>
      <c r="P1528" t="s">
        <v>5290</v>
      </c>
      <c r="Q1528" s="671">
        <v>67073</v>
      </c>
      <c r="R1528" s="671"/>
      <c r="AT1528" s="671"/>
      <c r="AU1528" s="671"/>
      <c r="AV1528" s="671"/>
      <c r="AW1528" s="671"/>
    </row>
    <row r="1529" spans="15:49" x14ac:dyDescent="0.25">
      <c r="O1529" t="s">
        <v>4253</v>
      </c>
      <c r="P1529" t="s">
        <v>5290</v>
      </c>
      <c r="Q1529" s="671">
        <v>67073</v>
      </c>
      <c r="R1529" s="671"/>
      <c r="AT1529" s="671"/>
      <c r="AU1529" s="671"/>
      <c r="AV1529" s="671"/>
      <c r="AW1529" s="671"/>
    </row>
    <row r="1530" spans="15:49" x14ac:dyDescent="0.25">
      <c r="O1530" t="s">
        <v>4243</v>
      </c>
      <c r="P1530" t="s">
        <v>5290</v>
      </c>
      <c r="Q1530" s="671">
        <v>67073</v>
      </c>
      <c r="R1530" s="671"/>
      <c r="AT1530" s="671"/>
      <c r="AU1530" s="671"/>
      <c r="AV1530" s="671"/>
      <c r="AW1530" s="671"/>
    </row>
    <row r="1531" spans="15:49" x14ac:dyDescent="0.25">
      <c r="O1531" t="s">
        <v>4245</v>
      </c>
      <c r="P1531" t="s">
        <v>5290</v>
      </c>
      <c r="Q1531" s="671">
        <v>67073</v>
      </c>
      <c r="R1531" s="671"/>
      <c r="AT1531" s="671"/>
      <c r="AU1531" s="671"/>
      <c r="AV1531" s="671"/>
      <c r="AW1531" s="671"/>
    </row>
    <row r="1532" spans="15:49" x14ac:dyDescent="0.25">
      <c r="O1532" t="s">
        <v>4257</v>
      </c>
      <c r="P1532" t="s">
        <v>5290</v>
      </c>
      <c r="Q1532" s="671">
        <v>67073</v>
      </c>
      <c r="R1532" s="671"/>
      <c r="AT1532" s="671"/>
      <c r="AU1532" s="671"/>
      <c r="AV1532" s="671"/>
      <c r="AW1532" s="671"/>
    </row>
    <row r="1533" spans="15:49" x14ac:dyDescent="0.25">
      <c r="O1533" t="s">
        <v>4257</v>
      </c>
      <c r="P1533" t="s">
        <v>5290</v>
      </c>
      <c r="Q1533" s="671">
        <v>67073</v>
      </c>
      <c r="R1533" s="671"/>
      <c r="AT1533" s="671"/>
      <c r="AU1533" s="671"/>
      <c r="AV1533" s="671"/>
      <c r="AW1533" s="671"/>
    </row>
    <row r="1534" spans="15:49" x14ac:dyDescent="0.25">
      <c r="O1534" t="s">
        <v>4257</v>
      </c>
      <c r="P1534" t="s">
        <v>5290</v>
      </c>
      <c r="Q1534" s="671">
        <v>67073</v>
      </c>
      <c r="R1534" s="671"/>
      <c r="AT1534" s="671"/>
      <c r="AU1534" s="671"/>
      <c r="AV1534" s="671"/>
      <c r="AW1534" s="671"/>
    </row>
    <row r="1535" spans="15:49" x14ac:dyDescent="0.25">
      <c r="O1535" t="s">
        <v>4249</v>
      </c>
      <c r="P1535" t="s">
        <v>5290</v>
      </c>
      <c r="Q1535" s="671">
        <v>67073</v>
      </c>
      <c r="R1535" s="671"/>
      <c r="AT1535" s="671"/>
      <c r="AU1535" s="671"/>
      <c r="AV1535" s="671"/>
      <c r="AW1535" s="671"/>
    </row>
    <row r="1536" spans="15:49" x14ac:dyDescent="0.25">
      <c r="O1536" t="s">
        <v>4249</v>
      </c>
      <c r="P1536" t="s">
        <v>5290</v>
      </c>
      <c r="Q1536" s="671">
        <v>67073</v>
      </c>
      <c r="R1536" s="671"/>
      <c r="AT1536" s="671"/>
      <c r="AU1536" s="671"/>
      <c r="AV1536" s="671"/>
      <c r="AW1536" s="671"/>
    </row>
    <row r="1537" spans="15:49" x14ac:dyDescent="0.25">
      <c r="O1537" t="s">
        <v>4239</v>
      </c>
      <c r="P1537" t="s">
        <v>5290</v>
      </c>
      <c r="Q1537" s="671">
        <v>67073</v>
      </c>
      <c r="R1537" s="671"/>
      <c r="AT1537" s="671"/>
      <c r="AU1537" s="671"/>
      <c r="AV1537" s="671"/>
      <c r="AW1537" s="671"/>
    </row>
    <row r="1538" spans="15:49" x14ac:dyDescent="0.25">
      <c r="O1538" t="s">
        <v>4150</v>
      </c>
      <c r="P1538" t="s">
        <v>5291</v>
      </c>
      <c r="Q1538" s="671">
        <v>67087</v>
      </c>
      <c r="R1538" s="671"/>
      <c r="AT1538" s="671"/>
      <c r="AU1538" s="671"/>
      <c r="AV1538" s="671"/>
      <c r="AW1538" s="671"/>
    </row>
    <row r="1539" spans="15:49" x14ac:dyDescent="0.25">
      <c r="O1539" t="s">
        <v>4165</v>
      </c>
      <c r="P1539" t="s">
        <v>5291</v>
      </c>
      <c r="Q1539" s="671">
        <v>67087</v>
      </c>
      <c r="R1539" s="671"/>
      <c r="AT1539" s="671"/>
      <c r="AU1539" s="671"/>
      <c r="AV1539" s="671"/>
      <c r="AW1539" s="671"/>
    </row>
    <row r="1540" spans="15:49" x14ac:dyDescent="0.25">
      <c r="O1540" t="s">
        <v>4163</v>
      </c>
      <c r="P1540" t="s">
        <v>5291</v>
      </c>
      <c r="Q1540" s="671">
        <v>67087</v>
      </c>
      <c r="R1540" s="671"/>
      <c r="AT1540" s="671"/>
      <c r="AU1540" s="671"/>
      <c r="AV1540" s="671"/>
      <c r="AW1540" s="671"/>
    </row>
    <row r="1541" spans="15:49" x14ac:dyDescent="0.25">
      <c r="O1541" t="s">
        <v>4160</v>
      </c>
      <c r="P1541" t="s">
        <v>5291</v>
      </c>
      <c r="Q1541" s="671">
        <v>67087</v>
      </c>
      <c r="R1541" s="671"/>
      <c r="AT1541" s="671"/>
      <c r="AU1541" s="671"/>
      <c r="AV1541" s="671"/>
      <c r="AW1541" s="671"/>
    </row>
    <row r="1542" spans="15:49" x14ac:dyDescent="0.25">
      <c r="O1542" t="s">
        <v>4160</v>
      </c>
      <c r="P1542" t="s">
        <v>5291</v>
      </c>
      <c r="Q1542" s="671">
        <v>67087</v>
      </c>
      <c r="R1542" s="671"/>
      <c r="AT1542" s="671"/>
      <c r="AU1542" s="671"/>
      <c r="AV1542" s="671"/>
      <c r="AW1542" s="671"/>
    </row>
    <row r="1543" spans="15:49" x14ac:dyDescent="0.25">
      <c r="O1543" t="s">
        <v>4167</v>
      </c>
      <c r="P1543" t="s">
        <v>5291</v>
      </c>
      <c r="Q1543" s="671">
        <v>67087</v>
      </c>
      <c r="R1543" s="671"/>
      <c r="AT1543" s="671"/>
      <c r="AU1543" s="671"/>
      <c r="AV1543" s="671"/>
      <c r="AW1543" s="671"/>
    </row>
    <row r="1544" spans="15:49" x14ac:dyDescent="0.25">
      <c r="O1544" t="s">
        <v>4167</v>
      </c>
      <c r="P1544" t="s">
        <v>5291</v>
      </c>
      <c r="Q1544" s="671">
        <v>67087</v>
      </c>
      <c r="R1544" s="671"/>
      <c r="AT1544" s="671"/>
      <c r="AU1544" s="671"/>
      <c r="AV1544" s="671"/>
      <c r="AW1544" s="671"/>
    </row>
    <row r="1545" spans="15:49" x14ac:dyDescent="0.25">
      <c r="O1545" t="s">
        <v>4167</v>
      </c>
      <c r="P1545" t="s">
        <v>5291</v>
      </c>
      <c r="Q1545" s="671">
        <v>67087</v>
      </c>
      <c r="R1545" s="671"/>
      <c r="AT1545" s="671"/>
      <c r="AU1545" s="671"/>
      <c r="AV1545" s="671"/>
      <c r="AW1545" s="671"/>
    </row>
    <row r="1546" spans="15:49" x14ac:dyDescent="0.25">
      <c r="O1546" t="s">
        <v>4167</v>
      </c>
      <c r="P1546" t="s">
        <v>5291</v>
      </c>
      <c r="Q1546" s="671">
        <v>67087</v>
      </c>
      <c r="R1546" s="671"/>
      <c r="AT1546" s="671"/>
      <c r="AU1546" s="671"/>
      <c r="AV1546" s="671"/>
      <c r="AW1546" s="671"/>
    </row>
    <row r="1547" spans="15:49" x14ac:dyDescent="0.25">
      <c r="O1547" t="s">
        <v>4154</v>
      </c>
      <c r="P1547" t="s">
        <v>5291</v>
      </c>
      <c r="Q1547" s="671">
        <v>67087</v>
      </c>
      <c r="R1547" s="671"/>
      <c r="AT1547" s="671"/>
      <c r="AU1547" s="671"/>
      <c r="AV1547" s="671"/>
      <c r="AW1547" s="671"/>
    </row>
    <row r="1548" spans="15:49" x14ac:dyDescent="0.25">
      <c r="O1548" t="s">
        <v>4154</v>
      </c>
      <c r="P1548" t="s">
        <v>5291</v>
      </c>
      <c r="Q1548" s="671">
        <v>67087</v>
      </c>
      <c r="R1548" s="671"/>
      <c r="AT1548" s="671"/>
      <c r="AU1548" s="671"/>
      <c r="AV1548" s="671"/>
      <c r="AW1548" s="671"/>
    </row>
    <row r="1549" spans="15:49" x14ac:dyDescent="0.25">
      <c r="O1549" t="s">
        <v>4171</v>
      </c>
      <c r="P1549" t="s">
        <v>5291</v>
      </c>
      <c r="Q1549" s="671">
        <v>67087</v>
      </c>
      <c r="R1549" s="671"/>
      <c r="AT1549" s="671"/>
      <c r="AU1549" s="671"/>
      <c r="AV1549" s="671"/>
      <c r="AW1549" s="671"/>
    </row>
    <row r="1550" spans="15:49" x14ac:dyDescent="0.25">
      <c r="O1550" t="s">
        <v>4171</v>
      </c>
      <c r="P1550" t="s">
        <v>5291</v>
      </c>
      <c r="Q1550" s="671">
        <v>67087</v>
      </c>
      <c r="R1550" s="671"/>
      <c r="AT1550" s="671"/>
      <c r="AU1550" s="671"/>
      <c r="AV1550" s="671"/>
      <c r="AW1550" s="671"/>
    </row>
    <row r="1551" spans="15:49" x14ac:dyDescent="0.25">
      <c r="O1551" t="s">
        <v>4173</v>
      </c>
      <c r="P1551" t="s">
        <v>5291</v>
      </c>
      <c r="Q1551" s="671">
        <v>67087</v>
      </c>
      <c r="R1551" s="671"/>
      <c r="AT1551" s="671"/>
      <c r="AU1551" s="671"/>
      <c r="AV1551" s="671"/>
      <c r="AW1551" s="671"/>
    </row>
    <row r="1552" spans="15:49" x14ac:dyDescent="0.25">
      <c r="O1552" t="s">
        <v>4195</v>
      </c>
      <c r="P1552" t="s">
        <v>5292</v>
      </c>
      <c r="Q1552" s="671">
        <v>67089</v>
      </c>
      <c r="R1552" s="671"/>
      <c r="AT1552" s="671"/>
      <c r="AU1552" s="671"/>
      <c r="AV1552" s="671"/>
      <c r="AW1552" s="671"/>
    </row>
    <row r="1553" spans="15:49" x14ac:dyDescent="0.25">
      <c r="O1553" t="s">
        <v>4191</v>
      </c>
      <c r="P1553" t="s">
        <v>5292</v>
      </c>
      <c r="Q1553" s="671">
        <v>67089</v>
      </c>
      <c r="R1553" s="671"/>
      <c r="AT1553" s="671"/>
      <c r="AU1553" s="671"/>
      <c r="AV1553" s="671"/>
      <c r="AW1553" s="671"/>
    </row>
    <row r="1554" spans="15:49" x14ac:dyDescent="0.25">
      <c r="O1554" t="s">
        <v>4191</v>
      </c>
      <c r="P1554" t="s">
        <v>5292</v>
      </c>
      <c r="Q1554" s="671">
        <v>67089</v>
      </c>
      <c r="R1554" s="671"/>
      <c r="AT1554" s="671"/>
      <c r="AU1554" s="671"/>
      <c r="AV1554" s="671"/>
      <c r="AW1554" s="671"/>
    </row>
    <row r="1555" spans="15:49" x14ac:dyDescent="0.25">
      <c r="O1555" t="s">
        <v>4188</v>
      </c>
      <c r="P1555" t="s">
        <v>5292</v>
      </c>
      <c r="Q1555" s="671">
        <v>67089</v>
      </c>
      <c r="R1555" s="671"/>
      <c r="AT1555" s="671"/>
      <c r="AU1555" s="671"/>
      <c r="AV1555" s="671"/>
      <c r="AW1555" s="671"/>
    </row>
    <row r="1556" spans="15:49" x14ac:dyDescent="0.25">
      <c r="O1556" t="s">
        <v>4199</v>
      </c>
      <c r="P1556" t="s">
        <v>5292</v>
      </c>
      <c r="Q1556" s="671">
        <v>67089</v>
      </c>
      <c r="R1556" s="671"/>
      <c r="AT1556" s="671"/>
      <c r="AU1556" s="671"/>
      <c r="AV1556" s="671"/>
      <c r="AW1556" s="671"/>
    </row>
    <row r="1557" spans="15:49" x14ac:dyDescent="0.25">
      <c r="O1557" t="s">
        <v>4126</v>
      </c>
      <c r="P1557" t="s">
        <v>5293</v>
      </c>
      <c r="Q1557" s="671">
        <v>67081</v>
      </c>
      <c r="R1557" s="671"/>
      <c r="AT1557" s="671"/>
      <c r="AU1557" s="671"/>
      <c r="AV1557" s="671"/>
      <c r="AW1557" s="671"/>
    </row>
    <row r="1558" spans="15:49" x14ac:dyDescent="0.25">
      <c r="O1558" t="s">
        <v>4130</v>
      </c>
      <c r="P1558" t="s">
        <v>5293</v>
      </c>
      <c r="Q1558" s="671">
        <v>67081</v>
      </c>
      <c r="R1558" s="671"/>
      <c r="AT1558" s="671"/>
      <c r="AU1558" s="671"/>
      <c r="AV1558" s="671"/>
      <c r="AW1558" s="671"/>
    </row>
    <row r="1559" spans="15:49" x14ac:dyDescent="0.25">
      <c r="O1559" t="s">
        <v>4136</v>
      </c>
      <c r="P1559" t="s">
        <v>5293</v>
      </c>
      <c r="Q1559" s="671">
        <v>67081</v>
      </c>
      <c r="R1559" s="671"/>
      <c r="AT1559" s="671"/>
      <c r="AU1559" s="671"/>
      <c r="AV1559" s="671"/>
      <c r="AW1559" s="671"/>
    </row>
    <row r="1560" spans="15:49" x14ac:dyDescent="0.25">
      <c r="O1560" t="s">
        <v>4132</v>
      </c>
      <c r="P1560" t="s">
        <v>5293</v>
      </c>
      <c r="Q1560" s="671">
        <v>67081</v>
      </c>
      <c r="R1560" s="671"/>
      <c r="AT1560" s="671"/>
      <c r="AU1560" s="671"/>
      <c r="AV1560" s="671"/>
      <c r="AW1560" s="671"/>
    </row>
    <row r="1561" spans="15:49" x14ac:dyDescent="0.25">
      <c r="O1561" t="s">
        <v>4215</v>
      </c>
      <c r="P1561" t="s">
        <v>5294</v>
      </c>
      <c r="Q1561" s="671">
        <v>67087</v>
      </c>
      <c r="R1561" s="671"/>
      <c r="AT1561" s="671"/>
      <c r="AU1561" s="671"/>
      <c r="AV1561" s="671"/>
      <c r="AW1561" s="671"/>
    </row>
    <row r="1562" spans="15:49" x14ac:dyDescent="0.25">
      <c r="O1562" t="s">
        <v>4201</v>
      </c>
      <c r="P1562" t="s">
        <v>5294</v>
      </c>
      <c r="Q1562" s="671">
        <v>67087</v>
      </c>
      <c r="R1562" s="671"/>
      <c r="AT1562" s="671"/>
      <c r="AU1562" s="671"/>
      <c r="AV1562" s="671"/>
      <c r="AW1562" s="671"/>
    </row>
    <row r="1563" spans="15:49" x14ac:dyDescent="0.25">
      <c r="O1563" t="s">
        <v>4205</v>
      </c>
      <c r="P1563" t="s">
        <v>5294</v>
      </c>
      <c r="Q1563" s="671">
        <v>67087</v>
      </c>
      <c r="R1563" s="671"/>
      <c r="AT1563" s="671"/>
      <c r="AU1563" s="671"/>
      <c r="AV1563" s="671"/>
      <c r="AW1563" s="671"/>
    </row>
    <row r="1564" spans="15:49" x14ac:dyDescent="0.25">
      <c r="O1564" t="s">
        <v>4205</v>
      </c>
      <c r="P1564" t="s">
        <v>5294</v>
      </c>
      <c r="Q1564" s="671">
        <v>67087</v>
      </c>
      <c r="R1564" s="671"/>
      <c r="AT1564" s="671"/>
      <c r="AU1564" s="671"/>
      <c r="AV1564" s="671"/>
      <c r="AW1564" s="671"/>
    </row>
    <row r="1565" spans="15:49" x14ac:dyDescent="0.25">
      <c r="O1565" t="s">
        <v>4205</v>
      </c>
      <c r="P1565" t="s">
        <v>5294</v>
      </c>
      <c r="Q1565" s="671">
        <v>67087</v>
      </c>
      <c r="R1565" s="671"/>
      <c r="AT1565" s="671"/>
      <c r="AU1565" s="671"/>
      <c r="AV1565" s="671"/>
      <c r="AW1565" s="671"/>
    </row>
    <row r="1566" spans="15:49" x14ac:dyDescent="0.25">
      <c r="O1566" t="s">
        <v>4209</v>
      </c>
      <c r="P1566" t="s">
        <v>5294</v>
      </c>
      <c r="Q1566" s="671">
        <v>67087</v>
      </c>
      <c r="R1566" s="671"/>
      <c r="AT1566" s="671"/>
      <c r="AU1566" s="671"/>
      <c r="AV1566" s="671"/>
      <c r="AW1566" s="671"/>
    </row>
    <row r="1567" spans="15:49" x14ac:dyDescent="0.25">
      <c r="O1567" t="s">
        <v>4213</v>
      </c>
      <c r="P1567" t="s">
        <v>5294</v>
      </c>
      <c r="Q1567" s="671">
        <v>67087</v>
      </c>
      <c r="R1567" s="671"/>
      <c r="AT1567" s="671"/>
      <c r="AU1567" s="671"/>
      <c r="AV1567" s="671"/>
      <c r="AW1567" s="671"/>
    </row>
    <row r="1568" spans="15:49" x14ac:dyDescent="0.25">
      <c r="O1568" t="s">
        <v>4211</v>
      </c>
      <c r="P1568" t="s">
        <v>5294</v>
      </c>
      <c r="Q1568" s="671">
        <v>67087</v>
      </c>
      <c r="R1568" s="671"/>
      <c r="AT1568" s="671"/>
      <c r="AU1568" s="671"/>
      <c r="AV1568" s="671"/>
      <c r="AW1568" s="671"/>
    </row>
    <row r="1569" spans="15:49" x14ac:dyDescent="0.25">
      <c r="O1569" t="s">
        <v>4211</v>
      </c>
      <c r="P1569" t="s">
        <v>5294</v>
      </c>
      <c r="Q1569" s="671">
        <v>67087</v>
      </c>
      <c r="R1569" s="671"/>
      <c r="AT1569" s="671"/>
      <c r="AU1569" s="671"/>
      <c r="AV1569" s="671"/>
      <c r="AW1569" s="671"/>
    </row>
    <row r="1570" spans="15:49" x14ac:dyDescent="0.25">
      <c r="O1570" t="s">
        <v>4217</v>
      </c>
      <c r="P1570" t="s">
        <v>5294</v>
      </c>
      <c r="Q1570" s="671">
        <v>67087</v>
      </c>
      <c r="R1570" s="671"/>
      <c r="AT1570" s="671"/>
      <c r="AU1570" s="671"/>
      <c r="AV1570" s="671"/>
      <c r="AW1570" s="671"/>
    </row>
    <row r="1571" spans="15:49" x14ac:dyDescent="0.25">
      <c r="O1571" t="s">
        <v>4217</v>
      </c>
      <c r="P1571" t="s">
        <v>5294</v>
      </c>
      <c r="Q1571" s="671">
        <v>67087</v>
      </c>
      <c r="R1571" s="671"/>
      <c r="AT1571" s="671"/>
      <c r="AU1571" s="671"/>
      <c r="AV1571" s="671"/>
      <c r="AW1571" s="671"/>
    </row>
    <row r="1572" spans="15:49" x14ac:dyDescent="0.25">
      <c r="O1572" t="s">
        <v>4217</v>
      </c>
      <c r="P1572" t="s">
        <v>5294</v>
      </c>
      <c r="Q1572" s="671">
        <v>67087</v>
      </c>
      <c r="R1572" s="671"/>
      <c r="AT1572" s="671"/>
      <c r="AU1572" s="671"/>
      <c r="AV1572" s="671"/>
      <c r="AW1572" s="671"/>
    </row>
    <row r="1573" spans="15:49" x14ac:dyDescent="0.25">
      <c r="O1573" t="s">
        <v>4217</v>
      </c>
      <c r="P1573" t="s">
        <v>5294</v>
      </c>
      <c r="Q1573" s="671">
        <v>67087</v>
      </c>
      <c r="R1573" s="671"/>
      <c r="AT1573" s="671"/>
      <c r="AU1573" s="671"/>
      <c r="AV1573" s="671"/>
      <c r="AW1573" s="671"/>
    </row>
    <row r="1574" spans="15:49" x14ac:dyDescent="0.25">
      <c r="O1574" t="s">
        <v>4274</v>
      </c>
      <c r="P1574" t="s">
        <v>5295</v>
      </c>
      <c r="Q1574" s="671">
        <v>67089</v>
      </c>
      <c r="R1574" s="671"/>
      <c r="AT1574" s="671"/>
      <c r="AU1574" s="671"/>
      <c r="AV1574" s="671"/>
      <c r="AW1574" s="671"/>
    </row>
    <row r="1575" spans="15:49" x14ac:dyDescent="0.25">
      <c r="O1575" t="s">
        <v>4274</v>
      </c>
      <c r="P1575" t="s">
        <v>5295</v>
      </c>
      <c r="Q1575" s="671">
        <v>67089</v>
      </c>
      <c r="R1575" s="671"/>
      <c r="AT1575" s="671"/>
      <c r="AU1575" s="671"/>
      <c r="AV1575" s="671"/>
      <c r="AW1575" s="671"/>
    </row>
    <row r="1576" spans="15:49" x14ac:dyDescent="0.25">
      <c r="O1576" t="s">
        <v>4274</v>
      </c>
      <c r="P1576" t="s">
        <v>5295</v>
      </c>
      <c r="Q1576" s="671">
        <v>67089</v>
      </c>
      <c r="R1576" s="671"/>
      <c r="AT1576" s="671"/>
      <c r="AU1576" s="671"/>
      <c r="AV1576" s="671"/>
      <c r="AW1576" s="671"/>
    </row>
    <row r="1577" spans="15:49" x14ac:dyDescent="0.25">
      <c r="O1577" t="s">
        <v>4274</v>
      </c>
      <c r="P1577" t="s">
        <v>5295</v>
      </c>
      <c r="Q1577" s="671">
        <v>67089</v>
      </c>
      <c r="R1577" s="671"/>
      <c r="AT1577" s="671"/>
      <c r="AU1577" s="671"/>
      <c r="AV1577" s="671"/>
      <c r="AW1577" s="671"/>
    </row>
    <row r="1578" spans="15:49" x14ac:dyDescent="0.25">
      <c r="O1578" t="s">
        <v>4259</v>
      </c>
      <c r="P1578" t="s">
        <v>5295</v>
      </c>
      <c r="Q1578" s="671">
        <v>67089</v>
      </c>
      <c r="R1578" s="671"/>
      <c r="AT1578" s="671"/>
      <c r="AU1578" s="671"/>
      <c r="AV1578" s="671"/>
      <c r="AW1578" s="671"/>
    </row>
    <row r="1579" spans="15:49" x14ac:dyDescent="0.25">
      <c r="O1579" t="s">
        <v>4265</v>
      </c>
      <c r="P1579" t="s">
        <v>5295</v>
      </c>
      <c r="Q1579" s="671">
        <v>67089</v>
      </c>
      <c r="R1579" s="671"/>
      <c r="AT1579" s="671"/>
      <c r="AU1579" s="671"/>
      <c r="AV1579" s="671"/>
      <c r="AW1579" s="671"/>
    </row>
    <row r="1580" spans="15:49" x14ac:dyDescent="0.25">
      <c r="O1580" t="s">
        <v>4265</v>
      </c>
      <c r="P1580" t="s">
        <v>5295</v>
      </c>
      <c r="Q1580" s="671">
        <v>67089</v>
      </c>
      <c r="R1580" s="671"/>
      <c r="AT1580" s="671"/>
      <c r="AU1580" s="671"/>
      <c r="AV1580" s="671"/>
      <c r="AW1580" s="671"/>
    </row>
    <row r="1581" spans="15:49" x14ac:dyDescent="0.25">
      <c r="O1581" t="s">
        <v>4261</v>
      </c>
      <c r="P1581" t="s">
        <v>5295</v>
      </c>
      <c r="Q1581" s="671">
        <v>67089</v>
      </c>
      <c r="R1581" s="671"/>
      <c r="AT1581" s="671"/>
      <c r="AU1581" s="671"/>
      <c r="AV1581" s="671"/>
      <c r="AW1581" s="671"/>
    </row>
    <row r="1582" spans="15:49" x14ac:dyDescent="0.25">
      <c r="O1582" t="s">
        <v>4266</v>
      </c>
      <c r="P1582" t="s">
        <v>5295</v>
      </c>
      <c r="Q1582" s="671">
        <v>67089</v>
      </c>
      <c r="R1582" s="671"/>
      <c r="AT1582" s="671"/>
      <c r="AU1582" s="671"/>
      <c r="AV1582" s="671"/>
      <c r="AW1582" s="671"/>
    </row>
    <row r="1583" spans="15:49" x14ac:dyDescent="0.25">
      <c r="O1583" t="s">
        <v>4268</v>
      </c>
      <c r="P1583" t="s">
        <v>5295</v>
      </c>
      <c r="Q1583" s="671">
        <v>67089</v>
      </c>
      <c r="R1583" s="671"/>
      <c r="AT1583" s="671"/>
      <c r="AU1583" s="671"/>
      <c r="AV1583" s="671"/>
      <c r="AW1583" s="671"/>
    </row>
    <row r="1584" spans="15:49" x14ac:dyDescent="0.25">
      <c r="O1584" t="s">
        <v>4268</v>
      </c>
      <c r="P1584" t="s">
        <v>5295</v>
      </c>
      <c r="Q1584" s="671">
        <v>67089</v>
      </c>
      <c r="R1584" s="671"/>
      <c r="AT1584" s="671"/>
      <c r="AU1584" s="671"/>
      <c r="AV1584" s="671"/>
      <c r="AW1584" s="671"/>
    </row>
    <row r="1585" spans="15:49" x14ac:dyDescent="0.25">
      <c r="O1585" t="s">
        <v>4268</v>
      </c>
      <c r="P1585" t="s">
        <v>5295</v>
      </c>
      <c r="Q1585" s="671">
        <v>67089</v>
      </c>
      <c r="R1585" s="671"/>
      <c r="AT1585" s="671"/>
      <c r="AU1585" s="671"/>
      <c r="AV1585" s="671"/>
      <c r="AW1585" s="671"/>
    </row>
    <row r="1586" spans="15:49" x14ac:dyDescent="0.25">
      <c r="O1586" t="s">
        <v>4226</v>
      </c>
      <c r="P1586" t="s">
        <v>5296</v>
      </c>
      <c r="Q1586" s="671">
        <v>67087</v>
      </c>
      <c r="R1586" s="671"/>
      <c r="AT1586" s="671"/>
      <c r="AU1586" s="671"/>
      <c r="AV1586" s="671"/>
      <c r="AW1586" s="671"/>
    </row>
    <row r="1587" spans="15:49" x14ac:dyDescent="0.25">
      <c r="O1587" t="s">
        <v>4226</v>
      </c>
      <c r="P1587" t="s">
        <v>5296</v>
      </c>
      <c r="Q1587" s="671">
        <v>67087</v>
      </c>
      <c r="R1587" s="671"/>
      <c r="AT1587" s="671"/>
      <c r="AU1587" s="671"/>
      <c r="AV1587" s="671"/>
      <c r="AW1587" s="671"/>
    </row>
    <row r="1588" spans="15:49" x14ac:dyDescent="0.25">
      <c r="O1588" t="s">
        <v>4226</v>
      </c>
      <c r="P1588" t="s">
        <v>5296</v>
      </c>
      <c r="Q1588" s="671">
        <v>67087</v>
      </c>
      <c r="R1588" s="671"/>
      <c r="AT1588" s="671"/>
      <c r="AU1588" s="671"/>
      <c r="AV1588" s="671"/>
      <c r="AW1588" s="671"/>
    </row>
    <row r="1589" spans="15:49" x14ac:dyDescent="0.25">
      <c r="O1589" t="s">
        <v>4226</v>
      </c>
      <c r="P1589" t="s">
        <v>5296</v>
      </c>
      <c r="Q1589" s="671">
        <v>67087</v>
      </c>
      <c r="R1589" s="671"/>
      <c r="AT1589" s="671"/>
      <c r="AU1589" s="671"/>
      <c r="AV1589" s="671"/>
      <c r="AW1589" s="671"/>
    </row>
    <row r="1590" spans="15:49" x14ac:dyDescent="0.25">
      <c r="O1590" t="s">
        <v>4226</v>
      </c>
      <c r="P1590" t="s">
        <v>5296</v>
      </c>
      <c r="Q1590" s="671">
        <v>67087</v>
      </c>
      <c r="R1590" s="671"/>
      <c r="AT1590" s="671"/>
      <c r="AU1590" s="671"/>
      <c r="AV1590" s="671"/>
      <c r="AW1590" s="671"/>
    </row>
    <row r="1591" spans="15:49" x14ac:dyDescent="0.25">
      <c r="O1591" t="s">
        <v>4226</v>
      </c>
      <c r="P1591" t="s">
        <v>5296</v>
      </c>
      <c r="Q1591" s="671">
        <v>67087</v>
      </c>
      <c r="R1591" s="671"/>
      <c r="AT1591" s="671"/>
      <c r="AU1591" s="671"/>
      <c r="AV1591" s="671"/>
      <c r="AW1591" s="671"/>
    </row>
    <row r="1592" spans="15:49" x14ac:dyDescent="0.25">
      <c r="O1592" t="s">
        <v>4226</v>
      </c>
      <c r="P1592" t="s">
        <v>5296</v>
      </c>
      <c r="Q1592" s="671">
        <v>67087</v>
      </c>
      <c r="R1592" s="671"/>
      <c r="AT1592" s="671"/>
      <c r="AU1592" s="671"/>
      <c r="AV1592" s="671"/>
      <c r="AW1592" s="671"/>
    </row>
    <row r="1593" spans="15:49" x14ac:dyDescent="0.25">
      <c r="O1593" t="s">
        <v>4226</v>
      </c>
      <c r="P1593" t="s">
        <v>5296</v>
      </c>
      <c r="Q1593" s="671">
        <v>67087</v>
      </c>
      <c r="R1593" s="671"/>
      <c r="AT1593" s="671"/>
      <c r="AU1593" s="671"/>
      <c r="AV1593" s="671"/>
      <c r="AW1593" s="671"/>
    </row>
    <row r="1594" spans="15:49" x14ac:dyDescent="0.25">
      <c r="O1594" t="s">
        <v>4219</v>
      </c>
      <c r="P1594" t="s">
        <v>5296</v>
      </c>
      <c r="Q1594" s="671">
        <v>67087</v>
      </c>
      <c r="R1594" s="671"/>
      <c r="AT1594" s="671"/>
      <c r="AU1594" s="671"/>
      <c r="AV1594" s="671"/>
      <c r="AW1594" s="671"/>
    </row>
    <row r="1595" spans="15:49" x14ac:dyDescent="0.25">
      <c r="O1595" t="s">
        <v>4219</v>
      </c>
      <c r="P1595" t="s">
        <v>5296</v>
      </c>
      <c r="Q1595" s="671">
        <v>67087</v>
      </c>
      <c r="R1595" s="671"/>
      <c r="AT1595" s="671"/>
      <c r="AU1595" s="671"/>
      <c r="AV1595" s="671"/>
      <c r="AW1595" s="671"/>
    </row>
    <row r="1596" spans="15:49" x14ac:dyDescent="0.25">
      <c r="O1596" t="s">
        <v>4219</v>
      </c>
      <c r="P1596" t="s">
        <v>5296</v>
      </c>
      <c r="Q1596" s="671">
        <v>67087</v>
      </c>
      <c r="R1596" s="671"/>
      <c r="AT1596" s="671"/>
      <c r="AU1596" s="671"/>
      <c r="AV1596" s="671"/>
      <c r="AW1596" s="671"/>
    </row>
    <row r="1597" spans="15:49" x14ac:dyDescent="0.25">
      <c r="O1597" t="s">
        <v>4219</v>
      </c>
      <c r="P1597" t="s">
        <v>5296</v>
      </c>
      <c r="Q1597" s="671">
        <v>67087</v>
      </c>
      <c r="R1597" s="671"/>
      <c r="AT1597" s="671"/>
      <c r="AU1597" s="671"/>
      <c r="AV1597" s="671"/>
      <c r="AW1597" s="671"/>
    </row>
    <row r="1598" spans="15:49" x14ac:dyDescent="0.25">
      <c r="O1598" t="s">
        <v>4219</v>
      </c>
      <c r="P1598" t="s">
        <v>5296</v>
      </c>
      <c r="Q1598" s="671">
        <v>67087</v>
      </c>
      <c r="R1598" s="671"/>
      <c r="AT1598" s="671"/>
      <c r="AU1598" s="671"/>
      <c r="AV1598" s="671"/>
      <c r="AW1598" s="671"/>
    </row>
    <row r="1599" spans="15:49" x14ac:dyDescent="0.25">
      <c r="O1599" t="s">
        <v>4219</v>
      </c>
      <c r="P1599" t="s">
        <v>5296</v>
      </c>
      <c r="Q1599" s="671">
        <v>67087</v>
      </c>
      <c r="R1599" s="671"/>
      <c r="AT1599" s="671"/>
      <c r="AU1599" s="671"/>
      <c r="AV1599" s="671"/>
      <c r="AW1599" s="671"/>
    </row>
    <row r="1600" spans="15:49" x14ac:dyDescent="0.25">
      <c r="O1600" t="s">
        <v>4219</v>
      </c>
      <c r="P1600" t="s">
        <v>5296</v>
      </c>
      <c r="Q1600" s="671">
        <v>67087</v>
      </c>
      <c r="R1600" s="671"/>
      <c r="AT1600" s="671"/>
      <c r="AU1600" s="671"/>
      <c r="AV1600" s="671"/>
      <c r="AW1600" s="671"/>
    </row>
    <row r="1601" spans="15:49" x14ac:dyDescent="0.25">
      <c r="O1601" t="s">
        <v>4219</v>
      </c>
      <c r="P1601" t="s">
        <v>5296</v>
      </c>
      <c r="Q1601" s="671">
        <v>67087</v>
      </c>
      <c r="R1601" s="671"/>
      <c r="AT1601" s="671"/>
      <c r="AU1601" s="671"/>
      <c r="AV1601" s="671"/>
      <c r="AW1601" s="671"/>
    </row>
    <row r="1602" spans="15:49" x14ac:dyDescent="0.25">
      <c r="O1602" t="s">
        <v>4229</v>
      </c>
      <c r="P1602" t="s">
        <v>5296</v>
      </c>
      <c r="Q1602" s="671">
        <v>67087</v>
      </c>
      <c r="R1602" s="671"/>
      <c r="AT1602" s="671"/>
      <c r="AU1602" s="671"/>
      <c r="AV1602" s="671"/>
      <c r="AW1602" s="671"/>
    </row>
    <row r="1603" spans="15:49" x14ac:dyDescent="0.25">
      <c r="O1603" t="s">
        <v>4229</v>
      </c>
      <c r="P1603" t="s">
        <v>5296</v>
      </c>
      <c r="Q1603" s="671">
        <v>67087</v>
      </c>
      <c r="R1603" s="671"/>
      <c r="AT1603" s="671"/>
      <c r="AU1603" s="671"/>
      <c r="AV1603" s="671"/>
      <c r="AW1603" s="671"/>
    </row>
    <row r="1604" spans="15:49" x14ac:dyDescent="0.25">
      <c r="O1604" t="s">
        <v>4229</v>
      </c>
      <c r="P1604" t="s">
        <v>5296</v>
      </c>
      <c r="Q1604" s="671">
        <v>67087</v>
      </c>
      <c r="R1604" s="671"/>
      <c r="AT1604" s="671"/>
      <c r="AU1604" s="671"/>
      <c r="AV1604" s="671"/>
      <c r="AW1604" s="671"/>
    </row>
    <row r="1605" spans="15:49" x14ac:dyDescent="0.25">
      <c r="O1605" t="s">
        <v>4229</v>
      </c>
      <c r="P1605" t="s">
        <v>5296</v>
      </c>
      <c r="Q1605" s="671">
        <v>67087</v>
      </c>
      <c r="R1605" s="671"/>
      <c r="AT1605" s="671"/>
      <c r="AU1605" s="671"/>
      <c r="AV1605" s="671"/>
      <c r="AW1605" s="671"/>
    </row>
    <row r="1606" spans="15:49" x14ac:dyDescent="0.25">
      <c r="O1606" t="s">
        <v>4229</v>
      </c>
      <c r="P1606" t="s">
        <v>5296</v>
      </c>
      <c r="Q1606" s="671">
        <v>67087</v>
      </c>
      <c r="R1606" s="671"/>
      <c r="AT1606" s="671"/>
      <c r="AU1606" s="671"/>
      <c r="AV1606" s="671"/>
      <c r="AW1606" s="671"/>
    </row>
    <row r="1607" spans="15:49" x14ac:dyDescent="0.25">
      <c r="O1607" t="s">
        <v>4229</v>
      </c>
      <c r="P1607" t="s">
        <v>5296</v>
      </c>
      <c r="Q1607" s="671">
        <v>67087</v>
      </c>
      <c r="R1607" s="671"/>
      <c r="AT1607" s="671"/>
      <c r="AU1607" s="671"/>
      <c r="AV1607" s="671"/>
      <c r="AW1607" s="671"/>
    </row>
    <row r="1608" spans="15:49" x14ac:dyDescent="0.25">
      <c r="O1608" t="s">
        <v>4229</v>
      </c>
      <c r="P1608" t="s">
        <v>5296</v>
      </c>
      <c r="Q1608" s="671">
        <v>67087</v>
      </c>
      <c r="R1608" s="671"/>
      <c r="AT1608" s="671"/>
      <c r="AU1608" s="671"/>
      <c r="AV1608" s="671"/>
      <c r="AW1608" s="671"/>
    </row>
    <row r="1609" spans="15:49" x14ac:dyDescent="0.25">
      <c r="O1609" t="s">
        <v>4229</v>
      </c>
      <c r="P1609" t="s">
        <v>5296</v>
      </c>
      <c r="Q1609" s="671">
        <v>67087</v>
      </c>
      <c r="R1609" s="671"/>
      <c r="AT1609" s="671"/>
      <c r="AU1609" s="671"/>
      <c r="AV1609" s="671"/>
      <c r="AW1609" s="671"/>
    </row>
    <row r="1610" spans="15:49" x14ac:dyDescent="0.25">
      <c r="O1610" t="s">
        <v>4232</v>
      </c>
      <c r="P1610" t="s">
        <v>5296</v>
      </c>
      <c r="Q1610" s="671">
        <v>67087</v>
      </c>
      <c r="R1610" s="671"/>
      <c r="AT1610" s="671"/>
      <c r="AU1610" s="671"/>
      <c r="AV1610" s="671"/>
      <c r="AW1610" s="671"/>
    </row>
    <row r="1611" spans="15:49" x14ac:dyDescent="0.25">
      <c r="O1611" t="s">
        <v>4232</v>
      </c>
      <c r="P1611" t="s">
        <v>5296</v>
      </c>
      <c r="Q1611" s="671">
        <v>67087</v>
      </c>
      <c r="R1611" s="671"/>
      <c r="AT1611" s="671"/>
      <c r="AU1611" s="671"/>
      <c r="AV1611" s="671"/>
      <c r="AW1611" s="671"/>
    </row>
    <row r="1612" spans="15:49" x14ac:dyDescent="0.25">
      <c r="O1612" t="s">
        <v>4180</v>
      </c>
      <c r="P1612" t="s">
        <v>5297</v>
      </c>
      <c r="Q1612" s="671">
        <v>67089</v>
      </c>
      <c r="R1612" s="671"/>
      <c r="AT1612" s="671"/>
      <c r="AU1612" s="671"/>
      <c r="AV1612" s="671"/>
      <c r="AW1612" s="671"/>
    </row>
    <row r="1613" spans="15:49" x14ac:dyDescent="0.25">
      <c r="O1613" t="s">
        <v>4180</v>
      </c>
      <c r="P1613" t="s">
        <v>5297</v>
      </c>
      <c r="Q1613" s="671">
        <v>67089</v>
      </c>
      <c r="R1613" s="671"/>
      <c r="AT1613" s="671"/>
      <c r="AU1613" s="671"/>
      <c r="AV1613" s="671"/>
      <c r="AW1613" s="671"/>
    </row>
    <row r="1614" spans="15:49" x14ac:dyDescent="0.25">
      <c r="O1614" t="s">
        <v>4178</v>
      </c>
      <c r="P1614" t="s">
        <v>5297</v>
      </c>
      <c r="Q1614" s="671">
        <v>67089</v>
      </c>
      <c r="R1614" s="671"/>
      <c r="AT1614" s="671"/>
      <c r="AU1614" s="671"/>
      <c r="AV1614" s="671"/>
      <c r="AW1614" s="671"/>
    </row>
    <row r="1615" spans="15:49" x14ac:dyDescent="0.25">
      <c r="O1615" t="s">
        <v>4176</v>
      </c>
      <c r="P1615" t="s">
        <v>5297</v>
      </c>
      <c r="Q1615" s="671">
        <v>67089</v>
      </c>
      <c r="R1615" s="671"/>
      <c r="AT1615" s="671"/>
      <c r="AU1615" s="671"/>
      <c r="AV1615" s="671"/>
      <c r="AW1615" s="671"/>
    </row>
    <row r="1616" spans="15:49" x14ac:dyDescent="0.25">
      <c r="O1616" t="s">
        <v>4186</v>
      </c>
      <c r="P1616" t="s">
        <v>5297</v>
      </c>
      <c r="Q1616" s="671">
        <v>67089</v>
      </c>
      <c r="R1616" s="671"/>
      <c r="AT1616" s="671"/>
      <c r="AU1616" s="671"/>
      <c r="AV1616" s="671"/>
      <c r="AW1616" s="671"/>
    </row>
    <row r="1617" spans="15:49" x14ac:dyDescent="0.25">
      <c r="O1617" t="s">
        <v>4906</v>
      </c>
      <c r="P1617" t="s">
        <v>5298</v>
      </c>
      <c r="Q1617" s="671">
        <v>69196</v>
      </c>
      <c r="R1617" s="671"/>
      <c r="AT1617" s="671"/>
      <c r="AU1617" s="671"/>
      <c r="AV1617" s="671"/>
      <c r="AW1617" s="671"/>
    </row>
    <row r="1618" spans="15:49" x14ac:dyDescent="0.25">
      <c r="O1618" t="s">
        <v>4911</v>
      </c>
      <c r="P1618" t="s">
        <v>5298</v>
      </c>
      <c r="Q1618" s="671">
        <v>69196</v>
      </c>
      <c r="R1618" s="671"/>
      <c r="AT1618" s="671"/>
      <c r="AU1618" s="671"/>
      <c r="AV1618" s="671"/>
      <c r="AW1618" s="671"/>
    </row>
    <row r="1619" spans="15:49" x14ac:dyDescent="0.25">
      <c r="O1619" t="s">
        <v>4909</v>
      </c>
      <c r="P1619" t="s">
        <v>5298</v>
      </c>
      <c r="Q1619" s="671">
        <v>69196</v>
      </c>
      <c r="R1619" s="671"/>
      <c r="AT1619" s="671"/>
      <c r="AU1619" s="671"/>
      <c r="AV1619" s="671"/>
      <c r="AW1619" s="671"/>
    </row>
    <row r="1620" spans="15:49" x14ac:dyDescent="0.25">
      <c r="O1620" t="s">
        <v>4915</v>
      </c>
      <c r="P1620" t="s">
        <v>5298</v>
      </c>
      <c r="Q1620" s="671">
        <v>69196</v>
      </c>
      <c r="R1620" s="671"/>
      <c r="AT1620" s="671"/>
      <c r="AU1620" s="671"/>
      <c r="AV1620" s="671"/>
      <c r="AW1620" s="671"/>
    </row>
    <row r="1621" spans="15:49" x14ac:dyDescent="0.25">
      <c r="O1621" t="s">
        <v>4919</v>
      </c>
      <c r="P1621" t="s">
        <v>5298</v>
      </c>
      <c r="Q1621" s="671">
        <v>69196</v>
      </c>
      <c r="R1621" s="671"/>
      <c r="AT1621" s="671"/>
      <c r="AU1621" s="671"/>
      <c r="AV1621" s="671"/>
      <c r="AW1621" s="671"/>
    </row>
    <row r="1622" spans="15:49" x14ac:dyDescent="0.25">
      <c r="O1622" t="s">
        <v>4890</v>
      </c>
      <c r="P1622" t="s">
        <v>5299</v>
      </c>
      <c r="Q1622" s="671">
        <v>69195</v>
      </c>
      <c r="R1622" s="671"/>
      <c r="AT1622" s="671"/>
      <c r="AU1622" s="671"/>
      <c r="AV1622" s="671"/>
      <c r="AW1622" s="671"/>
    </row>
    <row r="1623" spans="15:49" x14ac:dyDescent="0.25">
      <c r="O1623" t="s">
        <v>4894</v>
      </c>
      <c r="P1623" t="s">
        <v>5299</v>
      </c>
      <c r="Q1623" s="671">
        <v>69195</v>
      </c>
      <c r="R1623" s="671"/>
      <c r="AT1623" s="671"/>
      <c r="AU1623" s="671"/>
      <c r="AV1623" s="671"/>
      <c r="AW1623" s="671"/>
    </row>
    <row r="1624" spans="15:49" x14ac:dyDescent="0.25">
      <c r="O1624" t="s">
        <v>4898</v>
      </c>
      <c r="P1624" t="s">
        <v>5300</v>
      </c>
      <c r="Q1624" s="671">
        <v>69195</v>
      </c>
      <c r="R1624" s="671"/>
      <c r="AT1624" s="671"/>
      <c r="AU1624" s="671"/>
      <c r="AV1624" s="671"/>
      <c r="AW1624" s="671"/>
    </row>
    <row r="1625" spans="15:49" x14ac:dyDescent="0.25">
      <c r="O1625" t="s">
        <v>4902</v>
      </c>
      <c r="P1625" t="s">
        <v>5300</v>
      </c>
      <c r="Q1625" s="671">
        <v>69195</v>
      </c>
      <c r="R1625" s="671"/>
      <c r="AT1625" s="671"/>
      <c r="AU1625" s="671"/>
      <c r="AV1625" s="671"/>
      <c r="AW1625" s="671"/>
    </row>
    <row r="1626" spans="15:49" x14ac:dyDescent="0.25">
      <c r="O1626" t="s">
        <v>4876</v>
      </c>
      <c r="P1626" t="s">
        <v>5301</v>
      </c>
      <c r="Q1626" s="671">
        <v>69194</v>
      </c>
      <c r="R1626" s="671"/>
      <c r="AT1626" s="671"/>
      <c r="AU1626" s="671"/>
      <c r="AV1626" s="671"/>
      <c r="AW1626" s="671"/>
    </row>
    <row r="1627" spans="15:49" x14ac:dyDescent="0.25">
      <c r="O1627" t="s">
        <v>4883</v>
      </c>
      <c r="P1627" t="s">
        <v>5301</v>
      </c>
      <c r="Q1627" s="671">
        <v>69194</v>
      </c>
      <c r="R1627" s="671"/>
      <c r="AT1627" s="671"/>
      <c r="AU1627" s="671"/>
      <c r="AV1627" s="671"/>
      <c r="AW1627" s="671"/>
    </row>
    <row r="1628" spans="15:49" x14ac:dyDescent="0.25">
      <c r="O1628" t="s">
        <v>4880</v>
      </c>
      <c r="P1628" t="s">
        <v>5301</v>
      </c>
      <c r="Q1628" s="671">
        <v>69194</v>
      </c>
      <c r="R1628" s="671"/>
      <c r="AT1628" s="671"/>
      <c r="AU1628" s="671"/>
      <c r="AV1628" s="671"/>
      <c r="AW1628" s="671"/>
    </row>
    <row r="1629" spans="15:49" x14ac:dyDescent="0.25">
      <c r="O1629" t="s">
        <v>4887</v>
      </c>
      <c r="P1629" t="s">
        <v>5301</v>
      </c>
      <c r="Q1629" s="671">
        <v>69194</v>
      </c>
      <c r="R1629" s="671"/>
      <c r="AT1629" s="671"/>
      <c r="AU1629" s="671"/>
      <c r="AV1629" s="671"/>
      <c r="AW1629" s="671"/>
    </row>
    <row r="1630" spans="15:49" x14ac:dyDescent="0.25">
      <c r="O1630" t="s">
        <v>4849</v>
      </c>
      <c r="P1630" t="s">
        <v>5302</v>
      </c>
      <c r="Q1630" s="671">
        <v>69191</v>
      </c>
      <c r="R1630" s="671"/>
      <c r="AT1630" s="671"/>
      <c r="AU1630" s="671"/>
      <c r="AV1630" s="671"/>
      <c r="AW1630" s="671"/>
    </row>
    <row r="1631" spans="15:49" x14ac:dyDescent="0.25">
      <c r="O1631" t="s">
        <v>4845</v>
      </c>
      <c r="P1631" t="s">
        <v>5302</v>
      </c>
      <c r="Q1631" s="671">
        <v>69191</v>
      </c>
      <c r="R1631" s="671"/>
      <c r="AT1631" s="671"/>
      <c r="AU1631" s="671"/>
      <c r="AV1631" s="671"/>
      <c r="AW1631" s="671"/>
    </row>
    <row r="1632" spans="15:49" x14ac:dyDescent="0.25">
      <c r="O1632" t="s">
        <v>4834</v>
      </c>
      <c r="P1632" t="s">
        <v>5302</v>
      </c>
      <c r="Q1632" s="671">
        <v>69191</v>
      </c>
      <c r="R1632" s="671"/>
      <c r="AT1632" s="671"/>
      <c r="AU1632" s="671"/>
      <c r="AV1632" s="671"/>
      <c r="AW1632" s="671"/>
    </row>
    <row r="1633" spans="15:49" x14ac:dyDescent="0.25">
      <c r="O1633" t="s">
        <v>4838</v>
      </c>
      <c r="P1633" t="s">
        <v>5302</v>
      </c>
      <c r="Q1633" s="671">
        <v>69191</v>
      </c>
      <c r="R1633" s="671"/>
      <c r="AT1633" s="671"/>
      <c r="AU1633" s="671"/>
      <c r="AV1633" s="671"/>
      <c r="AW1633" s="671"/>
    </row>
    <row r="1634" spans="15:49" x14ac:dyDescent="0.25">
      <c r="O1634" t="s">
        <v>4851</v>
      </c>
      <c r="P1634" t="s">
        <v>5302</v>
      </c>
      <c r="Q1634" s="671">
        <v>69191</v>
      </c>
      <c r="R1634" s="671"/>
      <c r="AT1634" s="671"/>
      <c r="AU1634" s="671"/>
      <c r="AV1634" s="671"/>
      <c r="AW1634" s="671"/>
    </row>
    <row r="1635" spans="15:49" x14ac:dyDescent="0.25">
      <c r="O1635" t="s">
        <v>4851</v>
      </c>
      <c r="P1635" t="s">
        <v>5302</v>
      </c>
      <c r="Q1635" s="671">
        <v>69193</v>
      </c>
      <c r="R1635" s="671"/>
      <c r="AT1635" s="671"/>
      <c r="AU1635" s="671"/>
      <c r="AV1635" s="671"/>
      <c r="AW1635" s="671"/>
    </row>
    <row r="1636" spans="15:49" x14ac:dyDescent="0.25">
      <c r="O1636" t="s">
        <v>4841</v>
      </c>
      <c r="P1636" t="s">
        <v>5302</v>
      </c>
      <c r="Q1636" s="671">
        <v>69191</v>
      </c>
      <c r="R1636" s="671"/>
      <c r="AT1636" s="671"/>
      <c r="AU1636" s="671"/>
      <c r="AV1636" s="671"/>
      <c r="AW1636" s="671"/>
    </row>
    <row r="1637" spans="15:49" x14ac:dyDescent="0.25">
      <c r="O1637" t="s">
        <v>4864</v>
      </c>
      <c r="P1637" t="s">
        <v>5303</v>
      </c>
      <c r="Q1637" s="671">
        <v>69192</v>
      </c>
      <c r="R1637" s="671"/>
      <c r="AT1637" s="671"/>
      <c r="AU1637" s="671"/>
      <c r="AV1637" s="671"/>
      <c r="AW1637" s="671"/>
    </row>
    <row r="1638" spans="15:49" x14ac:dyDescent="0.25">
      <c r="O1638" t="s">
        <v>4855</v>
      </c>
      <c r="P1638" t="s">
        <v>5303</v>
      </c>
      <c r="Q1638" s="671">
        <v>69192</v>
      </c>
      <c r="R1638" s="671"/>
      <c r="AT1638" s="671"/>
      <c r="AU1638" s="671"/>
      <c r="AV1638" s="671"/>
      <c r="AW1638" s="671"/>
    </row>
    <row r="1639" spans="15:49" x14ac:dyDescent="0.25">
      <c r="O1639" t="s">
        <v>4869</v>
      </c>
      <c r="P1639" t="s">
        <v>5303</v>
      </c>
      <c r="Q1639" s="671">
        <v>69192</v>
      </c>
      <c r="R1639" s="671"/>
      <c r="AT1639" s="671"/>
      <c r="AU1639" s="671"/>
      <c r="AV1639" s="671"/>
      <c r="AW1639" s="671"/>
    </row>
    <row r="1640" spans="15:49" x14ac:dyDescent="0.25">
      <c r="O1640" t="s">
        <v>4861</v>
      </c>
      <c r="P1640" t="s">
        <v>5303</v>
      </c>
      <c r="Q1640" s="671">
        <v>69192</v>
      </c>
      <c r="R1640" s="671"/>
      <c r="AT1640" s="671"/>
      <c r="AU1640" s="671"/>
      <c r="AV1640" s="671"/>
      <c r="AW1640" s="671"/>
    </row>
    <row r="1641" spans="15:49" x14ac:dyDescent="0.25">
      <c r="O1641" t="s">
        <v>4872</v>
      </c>
      <c r="P1641" t="s">
        <v>5303</v>
      </c>
      <c r="Q1641" s="671">
        <v>69192</v>
      </c>
      <c r="R1641" s="671"/>
      <c r="AT1641" s="671"/>
      <c r="AU1641" s="671"/>
      <c r="AV1641" s="671"/>
      <c r="AW1641" s="671"/>
    </row>
    <row r="1642" spans="15:49" x14ac:dyDescent="0.25">
      <c r="O1642" t="s">
        <v>4867</v>
      </c>
      <c r="P1642" t="s">
        <v>5303</v>
      </c>
      <c r="Q1642" s="671">
        <v>69192</v>
      </c>
      <c r="R1642" s="671"/>
      <c r="AT1642" s="671"/>
      <c r="AU1642" s="671"/>
      <c r="AV1642" s="671"/>
      <c r="AW1642" s="671"/>
    </row>
    <row r="1643" spans="15:49" x14ac:dyDescent="0.25">
      <c r="O1643" t="s">
        <v>4858</v>
      </c>
      <c r="P1643" t="s">
        <v>5303</v>
      </c>
      <c r="Q1643" s="671">
        <v>69192</v>
      </c>
      <c r="R1643" s="671"/>
      <c r="AT1643" s="671"/>
      <c r="AU1643" s="671"/>
      <c r="AV1643" s="671"/>
      <c r="AW1643" s="671"/>
    </row>
    <row r="1644" spans="15:49" x14ac:dyDescent="0.25">
      <c r="O1644" t="s">
        <v>4929</v>
      </c>
      <c r="P1644" t="s">
        <v>5304</v>
      </c>
      <c r="Q1644" s="671">
        <v>69197</v>
      </c>
      <c r="R1644" s="671"/>
      <c r="AT1644" s="671"/>
      <c r="AU1644" s="671"/>
      <c r="AV1644" s="671"/>
      <c r="AW1644" s="671"/>
    </row>
    <row r="1645" spans="15:49" x14ac:dyDescent="0.25">
      <c r="O1645" t="s">
        <v>4926</v>
      </c>
      <c r="P1645" t="s">
        <v>5304</v>
      </c>
      <c r="Q1645" s="671">
        <v>69197</v>
      </c>
      <c r="R1645" s="671"/>
      <c r="AT1645" s="671"/>
      <c r="AU1645" s="671"/>
      <c r="AV1645" s="671"/>
      <c r="AW1645" s="671"/>
    </row>
    <row r="1646" spans="15:49" x14ac:dyDescent="0.25">
      <c r="O1646" t="s">
        <v>4923</v>
      </c>
      <c r="P1646" t="s">
        <v>5298</v>
      </c>
      <c r="Q1646" s="671">
        <v>69196</v>
      </c>
      <c r="R1646" s="671"/>
      <c r="AT1646" s="671"/>
      <c r="AU1646" s="671"/>
      <c r="AV1646" s="671"/>
      <c r="AW1646" s="671"/>
    </row>
    <row r="1647" spans="15:49" x14ac:dyDescent="0.25">
      <c r="O1647" t="s">
        <v>4122</v>
      </c>
      <c r="P1647" t="s">
        <v>5305</v>
      </c>
      <c r="Q1647" s="671"/>
      <c r="R1647" s="671"/>
      <c r="AT1647" s="671"/>
      <c r="AU1647" s="671"/>
      <c r="AV1647" s="671"/>
      <c r="AW1647" s="671"/>
    </row>
    <row r="1648" spans="15:49" x14ac:dyDescent="0.25">
      <c r="O1648" t="s">
        <v>4122</v>
      </c>
      <c r="P1648" t="s">
        <v>5305</v>
      </c>
      <c r="Q1648" s="671"/>
      <c r="R1648" s="671"/>
      <c r="AT1648" s="671"/>
      <c r="AU1648" s="671"/>
      <c r="AV1648" s="671"/>
      <c r="AW1648" s="671"/>
    </row>
    <row r="1649" spans="15:49" x14ac:dyDescent="0.25">
      <c r="O1649" t="s">
        <v>4074</v>
      </c>
      <c r="P1649" t="s">
        <v>5306</v>
      </c>
      <c r="Q1649" s="671">
        <v>66065</v>
      </c>
      <c r="R1649" s="671"/>
      <c r="AT1649" s="671"/>
      <c r="AU1649" s="671"/>
      <c r="AV1649" s="671"/>
      <c r="AW1649" s="671"/>
    </row>
    <row r="1650" spans="15:49" x14ac:dyDescent="0.25">
      <c r="O1650" t="s">
        <v>4076</v>
      </c>
      <c r="P1650" t="s">
        <v>5306</v>
      </c>
      <c r="Q1650" s="671">
        <v>66065</v>
      </c>
      <c r="R1650" s="671"/>
      <c r="AT1650" s="671"/>
      <c r="AU1650" s="671"/>
      <c r="AV1650" s="671"/>
      <c r="AW1650" s="671"/>
    </row>
    <row r="1651" spans="15:49" x14ac:dyDescent="0.25">
      <c r="O1651" t="s">
        <v>4072</v>
      </c>
      <c r="P1651" t="s">
        <v>5306</v>
      </c>
      <c r="Q1651" s="671">
        <v>66065</v>
      </c>
      <c r="R1651" s="671"/>
      <c r="AT1651" s="671"/>
      <c r="AU1651" s="671"/>
      <c r="AV1651" s="671"/>
      <c r="AW1651" s="671"/>
    </row>
    <row r="1652" spans="15:49" x14ac:dyDescent="0.25">
      <c r="O1652" t="s">
        <v>4070</v>
      </c>
      <c r="P1652" t="s">
        <v>5306</v>
      </c>
      <c r="Q1652" s="671">
        <v>66065</v>
      </c>
      <c r="R1652" s="671"/>
      <c r="AT1652" s="671"/>
      <c r="AU1652" s="671"/>
      <c r="AV1652" s="671"/>
      <c r="AW1652" s="671"/>
    </row>
    <row r="1653" spans="15:49" x14ac:dyDescent="0.25">
      <c r="O1653" t="s">
        <v>4058</v>
      </c>
      <c r="P1653" t="s">
        <v>5306</v>
      </c>
      <c r="Q1653" s="671">
        <v>64042</v>
      </c>
      <c r="R1653" s="671"/>
      <c r="AT1653" s="671"/>
      <c r="AU1653" s="671"/>
      <c r="AV1653" s="671"/>
      <c r="AW1653" s="671"/>
    </row>
    <row r="1654" spans="15:49" x14ac:dyDescent="0.25">
      <c r="O1654" t="s">
        <v>4058</v>
      </c>
      <c r="P1654" t="s">
        <v>5306</v>
      </c>
      <c r="Q1654" s="671">
        <v>66065</v>
      </c>
      <c r="R1654" s="671"/>
      <c r="AT1654" s="671"/>
      <c r="AU1654" s="671"/>
      <c r="AV1654" s="671"/>
      <c r="AW1654" s="671"/>
    </row>
    <row r="1655" spans="15:49" x14ac:dyDescent="0.25">
      <c r="O1655" t="s">
        <v>4054</v>
      </c>
      <c r="P1655" t="s">
        <v>5306</v>
      </c>
      <c r="Q1655" s="671">
        <v>66065</v>
      </c>
      <c r="R1655" s="671"/>
      <c r="AT1655" s="671"/>
      <c r="AU1655" s="671"/>
      <c r="AV1655" s="671"/>
      <c r="AW1655" s="671"/>
    </row>
    <row r="1656" spans="15:49" x14ac:dyDescent="0.25">
      <c r="O1656" t="s">
        <v>4054</v>
      </c>
      <c r="P1656" t="s">
        <v>5306</v>
      </c>
      <c r="Q1656" s="671">
        <v>66065</v>
      </c>
      <c r="R1656" s="671"/>
      <c r="AT1656" s="671"/>
      <c r="AU1656" s="671"/>
      <c r="AV1656" s="671"/>
      <c r="AW1656" s="671"/>
    </row>
    <row r="1657" spans="15:49" x14ac:dyDescent="0.25">
      <c r="O1657" t="s">
        <v>4060</v>
      </c>
      <c r="P1657" t="s">
        <v>5306</v>
      </c>
      <c r="Q1657" s="671">
        <v>66065</v>
      </c>
      <c r="R1657" s="671"/>
      <c r="AT1657" s="671"/>
      <c r="AU1657" s="671"/>
      <c r="AV1657" s="671"/>
      <c r="AW1657" s="671"/>
    </row>
    <row r="1658" spans="15:49" x14ac:dyDescent="0.25">
      <c r="O1658" t="s">
        <v>4060</v>
      </c>
      <c r="P1658" t="s">
        <v>5306</v>
      </c>
      <c r="Q1658" s="671">
        <v>66065</v>
      </c>
      <c r="R1658" s="671"/>
      <c r="AT1658" s="671"/>
      <c r="AU1658" s="671"/>
      <c r="AV1658" s="671"/>
      <c r="AW1658" s="671"/>
    </row>
    <row r="1659" spans="15:49" x14ac:dyDescent="0.25">
      <c r="O1659" t="s">
        <v>4060</v>
      </c>
      <c r="P1659" t="s">
        <v>5306</v>
      </c>
      <c r="Q1659" s="671">
        <v>66065</v>
      </c>
      <c r="R1659" s="671"/>
      <c r="AT1659" s="671"/>
      <c r="AU1659" s="671"/>
      <c r="AV1659" s="671"/>
      <c r="AW1659" s="671"/>
    </row>
    <row r="1660" spans="15:49" x14ac:dyDescent="0.25">
      <c r="O1660" t="s">
        <v>4060</v>
      </c>
      <c r="P1660" t="s">
        <v>5306</v>
      </c>
      <c r="Q1660" s="671">
        <v>66065</v>
      </c>
      <c r="R1660" s="671"/>
      <c r="AT1660" s="671"/>
      <c r="AU1660" s="671"/>
      <c r="AV1660" s="671"/>
      <c r="AW1660" s="671"/>
    </row>
    <row r="1661" spans="15:49" x14ac:dyDescent="0.25">
      <c r="O1661" t="s">
        <v>4046</v>
      </c>
      <c r="P1661" t="s">
        <v>5306</v>
      </c>
      <c r="Q1661" s="671">
        <v>66065</v>
      </c>
      <c r="R1661" s="671"/>
      <c r="AT1661" s="671"/>
      <c r="AU1661" s="671"/>
      <c r="AV1661" s="671"/>
      <c r="AW1661" s="671"/>
    </row>
    <row r="1662" spans="15:49" x14ac:dyDescent="0.25">
      <c r="O1662" t="s">
        <v>4046</v>
      </c>
      <c r="P1662" t="s">
        <v>5306</v>
      </c>
      <c r="Q1662" s="671">
        <v>66065</v>
      </c>
      <c r="R1662" s="671"/>
      <c r="AT1662" s="671"/>
      <c r="AU1662" s="671"/>
      <c r="AV1662" s="671"/>
      <c r="AW1662" s="671"/>
    </row>
    <row r="1663" spans="15:49" x14ac:dyDescent="0.25">
      <c r="O1663" t="s">
        <v>4046</v>
      </c>
      <c r="P1663" t="s">
        <v>5306</v>
      </c>
      <c r="Q1663" s="671">
        <v>66065</v>
      </c>
      <c r="R1663" s="671"/>
      <c r="AT1663" s="671"/>
      <c r="AU1663" s="671"/>
      <c r="AV1663" s="671"/>
      <c r="AW1663" s="671"/>
    </row>
    <row r="1664" spans="15:49" x14ac:dyDescent="0.25">
      <c r="O1664" t="s">
        <v>4046</v>
      </c>
      <c r="P1664" t="s">
        <v>5306</v>
      </c>
      <c r="Q1664" s="671">
        <v>66065</v>
      </c>
      <c r="R1664" s="671"/>
      <c r="AT1664" s="671"/>
      <c r="AU1664" s="671"/>
      <c r="AV1664" s="671"/>
      <c r="AW1664" s="671"/>
    </row>
    <row r="1665" spans="15:49" x14ac:dyDescent="0.25">
      <c r="O1665" t="s">
        <v>4068</v>
      </c>
      <c r="P1665" t="s">
        <v>5306</v>
      </c>
      <c r="Q1665" s="671">
        <v>66065</v>
      </c>
      <c r="R1665" s="671"/>
      <c r="AT1665" s="671"/>
      <c r="AU1665" s="671"/>
      <c r="AV1665" s="671"/>
      <c r="AW1665" s="671"/>
    </row>
    <row r="1666" spans="15:49" x14ac:dyDescent="0.25">
      <c r="O1666" t="s">
        <v>4081</v>
      </c>
      <c r="P1666" t="s">
        <v>5307</v>
      </c>
      <c r="Q1666" s="671">
        <v>67089</v>
      </c>
      <c r="R1666" s="671"/>
      <c r="AT1666" s="671"/>
      <c r="AU1666" s="671"/>
      <c r="AV1666" s="671"/>
      <c r="AW1666" s="671"/>
    </row>
    <row r="1667" spans="15:49" x14ac:dyDescent="0.25">
      <c r="O1667" t="s">
        <v>4078</v>
      </c>
      <c r="P1667" t="s">
        <v>5307</v>
      </c>
      <c r="Q1667" s="671">
        <v>67089</v>
      </c>
      <c r="R1667" s="671"/>
      <c r="AT1667" s="671"/>
      <c r="AU1667" s="671"/>
      <c r="AV1667" s="671"/>
      <c r="AW1667" s="671"/>
    </row>
    <row r="1668" spans="15:49" x14ac:dyDescent="0.25">
      <c r="O1668" t="s">
        <v>4084</v>
      </c>
      <c r="P1668" t="s">
        <v>5307</v>
      </c>
      <c r="Q1668" s="671">
        <v>67089</v>
      </c>
      <c r="R1668" s="671"/>
      <c r="AT1668" s="671"/>
      <c r="AU1668" s="671"/>
      <c r="AV1668" s="671"/>
      <c r="AW1668" s="671"/>
    </row>
    <row r="1669" spans="15:49" x14ac:dyDescent="0.25">
      <c r="O1669" t="s">
        <v>4084</v>
      </c>
      <c r="P1669" t="s">
        <v>5307</v>
      </c>
      <c r="Q1669" s="671">
        <v>67089</v>
      </c>
      <c r="R1669" s="671"/>
      <c r="AT1669" s="671"/>
      <c r="AU1669" s="671"/>
      <c r="AV1669" s="671"/>
      <c r="AW1669" s="671"/>
    </row>
    <row r="1670" spans="15:49" x14ac:dyDescent="0.25">
      <c r="O1670" t="s">
        <v>4112</v>
      </c>
      <c r="P1670" t="s">
        <v>5307</v>
      </c>
      <c r="Q1670" s="671">
        <v>67089</v>
      </c>
      <c r="R1670" s="671"/>
      <c r="AT1670" s="671"/>
      <c r="AU1670" s="671"/>
      <c r="AV1670" s="671"/>
      <c r="AW1670" s="671"/>
    </row>
    <row r="1671" spans="15:49" x14ac:dyDescent="0.25">
      <c r="O1671" t="s">
        <v>4112</v>
      </c>
      <c r="P1671" t="s">
        <v>5307</v>
      </c>
      <c r="Q1671" s="671">
        <v>67089</v>
      </c>
      <c r="R1671" s="671"/>
      <c r="AT1671" s="671"/>
      <c r="AU1671" s="671"/>
      <c r="AV1671" s="671"/>
      <c r="AW1671" s="671"/>
    </row>
    <row r="1672" spans="15:49" x14ac:dyDescent="0.25">
      <c r="O1672" t="s">
        <v>4112</v>
      </c>
      <c r="P1672" t="s">
        <v>5308</v>
      </c>
      <c r="Q1672" s="671">
        <v>64044</v>
      </c>
      <c r="R1672" s="671"/>
      <c r="AT1672" s="671"/>
      <c r="AU1672" s="671"/>
      <c r="AV1672" s="671"/>
      <c r="AW1672" s="671"/>
    </row>
    <row r="1673" spans="15:49" x14ac:dyDescent="0.25">
      <c r="O1673" t="s">
        <v>4114</v>
      </c>
      <c r="P1673" t="s">
        <v>5307</v>
      </c>
      <c r="Q1673" s="671">
        <v>67089</v>
      </c>
      <c r="R1673" s="671"/>
      <c r="AT1673" s="671"/>
      <c r="AU1673" s="671"/>
      <c r="AV1673" s="671"/>
      <c r="AW1673" s="671"/>
    </row>
    <row r="1674" spans="15:49" x14ac:dyDescent="0.25">
      <c r="O1674" t="s">
        <v>4114</v>
      </c>
      <c r="P1674" t="s">
        <v>5307</v>
      </c>
      <c r="Q1674" s="671">
        <v>67089</v>
      </c>
      <c r="R1674" s="671"/>
      <c r="AT1674" s="671"/>
      <c r="AU1674" s="671"/>
      <c r="AV1674" s="671"/>
      <c r="AW1674" s="671"/>
    </row>
    <row r="1675" spans="15:49" x14ac:dyDescent="0.25">
      <c r="O1675" t="s">
        <v>4116</v>
      </c>
      <c r="P1675" t="s">
        <v>5307</v>
      </c>
      <c r="Q1675" s="671">
        <v>67089</v>
      </c>
      <c r="R1675" s="671"/>
      <c r="AT1675" s="671"/>
      <c r="AU1675" s="671"/>
      <c r="AV1675" s="671"/>
      <c r="AW1675" s="671"/>
    </row>
    <row r="1676" spans="15:49" x14ac:dyDescent="0.25">
      <c r="O1676" t="s">
        <v>4116</v>
      </c>
      <c r="P1676" t="s">
        <v>5307</v>
      </c>
      <c r="Q1676" s="671">
        <v>67089</v>
      </c>
      <c r="R1676" s="671"/>
      <c r="AT1676" s="671"/>
      <c r="AU1676" s="671"/>
      <c r="AV1676" s="671"/>
      <c r="AW1676" s="671"/>
    </row>
    <row r="1677" spans="15:49" x14ac:dyDescent="0.25">
      <c r="O1677" t="s">
        <v>4120</v>
      </c>
      <c r="P1677" t="s">
        <v>5307</v>
      </c>
      <c r="Q1677" s="671">
        <v>67089</v>
      </c>
      <c r="R1677" s="671"/>
      <c r="AT1677" s="671"/>
      <c r="AU1677" s="671"/>
      <c r="AV1677" s="671"/>
      <c r="AW1677" s="671"/>
    </row>
    <row r="1678" spans="15:49" x14ac:dyDescent="0.25">
      <c r="O1678" t="s">
        <v>4120</v>
      </c>
      <c r="P1678" t="s">
        <v>5307</v>
      </c>
      <c r="Q1678" s="671">
        <v>67089</v>
      </c>
      <c r="R1678" s="671"/>
      <c r="AT1678" s="671"/>
      <c r="AU1678" s="671"/>
      <c r="AV1678" s="671"/>
      <c r="AW1678" s="671"/>
    </row>
    <row r="1679" spans="15:49" x14ac:dyDescent="0.25">
      <c r="O1679" t="s">
        <v>4120</v>
      </c>
      <c r="P1679" t="s">
        <v>5307</v>
      </c>
      <c r="Q1679" s="671">
        <v>67089</v>
      </c>
      <c r="R1679" s="671"/>
      <c r="AT1679" s="671"/>
      <c r="AU1679" s="671"/>
      <c r="AV1679" s="671"/>
      <c r="AW1679" s="671"/>
    </row>
    <row r="1680" spans="15:49" x14ac:dyDescent="0.25">
      <c r="O1680" t="s">
        <v>4120</v>
      </c>
      <c r="P1680" t="s">
        <v>5307</v>
      </c>
      <c r="Q1680" s="671">
        <v>67089</v>
      </c>
      <c r="R1680" s="671"/>
      <c r="AT1680" s="671"/>
      <c r="AU1680" s="671"/>
      <c r="AV1680" s="671"/>
      <c r="AW1680" s="671"/>
    </row>
    <row r="1681" spans="15:49" x14ac:dyDescent="0.25">
      <c r="O1681" t="s">
        <v>4090</v>
      </c>
      <c r="P1681" t="s">
        <v>5307</v>
      </c>
      <c r="Q1681" s="671">
        <v>67089</v>
      </c>
      <c r="R1681" s="671"/>
      <c r="AT1681" s="671"/>
      <c r="AU1681" s="671"/>
      <c r="AV1681" s="671"/>
      <c r="AW1681" s="671"/>
    </row>
    <row r="1682" spans="15:49" x14ac:dyDescent="0.25">
      <c r="O1682" t="s">
        <v>4108</v>
      </c>
      <c r="P1682" t="s">
        <v>5307</v>
      </c>
      <c r="Q1682" s="671">
        <v>67089</v>
      </c>
      <c r="R1682" s="671"/>
      <c r="AT1682" s="671"/>
      <c r="AU1682" s="671"/>
      <c r="AV1682" s="671"/>
      <c r="AW1682" s="671"/>
    </row>
    <row r="1683" spans="15:49" x14ac:dyDescent="0.25">
      <c r="O1683" t="s">
        <v>4094</v>
      </c>
      <c r="P1683" t="s">
        <v>5286</v>
      </c>
      <c r="Q1683" s="671">
        <v>67072</v>
      </c>
      <c r="R1683" s="671"/>
      <c r="AT1683" s="671"/>
      <c r="AU1683" s="671"/>
      <c r="AV1683" s="671"/>
      <c r="AW1683" s="671"/>
    </row>
    <row r="1684" spans="15:49" x14ac:dyDescent="0.25">
      <c r="O1684" t="s">
        <v>4094</v>
      </c>
      <c r="P1684" t="s">
        <v>5286</v>
      </c>
      <c r="Q1684" s="671">
        <v>67072</v>
      </c>
      <c r="R1684" s="671"/>
      <c r="AT1684" s="671"/>
      <c r="AU1684" s="671"/>
      <c r="AV1684" s="671"/>
      <c r="AW1684" s="671"/>
    </row>
    <row r="1685" spans="15:49" x14ac:dyDescent="0.25">
      <c r="O1685" t="s">
        <v>4102</v>
      </c>
      <c r="P1685" t="s">
        <v>5307</v>
      </c>
      <c r="Q1685" s="671">
        <v>67089</v>
      </c>
      <c r="R1685" s="671"/>
      <c r="AT1685" s="671"/>
      <c r="AU1685" s="671"/>
      <c r="AV1685" s="671"/>
      <c r="AW1685" s="671"/>
    </row>
    <row r="1686" spans="15:49" x14ac:dyDescent="0.25">
      <c r="O1686" t="s">
        <v>4106</v>
      </c>
      <c r="P1686" t="s">
        <v>5221</v>
      </c>
      <c r="Q1686" s="671">
        <v>67079</v>
      </c>
      <c r="R1686" s="671"/>
      <c r="AT1686" s="671"/>
      <c r="AU1686" s="671"/>
      <c r="AV1686" s="671"/>
      <c r="AW1686" s="671"/>
    </row>
    <row r="1687" spans="15:49" x14ac:dyDescent="0.25">
      <c r="O1687" t="s">
        <v>4098</v>
      </c>
      <c r="P1687" t="s">
        <v>5258</v>
      </c>
      <c r="Q1687" s="671">
        <v>67078</v>
      </c>
      <c r="R1687" s="671"/>
      <c r="AT1687" s="671"/>
      <c r="AU1687" s="671"/>
      <c r="AV1687" s="671"/>
      <c r="AW1687" s="671"/>
    </row>
    <row r="1688" spans="15:49" x14ac:dyDescent="0.25">
      <c r="O1688" t="s">
        <v>4110</v>
      </c>
      <c r="P1688" t="s">
        <v>5307</v>
      </c>
      <c r="Q1688" s="671">
        <v>67089</v>
      </c>
      <c r="R1688" s="671"/>
      <c r="AT1688" s="671"/>
      <c r="AU1688" s="671"/>
      <c r="AV1688" s="671"/>
      <c r="AW1688" s="671"/>
    </row>
    <row r="1689" spans="15:49" x14ac:dyDescent="0.25">
      <c r="O1689" t="s">
        <v>3387</v>
      </c>
      <c r="P1689" t="s">
        <v>5309</v>
      </c>
      <c r="Q1689" s="671">
        <v>65252</v>
      </c>
      <c r="R1689" s="671"/>
      <c r="AT1689" s="671"/>
      <c r="AU1689" s="671"/>
      <c r="AV1689" s="671"/>
      <c r="AW1689" s="671"/>
    </row>
    <row r="1690" spans="15:49" x14ac:dyDescent="0.25">
      <c r="O1690" t="s">
        <v>3387</v>
      </c>
      <c r="P1690" t="s">
        <v>5309</v>
      </c>
      <c r="Q1690" s="671">
        <v>65252</v>
      </c>
      <c r="R1690" s="671"/>
      <c r="AT1690" s="671"/>
      <c r="AU1690" s="671"/>
      <c r="AV1690" s="671"/>
      <c r="AW1690" s="671"/>
    </row>
    <row r="1691" spans="15:49" x14ac:dyDescent="0.25">
      <c r="O1691" t="s">
        <v>3387</v>
      </c>
      <c r="P1691" t="s">
        <v>5309</v>
      </c>
      <c r="Q1691" s="671">
        <v>65252</v>
      </c>
      <c r="R1691" s="671"/>
      <c r="AT1691" s="671"/>
      <c r="AU1691" s="671"/>
      <c r="AV1691" s="671"/>
      <c r="AW1691" s="671"/>
    </row>
    <row r="1692" spans="15:49" x14ac:dyDescent="0.25">
      <c r="O1692" t="s">
        <v>3379</v>
      </c>
      <c r="P1692" t="s">
        <v>5309</v>
      </c>
      <c r="Q1692" s="671">
        <v>65252</v>
      </c>
      <c r="R1692" s="671"/>
      <c r="AT1692" s="671"/>
      <c r="AU1692" s="671"/>
      <c r="AV1692" s="671"/>
      <c r="AW1692" s="671"/>
    </row>
    <row r="1693" spans="15:49" x14ac:dyDescent="0.25">
      <c r="O1693" t="s">
        <v>3379</v>
      </c>
      <c r="P1693" t="s">
        <v>5309</v>
      </c>
      <c r="Q1693" s="671">
        <v>65252</v>
      </c>
      <c r="R1693" s="671"/>
      <c r="AT1693" s="671"/>
      <c r="AU1693" s="671"/>
      <c r="AV1693" s="671"/>
      <c r="AW1693" s="671"/>
    </row>
    <row r="1694" spans="15:49" x14ac:dyDescent="0.25">
      <c r="O1694" t="s">
        <v>3390</v>
      </c>
      <c r="P1694" t="s">
        <v>5309</v>
      </c>
      <c r="Q1694" s="671">
        <v>65252</v>
      </c>
      <c r="R1694" s="671"/>
      <c r="AT1694" s="671"/>
      <c r="AU1694" s="671"/>
      <c r="AV1694" s="671"/>
      <c r="AW1694" s="671"/>
    </row>
    <row r="1695" spans="15:49" x14ac:dyDescent="0.25">
      <c r="O1695" t="s">
        <v>3390</v>
      </c>
      <c r="P1695" t="s">
        <v>5309</v>
      </c>
      <c r="Q1695" s="671">
        <v>65252</v>
      </c>
      <c r="R1695" s="671"/>
      <c r="AT1695" s="671"/>
      <c r="AU1695" s="671"/>
      <c r="AV1695" s="671"/>
      <c r="AW1695" s="671"/>
    </row>
    <row r="1696" spans="15:49" x14ac:dyDescent="0.25">
      <c r="O1696" t="s">
        <v>3390</v>
      </c>
      <c r="P1696" t="s">
        <v>5309</v>
      </c>
      <c r="Q1696" s="671">
        <v>65252</v>
      </c>
      <c r="R1696" s="671"/>
      <c r="AT1696" s="671"/>
      <c r="AU1696" s="671"/>
      <c r="AV1696" s="671"/>
      <c r="AW1696" s="671"/>
    </row>
    <row r="1697" spans="15:49" x14ac:dyDescent="0.25">
      <c r="O1697" t="s">
        <v>3390</v>
      </c>
      <c r="P1697" t="s">
        <v>5309</v>
      </c>
      <c r="Q1697" s="671">
        <v>65252</v>
      </c>
      <c r="R1697" s="671"/>
      <c r="AT1697" s="671"/>
      <c r="AU1697" s="671"/>
      <c r="AV1697" s="671"/>
      <c r="AW1697" s="671"/>
    </row>
    <row r="1698" spans="15:49" x14ac:dyDescent="0.25">
      <c r="O1698" t="s">
        <v>3390</v>
      </c>
      <c r="P1698" t="s">
        <v>5309</v>
      </c>
      <c r="Q1698" s="671">
        <v>65252</v>
      </c>
      <c r="R1698" s="671"/>
      <c r="AT1698" s="671"/>
      <c r="AU1698" s="671"/>
      <c r="AV1698" s="671"/>
      <c r="AW1698" s="671"/>
    </row>
    <row r="1699" spans="15:49" x14ac:dyDescent="0.25">
      <c r="O1699" t="s">
        <v>3390</v>
      </c>
      <c r="P1699" t="s">
        <v>5309</v>
      </c>
      <c r="Q1699" s="671">
        <v>65252</v>
      </c>
      <c r="R1699" s="671"/>
      <c r="AT1699" s="671"/>
      <c r="AU1699" s="671"/>
      <c r="AV1699" s="671"/>
      <c r="AW1699" s="671"/>
    </row>
    <row r="1700" spans="15:49" x14ac:dyDescent="0.25">
      <c r="O1700" t="s">
        <v>3390</v>
      </c>
      <c r="P1700" t="s">
        <v>5309</v>
      </c>
      <c r="Q1700" s="671">
        <v>65252</v>
      </c>
      <c r="R1700" s="671"/>
      <c r="AT1700" s="671"/>
      <c r="AU1700" s="671"/>
      <c r="AV1700" s="671"/>
      <c r="AW1700" s="671"/>
    </row>
    <row r="1701" spans="15:49" x14ac:dyDescent="0.25">
      <c r="O1701" t="s">
        <v>3390</v>
      </c>
      <c r="P1701" t="s">
        <v>5309</v>
      </c>
      <c r="Q1701" s="671">
        <v>65252</v>
      </c>
      <c r="R1701" s="671"/>
      <c r="AT1701" s="671"/>
      <c r="AU1701" s="671"/>
      <c r="AV1701" s="671"/>
      <c r="AW1701" s="671"/>
    </row>
    <row r="1702" spans="15:49" x14ac:dyDescent="0.25">
      <c r="O1702" t="s">
        <v>3390</v>
      </c>
      <c r="P1702" t="s">
        <v>5309</v>
      </c>
      <c r="Q1702" s="671">
        <v>65252</v>
      </c>
      <c r="R1702" s="671"/>
      <c r="AT1702" s="671"/>
      <c r="AU1702" s="671"/>
      <c r="AV1702" s="671"/>
      <c r="AW1702" s="671"/>
    </row>
    <row r="1703" spans="15:49" x14ac:dyDescent="0.25">
      <c r="O1703" t="s">
        <v>3383</v>
      </c>
      <c r="P1703" t="s">
        <v>5309</v>
      </c>
      <c r="Q1703" s="671">
        <v>65252</v>
      </c>
      <c r="R1703" s="671"/>
      <c r="AT1703" s="671"/>
      <c r="AU1703" s="671"/>
      <c r="AV1703" s="671"/>
      <c r="AW1703" s="671"/>
    </row>
    <row r="1704" spans="15:49" x14ac:dyDescent="0.25">
      <c r="O1704" t="s">
        <v>3396</v>
      </c>
      <c r="P1704" t="s">
        <v>5309</v>
      </c>
      <c r="Q1704" s="671">
        <v>65252</v>
      </c>
      <c r="R1704" s="671"/>
      <c r="AT1704" s="671"/>
      <c r="AU1704" s="671"/>
      <c r="AV1704" s="671"/>
      <c r="AW1704" s="671"/>
    </row>
    <row r="1705" spans="15:49" x14ac:dyDescent="0.25">
      <c r="O1705" t="s">
        <v>3396</v>
      </c>
      <c r="P1705" t="s">
        <v>5309</v>
      </c>
      <c r="Q1705" s="671">
        <v>65252</v>
      </c>
      <c r="R1705" s="671"/>
      <c r="AT1705" s="671"/>
      <c r="AU1705" s="671"/>
      <c r="AV1705" s="671"/>
      <c r="AW1705" s="671"/>
    </row>
    <row r="1706" spans="15:49" x14ac:dyDescent="0.25">
      <c r="O1706" t="s">
        <v>3396</v>
      </c>
      <c r="P1706" t="s">
        <v>5309</v>
      </c>
      <c r="Q1706" s="671">
        <v>65252</v>
      </c>
      <c r="R1706" s="671"/>
      <c r="AT1706" s="671"/>
      <c r="AU1706" s="671"/>
      <c r="AV1706" s="671"/>
      <c r="AW1706" s="671"/>
    </row>
    <row r="1707" spans="15:49" x14ac:dyDescent="0.25">
      <c r="O1707" t="s">
        <v>3396</v>
      </c>
      <c r="P1707" t="s">
        <v>5309</v>
      </c>
      <c r="Q1707" s="671">
        <v>65252</v>
      </c>
      <c r="R1707" s="671"/>
      <c r="AT1707" s="671"/>
      <c r="AU1707" s="671"/>
      <c r="AV1707" s="671"/>
      <c r="AW1707" s="671"/>
    </row>
    <row r="1708" spans="15:49" x14ac:dyDescent="0.25">
      <c r="O1708" t="s">
        <v>3396</v>
      </c>
      <c r="P1708" t="s">
        <v>5309</v>
      </c>
      <c r="Q1708" s="671">
        <v>65252</v>
      </c>
      <c r="R1708" s="671"/>
      <c r="AT1708" s="671"/>
      <c r="AU1708" s="671"/>
      <c r="AV1708" s="671"/>
      <c r="AW1708" s="671"/>
    </row>
    <row r="1709" spans="15:49" x14ac:dyDescent="0.25">
      <c r="O1709" t="s">
        <v>3392</v>
      </c>
      <c r="P1709" t="s">
        <v>5309</v>
      </c>
      <c r="Q1709" s="671">
        <v>65252</v>
      </c>
      <c r="R1709" s="671"/>
      <c r="AT1709" s="671"/>
      <c r="AU1709" s="671"/>
      <c r="AV1709" s="671"/>
      <c r="AW1709" s="671"/>
    </row>
    <row r="1710" spans="15:49" x14ac:dyDescent="0.25">
      <c r="O1710" t="s">
        <v>3392</v>
      </c>
      <c r="P1710" t="s">
        <v>5309</v>
      </c>
      <c r="Q1710" s="671">
        <v>65252</v>
      </c>
      <c r="R1710" s="671"/>
      <c r="AT1710" s="671"/>
      <c r="AU1710" s="671"/>
      <c r="AV1710" s="671"/>
      <c r="AW1710" s="671"/>
    </row>
    <row r="1711" spans="15:49" x14ac:dyDescent="0.25">
      <c r="O1711" t="s">
        <v>3392</v>
      </c>
      <c r="P1711" t="s">
        <v>5309</v>
      </c>
      <c r="Q1711" s="671">
        <v>65252</v>
      </c>
      <c r="R1711" s="671"/>
      <c r="AT1711" s="671"/>
      <c r="AU1711" s="671"/>
      <c r="AV1711" s="671"/>
      <c r="AW1711" s="671"/>
    </row>
    <row r="1712" spans="15:49" x14ac:dyDescent="0.25">
      <c r="O1712" t="s">
        <v>3451</v>
      </c>
      <c r="P1712" t="s">
        <v>5310</v>
      </c>
      <c r="Q1712" s="671">
        <v>65256</v>
      </c>
      <c r="R1712" s="671"/>
      <c r="AT1712" s="671"/>
      <c r="AU1712" s="671"/>
      <c r="AV1712" s="671"/>
      <c r="AW1712" s="671"/>
    </row>
    <row r="1713" spans="15:49" x14ac:dyDescent="0.25">
      <c r="O1713" t="s">
        <v>3451</v>
      </c>
      <c r="P1713" t="s">
        <v>5310</v>
      </c>
      <c r="Q1713" s="671">
        <v>65256</v>
      </c>
      <c r="R1713" s="671"/>
      <c r="AT1713" s="671"/>
      <c r="AU1713" s="671"/>
      <c r="AV1713" s="671"/>
      <c r="AW1713" s="671"/>
    </row>
    <row r="1714" spans="15:49" x14ac:dyDescent="0.25">
      <c r="O1714" t="s">
        <v>3458</v>
      </c>
      <c r="P1714" t="s">
        <v>5310</v>
      </c>
      <c r="Q1714" s="671">
        <v>65256</v>
      </c>
      <c r="R1714" s="671"/>
      <c r="AT1714" s="671"/>
      <c r="AU1714" s="671"/>
      <c r="AV1714" s="671"/>
      <c r="AW1714" s="671"/>
    </row>
    <row r="1715" spans="15:49" x14ac:dyDescent="0.25">
      <c r="O1715" t="s">
        <v>3458</v>
      </c>
      <c r="P1715" t="s">
        <v>5310</v>
      </c>
      <c r="Q1715" s="671">
        <v>65256</v>
      </c>
      <c r="R1715" s="671"/>
      <c r="AT1715" s="671"/>
      <c r="AU1715" s="671"/>
      <c r="AV1715" s="671"/>
      <c r="AW1715" s="671"/>
    </row>
    <row r="1716" spans="15:49" x14ac:dyDescent="0.25">
      <c r="O1716" t="s">
        <v>3458</v>
      </c>
      <c r="P1716" t="s">
        <v>5310</v>
      </c>
      <c r="Q1716" s="671">
        <v>65256</v>
      </c>
      <c r="R1716" s="671"/>
      <c r="AT1716" s="671"/>
      <c r="AU1716" s="671"/>
      <c r="AV1716" s="671"/>
      <c r="AW1716" s="671"/>
    </row>
    <row r="1717" spans="15:49" x14ac:dyDescent="0.25">
      <c r="O1717" t="s">
        <v>3455</v>
      </c>
      <c r="P1717" t="s">
        <v>5310</v>
      </c>
      <c r="Q1717" s="671">
        <v>65256</v>
      </c>
      <c r="R1717" s="671"/>
      <c r="AT1717" s="671"/>
      <c r="AU1717" s="671"/>
      <c r="AV1717" s="671"/>
      <c r="AW1717" s="671"/>
    </row>
    <row r="1718" spans="15:49" x14ac:dyDescent="0.25">
      <c r="O1718" t="s">
        <v>3444</v>
      </c>
      <c r="P1718" t="s">
        <v>5310</v>
      </c>
      <c r="Q1718" s="671">
        <v>65256</v>
      </c>
      <c r="R1718" s="671"/>
      <c r="AT1718" s="671"/>
      <c r="AU1718" s="671"/>
      <c r="AV1718" s="671"/>
      <c r="AW1718" s="671"/>
    </row>
    <row r="1719" spans="15:49" x14ac:dyDescent="0.25">
      <c r="O1719" t="s">
        <v>3444</v>
      </c>
      <c r="P1719" t="s">
        <v>5310</v>
      </c>
      <c r="Q1719" s="671">
        <v>65256</v>
      </c>
      <c r="R1719" s="671"/>
      <c r="AT1719" s="671"/>
      <c r="AU1719" s="671"/>
      <c r="AV1719" s="671"/>
      <c r="AW1719" s="671"/>
    </row>
    <row r="1720" spans="15:49" x14ac:dyDescent="0.25">
      <c r="O1720" t="s">
        <v>3462</v>
      </c>
      <c r="P1720" t="s">
        <v>5310</v>
      </c>
      <c r="Q1720" s="671">
        <v>65256</v>
      </c>
      <c r="R1720" s="671"/>
      <c r="AT1720" s="671"/>
      <c r="AU1720" s="671"/>
      <c r="AV1720" s="671"/>
      <c r="AW1720" s="671"/>
    </row>
    <row r="1721" spans="15:49" x14ac:dyDescent="0.25">
      <c r="O1721" t="s">
        <v>3462</v>
      </c>
      <c r="P1721" t="s">
        <v>5310</v>
      </c>
      <c r="Q1721" s="671">
        <v>65256</v>
      </c>
      <c r="R1721" s="671"/>
      <c r="AT1721" s="671"/>
      <c r="AU1721" s="671"/>
      <c r="AV1721" s="671"/>
      <c r="AW1721" s="671"/>
    </row>
    <row r="1722" spans="15:49" x14ac:dyDescent="0.25">
      <c r="O1722" t="s">
        <v>3462</v>
      </c>
      <c r="P1722" t="s">
        <v>5310</v>
      </c>
      <c r="Q1722" s="671">
        <v>65256</v>
      </c>
      <c r="R1722" s="671"/>
      <c r="AT1722" s="671"/>
      <c r="AU1722" s="671"/>
      <c r="AV1722" s="671"/>
      <c r="AW1722" s="671"/>
    </row>
    <row r="1723" spans="15:49" x14ac:dyDescent="0.25">
      <c r="O1723" t="s">
        <v>3462</v>
      </c>
      <c r="P1723" t="s">
        <v>5310</v>
      </c>
      <c r="Q1723" s="671">
        <v>65256</v>
      </c>
      <c r="R1723" s="671"/>
      <c r="AT1723" s="671"/>
      <c r="AU1723" s="671"/>
      <c r="AV1723" s="671"/>
      <c r="AW1723" s="671"/>
    </row>
    <row r="1724" spans="15:49" x14ac:dyDescent="0.25">
      <c r="O1724" t="s">
        <v>3462</v>
      </c>
      <c r="P1724" t="s">
        <v>5310</v>
      </c>
      <c r="Q1724" s="671">
        <v>65256</v>
      </c>
      <c r="R1724" s="671"/>
      <c r="AT1724" s="671"/>
      <c r="AU1724" s="671"/>
      <c r="AV1724" s="671"/>
      <c r="AW1724" s="671"/>
    </row>
    <row r="1725" spans="15:49" x14ac:dyDescent="0.25">
      <c r="O1725" t="s">
        <v>3448</v>
      </c>
      <c r="P1725" t="s">
        <v>5310</v>
      </c>
      <c r="Q1725" s="671">
        <v>65256</v>
      </c>
      <c r="R1725" s="671"/>
      <c r="AT1725" s="671"/>
      <c r="AU1725" s="671"/>
      <c r="AV1725" s="671"/>
      <c r="AW1725" s="671"/>
    </row>
    <row r="1726" spans="15:49" x14ac:dyDescent="0.25">
      <c r="O1726" t="s">
        <v>3448</v>
      </c>
      <c r="P1726" t="s">
        <v>5310</v>
      </c>
      <c r="Q1726" s="671">
        <v>65256</v>
      </c>
      <c r="R1726" s="671"/>
      <c r="AT1726" s="671"/>
      <c r="AU1726" s="671"/>
      <c r="AV1726" s="671"/>
      <c r="AW1726" s="671"/>
    </row>
    <row r="1727" spans="15:49" x14ac:dyDescent="0.25">
      <c r="O1727" t="s">
        <v>3467</v>
      </c>
      <c r="P1727" t="s">
        <v>5310</v>
      </c>
      <c r="Q1727" s="671">
        <v>65256</v>
      </c>
      <c r="R1727" s="671"/>
      <c r="AT1727" s="671"/>
      <c r="AU1727" s="671"/>
      <c r="AV1727" s="671"/>
      <c r="AW1727" s="671"/>
    </row>
    <row r="1728" spans="15:49" x14ac:dyDescent="0.25">
      <c r="O1728" t="s">
        <v>3467</v>
      </c>
      <c r="P1728" t="s">
        <v>5310</v>
      </c>
      <c r="Q1728" s="671">
        <v>65256</v>
      </c>
      <c r="R1728" s="671"/>
      <c r="AT1728" s="671"/>
      <c r="AU1728" s="671"/>
      <c r="AV1728" s="671"/>
      <c r="AW1728" s="671"/>
    </row>
    <row r="1729" spans="15:49" x14ac:dyDescent="0.25">
      <c r="O1729" t="s">
        <v>3467</v>
      </c>
      <c r="P1729" t="s">
        <v>5310</v>
      </c>
      <c r="Q1729" s="671">
        <v>65256</v>
      </c>
      <c r="R1729" s="671"/>
      <c r="AT1729" s="671"/>
      <c r="AU1729" s="671"/>
      <c r="AV1729" s="671"/>
      <c r="AW1729" s="671"/>
    </row>
    <row r="1730" spans="15:49" x14ac:dyDescent="0.25">
      <c r="O1730" t="s">
        <v>3472</v>
      </c>
      <c r="P1730" t="s">
        <v>5310</v>
      </c>
      <c r="Q1730" s="671">
        <v>65256</v>
      </c>
      <c r="R1730" s="671"/>
      <c r="AT1730" s="671"/>
      <c r="AU1730" s="671"/>
      <c r="AV1730" s="671"/>
      <c r="AW1730" s="671"/>
    </row>
    <row r="1731" spans="15:49" x14ac:dyDescent="0.25">
      <c r="O1731" t="s">
        <v>3464</v>
      </c>
      <c r="P1731" t="s">
        <v>5310</v>
      </c>
      <c r="Q1731" s="671">
        <v>65256</v>
      </c>
      <c r="R1731" s="671"/>
      <c r="AT1731" s="671"/>
      <c r="AU1731" s="671"/>
      <c r="AV1731" s="671"/>
      <c r="AW1731" s="671"/>
    </row>
    <row r="1732" spans="15:49" x14ac:dyDescent="0.25">
      <c r="O1732" t="s">
        <v>3464</v>
      </c>
      <c r="P1732" t="s">
        <v>5310</v>
      </c>
      <c r="Q1732" s="671">
        <v>65256</v>
      </c>
      <c r="R1732" s="671"/>
      <c r="AT1732" s="671"/>
      <c r="AU1732" s="671"/>
      <c r="AV1732" s="671"/>
      <c r="AW1732" s="671"/>
    </row>
    <row r="1733" spans="15:49" x14ac:dyDescent="0.25">
      <c r="O1733" t="s">
        <v>3369</v>
      </c>
      <c r="P1733" t="s">
        <v>5311</v>
      </c>
      <c r="Q1733" s="671">
        <v>65259</v>
      </c>
      <c r="R1733" s="671"/>
      <c r="AT1733" s="671"/>
      <c r="AU1733" s="671"/>
      <c r="AV1733" s="671"/>
      <c r="AW1733" s="671"/>
    </row>
    <row r="1734" spans="15:49" x14ac:dyDescent="0.25">
      <c r="O1734" t="s">
        <v>3369</v>
      </c>
      <c r="P1734" t="s">
        <v>5311</v>
      </c>
      <c r="Q1734" s="671">
        <v>65259</v>
      </c>
      <c r="R1734" s="671"/>
      <c r="AT1734" s="671"/>
      <c r="AU1734" s="671"/>
      <c r="AV1734" s="671"/>
      <c r="AW1734" s="671"/>
    </row>
    <row r="1735" spans="15:49" x14ac:dyDescent="0.25">
      <c r="O1735" t="s">
        <v>3369</v>
      </c>
      <c r="P1735" t="s">
        <v>5311</v>
      </c>
      <c r="Q1735" s="671">
        <v>65259</v>
      </c>
      <c r="R1735" s="671"/>
      <c r="AT1735" s="671"/>
      <c r="AU1735" s="671"/>
      <c r="AV1735" s="671"/>
      <c r="AW1735" s="671"/>
    </row>
    <row r="1736" spans="15:49" x14ac:dyDescent="0.25">
      <c r="O1736" t="s">
        <v>3369</v>
      </c>
      <c r="P1736" t="s">
        <v>5311</v>
      </c>
      <c r="Q1736" s="671">
        <v>65259</v>
      </c>
      <c r="R1736" s="671"/>
      <c r="AT1736" s="671"/>
      <c r="AU1736" s="671"/>
      <c r="AV1736" s="671"/>
      <c r="AW1736" s="671"/>
    </row>
    <row r="1737" spans="15:49" x14ac:dyDescent="0.25">
      <c r="O1737" t="s">
        <v>3369</v>
      </c>
      <c r="P1737" t="s">
        <v>5311</v>
      </c>
      <c r="Q1737" s="671">
        <v>65259</v>
      </c>
      <c r="R1737" s="671"/>
      <c r="AT1737" s="671"/>
      <c r="AU1737" s="671"/>
      <c r="AV1737" s="671"/>
      <c r="AW1737" s="671"/>
    </row>
    <row r="1738" spans="15:49" x14ac:dyDescent="0.25">
      <c r="O1738" t="s">
        <v>3369</v>
      </c>
      <c r="P1738" t="s">
        <v>5311</v>
      </c>
      <c r="Q1738" s="671">
        <v>65259</v>
      </c>
      <c r="R1738" s="671"/>
      <c r="AT1738" s="671"/>
      <c r="AU1738" s="671"/>
      <c r="AV1738" s="671"/>
      <c r="AW1738" s="671"/>
    </row>
    <row r="1739" spans="15:49" x14ac:dyDescent="0.25">
      <c r="O1739" t="s">
        <v>3369</v>
      </c>
      <c r="P1739" t="s">
        <v>5311</v>
      </c>
      <c r="Q1739" s="671">
        <v>65259</v>
      </c>
      <c r="R1739" s="671"/>
      <c r="AT1739" s="671"/>
      <c r="AU1739" s="671"/>
      <c r="AV1739" s="671"/>
      <c r="AW1739" s="671"/>
    </row>
    <row r="1740" spans="15:49" x14ac:dyDescent="0.25">
      <c r="O1740" t="s">
        <v>3369</v>
      </c>
      <c r="P1740" t="s">
        <v>5311</v>
      </c>
      <c r="Q1740" s="671">
        <v>65259</v>
      </c>
      <c r="R1740" s="671"/>
      <c r="AT1740" s="671"/>
      <c r="AU1740" s="671"/>
      <c r="AV1740" s="671"/>
      <c r="AW1740" s="671"/>
    </row>
    <row r="1741" spans="15:49" x14ac:dyDescent="0.25">
      <c r="O1741" t="s">
        <v>3369</v>
      </c>
      <c r="P1741" t="s">
        <v>5311</v>
      </c>
      <c r="Q1741" s="671">
        <v>65259</v>
      </c>
      <c r="R1741" s="671"/>
      <c r="AT1741" s="671"/>
      <c r="AU1741" s="671"/>
      <c r="AV1741" s="671"/>
      <c r="AW1741" s="671"/>
    </row>
    <row r="1742" spans="15:49" x14ac:dyDescent="0.25">
      <c r="O1742" t="s">
        <v>3369</v>
      </c>
      <c r="P1742" t="s">
        <v>5311</v>
      </c>
      <c r="Q1742" s="671">
        <v>65259</v>
      </c>
      <c r="R1742" s="671"/>
      <c r="AT1742" s="671"/>
      <c r="AU1742" s="671"/>
      <c r="AV1742" s="671"/>
      <c r="AW1742" s="671"/>
    </row>
    <row r="1743" spans="15:49" x14ac:dyDescent="0.25">
      <c r="O1743" t="s">
        <v>3369</v>
      </c>
      <c r="P1743" t="s">
        <v>5311</v>
      </c>
      <c r="Q1743" s="671">
        <v>65259</v>
      </c>
      <c r="R1743" s="671"/>
      <c r="AT1743" s="671"/>
      <c r="AU1743" s="671"/>
      <c r="AV1743" s="671"/>
      <c r="AW1743" s="671"/>
    </row>
    <row r="1744" spans="15:49" x14ac:dyDescent="0.25">
      <c r="O1744" t="s">
        <v>3362</v>
      </c>
      <c r="P1744" t="s">
        <v>5311</v>
      </c>
      <c r="Q1744" s="671">
        <v>65259</v>
      </c>
      <c r="R1744" s="671"/>
      <c r="AT1744" s="671"/>
      <c r="AU1744" s="671"/>
      <c r="AV1744" s="671"/>
      <c r="AW1744" s="671"/>
    </row>
    <row r="1745" spans="15:49" x14ac:dyDescent="0.25">
      <c r="O1745" t="s">
        <v>3362</v>
      </c>
      <c r="P1745" t="s">
        <v>5311</v>
      </c>
      <c r="Q1745" s="671">
        <v>65259</v>
      </c>
      <c r="R1745" s="671"/>
      <c r="AT1745" s="671"/>
      <c r="AU1745" s="671"/>
      <c r="AV1745" s="671"/>
      <c r="AW1745" s="671"/>
    </row>
    <row r="1746" spans="15:49" x14ac:dyDescent="0.25">
      <c r="O1746" t="s">
        <v>3362</v>
      </c>
      <c r="P1746" t="s">
        <v>5311</v>
      </c>
      <c r="Q1746" s="671">
        <v>65259</v>
      </c>
      <c r="R1746" s="671"/>
      <c r="AT1746" s="671"/>
      <c r="AU1746" s="671"/>
      <c r="AV1746" s="671"/>
      <c r="AW1746" s="671"/>
    </row>
    <row r="1747" spans="15:49" x14ac:dyDescent="0.25">
      <c r="O1747" t="s">
        <v>3362</v>
      </c>
      <c r="P1747" t="s">
        <v>5311</v>
      </c>
      <c r="Q1747" s="671">
        <v>65259</v>
      </c>
      <c r="R1747" s="671"/>
      <c r="AT1747" s="671"/>
      <c r="AU1747" s="671"/>
      <c r="AV1747" s="671"/>
      <c r="AW1747" s="671"/>
    </row>
    <row r="1748" spans="15:49" x14ac:dyDescent="0.25">
      <c r="O1748" t="s">
        <v>3423</v>
      </c>
      <c r="P1748" t="s">
        <v>5312</v>
      </c>
      <c r="Q1748" s="671">
        <v>65259</v>
      </c>
      <c r="R1748" s="671"/>
      <c r="AT1748" s="671"/>
      <c r="AU1748" s="671"/>
      <c r="AV1748" s="671"/>
      <c r="AW1748" s="671"/>
    </row>
    <row r="1749" spans="15:49" x14ac:dyDescent="0.25">
      <c r="O1749" t="s">
        <v>3423</v>
      </c>
      <c r="P1749" t="s">
        <v>5312</v>
      </c>
      <c r="Q1749" s="671">
        <v>65259</v>
      </c>
      <c r="R1749" s="671"/>
      <c r="AT1749" s="671"/>
      <c r="AU1749" s="671"/>
      <c r="AV1749" s="671"/>
      <c r="AW1749" s="671"/>
    </row>
    <row r="1750" spans="15:49" x14ac:dyDescent="0.25">
      <c r="O1750" t="s">
        <v>3423</v>
      </c>
      <c r="P1750" t="s">
        <v>5312</v>
      </c>
      <c r="Q1750" s="671">
        <v>65259</v>
      </c>
      <c r="R1750" s="671"/>
      <c r="AT1750" s="671"/>
      <c r="AU1750" s="671"/>
      <c r="AV1750" s="671"/>
      <c r="AW1750" s="671"/>
    </row>
    <row r="1751" spans="15:49" x14ac:dyDescent="0.25">
      <c r="O1751" t="s">
        <v>3402</v>
      </c>
      <c r="P1751" t="s">
        <v>5312</v>
      </c>
      <c r="Q1751" s="671">
        <v>65254</v>
      </c>
      <c r="R1751" s="671"/>
      <c r="AT1751" s="671"/>
      <c r="AU1751" s="671"/>
      <c r="AV1751" s="671"/>
      <c r="AW1751" s="671"/>
    </row>
    <row r="1752" spans="15:49" x14ac:dyDescent="0.25">
      <c r="O1752" t="s">
        <v>3398</v>
      </c>
      <c r="P1752" t="s">
        <v>5312</v>
      </c>
      <c r="Q1752" s="671">
        <v>65254</v>
      </c>
      <c r="R1752" s="671"/>
      <c r="AT1752" s="671"/>
      <c r="AU1752" s="671"/>
      <c r="AV1752" s="671"/>
      <c r="AW1752" s="671"/>
    </row>
    <row r="1753" spans="15:49" x14ac:dyDescent="0.25">
      <c r="O1753" t="s">
        <v>3398</v>
      </c>
      <c r="P1753" t="s">
        <v>5312</v>
      </c>
      <c r="Q1753" s="671">
        <v>65254</v>
      </c>
      <c r="R1753" s="671"/>
      <c r="AT1753" s="671"/>
      <c r="AU1753" s="671"/>
      <c r="AV1753" s="671"/>
      <c r="AW1753" s="671"/>
    </row>
    <row r="1754" spans="15:49" x14ac:dyDescent="0.25">
      <c r="O1754" t="s">
        <v>3410</v>
      </c>
      <c r="P1754" t="s">
        <v>5312</v>
      </c>
      <c r="Q1754" s="671">
        <v>65254</v>
      </c>
      <c r="R1754" s="671"/>
      <c r="AT1754" s="671"/>
      <c r="AU1754" s="671"/>
      <c r="AV1754" s="671"/>
      <c r="AW1754" s="671"/>
    </row>
    <row r="1755" spans="15:49" x14ac:dyDescent="0.25">
      <c r="O1755" t="s">
        <v>3410</v>
      </c>
      <c r="P1755" t="s">
        <v>5312</v>
      </c>
      <c r="Q1755" s="671">
        <v>65254</v>
      </c>
      <c r="R1755" s="671"/>
      <c r="AT1755" s="671"/>
      <c r="AU1755" s="671"/>
      <c r="AV1755" s="671"/>
      <c r="AW1755" s="671"/>
    </row>
    <row r="1756" spans="15:49" x14ac:dyDescent="0.25">
      <c r="O1756" t="s">
        <v>3412</v>
      </c>
      <c r="P1756" t="s">
        <v>5312</v>
      </c>
      <c r="Q1756" s="671">
        <v>65254</v>
      </c>
      <c r="R1756" s="671"/>
      <c r="AT1756" s="671"/>
      <c r="AU1756" s="671"/>
      <c r="AV1756" s="671"/>
      <c r="AW1756" s="671"/>
    </row>
    <row r="1757" spans="15:49" x14ac:dyDescent="0.25">
      <c r="O1757" t="s">
        <v>3412</v>
      </c>
      <c r="P1757" t="s">
        <v>5312</v>
      </c>
      <c r="Q1757" s="671">
        <v>65254</v>
      </c>
      <c r="R1757" s="671"/>
      <c r="AT1757" s="671"/>
      <c r="AU1757" s="671"/>
      <c r="AV1757" s="671"/>
      <c r="AW1757" s="671"/>
    </row>
    <row r="1758" spans="15:49" x14ac:dyDescent="0.25">
      <c r="O1758" t="s">
        <v>3404</v>
      </c>
      <c r="P1758" t="s">
        <v>5312</v>
      </c>
      <c r="Q1758" s="671">
        <v>65254</v>
      </c>
      <c r="R1758" s="671"/>
      <c r="AT1758" s="671"/>
      <c r="AU1758" s="671"/>
      <c r="AV1758" s="671"/>
      <c r="AW1758" s="671"/>
    </row>
    <row r="1759" spans="15:49" x14ac:dyDescent="0.25">
      <c r="O1759" t="s">
        <v>3404</v>
      </c>
      <c r="P1759" t="s">
        <v>5312</v>
      </c>
      <c r="Q1759" s="671">
        <v>65254</v>
      </c>
      <c r="R1759" s="671"/>
      <c r="AT1759" s="671"/>
      <c r="AU1759" s="671"/>
      <c r="AV1759" s="671"/>
      <c r="AW1759" s="671"/>
    </row>
    <row r="1760" spans="15:49" x14ac:dyDescent="0.25">
      <c r="O1760" t="s">
        <v>3404</v>
      </c>
      <c r="P1760" t="s">
        <v>5312</v>
      </c>
      <c r="Q1760" s="671">
        <v>65254</v>
      </c>
      <c r="R1760" s="671"/>
      <c r="AT1760" s="671"/>
      <c r="AU1760" s="671"/>
      <c r="AV1760" s="671"/>
      <c r="AW1760" s="671"/>
    </row>
    <row r="1761" spans="15:49" x14ac:dyDescent="0.25">
      <c r="O1761" t="s">
        <v>3404</v>
      </c>
      <c r="P1761" t="s">
        <v>5312</v>
      </c>
      <c r="Q1761" s="671">
        <v>65254</v>
      </c>
      <c r="R1761" s="671"/>
      <c r="AT1761" s="671"/>
      <c r="AU1761" s="671"/>
      <c r="AV1761" s="671"/>
      <c r="AW1761" s="671"/>
    </row>
    <row r="1762" spans="15:49" x14ac:dyDescent="0.25">
      <c r="O1762" t="s">
        <v>3419</v>
      </c>
      <c r="P1762" t="s">
        <v>5312</v>
      </c>
      <c r="Q1762" s="671">
        <v>65254</v>
      </c>
      <c r="R1762" s="671"/>
      <c r="AT1762" s="671"/>
      <c r="AU1762" s="671"/>
      <c r="AV1762" s="671"/>
      <c r="AW1762" s="671"/>
    </row>
    <row r="1763" spans="15:49" x14ac:dyDescent="0.25">
      <c r="O1763" t="s">
        <v>3419</v>
      </c>
      <c r="P1763" t="s">
        <v>5312</v>
      </c>
      <c r="Q1763" s="671">
        <v>65254</v>
      </c>
      <c r="R1763" s="671"/>
      <c r="AT1763" s="671"/>
      <c r="AU1763" s="671"/>
      <c r="AV1763" s="671"/>
      <c r="AW1763" s="671"/>
    </row>
    <row r="1764" spans="15:49" x14ac:dyDescent="0.25">
      <c r="O1764" t="s">
        <v>3419</v>
      </c>
      <c r="P1764" t="s">
        <v>5312</v>
      </c>
      <c r="Q1764" s="671">
        <v>65254</v>
      </c>
      <c r="R1764" s="671"/>
      <c r="AT1764" s="671"/>
      <c r="AU1764" s="671"/>
      <c r="AV1764" s="671"/>
      <c r="AW1764" s="671"/>
    </row>
    <row r="1765" spans="15:49" x14ac:dyDescent="0.25">
      <c r="O1765" t="s">
        <v>3419</v>
      </c>
      <c r="P1765" t="s">
        <v>5312</v>
      </c>
      <c r="Q1765" s="671">
        <v>65254</v>
      </c>
      <c r="R1765" s="671"/>
      <c r="AT1765" s="671"/>
      <c r="AU1765" s="671"/>
      <c r="AV1765" s="671"/>
      <c r="AW1765" s="671"/>
    </row>
    <row r="1766" spans="15:49" x14ac:dyDescent="0.25">
      <c r="O1766" t="s">
        <v>3415</v>
      </c>
      <c r="P1766" t="s">
        <v>5312</v>
      </c>
      <c r="Q1766" s="671">
        <v>65254</v>
      </c>
      <c r="R1766" s="671"/>
      <c r="AT1766" s="671"/>
      <c r="AU1766" s="671"/>
      <c r="AV1766" s="671"/>
      <c r="AW1766" s="671"/>
    </row>
    <row r="1767" spans="15:49" x14ac:dyDescent="0.25">
      <c r="O1767" t="s">
        <v>3417</v>
      </c>
      <c r="P1767" t="s">
        <v>5312</v>
      </c>
      <c r="Q1767" s="671">
        <v>65254</v>
      </c>
      <c r="R1767" s="671"/>
      <c r="AT1767" s="671"/>
      <c r="AU1767" s="671"/>
      <c r="AV1767" s="671"/>
      <c r="AW1767" s="671"/>
    </row>
    <row r="1768" spans="15:49" x14ac:dyDescent="0.25">
      <c r="O1768" t="s">
        <v>3417</v>
      </c>
      <c r="P1768" t="s">
        <v>5312</v>
      </c>
      <c r="Q1768" s="671">
        <v>65254</v>
      </c>
      <c r="R1768" s="671"/>
      <c r="AT1768" s="671"/>
      <c r="AU1768" s="671"/>
      <c r="AV1768" s="671"/>
      <c r="AW1768" s="671"/>
    </row>
    <row r="1769" spans="15:49" x14ac:dyDescent="0.25">
      <c r="O1769" t="s">
        <v>3354</v>
      </c>
      <c r="P1769" t="s">
        <v>5313</v>
      </c>
      <c r="Q1769" s="671">
        <v>65257</v>
      </c>
      <c r="R1769" s="671"/>
      <c r="AT1769" s="671"/>
      <c r="AU1769" s="671"/>
      <c r="AV1769" s="671"/>
      <c r="AW1769" s="671"/>
    </row>
    <row r="1770" spans="15:49" x14ac:dyDescent="0.25">
      <c r="O1770" t="s">
        <v>3354</v>
      </c>
      <c r="P1770" t="s">
        <v>5313</v>
      </c>
      <c r="Q1770" s="671">
        <v>65257</v>
      </c>
      <c r="R1770" s="671"/>
      <c r="AT1770" s="671"/>
      <c r="AU1770" s="671"/>
      <c r="AV1770" s="671"/>
      <c r="AW1770" s="671"/>
    </row>
    <row r="1771" spans="15:49" x14ac:dyDescent="0.25">
      <c r="O1771" t="s">
        <v>3355</v>
      </c>
      <c r="P1771" t="s">
        <v>5313</v>
      </c>
      <c r="Q1771" s="671">
        <v>65257</v>
      </c>
      <c r="R1771" s="671"/>
      <c r="AT1771" s="671"/>
      <c r="AU1771" s="671"/>
      <c r="AV1771" s="671"/>
      <c r="AW1771" s="671"/>
    </row>
    <row r="1772" spans="15:49" x14ac:dyDescent="0.25">
      <c r="O1772" t="s">
        <v>3355</v>
      </c>
      <c r="P1772" t="s">
        <v>5313</v>
      </c>
      <c r="Q1772" s="671">
        <v>65257</v>
      </c>
      <c r="R1772" s="671"/>
      <c r="AT1772" s="671"/>
      <c r="AU1772" s="671"/>
      <c r="AV1772" s="671"/>
      <c r="AW1772" s="671"/>
    </row>
    <row r="1773" spans="15:49" x14ac:dyDescent="0.25">
      <c r="O1773" t="s">
        <v>3360</v>
      </c>
      <c r="P1773" t="s">
        <v>5313</v>
      </c>
      <c r="Q1773" s="671">
        <v>65257</v>
      </c>
      <c r="R1773" s="671"/>
      <c r="AT1773" s="671"/>
      <c r="AU1773" s="671"/>
      <c r="AV1773" s="671"/>
      <c r="AW1773" s="671"/>
    </row>
    <row r="1774" spans="15:49" x14ac:dyDescent="0.25">
      <c r="O1774" t="s">
        <v>3360</v>
      </c>
      <c r="P1774" t="s">
        <v>5313</v>
      </c>
      <c r="Q1774" s="671">
        <v>65257</v>
      </c>
      <c r="R1774" s="671"/>
      <c r="AT1774" s="671"/>
      <c r="AU1774" s="671"/>
      <c r="AV1774" s="671"/>
      <c r="AW1774" s="671"/>
    </row>
    <row r="1775" spans="15:49" x14ac:dyDescent="0.25">
      <c r="O1775" t="s">
        <v>3358</v>
      </c>
      <c r="P1775" t="s">
        <v>5313</v>
      </c>
      <c r="Q1775" s="671">
        <v>65257</v>
      </c>
      <c r="R1775" s="671"/>
      <c r="AT1775" s="671"/>
      <c r="AU1775" s="671"/>
      <c r="AV1775" s="671"/>
      <c r="AW1775" s="671"/>
    </row>
    <row r="1776" spans="15:49" x14ac:dyDescent="0.25">
      <c r="O1776" t="s">
        <v>3358</v>
      </c>
      <c r="P1776" t="s">
        <v>5313</v>
      </c>
      <c r="Q1776" s="671">
        <v>65257</v>
      </c>
      <c r="R1776" s="671"/>
      <c r="AT1776" s="671"/>
      <c r="AU1776" s="671"/>
      <c r="AV1776" s="671"/>
      <c r="AW1776" s="671"/>
    </row>
    <row r="1777" spans="15:49" x14ac:dyDescent="0.25">
      <c r="O1777" t="s">
        <v>3438</v>
      </c>
      <c r="P1777" t="s">
        <v>5314</v>
      </c>
      <c r="Q1777" s="671">
        <v>65255</v>
      </c>
      <c r="R1777" s="671"/>
      <c r="AT1777" s="671"/>
      <c r="AU1777" s="671"/>
      <c r="AV1777" s="671"/>
      <c r="AW1777" s="671"/>
    </row>
    <row r="1778" spans="15:49" x14ac:dyDescent="0.25">
      <c r="O1778" t="s">
        <v>3438</v>
      </c>
      <c r="P1778" t="s">
        <v>5314</v>
      </c>
      <c r="Q1778" s="671">
        <v>65255</v>
      </c>
      <c r="R1778" s="671"/>
      <c r="AT1778" s="671"/>
      <c r="AU1778" s="671"/>
      <c r="AV1778" s="671"/>
      <c r="AW1778" s="671"/>
    </row>
    <row r="1779" spans="15:49" x14ac:dyDescent="0.25">
      <c r="O1779" t="s">
        <v>3442</v>
      </c>
      <c r="P1779" t="s">
        <v>5314</v>
      </c>
      <c r="Q1779" s="671">
        <v>65255</v>
      </c>
      <c r="R1779" s="671"/>
      <c r="AT1779" s="671"/>
      <c r="AU1779" s="671"/>
      <c r="AV1779" s="671"/>
      <c r="AW1779" s="671"/>
    </row>
    <row r="1780" spans="15:49" x14ac:dyDescent="0.25">
      <c r="O1780" t="s">
        <v>3497</v>
      </c>
      <c r="P1780" t="s">
        <v>5315</v>
      </c>
      <c r="Q1780" s="671">
        <v>65253</v>
      </c>
      <c r="R1780" s="671"/>
      <c r="AT1780" s="671"/>
      <c r="AU1780" s="671"/>
      <c r="AV1780" s="671"/>
      <c r="AW1780" s="671"/>
    </row>
    <row r="1781" spans="15:49" x14ac:dyDescent="0.25">
      <c r="O1781" t="s">
        <v>3504</v>
      </c>
      <c r="P1781" t="s">
        <v>5315</v>
      </c>
      <c r="Q1781" s="671">
        <v>65253</v>
      </c>
      <c r="R1781" s="671"/>
      <c r="AT1781" s="671"/>
      <c r="AU1781" s="671"/>
      <c r="AV1781" s="671"/>
      <c r="AW1781" s="671"/>
    </row>
    <row r="1782" spans="15:49" x14ac:dyDescent="0.25">
      <c r="O1782" t="s">
        <v>3504</v>
      </c>
      <c r="P1782" t="s">
        <v>5315</v>
      </c>
      <c r="Q1782" s="671">
        <v>65253</v>
      </c>
      <c r="R1782" s="671"/>
      <c r="AT1782" s="671"/>
      <c r="AU1782" s="671"/>
      <c r="AV1782" s="671"/>
      <c r="AW1782" s="671"/>
    </row>
    <row r="1783" spans="15:49" x14ac:dyDescent="0.25">
      <c r="O1783" t="s">
        <v>3504</v>
      </c>
      <c r="P1783" t="s">
        <v>5315</v>
      </c>
      <c r="Q1783" s="671">
        <v>65253</v>
      </c>
      <c r="R1783" s="671"/>
      <c r="AT1783" s="671"/>
      <c r="AU1783" s="671"/>
      <c r="AV1783" s="671"/>
      <c r="AW1783" s="671"/>
    </row>
    <row r="1784" spans="15:49" x14ac:dyDescent="0.25">
      <c r="O1784" t="s">
        <v>3500</v>
      </c>
      <c r="P1784" t="s">
        <v>5315</v>
      </c>
      <c r="Q1784" s="671">
        <v>65253</v>
      </c>
      <c r="R1784" s="671"/>
      <c r="AT1784" s="671"/>
      <c r="AU1784" s="671"/>
      <c r="AV1784" s="671"/>
      <c r="AW1784" s="671"/>
    </row>
    <row r="1785" spans="15:49" x14ac:dyDescent="0.25">
      <c r="O1785" t="s">
        <v>3500</v>
      </c>
      <c r="P1785" t="s">
        <v>5315</v>
      </c>
      <c r="Q1785" s="671">
        <v>65253</v>
      </c>
      <c r="R1785" s="671"/>
      <c r="AT1785" s="671"/>
      <c r="AU1785" s="671"/>
      <c r="AV1785" s="671"/>
      <c r="AW1785" s="671"/>
    </row>
    <row r="1786" spans="15:49" x14ac:dyDescent="0.25">
      <c r="O1786" t="s">
        <v>3500</v>
      </c>
      <c r="P1786" t="s">
        <v>5315</v>
      </c>
      <c r="Q1786" s="671">
        <v>65253</v>
      </c>
      <c r="R1786" s="671"/>
      <c r="AT1786" s="671"/>
      <c r="AU1786" s="671"/>
      <c r="AV1786" s="671"/>
      <c r="AW1786" s="671"/>
    </row>
    <row r="1787" spans="15:49" x14ac:dyDescent="0.25">
      <c r="O1787" t="s">
        <v>3431</v>
      </c>
      <c r="P1787" t="s">
        <v>5316</v>
      </c>
      <c r="Q1787" s="671">
        <v>65259</v>
      </c>
      <c r="R1787" s="671"/>
      <c r="AT1787" s="671"/>
      <c r="AU1787" s="671"/>
      <c r="AV1787" s="671"/>
      <c r="AW1787" s="671"/>
    </row>
    <row r="1788" spans="15:49" x14ac:dyDescent="0.25">
      <c r="O1788" t="s">
        <v>3431</v>
      </c>
      <c r="P1788" t="s">
        <v>5316</v>
      </c>
      <c r="Q1788" s="671">
        <v>65259</v>
      </c>
      <c r="R1788" s="671"/>
      <c r="AT1788" s="671"/>
      <c r="AU1788" s="671"/>
      <c r="AV1788" s="671"/>
      <c r="AW1788" s="671"/>
    </row>
    <row r="1789" spans="15:49" x14ac:dyDescent="0.25">
      <c r="O1789" t="s">
        <v>3431</v>
      </c>
      <c r="P1789" t="s">
        <v>5316</v>
      </c>
      <c r="Q1789" s="671">
        <v>65259</v>
      </c>
      <c r="R1789" s="671"/>
      <c r="AT1789" s="671"/>
      <c r="AU1789" s="671"/>
      <c r="AV1789" s="671"/>
      <c r="AW1789" s="671"/>
    </row>
    <row r="1790" spans="15:49" x14ac:dyDescent="0.25">
      <c r="O1790" t="s">
        <v>3433</v>
      </c>
      <c r="P1790" t="s">
        <v>5316</v>
      </c>
      <c r="Q1790" s="671">
        <v>65259</v>
      </c>
      <c r="R1790" s="671"/>
      <c r="AT1790" s="671"/>
      <c r="AU1790" s="671"/>
      <c r="AV1790" s="671"/>
      <c r="AW1790" s="671"/>
    </row>
    <row r="1791" spans="15:49" x14ac:dyDescent="0.25">
      <c r="O1791" t="s">
        <v>3436</v>
      </c>
      <c r="P1791" t="s">
        <v>5316</v>
      </c>
      <c r="Q1791" s="671">
        <v>65259</v>
      </c>
      <c r="R1791" s="671"/>
      <c r="AT1791" s="671"/>
      <c r="AU1791" s="671"/>
      <c r="AV1791" s="671"/>
      <c r="AW1791" s="671"/>
    </row>
    <row r="1792" spans="15:49" x14ac:dyDescent="0.25">
      <c r="O1792" t="s">
        <v>3436</v>
      </c>
      <c r="P1792" t="s">
        <v>5316</v>
      </c>
      <c r="Q1792" s="671">
        <v>65259</v>
      </c>
      <c r="R1792" s="671"/>
      <c r="AT1792" s="671"/>
      <c r="AU1792" s="671"/>
      <c r="AV1792" s="671"/>
      <c r="AW1792" s="671"/>
    </row>
    <row r="1793" spans="15:49" x14ac:dyDescent="0.25">
      <c r="O1793" t="s">
        <v>3434</v>
      </c>
      <c r="P1793" t="s">
        <v>5316</v>
      </c>
      <c r="Q1793" s="671">
        <v>65259</v>
      </c>
      <c r="R1793" s="671"/>
      <c r="AT1793" s="671"/>
      <c r="AU1793" s="671"/>
      <c r="AV1793" s="671"/>
      <c r="AW1793" s="671"/>
    </row>
    <row r="1794" spans="15:49" x14ac:dyDescent="0.25">
      <c r="O1794" t="s">
        <v>3434</v>
      </c>
      <c r="P1794" t="s">
        <v>5316</v>
      </c>
      <c r="Q1794" s="671">
        <v>65259</v>
      </c>
      <c r="R1794" s="671"/>
      <c r="AT1794" s="671"/>
      <c r="AU1794" s="671"/>
      <c r="AV1794" s="671"/>
      <c r="AW1794" s="671"/>
    </row>
    <row r="1795" spans="15:49" x14ac:dyDescent="0.25">
      <c r="O1795" t="s">
        <v>3427</v>
      </c>
      <c r="P1795" t="s">
        <v>5316</v>
      </c>
      <c r="Q1795" s="671">
        <v>65259</v>
      </c>
      <c r="R1795" s="671"/>
      <c r="AT1795" s="671"/>
      <c r="AU1795" s="671"/>
      <c r="AV1795" s="671"/>
      <c r="AW1795" s="671"/>
    </row>
    <row r="1796" spans="15:49" x14ac:dyDescent="0.25">
      <c r="O1796" t="s">
        <v>3427</v>
      </c>
      <c r="P1796" t="s">
        <v>5316</v>
      </c>
      <c r="Q1796" s="671">
        <v>65259</v>
      </c>
      <c r="R1796" s="671"/>
      <c r="AT1796" s="671"/>
      <c r="AU1796" s="671"/>
      <c r="AV1796" s="671"/>
      <c r="AW1796" s="671"/>
    </row>
    <row r="1797" spans="15:49" x14ac:dyDescent="0.25">
      <c r="O1797" t="s">
        <v>3508</v>
      </c>
      <c r="P1797" t="s">
        <v>5317</v>
      </c>
      <c r="Q1797" s="671">
        <v>65259</v>
      </c>
      <c r="R1797" s="671"/>
      <c r="AT1797" s="671"/>
      <c r="AU1797" s="671"/>
      <c r="AV1797" s="671"/>
      <c r="AW1797" s="671"/>
    </row>
    <row r="1798" spans="15:49" x14ac:dyDescent="0.25">
      <c r="O1798" t="s">
        <v>3515</v>
      </c>
      <c r="P1798" t="s">
        <v>5317</v>
      </c>
      <c r="Q1798" s="671">
        <v>65259</v>
      </c>
      <c r="R1798" s="671"/>
      <c r="AT1798" s="671"/>
      <c r="AU1798" s="671"/>
      <c r="AV1798" s="671"/>
      <c r="AW1798" s="671"/>
    </row>
    <row r="1799" spans="15:49" x14ac:dyDescent="0.25">
      <c r="O1799" t="s">
        <v>3515</v>
      </c>
      <c r="P1799" t="s">
        <v>5317</v>
      </c>
      <c r="Q1799" s="671">
        <v>65259</v>
      </c>
      <c r="R1799" s="671"/>
      <c r="AT1799" s="671"/>
      <c r="AU1799" s="671"/>
      <c r="AV1799" s="671"/>
      <c r="AW1799" s="671"/>
    </row>
    <row r="1800" spans="15:49" x14ac:dyDescent="0.25">
      <c r="O1800" t="s">
        <v>3511</v>
      </c>
      <c r="P1800" t="s">
        <v>5317</v>
      </c>
      <c r="Q1800" s="671">
        <v>65259</v>
      </c>
      <c r="R1800" s="671"/>
      <c r="AT1800" s="671"/>
      <c r="AU1800" s="671"/>
      <c r="AV1800" s="671"/>
      <c r="AW1800" s="671"/>
    </row>
    <row r="1801" spans="15:49" x14ac:dyDescent="0.25">
      <c r="O1801" t="s">
        <v>3511</v>
      </c>
      <c r="P1801" t="s">
        <v>5317</v>
      </c>
      <c r="Q1801" s="671">
        <v>65259</v>
      </c>
      <c r="R1801" s="671"/>
      <c r="AT1801" s="671"/>
      <c r="AU1801" s="671"/>
      <c r="AV1801" s="671"/>
      <c r="AW1801" s="671"/>
    </row>
    <row r="1802" spans="15:49" x14ac:dyDescent="0.25">
      <c r="O1802" t="s">
        <v>3511</v>
      </c>
      <c r="P1802" t="s">
        <v>5317</v>
      </c>
      <c r="Q1802" s="671">
        <v>65259</v>
      </c>
      <c r="R1802" s="671"/>
      <c r="AT1802" s="671"/>
      <c r="AU1802" s="671"/>
      <c r="AV1802" s="671"/>
      <c r="AW1802" s="671"/>
    </row>
    <row r="1803" spans="15:49" x14ac:dyDescent="0.25">
      <c r="O1803" t="s">
        <v>3511</v>
      </c>
      <c r="P1803" t="s">
        <v>5317</v>
      </c>
      <c r="Q1803" s="671">
        <v>65259</v>
      </c>
      <c r="R1803" s="671"/>
      <c r="AT1803" s="671"/>
      <c r="AU1803" s="671"/>
      <c r="AV1803" s="671"/>
      <c r="AW1803" s="671"/>
    </row>
    <row r="1804" spans="15:49" x14ac:dyDescent="0.25">
      <c r="O1804" t="s">
        <v>3511</v>
      </c>
      <c r="P1804" t="s">
        <v>5317</v>
      </c>
      <c r="Q1804" s="671">
        <v>65259</v>
      </c>
      <c r="R1804" s="671"/>
      <c r="AT1804" s="671"/>
      <c r="AU1804" s="671"/>
      <c r="AV1804" s="671"/>
      <c r="AW1804" s="671"/>
    </row>
    <row r="1805" spans="15:49" x14ac:dyDescent="0.25">
      <c r="O1805" t="s">
        <v>3534</v>
      </c>
      <c r="P1805" t="s">
        <v>5317</v>
      </c>
      <c r="Q1805" s="671">
        <v>65259</v>
      </c>
      <c r="R1805" s="671"/>
      <c r="AT1805" s="671"/>
      <c r="AU1805" s="671"/>
      <c r="AV1805" s="671"/>
      <c r="AW1805" s="671"/>
    </row>
    <row r="1806" spans="15:49" x14ac:dyDescent="0.25">
      <c r="O1806" t="s">
        <v>3534</v>
      </c>
      <c r="P1806" t="s">
        <v>5317</v>
      </c>
      <c r="Q1806" s="671">
        <v>65259</v>
      </c>
      <c r="R1806" s="671"/>
      <c r="AT1806" s="671"/>
      <c r="AU1806" s="671"/>
      <c r="AV1806" s="671"/>
      <c r="AW1806" s="671"/>
    </row>
    <row r="1807" spans="15:49" x14ac:dyDescent="0.25">
      <c r="O1807" t="s">
        <v>3534</v>
      </c>
      <c r="P1807" t="s">
        <v>5317</v>
      </c>
      <c r="Q1807" s="671">
        <v>65259</v>
      </c>
      <c r="R1807" s="671"/>
      <c r="AT1807" s="671"/>
      <c r="AU1807" s="671"/>
      <c r="AV1807" s="671"/>
      <c r="AW1807" s="671"/>
    </row>
    <row r="1808" spans="15:49" x14ac:dyDescent="0.25">
      <c r="O1808" t="s">
        <v>3534</v>
      </c>
      <c r="P1808" t="s">
        <v>5317</v>
      </c>
      <c r="Q1808" s="671">
        <v>65259</v>
      </c>
      <c r="R1808" s="671"/>
      <c r="AT1808" s="671"/>
      <c r="AU1808" s="671"/>
      <c r="AV1808" s="671"/>
      <c r="AW1808" s="671"/>
    </row>
    <row r="1809" spans="15:49" x14ac:dyDescent="0.25">
      <c r="O1809" t="s">
        <v>3530</v>
      </c>
      <c r="P1809" t="s">
        <v>5317</v>
      </c>
      <c r="Q1809" s="671">
        <v>65259</v>
      </c>
      <c r="R1809" s="671"/>
      <c r="AT1809" s="671"/>
      <c r="AU1809" s="671"/>
      <c r="AV1809" s="671"/>
      <c r="AW1809" s="671"/>
    </row>
    <row r="1810" spans="15:49" x14ac:dyDescent="0.25">
      <c r="O1810" t="s">
        <v>3530</v>
      </c>
      <c r="P1810" t="s">
        <v>5317</v>
      </c>
      <c r="Q1810" s="671">
        <v>65259</v>
      </c>
      <c r="R1810" s="671"/>
      <c r="AT1810" s="671"/>
      <c r="AU1810" s="671"/>
      <c r="AV1810" s="671"/>
      <c r="AW1810" s="671"/>
    </row>
    <row r="1811" spans="15:49" x14ac:dyDescent="0.25">
      <c r="O1811" t="s">
        <v>3530</v>
      </c>
      <c r="P1811" t="s">
        <v>5317</v>
      </c>
      <c r="Q1811" s="671">
        <v>65259</v>
      </c>
      <c r="R1811" s="671"/>
      <c r="AT1811" s="671"/>
      <c r="AU1811" s="671"/>
      <c r="AV1811" s="671"/>
      <c r="AW1811" s="671"/>
    </row>
    <row r="1812" spans="15:49" x14ac:dyDescent="0.25">
      <c r="O1812" t="s">
        <v>3524</v>
      </c>
      <c r="P1812" t="s">
        <v>5317</v>
      </c>
      <c r="Q1812" s="671">
        <v>65259</v>
      </c>
      <c r="R1812" s="671"/>
      <c r="AT1812" s="671"/>
      <c r="AU1812" s="671"/>
      <c r="AV1812" s="671"/>
      <c r="AW1812" s="671"/>
    </row>
    <row r="1813" spans="15:49" x14ac:dyDescent="0.25">
      <c r="O1813" t="s">
        <v>3526</v>
      </c>
      <c r="P1813" t="s">
        <v>5317</v>
      </c>
      <c r="Q1813" s="671">
        <v>65252</v>
      </c>
      <c r="R1813" s="671"/>
      <c r="AT1813" s="671"/>
      <c r="AU1813" s="671"/>
      <c r="AV1813" s="671"/>
      <c r="AW1813" s="671"/>
    </row>
    <row r="1814" spans="15:49" x14ac:dyDescent="0.25">
      <c r="O1814" t="s">
        <v>3522</v>
      </c>
      <c r="P1814" t="s">
        <v>5317</v>
      </c>
      <c r="Q1814" s="671">
        <v>65259</v>
      </c>
      <c r="R1814" s="671"/>
      <c r="AT1814" s="671"/>
      <c r="AU1814" s="671"/>
      <c r="AV1814" s="671"/>
      <c r="AW1814" s="671"/>
    </row>
    <row r="1815" spans="15:49" x14ac:dyDescent="0.25">
      <c r="O1815" t="s">
        <v>3522</v>
      </c>
      <c r="P1815" t="s">
        <v>5317</v>
      </c>
      <c r="Q1815" s="671">
        <v>65259</v>
      </c>
      <c r="R1815" s="671"/>
      <c r="AT1815" s="671"/>
      <c r="AU1815" s="671"/>
      <c r="AV1815" s="671"/>
      <c r="AW1815" s="671"/>
    </row>
    <row r="1816" spans="15:49" x14ac:dyDescent="0.25">
      <c r="O1816" t="s">
        <v>3522</v>
      </c>
      <c r="P1816" t="s">
        <v>5317</v>
      </c>
      <c r="Q1816" s="671">
        <v>65259</v>
      </c>
      <c r="R1816" s="671"/>
      <c r="AT1816" s="671"/>
      <c r="AU1816" s="671"/>
      <c r="AV1816" s="671"/>
      <c r="AW1816" s="671"/>
    </row>
    <row r="1817" spans="15:49" x14ac:dyDescent="0.25">
      <c r="O1817" t="s">
        <v>3519</v>
      </c>
      <c r="P1817" t="s">
        <v>5317</v>
      </c>
      <c r="Q1817" s="671">
        <v>65259</v>
      </c>
      <c r="R1817" s="671"/>
      <c r="AT1817" s="671"/>
      <c r="AU1817" s="671"/>
      <c r="AV1817" s="671"/>
      <c r="AW1817" s="671"/>
    </row>
    <row r="1818" spans="15:49" x14ac:dyDescent="0.25">
      <c r="O1818" t="s">
        <v>3327</v>
      </c>
      <c r="P1818" t="s">
        <v>5318</v>
      </c>
      <c r="Q1818" s="671">
        <v>65255</v>
      </c>
      <c r="R1818" s="671"/>
      <c r="AT1818" s="671"/>
      <c r="AU1818" s="671"/>
      <c r="AV1818" s="671"/>
      <c r="AW1818" s="671"/>
    </row>
    <row r="1819" spans="15:49" x14ac:dyDescent="0.25">
      <c r="O1819" t="s">
        <v>3331</v>
      </c>
      <c r="P1819" t="s">
        <v>5318</v>
      </c>
      <c r="Q1819" s="671">
        <v>65255</v>
      </c>
      <c r="R1819" s="671"/>
      <c r="AT1819" s="671"/>
      <c r="AU1819" s="671"/>
      <c r="AV1819" s="671"/>
      <c r="AW1819" s="671"/>
    </row>
    <row r="1820" spans="15:49" x14ac:dyDescent="0.25">
      <c r="O1820" t="s">
        <v>3346</v>
      </c>
      <c r="P1820" t="s">
        <v>5318</v>
      </c>
      <c r="Q1820" s="671">
        <v>65255</v>
      </c>
      <c r="R1820" s="671"/>
      <c r="AT1820" s="671"/>
      <c r="AU1820" s="671"/>
      <c r="AV1820" s="671"/>
      <c r="AW1820" s="671"/>
    </row>
    <row r="1821" spans="15:49" x14ac:dyDescent="0.25">
      <c r="O1821" t="s">
        <v>3346</v>
      </c>
      <c r="P1821" t="s">
        <v>5318</v>
      </c>
      <c r="Q1821" s="671">
        <v>65255</v>
      </c>
      <c r="R1821" s="671"/>
      <c r="AT1821" s="671"/>
      <c r="AU1821" s="671"/>
      <c r="AV1821" s="671"/>
      <c r="AW1821" s="671"/>
    </row>
    <row r="1822" spans="15:49" x14ac:dyDescent="0.25">
      <c r="O1822" t="s">
        <v>3346</v>
      </c>
      <c r="P1822" t="s">
        <v>5318</v>
      </c>
      <c r="Q1822" s="671">
        <v>65255</v>
      </c>
      <c r="R1822" s="671"/>
      <c r="AT1822" s="671"/>
      <c r="AU1822" s="671"/>
      <c r="AV1822" s="671"/>
      <c r="AW1822" s="671"/>
    </row>
    <row r="1823" spans="15:49" x14ac:dyDescent="0.25">
      <c r="O1823" t="s">
        <v>3346</v>
      </c>
      <c r="P1823" t="s">
        <v>5318</v>
      </c>
      <c r="Q1823" s="671">
        <v>65255</v>
      </c>
      <c r="R1823" s="671"/>
      <c r="AT1823" s="671"/>
      <c r="AU1823" s="671"/>
      <c r="AV1823" s="671"/>
      <c r="AW1823" s="671"/>
    </row>
    <row r="1824" spans="15:49" x14ac:dyDescent="0.25">
      <c r="O1824" t="s">
        <v>3352</v>
      </c>
      <c r="P1824" t="s">
        <v>5318</v>
      </c>
      <c r="Q1824" s="671">
        <v>65255</v>
      </c>
      <c r="R1824" s="671"/>
      <c r="AT1824" s="671"/>
      <c r="AU1824" s="671"/>
      <c r="AV1824" s="671"/>
      <c r="AW1824" s="671"/>
    </row>
    <row r="1825" spans="15:49" x14ac:dyDescent="0.25">
      <c r="O1825" t="s">
        <v>3352</v>
      </c>
      <c r="P1825" t="s">
        <v>5318</v>
      </c>
      <c r="Q1825" s="671">
        <v>65255</v>
      </c>
      <c r="R1825" s="671"/>
      <c r="AT1825" s="671"/>
      <c r="AU1825" s="671"/>
      <c r="AV1825" s="671"/>
      <c r="AW1825" s="671"/>
    </row>
    <row r="1826" spans="15:49" x14ac:dyDescent="0.25">
      <c r="O1826" t="s">
        <v>3337</v>
      </c>
      <c r="P1826" t="s">
        <v>5318</v>
      </c>
      <c r="Q1826" s="671">
        <v>65255</v>
      </c>
      <c r="R1826" s="671"/>
      <c r="AT1826" s="671"/>
      <c r="AU1826" s="671"/>
      <c r="AV1826" s="671"/>
      <c r="AW1826" s="671"/>
    </row>
    <row r="1827" spans="15:49" x14ac:dyDescent="0.25">
      <c r="O1827" t="s">
        <v>3340</v>
      </c>
      <c r="P1827" t="s">
        <v>5318</v>
      </c>
      <c r="Q1827" s="671">
        <v>65255</v>
      </c>
      <c r="R1827" s="671"/>
      <c r="AT1827" s="671"/>
      <c r="AU1827" s="671"/>
      <c r="AV1827" s="671"/>
      <c r="AW1827" s="671"/>
    </row>
    <row r="1828" spans="15:49" x14ac:dyDescent="0.25">
      <c r="O1828" t="s">
        <v>3340</v>
      </c>
      <c r="P1828" t="s">
        <v>5318</v>
      </c>
      <c r="Q1828" s="671">
        <v>65255</v>
      </c>
      <c r="R1828" s="671"/>
      <c r="AT1828" s="671"/>
      <c r="AU1828" s="671"/>
      <c r="AV1828" s="671"/>
      <c r="AW1828" s="671"/>
    </row>
    <row r="1829" spans="15:49" x14ac:dyDescent="0.25">
      <c r="O1829" t="s">
        <v>3334</v>
      </c>
      <c r="P1829" t="s">
        <v>5318</v>
      </c>
      <c r="Q1829" s="671">
        <v>65255</v>
      </c>
      <c r="R1829" s="671"/>
      <c r="AT1829" s="671"/>
      <c r="AU1829" s="671"/>
      <c r="AV1829" s="671"/>
      <c r="AW1829" s="671"/>
    </row>
    <row r="1830" spans="15:49" x14ac:dyDescent="0.25">
      <c r="O1830" t="s">
        <v>3544</v>
      </c>
      <c r="P1830" t="s">
        <v>5319</v>
      </c>
      <c r="Q1830" s="671">
        <v>65259</v>
      </c>
      <c r="R1830" s="671"/>
      <c r="AT1830" s="671"/>
      <c r="AU1830" s="671"/>
      <c r="AV1830" s="671"/>
      <c r="AW1830" s="671"/>
    </row>
    <row r="1831" spans="15:49" x14ac:dyDescent="0.25">
      <c r="O1831" t="s">
        <v>3544</v>
      </c>
      <c r="P1831" t="s">
        <v>5319</v>
      </c>
      <c r="Q1831" s="671">
        <v>65259</v>
      </c>
      <c r="R1831" s="671"/>
      <c r="AT1831" s="671"/>
      <c r="AU1831" s="671"/>
      <c r="AV1831" s="671"/>
      <c r="AW1831" s="671"/>
    </row>
    <row r="1832" spans="15:49" x14ac:dyDescent="0.25">
      <c r="O1832" t="s">
        <v>3544</v>
      </c>
      <c r="P1832" t="s">
        <v>5319</v>
      </c>
      <c r="Q1832" s="671">
        <v>65259</v>
      </c>
      <c r="R1832" s="671"/>
      <c r="AT1832" s="671"/>
      <c r="AU1832" s="671"/>
      <c r="AV1832" s="671"/>
      <c r="AW1832" s="671"/>
    </row>
    <row r="1833" spans="15:49" x14ac:dyDescent="0.25">
      <c r="O1833" t="s">
        <v>3544</v>
      </c>
      <c r="P1833" t="s">
        <v>5319</v>
      </c>
      <c r="Q1833" s="671">
        <v>65259</v>
      </c>
      <c r="R1833" s="671"/>
      <c r="AT1833" s="671"/>
      <c r="AU1833" s="671"/>
      <c r="AV1833" s="671"/>
      <c r="AW1833" s="671"/>
    </row>
    <row r="1834" spans="15:49" x14ac:dyDescent="0.25">
      <c r="O1834" t="s">
        <v>3552</v>
      </c>
      <c r="P1834" t="s">
        <v>5319</v>
      </c>
      <c r="Q1834" s="671">
        <v>65259</v>
      </c>
      <c r="R1834" s="671"/>
      <c r="AT1834" s="671"/>
      <c r="AU1834" s="671"/>
      <c r="AV1834" s="671"/>
      <c r="AW1834" s="671"/>
    </row>
    <row r="1835" spans="15:49" x14ac:dyDescent="0.25">
      <c r="O1835" t="s">
        <v>3552</v>
      </c>
      <c r="P1835" t="s">
        <v>5319</v>
      </c>
      <c r="Q1835" s="671">
        <v>65259</v>
      </c>
      <c r="R1835" s="671"/>
      <c r="AT1835" s="671"/>
      <c r="AU1835" s="671"/>
      <c r="AV1835" s="671"/>
      <c r="AW1835" s="671"/>
    </row>
    <row r="1836" spans="15:49" x14ac:dyDescent="0.25">
      <c r="O1836" t="s">
        <v>3552</v>
      </c>
      <c r="P1836" t="s">
        <v>5319</v>
      </c>
      <c r="Q1836" s="671">
        <v>65259</v>
      </c>
      <c r="R1836" s="671"/>
      <c r="AT1836" s="671"/>
      <c r="AU1836" s="671"/>
      <c r="AV1836" s="671"/>
      <c r="AW1836" s="671"/>
    </row>
    <row r="1837" spans="15:49" x14ac:dyDescent="0.25">
      <c r="O1837" t="s">
        <v>3552</v>
      </c>
      <c r="P1837" t="s">
        <v>5319</v>
      </c>
      <c r="Q1837" s="671">
        <v>65259</v>
      </c>
      <c r="R1837" s="671"/>
      <c r="AT1837" s="671"/>
      <c r="AU1837" s="671"/>
      <c r="AV1837" s="671"/>
      <c r="AW1837" s="671"/>
    </row>
    <row r="1838" spans="15:49" x14ac:dyDescent="0.25">
      <c r="O1838" t="s">
        <v>3552</v>
      </c>
      <c r="P1838" t="s">
        <v>5319</v>
      </c>
      <c r="Q1838" s="671">
        <v>65259</v>
      </c>
      <c r="R1838" s="671"/>
      <c r="AT1838" s="671"/>
      <c r="AU1838" s="671"/>
      <c r="AV1838" s="671"/>
      <c r="AW1838" s="671"/>
    </row>
    <row r="1839" spans="15:49" x14ac:dyDescent="0.25">
      <c r="O1839" t="s">
        <v>3536</v>
      </c>
      <c r="P1839" t="s">
        <v>5319</v>
      </c>
      <c r="Q1839" s="671">
        <v>65259</v>
      </c>
      <c r="R1839" s="671"/>
      <c r="AT1839" s="671"/>
      <c r="AU1839" s="671"/>
      <c r="AV1839" s="671"/>
      <c r="AW1839" s="671"/>
    </row>
    <row r="1840" spans="15:49" x14ac:dyDescent="0.25">
      <c r="O1840" t="s">
        <v>3540</v>
      </c>
      <c r="P1840" t="s">
        <v>5319</v>
      </c>
      <c r="Q1840" s="671">
        <v>65259</v>
      </c>
      <c r="R1840" s="671"/>
      <c r="AT1840" s="671"/>
      <c r="AU1840" s="671"/>
      <c r="AV1840" s="671"/>
      <c r="AW1840" s="671"/>
    </row>
    <row r="1841" spans="15:49" x14ac:dyDescent="0.25">
      <c r="O1841" t="s">
        <v>3491</v>
      </c>
      <c r="P1841" t="s">
        <v>5320</v>
      </c>
      <c r="Q1841" s="671">
        <v>65259</v>
      </c>
      <c r="R1841" s="671"/>
      <c r="AT1841" s="671"/>
      <c r="AU1841" s="671"/>
      <c r="AV1841" s="671"/>
      <c r="AW1841" s="671"/>
    </row>
    <row r="1842" spans="15:49" x14ac:dyDescent="0.25">
      <c r="O1842" t="s">
        <v>3491</v>
      </c>
      <c r="P1842" t="s">
        <v>5320</v>
      </c>
      <c r="Q1842" s="671">
        <v>65259</v>
      </c>
      <c r="R1842" s="671"/>
      <c r="AT1842" s="671"/>
      <c r="AU1842" s="671"/>
      <c r="AV1842" s="671"/>
      <c r="AW1842" s="671"/>
    </row>
    <row r="1843" spans="15:49" x14ac:dyDescent="0.25">
      <c r="O1843" t="s">
        <v>3494</v>
      </c>
      <c r="P1843" t="s">
        <v>5320</v>
      </c>
      <c r="Q1843" s="671">
        <v>65259</v>
      </c>
      <c r="R1843" s="671"/>
      <c r="AT1843" s="671"/>
      <c r="AU1843" s="671"/>
      <c r="AV1843" s="671"/>
      <c r="AW1843" s="671"/>
    </row>
    <row r="1844" spans="15:49" x14ac:dyDescent="0.25">
      <c r="O1844" t="s">
        <v>3479</v>
      </c>
      <c r="P1844" t="s">
        <v>5320</v>
      </c>
      <c r="Q1844" s="671">
        <v>65259</v>
      </c>
      <c r="R1844" s="671"/>
      <c r="AT1844" s="671"/>
      <c r="AU1844" s="671"/>
      <c r="AV1844" s="671"/>
      <c r="AW1844" s="671"/>
    </row>
    <row r="1845" spans="15:49" x14ac:dyDescent="0.25">
      <c r="O1845" t="s">
        <v>3479</v>
      </c>
      <c r="P1845" t="s">
        <v>5320</v>
      </c>
      <c r="Q1845" s="671">
        <v>65259</v>
      </c>
      <c r="R1845" s="671"/>
      <c r="AT1845" s="671"/>
      <c r="AU1845" s="671"/>
      <c r="AV1845" s="671"/>
      <c r="AW1845" s="671"/>
    </row>
    <row r="1846" spans="15:49" x14ac:dyDescent="0.25">
      <c r="O1846" t="s">
        <v>3479</v>
      </c>
      <c r="P1846" t="s">
        <v>5320</v>
      </c>
      <c r="Q1846" s="671">
        <v>65259</v>
      </c>
      <c r="R1846" s="671"/>
      <c r="AT1846" s="671"/>
      <c r="AU1846" s="671"/>
      <c r="AV1846" s="671"/>
      <c r="AW1846" s="671"/>
    </row>
    <row r="1847" spans="15:49" x14ac:dyDescent="0.25">
      <c r="O1847" t="s">
        <v>3487</v>
      </c>
      <c r="P1847" t="s">
        <v>5320</v>
      </c>
      <c r="Q1847" s="671">
        <v>65259</v>
      </c>
      <c r="R1847" s="671"/>
      <c r="AT1847" s="671"/>
      <c r="AU1847" s="671"/>
      <c r="AV1847" s="671"/>
      <c r="AW1847" s="671"/>
    </row>
    <row r="1848" spans="15:49" x14ac:dyDescent="0.25">
      <c r="O1848" t="s">
        <v>3483</v>
      </c>
      <c r="P1848" t="s">
        <v>5320</v>
      </c>
      <c r="Q1848" s="671">
        <v>65259</v>
      </c>
      <c r="R1848" s="671"/>
      <c r="AT1848" s="671"/>
      <c r="AU1848" s="671"/>
      <c r="AV1848" s="671"/>
      <c r="AW1848" s="671"/>
    </row>
    <row r="1849" spans="15:49" x14ac:dyDescent="0.25">
      <c r="O1849" t="s">
        <v>3483</v>
      </c>
      <c r="P1849" t="s">
        <v>5320</v>
      </c>
      <c r="Q1849" s="671">
        <v>65259</v>
      </c>
      <c r="R1849" s="671"/>
      <c r="AT1849" s="671"/>
      <c r="AU1849" s="671"/>
      <c r="AV1849" s="671"/>
      <c r="AW1849" s="671"/>
    </row>
    <row r="1850" spans="15:49" x14ac:dyDescent="0.25">
      <c r="O1850" t="s">
        <v>3483</v>
      </c>
      <c r="P1850" t="s">
        <v>5320</v>
      </c>
      <c r="Q1850" s="671">
        <v>65259</v>
      </c>
      <c r="R1850" s="671"/>
      <c r="AT1850" s="671"/>
      <c r="AU1850" s="671"/>
      <c r="AV1850" s="671"/>
      <c r="AW1850" s="671"/>
    </row>
    <row r="1851" spans="15:49" x14ac:dyDescent="0.25">
      <c r="O1851" t="s">
        <v>3475</v>
      </c>
      <c r="P1851" t="s">
        <v>5320</v>
      </c>
      <c r="Q1851" s="671">
        <v>65259</v>
      </c>
      <c r="R1851" s="671"/>
      <c r="AT1851" s="671"/>
      <c r="AU1851" s="671"/>
      <c r="AV1851" s="671"/>
      <c r="AW1851" s="671"/>
    </row>
    <row r="1852" spans="15:49" x14ac:dyDescent="0.25">
      <c r="O1852" t="s">
        <v>3475</v>
      </c>
      <c r="P1852" t="s">
        <v>5320</v>
      </c>
      <c r="Q1852" s="671">
        <v>65259</v>
      </c>
      <c r="R1852" s="671"/>
      <c r="AT1852" s="671"/>
      <c r="AU1852" s="671"/>
      <c r="AV1852" s="671"/>
      <c r="AW1852" s="671"/>
    </row>
    <row r="1853" spans="15:49" x14ac:dyDescent="0.25">
      <c r="O1853" t="s">
        <v>3475</v>
      </c>
      <c r="P1853" t="s">
        <v>5320</v>
      </c>
      <c r="Q1853" s="671">
        <v>65259</v>
      </c>
      <c r="R1853" s="671"/>
      <c r="AT1853" s="671"/>
      <c r="AU1853" s="671"/>
      <c r="AV1853" s="671"/>
      <c r="AW1853" s="671"/>
    </row>
    <row r="1854" spans="15:49" x14ac:dyDescent="0.25">
      <c r="O1854" t="s">
        <v>3475</v>
      </c>
      <c r="P1854" t="s">
        <v>5320</v>
      </c>
      <c r="Q1854" s="671">
        <v>65259</v>
      </c>
      <c r="R1854" s="671"/>
      <c r="AT1854" s="671"/>
      <c r="AU1854" s="671"/>
      <c r="AV1854" s="671"/>
      <c r="AW1854" s="671"/>
    </row>
    <row r="1855" spans="15:49" x14ac:dyDescent="0.25">
      <c r="O1855" t="s">
        <v>3567</v>
      </c>
      <c r="P1855" t="s">
        <v>5321</v>
      </c>
      <c r="Q1855" s="671">
        <v>64045</v>
      </c>
      <c r="R1855" s="671"/>
      <c r="AT1855" s="671"/>
      <c r="AU1855" s="671"/>
      <c r="AV1855" s="671"/>
      <c r="AW1855" s="671"/>
    </row>
    <row r="1856" spans="15:49" x14ac:dyDescent="0.25">
      <c r="O1856" t="s">
        <v>3563</v>
      </c>
      <c r="P1856" t="s">
        <v>5321</v>
      </c>
      <c r="Q1856" s="671">
        <v>64045</v>
      </c>
      <c r="R1856" s="671"/>
      <c r="AT1856" s="671"/>
      <c r="AU1856" s="671"/>
      <c r="AV1856" s="671"/>
      <c r="AW1856" s="671"/>
    </row>
    <row r="1857" spans="15:49" x14ac:dyDescent="0.25">
      <c r="O1857" t="s">
        <v>3569</v>
      </c>
      <c r="P1857" t="s">
        <v>5321</v>
      </c>
      <c r="Q1857" s="671">
        <v>64045</v>
      </c>
      <c r="R1857" s="671"/>
      <c r="AT1857" s="671"/>
      <c r="AU1857" s="671"/>
      <c r="AV1857" s="671"/>
      <c r="AW1857" s="671"/>
    </row>
    <row r="1858" spans="15:49" x14ac:dyDescent="0.25">
      <c r="O1858" t="s">
        <v>3569</v>
      </c>
      <c r="P1858" t="s">
        <v>5321</v>
      </c>
      <c r="Q1858" s="671">
        <v>64045</v>
      </c>
      <c r="R1858" s="671"/>
      <c r="AT1858" s="671"/>
      <c r="AU1858" s="671"/>
      <c r="AV1858" s="671"/>
      <c r="AW1858" s="671"/>
    </row>
    <row r="1859" spans="15:49" x14ac:dyDescent="0.25">
      <c r="O1859" t="s">
        <v>3569</v>
      </c>
      <c r="P1859" t="s">
        <v>5321</v>
      </c>
      <c r="Q1859" s="671">
        <v>64045</v>
      </c>
      <c r="R1859" s="671"/>
      <c r="AT1859" s="671"/>
      <c r="AU1859" s="671"/>
      <c r="AV1859" s="671"/>
      <c r="AW1859" s="671"/>
    </row>
    <row r="1860" spans="15:49" x14ac:dyDescent="0.25">
      <c r="O1860" t="s">
        <v>3569</v>
      </c>
      <c r="P1860" t="s">
        <v>5321</v>
      </c>
      <c r="Q1860" s="671">
        <v>64045</v>
      </c>
      <c r="R1860" s="671"/>
      <c r="AT1860" s="671"/>
      <c r="AU1860" s="671"/>
      <c r="AV1860" s="671"/>
      <c r="AW1860" s="671"/>
    </row>
    <row r="1861" spans="15:49" x14ac:dyDescent="0.25">
      <c r="O1861" t="s">
        <v>3561</v>
      </c>
      <c r="P1861" t="s">
        <v>5321</v>
      </c>
      <c r="Q1861" s="671">
        <v>64045</v>
      </c>
      <c r="R1861" s="671"/>
      <c r="AT1861" s="671"/>
      <c r="AU1861" s="671"/>
      <c r="AV1861" s="671"/>
      <c r="AW1861" s="671"/>
    </row>
    <row r="1862" spans="15:49" x14ac:dyDescent="0.25">
      <c r="O1862" t="s">
        <v>3556</v>
      </c>
      <c r="P1862" t="s">
        <v>5321</v>
      </c>
      <c r="Q1862" s="671">
        <v>64045</v>
      </c>
      <c r="R1862" s="671"/>
      <c r="AT1862" s="671"/>
      <c r="AU1862" s="671"/>
      <c r="AV1862" s="671"/>
      <c r="AW1862" s="671"/>
    </row>
    <row r="1863" spans="15:49" x14ac:dyDescent="0.25">
      <c r="O1863" t="s">
        <v>3749</v>
      </c>
      <c r="P1863" t="s">
        <v>5322</v>
      </c>
      <c r="Q1863" s="671">
        <v>64047</v>
      </c>
      <c r="R1863" s="671"/>
      <c r="AT1863" s="671"/>
      <c r="AU1863" s="671"/>
      <c r="AV1863" s="671"/>
      <c r="AW1863" s="671"/>
    </row>
    <row r="1864" spans="15:49" x14ac:dyDescent="0.25">
      <c r="O1864" t="s">
        <v>3749</v>
      </c>
      <c r="P1864" t="s">
        <v>5322</v>
      </c>
      <c r="Q1864" s="671">
        <v>64047</v>
      </c>
      <c r="R1864" s="671"/>
      <c r="AT1864" s="671"/>
      <c r="AU1864" s="671"/>
      <c r="AV1864" s="671"/>
      <c r="AW1864" s="671"/>
    </row>
    <row r="1865" spans="15:49" x14ac:dyDescent="0.25">
      <c r="O1865" t="s">
        <v>3755</v>
      </c>
      <c r="P1865" t="s">
        <v>5322</v>
      </c>
      <c r="Q1865" s="671">
        <v>64047</v>
      </c>
      <c r="R1865" s="671"/>
      <c r="AT1865" s="671"/>
      <c r="AU1865" s="671"/>
      <c r="AV1865" s="671"/>
      <c r="AW1865" s="671"/>
    </row>
    <row r="1866" spans="15:49" x14ac:dyDescent="0.25">
      <c r="O1866" t="s">
        <v>3681</v>
      </c>
      <c r="P1866" t="s">
        <v>5323</v>
      </c>
      <c r="Q1866" s="671">
        <v>64046</v>
      </c>
      <c r="R1866" s="671"/>
      <c r="AT1866" s="671"/>
      <c r="AU1866" s="671"/>
      <c r="AV1866" s="671"/>
      <c r="AW1866" s="671"/>
    </row>
    <row r="1867" spans="15:49" x14ac:dyDescent="0.25">
      <c r="O1867" t="s">
        <v>3677</v>
      </c>
      <c r="P1867" t="s">
        <v>5323</v>
      </c>
      <c r="Q1867" s="671">
        <v>64046</v>
      </c>
      <c r="R1867" s="671"/>
      <c r="AT1867" s="671"/>
      <c r="AU1867" s="671"/>
      <c r="AV1867" s="671"/>
      <c r="AW1867" s="671"/>
    </row>
    <row r="1868" spans="15:49" x14ac:dyDescent="0.25">
      <c r="O1868" t="s">
        <v>3669</v>
      </c>
      <c r="P1868" t="s">
        <v>5323</v>
      </c>
      <c r="Q1868" s="671">
        <v>64046</v>
      </c>
      <c r="R1868" s="671"/>
      <c r="AT1868" s="671"/>
      <c r="AU1868" s="671"/>
      <c r="AV1868" s="671"/>
      <c r="AW1868" s="671"/>
    </row>
    <row r="1869" spans="15:49" x14ac:dyDescent="0.25">
      <c r="O1869" t="s">
        <v>3673</v>
      </c>
      <c r="P1869" t="s">
        <v>5211</v>
      </c>
      <c r="Q1869" s="671">
        <v>64049</v>
      </c>
      <c r="R1869" s="671"/>
      <c r="AT1869" s="671"/>
      <c r="AU1869" s="671"/>
      <c r="AV1869" s="671"/>
      <c r="AW1869" s="671"/>
    </row>
    <row r="1870" spans="15:49" x14ac:dyDescent="0.25">
      <c r="O1870" t="s">
        <v>3673</v>
      </c>
      <c r="P1870" t="s">
        <v>5211</v>
      </c>
      <c r="Q1870" s="671">
        <v>64049</v>
      </c>
      <c r="R1870" s="671"/>
      <c r="AT1870" s="671"/>
      <c r="AU1870" s="671"/>
      <c r="AV1870" s="671"/>
      <c r="AW1870" s="671"/>
    </row>
    <row r="1871" spans="15:49" x14ac:dyDescent="0.25">
      <c r="O1871" t="s">
        <v>3745</v>
      </c>
      <c r="P1871" t="s">
        <v>5324</v>
      </c>
      <c r="Q1871" s="671">
        <v>64043</v>
      </c>
      <c r="R1871" s="671"/>
      <c r="AT1871" s="671"/>
      <c r="AU1871" s="671"/>
      <c r="AV1871" s="671"/>
      <c r="AW1871" s="671"/>
    </row>
    <row r="1872" spans="15:49" x14ac:dyDescent="0.25">
      <c r="O1872" t="s">
        <v>3745</v>
      </c>
      <c r="P1872" t="s">
        <v>5324</v>
      </c>
      <c r="Q1872" s="671">
        <v>64043</v>
      </c>
      <c r="R1872" s="671"/>
      <c r="AT1872" s="671"/>
      <c r="AU1872" s="671"/>
      <c r="AV1872" s="671"/>
      <c r="AW1872" s="671"/>
    </row>
    <row r="1873" spans="15:49" x14ac:dyDescent="0.25">
      <c r="O1873" t="s">
        <v>3577</v>
      </c>
      <c r="P1873" t="s">
        <v>5325</v>
      </c>
      <c r="Q1873" s="671">
        <v>64040</v>
      </c>
      <c r="R1873" s="671"/>
      <c r="AT1873" s="671"/>
      <c r="AU1873" s="671"/>
      <c r="AV1873" s="671"/>
      <c r="AW1873" s="671"/>
    </row>
    <row r="1874" spans="15:49" x14ac:dyDescent="0.25">
      <c r="O1874" t="s">
        <v>3581</v>
      </c>
      <c r="P1874" t="s">
        <v>5325</v>
      </c>
      <c r="Q1874" s="671">
        <v>64040</v>
      </c>
      <c r="R1874" s="671"/>
      <c r="AT1874" s="671"/>
      <c r="AU1874" s="671"/>
      <c r="AV1874" s="671"/>
      <c r="AW1874" s="671"/>
    </row>
    <row r="1875" spans="15:49" x14ac:dyDescent="0.25">
      <c r="O1875" t="s">
        <v>3685</v>
      </c>
      <c r="P1875" t="s">
        <v>5213</v>
      </c>
      <c r="Q1875" s="671">
        <v>64047</v>
      </c>
      <c r="R1875" s="671"/>
      <c r="AT1875" s="671"/>
      <c r="AU1875" s="671"/>
      <c r="AV1875" s="671"/>
      <c r="AW1875" s="671"/>
    </row>
    <row r="1876" spans="15:49" x14ac:dyDescent="0.25">
      <c r="O1876" t="s">
        <v>3685</v>
      </c>
      <c r="P1876" t="s">
        <v>5213</v>
      </c>
      <c r="Q1876" s="671">
        <v>64047</v>
      </c>
      <c r="R1876" s="671"/>
      <c r="AT1876" s="671"/>
      <c r="AU1876" s="671"/>
      <c r="AV1876" s="671"/>
      <c r="AW1876" s="671"/>
    </row>
    <row r="1877" spans="15:49" x14ac:dyDescent="0.25">
      <c r="O1877" t="s">
        <v>3685</v>
      </c>
      <c r="P1877" t="s">
        <v>5213</v>
      </c>
      <c r="Q1877" s="671">
        <v>64047</v>
      </c>
      <c r="R1877" s="671"/>
      <c r="AT1877" s="671"/>
      <c r="AU1877" s="671"/>
      <c r="AV1877" s="671"/>
      <c r="AW1877" s="671"/>
    </row>
    <row r="1878" spans="15:49" x14ac:dyDescent="0.25">
      <c r="O1878" t="s">
        <v>3694</v>
      </c>
      <c r="P1878" t="s">
        <v>5213</v>
      </c>
      <c r="Q1878" s="671">
        <v>64047</v>
      </c>
      <c r="R1878" s="671"/>
      <c r="AT1878" s="671"/>
      <c r="AU1878" s="671"/>
      <c r="AV1878" s="671"/>
      <c r="AW1878" s="671"/>
    </row>
    <row r="1879" spans="15:49" x14ac:dyDescent="0.25">
      <c r="O1879" t="s">
        <v>3694</v>
      </c>
      <c r="P1879" t="s">
        <v>5213</v>
      </c>
      <c r="Q1879" s="671">
        <v>64047</v>
      </c>
      <c r="R1879" s="671"/>
      <c r="AT1879" s="671"/>
      <c r="AU1879" s="671"/>
      <c r="AV1879" s="671"/>
      <c r="AW1879" s="671"/>
    </row>
    <row r="1880" spans="15:49" x14ac:dyDescent="0.25">
      <c r="O1880" t="s">
        <v>3692</v>
      </c>
      <c r="P1880" t="s">
        <v>5213</v>
      </c>
      <c r="Q1880" s="671">
        <v>64047</v>
      </c>
      <c r="R1880" s="671"/>
      <c r="AT1880" s="671"/>
      <c r="AU1880" s="671"/>
      <c r="AV1880" s="671"/>
      <c r="AW1880" s="671"/>
    </row>
    <row r="1881" spans="15:49" x14ac:dyDescent="0.25">
      <c r="O1881" t="s">
        <v>3692</v>
      </c>
      <c r="P1881" t="s">
        <v>5213</v>
      </c>
      <c r="Q1881" s="671">
        <v>64047</v>
      </c>
      <c r="R1881" s="671"/>
      <c r="AT1881" s="671"/>
      <c r="AU1881" s="671"/>
      <c r="AV1881" s="671"/>
      <c r="AW1881" s="671"/>
    </row>
    <row r="1882" spans="15:49" x14ac:dyDescent="0.25">
      <c r="O1882" t="s">
        <v>3735</v>
      </c>
      <c r="P1882" t="s">
        <v>5213</v>
      </c>
      <c r="Q1882" s="671">
        <v>64047</v>
      </c>
      <c r="R1882" s="671"/>
      <c r="AT1882" s="671"/>
      <c r="AU1882" s="671"/>
      <c r="AV1882" s="671"/>
      <c r="AW1882" s="671"/>
    </row>
    <row r="1883" spans="15:49" x14ac:dyDescent="0.25">
      <c r="O1883" t="s">
        <v>3741</v>
      </c>
      <c r="P1883" t="s">
        <v>5322</v>
      </c>
      <c r="Q1883" s="671">
        <v>64047</v>
      </c>
      <c r="R1883" s="671"/>
      <c r="AT1883" s="671"/>
      <c r="AU1883" s="671"/>
      <c r="AV1883" s="671"/>
      <c r="AW1883" s="671"/>
    </row>
    <row r="1884" spans="15:49" x14ac:dyDescent="0.25">
      <c r="O1884" t="s">
        <v>3741</v>
      </c>
      <c r="P1884" t="s">
        <v>5322</v>
      </c>
      <c r="Q1884" s="671">
        <v>64047</v>
      </c>
      <c r="R1884" s="671"/>
      <c r="AT1884" s="671"/>
      <c r="AU1884" s="671"/>
      <c r="AV1884" s="671"/>
      <c r="AW1884" s="671"/>
    </row>
    <row r="1885" spans="15:49" x14ac:dyDescent="0.25">
      <c r="O1885" t="s">
        <v>3738</v>
      </c>
      <c r="P1885" t="s">
        <v>5322</v>
      </c>
      <c r="Q1885" s="671">
        <v>64047</v>
      </c>
      <c r="R1885" s="671"/>
      <c r="AT1885" s="671"/>
      <c r="AU1885" s="671"/>
      <c r="AV1885" s="671"/>
      <c r="AW1885" s="671"/>
    </row>
    <row r="1886" spans="15:49" x14ac:dyDescent="0.25">
      <c r="O1886" t="s">
        <v>3696</v>
      </c>
      <c r="P1886" t="s">
        <v>5321</v>
      </c>
      <c r="Q1886" s="671">
        <v>64045</v>
      </c>
      <c r="R1886" s="671"/>
      <c r="AT1886" s="671"/>
      <c r="AU1886" s="671"/>
      <c r="AV1886" s="671"/>
      <c r="AW1886" s="671"/>
    </row>
    <row r="1887" spans="15:49" x14ac:dyDescent="0.25">
      <c r="O1887" t="s">
        <v>3696</v>
      </c>
      <c r="P1887" t="s">
        <v>5321</v>
      </c>
      <c r="Q1887" s="671">
        <v>64045</v>
      </c>
      <c r="R1887" s="671"/>
      <c r="AT1887" s="671"/>
      <c r="AU1887" s="671"/>
      <c r="AV1887" s="671"/>
      <c r="AW1887" s="671"/>
    </row>
    <row r="1888" spans="15:49" x14ac:dyDescent="0.25">
      <c r="O1888" t="s">
        <v>3702</v>
      </c>
      <c r="P1888" t="s">
        <v>5321</v>
      </c>
      <c r="Q1888" s="671">
        <v>64045</v>
      </c>
      <c r="R1888" s="671"/>
      <c r="AT1888" s="671"/>
      <c r="AU1888" s="671"/>
      <c r="AV1888" s="671"/>
      <c r="AW1888" s="671"/>
    </row>
    <row r="1889" spans="15:49" x14ac:dyDescent="0.25">
      <c r="O1889" t="s">
        <v>3702</v>
      </c>
      <c r="P1889" t="s">
        <v>5321</v>
      </c>
      <c r="Q1889" s="671">
        <v>64045</v>
      </c>
      <c r="R1889" s="671"/>
      <c r="AT1889" s="671"/>
      <c r="AU1889" s="671"/>
      <c r="AV1889" s="671"/>
      <c r="AW1889" s="671"/>
    </row>
    <row r="1890" spans="15:49" x14ac:dyDescent="0.25">
      <c r="O1890" t="s">
        <v>3702</v>
      </c>
      <c r="P1890" t="s">
        <v>5321</v>
      </c>
      <c r="Q1890" s="671">
        <v>64045</v>
      </c>
      <c r="R1890" s="671"/>
      <c r="AT1890" s="671"/>
      <c r="AU1890" s="671"/>
      <c r="AV1890" s="671"/>
      <c r="AW1890" s="671"/>
    </row>
    <row r="1891" spans="15:49" x14ac:dyDescent="0.25">
      <c r="O1891" t="s">
        <v>3706</v>
      </c>
      <c r="P1891" t="s">
        <v>5321</v>
      </c>
      <c r="Q1891" s="671">
        <v>64045</v>
      </c>
      <c r="R1891" s="671"/>
      <c r="AT1891" s="671"/>
      <c r="AU1891" s="671"/>
      <c r="AV1891" s="671"/>
      <c r="AW1891" s="671"/>
    </row>
    <row r="1892" spans="15:49" x14ac:dyDescent="0.25">
      <c r="O1892" t="s">
        <v>3708</v>
      </c>
      <c r="P1892" t="s">
        <v>5325</v>
      </c>
      <c r="Q1892" s="671">
        <v>64040</v>
      </c>
      <c r="R1892" s="671"/>
      <c r="AT1892" s="671"/>
      <c r="AU1892" s="671"/>
      <c r="AV1892" s="671"/>
      <c r="AW1892" s="671"/>
    </row>
    <row r="1893" spans="15:49" x14ac:dyDescent="0.25">
      <c r="O1893" t="s">
        <v>3708</v>
      </c>
      <c r="P1893" t="s">
        <v>5325</v>
      </c>
      <c r="Q1893" s="671">
        <v>64040</v>
      </c>
      <c r="R1893" s="671"/>
      <c r="AT1893" s="671"/>
      <c r="AU1893" s="671"/>
      <c r="AV1893" s="671"/>
      <c r="AW1893" s="671"/>
    </row>
    <row r="1894" spans="15:49" x14ac:dyDescent="0.25">
      <c r="O1894" t="s">
        <v>3708</v>
      </c>
      <c r="P1894" t="s">
        <v>5325</v>
      </c>
      <c r="Q1894" s="671">
        <v>64040</v>
      </c>
      <c r="R1894" s="671"/>
      <c r="AT1894" s="671"/>
      <c r="AU1894" s="671"/>
      <c r="AV1894" s="671"/>
      <c r="AW1894" s="671"/>
    </row>
    <row r="1895" spans="15:49" x14ac:dyDescent="0.25">
      <c r="O1895" t="s">
        <v>3725</v>
      </c>
      <c r="P1895" t="s">
        <v>5322</v>
      </c>
      <c r="Q1895" s="671">
        <v>64047</v>
      </c>
      <c r="R1895" s="671"/>
      <c r="AT1895" s="671"/>
      <c r="AU1895" s="671"/>
      <c r="AV1895" s="671"/>
      <c r="AW1895" s="671"/>
    </row>
    <row r="1896" spans="15:49" x14ac:dyDescent="0.25">
      <c r="O1896" t="s">
        <v>3729</v>
      </c>
      <c r="P1896" t="s">
        <v>5322</v>
      </c>
      <c r="Q1896" s="671">
        <v>64047</v>
      </c>
      <c r="R1896" s="671"/>
      <c r="AT1896" s="671"/>
      <c r="AU1896" s="671"/>
      <c r="AV1896" s="671"/>
      <c r="AW1896" s="671"/>
    </row>
    <row r="1897" spans="15:49" x14ac:dyDescent="0.25">
      <c r="O1897" t="s">
        <v>3729</v>
      </c>
      <c r="P1897" t="s">
        <v>5322</v>
      </c>
      <c r="Q1897" s="671">
        <v>64047</v>
      </c>
      <c r="R1897" s="671"/>
      <c r="AT1897" s="671"/>
      <c r="AU1897" s="671"/>
      <c r="AV1897" s="671"/>
      <c r="AW1897" s="671"/>
    </row>
    <row r="1898" spans="15:49" x14ac:dyDescent="0.25">
      <c r="O1898" t="s">
        <v>3729</v>
      </c>
      <c r="P1898" t="s">
        <v>5322</v>
      </c>
      <c r="Q1898" s="671">
        <v>64047</v>
      </c>
      <c r="R1898" s="671"/>
      <c r="AT1898" s="671"/>
      <c r="AU1898" s="671"/>
      <c r="AV1898" s="671"/>
      <c r="AW1898" s="671"/>
    </row>
    <row r="1899" spans="15:49" x14ac:dyDescent="0.25">
      <c r="O1899" t="s">
        <v>3729</v>
      </c>
      <c r="P1899" t="s">
        <v>5322</v>
      </c>
      <c r="Q1899" s="671">
        <v>64047</v>
      </c>
      <c r="R1899" s="671"/>
      <c r="AT1899" s="671"/>
      <c r="AU1899" s="671"/>
      <c r="AV1899" s="671"/>
      <c r="AW1899" s="671"/>
    </row>
    <row r="1900" spans="15:49" x14ac:dyDescent="0.25">
      <c r="O1900" t="s">
        <v>3729</v>
      </c>
      <c r="P1900" t="s">
        <v>5322</v>
      </c>
      <c r="Q1900" s="671">
        <v>64047</v>
      </c>
      <c r="R1900" s="671"/>
      <c r="AT1900" s="671"/>
      <c r="AU1900" s="671"/>
      <c r="AV1900" s="671"/>
      <c r="AW1900" s="671"/>
    </row>
    <row r="1901" spans="15:49" x14ac:dyDescent="0.25">
      <c r="O1901" t="s">
        <v>3716</v>
      </c>
      <c r="P1901" t="s">
        <v>5308</v>
      </c>
      <c r="Q1901" s="671">
        <v>64044</v>
      </c>
      <c r="R1901" s="671"/>
      <c r="AT1901" s="671"/>
      <c r="AU1901" s="671"/>
      <c r="AV1901" s="671"/>
      <c r="AW1901" s="671"/>
    </row>
    <row r="1902" spans="15:49" x14ac:dyDescent="0.25">
      <c r="O1902" t="s">
        <v>3717</v>
      </c>
      <c r="P1902" t="s">
        <v>5308</v>
      </c>
      <c r="Q1902" s="671">
        <v>64044</v>
      </c>
      <c r="R1902" s="671"/>
      <c r="AT1902" s="671"/>
      <c r="AU1902" s="671"/>
      <c r="AV1902" s="671"/>
      <c r="AW1902" s="671"/>
    </row>
    <row r="1903" spans="15:49" x14ac:dyDescent="0.25">
      <c r="O1903" t="s">
        <v>3717</v>
      </c>
      <c r="P1903" t="s">
        <v>5308</v>
      </c>
      <c r="Q1903" s="671">
        <v>64044</v>
      </c>
      <c r="R1903" s="671"/>
      <c r="AT1903" s="671"/>
      <c r="AU1903" s="671"/>
      <c r="AV1903" s="671"/>
      <c r="AW1903" s="671"/>
    </row>
    <row r="1904" spans="15:49" x14ac:dyDescent="0.25">
      <c r="O1904" t="s">
        <v>3721</v>
      </c>
      <c r="P1904" t="s">
        <v>5308</v>
      </c>
      <c r="Q1904" s="671">
        <v>64044</v>
      </c>
      <c r="R1904" s="671"/>
      <c r="AT1904" s="671"/>
      <c r="AU1904" s="671"/>
      <c r="AV1904" s="671"/>
      <c r="AW1904" s="671"/>
    </row>
    <row r="1905" spans="15:49" x14ac:dyDescent="0.25">
      <c r="O1905" t="s">
        <v>3721</v>
      </c>
      <c r="P1905" t="s">
        <v>5210</v>
      </c>
      <c r="Q1905" s="671">
        <v>67076</v>
      </c>
      <c r="R1905" s="671"/>
      <c r="AT1905" s="671"/>
      <c r="AU1905" s="671"/>
      <c r="AV1905" s="671"/>
      <c r="AW1905" s="671"/>
    </row>
    <row r="1906" spans="15:49" x14ac:dyDescent="0.25">
      <c r="O1906" t="s">
        <v>3721</v>
      </c>
      <c r="P1906" t="s">
        <v>5308</v>
      </c>
      <c r="Q1906" s="671">
        <v>64044</v>
      </c>
      <c r="R1906" s="671"/>
      <c r="AT1906" s="671"/>
      <c r="AU1906" s="671"/>
      <c r="AV1906" s="671"/>
      <c r="AW1906" s="671"/>
    </row>
    <row r="1907" spans="15:49" x14ac:dyDescent="0.25">
      <c r="O1907" t="s">
        <v>3721</v>
      </c>
      <c r="P1907" t="s">
        <v>5308</v>
      </c>
      <c r="Q1907" s="671">
        <v>64044</v>
      </c>
      <c r="R1907" s="671"/>
      <c r="AT1907" s="671"/>
      <c r="AU1907" s="671"/>
      <c r="AV1907" s="671"/>
      <c r="AW1907" s="671"/>
    </row>
    <row r="1908" spans="15:49" x14ac:dyDescent="0.25">
      <c r="O1908" t="s">
        <v>3712</v>
      </c>
      <c r="P1908" t="s">
        <v>5308</v>
      </c>
      <c r="Q1908" s="671">
        <v>64044</v>
      </c>
      <c r="R1908" s="671"/>
      <c r="AT1908" s="671"/>
      <c r="AU1908" s="671"/>
      <c r="AV1908" s="671"/>
      <c r="AW1908" s="671"/>
    </row>
    <row r="1909" spans="15:49" x14ac:dyDescent="0.25">
      <c r="O1909" t="s">
        <v>3712</v>
      </c>
      <c r="P1909" t="s">
        <v>5308</v>
      </c>
      <c r="Q1909" s="671">
        <v>64044</v>
      </c>
      <c r="R1909" s="671"/>
      <c r="AT1909" s="671"/>
      <c r="AU1909" s="671"/>
      <c r="AV1909" s="671"/>
      <c r="AW1909" s="671"/>
    </row>
    <row r="1910" spans="15:49" x14ac:dyDescent="0.25">
      <c r="O1910" t="s">
        <v>3659</v>
      </c>
      <c r="P1910" t="s">
        <v>5326</v>
      </c>
      <c r="Q1910" s="671">
        <v>64041</v>
      </c>
      <c r="R1910" s="671"/>
      <c r="AT1910" s="671"/>
      <c r="AU1910" s="671"/>
      <c r="AV1910" s="671"/>
      <c r="AW1910" s="671"/>
    </row>
    <row r="1911" spans="15:49" x14ac:dyDescent="0.25">
      <c r="O1911" t="s">
        <v>3659</v>
      </c>
      <c r="P1911" t="s">
        <v>5326</v>
      </c>
      <c r="Q1911" s="671">
        <v>64041</v>
      </c>
      <c r="R1911" s="671"/>
      <c r="AT1911" s="671"/>
      <c r="AU1911" s="671"/>
      <c r="AV1911" s="671"/>
      <c r="AW1911" s="671"/>
    </row>
    <row r="1912" spans="15:49" x14ac:dyDescent="0.25">
      <c r="O1912" t="s">
        <v>3641</v>
      </c>
      <c r="P1912" t="s">
        <v>5326</v>
      </c>
      <c r="Q1912" s="671">
        <v>64041</v>
      </c>
      <c r="R1912" s="671"/>
      <c r="AT1912" s="671"/>
      <c r="AU1912" s="671"/>
      <c r="AV1912" s="671"/>
      <c r="AW1912" s="671"/>
    </row>
    <row r="1913" spans="15:49" x14ac:dyDescent="0.25">
      <c r="O1913" t="s">
        <v>3667</v>
      </c>
      <c r="P1913" t="s">
        <v>5326</v>
      </c>
      <c r="Q1913" s="671">
        <v>64041</v>
      </c>
      <c r="R1913" s="671"/>
      <c r="AT1913" s="671"/>
      <c r="AU1913" s="671"/>
      <c r="AV1913" s="671"/>
      <c r="AW1913" s="671"/>
    </row>
    <row r="1914" spans="15:49" x14ac:dyDescent="0.25">
      <c r="O1914" t="s">
        <v>3667</v>
      </c>
      <c r="P1914" t="s">
        <v>5326</v>
      </c>
      <c r="Q1914" s="671">
        <v>64041</v>
      </c>
      <c r="R1914" s="671"/>
      <c r="AT1914" s="671"/>
      <c r="AU1914" s="671"/>
      <c r="AV1914" s="671"/>
      <c r="AW1914" s="671"/>
    </row>
    <row r="1915" spans="15:49" x14ac:dyDescent="0.25">
      <c r="O1915" t="s">
        <v>3665</v>
      </c>
      <c r="P1915" t="s">
        <v>5326</v>
      </c>
      <c r="Q1915" s="671">
        <v>64041</v>
      </c>
      <c r="R1915" s="671"/>
      <c r="AT1915" s="671"/>
      <c r="AU1915" s="671"/>
      <c r="AV1915" s="671"/>
      <c r="AW1915" s="671"/>
    </row>
    <row r="1916" spans="15:49" x14ac:dyDescent="0.25">
      <c r="O1916" t="s">
        <v>3655</v>
      </c>
      <c r="P1916" t="s">
        <v>5326</v>
      </c>
      <c r="Q1916" s="671">
        <v>64041</v>
      </c>
      <c r="R1916" s="671"/>
      <c r="AT1916" s="671"/>
      <c r="AU1916" s="671"/>
      <c r="AV1916" s="671"/>
      <c r="AW1916" s="671"/>
    </row>
    <row r="1917" spans="15:49" x14ac:dyDescent="0.25">
      <c r="O1917" t="s">
        <v>3655</v>
      </c>
      <c r="P1917" t="s">
        <v>5326</v>
      </c>
      <c r="Q1917" s="671">
        <v>64041</v>
      </c>
      <c r="R1917" s="671"/>
      <c r="AT1917" s="671"/>
      <c r="AU1917" s="671"/>
      <c r="AV1917" s="671"/>
      <c r="AW1917" s="671"/>
    </row>
    <row r="1918" spans="15:49" x14ac:dyDescent="0.25">
      <c r="O1918" t="s">
        <v>3651</v>
      </c>
      <c r="P1918" t="s">
        <v>5326</v>
      </c>
      <c r="Q1918" s="671">
        <v>64041</v>
      </c>
      <c r="R1918" s="671"/>
      <c r="AT1918" s="671"/>
      <c r="AU1918" s="671"/>
      <c r="AV1918" s="671"/>
      <c r="AW1918" s="671"/>
    </row>
    <row r="1919" spans="15:49" x14ac:dyDescent="0.25">
      <c r="O1919" t="s">
        <v>3645</v>
      </c>
      <c r="P1919" t="s">
        <v>5326</v>
      </c>
      <c r="Q1919" s="671">
        <v>64041</v>
      </c>
      <c r="R1919" s="671"/>
      <c r="AT1919" s="671"/>
      <c r="AU1919" s="671"/>
      <c r="AV1919" s="671"/>
      <c r="AW1919" s="671"/>
    </row>
    <row r="1920" spans="15:49" x14ac:dyDescent="0.25">
      <c r="O1920" t="s">
        <v>3645</v>
      </c>
      <c r="P1920" t="s">
        <v>5326</v>
      </c>
      <c r="Q1920" s="671">
        <v>64041</v>
      </c>
      <c r="R1920" s="671"/>
      <c r="AT1920" s="671"/>
      <c r="AU1920" s="671"/>
      <c r="AV1920" s="671"/>
      <c r="AW1920" s="671"/>
    </row>
    <row r="1921" spans="15:49" x14ac:dyDescent="0.25">
      <c r="O1921" t="s">
        <v>3637</v>
      </c>
      <c r="P1921" t="s">
        <v>5326</v>
      </c>
      <c r="Q1921" s="671">
        <v>64041</v>
      </c>
      <c r="R1921" s="671"/>
      <c r="AT1921" s="671"/>
      <c r="AU1921" s="671"/>
      <c r="AV1921" s="671"/>
      <c r="AW1921" s="671"/>
    </row>
    <row r="1922" spans="15:49" x14ac:dyDescent="0.25">
      <c r="O1922" t="s">
        <v>3635</v>
      </c>
      <c r="P1922" t="s">
        <v>5326</v>
      </c>
      <c r="Q1922" s="671">
        <v>64041</v>
      </c>
      <c r="R1922" s="671"/>
      <c r="AT1922" s="671"/>
      <c r="AU1922" s="671"/>
      <c r="AV1922" s="671"/>
      <c r="AW1922" s="671"/>
    </row>
    <row r="1923" spans="15:49" x14ac:dyDescent="0.25">
      <c r="O1923" t="s">
        <v>3631</v>
      </c>
      <c r="P1923" t="s">
        <v>5326</v>
      </c>
      <c r="Q1923" s="671">
        <v>64041</v>
      </c>
      <c r="R1923" s="671"/>
      <c r="AT1923" s="671"/>
      <c r="AU1923" s="671"/>
      <c r="AV1923" s="671"/>
      <c r="AW1923" s="671"/>
    </row>
    <row r="1924" spans="15:49" x14ac:dyDescent="0.25">
      <c r="O1924" t="s">
        <v>3639</v>
      </c>
      <c r="P1924" t="s">
        <v>5326</v>
      </c>
      <c r="Q1924" s="671">
        <v>64041</v>
      </c>
      <c r="R1924" s="671"/>
      <c r="AT1924" s="671"/>
      <c r="AU1924" s="671"/>
      <c r="AV1924" s="671"/>
      <c r="AW1924" s="671"/>
    </row>
    <row r="1925" spans="15:49" x14ac:dyDescent="0.25">
      <c r="O1925" t="s">
        <v>3613</v>
      </c>
      <c r="P1925" t="s">
        <v>5327</v>
      </c>
      <c r="Q1925" s="671">
        <v>64042</v>
      </c>
      <c r="R1925" s="671"/>
      <c r="AT1925" s="671"/>
      <c r="AU1925" s="671"/>
      <c r="AV1925" s="671"/>
      <c r="AW1925" s="671"/>
    </row>
    <row r="1926" spans="15:49" x14ac:dyDescent="0.25">
      <c r="O1926" t="s">
        <v>3613</v>
      </c>
      <c r="P1926" t="s">
        <v>5327</v>
      </c>
      <c r="Q1926" s="671">
        <v>64042</v>
      </c>
      <c r="R1926" s="671"/>
      <c r="AT1926" s="671"/>
      <c r="AU1926" s="671"/>
      <c r="AV1926" s="671"/>
      <c r="AW1926" s="671"/>
    </row>
    <row r="1927" spans="15:49" x14ac:dyDescent="0.25">
      <c r="O1927" t="s">
        <v>3623</v>
      </c>
      <c r="P1927" t="s">
        <v>5327</v>
      </c>
      <c r="Q1927" s="671">
        <v>64042</v>
      </c>
      <c r="R1927" s="671"/>
      <c r="AT1927" s="671"/>
      <c r="AU1927" s="671"/>
      <c r="AV1927" s="671"/>
      <c r="AW1927" s="671"/>
    </row>
    <row r="1928" spans="15:49" x14ac:dyDescent="0.25">
      <c r="O1928" t="s">
        <v>3619</v>
      </c>
      <c r="P1928" t="s">
        <v>5327</v>
      </c>
      <c r="Q1928" s="671">
        <v>64042</v>
      </c>
      <c r="R1928" s="671"/>
      <c r="AT1928" s="671"/>
      <c r="AU1928" s="671"/>
      <c r="AV1928" s="671"/>
      <c r="AW1928" s="671"/>
    </row>
    <row r="1929" spans="15:49" x14ac:dyDescent="0.25">
      <c r="O1929" t="s">
        <v>3627</v>
      </c>
      <c r="P1929" t="s">
        <v>5327</v>
      </c>
      <c r="Q1929" s="671">
        <v>64042</v>
      </c>
      <c r="R1929" s="671"/>
      <c r="AT1929" s="671"/>
      <c r="AU1929" s="671"/>
      <c r="AV1929" s="671"/>
      <c r="AW1929" s="671"/>
    </row>
    <row r="1930" spans="15:49" x14ac:dyDescent="0.25">
      <c r="O1930" t="s">
        <v>3627</v>
      </c>
      <c r="P1930" t="s">
        <v>5327</v>
      </c>
      <c r="Q1930" s="671">
        <v>64042</v>
      </c>
      <c r="R1930" s="671"/>
      <c r="AT1930" s="671"/>
      <c r="AU1930" s="671"/>
      <c r="AV1930" s="671"/>
      <c r="AW1930" s="671"/>
    </row>
    <row r="1931" spans="15:49" x14ac:dyDescent="0.25">
      <c r="O1931" t="s">
        <v>3629</v>
      </c>
      <c r="P1931" t="s">
        <v>5327</v>
      </c>
      <c r="Q1931" s="671">
        <v>64042</v>
      </c>
      <c r="R1931" s="671"/>
      <c r="AT1931" s="671"/>
      <c r="AU1931" s="671"/>
      <c r="AV1931" s="671"/>
      <c r="AW1931" s="671"/>
    </row>
    <row r="1932" spans="15:49" x14ac:dyDescent="0.25">
      <c r="O1932" t="s">
        <v>3625</v>
      </c>
      <c r="P1932" t="s">
        <v>5327</v>
      </c>
      <c r="Q1932" s="671">
        <v>64042</v>
      </c>
      <c r="R1932" s="671"/>
      <c r="AT1932" s="671"/>
      <c r="AU1932" s="671"/>
      <c r="AV1932" s="671"/>
      <c r="AW1932" s="671"/>
    </row>
    <row r="1933" spans="15:49" x14ac:dyDescent="0.25">
      <c r="O1933" t="s">
        <v>3625</v>
      </c>
      <c r="P1933" t="s">
        <v>5327</v>
      </c>
      <c r="Q1933" s="671">
        <v>64042</v>
      </c>
      <c r="R1933" s="671"/>
      <c r="AT1933" s="671"/>
      <c r="AU1933" s="671"/>
      <c r="AV1933" s="671"/>
      <c r="AW1933" s="671"/>
    </row>
    <row r="1934" spans="15:49" x14ac:dyDescent="0.25">
      <c r="O1934" t="s">
        <v>3625</v>
      </c>
      <c r="P1934" t="s">
        <v>5327</v>
      </c>
      <c r="Q1934" s="671">
        <v>64042</v>
      </c>
      <c r="R1934" s="671"/>
      <c r="AT1934" s="671"/>
      <c r="AU1934" s="671"/>
      <c r="AV1934" s="671"/>
      <c r="AW1934" s="671"/>
    </row>
    <row r="1935" spans="15:49" x14ac:dyDescent="0.25">
      <c r="O1935" t="s">
        <v>3765</v>
      </c>
      <c r="P1935" t="s">
        <v>5216</v>
      </c>
      <c r="Q1935" s="671">
        <v>64042</v>
      </c>
      <c r="R1935" s="671"/>
      <c r="AT1935" s="671"/>
      <c r="AU1935" s="671"/>
      <c r="AV1935" s="671"/>
      <c r="AW1935" s="671"/>
    </row>
    <row r="1936" spans="15:49" x14ac:dyDescent="0.25">
      <c r="O1936" t="s">
        <v>3757</v>
      </c>
      <c r="P1936" t="s">
        <v>5216</v>
      </c>
      <c r="Q1936" s="671">
        <v>64042</v>
      </c>
      <c r="R1936" s="671"/>
      <c r="AT1936" s="671"/>
      <c r="AU1936" s="671"/>
      <c r="AV1936" s="671"/>
      <c r="AW1936" s="671"/>
    </row>
    <row r="1937" spans="15:49" x14ac:dyDescent="0.25">
      <c r="O1937" t="s">
        <v>3757</v>
      </c>
      <c r="P1937" t="s">
        <v>5216</v>
      </c>
      <c r="Q1937" s="671">
        <v>64042</v>
      </c>
      <c r="R1937" s="671"/>
      <c r="AT1937" s="671"/>
      <c r="AU1937" s="671"/>
      <c r="AV1937" s="671"/>
      <c r="AW1937" s="671"/>
    </row>
    <row r="1938" spans="15:49" x14ac:dyDescent="0.25">
      <c r="O1938" t="s">
        <v>3768</v>
      </c>
      <c r="P1938" t="s">
        <v>5216</v>
      </c>
      <c r="Q1938" s="671">
        <v>64042</v>
      </c>
      <c r="R1938" s="671"/>
      <c r="AT1938" s="671"/>
      <c r="AU1938" s="671"/>
      <c r="AV1938" s="671"/>
      <c r="AW1938" s="671"/>
    </row>
    <row r="1939" spans="15:49" x14ac:dyDescent="0.25">
      <c r="O1939" t="s">
        <v>3762</v>
      </c>
      <c r="P1939" t="s">
        <v>5216</v>
      </c>
      <c r="Q1939" s="671">
        <v>64042</v>
      </c>
      <c r="R1939" s="671"/>
      <c r="AT1939" s="671"/>
      <c r="AU1939" s="671"/>
      <c r="AV1939" s="671"/>
      <c r="AW1939" s="671"/>
    </row>
    <row r="1940" spans="15:49" x14ac:dyDescent="0.25">
      <c r="O1940" t="s">
        <v>3762</v>
      </c>
      <c r="P1940" t="s">
        <v>5216</v>
      </c>
      <c r="Q1940" s="671">
        <v>64042</v>
      </c>
      <c r="R1940" s="671"/>
      <c r="AT1940" s="671"/>
      <c r="AU1940" s="671"/>
      <c r="AV1940" s="671"/>
      <c r="AW1940" s="671"/>
    </row>
    <row r="1941" spans="15:49" x14ac:dyDescent="0.25">
      <c r="O1941" t="s">
        <v>3593</v>
      </c>
      <c r="P1941" t="s">
        <v>5308</v>
      </c>
      <c r="Q1941" s="671">
        <v>64044</v>
      </c>
      <c r="R1941" s="671"/>
      <c r="AT1941" s="671"/>
      <c r="AU1941" s="671"/>
      <c r="AV1941" s="671"/>
      <c r="AW1941" s="671"/>
    </row>
    <row r="1942" spans="15:49" x14ac:dyDescent="0.25">
      <c r="O1942" t="s">
        <v>3593</v>
      </c>
      <c r="P1942" t="s">
        <v>5308</v>
      </c>
      <c r="Q1942" s="671">
        <v>64044</v>
      </c>
      <c r="R1942" s="671"/>
      <c r="AT1942" s="671"/>
      <c r="AU1942" s="671"/>
      <c r="AV1942" s="671"/>
      <c r="AW1942" s="671"/>
    </row>
    <row r="1943" spans="15:49" x14ac:dyDescent="0.25">
      <c r="O1943" t="s">
        <v>3599</v>
      </c>
      <c r="P1943" t="s">
        <v>5308</v>
      </c>
      <c r="Q1943" s="671">
        <v>64044</v>
      </c>
      <c r="R1943" s="671"/>
      <c r="AT1943" s="671"/>
      <c r="AU1943" s="671"/>
      <c r="AV1943" s="671"/>
      <c r="AW1943" s="671"/>
    </row>
    <row r="1944" spans="15:49" x14ac:dyDescent="0.25">
      <c r="O1944" t="s">
        <v>3599</v>
      </c>
      <c r="P1944" t="s">
        <v>5308</v>
      </c>
      <c r="Q1944" s="671">
        <v>64044</v>
      </c>
      <c r="R1944" s="671"/>
      <c r="AT1944" s="671"/>
      <c r="AU1944" s="671"/>
      <c r="AV1944" s="671"/>
      <c r="AW1944" s="671"/>
    </row>
    <row r="1945" spans="15:49" x14ac:dyDescent="0.25">
      <c r="O1945" t="s">
        <v>3585</v>
      </c>
      <c r="P1945" t="s">
        <v>5308</v>
      </c>
      <c r="Q1945" s="671">
        <v>64044</v>
      </c>
      <c r="R1945" s="671"/>
      <c r="AT1945" s="671"/>
      <c r="AU1945" s="671"/>
      <c r="AV1945" s="671"/>
      <c r="AW1945" s="671"/>
    </row>
    <row r="1946" spans="15:49" x14ac:dyDescent="0.25">
      <c r="O1946" t="s">
        <v>3589</v>
      </c>
      <c r="P1946" t="s">
        <v>5308</v>
      </c>
      <c r="Q1946" s="671">
        <v>64044</v>
      </c>
      <c r="R1946" s="671"/>
      <c r="AT1946" s="671"/>
      <c r="AU1946" s="671"/>
      <c r="AV1946" s="671"/>
      <c r="AW1946" s="671"/>
    </row>
    <row r="1947" spans="15:49" x14ac:dyDescent="0.25">
      <c r="O1947" t="s">
        <v>3603</v>
      </c>
      <c r="P1947" t="s">
        <v>5308</v>
      </c>
      <c r="Q1947" s="671">
        <v>64044</v>
      </c>
      <c r="R1947" s="671"/>
      <c r="AT1947" s="671"/>
      <c r="AU1947" s="671"/>
      <c r="AV1947" s="671"/>
      <c r="AW1947" s="671"/>
    </row>
    <row r="1948" spans="15:49" x14ac:dyDescent="0.25">
      <c r="O1948" t="s">
        <v>3603</v>
      </c>
      <c r="P1948" t="s">
        <v>5308</v>
      </c>
      <c r="Q1948" s="671">
        <v>64044</v>
      </c>
      <c r="R1948" s="671"/>
      <c r="AT1948" s="671"/>
      <c r="AU1948" s="671"/>
      <c r="AV1948" s="671"/>
      <c r="AW1948" s="671"/>
    </row>
    <row r="1949" spans="15:49" x14ac:dyDescent="0.25">
      <c r="O1949" t="s">
        <v>3609</v>
      </c>
      <c r="P1949" t="s">
        <v>5308</v>
      </c>
      <c r="Q1949" s="671">
        <v>64044</v>
      </c>
      <c r="R1949" s="671"/>
      <c r="AT1949" s="671"/>
      <c r="AU1949" s="671"/>
      <c r="AV1949" s="671"/>
      <c r="AW1949" s="671"/>
    </row>
    <row r="1950" spans="15:49" x14ac:dyDescent="0.25">
      <c r="O1950" t="s">
        <v>3609</v>
      </c>
      <c r="P1950" t="s">
        <v>5308</v>
      </c>
      <c r="Q1950" s="671">
        <v>64044</v>
      </c>
      <c r="R1950" s="671"/>
      <c r="AT1950" s="671"/>
      <c r="AU1950" s="671"/>
      <c r="AV1950" s="671"/>
      <c r="AW1950" s="671"/>
    </row>
    <row r="1951" spans="15:49" x14ac:dyDescent="0.25">
      <c r="O1951" t="s">
        <v>1220</v>
      </c>
      <c r="P1951" t="s">
        <v>5328</v>
      </c>
      <c r="Q1951" s="671">
        <v>64049</v>
      </c>
      <c r="R1951" s="671"/>
      <c r="AT1951" s="671"/>
      <c r="AU1951" s="671"/>
      <c r="AV1951" s="671"/>
      <c r="AW1951" s="671"/>
    </row>
    <row r="1952" spans="15:49" x14ac:dyDescent="0.25">
      <c r="O1952" t="s">
        <v>1220</v>
      </c>
      <c r="P1952" t="s">
        <v>5328</v>
      </c>
      <c r="Q1952" s="671">
        <v>64049</v>
      </c>
      <c r="R1952" s="671"/>
      <c r="AT1952" s="671"/>
      <c r="AU1952" s="671"/>
      <c r="AV1952" s="671"/>
      <c r="AW1952" s="671"/>
    </row>
    <row r="1953" spans="15:49" x14ac:dyDescent="0.25">
      <c r="O1953" t="s">
        <v>1220</v>
      </c>
      <c r="P1953" t="s">
        <v>5328</v>
      </c>
      <c r="Q1953" s="671">
        <v>64049</v>
      </c>
      <c r="R1953" s="671"/>
      <c r="AT1953" s="671"/>
      <c r="AU1953" s="671"/>
      <c r="AV1953" s="671"/>
      <c r="AW1953" s="671"/>
    </row>
    <row r="1954" spans="15:49" x14ac:dyDescent="0.25">
      <c r="O1954" t="s">
        <v>1210</v>
      </c>
      <c r="P1954" t="s">
        <v>5328</v>
      </c>
      <c r="Q1954" s="671">
        <v>64049</v>
      </c>
      <c r="R1954" s="671"/>
      <c r="AT1954" s="671"/>
      <c r="AU1954" s="671"/>
      <c r="AV1954" s="671"/>
      <c r="AW1954" s="671"/>
    </row>
    <row r="1955" spans="15:49" x14ac:dyDescent="0.25">
      <c r="O1955" t="s">
        <v>1210</v>
      </c>
      <c r="P1955" t="s">
        <v>5328</v>
      </c>
      <c r="Q1955" s="671">
        <v>64049</v>
      </c>
      <c r="R1955" s="671"/>
      <c r="AT1955" s="671"/>
      <c r="AU1955" s="671"/>
      <c r="AV1955" s="671"/>
      <c r="AW1955" s="671"/>
    </row>
    <row r="1956" spans="15:49" x14ac:dyDescent="0.25">
      <c r="O1956" t="s">
        <v>1210</v>
      </c>
      <c r="P1956" t="s">
        <v>5328</v>
      </c>
      <c r="Q1956" s="671">
        <v>64049</v>
      </c>
      <c r="R1956" s="671"/>
      <c r="AT1956" s="671"/>
      <c r="AU1956" s="671"/>
      <c r="AV1956" s="671"/>
      <c r="AW1956" s="671"/>
    </row>
    <row r="1957" spans="15:49" x14ac:dyDescent="0.25">
      <c r="O1957" t="s">
        <v>1218</v>
      </c>
      <c r="P1957" t="s">
        <v>5328</v>
      </c>
      <c r="Q1957" s="671">
        <v>64049</v>
      </c>
      <c r="R1957" s="671"/>
      <c r="AT1957" s="671"/>
      <c r="AU1957" s="671"/>
      <c r="AV1957" s="671"/>
      <c r="AW1957" s="671"/>
    </row>
    <row r="1958" spans="15:49" x14ac:dyDescent="0.25">
      <c r="O1958" t="s">
        <v>1218</v>
      </c>
      <c r="P1958" t="s">
        <v>5328</v>
      </c>
      <c r="Q1958" s="671">
        <v>64049</v>
      </c>
      <c r="R1958" s="671"/>
      <c r="AT1958" s="671"/>
      <c r="AU1958" s="671"/>
      <c r="AV1958" s="671"/>
      <c r="AW1958" s="671"/>
    </row>
    <row r="1959" spans="15:49" x14ac:dyDescent="0.25">
      <c r="O1959" t="s">
        <v>1218</v>
      </c>
      <c r="P1959" t="s">
        <v>5328</v>
      </c>
      <c r="Q1959" s="671">
        <v>64049</v>
      </c>
      <c r="R1959" s="671"/>
      <c r="AT1959" s="671"/>
      <c r="AU1959" s="671"/>
      <c r="AV1959" s="671"/>
      <c r="AW1959" s="671"/>
    </row>
    <row r="1960" spans="15:49" x14ac:dyDescent="0.25">
      <c r="O1960" t="s">
        <v>1201</v>
      </c>
      <c r="P1960" t="s">
        <v>5328</v>
      </c>
      <c r="Q1960" s="671">
        <v>64049</v>
      </c>
      <c r="R1960" s="671"/>
      <c r="AT1960" s="671"/>
      <c r="AU1960" s="671"/>
      <c r="AV1960" s="671"/>
      <c r="AW1960" s="671"/>
    </row>
    <row r="1961" spans="15:49" x14ac:dyDescent="0.25">
      <c r="O1961" t="s">
        <v>1201</v>
      </c>
      <c r="P1961" t="s">
        <v>5328</v>
      </c>
      <c r="Q1961" s="671">
        <v>64049</v>
      </c>
      <c r="R1961" s="671"/>
      <c r="AT1961" s="671"/>
      <c r="AU1961" s="671"/>
      <c r="AV1961" s="671"/>
      <c r="AW1961" s="671"/>
    </row>
    <row r="1962" spans="15:49" x14ac:dyDescent="0.25">
      <c r="O1962" t="s">
        <v>1201</v>
      </c>
      <c r="P1962" t="s">
        <v>5328</v>
      </c>
      <c r="Q1962" s="671">
        <v>64049</v>
      </c>
      <c r="R1962" s="671"/>
      <c r="AT1962" s="671"/>
      <c r="AU1962" s="671"/>
      <c r="AV1962" s="671"/>
      <c r="AW1962" s="671"/>
    </row>
    <row r="1963" spans="15:49" x14ac:dyDescent="0.25">
      <c r="O1963" t="s">
        <v>1212</v>
      </c>
      <c r="P1963" t="s">
        <v>5328</v>
      </c>
      <c r="Q1963" s="671">
        <v>64049</v>
      </c>
      <c r="R1963" s="671"/>
      <c r="AT1963" s="671"/>
      <c r="AU1963" s="671"/>
      <c r="AV1963" s="671"/>
      <c r="AW1963" s="671"/>
    </row>
    <row r="1964" spans="15:49" x14ac:dyDescent="0.25">
      <c r="O1964" t="s">
        <v>1212</v>
      </c>
      <c r="P1964" t="s">
        <v>5328</v>
      </c>
      <c r="Q1964" s="671">
        <v>64049</v>
      </c>
      <c r="R1964" s="671"/>
      <c r="AT1964" s="671"/>
      <c r="AU1964" s="671"/>
      <c r="AV1964" s="671"/>
      <c r="AW1964" s="671"/>
    </row>
    <row r="1965" spans="15:49" x14ac:dyDescent="0.25">
      <c r="O1965" t="s">
        <v>1212</v>
      </c>
      <c r="P1965" t="s">
        <v>5328</v>
      </c>
      <c r="Q1965" s="671">
        <v>64049</v>
      </c>
      <c r="R1965" s="671"/>
      <c r="AT1965" s="671"/>
      <c r="AU1965" s="671"/>
      <c r="AV1965" s="671"/>
      <c r="AW1965" s="671"/>
    </row>
    <row r="1966" spans="15:49" x14ac:dyDescent="0.25">
      <c r="O1966" t="s">
        <v>1222</v>
      </c>
      <c r="P1966" t="s">
        <v>5328</v>
      </c>
      <c r="Q1966" s="671">
        <v>64049</v>
      </c>
      <c r="R1966" s="671"/>
      <c r="AT1966" s="671"/>
      <c r="AU1966" s="671"/>
      <c r="AV1966" s="671"/>
      <c r="AW1966" s="671"/>
    </row>
    <row r="1967" spans="15:49" x14ac:dyDescent="0.25">
      <c r="O1967" t="s">
        <v>1222</v>
      </c>
      <c r="P1967" t="s">
        <v>5328</v>
      </c>
      <c r="Q1967" s="671">
        <v>64049</v>
      </c>
      <c r="R1967" s="671"/>
      <c r="AT1967" s="671"/>
      <c r="AU1967" s="671"/>
      <c r="AV1967" s="671"/>
      <c r="AW1967" s="671"/>
    </row>
    <row r="1968" spans="15:49" x14ac:dyDescent="0.25">
      <c r="O1968" t="s">
        <v>1222</v>
      </c>
      <c r="P1968" t="s">
        <v>5328</v>
      </c>
      <c r="Q1968" s="671">
        <v>64049</v>
      </c>
      <c r="R1968" s="671"/>
      <c r="AT1968" s="671"/>
      <c r="AU1968" s="671"/>
      <c r="AV1968" s="671"/>
      <c r="AW1968" s="671"/>
    </row>
    <row r="1969" spans="15:49" x14ac:dyDescent="0.25">
      <c r="O1969" t="s">
        <v>1214</v>
      </c>
      <c r="P1969" t="s">
        <v>5328</v>
      </c>
      <c r="Q1969" s="671">
        <v>64049</v>
      </c>
      <c r="R1969" s="671"/>
      <c r="AT1969" s="671"/>
      <c r="AU1969" s="671"/>
      <c r="AV1969" s="671"/>
      <c r="AW1969" s="671"/>
    </row>
    <row r="1970" spans="15:49" x14ac:dyDescent="0.25">
      <c r="O1970" t="s">
        <v>1214</v>
      </c>
      <c r="P1970" t="s">
        <v>5328</v>
      </c>
      <c r="Q1970" s="671">
        <v>64049</v>
      </c>
      <c r="R1970" s="671"/>
      <c r="AT1970" s="671"/>
      <c r="AU1970" s="671"/>
      <c r="AV1970" s="671"/>
      <c r="AW1970" s="671"/>
    </row>
    <row r="1971" spans="15:49" x14ac:dyDescent="0.25">
      <c r="O1971" t="s">
        <v>1214</v>
      </c>
      <c r="P1971" t="s">
        <v>5328</v>
      </c>
      <c r="Q1971" s="671">
        <v>64049</v>
      </c>
      <c r="R1971" s="671"/>
      <c r="AT1971" s="671"/>
      <c r="AU1971" s="671"/>
      <c r="AV1971" s="671"/>
      <c r="AW1971" s="671"/>
    </row>
    <row r="1972" spans="15:49" x14ac:dyDescent="0.25">
      <c r="O1972" t="s">
        <v>1216</v>
      </c>
      <c r="P1972" t="s">
        <v>5328</v>
      </c>
      <c r="Q1972" s="671">
        <v>64049</v>
      </c>
      <c r="R1972" s="671"/>
      <c r="AT1972" s="671"/>
      <c r="AU1972" s="671"/>
      <c r="AV1972" s="671"/>
      <c r="AW1972" s="671"/>
    </row>
    <row r="1973" spans="15:49" x14ac:dyDescent="0.25">
      <c r="O1973" t="s">
        <v>1216</v>
      </c>
      <c r="P1973" t="s">
        <v>5328</v>
      </c>
      <c r="Q1973" s="671">
        <v>64049</v>
      </c>
      <c r="R1973" s="671"/>
      <c r="AT1973" s="671"/>
      <c r="AU1973" s="671"/>
      <c r="AV1973" s="671"/>
      <c r="AW1973" s="671"/>
    </row>
    <row r="1974" spans="15:49" x14ac:dyDescent="0.25">
      <c r="O1974" t="s">
        <v>1216</v>
      </c>
      <c r="P1974" t="s">
        <v>5328</v>
      </c>
      <c r="Q1974" s="671">
        <v>64049</v>
      </c>
      <c r="R1974" s="671"/>
      <c r="AT1974" s="671"/>
      <c r="AU1974" s="671"/>
      <c r="AV1974" s="671"/>
      <c r="AW1974" s="671"/>
    </row>
    <row r="1975" spans="15:49" x14ac:dyDescent="0.25">
      <c r="O1975" t="s">
        <v>1224</v>
      </c>
      <c r="P1975" t="s">
        <v>5328</v>
      </c>
      <c r="Q1975" s="671">
        <v>64049</v>
      </c>
      <c r="R1975" s="671"/>
      <c r="AT1975" s="671"/>
      <c r="AU1975" s="671"/>
      <c r="AV1975" s="671"/>
      <c r="AW1975" s="671"/>
    </row>
    <row r="1976" spans="15:49" x14ac:dyDescent="0.25">
      <c r="O1976" t="s">
        <v>1224</v>
      </c>
      <c r="P1976" t="s">
        <v>5328</v>
      </c>
      <c r="Q1976" s="671">
        <v>64049</v>
      </c>
      <c r="R1976" s="671"/>
      <c r="AT1976" s="671"/>
      <c r="AU1976" s="671"/>
      <c r="AV1976" s="671"/>
      <c r="AW1976" s="671"/>
    </row>
    <row r="1977" spans="15:49" x14ac:dyDescent="0.25">
      <c r="O1977" t="s">
        <v>1224</v>
      </c>
      <c r="P1977" t="s">
        <v>5328</v>
      </c>
      <c r="Q1977" s="671">
        <v>64049</v>
      </c>
      <c r="R1977" s="671"/>
      <c r="AT1977" s="671"/>
      <c r="AU1977" s="671"/>
      <c r="AV1977" s="671"/>
      <c r="AW1977" s="671"/>
    </row>
    <row r="1978" spans="15:49" x14ac:dyDescent="0.25">
      <c r="O1978" t="s">
        <v>1226</v>
      </c>
      <c r="P1978" t="s">
        <v>5328</v>
      </c>
      <c r="Q1978" s="671">
        <v>64049</v>
      </c>
      <c r="R1978" s="671"/>
      <c r="AT1978" s="671"/>
      <c r="AU1978" s="671"/>
      <c r="AV1978" s="671"/>
      <c r="AW1978" s="671"/>
    </row>
    <row r="1979" spans="15:49" x14ac:dyDescent="0.25">
      <c r="O1979" t="s">
        <v>1226</v>
      </c>
      <c r="P1979" t="s">
        <v>5328</v>
      </c>
      <c r="Q1979" s="671">
        <v>64049</v>
      </c>
      <c r="R1979" s="671"/>
      <c r="AT1979" s="671"/>
      <c r="AU1979" s="671"/>
      <c r="AV1979" s="671"/>
      <c r="AW1979" s="671"/>
    </row>
    <row r="1980" spans="15:49" x14ac:dyDescent="0.25">
      <c r="O1980" t="s">
        <v>1226</v>
      </c>
      <c r="P1980" t="s">
        <v>5328</v>
      </c>
      <c r="Q1980" s="671">
        <v>64049</v>
      </c>
      <c r="R1980" s="671"/>
      <c r="AT1980" s="671"/>
      <c r="AU1980" s="671"/>
      <c r="AV1980" s="671"/>
      <c r="AW1980" s="671"/>
    </row>
    <row r="1981" spans="15:49" x14ac:dyDescent="0.25">
      <c r="O1981" t="s">
        <v>1228</v>
      </c>
      <c r="P1981" t="s">
        <v>5329</v>
      </c>
      <c r="Q1981" s="671">
        <v>64049</v>
      </c>
      <c r="R1981" s="671"/>
      <c r="AT1981" s="671"/>
      <c r="AU1981" s="671"/>
      <c r="AV1981" s="671"/>
      <c r="AW1981" s="671"/>
    </row>
    <row r="1982" spans="15:49" x14ac:dyDescent="0.25">
      <c r="O1982" t="s">
        <v>1228</v>
      </c>
      <c r="P1982" t="s">
        <v>5329</v>
      </c>
      <c r="Q1982" s="671">
        <v>64049</v>
      </c>
      <c r="R1982" s="671"/>
      <c r="AT1982" s="671"/>
      <c r="AU1982" s="671"/>
      <c r="AV1982" s="671"/>
      <c r="AW1982" s="671"/>
    </row>
    <row r="1983" spans="15:49" x14ac:dyDescent="0.25">
      <c r="O1983" t="s">
        <v>1228</v>
      </c>
      <c r="P1983" t="s">
        <v>5329</v>
      </c>
      <c r="Q1983" s="671">
        <v>64049</v>
      </c>
      <c r="R1983" s="671"/>
      <c r="AT1983" s="671"/>
      <c r="AU1983" s="671"/>
      <c r="AV1983" s="671"/>
      <c r="AW1983" s="671"/>
    </row>
    <row r="1984" spans="15:49" x14ac:dyDescent="0.25">
      <c r="O1984" t="s">
        <v>1228</v>
      </c>
      <c r="P1984" t="s">
        <v>5329</v>
      </c>
      <c r="Q1984" s="671">
        <v>64049</v>
      </c>
      <c r="R1984" s="671"/>
      <c r="AT1984" s="671"/>
      <c r="AU1984" s="671"/>
      <c r="AV1984" s="671"/>
      <c r="AW1984" s="671"/>
    </row>
    <row r="1985" spans="15:49" x14ac:dyDescent="0.25">
      <c r="O1985" t="s">
        <v>1228</v>
      </c>
      <c r="P1985" t="s">
        <v>5329</v>
      </c>
      <c r="Q1985" s="671">
        <v>64049</v>
      </c>
      <c r="R1985" s="671"/>
      <c r="AT1985" s="671"/>
      <c r="AU1985" s="671"/>
      <c r="AV1985" s="671"/>
      <c r="AW1985" s="671"/>
    </row>
    <row r="1986" spans="15:49" x14ac:dyDescent="0.25">
      <c r="O1986" t="s">
        <v>1228</v>
      </c>
      <c r="P1986" t="s">
        <v>5329</v>
      </c>
      <c r="Q1986" s="671">
        <v>64049</v>
      </c>
      <c r="R1986" s="671"/>
      <c r="AT1986" s="671"/>
      <c r="AU1986" s="671"/>
      <c r="AV1986" s="671"/>
      <c r="AW1986" s="671"/>
    </row>
    <row r="1987" spans="15:49" x14ac:dyDescent="0.25">
      <c r="O1987" t="s">
        <v>1243</v>
      </c>
      <c r="P1987" t="s">
        <v>5211</v>
      </c>
      <c r="Q1987" s="671">
        <v>64049</v>
      </c>
      <c r="R1987" s="671"/>
      <c r="AT1987" s="671"/>
      <c r="AU1987" s="671"/>
      <c r="AV1987" s="671"/>
      <c r="AW1987" s="671"/>
    </row>
    <row r="1988" spans="15:49" x14ac:dyDescent="0.25">
      <c r="O1988" t="s">
        <v>1247</v>
      </c>
      <c r="P1988" t="s">
        <v>5211</v>
      </c>
      <c r="Q1988" s="671">
        <v>64049</v>
      </c>
      <c r="R1988" s="671"/>
      <c r="AT1988" s="671"/>
      <c r="AU1988" s="671"/>
      <c r="AV1988" s="671"/>
      <c r="AW1988" s="671"/>
    </row>
    <row r="1989" spans="15:49" x14ac:dyDescent="0.25">
      <c r="O1989" t="s">
        <v>1237</v>
      </c>
      <c r="P1989" t="s">
        <v>5211</v>
      </c>
      <c r="Q1989" s="671">
        <v>64049</v>
      </c>
      <c r="R1989" s="671"/>
      <c r="AT1989" s="671"/>
      <c r="AU1989" s="671"/>
      <c r="AV1989" s="671"/>
      <c r="AW1989" s="671"/>
    </row>
    <row r="1990" spans="15:49" x14ac:dyDescent="0.25">
      <c r="O1990" t="s">
        <v>1237</v>
      </c>
      <c r="P1990" t="s">
        <v>5211</v>
      </c>
      <c r="Q1990" s="671">
        <v>64049</v>
      </c>
      <c r="R1990" s="671"/>
      <c r="AT1990" s="671"/>
      <c r="AU1990" s="671"/>
      <c r="AV1990" s="671"/>
      <c r="AW1990" s="671"/>
    </row>
    <row r="1991" spans="15:49" x14ac:dyDescent="0.25">
      <c r="O1991" t="s">
        <v>3070</v>
      </c>
      <c r="P1991" t="s">
        <v>5330</v>
      </c>
      <c r="Q1991" s="671">
        <v>65050</v>
      </c>
      <c r="R1991" s="671"/>
      <c r="AT1991" s="671"/>
      <c r="AU1991" s="671"/>
      <c r="AV1991" s="671"/>
      <c r="AW1991" s="671"/>
    </row>
    <row r="1992" spans="15:49" x14ac:dyDescent="0.25">
      <c r="O1992" t="s">
        <v>3074</v>
      </c>
      <c r="P1992" t="s">
        <v>5330</v>
      </c>
      <c r="Q1992" s="671">
        <v>65050</v>
      </c>
      <c r="R1992" s="671"/>
      <c r="AT1992" s="671"/>
      <c r="AU1992" s="671"/>
      <c r="AV1992" s="671"/>
      <c r="AW1992" s="671"/>
    </row>
    <row r="1993" spans="15:49" x14ac:dyDescent="0.25">
      <c r="O1993" t="s">
        <v>3142</v>
      </c>
      <c r="P1993" t="s">
        <v>5330</v>
      </c>
      <c r="Q1993" s="671">
        <v>65050</v>
      </c>
      <c r="R1993" s="671"/>
      <c r="AT1993" s="671"/>
      <c r="AU1993" s="671"/>
      <c r="AV1993" s="671"/>
      <c r="AW1993" s="671"/>
    </row>
    <row r="1994" spans="15:49" x14ac:dyDescent="0.25">
      <c r="O1994" t="s">
        <v>3146</v>
      </c>
      <c r="P1994" t="s">
        <v>5330</v>
      </c>
      <c r="Q1994" s="671">
        <v>65050</v>
      </c>
      <c r="R1994" s="671"/>
      <c r="AT1994" s="671"/>
      <c r="AU1994" s="671"/>
      <c r="AV1994" s="671"/>
      <c r="AW1994" s="671"/>
    </row>
    <row r="1995" spans="15:49" x14ac:dyDescent="0.25">
      <c r="O1995" t="s">
        <v>3146</v>
      </c>
      <c r="P1995" t="s">
        <v>5330</v>
      </c>
      <c r="Q1995" s="671">
        <v>65050</v>
      </c>
      <c r="R1995" s="671"/>
      <c r="AT1995" s="671"/>
      <c r="AU1995" s="671"/>
      <c r="AV1995" s="671"/>
      <c r="AW1995" s="671"/>
    </row>
    <row r="1996" spans="15:49" x14ac:dyDescent="0.25">
      <c r="O1996" t="s">
        <v>3152</v>
      </c>
      <c r="P1996" t="s">
        <v>5330</v>
      </c>
      <c r="Q1996" s="671">
        <v>65050</v>
      </c>
      <c r="R1996" s="671"/>
      <c r="AT1996" s="671"/>
      <c r="AU1996" s="671"/>
      <c r="AV1996" s="671"/>
      <c r="AW1996" s="671"/>
    </row>
    <row r="1997" spans="15:49" x14ac:dyDescent="0.25">
      <c r="O1997" t="s">
        <v>3148</v>
      </c>
      <c r="P1997" t="s">
        <v>5330</v>
      </c>
      <c r="Q1997" s="671">
        <v>65050</v>
      </c>
      <c r="R1997" s="671"/>
      <c r="AT1997" s="671"/>
      <c r="AU1997" s="671"/>
      <c r="AV1997" s="671"/>
      <c r="AW1997" s="671"/>
    </row>
    <row r="1998" spans="15:49" x14ac:dyDescent="0.25">
      <c r="O1998" t="s">
        <v>3128</v>
      </c>
      <c r="P1998" t="s">
        <v>5330</v>
      </c>
      <c r="Q1998" s="671">
        <v>65050</v>
      </c>
      <c r="R1998" s="671"/>
      <c r="AT1998" s="671"/>
      <c r="AU1998" s="671"/>
      <c r="AV1998" s="671"/>
      <c r="AW1998" s="671"/>
    </row>
    <row r="1999" spans="15:49" x14ac:dyDescent="0.25">
      <c r="O1999" t="s">
        <v>3132</v>
      </c>
      <c r="P1999" t="s">
        <v>5330</v>
      </c>
      <c r="Q1999" s="671">
        <v>65050</v>
      </c>
      <c r="R1999" s="671"/>
      <c r="AT1999" s="671"/>
      <c r="AU1999" s="671"/>
      <c r="AV1999" s="671"/>
      <c r="AW1999" s="671"/>
    </row>
    <row r="2000" spans="15:49" x14ac:dyDescent="0.25">
      <c r="O2000" t="s">
        <v>3132</v>
      </c>
      <c r="P2000" t="s">
        <v>5330</v>
      </c>
      <c r="Q2000" s="671">
        <v>65050</v>
      </c>
      <c r="R2000" s="671"/>
      <c r="AT2000" s="671"/>
      <c r="AU2000" s="671"/>
      <c r="AV2000" s="671"/>
      <c r="AW2000" s="671"/>
    </row>
    <row r="2001" spans="15:49" x14ac:dyDescent="0.25">
      <c r="O2001" t="s">
        <v>3138</v>
      </c>
      <c r="P2001" t="s">
        <v>5330</v>
      </c>
      <c r="Q2001" s="671">
        <v>65050</v>
      </c>
      <c r="R2001" s="671"/>
      <c r="AT2001" s="671"/>
      <c r="AU2001" s="671"/>
      <c r="AV2001" s="671"/>
      <c r="AW2001" s="671"/>
    </row>
    <row r="2002" spans="15:49" x14ac:dyDescent="0.25">
      <c r="O2002" t="s">
        <v>3084</v>
      </c>
      <c r="P2002" t="s">
        <v>5330</v>
      </c>
      <c r="Q2002" s="671">
        <v>65050</v>
      </c>
      <c r="R2002" s="671"/>
      <c r="AT2002" s="671"/>
      <c r="AU2002" s="671"/>
      <c r="AV2002" s="671"/>
      <c r="AW2002" s="671"/>
    </row>
    <row r="2003" spans="15:49" x14ac:dyDescent="0.25">
      <c r="O2003" t="s">
        <v>3078</v>
      </c>
      <c r="P2003" t="s">
        <v>5330</v>
      </c>
      <c r="Q2003" s="671">
        <v>65050</v>
      </c>
      <c r="R2003" s="671"/>
      <c r="AT2003" s="671"/>
      <c r="AU2003" s="671"/>
      <c r="AV2003" s="671"/>
      <c r="AW2003" s="671"/>
    </row>
    <row r="2004" spans="15:49" x14ac:dyDescent="0.25">
      <c r="O2004" t="s">
        <v>3078</v>
      </c>
      <c r="P2004" t="s">
        <v>5330</v>
      </c>
      <c r="Q2004" s="671">
        <v>65050</v>
      </c>
      <c r="R2004" s="671"/>
      <c r="AT2004" s="671"/>
      <c r="AU2004" s="671"/>
      <c r="AV2004" s="671"/>
      <c r="AW2004" s="671"/>
    </row>
    <row r="2005" spans="15:49" x14ac:dyDescent="0.25">
      <c r="O2005" t="s">
        <v>3092</v>
      </c>
      <c r="P2005" t="s">
        <v>5330</v>
      </c>
      <c r="Q2005" s="671">
        <v>65050</v>
      </c>
      <c r="R2005" s="671"/>
      <c r="AT2005" s="671"/>
      <c r="AU2005" s="671"/>
      <c r="AV2005" s="671"/>
      <c r="AW2005" s="671"/>
    </row>
    <row r="2006" spans="15:49" x14ac:dyDescent="0.25">
      <c r="O2006" t="s">
        <v>3088</v>
      </c>
      <c r="P2006" t="s">
        <v>5330</v>
      </c>
      <c r="Q2006" s="671">
        <v>65050</v>
      </c>
      <c r="R2006" s="671"/>
      <c r="AT2006" s="671"/>
      <c r="AU2006" s="671"/>
      <c r="AV2006" s="671"/>
      <c r="AW2006" s="671"/>
    </row>
    <row r="2007" spans="15:49" x14ac:dyDescent="0.25">
      <c r="O2007" t="s">
        <v>3156</v>
      </c>
      <c r="P2007" t="s">
        <v>5330</v>
      </c>
      <c r="Q2007" s="671">
        <v>65050</v>
      </c>
      <c r="R2007" s="671"/>
      <c r="AT2007" s="671"/>
      <c r="AU2007" s="671"/>
      <c r="AV2007" s="671"/>
      <c r="AW2007" s="671"/>
    </row>
    <row r="2008" spans="15:49" x14ac:dyDescent="0.25">
      <c r="O2008" t="s">
        <v>3160</v>
      </c>
      <c r="P2008" t="s">
        <v>5330</v>
      </c>
      <c r="Q2008" s="671">
        <v>65050</v>
      </c>
      <c r="R2008" s="671"/>
      <c r="AT2008" s="671"/>
      <c r="AU2008" s="671"/>
      <c r="AV2008" s="671"/>
      <c r="AW2008" s="671"/>
    </row>
    <row r="2009" spans="15:49" x14ac:dyDescent="0.25">
      <c r="O2009" t="s">
        <v>3164</v>
      </c>
      <c r="P2009" t="s">
        <v>5330</v>
      </c>
      <c r="Q2009" s="671">
        <v>65050</v>
      </c>
      <c r="R2009" s="671"/>
      <c r="AT2009" s="671"/>
      <c r="AU2009" s="671"/>
      <c r="AV2009" s="671"/>
      <c r="AW2009" s="671"/>
    </row>
    <row r="2010" spans="15:49" x14ac:dyDescent="0.25">
      <c r="O2010" t="s">
        <v>3164</v>
      </c>
      <c r="P2010" t="s">
        <v>5330</v>
      </c>
      <c r="Q2010" s="671">
        <v>65050</v>
      </c>
      <c r="R2010" s="671"/>
      <c r="AT2010" s="671"/>
      <c r="AU2010" s="671"/>
      <c r="AV2010" s="671"/>
      <c r="AW2010" s="671"/>
    </row>
    <row r="2011" spans="15:49" x14ac:dyDescent="0.25">
      <c r="O2011" t="s">
        <v>3170</v>
      </c>
      <c r="P2011" t="s">
        <v>5330</v>
      </c>
      <c r="Q2011" s="671">
        <v>65050</v>
      </c>
      <c r="R2011" s="671"/>
      <c r="AT2011" s="671"/>
      <c r="AU2011" s="671"/>
      <c r="AV2011" s="671"/>
      <c r="AW2011" s="671"/>
    </row>
    <row r="2012" spans="15:49" x14ac:dyDescent="0.25">
      <c r="O2012" t="s">
        <v>3172</v>
      </c>
      <c r="P2012" t="s">
        <v>5330</v>
      </c>
      <c r="Q2012" s="671">
        <v>65050</v>
      </c>
      <c r="R2012" s="671"/>
      <c r="AT2012" s="671"/>
      <c r="AU2012" s="671"/>
      <c r="AV2012" s="671"/>
      <c r="AW2012" s="671"/>
    </row>
    <row r="2013" spans="15:49" x14ac:dyDescent="0.25">
      <c r="O2013" t="s">
        <v>3176</v>
      </c>
      <c r="P2013" t="s">
        <v>5330</v>
      </c>
      <c r="Q2013" s="671">
        <v>65050</v>
      </c>
      <c r="R2013" s="671"/>
      <c r="AT2013" s="671"/>
      <c r="AU2013" s="671"/>
      <c r="AV2013" s="671"/>
      <c r="AW2013" s="671"/>
    </row>
    <row r="2014" spans="15:49" x14ac:dyDescent="0.25">
      <c r="O2014" t="s">
        <v>3124</v>
      </c>
      <c r="P2014" t="s">
        <v>5330</v>
      </c>
      <c r="Q2014" s="671">
        <v>65050</v>
      </c>
      <c r="R2014" s="671"/>
      <c r="AT2014" s="671"/>
      <c r="AU2014" s="671"/>
      <c r="AV2014" s="671"/>
      <c r="AW2014" s="671"/>
    </row>
    <row r="2015" spans="15:49" x14ac:dyDescent="0.25">
      <c r="O2015" t="s">
        <v>3120</v>
      </c>
      <c r="P2015" t="s">
        <v>5330</v>
      </c>
      <c r="Q2015" s="671">
        <v>65050</v>
      </c>
      <c r="R2015" s="671"/>
      <c r="AT2015" s="671"/>
      <c r="AU2015" s="671"/>
      <c r="AV2015" s="671"/>
      <c r="AW2015" s="671"/>
    </row>
    <row r="2016" spans="15:49" x14ac:dyDescent="0.25">
      <c r="O2016" t="s">
        <v>3196</v>
      </c>
      <c r="P2016" t="s">
        <v>5330</v>
      </c>
      <c r="Q2016" s="671">
        <v>65050</v>
      </c>
      <c r="R2016" s="671"/>
      <c r="AT2016" s="671"/>
      <c r="AU2016" s="671"/>
      <c r="AV2016" s="671"/>
      <c r="AW2016" s="671"/>
    </row>
    <row r="2017" spans="15:49" x14ac:dyDescent="0.25">
      <c r="O2017" t="s">
        <v>3200</v>
      </c>
      <c r="P2017" t="s">
        <v>5330</v>
      </c>
      <c r="Q2017" s="671">
        <v>65050</v>
      </c>
      <c r="R2017" s="671"/>
      <c r="AT2017" s="671"/>
      <c r="AU2017" s="671"/>
      <c r="AV2017" s="671"/>
      <c r="AW2017" s="671"/>
    </row>
    <row r="2018" spans="15:49" x14ac:dyDescent="0.25">
      <c r="O2018" t="s">
        <v>3200</v>
      </c>
      <c r="P2018" t="s">
        <v>5330</v>
      </c>
      <c r="Q2018" s="671">
        <v>65050</v>
      </c>
      <c r="R2018" s="671"/>
      <c r="AT2018" s="671"/>
      <c r="AU2018" s="671"/>
      <c r="AV2018" s="671"/>
      <c r="AW2018" s="671"/>
    </row>
    <row r="2019" spans="15:49" x14ac:dyDescent="0.25">
      <c r="O2019" t="s">
        <v>3192</v>
      </c>
      <c r="P2019" t="s">
        <v>5330</v>
      </c>
      <c r="Q2019" s="671">
        <v>65050</v>
      </c>
      <c r="R2019" s="671"/>
      <c r="AT2019" s="671"/>
      <c r="AU2019" s="671"/>
      <c r="AV2019" s="671"/>
      <c r="AW2019" s="671"/>
    </row>
    <row r="2020" spans="15:49" x14ac:dyDescent="0.25">
      <c r="O2020" t="s">
        <v>3180</v>
      </c>
      <c r="P2020" t="s">
        <v>5330</v>
      </c>
      <c r="Q2020" s="671">
        <v>65050</v>
      </c>
      <c r="R2020" s="671"/>
      <c r="AT2020" s="671"/>
      <c r="AU2020" s="671"/>
      <c r="AV2020" s="671"/>
      <c r="AW2020" s="671"/>
    </row>
    <row r="2021" spans="15:49" x14ac:dyDescent="0.25">
      <c r="O2021" t="s">
        <v>3180</v>
      </c>
      <c r="P2021" t="s">
        <v>5330</v>
      </c>
      <c r="Q2021" s="671">
        <v>65050</v>
      </c>
      <c r="R2021" s="671"/>
      <c r="AT2021" s="671"/>
      <c r="AU2021" s="671"/>
      <c r="AV2021" s="671"/>
      <c r="AW2021" s="671"/>
    </row>
    <row r="2022" spans="15:49" x14ac:dyDescent="0.25">
      <c r="O2022" t="s">
        <v>3180</v>
      </c>
      <c r="P2022" t="s">
        <v>5330</v>
      </c>
      <c r="Q2022" s="671">
        <v>65050</v>
      </c>
      <c r="R2022" s="671"/>
      <c r="AT2022" s="671"/>
      <c r="AU2022" s="671"/>
      <c r="AV2022" s="671"/>
      <c r="AW2022" s="671"/>
    </row>
    <row r="2023" spans="15:49" x14ac:dyDescent="0.25">
      <c r="O2023" t="s">
        <v>3188</v>
      </c>
      <c r="P2023" t="s">
        <v>5330</v>
      </c>
      <c r="Q2023" s="671">
        <v>65050</v>
      </c>
      <c r="R2023" s="671"/>
      <c r="AT2023" s="671"/>
      <c r="AU2023" s="671"/>
      <c r="AV2023" s="671"/>
      <c r="AW2023" s="671"/>
    </row>
    <row r="2024" spans="15:49" x14ac:dyDescent="0.25">
      <c r="O2024" t="s">
        <v>3053</v>
      </c>
      <c r="P2024" t="s">
        <v>5330</v>
      </c>
      <c r="Q2024" s="671">
        <v>65050</v>
      </c>
      <c r="R2024" s="671"/>
      <c r="AT2024" s="671"/>
      <c r="AU2024" s="671"/>
      <c r="AV2024" s="671"/>
      <c r="AW2024" s="671"/>
    </row>
    <row r="2025" spans="15:49" x14ac:dyDescent="0.25">
      <c r="O2025" t="s">
        <v>3066</v>
      </c>
      <c r="P2025" t="s">
        <v>5330</v>
      </c>
      <c r="Q2025" s="671">
        <v>65050</v>
      </c>
      <c r="R2025" s="671"/>
      <c r="AT2025" s="671"/>
      <c r="AU2025" s="671"/>
      <c r="AV2025" s="671"/>
      <c r="AW2025" s="671"/>
    </row>
    <row r="2026" spans="15:49" x14ac:dyDescent="0.25">
      <c r="O2026" t="s">
        <v>3058</v>
      </c>
      <c r="P2026" t="s">
        <v>5330</v>
      </c>
      <c r="Q2026" s="671">
        <v>65050</v>
      </c>
      <c r="R2026" s="671"/>
      <c r="AT2026" s="671"/>
      <c r="AU2026" s="671"/>
      <c r="AV2026" s="671"/>
      <c r="AW2026" s="671"/>
    </row>
    <row r="2027" spans="15:49" x14ac:dyDescent="0.25">
      <c r="O2027" t="s">
        <v>3062</v>
      </c>
      <c r="P2027" t="s">
        <v>5330</v>
      </c>
      <c r="Q2027" s="671">
        <v>65050</v>
      </c>
      <c r="R2027" s="671"/>
      <c r="AT2027" s="671"/>
      <c r="AU2027" s="671"/>
      <c r="AV2027" s="671"/>
      <c r="AW2027" s="671"/>
    </row>
    <row r="2028" spans="15:49" x14ac:dyDescent="0.25">
      <c r="O2028" t="s">
        <v>3101</v>
      </c>
      <c r="P2028" t="s">
        <v>5330</v>
      </c>
      <c r="Q2028" s="671">
        <v>65050</v>
      </c>
      <c r="R2028" s="671"/>
      <c r="AT2028" s="671"/>
      <c r="AU2028" s="671"/>
      <c r="AV2028" s="671"/>
      <c r="AW2028" s="671"/>
    </row>
    <row r="2029" spans="15:49" x14ac:dyDescent="0.25">
      <c r="O2029" t="s">
        <v>3109</v>
      </c>
      <c r="P2029" t="s">
        <v>5330</v>
      </c>
      <c r="Q2029" s="671">
        <v>65050</v>
      </c>
      <c r="R2029" s="671"/>
      <c r="AT2029" s="671"/>
      <c r="AU2029" s="671"/>
      <c r="AV2029" s="671"/>
      <c r="AW2029" s="671"/>
    </row>
    <row r="2030" spans="15:49" x14ac:dyDescent="0.25">
      <c r="O2030" t="s">
        <v>3097</v>
      </c>
      <c r="P2030" t="s">
        <v>5330</v>
      </c>
      <c r="Q2030" s="671">
        <v>65050</v>
      </c>
      <c r="R2030" s="671"/>
      <c r="AT2030" s="671"/>
      <c r="AU2030" s="671"/>
      <c r="AV2030" s="671"/>
      <c r="AW2030" s="671"/>
    </row>
    <row r="2031" spans="15:49" x14ac:dyDescent="0.25">
      <c r="O2031" t="s">
        <v>3113</v>
      </c>
      <c r="P2031" t="s">
        <v>5330</v>
      </c>
      <c r="Q2031" s="671">
        <v>65050</v>
      </c>
      <c r="R2031" s="671"/>
      <c r="AT2031" s="671"/>
      <c r="AU2031" s="671"/>
      <c r="AV2031" s="671"/>
      <c r="AW2031" s="671"/>
    </row>
    <row r="2032" spans="15:49" x14ac:dyDescent="0.25">
      <c r="O2032" t="s">
        <v>3105</v>
      </c>
      <c r="P2032" t="s">
        <v>5330</v>
      </c>
      <c r="Q2032" s="671">
        <v>65050</v>
      </c>
      <c r="R2032" s="671"/>
      <c r="AT2032" s="671"/>
      <c r="AU2032" s="671"/>
      <c r="AV2032" s="671"/>
      <c r="AW2032" s="671"/>
    </row>
    <row r="2033" spans="15:49" x14ac:dyDescent="0.25">
      <c r="O2033" t="s">
        <v>3116</v>
      </c>
      <c r="P2033" t="s">
        <v>5330</v>
      </c>
      <c r="Q2033" s="671">
        <v>65050</v>
      </c>
      <c r="R2033" s="671"/>
      <c r="AT2033" s="671"/>
      <c r="AU2033" s="671"/>
      <c r="AV2033" s="671"/>
      <c r="AW2033" s="671"/>
    </row>
    <row r="2034" spans="15:49" x14ac:dyDescent="0.25">
      <c r="O2034" t="s">
        <v>3094</v>
      </c>
      <c r="P2034" t="s">
        <v>5330</v>
      </c>
      <c r="Q2034" s="671">
        <v>65050</v>
      </c>
      <c r="R2034" s="671"/>
      <c r="AT2034" s="671"/>
      <c r="AU2034" s="671"/>
      <c r="AV2034" s="671"/>
      <c r="AW2034" s="671"/>
    </row>
    <row r="2035" spans="15:49" x14ac:dyDescent="0.25">
      <c r="O2035" t="s">
        <v>3230</v>
      </c>
      <c r="P2035" t="s">
        <v>5331</v>
      </c>
      <c r="Q2035" s="671">
        <v>65051</v>
      </c>
      <c r="R2035" s="671"/>
      <c r="AT2035" s="671"/>
      <c r="AU2035" s="671"/>
      <c r="AV2035" s="671"/>
      <c r="AW2035" s="671"/>
    </row>
    <row r="2036" spans="15:49" x14ac:dyDescent="0.25">
      <c r="O2036" t="s">
        <v>3230</v>
      </c>
      <c r="P2036" t="s">
        <v>5331</v>
      </c>
      <c r="Q2036" s="671">
        <v>65051</v>
      </c>
      <c r="R2036" s="671"/>
      <c r="AT2036" s="671"/>
      <c r="AU2036" s="671"/>
      <c r="AV2036" s="671"/>
      <c r="AW2036" s="671"/>
    </row>
    <row r="2037" spans="15:49" x14ac:dyDescent="0.25">
      <c r="O2037" t="s">
        <v>3226</v>
      </c>
      <c r="P2037" t="s">
        <v>5331</v>
      </c>
      <c r="Q2037" s="671">
        <v>65051</v>
      </c>
      <c r="R2037" s="671"/>
      <c r="AT2037" s="671"/>
      <c r="AU2037" s="671"/>
      <c r="AV2037" s="671"/>
      <c r="AW2037" s="671"/>
    </row>
    <row r="2038" spans="15:49" x14ac:dyDescent="0.25">
      <c r="O2038" t="s">
        <v>3222</v>
      </c>
      <c r="P2038" t="s">
        <v>5331</v>
      </c>
      <c r="Q2038" s="671">
        <v>65051</v>
      </c>
      <c r="R2038" s="671"/>
      <c r="AT2038" s="671"/>
      <c r="AU2038" s="671"/>
      <c r="AV2038" s="671"/>
      <c r="AW2038" s="671"/>
    </row>
    <row r="2039" spans="15:49" x14ac:dyDescent="0.25">
      <c r="O2039" t="s">
        <v>3222</v>
      </c>
      <c r="P2039" t="s">
        <v>5331</v>
      </c>
      <c r="Q2039" s="671">
        <v>65051</v>
      </c>
      <c r="R2039" s="671"/>
      <c r="AT2039" s="671"/>
      <c r="AU2039" s="671"/>
      <c r="AV2039" s="671"/>
      <c r="AW2039" s="671"/>
    </row>
    <row r="2040" spans="15:49" x14ac:dyDescent="0.25">
      <c r="O2040" t="s">
        <v>3228</v>
      </c>
      <c r="P2040" t="s">
        <v>5331</v>
      </c>
      <c r="Q2040" s="671">
        <v>65051</v>
      </c>
      <c r="R2040" s="671"/>
      <c r="AT2040" s="671"/>
      <c r="AU2040" s="671"/>
      <c r="AV2040" s="671"/>
      <c r="AW2040" s="671"/>
    </row>
    <row r="2041" spans="15:49" x14ac:dyDescent="0.25">
      <c r="O2041" t="s">
        <v>3293</v>
      </c>
      <c r="P2041" t="s">
        <v>5331</v>
      </c>
      <c r="Q2041" s="671">
        <v>65051</v>
      </c>
      <c r="R2041" s="671"/>
      <c r="AT2041" s="671"/>
      <c r="AU2041" s="671"/>
      <c r="AV2041" s="671"/>
      <c r="AW2041" s="671"/>
    </row>
    <row r="2042" spans="15:49" x14ac:dyDescent="0.25">
      <c r="O2042" t="s">
        <v>3297</v>
      </c>
      <c r="P2042" t="s">
        <v>5331</v>
      </c>
      <c r="Q2042" s="671">
        <v>65051</v>
      </c>
      <c r="R2042" s="671"/>
      <c r="AT2042" s="671"/>
      <c r="AU2042" s="671"/>
      <c r="AV2042" s="671"/>
      <c r="AW2042" s="671"/>
    </row>
    <row r="2043" spans="15:49" x14ac:dyDescent="0.25">
      <c r="O2043" t="s">
        <v>3282</v>
      </c>
      <c r="P2043" t="s">
        <v>5331</v>
      </c>
      <c r="Q2043" s="671">
        <v>65051</v>
      </c>
      <c r="R2043" s="671"/>
      <c r="AT2043" s="671"/>
      <c r="AU2043" s="671"/>
      <c r="AV2043" s="671"/>
      <c r="AW2043" s="671"/>
    </row>
    <row r="2044" spans="15:49" x14ac:dyDescent="0.25">
      <c r="O2044" t="s">
        <v>3278</v>
      </c>
      <c r="P2044" t="s">
        <v>5331</v>
      </c>
      <c r="Q2044" s="671">
        <v>65051</v>
      </c>
      <c r="R2044" s="671"/>
      <c r="AT2044" s="671"/>
      <c r="AU2044" s="671"/>
      <c r="AV2044" s="671"/>
      <c r="AW2044" s="671"/>
    </row>
    <row r="2045" spans="15:49" x14ac:dyDescent="0.25">
      <c r="O2045" t="s">
        <v>3278</v>
      </c>
      <c r="P2045" t="s">
        <v>5331</v>
      </c>
      <c r="Q2045" s="671">
        <v>65051</v>
      </c>
      <c r="R2045" s="671"/>
      <c r="AT2045" s="671"/>
      <c r="AU2045" s="671"/>
      <c r="AV2045" s="671"/>
      <c r="AW2045" s="671"/>
    </row>
    <row r="2046" spans="15:49" x14ac:dyDescent="0.25">
      <c r="O2046" t="s">
        <v>3218</v>
      </c>
      <c r="P2046" t="s">
        <v>5331</v>
      </c>
      <c r="Q2046" s="671">
        <v>65051</v>
      </c>
      <c r="R2046" s="671"/>
      <c r="AT2046" s="671"/>
      <c r="AU2046" s="671"/>
      <c r="AV2046" s="671"/>
      <c r="AW2046" s="671"/>
    </row>
    <row r="2047" spans="15:49" x14ac:dyDescent="0.25">
      <c r="O2047" t="s">
        <v>3266</v>
      </c>
      <c r="P2047" t="s">
        <v>5331</v>
      </c>
      <c r="Q2047" s="671">
        <v>65051</v>
      </c>
      <c r="R2047" s="671"/>
      <c r="AT2047" s="671"/>
      <c r="AU2047" s="671"/>
      <c r="AV2047" s="671"/>
      <c r="AW2047" s="671"/>
    </row>
    <row r="2048" spans="15:49" x14ac:dyDescent="0.25">
      <c r="O2048" t="s">
        <v>3270</v>
      </c>
      <c r="P2048" t="s">
        <v>5331</v>
      </c>
      <c r="Q2048" s="671">
        <v>65051</v>
      </c>
      <c r="R2048" s="671"/>
      <c r="AT2048" s="671"/>
      <c r="AU2048" s="671"/>
      <c r="AV2048" s="671"/>
      <c r="AW2048" s="671"/>
    </row>
    <row r="2049" spans="15:49" x14ac:dyDescent="0.25">
      <c r="O2049" t="s">
        <v>3274</v>
      </c>
      <c r="P2049" t="s">
        <v>5331</v>
      </c>
      <c r="Q2049" s="671">
        <v>65051</v>
      </c>
      <c r="R2049" s="671"/>
      <c r="AT2049" s="671"/>
      <c r="AU2049" s="671"/>
      <c r="AV2049" s="671"/>
      <c r="AW2049" s="671"/>
    </row>
    <row r="2050" spans="15:49" x14ac:dyDescent="0.25">
      <c r="O2050" t="s">
        <v>3250</v>
      </c>
      <c r="P2050" t="s">
        <v>5331</v>
      </c>
      <c r="Q2050" s="671">
        <v>65051</v>
      </c>
      <c r="R2050" s="671"/>
      <c r="AT2050" s="671"/>
      <c r="AU2050" s="671"/>
      <c r="AV2050" s="671"/>
      <c r="AW2050" s="671"/>
    </row>
    <row r="2051" spans="15:49" x14ac:dyDescent="0.25">
      <c r="O2051" t="s">
        <v>3242</v>
      </c>
      <c r="P2051" t="s">
        <v>5331</v>
      </c>
      <c r="Q2051" s="671">
        <v>65051</v>
      </c>
      <c r="R2051" s="671"/>
      <c r="AT2051" s="671"/>
      <c r="AU2051" s="671"/>
      <c r="AV2051" s="671"/>
      <c r="AW2051" s="671"/>
    </row>
    <row r="2052" spans="15:49" x14ac:dyDescent="0.25">
      <c r="O2052" t="s">
        <v>3254</v>
      </c>
      <c r="P2052" t="s">
        <v>5331</v>
      </c>
      <c r="Q2052" s="671">
        <v>65051</v>
      </c>
      <c r="R2052" s="671"/>
      <c r="AT2052" s="671"/>
      <c r="AU2052" s="671"/>
      <c r="AV2052" s="671"/>
      <c r="AW2052" s="671"/>
    </row>
    <row r="2053" spans="15:49" x14ac:dyDescent="0.25">
      <c r="O2053" t="s">
        <v>3260</v>
      </c>
      <c r="P2053" t="s">
        <v>5331</v>
      </c>
      <c r="Q2053" s="671">
        <v>65051</v>
      </c>
      <c r="R2053" s="671"/>
      <c r="AT2053" s="671"/>
      <c r="AU2053" s="671"/>
      <c r="AV2053" s="671"/>
      <c r="AW2053" s="671"/>
    </row>
    <row r="2054" spans="15:49" x14ac:dyDescent="0.25">
      <c r="O2054" t="s">
        <v>3234</v>
      </c>
      <c r="P2054" t="s">
        <v>5331</v>
      </c>
      <c r="Q2054" s="671">
        <v>65051</v>
      </c>
      <c r="R2054" s="671"/>
      <c r="AT2054" s="671"/>
      <c r="AU2054" s="671"/>
      <c r="AV2054" s="671"/>
      <c r="AW2054" s="671"/>
    </row>
    <row r="2055" spans="15:49" x14ac:dyDescent="0.25">
      <c r="O2055" t="s">
        <v>3258</v>
      </c>
      <c r="P2055" t="s">
        <v>5331</v>
      </c>
      <c r="Q2055" s="671">
        <v>65051</v>
      </c>
      <c r="R2055" s="671"/>
      <c r="AT2055" s="671"/>
      <c r="AU2055" s="671"/>
      <c r="AV2055" s="671"/>
      <c r="AW2055" s="671"/>
    </row>
    <row r="2056" spans="15:49" x14ac:dyDescent="0.25">
      <c r="O2056" t="s">
        <v>3264</v>
      </c>
      <c r="P2056" t="s">
        <v>5331</v>
      </c>
      <c r="Q2056" s="671">
        <v>65051</v>
      </c>
      <c r="R2056" s="671"/>
      <c r="AT2056" s="671"/>
      <c r="AU2056" s="671"/>
      <c r="AV2056" s="671"/>
      <c r="AW2056" s="671"/>
    </row>
    <row r="2057" spans="15:49" x14ac:dyDescent="0.25">
      <c r="O2057" t="s">
        <v>3238</v>
      </c>
      <c r="P2057" t="s">
        <v>5331</v>
      </c>
      <c r="Q2057" s="671">
        <v>65051</v>
      </c>
      <c r="R2057" s="671"/>
      <c r="AT2057" s="671"/>
      <c r="AU2057" s="671"/>
      <c r="AV2057" s="671"/>
      <c r="AW2057" s="671"/>
    </row>
    <row r="2058" spans="15:49" x14ac:dyDescent="0.25">
      <c r="O2058" t="s">
        <v>3246</v>
      </c>
      <c r="P2058" t="s">
        <v>5331</v>
      </c>
      <c r="Q2058" s="671">
        <v>65051</v>
      </c>
      <c r="R2058" s="671"/>
      <c r="AT2058" s="671"/>
      <c r="AU2058" s="671"/>
      <c r="AV2058" s="671"/>
      <c r="AW2058" s="671"/>
    </row>
    <row r="2059" spans="15:49" x14ac:dyDescent="0.25">
      <c r="O2059" t="s">
        <v>3305</v>
      </c>
      <c r="P2059" t="s">
        <v>5331</v>
      </c>
      <c r="Q2059" s="671">
        <v>65051</v>
      </c>
      <c r="R2059" s="671"/>
      <c r="AT2059" s="671"/>
      <c r="AU2059" s="671"/>
      <c r="AV2059" s="671"/>
      <c r="AW2059" s="671"/>
    </row>
    <row r="2060" spans="15:49" x14ac:dyDescent="0.25">
      <c r="O2060" t="s">
        <v>3301</v>
      </c>
      <c r="P2060" t="s">
        <v>5331</v>
      </c>
      <c r="Q2060" s="671">
        <v>65051</v>
      </c>
      <c r="R2060" s="671"/>
      <c r="AT2060" s="671"/>
      <c r="AU2060" s="671"/>
      <c r="AV2060" s="671"/>
      <c r="AW2060" s="671"/>
    </row>
    <row r="2061" spans="15:49" x14ac:dyDescent="0.25">
      <c r="O2061" t="s">
        <v>3309</v>
      </c>
      <c r="P2061" t="s">
        <v>5331</v>
      </c>
      <c r="Q2061" s="671">
        <v>65051</v>
      </c>
      <c r="R2061" s="671"/>
      <c r="AT2061" s="671"/>
      <c r="AU2061" s="671"/>
      <c r="AV2061" s="671"/>
      <c r="AW2061" s="671"/>
    </row>
    <row r="2062" spans="15:49" x14ac:dyDescent="0.25">
      <c r="O2062" t="s">
        <v>3321</v>
      </c>
      <c r="P2062" t="s">
        <v>5331</v>
      </c>
      <c r="Q2062" s="671">
        <v>65051</v>
      </c>
      <c r="R2062" s="671"/>
      <c r="AT2062" s="671"/>
      <c r="AU2062" s="671"/>
      <c r="AV2062" s="671"/>
      <c r="AW2062" s="671"/>
    </row>
    <row r="2063" spans="15:49" x14ac:dyDescent="0.25">
      <c r="O2063" t="s">
        <v>3317</v>
      </c>
      <c r="P2063" t="s">
        <v>5331</v>
      </c>
      <c r="Q2063" s="671">
        <v>65051</v>
      </c>
      <c r="R2063" s="671"/>
      <c r="AT2063" s="671"/>
      <c r="AU2063" s="671"/>
      <c r="AV2063" s="671"/>
      <c r="AW2063" s="671"/>
    </row>
    <row r="2064" spans="15:49" x14ac:dyDescent="0.25">
      <c r="O2064" t="s">
        <v>3313</v>
      </c>
      <c r="P2064" t="s">
        <v>5331</v>
      </c>
      <c r="Q2064" s="671">
        <v>65051</v>
      </c>
      <c r="R2064" s="671"/>
      <c r="AT2064" s="671"/>
      <c r="AU2064" s="671"/>
      <c r="AV2064" s="671"/>
      <c r="AW2064" s="671"/>
    </row>
    <row r="2065" spans="15:49" x14ac:dyDescent="0.25">
      <c r="O2065" t="s">
        <v>3214</v>
      </c>
      <c r="P2065" t="s">
        <v>5331</v>
      </c>
      <c r="Q2065" s="671">
        <v>65051</v>
      </c>
      <c r="R2065" s="671"/>
      <c r="AT2065" s="671"/>
      <c r="AU2065" s="671"/>
      <c r="AV2065" s="671"/>
      <c r="AW2065" s="671"/>
    </row>
    <row r="2066" spans="15:49" x14ac:dyDescent="0.25">
      <c r="O2066" t="s">
        <v>3206</v>
      </c>
      <c r="P2066" t="s">
        <v>5331</v>
      </c>
      <c r="Q2066" s="671">
        <v>65051</v>
      </c>
      <c r="R2066" s="671"/>
      <c r="AT2066" s="671"/>
      <c r="AU2066" s="671"/>
      <c r="AV2066" s="671"/>
      <c r="AW2066" s="671"/>
    </row>
    <row r="2067" spans="15:49" x14ac:dyDescent="0.25">
      <c r="O2067" t="s">
        <v>3210</v>
      </c>
      <c r="P2067" t="s">
        <v>5331</v>
      </c>
      <c r="Q2067" s="671">
        <v>65051</v>
      </c>
      <c r="R2067" s="671"/>
      <c r="AT2067" s="671"/>
      <c r="AU2067" s="671"/>
      <c r="AV2067" s="671"/>
      <c r="AW2067" s="671"/>
    </row>
    <row r="2068" spans="15:49" x14ac:dyDescent="0.25">
      <c r="O2068" t="s">
        <v>3289</v>
      </c>
      <c r="P2068" t="s">
        <v>5331</v>
      </c>
      <c r="Q2068" s="671">
        <v>65051</v>
      </c>
      <c r="R2068" s="671"/>
      <c r="AT2068" s="671"/>
      <c r="AU2068" s="671"/>
      <c r="AV2068" s="671"/>
      <c r="AW2068" s="671"/>
    </row>
    <row r="2069" spans="15:49" x14ac:dyDescent="0.25">
      <c r="O2069" t="s">
        <v>3286</v>
      </c>
      <c r="P2069" t="s">
        <v>5331</v>
      </c>
      <c r="Q2069" s="671">
        <v>65051</v>
      </c>
      <c r="R2069" s="671"/>
      <c r="AT2069" s="671"/>
      <c r="AU2069" s="671"/>
      <c r="AV2069" s="671"/>
      <c r="AW2069" s="671"/>
    </row>
    <row r="2070" spans="15:49" x14ac:dyDescent="0.25">
      <c r="O2070" t="s">
        <v>3323</v>
      </c>
      <c r="P2070" t="s">
        <v>5330</v>
      </c>
      <c r="Q2070" s="671">
        <v>65050</v>
      </c>
      <c r="R2070" s="671"/>
      <c r="AT2070" s="671"/>
      <c r="AU2070" s="671"/>
      <c r="AV2070" s="671"/>
      <c r="AW2070" s="671"/>
    </row>
    <row r="2071" spans="15:49" x14ac:dyDescent="0.25">
      <c r="O2071" t="s">
        <v>3323</v>
      </c>
      <c r="P2071" t="s">
        <v>5331</v>
      </c>
      <c r="Q2071" s="671">
        <v>65051</v>
      </c>
      <c r="R2071" s="671"/>
      <c r="AT2071" s="671"/>
      <c r="AU2071" s="671"/>
      <c r="AV2071" s="671"/>
      <c r="AW2071" s="671"/>
    </row>
    <row r="2072" spans="15:49" x14ac:dyDescent="0.25">
      <c r="O2072" t="s">
        <v>3323</v>
      </c>
      <c r="P2072" t="s">
        <v>5331</v>
      </c>
      <c r="Q2072" s="671">
        <v>65051</v>
      </c>
      <c r="R2072" s="671"/>
      <c r="AT2072" s="671"/>
      <c r="AU2072" s="671"/>
      <c r="AV2072" s="671"/>
      <c r="AW2072" s="671"/>
    </row>
    <row r="2073" spans="15:49" x14ac:dyDescent="0.25">
      <c r="O2073" t="s">
        <v>3323</v>
      </c>
      <c r="P2073" t="s">
        <v>5330</v>
      </c>
      <c r="Q2073" s="671">
        <v>65050</v>
      </c>
      <c r="R2073" s="671"/>
      <c r="AT2073" s="671"/>
      <c r="AU2073" s="671"/>
      <c r="AV2073" s="671"/>
      <c r="AW2073" s="671"/>
    </row>
    <row r="2074" spans="15:49" x14ac:dyDescent="0.25">
      <c r="O2074" t="s">
        <v>3323</v>
      </c>
      <c r="P2074" t="s">
        <v>5331</v>
      </c>
      <c r="Q2074" s="671">
        <v>65051</v>
      </c>
      <c r="R2074" s="671"/>
      <c r="AT2074" s="671"/>
      <c r="AU2074" s="671"/>
      <c r="AV2074" s="671"/>
      <c r="AW2074" s="671"/>
    </row>
    <row r="2075" spans="15:49" x14ac:dyDescent="0.25">
      <c r="O2075" t="s">
        <v>3323</v>
      </c>
      <c r="P2075" t="s">
        <v>5330</v>
      </c>
      <c r="Q2075" s="671">
        <v>65050</v>
      </c>
      <c r="R2075" s="671"/>
      <c r="AT2075" s="671"/>
      <c r="AU2075" s="671"/>
      <c r="AV2075" s="671"/>
      <c r="AW2075" s="671"/>
    </row>
    <row r="2076" spans="15:49" x14ac:dyDescent="0.25">
      <c r="O2076" t="s">
        <v>3323</v>
      </c>
      <c r="P2076" t="s">
        <v>5330</v>
      </c>
      <c r="Q2076" s="671">
        <v>65050</v>
      </c>
      <c r="R2076" s="671"/>
      <c r="AT2076" s="671"/>
      <c r="AU2076" s="671"/>
      <c r="AV2076" s="671"/>
      <c r="AW2076" s="671"/>
    </row>
    <row r="2077" spans="15:49" x14ac:dyDescent="0.25">
      <c r="O2077" t="s">
        <v>3323</v>
      </c>
      <c r="P2077" t="s">
        <v>5330</v>
      </c>
      <c r="Q2077" s="671">
        <v>65050</v>
      </c>
      <c r="R2077" s="671"/>
      <c r="AT2077" s="671"/>
      <c r="AU2077" s="671"/>
      <c r="AV2077" s="671"/>
      <c r="AW2077" s="671"/>
    </row>
    <row r="2078" spans="15:49" x14ac:dyDescent="0.25">
      <c r="O2078" t="s">
        <v>3323</v>
      </c>
      <c r="P2078" t="s">
        <v>5331</v>
      </c>
      <c r="Q2078" s="671">
        <v>65051</v>
      </c>
      <c r="R2078" s="671"/>
      <c r="AT2078" s="671"/>
      <c r="AU2078" s="671"/>
      <c r="AV2078" s="671"/>
      <c r="AW2078" s="671"/>
    </row>
    <row r="2079" spans="15:49" x14ac:dyDescent="0.25">
      <c r="O2079" t="s">
        <v>3323</v>
      </c>
      <c r="P2079" t="s">
        <v>5330</v>
      </c>
      <c r="Q2079" s="671">
        <v>65050</v>
      </c>
      <c r="R2079" s="671"/>
      <c r="AT2079" s="671"/>
      <c r="AU2079" s="671"/>
      <c r="AV2079" s="671"/>
      <c r="AW2079" s="671"/>
    </row>
    <row r="2080" spans="15:49" x14ac:dyDescent="0.25">
      <c r="O2080" t="s">
        <v>3323</v>
      </c>
      <c r="P2080" t="s">
        <v>5330</v>
      </c>
      <c r="Q2080" s="671">
        <v>65050</v>
      </c>
      <c r="R2080" s="671"/>
      <c r="AT2080" s="671"/>
      <c r="AU2080" s="671"/>
      <c r="AV2080" s="671"/>
      <c r="AW2080" s="671"/>
    </row>
    <row r="2081" spans="15:49" x14ac:dyDescent="0.25">
      <c r="O2081" t="s">
        <v>3323</v>
      </c>
      <c r="P2081" t="s">
        <v>5331</v>
      </c>
      <c r="Q2081" s="671">
        <v>65051</v>
      </c>
      <c r="R2081" s="671"/>
      <c r="AT2081" s="671"/>
      <c r="AU2081" s="671"/>
      <c r="AV2081" s="671"/>
      <c r="AW2081" s="671"/>
    </row>
    <row r="2082" spans="15:49" x14ac:dyDescent="0.25">
      <c r="O2082" t="s">
        <v>3323</v>
      </c>
      <c r="P2082" t="s">
        <v>5331</v>
      </c>
      <c r="Q2082" s="671">
        <v>65051</v>
      </c>
      <c r="R2082" s="671"/>
      <c r="AT2082" s="671"/>
      <c r="AU2082" s="671"/>
      <c r="AV2082" s="671"/>
      <c r="AW2082" s="671"/>
    </row>
    <row r="2083" spans="15:49" x14ac:dyDescent="0.25">
      <c r="O2083" t="s">
        <v>3323</v>
      </c>
      <c r="P2083" t="s">
        <v>5330</v>
      </c>
      <c r="Q2083" s="671">
        <v>65050</v>
      </c>
      <c r="R2083" s="671"/>
      <c r="AT2083" s="671"/>
      <c r="AU2083" s="671"/>
      <c r="AV2083" s="671"/>
      <c r="AW2083" s="671"/>
    </row>
    <row r="2084" spans="15:49" x14ac:dyDescent="0.25">
      <c r="O2084" t="s">
        <v>3323</v>
      </c>
      <c r="P2084" t="s">
        <v>5330</v>
      </c>
      <c r="Q2084" s="671">
        <v>65050</v>
      </c>
      <c r="R2084" s="671"/>
      <c r="AT2084" s="671"/>
      <c r="AU2084" s="671"/>
      <c r="AV2084" s="671"/>
      <c r="AW2084" s="671"/>
    </row>
    <row r="2085" spans="15:49" x14ac:dyDescent="0.25">
      <c r="O2085" t="s">
        <v>3323</v>
      </c>
      <c r="P2085" t="s">
        <v>5330</v>
      </c>
      <c r="Q2085" s="671">
        <v>65050</v>
      </c>
      <c r="R2085" s="671"/>
      <c r="AT2085" s="671"/>
      <c r="AU2085" s="671"/>
      <c r="AV2085" s="671"/>
      <c r="AW2085" s="671"/>
    </row>
    <row r="2086" spans="15:49" x14ac:dyDescent="0.25">
      <c r="O2086" t="s">
        <v>3323</v>
      </c>
      <c r="P2086" t="s">
        <v>5330</v>
      </c>
      <c r="Q2086" s="671">
        <v>65050</v>
      </c>
      <c r="R2086" s="671"/>
      <c r="AT2086" s="671"/>
      <c r="AU2086" s="671"/>
      <c r="AV2086" s="671"/>
      <c r="AW2086" s="671"/>
    </row>
    <row r="2087" spans="15:49" x14ac:dyDescent="0.25">
      <c r="O2087" t="s">
        <v>3323</v>
      </c>
      <c r="P2087" t="s">
        <v>5330</v>
      </c>
      <c r="Q2087" s="671">
        <v>65050</v>
      </c>
      <c r="R2087" s="671"/>
      <c r="AT2087" s="671"/>
      <c r="AU2087" s="671"/>
      <c r="AV2087" s="671"/>
      <c r="AW2087" s="671"/>
    </row>
    <row r="2088" spans="15:49" x14ac:dyDescent="0.25">
      <c r="O2088" t="s">
        <v>3323</v>
      </c>
      <c r="P2088" t="s">
        <v>5331</v>
      </c>
      <c r="Q2088" s="671">
        <v>65051</v>
      </c>
      <c r="R2088" s="671"/>
      <c r="AT2088" s="671"/>
      <c r="AU2088" s="671"/>
      <c r="AV2088" s="671"/>
      <c r="AW2088" s="671"/>
    </row>
    <row r="2089" spans="15:49" x14ac:dyDescent="0.25">
      <c r="O2089" t="s">
        <v>3323</v>
      </c>
      <c r="P2089" t="s">
        <v>5331</v>
      </c>
      <c r="Q2089" s="671">
        <v>65051</v>
      </c>
      <c r="R2089" s="671"/>
      <c r="AT2089" s="671"/>
      <c r="AU2089" s="671"/>
      <c r="AV2089" s="671"/>
      <c r="AW2089" s="671"/>
    </row>
    <row r="2090" spans="15:49" x14ac:dyDescent="0.25">
      <c r="O2090" t="s">
        <v>3323</v>
      </c>
      <c r="P2090" t="s">
        <v>5331</v>
      </c>
      <c r="Q2090" s="671">
        <v>65051</v>
      </c>
      <c r="R2090" s="671"/>
      <c r="AT2090" s="671"/>
      <c r="AU2090" s="671"/>
      <c r="AV2090" s="671"/>
      <c r="AW2090" s="671"/>
    </row>
    <row r="2091" spans="15:49" x14ac:dyDescent="0.25">
      <c r="O2091" t="s">
        <v>3323</v>
      </c>
      <c r="P2091" t="s">
        <v>5331</v>
      </c>
      <c r="Q2091" s="671">
        <v>65051</v>
      </c>
      <c r="R2091" s="671"/>
      <c r="AT2091" s="671"/>
      <c r="AU2091" s="671"/>
      <c r="AV2091" s="671"/>
      <c r="AW2091" s="671"/>
    </row>
    <row r="2092" spans="15:49" x14ac:dyDescent="0.25">
      <c r="O2092" t="s">
        <v>3323</v>
      </c>
      <c r="P2092" t="s">
        <v>5331</v>
      </c>
      <c r="Q2092" s="671">
        <v>65051</v>
      </c>
      <c r="R2092" s="671"/>
      <c r="AT2092" s="671"/>
      <c r="AU2092" s="671"/>
      <c r="AV2092" s="671"/>
      <c r="AW2092" s="671"/>
    </row>
    <row r="2093" spans="15:49" x14ac:dyDescent="0.25">
      <c r="O2093" t="s">
        <v>3323</v>
      </c>
      <c r="P2093" t="s">
        <v>5331</v>
      </c>
      <c r="Q2093" s="671">
        <v>65051</v>
      </c>
      <c r="R2093" s="671"/>
      <c r="AT2093" s="671"/>
      <c r="AU2093" s="671"/>
      <c r="AV2093" s="671"/>
      <c r="AW2093" s="671"/>
    </row>
    <row r="2094" spans="15:49" x14ac:dyDescent="0.25">
      <c r="O2094" t="s">
        <v>3323</v>
      </c>
      <c r="P2094" t="s">
        <v>5330</v>
      </c>
      <c r="Q2094" s="671">
        <v>65050</v>
      </c>
      <c r="R2094" s="671"/>
      <c r="AT2094" s="671"/>
      <c r="AU2094" s="671"/>
      <c r="AV2094" s="671"/>
      <c r="AW2094" s="671"/>
    </row>
    <row r="2095" spans="15:49" x14ac:dyDescent="0.25">
      <c r="O2095" t="s">
        <v>3323</v>
      </c>
      <c r="P2095" t="s">
        <v>5331</v>
      </c>
      <c r="Q2095" s="671">
        <v>65051</v>
      </c>
      <c r="R2095" s="671"/>
      <c r="AT2095" s="671"/>
      <c r="AU2095" s="671"/>
      <c r="AV2095" s="671"/>
      <c r="AW2095" s="671"/>
    </row>
    <row r="2096" spans="15:49" x14ac:dyDescent="0.25">
      <c r="O2096" t="s">
        <v>3323</v>
      </c>
      <c r="P2096" t="s">
        <v>5331</v>
      </c>
      <c r="Q2096" s="671">
        <v>65051</v>
      </c>
      <c r="R2096" s="671"/>
      <c r="AT2096" s="671"/>
      <c r="AU2096" s="671"/>
      <c r="AV2096" s="671"/>
      <c r="AW2096" s="671"/>
    </row>
    <row r="2097" spans="15:49" x14ac:dyDescent="0.25">
      <c r="O2097" t="s">
        <v>3323</v>
      </c>
      <c r="P2097" t="s">
        <v>5331</v>
      </c>
      <c r="Q2097" s="671">
        <v>65051</v>
      </c>
      <c r="R2097" s="671"/>
      <c r="AT2097" s="671"/>
      <c r="AU2097" s="671"/>
      <c r="AV2097" s="671"/>
      <c r="AW2097" s="671"/>
    </row>
    <row r="2098" spans="15:49" x14ac:dyDescent="0.25">
      <c r="O2098" t="s">
        <v>3323</v>
      </c>
      <c r="P2098" t="s">
        <v>5330</v>
      </c>
      <c r="Q2098" s="671">
        <v>65050</v>
      </c>
      <c r="R2098" s="671"/>
      <c r="AT2098" s="671"/>
      <c r="AU2098" s="671"/>
      <c r="AV2098" s="671"/>
      <c r="AW2098" s="671"/>
    </row>
    <row r="2099" spans="15:49" x14ac:dyDescent="0.25">
      <c r="O2099" t="s">
        <v>3323</v>
      </c>
      <c r="P2099" t="s">
        <v>5330</v>
      </c>
      <c r="Q2099" s="671">
        <v>65050</v>
      </c>
      <c r="R2099" s="671"/>
      <c r="AT2099" s="671"/>
      <c r="AU2099" s="671"/>
      <c r="AV2099" s="671"/>
      <c r="AW2099" s="671"/>
    </row>
    <row r="2100" spans="15:49" x14ac:dyDescent="0.25">
      <c r="O2100" t="s">
        <v>3323</v>
      </c>
      <c r="P2100" t="s">
        <v>5331</v>
      </c>
      <c r="Q2100" s="671">
        <v>65051</v>
      </c>
      <c r="R2100" s="671"/>
      <c r="AT2100" s="671"/>
      <c r="AU2100" s="671"/>
      <c r="AV2100" s="671"/>
      <c r="AW2100" s="671"/>
    </row>
    <row r="2101" spans="15:49" x14ac:dyDescent="0.25">
      <c r="O2101" t="s">
        <v>3323</v>
      </c>
      <c r="P2101" t="s">
        <v>5330</v>
      </c>
      <c r="Q2101" s="671">
        <v>65050</v>
      </c>
      <c r="R2101" s="671"/>
      <c r="AT2101" s="671"/>
      <c r="AU2101" s="671"/>
      <c r="AV2101" s="671"/>
      <c r="AW2101" s="671"/>
    </row>
    <row r="2102" spans="15:49" x14ac:dyDescent="0.25">
      <c r="O2102" t="s">
        <v>3323</v>
      </c>
      <c r="P2102" t="s">
        <v>5330</v>
      </c>
      <c r="Q2102" s="671">
        <v>65050</v>
      </c>
      <c r="R2102" s="671"/>
      <c r="AT2102" s="671"/>
      <c r="AU2102" s="671"/>
      <c r="AV2102" s="671"/>
      <c r="AW2102" s="671"/>
    </row>
    <row r="2103" spans="15:49" x14ac:dyDescent="0.25">
      <c r="O2103" t="s">
        <v>3323</v>
      </c>
      <c r="P2103" t="s">
        <v>5330</v>
      </c>
      <c r="Q2103" s="671">
        <v>65050</v>
      </c>
      <c r="R2103" s="671"/>
      <c r="AT2103" s="671"/>
      <c r="AU2103" s="671"/>
      <c r="AV2103" s="671"/>
      <c r="AW2103" s="671"/>
    </row>
    <row r="2104" spans="15:49" x14ac:dyDescent="0.25">
      <c r="O2104" t="s">
        <v>3323</v>
      </c>
      <c r="P2104" t="s">
        <v>5331</v>
      </c>
      <c r="Q2104" s="671">
        <v>65051</v>
      </c>
      <c r="R2104" s="671"/>
      <c r="AT2104" s="671"/>
      <c r="AU2104" s="671"/>
      <c r="AV2104" s="671"/>
      <c r="AW2104" s="671"/>
    </row>
    <row r="2105" spans="15:49" x14ac:dyDescent="0.25">
      <c r="O2105" t="s">
        <v>3323</v>
      </c>
      <c r="P2105" t="s">
        <v>5330</v>
      </c>
      <c r="Q2105" s="671">
        <v>65050</v>
      </c>
      <c r="R2105" s="671"/>
      <c r="AT2105" s="671"/>
      <c r="AU2105" s="671"/>
      <c r="AV2105" s="671"/>
      <c r="AW2105" s="671"/>
    </row>
    <row r="2106" spans="15:49" x14ac:dyDescent="0.25">
      <c r="O2106" t="s">
        <v>3323</v>
      </c>
      <c r="P2106" t="s">
        <v>5331</v>
      </c>
      <c r="Q2106" s="671">
        <v>65051</v>
      </c>
      <c r="R2106" s="671"/>
      <c r="AT2106" s="671"/>
      <c r="AU2106" s="671"/>
      <c r="AV2106" s="671"/>
      <c r="AW2106" s="671"/>
    </row>
    <row r="2107" spans="15:49" x14ac:dyDescent="0.25">
      <c r="O2107" t="s">
        <v>3323</v>
      </c>
      <c r="P2107" t="s">
        <v>5330</v>
      </c>
      <c r="Q2107" s="671">
        <v>65050</v>
      </c>
      <c r="R2107" s="671"/>
      <c r="AT2107" s="671"/>
      <c r="AU2107" s="671"/>
      <c r="AV2107" s="671"/>
      <c r="AW2107" s="671"/>
    </row>
    <row r="2108" spans="15:49" x14ac:dyDescent="0.25">
      <c r="O2108" t="s">
        <v>3323</v>
      </c>
      <c r="P2108" t="s">
        <v>5331</v>
      </c>
      <c r="Q2108" s="671">
        <v>65051</v>
      </c>
      <c r="R2108" s="671"/>
      <c r="AT2108" s="671"/>
      <c r="AU2108" s="671"/>
      <c r="AV2108" s="671"/>
      <c r="AW2108" s="671"/>
    </row>
    <row r="2109" spans="15:49" x14ac:dyDescent="0.25">
      <c r="O2109" t="s">
        <v>3323</v>
      </c>
      <c r="P2109" t="s">
        <v>5330</v>
      </c>
      <c r="Q2109" s="671">
        <v>65050</v>
      </c>
      <c r="R2109" s="671"/>
      <c r="AT2109" s="671"/>
      <c r="AU2109" s="671"/>
      <c r="AV2109" s="671"/>
      <c r="AW2109" s="671"/>
    </row>
    <row r="2110" spans="15:49" x14ac:dyDescent="0.25">
      <c r="O2110" t="s">
        <v>3323</v>
      </c>
      <c r="P2110" t="s">
        <v>5330</v>
      </c>
      <c r="Q2110" s="671">
        <v>65050</v>
      </c>
      <c r="R2110" s="671"/>
      <c r="AT2110" s="671"/>
      <c r="AU2110" s="671"/>
      <c r="AV2110" s="671"/>
      <c r="AW2110" s="671"/>
    </row>
    <row r="2111" spans="15:49" x14ac:dyDescent="0.25">
      <c r="O2111" t="s">
        <v>3323</v>
      </c>
      <c r="P2111" t="s">
        <v>5330</v>
      </c>
      <c r="Q2111" s="671">
        <v>65050</v>
      </c>
      <c r="R2111" s="671"/>
      <c r="AT2111" s="671"/>
      <c r="AU2111" s="671"/>
      <c r="AV2111" s="671"/>
      <c r="AW2111" s="671"/>
    </row>
    <row r="2112" spans="15:49" x14ac:dyDescent="0.25">
      <c r="O2112" t="s">
        <v>3323</v>
      </c>
      <c r="P2112" t="s">
        <v>5331</v>
      </c>
      <c r="Q2112" s="671">
        <v>65051</v>
      </c>
      <c r="R2112" s="671"/>
      <c r="AT2112" s="671"/>
      <c r="AU2112" s="671"/>
      <c r="AV2112" s="671"/>
      <c r="AW2112" s="671"/>
    </row>
    <row r="2113" spans="15:49" x14ac:dyDescent="0.25">
      <c r="O2113" t="s">
        <v>3323</v>
      </c>
      <c r="P2113" t="s">
        <v>5330</v>
      </c>
      <c r="Q2113" s="671">
        <v>65050</v>
      </c>
      <c r="R2113" s="671"/>
      <c r="AT2113" s="671"/>
      <c r="AU2113" s="671"/>
      <c r="AV2113" s="671"/>
      <c r="AW2113" s="671"/>
    </row>
    <row r="2114" spans="15:49" x14ac:dyDescent="0.25">
      <c r="O2114" t="s">
        <v>3323</v>
      </c>
      <c r="P2114" t="s">
        <v>5330</v>
      </c>
      <c r="Q2114" s="671">
        <v>65050</v>
      </c>
      <c r="R2114" s="671"/>
      <c r="AT2114" s="671"/>
      <c r="AU2114" s="671"/>
      <c r="AV2114" s="671"/>
      <c r="AW2114" s="671"/>
    </row>
    <row r="2115" spans="15:49" x14ac:dyDescent="0.25">
      <c r="O2115" t="s">
        <v>3323</v>
      </c>
      <c r="P2115" t="s">
        <v>5331</v>
      </c>
      <c r="Q2115" s="671">
        <v>65051</v>
      </c>
      <c r="R2115" s="671"/>
      <c r="AT2115" s="671"/>
      <c r="AU2115" s="671"/>
      <c r="AV2115" s="671"/>
      <c r="AW2115" s="671"/>
    </row>
    <row r="2116" spans="15:49" x14ac:dyDescent="0.25">
      <c r="O2116" t="s">
        <v>3323</v>
      </c>
      <c r="P2116" t="s">
        <v>5331</v>
      </c>
      <c r="Q2116" s="671">
        <v>65051</v>
      </c>
      <c r="R2116" s="671"/>
      <c r="AT2116" s="671"/>
      <c r="AU2116" s="671"/>
      <c r="AV2116" s="671"/>
      <c r="AW2116" s="671"/>
    </row>
    <row r="2117" spans="15:49" x14ac:dyDescent="0.25">
      <c r="O2117" t="s">
        <v>3323</v>
      </c>
      <c r="P2117" t="s">
        <v>5331</v>
      </c>
      <c r="Q2117" s="671">
        <v>65051</v>
      </c>
      <c r="R2117" s="671"/>
      <c r="AT2117" s="671"/>
      <c r="AU2117" s="671"/>
      <c r="AV2117" s="671"/>
      <c r="AW2117" s="671"/>
    </row>
    <row r="2118" spans="15:49" x14ac:dyDescent="0.25">
      <c r="O2118" t="s">
        <v>3323</v>
      </c>
      <c r="P2118" t="s">
        <v>5330</v>
      </c>
      <c r="Q2118" s="671">
        <v>65050</v>
      </c>
      <c r="R2118" s="671"/>
      <c r="AT2118" s="671"/>
      <c r="AU2118" s="671"/>
      <c r="AV2118" s="671"/>
      <c r="AW2118" s="671"/>
    </row>
    <row r="2119" spans="15:49" x14ac:dyDescent="0.25">
      <c r="O2119" t="s">
        <v>3323</v>
      </c>
      <c r="P2119" t="s">
        <v>5331</v>
      </c>
      <c r="Q2119" s="671">
        <v>65051</v>
      </c>
      <c r="R2119" s="671"/>
      <c r="AT2119" s="671"/>
      <c r="AU2119" s="671"/>
      <c r="AV2119" s="671"/>
      <c r="AW2119" s="671"/>
    </row>
    <row r="2120" spans="15:49" x14ac:dyDescent="0.25">
      <c r="O2120" t="s">
        <v>3323</v>
      </c>
      <c r="P2120" t="s">
        <v>5331</v>
      </c>
      <c r="Q2120" s="671">
        <v>65051</v>
      </c>
      <c r="R2120" s="671"/>
      <c r="AT2120" s="671"/>
      <c r="AU2120" s="671"/>
      <c r="AV2120" s="671"/>
      <c r="AW2120" s="671"/>
    </row>
    <row r="2121" spans="15:49" x14ac:dyDescent="0.25">
      <c r="O2121" t="s">
        <v>3323</v>
      </c>
      <c r="P2121" t="s">
        <v>5330</v>
      </c>
      <c r="Q2121" s="671">
        <v>65050</v>
      </c>
      <c r="R2121" s="671"/>
      <c r="AT2121" s="671"/>
      <c r="AU2121" s="671"/>
      <c r="AV2121" s="671"/>
      <c r="AW2121" s="671"/>
    </row>
    <row r="2122" spans="15:49" x14ac:dyDescent="0.25">
      <c r="O2122" t="s">
        <v>3323</v>
      </c>
      <c r="P2122" t="s">
        <v>5331</v>
      </c>
      <c r="Q2122" s="671">
        <v>65051</v>
      </c>
      <c r="R2122" s="671"/>
      <c r="AT2122" s="671"/>
      <c r="AU2122" s="671"/>
      <c r="AV2122" s="671"/>
      <c r="AW2122" s="671"/>
    </row>
    <row r="2123" spans="15:49" x14ac:dyDescent="0.25">
      <c r="O2123" t="s">
        <v>3323</v>
      </c>
      <c r="P2123" t="s">
        <v>5331</v>
      </c>
      <c r="Q2123" s="671">
        <v>65051</v>
      </c>
      <c r="R2123" s="671"/>
      <c r="AT2123" s="671"/>
      <c r="AU2123" s="671"/>
      <c r="AV2123" s="671"/>
      <c r="AW2123" s="671"/>
    </row>
    <row r="2124" spans="15:49" x14ac:dyDescent="0.25">
      <c r="O2124" t="s">
        <v>3323</v>
      </c>
      <c r="P2124" t="s">
        <v>5330</v>
      </c>
      <c r="Q2124" s="671">
        <v>65050</v>
      </c>
      <c r="R2124" s="671"/>
      <c r="AT2124" s="671"/>
      <c r="AU2124" s="671"/>
      <c r="AV2124" s="671"/>
      <c r="AW2124" s="671"/>
    </row>
    <row r="2125" spans="15:49" x14ac:dyDescent="0.25">
      <c r="O2125" t="s">
        <v>3323</v>
      </c>
      <c r="P2125" t="s">
        <v>5330</v>
      </c>
      <c r="Q2125" s="671">
        <v>65050</v>
      </c>
      <c r="R2125" s="671"/>
      <c r="AT2125" s="671"/>
      <c r="AU2125" s="671"/>
      <c r="AV2125" s="671"/>
      <c r="AW2125" s="671"/>
    </row>
    <row r="2126" spans="15:49" x14ac:dyDescent="0.25">
      <c r="O2126" t="s">
        <v>3323</v>
      </c>
      <c r="P2126" t="s">
        <v>5330</v>
      </c>
      <c r="Q2126" s="671">
        <v>65050</v>
      </c>
      <c r="R2126" s="671"/>
      <c r="AT2126" s="671"/>
      <c r="AU2126" s="671"/>
      <c r="AV2126" s="671"/>
      <c r="AW2126" s="671"/>
    </row>
    <row r="2127" spans="15:49" x14ac:dyDescent="0.25">
      <c r="O2127" t="s">
        <v>3323</v>
      </c>
      <c r="P2127" t="s">
        <v>5330</v>
      </c>
      <c r="Q2127" s="671">
        <v>65050</v>
      </c>
      <c r="R2127" s="671"/>
      <c r="AT2127" s="671"/>
      <c r="AU2127" s="671"/>
      <c r="AV2127" s="671"/>
      <c r="AW2127" s="671"/>
    </row>
    <row r="2128" spans="15:49" x14ac:dyDescent="0.25">
      <c r="O2128" t="s">
        <v>3323</v>
      </c>
      <c r="P2128" t="s">
        <v>5330</v>
      </c>
      <c r="Q2128" s="671">
        <v>65050</v>
      </c>
      <c r="R2128" s="671"/>
      <c r="AT2128" s="671"/>
      <c r="AU2128" s="671"/>
      <c r="AV2128" s="671"/>
      <c r="AW2128" s="671"/>
    </row>
    <row r="2129" spans="15:49" x14ac:dyDescent="0.25">
      <c r="O2129" t="s">
        <v>3323</v>
      </c>
      <c r="P2129" t="s">
        <v>5330</v>
      </c>
      <c r="Q2129" s="671">
        <v>65050</v>
      </c>
      <c r="R2129" s="671"/>
      <c r="AT2129" s="671"/>
      <c r="AU2129" s="671"/>
      <c r="AV2129" s="671"/>
      <c r="AW2129" s="671"/>
    </row>
    <row r="2130" spans="15:49" x14ac:dyDescent="0.25">
      <c r="O2130" t="s">
        <v>3323</v>
      </c>
      <c r="P2130" t="s">
        <v>5331</v>
      </c>
      <c r="Q2130" s="671">
        <v>65051</v>
      </c>
      <c r="R2130" s="671"/>
      <c r="AT2130" s="671"/>
      <c r="AU2130" s="671"/>
      <c r="AV2130" s="671"/>
      <c r="AW2130" s="671"/>
    </row>
    <row r="2131" spans="15:49" x14ac:dyDescent="0.25">
      <c r="O2131" t="s">
        <v>3323</v>
      </c>
      <c r="P2131" t="s">
        <v>5330</v>
      </c>
      <c r="Q2131" s="671">
        <v>65050</v>
      </c>
      <c r="R2131" s="671"/>
      <c r="AT2131" s="671"/>
      <c r="AU2131" s="671"/>
      <c r="AV2131" s="671"/>
      <c r="AW2131" s="671"/>
    </row>
    <row r="2132" spans="15:49" x14ac:dyDescent="0.25">
      <c r="O2132" t="s">
        <v>3323</v>
      </c>
      <c r="P2132" t="s">
        <v>5331</v>
      </c>
      <c r="Q2132" s="671">
        <v>65051</v>
      </c>
      <c r="R2132" s="671"/>
      <c r="AT2132" s="671"/>
      <c r="AU2132" s="671"/>
      <c r="AV2132" s="671"/>
      <c r="AW2132" s="671"/>
    </row>
    <row r="2133" spans="15:49" x14ac:dyDescent="0.25">
      <c r="O2133" t="s">
        <v>3323</v>
      </c>
      <c r="P2133" t="s">
        <v>5330</v>
      </c>
      <c r="Q2133" s="671">
        <v>65050</v>
      </c>
      <c r="R2133" s="671"/>
      <c r="AT2133" s="671"/>
      <c r="AU2133" s="671"/>
      <c r="AV2133" s="671"/>
      <c r="AW2133" s="671"/>
    </row>
    <row r="2134" spans="15:49" x14ac:dyDescent="0.25">
      <c r="O2134" t="s">
        <v>3323</v>
      </c>
      <c r="P2134" t="s">
        <v>5330</v>
      </c>
      <c r="Q2134" s="671">
        <v>65050</v>
      </c>
      <c r="R2134" s="671"/>
      <c r="AT2134" s="671"/>
      <c r="AU2134" s="671"/>
      <c r="AV2134" s="671"/>
      <c r="AW2134" s="671"/>
    </row>
    <row r="2135" spans="15:49" x14ac:dyDescent="0.25">
      <c r="O2135" t="s">
        <v>3323</v>
      </c>
      <c r="P2135" t="s">
        <v>5330</v>
      </c>
      <c r="Q2135" s="671">
        <v>65050</v>
      </c>
      <c r="R2135" s="671"/>
      <c r="AT2135" s="671"/>
      <c r="AU2135" s="671"/>
      <c r="AV2135" s="671"/>
      <c r="AW2135" s="671"/>
    </row>
    <row r="2136" spans="15:49" x14ac:dyDescent="0.25">
      <c r="O2136" t="s">
        <v>3323</v>
      </c>
      <c r="P2136" t="s">
        <v>5331</v>
      </c>
      <c r="Q2136" s="671">
        <v>65051</v>
      </c>
      <c r="R2136" s="671"/>
      <c r="AT2136" s="671"/>
      <c r="AU2136" s="671"/>
      <c r="AV2136" s="671"/>
      <c r="AW2136" s="671"/>
    </row>
    <row r="2137" spans="15:49" x14ac:dyDescent="0.25">
      <c r="O2137" t="s">
        <v>3323</v>
      </c>
      <c r="P2137" t="s">
        <v>5331</v>
      </c>
      <c r="Q2137" s="671">
        <v>65051</v>
      </c>
      <c r="R2137" s="671"/>
      <c r="AT2137" s="671"/>
      <c r="AU2137" s="671"/>
      <c r="AV2137" s="671"/>
      <c r="AW2137" s="671"/>
    </row>
    <row r="2138" spans="15:49" x14ac:dyDescent="0.25">
      <c r="O2138" t="s">
        <v>3325</v>
      </c>
      <c r="P2138" t="s">
        <v>5330</v>
      </c>
      <c r="Q2138" s="671">
        <v>65050</v>
      </c>
      <c r="R2138" s="671"/>
      <c r="AT2138" s="671"/>
      <c r="AU2138" s="671"/>
      <c r="AV2138" s="671"/>
      <c r="AW2138" s="671"/>
    </row>
    <row r="2139" spans="15:49" x14ac:dyDescent="0.25">
      <c r="O2139" t="s">
        <v>3325</v>
      </c>
      <c r="P2139" t="s">
        <v>5331</v>
      </c>
      <c r="Q2139" s="671">
        <v>65051</v>
      </c>
      <c r="R2139" s="671"/>
      <c r="AT2139" s="671"/>
      <c r="AU2139" s="671"/>
      <c r="AV2139" s="671"/>
      <c r="AW2139" s="671"/>
    </row>
    <row r="2140" spans="15:49" x14ac:dyDescent="0.25">
      <c r="O2140" t="s">
        <v>3325</v>
      </c>
      <c r="P2140" t="s">
        <v>5331</v>
      </c>
      <c r="Q2140" s="671">
        <v>65051</v>
      </c>
      <c r="R2140" s="671"/>
      <c r="AT2140" s="671"/>
      <c r="AU2140" s="671"/>
      <c r="AV2140" s="671"/>
      <c r="AW2140" s="671"/>
    </row>
    <row r="2141" spans="15:49" x14ac:dyDescent="0.25">
      <c r="O2141" t="s">
        <v>3325</v>
      </c>
      <c r="P2141" t="s">
        <v>5330</v>
      </c>
      <c r="Q2141" s="671">
        <v>65050</v>
      </c>
      <c r="R2141" s="671"/>
      <c r="AT2141" s="671"/>
      <c r="AU2141" s="671"/>
      <c r="AV2141" s="671"/>
      <c r="AW2141" s="671"/>
    </row>
    <row r="2142" spans="15:49" x14ac:dyDescent="0.25">
      <c r="O2142" t="s">
        <v>3325</v>
      </c>
      <c r="P2142" t="s">
        <v>5331</v>
      </c>
      <c r="Q2142" s="671">
        <v>67073</v>
      </c>
      <c r="R2142" s="671"/>
      <c r="AT2142" s="671"/>
      <c r="AU2142" s="671"/>
      <c r="AV2142" s="671"/>
      <c r="AW2142" s="671"/>
    </row>
    <row r="2143" spans="15:49" x14ac:dyDescent="0.25">
      <c r="O2143" t="s">
        <v>3325</v>
      </c>
      <c r="P2143" t="s">
        <v>5331</v>
      </c>
      <c r="Q2143" s="671">
        <v>65051</v>
      </c>
      <c r="R2143" s="671"/>
      <c r="AT2143" s="671"/>
      <c r="AU2143" s="671"/>
      <c r="AV2143" s="671"/>
      <c r="AW2143" s="671"/>
    </row>
    <row r="2144" spans="15:49" x14ac:dyDescent="0.25">
      <c r="O2144" t="s">
        <v>3325</v>
      </c>
      <c r="P2144" t="s">
        <v>5330</v>
      </c>
      <c r="Q2144" s="671">
        <v>65050</v>
      </c>
      <c r="R2144" s="671"/>
      <c r="AT2144" s="671"/>
      <c r="AU2144" s="671"/>
      <c r="AV2144" s="671"/>
      <c r="AW2144" s="671"/>
    </row>
    <row r="2145" spans="15:49" x14ac:dyDescent="0.25">
      <c r="O2145" t="s">
        <v>3325</v>
      </c>
      <c r="P2145" t="s">
        <v>5330</v>
      </c>
      <c r="Q2145" s="671">
        <v>65050</v>
      </c>
      <c r="R2145" s="671"/>
      <c r="AT2145" s="671"/>
      <c r="AU2145" s="671"/>
      <c r="AV2145" s="671"/>
      <c r="AW2145" s="671"/>
    </row>
    <row r="2146" spans="15:49" x14ac:dyDescent="0.25">
      <c r="O2146" t="s">
        <v>3325</v>
      </c>
      <c r="P2146" t="s">
        <v>5330</v>
      </c>
      <c r="Q2146" s="671">
        <v>65050</v>
      </c>
      <c r="R2146" s="671"/>
      <c r="AT2146" s="671"/>
      <c r="AU2146" s="671"/>
      <c r="AV2146" s="671"/>
      <c r="AW2146" s="671"/>
    </row>
    <row r="2147" spans="15:49" x14ac:dyDescent="0.25">
      <c r="O2147" t="s">
        <v>3325</v>
      </c>
      <c r="P2147" t="s">
        <v>5331</v>
      </c>
      <c r="Q2147" s="671">
        <v>65051</v>
      </c>
      <c r="R2147" s="671"/>
      <c r="AT2147" s="671"/>
      <c r="AU2147" s="671"/>
      <c r="AV2147" s="671"/>
      <c r="AW2147" s="671"/>
    </row>
    <row r="2148" spans="15:49" x14ac:dyDescent="0.25">
      <c r="O2148" t="s">
        <v>3325</v>
      </c>
      <c r="P2148" t="s">
        <v>5330</v>
      </c>
      <c r="Q2148" s="671">
        <v>65050</v>
      </c>
      <c r="R2148" s="671"/>
      <c r="AT2148" s="671"/>
      <c r="AU2148" s="671"/>
      <c r="AV2148" s="671"/>
      <c r="AW2148" s="671"/>
    </row>
    <row r="2149" spans="15:49" x14ac:dyDescent="0.25">
      <c r="O2149" t="s">
        <v>3325</v>
      </c>
      <c r="P2149" t="s">
        <v>5330</v>
      </c>
      <c r="Q2149" s="671">
        <v>65050</v>
      </c>
      <c r="R2149" s="671"/>
      <c r="AT2149" s="671"/>
      <c r="AU2149" s="671"/>
      <c r="AV2149" s="671"/>
      <c r="AW2149" s="671"/>
    </row>
    <row r="2150" spans="15:49" x14ac:dyDescent="0.25">
      <c r="O2150" t="s">
        <v>3325</v>
      </c>
      <c r="P2150" t="s">
        <v>5331</v>
      </c>
      <c r="Q2150" s="671">
        <v>65051</v>
      </c>
      <c r="R2150" s="671"/>
      <c r="AT2150" s="671"/>
      <c r="AU2150" s="671"/>
      <c r="AV2150" s="671"/>
      <c r="AW2150" s="671"/>
    </row>
    <row r="2151" spans="15:49" x14ac:dyDescent="0.25">
      <c r="O2151" t="s">
        <v>3325</v>
      </c>
      <c r="P2151" t="s">
        <v>5331</v>
      </c>
      <c r="Q2151" s="671">
        <v>65051</v>
      </c>
      <c r="R2151" s="671"/>
      <c r="AT2151" s="671"/>
      <c r="AU2151" s="671"/>
      <c r="AV2151" s="671"/>
      <c r="AW2151" s="671"/>
    </row>
    <row r="2152" spans="15:49" x14ac:dyDescent="0.25">
      <c r="O2152" t="s">
        <v>3325</v>
      </c>
      <c r="P2152" t="s">
        <v>5330</v>
      </c>
      <c r="Q2152" s="671">
        <v>65050</v>
      </c>
      <c r="R2152" s="671"/>
      <c r="AT2152" s="671"/>
      <c r="AU2152" s="671"/>
      <c r="AV2152" s="671"/>
      <c r="AW2152" s="671"/>
    </row>
    <row r="2153" spans="15:49" x14ac:dyDescent="0.25">
      <c r="O2153" t="s">
        <v>3325</v>
      </c>
      <c r="P2153" t="s">
        <v>5330</v>
      </c>
      <c r="Q2153" s="671">
        <v>65050</v>
      </c>
      <c r="R2153" s="671"/>
      <c r="AT2153" s="671"/>
      <c r="AU2153" s="671"/>
      <c r="AV2153" s="671"/>
      <c r="AW2153" s="671"/>
    </row>
    <row r="2154" spans="15:49" x14ac:dyDescent="0.25">
      <c r="O2154" t="s">
        <v>3325</v>
      </c>
      <c r="P2154" t="s">
        <v>5330</v>
      </c>
      <c r="Q2154" s="671">
        <v>65050</v>
      </c>
      <c r="R2154" s="671"/>
      <c r="AT2154" s="671"/>
      <c r="AU2154" s="671"/>
      <c r="AV2154" s="671"/>
      <c r="AW2154" s="671"/>
    </row>
    <row r="2155" spans="15:49" x14ac:dyDescent="0.25">
      <c r="O2155" t="s">
        <v>3325</v>
      </c>
      <c r="P2155" t="s">
        <v>5330</v>
      </c>
      <c r="Q2155" s="671">
        <v>65050</v>
      </c>
      <c r="R2155" s="671"/>
      <c r="AT2155" s="671"/>
      <c r="AU2155" s="671"/>
      <c r="AV2155" s="671"/>
      <c r="AW2155" s="671"/>
    </row>
    <row r="2156" spans="15:49" x14ac:dyDescent="0.25">
      <c r="O2156" t="s">
        <v>3325</v>
      </c>
      <c r="P2156" t="s">
        <v>5330</v>
      </c>
      <c r="Q2156" s="671">
        <v>65050</v>
      </c>
      <c r="R2156" s="671"/>
      <c r="AT2156" s="671"/>
      <c r="AU2156" s="671"/>
      <c r="AV2156" s="671"/>
      <c r="AW2156" s="671"/>
    </row>
    <row r="2157" spans="15:49" x14ac:dyDescent="0.25">
      <c r="O2157" t="s">
        <v>3325</v>
      </c>
      <c r="P2157" t="s">
        <v>5331</v>
      </c>
      <c r="Q2157" s="671">
        <v>65051</v>
      </c>
      <c r="R2157" s="671"/>
      <c r="AT2157" s="671"/>
      <c r="AU2157" s="671"/>
      <c r="AV2157" s="671"/>
      <c r="AW2157" s="671"/>
    </row>
    <row r="2158" spans="15:49" x14ac:dyDescent="0.25">
      <c r="O2158" t="s">
        <v>3325</v>
      </c>
      <c r="P2158" t="s">
        <v>5331</v>
      </c>
      <c r="Q2158" s="671">
        <v>65051</v>
      </c>
      <c r="R2158" s="671"/>
      <c r="AT2158" s="671"/>
      <c r="AU2158" s="671"/>
      <c r="AV2158" s="671"/>
      <c r="AW2158" s="671"/>
    </row>
    <row r="2159" spans="15:49" x14ac:dyDescent="0.25">
      <c r="O2159" t="s">
        <v>3325</v>
      </c>
      <c r="P2159" t="s">
        <v>5331</v>
      </c>
      <c r="Q2159" s="671">
        <v>65051</v>
      </c>
      <c r="R2159" s="671"/>
      <c r="AT2159" s="671"/>
      <c r="AU2159" s="671"/>
      <c r="AV2159" s="671"/>
      <c r="AW2159" s="671"/>
    </row>
    <row r="2160" spans="15:49" x14ac:dyDescent="0.25">
      <c r="O2160" t="s">
        <v>3325</v>
      </c>
      <c r="P2160" t="s">
        <v>5331</v>
      </c>
      <c r="Q2160" s="671">
        <v>65051</v>
      </c>
      <c r="R2160" s="671"/>
      <c r="AT2160" s="671"/>
      <c r="AU2160" s="671"/>
      <c r="AV2160" s="671"/>
      <c r="AW2160" s="671"/>
    </row>
    <row r="2161" spans="15:49" x14ac:dyDescent="0.25">
      <c r="O2161" t="s">
        <v>3325</v>
      </c>
      <c r="P2161" t="s">
        <v>5331</v>
      </c>
      <c r="Q2161" s="671">
        <v>65051</v>
      </c>
      <c r="R2161" s="671"/>
      <c r="AT2161" s="671"/>
      <c r="AU2161" s="671"/>
      <c r="AV2161" s="671"/>
      <c r="AW2161" s="671"/>
    </row>
    <row r="2162" spans="15:49" x14ac:dyDescent="0.25">
      <c r="O2162" t="s">
        <v>3325</v>
      </c>
      <c r="P2162" t="s">
        <v>5331</v>
      </c>
      <c r="Q2162" s="671">
        <v>65051</v>
      </c>
      <c r="R2162" s="671"/>
      <c r="AT2162" s="671"/>
      <c r="AU2162" s="671"/>
      <c r="AV2162" s="671"/>
      <c r="AW2162" s="671"/>
    </row>
    <row r="2163" spans="15:49" x14ac:dyDescent="0.25">
      <c r="O2163" t="s">
        <v>3325</v>
      </c>
      <c r="P2163" t="s">
        <v>5330</v>
      </c>
      <c r="Q2163" s="671">
        <v>65050</v>
      </c>
      <c r="R2163" s="671"/>
      <c r="AT2163" s="671"/>
      <c r="AU2163" s="671"/>
      <c r="AV2163" s="671"/>
      <c r="AW2163" s="671"/>
    </row>
    <row r="2164" spans="15:49" x14ac:dyDescent="0.25">
      <c r="O2164" t="s">
        <v>3325</v>
      </c>
      <c r="P2164" t="s">
        <v>5331</v>
      </c>
      <c r="Q2164" s="671">
        <v>65051</v>
      </c>
      <c r="R2164" s="671"/>
      <c r="AT2164" s="671"/>
      <c r="AU2164" s="671"/>
      <c r="AV2164" s="671"/>
      <c r="AW2164" s="671"/>
    </row>
    <row r="2165" spans="15:49" x14ac:dyDescent="0.25">
      <c r="O2165" t="s">
        <v>3325</v>
      </c>
      <c r="P2165" t="s">
        <v>5331</v>
      </c>
      <c r="Q2165" s="671">
        <v>65051</v>
      </c>
      <c r="R2165" s="671"/>
      <c r="AT2165" s="671"/>
      <c r="AU2165" s="671"/>
      <c r="AV2165" s="671"/>
      <c r="AW2165" s="671"/>
    </row>
    <row r="2166" spans="15:49" x14ac:dyDescent="0.25">
      <c r="O2166" t="s">
        <v>3325</v>
      </c>
      <c r="P2166" t="s">
        <v>5331</v>
      </c>
      <c r="Q2166" s="671">
        <v>65051</v>
      </c>
      <c r="R2166" s="671"/>
      <c r="AT2166" s="671"/>
      <c r="AU2166" s="671"/>
      <c r="AV2166" s="671"/>
      <c r="AW2166" s="671"/>
    </row>
    <row r="2167" spans="15:49" x14ac:dyDescent="0.25">
      <c r="O2167" t="s">
        <v>3325</v>
      </c>
      <c r="P2167" t="s">
        <v>5330</v>
      </c>
      <c r="Q2167" s="671">
        <v>65050</v>
      </c>
      <c r="R2167" s="671"/>
      <c r="AT2167" s="671"/>
      <c r="AU2167" s="671"/>
      <c r="AV2167" s="671"/>
      <c r="AW2167" s="671"/>
    </row>
    <row r="2168" spans="15:49" x14ac:dyDescent="0.25">
      <c r="O2168" t="s">
        <v>3325</v>
      </c>
      <c r="P2168" t="s">
        <v>5330</v>
      </c>
      <c r="Q2168" s="671">
        <v>65050</v>
      </c>
      <c r="R2168" s="671"/>
      <c r="AT2168" s="671"/>
      <c r="AU2168" s="671"/>
      <c r="AV2168" s="671"/>
      <c r="AW2168" s="671"/>
    </row>
    <row r="2169" spans="15:49" x14ac:dyDescent="0.25">
      <c r="O2169" t="s">
        <v>3325</v>
      </c>
      <c r="P2169" t="s">
        <v>5331</v>
      </c>
      <c r="Q2169" s="671">
        <v>65051</v>
      </c>
      <c r="R2169" s="671"/>
      <c r="AT2169" s="671"/>
      <c r="AU2169" s="671"/>
      <c r="AV2169" s="671"/>
      <c r="AW2169" s="671"/>
    </row>
    <row r="2170" spans="15:49" x14ac:dyDescent="0.25">
      <c r="O2170" t="s">
        <v>3325</v>
      </c>
      <c r="P2170" t="s">
        <v>5330</v>
      </c>
      <c r="Q2170" s="671">
        <v>65050</v>
      </c>
      <c r="R2170" s="671"/>
      <c r="AT2170" s="671"/>
      <c r="AU2170" s="671"/>
      <c r="AV2170" s="671"/>
      <c r="AW2170" s="671"/>
    </row>
    <row r="2171" spans="15:49" x14ac:dyDescent="0.25">
      <c r="O2171" t="s">
        <v>3325</v>
      </c>
      <c r="P2171" t="s">
        <v>5330</v>
      </c>
      <c r="Q2171" s="671">
        <v>65050</v>
      </c>
      <c r="R2171" s="671"/>
      <c r="AT2171" s="671"/>
      <c r="AU2171" s="671"/>
      <c r="AV2171" s="671"/>
      <c r="AW2171" s="671"/>
    </row>
    <row r="2172" spans="15:49" x14ac:dyDescent="0.25">
      <c r="O2172" t="s">
        <v>3325</v>
      </c>
      <c r="P2172" t="s">
        <v>5330</v>
      </c>
      <c r="Q2172" s="671">
        <v>65050</v>
      </c>
      <c r="R2172" s="671"/>
      <c r="AT2172" s="671"/>
      <c r="AU2172" s="671"/>
      <c r="AV2172" s="671"/>
      <c r="AW2172" s="671"/>
    </row>
    <row r="2173" spans="15:49" x14ac:dyDescent="0.25">
      <c r="O2173" t="s">
        <v>3325</v>
      </c>
      <c r="P2173" t="s">
        <v>5331</v>
      </c>
      <c r="Q2173" s="671">
        <v>65051</v>
      </c>
      <c r="R2173" s="671"/>
      <c r="AT2173" s="671"/>
      <c r="AU2173" s="671"/>
      <c r="AV2173" s="671"/>
      <c r="AW2173" s="671"/>
    </row>
    <row r="2174" spans="15:49" x14ac:dyDescent="0.25">
      <c r="O2174" t="s">
        <v>3325</v>
      </c>
      <c r="P2174" t="s">
        <v>5330</v>
      </c>
      <c r="Q2174" s="671">
        <v>65050</v>
      </c>
      <c r="R2174" s="671"/>
      <c r="AT2174" s="671"/>
      <c r="AU2174" s="671"/>
      <c r="AV2174" s="671"/>
      <c r="AW2174" s="671"/>
    </row>
    <row r="2175" spans="15:49" x14ac:dyDescent="0.25">
      <c r="O2175" t="s">
        <v>3325</v>
      </c>
      <c r="P2175" t="s">
        <v>5331</v>
      </c>
      <c r="Q2175" s="671">
        <v>65051</v>
      </c>
      <c r="R2175" s="671"/>
      <c r="AT2175" s="671"/>
      <c r="AU2175" s="671"/>
      <c r="AV2175" s="671"/>
      <c r="AW2175" s="671"/>
    </row>
    <row r="2176" spans="15:49" x14ac:dyDescent="0.25">
      <c r="O2176" t="s">
        <v>3325</v>
      </c>
      <c r="P2176" t="s">
        <v>5330</v>
      </c>
      <c r="Q2176" s="671">
        <v>65050</v>
      </c>
      <c r="R2176" s="671"/>
      <c r="AT2176" s="671"/>
      <c r="AU2176" s="671"/>
      <c r="AV2176" s="671"/>
      <c r="AW2176" s="671"/>
    </row>
    <row r="2177" spans="15:49" x14ac:dyDescent="0.25">
      <c r="O2177" t="s">
        <v>3325</v>
      </c>
      <c r="P2177" t="s">
        <v>5331</v>
      </c>
      <c r="Q2177" s="671">
        <v>65051</v>
      </c>
      <c r="R2177" s="671"/>
      <c r="AT2177" s="671"/>
      <c r="AU2177" s="671"/>
      <c r="AV2177" s="671"/>
      <c r="AW2177" s="671"/>
    </row>
    <row r="2178" spans="15:49" x14ac:dyDescent="0.25">
      <c r="O2178" t="s">
        <v>3325</v>
      </c>
      <c r="P2178" t="s">
        <v>5330</v>
      </c>
      <c r="Q2178" s="671">
        <v>65050</v>
      </c>
      <c r="R2178" s="671"/>
      <c r="AT2178" s="671"/>
      <c r="AU2178" s="671"/>
      <c r="AV2178" s="671"/>
      <c r="AW2178" s="671"/>
    </row>
    <row r="2179" spans="15:49" x14ac:dyDescent="0.25">
      <c r="O2179" t="s">
        <v>3325</v>
      </c>
      <c r="P2179" t="s">
        <v>5330</v>
      </c>
      <c r="Q2179" s="671">
        <v>65050</v>
      </c>
      <c r="R2179" s="671"/>
      <c r="AT2179" s="671"/>
      <c r="AU2179" s="671"/>
      <c r="AV2179" s="671"/>
      <c r="AW2179" s="671"/>
    </row>
    <row r="2180" spans="15:49" x14ac:dyDescent="0.25">
      <c r="O2180" t="s">
        <v>3325</v>
      </c>
      <c r="P2180" t="s">
        <v>5330</v>
      </c>
      <c r="Q2180" s="671">
        <v>65050</v>
      </c>
      <c r="R2180" s="671"/>
      <c r="AT2180" s="671"/>
      <c r="AU2180" s="671"/>
      <c r="AV2180" s="671"/>
      <c r="AW2180" s="671"/>
    </row>
    <row r="2181" spans="15:49" x14ac:dyDescent="0.25">
      <c r="O2181" t="s">
        <v>3325</v>
      </c>
      <c r="P2181" t="s">
        <v>5331</v>
      </c>
      <c r="Q2181" s="671">
        <v>65051</v>
      </c>
      <c r="R2181" s="671"/>
      <c r="AT2181" s="671"/>
      <c r="AU2181" s="671"/>
      <c r="AV2181" s="671"/>
      <c r="AW2181" s="671"/>
    </row>
    <row r="2182" spans="15:49" x14ac:dyDescent="0.25">
      <c r="O2182" t="s">
        <v>3325</v>
      </c>
      <c r="P2182" t="s">
        <v>5330</v>
      </c>
      <c r="Q2182" s="671">
        <v>65050</v>
      </c>
      <c r="R2182" s="671"/>
      <c r="AT2182" s="671"/>
      <c r="AU2182" s="671"/>
      <c r="AV2182" s="671"/>
      <c r="AW2182" s="671"/>
    </row>
    <row r="2183" spans="15:49" x14ac:dyDescent="0.25">
      <c r="O2183" t="s">
        <v>3325</v>
      </c>
      <c r="P2183" t="s">
        <v>5330</v>
      </c>
      <c r="Q2183" s="671">
        <v>65050</v>
      </c>
      <c r="R2183" s="671"/>
      <c r="AT2183" s="671"/>
      <c r="AU2183" s="671"/>
      <c r="AV2183" s="671"/>
      <c r="AW2183" s="671"/>
    </row>
    <row r="2184" spans="15:49" x14ac:dyDescent="0.25">
      <c r="O2184" t="s">
        <v>3325</v>
      </c>
      <c r="P2184" t="s">
        <v>5331</v>
      </c>
      <c r="Q2184" s="671">
        <v>65051</v>
      </c>
      <c r="R2184" s="671"/>
      <c r="AT2184" s="671"/>
      <c r="AU2184" s="671"/>
      <c r="AV2184" s="671"/>
      <c r="AW2184" s="671"/>
    </row>
    <row r="2185" spans="15:49" x14ac:dyDescent="0.25">
      <c r="O2185" t="s">
        <v>3325</v>
      </c>
      <c r="P2185" t="s">
        <v>5331</v>
      </c>
      <c r="Q2185" s="671">
        <v>65051</v>
      </c>
      <c r="R2185" s="671"/>
      <c r="AT2185" s="671"/>
      <c r="AU2185" s="671"/>
      <c r="AV2185" s="671"/>
      <c r="AW2185" s="671"/>
    </row>
    <row r="2186" spans="15:49" x14ac:dyDescent="0.25">
      <c r="O2186" t="s">
        <v>3325</v>
      </c>
      <c r="P2186" t="s">
        <v>5331</v>
      </c>
      <c r="Q2186" s="671">
        <v>65051</v>
      </c>
      <c r="R2186" s="671"/>
      <c r="AT2186" s="671"/>
      <c r="AU2186" s="671"/>
      <c r="AV2186" s="671"/>
      <c r="AW2186" s="671"/>
    </row>
    <row r="2187" spans="15:49" x14ac:dyDescent="0.25">
      <c r="O2187" t="s">
        <v>3325</v>
      </c>
      <c r="P2187" t="s">
        <v>5330</v>
      </c>
      <c r="Q2187" s="671">
        <v>65050</v>
      </c>
      <c r="R2187" s="671"/>
      <c r="AT2187" s="671"/>
      <c r="AU2187" s="671"/>
      <c r="AV2187" s="671"/>
      <c r="AW2187" s="671"/>
    </row>
    <row r="2188" spans="15:49" x14ac:dyDescent="0.25">
      <c r="O2188" t="s">
        <v>3325</v>
      </c>
      <c r="P2188" t="s">
        <v>5331</v>
      </c>
      <c r="Q2188" s="671">
        <v>65051</v>
      </c>
      <c r="R2188" s="671"/>
      <c r="AT2188" s="671"/>
      <c r="AU2188" s="671"/>
      <c r="AV2188" s="671"/>
      <c r="AW2188" s="671"/>
    </row>
    <row r="2189" spans="15:49" x14ac:dyDescent="0.25">
      <c r="O2189" t="s">
        <v>3325</v>
      </c>
      <c r="P2189" t="s">
        <v>5331</v>
      </c>
      <c r="Q2189" s="671">
        <v>65051</v>
      </c>
      <c r="R2189" s="671"/>
      <c r="AT2189" s="671"/>
      <c r="AU2189" s="671"/>
      <c r="AV2189" s="671"/>
      <c r="AW2189" s="671"/>
    </row>
    <row r="2190" spans="15:49" x14ac:dyDescent="0.25">
      <c r="O2190" t="s">
        <v>3325</v>
      </c>
      <c r="P2190" t="s">
        <v>5330</v>
      </c>
      <c r="Q2190" s="671">
        <v>65050</v>
      </c>
      <c r="R2190" s="671"/>
      <c r="AT2190" s="671"/>
      <c r="AU2190" s="671"/>
      <c r="AV2190" s="671"/>
      <c r="AW2190" s="671"/>
    </row>
    <row r="2191" spans="15:49" x14ac:dyDescent="0.25">
      <c r="O2191" t="s">
        <v>3325</v>
      </c>
      <c r="P2191" t="s">
        <v>5331</v>
      </c>
      <c r="Q2191" s="671">
        <v>65051</v>
      </c>
      <c r="R2191" s="671"/>
      <c r="AT2191" s="671"/>
      <c r="AU2191" s="671"/>
      <c r="AV2191" s="671"/>
      <c r="AW2191" s="671"/>
    </row>
    <row r="2192" spans="15:49" x14ac:dyDescent="0.25">
      <c r="O2192" t="s">
        <v>3325</v>
      </c>
      <c r="P2192" t="s">
        <v>5331</v>
      </c>
      <c r="Q2192" s="671">
        <v>65051</v>
      </c>
      <c r="R2192" s="671"/>
      <c r="AT2192" s="671"/>
      <c r="AU2192" s="671"/>
      <c r="AV2192" s="671"/>
      <c r="AW2192" s="671"/>
    </row>
    <row r="2193" spans="15:49" x14ac:dyDescent="0.25">
      <c r="O2193" t="s">
        <v>3325</v>
      </c>
      <c r="P2193" t="s">
        <v>5330</v>
      </c>
      <c r="Q2193" s="671">
        <v>65050</v>
      </c>
      <c r="R2193" s="671"/>
      <c r="AT2193" s="671"/>
      <c r="AU2193" s="671"/>
      <c r="AV2193" s="671"/>
      <c r="AW2193" s="671"/>
    </row>
    <row r="2194" spans="15:49" x14ac:dyDescent="0.25">
      <c r="O2194" t="s">
        <v>3325</v>
      </c>
      <c r="P2194" t="s">
        <v>5330</v>
      </c>
      <c r="Q2194" s="671">
        <v>65050</v>
      </c>
      <c r="R2194" s="671"/>
      <c r="AT2194" s="671"/>
      <c r="AU2194" s="671"/>
      <c r="AV2194" s="671"/>
      <c r="AW2194" s="671"/>
    </row>
    <row r="2195" spans="15:49" x14ac:dyDescent="0.25">
      <c r="O2195" t="s">
        <v>3325</v>
      </c>
      <c r="P2195" t="s">
        <v>5330</v>
      </c>
      <c r="Q2195" s="671">
        <v>65050</v>
      </c>
      <c r="R2195" s="671"/>
      <c r="AT2195" s="671"/>
      <c r="AU2195" s="671"/>
      <c r="AV2195" s="671"/>
      <c r="AW2195" s="671"/>
    </row>
    <row r="2196" spans="15:49" x14ac:dyDescent="0.25">
      <c r="O2196" t="s">
        <v>3325</v>
      </c>
      <c r="P2196" t="s">
        <v>5330</v>
      </c>
      <c r="Q2196" s="671">
        <v>65050</v>
      </c>
      <c r="R2196" s="671"/>
      <c r="AT2196" s="671"/>
      <c r="AU2196" s="671"/>
      <c r="AV2196" s="671"/>
      <c r="AW2196" s="671"/>
    </row>
    <row r="2197" spans="15:49" x14ac:dyDescent="0.25">
      <c r="O2197" t="s">
        <v>3325</v>
      </c>
      <c r="P2197" t="s">
        <v>5330</v>
      </c>
      <c r="Q2197" s="671">
        <v>65050</v>
      </c>
      <c r="R2197" s="671"/>
      <c r="AT2197" s="671"/>
      <c r="AU2197" s="671"/>
      <c r="AV2197" s="671"/>
      <c r="AW2197" s="671"/>
    </row>
    <row r="2198" spans="15:49" x14ac:dyDescent="0.25">
      <c r="O2198" t="s">
        <v>3325</v>
      </c>
      <c r="P2198" t="s">
        <v>5330</v>
      </c>
      <c r="Q2198" s="671">
        <v>65050</v>
      </c>
      <c r="R2198" s="671"/>
      <c r="AT2198" s="671"/>
      <c r="AU2198" s="671"/>
      <c r="AV2198" s="671"/>
      <c r="AW2198" s="671"/>
    </row>
    <row r="2199" spans="15:49" x14ac:dyDescent="0.25">
      <c r="O2199" t="s">
        <v>3325</v>
      </c>
      <c r="P2199" t="s">
        <v>5331</v>
      </c>
      <c r="Q2199" s="671">
        <v>65051</v>
      </c>
      <c r="R2199" s="671"/>
      <c r="AT2199" s="671"/>
      <c r="AU2199" s="671"/>
      <c r="AV2199" s="671"/>
      <c r="AW2199" s="671"/>
    </row>
    <row r="2200" spans="15:49" x14ac:dyDescent="0.25">
      <c r="O2200" t="s">
        <v>3325</v>
      </c>
      <c r="P2200" t="s">
        <v>5330</v>
      </c>
      <c r="Q2200" s="671">
        <v>65050</v>
      </c>
      <c r="R2200" s="671"/>
      <c r="AT2200" s="671"/>
      <c r="AU2200" s="671"/>
      <c r="AV2200" s="671"/>
      <c r="AW2200" s="671"/>
    </row>
    <row r="2201" spans="15:49" x14ac:dyDescent="0.25">
      <c r="O2201" t="s">
        <v>3325</v>
      </c>
      <c r="P2201" t="s">
        <v>5331</v>
      </c>
      <c r="Q2201" s="671">
        <v>65051</v>
      </c>
      <c r="R2201" s="671"/>
      <c r="AT2201" s="671"/>
      <c r="AU2201" s="671"/>
      <c r="AV2201" s="671"/>
      <c r="AW2201" s="671"/>
    </row>
    <row r="2202" spans="15:49" x14ac:dyDescent="0.25">
      <c r="O2202" t="s">
        <v>3325</v>
      </c>
      <c r="P2202" t="s">
        <v>5330</v>
      </c>
      <c r="Q2202" s="671">
        <v>65050</v>
      </c>
      <c r="R2202" s="671"/>
      <c r="AT2202" s="671"/>
      <c r="AU2202" s="671"/>
      <c r="AV2202" s="671"/>
      <c r="AW2202" s="671"/>
    </row>
    <row r="2203" spans="15:49" x14ac:dyDescent="0.25">
      <c r="O2203" t="s">
        <v>3325</v>
      </c>
      <c r="P2203" t="s">
        <v>5330</v>
      </c>
      <c r="Q2203" s="671">
        <v>65050</v>
      </c>
      <c r="R2203" s="671"/>
      <c r="AT2203" s="671"/>
      <c r="AU2203" s="671"/>
      <c r="AV2203" s="671"/>
      <c r="AW2203" s="671"/>
    </row>
    <row r="2204" spans="15:49" x14ac:dyDescent="0.25">
      <c r="O2204" t="s">
        <v>3325</v>
      </c>
      <c r="P2204" t="s">
        <v>5330</v>
      </c>
      <c r="Q2204" s="671">
        <v>65050</v>
      </c>
      <c r="R2204" s="671"/>
      <c r="AT2204" s="671"/>
      <c r="AU2204" s="671"/>
      <c r="AV2204" s="671"/>
      <c r="AW2204" s="671"/>
    </row>
    <row r="2205" spans="15:49" x14ac:dyDescent="0.25">
      <c r="O2205" t="s">
        <v>3325</v>
      </c>
      <c r="P2205" t="s">
        <v>5331</v>
      </c>
      <c r="Q2205" s="671">
        <v>65051</v>
      </c>
      <c r="R2205" s="671"/>
      <c r="AT2205" s="671"/>
      <c r="AU2205" s="671"/>
      <c r="AV2205" s="671"/>
      <c r="AW2205" s="671"/>
    </row>
    <row r="2206" spans="15:49" x14ac:dyDescent="0.25">
      <c r="O2206" t="s">
        <v>3325</v>
      </c>
      <c r="P2206" t="s">
        <v>5331</v>
      </c>
      <c r="Q2206" s="671">
        <v>65051</v>
      </c>
      <c r="R2206" s="671"/>
    </row>
  </sheetData>
  <sheetProtection algorithmName="SHA-512" hashValue="UXfC2KQSMIV/vgBKUU57sNxBxh26N8+1Q+cK44GY0fyjP0eanrD0pbJ7SrvVRNbieoRpA38AR+YA2fJXjtjo9A==" saltValue="bGoHl3f8REfCa5k/7ENAPA==" spinCount="100000" sheet="1" objects="1" scenarios="1"/>
  <autoFilter ref="BY1:CB358" xr:uid="{00000000-0009-0000-0000-00000E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8"/>
  <dimension ref="A1:C38"/>
  <sheetViews>
    <sheetView topLeftCell="A15" workbookViewId="0">
      <selection activeCell="A18" sqref="A18"/>
    </sheetView>
  </sheetViews>
  <sheetFormatPr defaultRowHeight="15" x14ac:dyDescent="0.25"/>
  <cols>
    <col min="1" max="1" width="14.140625" style="38" bestFit="1" customWidth="1"/>
    <col min="2" max="2" width="10.7109375" bestFit="1" customWidth="1"/>
    <col min="3" max="3" width="75" customWidth="1"/>
  </cols>
  <sheetData>
    <row r="1" spans="1:3" x14ac:dyDescent="0.25">
      <c r="A1" s="729" t="s">
        <v>6039</v>
      </c>
      <c r="B1" s="897" t="s">
        <v>6040</v>
      </c>
      <c r="C1" s="897" t="s">
        <v>102</v>
      </c>
    </row>
    <row r="2" spans="1:3" x14ac:dyDescent="0.25">
      <c r="A2" s="38">
        <v>1.88</v>
      </c>
      <c r="B2" s="896">
        <v>43433</v>
      </c>
      <c r="C2" t="s">
        <v>6041</v>
      </c>
    </row>
    <row r="3" spans="1:3" x14ac:dyDescent="0.25">
      <c r="A3" s="38">
        <v>1.94</v>
      </c>
      <c r="B3" s="896">
        <v>43453</v>
      </c>
      <c r="C3" t="s">
        <v>6531</v>
      </c>
    </row>
    <row r="4" spans="1:3" x14ac:dyDescent="0.25">
      <c r="A4" s="38">
        <v>1.95</v>
      </c>
      <c r="B4" s="896">
        <v>43460</v>
      </c>
      <c r="C4" t="s">
        <v>6532</v>
      </c>
    </row>
    <row r="5" spans="1:3" x14ac:dyDescent="0.25">
      <c r="A5" s="38">
        <v>2.2000000000000002</v>
      </c>
      <c r="B5" s="896">
        <v>43468</v>
      </c>
      <c r="C5" t="s">
        <v>6533</v>
      </c>
    </row>
    <row r="6" spans="1:3" x14ac:dyDescent="0.25">
      <c r="A6" s="38">
        <v>2.2999999999999998</v>
      </c>
      <c r="B6" s="896">
        <v>43486</v>
      </c>
      <c r="C6" t="s">
        <v>6535</v>
      </c>
    </row>
    <row r="7" spans="1:3" x14ac:dyDescent="0.25">
      <c r="A7" s="38">
        <v>2.2999999999999998</v>
      </c>
      <c r="B7" s="896"/>
      <c r="C7" t="s">
        <v>6537</v>
      </c>
    </row>
    <row r="8" spans="1:3" x14ac:dyDescent="0.25">
      <c r="A8" s="38">
        <v>2.2999999999999998</v>
      </c>
      <c r="B8" s="896">
        <v>43508</v>
      </c>
      <c r="C8" t="s">
        <v>6539</v>
      </c>
    </row>
    <row r="9" spans="1:3" x14ac:dyDescent="0.25">
      <c r="A9" s="38">
        <v>2.2999999999999998</v>
      </c>
      <c r="B9" s="896">
        <v>43523</v>
      </c>
      <c r="C9" t="s">
        <v>6540</v>
      </c>
    </row>
    <row r="10" spans="1:3" x14ac:dyDescent="0.25">
      <c r="A10" s="38">
        <v>2.2999999999999998</v>
      </c>
      <c r="B10" s="896">
        <v>43542</v>
      </c>
      <c r="C10" t="s">
        <v>6555</v>
      </c>
    </row>
    <row r="11" spans="1:3" x14ac:dyDescent="0.25">
      <c r="A11" s="38">
        <v>2.2999999999999998</v>
      </c>
      <c r="B11" s="896">
        <v>43546</v>
      </c>
      <c r="C11" t="s">
        <v>6556</v>
      </c>
    </row>
    <row r="12" spans="1:3" ht="165" x14ac:dyDescent="0.25">
      <c r="A12" s="38">
        <v>2.4</v>
      </c>
      <c r="B12" s="896">
        <v>43553</v>
      </c>
      <c r="C12" s="945" t="s">
        <v>6557</v>
      </c>
    </row>
    <row r="13" spans="1:3" x14ac:dyDescent="0.25">
      <c r="A13" s="38" t="s">
        <v>6564</v>
      </c>
      <c r="B13" s="896">
        <v>43635</v>
      </c>
      <c r="C13" t="s">
        <v>6565</v>
      </c>
    </row>
    <row r="14" spans="1:3" x14ac:dyDescent="0.25">
      <c r="A14" s="38" t="s">
        <v>6566</v>
      </c>
      <c r="B14" s="896">
        <v>43636</v>
      </c>
      <c r="C14" t="s">
        <v>6567</v>
      </c>
    </row>
    <row r="15" spans="1:3" ht="225" x14ac:dyDescent="0.25">
      <c r="A15" s="38" t="s">
        <v>7075</v>
      </c>
      <c r="B15" s="896">
        <v>43648</v>
      </c>
      <c r="C15" s="945" t="s">
        <v>7080</v>
      </c>
    </row>
    <row r="16" spans="1:3" x14ac:dyDescent="0.25">
      <c r="A16" s="38" t="s">
        <v>7082</v>
      </c>
      <c r="B16" s="896">
        <v>43658</v>
      </c>
      <c r="C16" t="s">
        <v>7083</v>
      </c>
    </row>
    <row r="17" spans="1:3" x14ac:dyDescent="0.25">
      <c r="A17" s="38" t="s">
        <v>7093</v>
      </c>
      <c r="B17" s="896">
        <v>43668</v>
      </c>
      <c r="C17" t="s">
        <v>7094</v>
      </c>
    </row>
    <row r="18" spans="1:3" x14ac:dyDescent="0.25">
      <c r="B18" s="896"/>
    </row>
    <row r="19" spans="1:3" x14ac:dyDescent="0.25">
      <c r="B19" s="896"/>
    </row>
    <row r="20" spans="1:3" x14ac:dyDescent="0.25">
      <c r="B20" s="896"/>
    </row>
    <row r="21" spans="1:3" x14ac:dyDescent="0.25">
      <c r="B21" s="896"/>
    </row>
    <row r="22" spans="1:3" x14ac:dyDescent="0.25">
      <c r="B22" s="896"/>
    </row>
    <row r="23" spans="1:3" x14ac:dyDescent="0.25">
      <c r="B23" s="896"/>
    </row>
    <row r="24" spans="1:3" x14ac:dyDescent="0.25">
      <c r="B24" s="896"/>
    </row>
    <row r="25" spans="1:3" x14ac:dyDescent="0.25">
      <c r="B25" s="896"/>
    </row>
    <row r="26" spans="1:3" x14ac:dyDescent="0.25">
      <c r="B26" s="896"/>
    </row>
    <row r="27" spans="1:3" x14ac:dyDescent="0.25">
      <c r="B27" s="896"/>
    </row>
    <row r="28" spans="1:3" x14ac:dyDescent="0.25">
      <c r="B28" s="896"/>
    </row>
    <row r="29" spans="1:3" x14ac:dyDescent="0.25">
      <c r="B29" s="896"/>
    </row>
    <row r="30" spans="1:3" x14ac:dyDescent="0.25">
      <c r="B30" s="896"/>
    </row>
    <row r="31" spans="1:3" x14ac:dyDescent="0.25">
      <c r="B31" s="896"/>
    </row>
    <row r="32" spans="1:3" x14ac:dyDescent="0.25">
      <c r="B32" s="896"/>
    </row>
    <row r="33" spans="2:2" x14ac:dyDescent="0.25">
      <c r="B33" s="896"/>
    </row>
    <row r="34" spans="2:2" x14ac:dyDescent="0.25">
      <c r="B34" s="896"/>
    </row>
    <row r="35" spans="2:2" x14ac:dyDescent="0.25">
      <c r="B35" s="896"/>
    </row>
    <row r="36" spans="2:2" x14ac:dyDescent="0.25">
      <c r="B36" s="896"/>
    </row>
    <row r="37" spans="2:2" x14ac:dyDescent="0.25">
      <c r="B37" s="896"/>
    </row>
    <row r="38" spans="2:2" x14ac:dyDescent="0.25">
      <c r="B38" s="896"/>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1110</vt:i4>
      </vt:variant>
    </vt:vector>
  </HeadingPairs>
  <TitlesOfParts>
    <vt:vector size="1126" baseType="lpstr">
      <vt:lpstr>Information</vt:lpstr>
      <vt:lpstr>Account Info</vt:lpstr>
      <vt:lpstr>Rater</vt:lpstr>
      <vt:lpstr>D&amp;O-EPL-Crime-Fidu ILFs</vt:lpstr>
      <vt:lpstr>Crime ILFs</vt:lpstr>
      <vt:lpstr>K&amp;R ILFs</vt:lpstr>
      <vt:lpstr>Cyber ILFs</vt:lpstr>
      <vt:lpstr>MPL and Law ILFs</vt:lpstr>
      <vt:lpstr>States</vt:lpstr>
      <vt:lpstr>Tables</vt:lpstr>
      <vt:lpstr>NAICS</vt:lpstr>
      <vt:lpstr>WINS Coding</vt:lpstr>
      <vt:lpstr>Workbook names</vt:lpstr>
      <vt:lpstr>Escape</vt:lpstr>
      <vt:lpstr>Lookups</vt:lpstr>
      <vt:lpstr>Version</vt:lpstr>
      <vt:lpstr>AddNum1</vt:lpstr>
      <vt:lpstr>AggLmtDO</vt:lpstr>
      <vt:lpstr>AgtCd</vt:lpstr>
      <vt:lpstr>APLet</vt:lpstr>
      <vt:lpstr>APLet1</vt:lpstr>
      <vt:lpstr>AttPtDOL</vt:lpstr>
      <vt:lpstr>AttPtSideA</vt:lpstr>
      <vt:lpstr>BillType</vt:lpstr>
      <vt:lpstr>bkadd1</vt:lpstr>
      <vt:lpstr>bkadd2</vt:lpstr>
      <vt:lpstr>bkcty</vt:lpstr>
      <vt:lpstr>bkemail</vt:lpstr>
      <vt:lpstr>bkph</vt:lpstr>
      <vt:lpstr>bkst</vt:lpstr>
      <vt:lpstr>bkzip</vt:lpstr>
      <vt:lpstr>Br</vt:lpstr>
      <vt:lpstr>BrCdNm</vt:lpstr>
      <vt:lpstr>brkerNm</vt:lpstr>
      <vt:lpstr>BusSegDesc</vt:lpstr>
      <vt:lpstr>CoId</vt:lpstr>
      <vt:lpstr>Comm</vt:lpstr>
      <vt:lpstr>Comm2</vt:lpstr>
      <vt:lpstr>CommDO</vt:lpstr>
      <vt:lpstr>Commission</vt:lpstr>
      <vt:lpstr>cont</vt:lpstr>
      <vt:lpstr>CorpAssetDO</vt:lpstr>
      <vt:lpstr>Country</vt:lpstr>
      <vt:lpstr>Crime21</vt:lpstr>
      <vt:lpstr>Crime210</vt:lpstr>
      <vt:lpstr>Crime211</vt:lpstr>
      <vt:lpstr>Crime213</vt:lpstr>
      <vt:lpstr>Crime214</vt:lpstr>
      <vt:lpstr>Crime22</vt:lpstr>
      <vt:lpstr>Crime23</vt:lpstr>
      <vt:lpstr>Crime24</vt:lpstr>
      <vt:lpstr>Crime25</vt:lpstr>
      <vt:lpstr>Crime26</vt:lpstr>
      <vt:lpstr>Crime27</vt:lpstr>
      <vt:lpstr>Crime28</vt:lpstr>
      <vt:lpstr>Crime29</vt:lpstr>
      <vt:lpstr>Crime38</vt:lpstr>
      <vt:lpstr>CrimeClassCode</vt:lpstr>
      <vt:lpstr>CrimeEndtFac</vt:lpstr>
      <vt:lpstr>CrimePolType</vt:lpstr>
      <vt:lpstr>CrmAdtFct</vt:lpstr>
      <vt:lpstr>CrmAdtFct1</vt:lpstr>
      <vt:lpstr>CrmCCFrdDed</vt:lpstr>
      <vt:lpstr>CrmCCFrdDed1</vt:lpstr>
      <vt:lpstr>CrmCCFrdLmt</vt:lpstr>
      <vt:lpstr>CrmCCFrdLmt1</vt:lpstr>
      <vt:lpstr>CrmCCFrdPrm</vt:lpstr>
      <vt:lpstr>CrmCCFrdPrm1</vt:lpstr>
      <vt:lpstr>CrmClass</vt:lpstr>
      <vt:lpstr>CrmClntCovDed</vt:lpstr>
      <vt:lpstr>CrmClntCovDed1</vt:lpstr>
      <vt:lpstr>CrmClntCovLmt</vt:lpstr>
      <vt:lpstr>CrmClntCovLmt1</vt:lpstr>
      <vt:lpstr>CrmClntCovPrm</vt:lpstr>
      <vt:lpstr>CrmClntCovPrm1</vt:lpstr>
      <vt:lpstr>CrmComm</vt:lpstr>
      <vt:lpstr>CrmDed</vt:lpstr>
      <vt:lpstr>CrmDed1</vt:lpstr>
      <vt:lpstr>CrmEF</vt:lpstr>
      <vt:lpstr>CrmEF1</vt:lpstr>
      <vt:lpstr>CrmEmpNum</vt:lpstr>
      <vt:lpstr>CrmEmpThfPrm1</vt:lpstr>
      <vt:lpstr>CrmExpCovDed</vt:lpstr>
      <vt:lpstr>CrmExpCovLmt</vt:lpstr>
      <vt:lpstr>CrmExpCovLmt1</vt:lpstr>
      <vt:lpstr>CrmExpCovPrm</vt:lpstr>
      <vt:lpstr>CrmExpCovPrm1</vt:lpstr>
      <vt:lpstr>CrmFndsDed</vt:lpstr>
      <vt:lpstr>CrmFndsDed1</vt:lpstr>
      <vt:lpstr>CrmFndsLmt</vt:lpstr>
      <vt:lpstr>CrmFndsLmt1</vt:lpstr>
      <vt:lpstr>CrmFndsPrm</vt:lpstr>
      <vt:lpstr>CrmFndsPrm1</vt:lpstr>
      <vt:lpstr>CrmFrdDed</vt:lpstr>
      <vt:lpstr>CrmFrdDed1</vt:lpstr>
      <vt:lpstr>CrmFrdLmt</vt:lpstr>
      <vt:lpstr>CrmFrdLmt1</vt:lpstr>
      <vt:lpstr>CrmFrdPrm</vt:lpstr>
      <vt:lpstr>CrmFrdPrm1</vt:lpstr>
      <vt:lpstr>CrmFrgDed</vt:lpstr>
      <vt:lpstr>CrmFrgDed1</vt:lpstr>
      <vt:lpstr>CrmFrgLmt</vt:lpstr>
      <vt:lpstr>CrmFrgLmt1</vt:lpstr>
      <vt:lpstr>CrmFrgLoc</vt:lpstr>
      <vt:lpstr>CrmFrgLoc1</vt:lpstr>
      <vt:lpstr>CrmFrgPrm</vt:lpstr>
      <vt:lpstr>CrmFrgPrm1</vt:lpstr>
      <vt:lpstr>CrmHVPM</vt:lpstr>
      <vt:lpstr>CrmHVPM1</vt:lpstr>
      <vt:lpstr>crmIC</vt:lpstr>
      <vt:lpstr>crmIC1</vt:lpstr>
      <vt:lpstr>CrmIM</vt:lpstr>
      <vt:lpstr>CrmIM1</vt:lpstr>
      <vt:lpstr>CrmInTransDed</vt:lpstr>
      <vt:lpstr>CrmInTransDed1</vt:lpstr>
      <vt:lpstr>CrmInTransLmt</vt:lpstr>
      <vt:lpstr>CrmInTransLmt1</vt:lpstr>
      <vt:lpstr>CrmInTransPrm</vt:lpstr>
      <vt:lpstr>CrmInTransPrm1</vt:lpstr>
      <vt:lpstr>CrmKYcouTx</vt:lpstr>
      <vt:lpstr>CrmKYmunTax</vt:lpstr>
      <vt:lpstr>CrmKYpb</vt:lpstr>
      <vt:lpstr>CrmLimit</vt:lpstr>
      <vt:lpstr>CrmLmt</vt:lpstr>
      <vt:lpstr>CrmLmt1</vt:lpstr>
      <vt:lpstr>CrmMAA</vt:lpstr>
      <vt:lpstr>CrmMAA1</vt:lpstr>
      <vt:lpstr>CrmMnyDed</vt:lpstr>
      <vt:lpstr>CrmMnyDed1</vt:lpstr>
      <vt:lpstr>CrmMnyLmt</vt:lpstr>
      <vt:lpstr>CrmMnyLmt1</vt:lpstr>
      <vt:lpstr>CrmMnyPrm</vt:lpstr>
      <vt:lpstr>CrmMnyPrm1</vt:lpstr>
      <vt:lpstr>CrmNJpliga</vt:lpstr>
      <vt:lpstr>CrmNO</vt:lpstr>
      <vt:lpstr>CrmNtOp</vt:lpstr>
      <vt:lpstr>CrmOrg</vt:lpstr>
      <vt:lpstr>CrmOrgCmp</vt:lpstr>
      <vt:lpstr>CrmPolType</vt:lpstr>
      <vt:lpstr>CrmPrc</vt:lpstr>
      <vt:lpstr>CrmPreEmp</vt:lpstr>
      <vt:lpstr>CrmPreEmp1</vt:lpstr>
      <vt:lpstr>CrmPremisDed</vt:lpstr>
      <vt:lpstr>CrmPremisDed1</vt:lpstr>
      <vt:lpstr>CrmPremisLmt</vt:lpstr>
      <vt:lpstr>CrmPremisLmt1</vt:lpstr>
      <vt:lpstr>CrmPremisPrm</vt:lpstr>
      <vt:lpstr>CrmPremisPrm1</vt:lpstr>
      <vt:lpstr>CrmPrm</vt:lpstr>
      <vt:lpstr>crmPrm1</vt:lpstr>
      <vt:lpstr>CrmProfWk</vt:lpstr>
      <vt:lpstr>CrmRtEmp</vt:lpstr>
      <vt:lpstr>CrmRtMod</vt:lpstr>
      <vt:lpstr>CrmSchdRt</vt:lpstr>
      <vt:lpstr>CrmSchdRt1</vt:lpstr>
      <vt:lpstr>CrmSchMd</vt:lpstr>
      <vt:lpstr>CrmSocEngDed</vt:lpstr>
      <vt:lpstr>CrmSocEngDed1</vt:lpstr>
      <vt:lpstr>CrmSocEngLmt</vt:lpstr>
      <vt:lpstr>CrmSocEngLmt1</vt:lpstr>
      <vt:lpstr>CrmSocEngPrm</vt:lpstr>
      <vt:lpstr>CrmSocEngPrm1</vt:lpstr>
      <vt:lpstr>CrmSocRtGro</vt:lpstr>
      <vt:lpstr>CrmTotalLoc</vt:lpstr>
      <vt:lpstr>CrmTotLoc</vt:lpstr>
      <vt:lpstr>crmVM</vt:lpstr>
      <vt:lpstr>crmVM1</vt:lpstr>
      <vt:lpstr>CrmWk</vt:lpstr>
      <vt:lpstr>CrmWVsur</vt:lpstr>
      <vt:lpstr>crmYB</vt:lpstr>
      <vt:lpstr>crmYB1</vt:lpstr>
      <vt:lpstr>cty</vt:lpstr>
      <vt:lpstr>CtyStZip</vt:lpstr>
      <vt:lpstr>CY1class</vt:lpstr>
      <vt:lpstr>CY1Lmt</vt:lpstr>
      <vt:lpstr>CY1PolTyp</vt:lpstr>
      <vt:lpstr>Cy1RtGrpBrch</vt:lpstr>
      <vt:lpstr>Cy1RtGrpBrch2</vt:lpstr>
      <vt:lpstr>Cy1RtGrpRP</vt:lpstr>
      <vt:lpstr>Cy2AggLmt</vt:lpstr>
      <vt:lpstr>CY2Class</vt:lpstr>
      <vt:lpstr>Cy2Comm</vt:lpstr>
      <vt:lpstr>Cy2Ded</vt:lpstr>
      <vt:lpstr>CY2KYcouTx</vt:lpstr>
      <vt:lpstr>CY2kymunTax</vt:lpstr>
      <vt:lpstr>cy2KYpb</vt:lpstr>
      <vt:lpstr>cy2NJpliga</vt:lpstr>
      <vt:lpstr>CY2occLmt</vt:lpstr>
      <vt:lpstr>Cy2PolTyp</vt:lpstr>
      <vt:lpstr>Cy2RtMd</vt:lpstr>
      <vt:lpstr>cy2WVsur</vt:lpstr>
      <vt:lpstr>Cy3AggLmt</vt:lpstr>
      <vt:lpstr>Cy3ErrdLmt</vt:lpstr>
      <vt:lpstr>Cy3Lmt</vt:lpstr>
      <vt:lpstr>CY3LmtMd</vt:lpstr>
      <vt:lpstr>CY3LmtPCI</vt:lpstr>
      <vt:lpstr>CY3LmtPCIre</vt:lpstr>
      <vt:lpstr>Cy3LmtRP</vt:lpstr>
      <vt:lpstr>CY3LmtSD</vt:lpstr>
      <vt:lpstr>CY3LmtTechEO</vt:lpstr>
      <vt:lpstr>CY3LmtWC</vt:lpstr>
      <vt:lpstr>Cy3MedLmt</vt:lpstr>
      <vt:lpstr>Cy3PciLmt</vt:lpstr>
      <vt:lpstr>Cy3PrcLmt</vt:lpstr>
      <vt:lpstr>CY3RegLmt</vt:lpstr>
      <vt:lpstr>Cy3RegRet</vt:lpstr>
      <vt:lpstr>Cy3RegRet1</vt:lpstr>
      <vt:lpstr>Cy3Ret</vt:lpstr>
      <vt:lpstr>Cy3SdLmt</vt:lpstr>
      <vt:lpstr>Cy3TechLmt</vt:lpstr>
      <vt:lpstr>Cy3WrngLmt</vt:lpstr>
      <vt:lpstr>CyAccCnt</vt:lpstr>
      <vt:lpstr>CyAccCnt1</vt:lpstr>
      <vt:lpstr>CyAsInv</vt:lpstr>
      <vt:lpstr>CyAsInv1</vt:lpstr>
      <vt:lpstr>Cyber21</vt:lpstr>
      <vt:lpstr>Cyber210</vt:lpstr>
      <vt:lpstr>Cyber211</vt:lpstr>
      <vt:lpstr>Cyber212</vt:lpstr>
      <vt:lpstr>Cyber213</vt:lpstr>
      <vt:lpstr>Cyber214</vt:lpstr>
      <vt:lpstr>Cyber215</vt:lpstr>
      <vt:lpstr>Cyber22</vt:lpstr>
      <vt:lpstr>Cyber23</vt:lpstr>
      <vt:lpstr>Cyber24</vt:lpstr>
      <vt:lpstr>Cyber25</vt:lpstr>
      <vt:lpstr>Cyber26</vt:lpstr>
      <vt:lpstr>Cyber27</vt:lpstr>
      <vt:lpstr>Cyber28</vt:lpstr>
      <vt:lpstr>Cyber29</vt:lpstr>
      <vt:lpstr>CYbiAggLmt1</vt:lpstr>
      <vt:lpstr>CyBIExp</vt:lpstr>
      <vt:lpstr>CYbiLmt</vt:lpstr>
      <vt:lpstr>CYbiLmt1</vt:lpstr>
      <vt:lpstr>CYbilPrem</vt:lpstr>
      <vt:lpstr>CYbilPrem1</vt:lpstr>
      <vt:lpstr>CYbiRet</vt:lpstr>
      <vt:lpstr>CYbiRet1</vt:lpstr>
      <vt:lpstr>CYbrcAggLmt1</vt:lpstr>
      <vt:lpstr>CyBrcExp</vt:lpstr>
      <vt:lpstr>CyBrcExp1</vt:lpstr>
      <vt:lpstr>CyBrcLiaPrm1</vt:lpstr>
      <vt:lpstr>CYbrcLmt</vt:lpstr>
      <vt:lpstr>CYbrcLmt1</vt:lpstr>
      <vt:lpstr>CyBRCPrem</vt:lpstr>
      <vt:lpstr>CyBRCPrem1</vt:lpstr>
      <vt:lpstr>CYbrcRet</vt:lpstr>
      <vt:lpstr>CYbrcRet1</vt:lpstr>
      <vt:lpstr>CybSec4</vt:lpstr>
      <vt:lpstr>CybSec41</vt:lpstr>
      <vt:lpstr>CYcbiAggLmt1</vt:lpstr>
      <vt:lpstr>CYcbiLmt</vt:lpstr>
      <vt:lpstr>CYcbiLmt1</vt:lpstr>
      <vt:lpstr>CYcbiPrem</vt:lpstr>
      <vt:lpstr>CYcbiPrem1</vt:lpstr>
      <vt:lpstr>CYcbiRet</vt:lpstr>
      <vt:lpstr>CYcbiRet1</vt:lpstr>
      <vt:lpstr>CyCbrm</vt:lpstr>
      <vt:lpstr>CyCbrm1</vt:lpstr>
      <vt:lpstr>CyCbWp</vt:lpstr>
      <vt:lpstr>CYcecPrem</vt:lpstr>
      <vt:lpstr>CYcecPrem1</vt:lpstr>
      <vt:lpstr>CyCntBIExp</vt:lpstr>
      <vt:lpstr>CYComm</vt:lpstr>
      <vt:lpstr>CYcycRet</vt:lpstr>
      <vt:lpstr>CYcycRet1</vt:lpstr>
      <vt:lpstr>CyDataLcExp</vt:lpstr>
      <vt:lpstr>Cydcl</vt:lpstr>
      <vt:lpstr>CyDedCd</vt:lpstr>
      <vt:lpstr>CyDedCd2</vt:lpstr>
      <vt:lpstr>CYdlcaggLmt1</vt:lpstr>
      <vt:lpstr>CYdlcLmt</vt:lpstr>
      <vt:lpstr>CYdlcLmt1</vt:lpstr>
      <vt:lpstr>CYdlcPrem</vt:lpstr>
      <vt:lpstr>CYdlcPrem1</vt:lpstr>
      <vt:lpstr>CYdlRet</vt:lpstr>
      <vt:lpstr>CYdlRet1</vt:lpstr>
      <vt:lpstr>CyEmpTr</vt:lpstr>
      <vt:lpstr>CyEmpTr1</vt:lpstr>
      <vt:lpstr>CyEncy</vt:lpstr>
      <vt:lpstr>CyEncy1</vt:lpstr>
      <vt:lpstr>CyEndFct</vt:lpstr>
      <vt:lpstr>CyEndFct1</vt:lpstr>
      <vt:lpstr>CYextAggLmt1</vt:lpstr>
      <vt:lpstr>CyExtCstExp</vt:lpstr>
      <vt:lpstr>CYextLmt</vt:lpstr>
      <vt:lpstr>CYextLmt1</vt:lpstr>
      <vt:lpstr>CyExtRpExp1</vt:lpstr>
      <vt:lpstr>CyExtRpLmt1</vt:lpstr>
      <vt:lpstr>CyExtRpPrm1</vt:lpstr>
      <vt:lpstr>CyFBCD</vt:lpstr>
      <vt:lpstr>CyFBCD1</vt:lpstr>
      <vt:lpstr>CyFIRP</vt:lpstr>
      <vt:lpstr>CyFIRP1</vt:lpstr>
      <vt:lpstr>CYKYcouTx</vt:lpstr>
      <vt:lpstr>CYkymunTax</vt:lpstr>
      <vt:lpstr>cyKYpb</vt:lpstr>
      <vt:lpstr>CyLmt</vt:lpstr>
      <vt:lpstr>CyLmt1</vt:lpstr>
      <vt:lpstr>CyLocFct</vt:lpstr>
      <vt:lpstr>CyLocFct1</vt:lpstr>
      <vt:lpstr>CyMA</vt:lpstr>
      <vt:lpstr>CyMA1</vt:lpstr>
      <vt:lpstr>CyMediaAggLmt</vt:lpstr>
      <vt:lpstr>CyMediaLmt</vt:lpstr>
      <vt:lpstr>CyMedRet</vt:lpstr>
      <vt:lpstr>CyMedRet1</vt:lpstr>
      <vt:lpstr>CyMlExp</vt:lpstr>
      <vt:lpstr>CyMlExp1</vt:lpstr>
      <vt:lpstr>CyMlLmt1</vt:lpstr>
      <vt:lpstr>CyMlPrm</vt:lpstr>
      <vt:lpstr>CyMlPrm1</vt:lpstr>
      <vt:lpstr>cyNJpliga</vt:lpstr>
      <vt:lpstr>CyNtrAmt</vt:lpstr>
      <vt:lpstr>CyNtrAmt1</vt:lpstr>
      <vt:lpstr>CyOs</vt:lpstr>
      <vt:lpstr>CyOs1</vt:lpstr>
      <vt:lpstr>CyPciAssAggLmt</vt:lpstr>
      <vt:lpstr>CyPciExp</vt:lpstr>
      <vt:lpstr>CyPciExp1</vt:lpstr>
      <vt:lpstr>CyPciLmt</vt:lpstr>
      <vt:lpstr>CyPciLmt1</vt:lpstr>
      <vt:lpstr>CyPciPrm</vt:lpstr>
      <vt:lpstr>CyPciPrm1</vt:lpstr>
      <vt:lpstr>CyPCIreAggLmt</vt:lpstr>
      <vt:lpstr>CyPciReExp</vt:lpstr>
      <vt:lpstr>CyPciReExp1</vt:lpstr>
      <vt:lpstr>CyPciReLmt</vt:lpstr>
      <vt:lpstr>CyPciReLmt1</vt:lpstr>
      <vt:lpstr>CyPciRePrm</vt:lpstr>
      <vt:lpstr>CyPciRePrm1</vt:lpstr>
      <vt:lpstr>CyPciReRet</vt:lpstr>
      <vt:lpstr>CyPciReRet1</vt:lpstr>
      <vt:lpstr>CyPciRet</vt:lpstr>
      <vt:lpstr>CyPciRet1</vt:lpstr>
      <vt:lpstr>CyPremium</vt:lpstr>
      <vt:lpstr>CyRCV</vt:lpstr>
      <vt:lpstr>CyRCV1</vt:lpstr>
      <vt:lpstr>CyRegPnAggLmt</vt:lpstr>
      <vt:lpstr>CyRet</vt:lpstr>
      <vt:lpstr>CyRet1</vt:lpstr>
      <vt:lpstr>CyRev1</vt:lpstr>
      <vt:lpstr>CyRpExp</vt:lpstr>
      <vt:lpstr>CyRpExp1</vt:lpstr>
      <vt:lpstr>CyRpLmt</vt:lpstr>
      <vt:lpstr>CyRpLmt1</vt:lpstr>
      <vt:lpstr>CyRpPrm</vt:lpstr>
      <vt:lpstr>CyRpPrm1</vt:lpstr>
      <vt:lpstr>CYrrAggLmt1</vt:lpstr>
      <vt:lpstr>CyRRExp</vt:lpstr>
      <vt:lpstr>CYrrLmt</vt:lpstr>
      <vt:lpstr>CYrrLmt1</vt:lpstr>
      <vt:lpstr>CYrrPrem</vt:lpstr>
      <vt:lpstr>CYrrPrem1</vt:lpstr>
      <vt:lpstr>CYrrRet</vt:lpstr>
      <vt:lpstr>CYrrRet1</vt:lpstr>
      <vt:lpstr>CyRtGrpBI</vt:lpstr>
      <vt:lpstr>CyRtGrpCntBI</vt:lpstr>
      <vt:lpstr>CyRtGrpDataLC</vt:lpstr>
      <vt:lpstr>CyRtGrpExtCst</vt:lpstr>
      <vt:lpstr>CyRtGrpML</vt:lpstr>
      <vt:lpstr>CyRtGrpPCI</vt:lpstr>
      <vt:lpstr>CyRtGrpPCIRe</vt:lpstr>
      <vt:lpstr>CyRtGrpRR</vt:lpstr>
      <vt:lpstr>CyRtGrpSocEng</vt:lpstr>
      <vt:lpstr>CyRtGrpSysEng</vt:lpstr>
      <vt:lpstr>CyRtGrpTechEo</vt:lpstr>
      <vt:lpstr>CyRtGrpWrgCol</vt:lpstr>
      <vt:lpstr>CyRtMd</vt:lpstr>
      <vt:lpstr>CySchdMod</vt:lpstr>
      <vt:lpstr>CySchMd1</vt:lpstr>
      <vt:lpstr>CySD</vt:lpstr>
      <vt:lpstr>CySDAggLmt</vt:lpstr>
      <vt:lpstr>CySDlmt</vt:lpstr>
      <vt:lpstr>CYseAggLmt1</vt:lpstr>
      <vt:lpstr>CySecConf</vt:lpstr>
      <vt:lpstr>CySecConf1</vt:lpstr>
      <vt:lpstr>CYseLmt</vt:lpstr>
      <vt:lpstr>CYseLmt1</vt:lpstr>
      <vt:lpstr>CYsePrem</vt:lpstr>
      <vt:lpstr>CYsePrem1</vt:lpstr>
      <vt:lpstr>CYseRet</vt:lpstr>
      <vt:lpstr>CYseRet1</vt:lpstr>
      <vt:lpstr>CYsfAggLmt1</vt:lpstr>
      <vt:lpstr>CYsfLmt</vt:lpstr>
      <vt:lpstr>CYsfLmt1</vt:lpstr>
      <vt:lpstr>CYsfPrem</vt:lpstr>
      <vt:lpstr>CYsfPrem1</vt:lpstr>
      <vt:lpstr>CYsfRet</vt:lpstr>
      <vt:lpstr>CYsfRet1</vt:lpstr>
      <vt:lpstr>CyShrCI</vt:lpstr>
      <vt:lpstr>CyShrCI1</vt:lpstr>
      <vt:lpstr>CyShrDefLmtCrd1</vt:lpstr>
      <vt:lpstr>CySlc</vt:lpstr>
      <vt:lpstr>CySlc1</vt:lpstr>
      <vt:lpstr>CySocEngExp</vt:lpstr>
      <vt:lpstr>CySysExpExp</vt:lpstr>
      <vt:lpstr>CyTechAggLmt</vt:lpstr>
      <vt:lpstr>CyTechEOExp</vt:lpstr>
      <vt:lpstr>CyTechEOExp1</vt:lpstr>
      <vt:lpstr>CyTechEOLmt1</vt:lpstr>
      <vt:lpstr>CyTechEOPrm</vt:lpstr>
      <vt:lpstr>CyTechEOPrm1</vt:lpstr>
      <vt:lpstr>CYtechLmt</vt:lpstr>
      <vt:lpstr>CyTechRet</vt:lpstr>
      <vt:lpstr>CyTechRet1</vt:lpstr>
      <vt:lpstr>CyVAR</vt:lpstr>
      <vt:lpstr>CyVAR1</vt:lpstr>
      <vt:lpstr>CyWP</vt:lpstr>
      <vt:lpstr>CyWrgColExp</vt:lpstr>
      <vt:lpstr>CyWrgColExp1</vt:lpstr>
      <vt:lpstr>CyWrgColLmt</vt:lpstr>
      <vt:lpstr>CyWrgColLmt1</vt:lpstr>
      <vt:lpstr>CyWrgColPrm</vt:lpstr>
      <vt:lpstr>CyWrgColPrm1</vt:lpstr>
      <vt:lpstr>CyWrgRet</vt:lpstr>
      <vt:lpstr>CyWrgRet1</vt:lpstr>
      <vt:lpstr>CyWrngAggLmt</vt:lpstr>
      <vt:lpstr>cyWVsur</vt:lpstr>
      <vt:lpstr>DandO21</vt:lpstr>
      <vt:lpstr>DandO210</vt:lpstr>
      <vt:lpstr>DandO211</vt:lpstr>
      <vt:lpstr>DandO212</vt:lpstr>
      <vt:lpstr>DandO213</vt:lpstr>
      <vt:lpstr>DandO214</vt:lpstr>
      <vt:lpstr>DandO215</vt:lpstr>
      <vt:lpstr>DandO216</vt:lpstr>
      <vt:lpstr>DandO22</vt:lpstr>
      <vt:lpstr>DandO23</vt:lpstr>
      <vt:lpstr>DandO24</vt:lpstr>
      <vt:lpstr>DandO25</vt:lpstr>
      <vt:lpstr>DandO26</vt:lpstr>
      <vt:lpstr>DandO27</vt:lpstr>
      <vt:lpstr>DandO28</vt:lpstr>
      <vt:lpstr>DandO29</vt:lpstr>
      <vt:lpstr>DandO31</vt:lpstr>
      <vt:lpstr>DandO32</vt:lpstr>
      <vt:lpstr>DandO33</vt:lpstr>
      <vt:lpstr>DandO34</vt:lpstr>
      <vt:lpstr>DandO35</vt:lpstr>
      <vt:lpstr>'Crime ILFs'!DandOEPLBasic</vt:lpstr>
      <vt:lpstr>'Cyber ILFs'!DandOEPLBasic</vt:lpstr>
      <vt:lpstr>'K&amp;R ILFs'!DandOEPLBasic</vt:lpstr>
      <vt:lpstr>'MPL and Law ILFs'!DandOEPLBasic</vt:lpstr>
      <vt:lpstr>DandOEPLBasic</vt:lpstr>
      <vt:lpstr>'Crime ILFs'!DandOEPLLimits</vt:lpstr>
      <vt:lpstr>'Cyber ILFs'!DandOEPLLimits</vt:lpstr>
      <vt:lpstr>'K&amp;R ILFs'!DandOEPLLimits</vt:lpstr>
      <vt:lpstr>'MPL and Law ILFs'!DandOEPLLimits</vt:lpstr>
      <vt:lpstr>DandOEPLLimits</vt:lpstr>
      <vt:lpstr>DedAmtDO</vt:lpstr>
      <vt:lpstr>DefLimit</vt:lpstr>
      <vt:lpstr>dept</vt:lpstr>
      <vt:lpstr>DistDesc</vt:lpstr>
      <vt:lpstr>DOacpPrem</vt:lpstr>
      <vt:lpstr>DOapcLmt</vt:lpstr>
      <vt:lpstr>DOapcPrem</vt:lpstr>
      <vt:lpstr>DOapLmt</vt:lpstr>
      <vt:lpstr>DoAssets1</vt:lpstr>
      <vt:lpstr>DOasstProAgglmt</vt:lpstr>
      <vt:lpstr>DoBs</vt:lpstr>
      <vt:lpstr>DoBs1</vt:lpstr>
      <vt:lpstr>DOdcs</vt:lpstr>
      <vt:lpstr>DoDDSf</vt:lpstr>
      <vt:lpstr>DoDDSf1</vt:lpstr>
      <vt:lpstr>DoDtDsf</vt:lpstr>
      <vt:lpstr>DoEf</vt:lpstr>
      <vt:lpstr>DoEf1</vt:lpstr>
      <vt:lpstr>DOerodLmt</vt:lpstr>
      <vt:lpstr>DOicLmt</vt:lpstr>
      <vt:lpstr>DOicPrem</vt:lpstr>
      <vt:lpstr>DOicSubLmt</vt:lpstr>
      <vt:lpstr>DOinvCostPrem</vt:lpstr>
      <vt:lpstr>DOinvCstAggLmt</vt:lpstr>
      <vt:lpstr>DOL</vt:lpstr>
      <vt:lpstr>DoLH</vt:lpstr>
      <vt:lpstr>DoLH1</vt:lpstr>
      <vt:lpstr>DOLmt</vt:lpstr>
      <vt:lpstr>DOma</vt:lpstr>
      <vt:lpstr>DOma1</vt:lpstr>
      <vt:lpstr>DoMo</vt:lpstr>
      <vt:lpstr>DoMo1</vt:lpstr>
      <vt:lpstr>DoMs</vt:lpstr>
      <vt:lpstr>DoMs1</vt:lpstr>
      <vt:lpstr>DOno</vt:lpstr>
      <vt:lpstr>DOno1</vt:lpstr>
      <vt:lpstr>DONoSub</vt:lpstr>
      <vt:lpstr>DONoSub1</vt:lpstr>
      <vt:lpstr>DOnoYrs</vt:lpstr>
      <vt:lpstr>DOnoYrs1</vt:lpstr>
      <vt:lpstr>DOoccSIR</vt:lpstr>
      <vt:lpstr>DOprcAggLmt</vt:lpstr>
      <vt:lpstr>DoPrem</vt:lpstr>
      <vt:lpstr>DOpremium</vt:lpstr>
      <vt:lpstr>DOprLmt</vt:lpstr>
      <vt:lpstr>DOprLmt1</vt:lpstr>
      <vt:lpstr>DOPrPrem</vt:lpstr>
      <vt:lpstr>DOprPrm</vt:lpstr>
      <vt:lpstr>DoQlyIncSt</vt:lpstr>
      <vt:lpstr>DoQlyIncSt1</vt:lpstr>
      <vt:lpstr>DoQSCF</vt:lpstr>
      <vt:lpstr>DoQSCF1</vt:lpstr>
      <vt:lpstr>DOrtMd</vt:lpstr>
      <vt:lpstr>DOschdMd</vt:lpstr>
      <vt:lpstr>DOschdMd1</vt:lpstr>
      <vt:lpstr>DoSdAggLmt</vt:lpstr>
      <vt:lpstr>DOsdcLmt</vt:lpstr>
      <vt:lpstr>DOsdcLmt1</vt:lpstr>
      <vt:lpstr>DOsdcPrem</vt:lpstr>
      <vt:lpstr>DOsdcPrm</vt:lpstr>
      <vt:lpstr>DoSDLC</vt:lpstr>
      <vt:lpstr>DoSDLC1</vt:lpstr>
      <vt:lpstr>DOSideA</vt:lpstr>
      <vt:lpstr>DOsideAaggLmt</vt:lpstr>
      <vt:lpstr>DOsideALmt</vt:lpstr>
      <vt:lpstr>DOsideAlmt1</vt:lpstr>
      <vt:lpstr>DOsideAPrem</vt:lpstr>
      <vt:lpstr>DOsideAprm</vt:lpstr>
      <vt:lpstr>DOSLC</vt:lpstr>
      <vt:lpstr>DOSLC1</vt:lpstr>
      <vt:lpstr>DoSOA</vt:lpstr>
      <vt:lpstr>DoSOA1</vt:lpstr>
      <vt:lpstr>DOste</vt:lpstr>
      <vt:lpstr>DOste1</vt:lpstr>
      <vt:lpstr>DOTerritory</vt:lpstr>
      <vt:lpstr>eff</vt:lpstr>
      <vt:lpstr>effdt</vt:lpstr>
      <vt:lpstr>EffDt2</vt:lpstr>
      <vt:lpstr>ELdcl</vt:lpstr>
      <vt:lpstr>ELDtDsf</vt:lpstr>
      <vt:lpstr>EllAggLmt</vt:lpstr>
      <vt:lpstr>ELLBasePrem</vt:lpstr>
      <vt:lpstr>ELLBasePrem1</vt:lpstr>
      <vt:lpstr>EllClassCode</vt:lpstr>
      <vt:lpstr>ELLComm</vt:lpstr>
      <vt:lpstr>EllDed</vt:lpstr>
      <vt:lpstr>EllDedCd</vt:lpstr>
      <vt:lpstr>EllDerodLmt</vt:lpstr>
      <vt:lpstr>Ellexp1</vt:lpstr>
      <vt:lpstr>Ellexp2</vt:lpstr>
      <vt:lpstr>Ellexp3</vt:lpstr>
      <vt:lpstr>EllKYcouTx</vt:lpstr>
      <vt:lpstr>EllKYmunTax</vt:lpstr>
      <vt:lpstr>EllKYpb</vt:lpstr>
      <vt:lpstr>EllLawyers</vt:lpstr>
      <vt:lpstr>EllLmt</vt:lpstr>
      <vt:lpstr>EllLmtCd</vt:lpstr>
      <vt:lpstr>EllNJpliga</vt:lpstr>
      <vt:lpstr>EllOccLmt</vt:lpstr>
      <vt:lpstr>Ellpoltype</vt:lpstr>
      <vt:lpstr>ELLpremium</vt:lpstr>
      <vt:lpstr>EllRet</vt:lpstr>
      <vt:lpstr>EllRet1</vt:lpstr>
      <vt:lpstr>EllRtMd</vt:lpstr>
      <vt:lpstr>EllSdAggLmt</vt:lpstr>
      <vt:lpstr>EllSDEerrLmt</vt:lpstr>
      <vt:lpstr>EllSdLmt</vt:lpstr>
      <vt:lpstr>EllSDLmtCd</vt:lpstr>
      <vt:lpstr>EllSDPrm</vt:lpstr>
      <vt:lpstr>EllSDPrm1</vt:lpstr>
      <vt:lpstr>EllTerrCd1</vt:lpstr>
      <vt:lpstr>EllTerrCd2</vt:lpstr>
      <vt:lpstr>EllTerrCd3</vt:lpstr>
      <vt:lpstr>EllWVsur</vt:lpstr>
      <vt:lpstr>ELPwvAggLmt</vt:lpstr>
      <vt:lpstr>EMLaop</vt:lpstr>
      <vt:lpstr>EMLaop1</vt:lpstr>
      <vt:lpstr>EMLddsf</vt:lpstr>
      <vt:lpstr>EMLddsf1</vt:lpstr>
      <vt:lpstr>EMLeel</vt:lpstr>
      <vt:lpstr>EMLeel1</vt:lpstr>
      <vt:lpstr>EMLef</vt:lpstr>
      <vt:lpstr>EMLef1</vt:lpstr>
      <vt:lpstr>EMLelr</vt:lpstr>
      <vt:lpstr>EMLelr1</vt:lpstr>
      <vt:lpstr>EMLlh</vt:lpstr>
      <vt:lpstr>EMLlh1</vt:lpstr>
      <vt:lpstr>EMLma</vt:lpstr>
      <vt:lpstr>EMLma1</vt:lpstr>
      <vt:lpstr>EMLnoEmp1</vt:lpstr>
      <vt:lpstr>EMLols</vt:lpstr>
      <vt:lpstr>EMLols1</vt:lpstr>
      <vt:lpstr>EMLpde</vt:lpstr>
      <vt:lpstr>EMLpde1</vt:lpstr>
      <vt:lpstr>EMLscf</vt:lpstr>
      <vt:lpstr>EMLscf1</vt:lpstr>
      <vt:lpstr>EMLsdlc1</vt:lpstr>
      <vt:lpstr>EMLsm</vt:lpstr>
      <vt:lpstr>EMLsm1</vt:lpstr>
      <vt:lpstr>EPLace</vt:lpstr>
      <vt:lpstr>EPLace1</vt:lpstr>
      <vt:lpstr>EPLaddClAggLmt</vt:lpstr>
      <vt:lpstr>EPLaggLmt</vt:lpstr>
      <vt:lpstr>EPLAggLmt1</vt:lpstr>
      <vt:lpstr>EPLcePrm</vt:lpstr>
      <vt:lpstr>EPLcePrm1</vt:lpstr>
      <vt:lpstr>EPLclassCd</vt:lpstr>
      <vt:lpstr>EPLclmExLmt</vt:lpstr>
      <vt:lpstr>EPLclmExLmt1</vt:lpstr>
      <vt:lpstr>EPLclmExLmtCd</vt:lpstr>
      <vt:lpstr>EPLcomm</vt:lpstr>
      <vt:lpstr>EPLcrAggLmt</vt:lpstr>
      <vt:lpstr>EPLcrePrm</vt:lpstr>
      <vt:lpstr>EPLcrePrm1</vt:lpstr>
      <vt:lpstr>EPLcrisisLmt</vt:lpstr>
      <vt:lpstr>EPLcrisisLmt1</vt:lpstr>
      <vt:lpstr>EPLcrisisLmtCd</vt:lpstr>
      <vt:lpstr>EPLdcl</vt:lpstr>
      <vt:lpstr>EPLded</vt:lpstr>
      <vt:lpstr>EPLdedCd</vt:lpstr>
      <vt:lpstr>EPLdod</vt:lpstr>
      <vt:lpstr>EPLdod1</vt:lpstr>
      <vt:lpstr>EPLDtDsf</vt:lpstr>
      <vt:lpstr>EPLef</vt:lpstr>
      <vt:lpstr>EPLef1</vt:lpstr>
      <vt:lpstr>EPLemplyCt</vt:lpstr>
      <vt:lpstr>EPLerodLmt</vt:lpstr>
      <vt:lpstr>EPLexp</vt:lpstr>
      <vt:lpstr>EPLhcl</vt:lpstr>
      <vt:lpstr>EPLhcl1</vt:lpstr>
      <vt:lpstr>EPLhr</vt:lpstr>
      <vt:lpstr>EPLhr1</vt:lpstr>
      <vt:lpstr>EPLI21</vt:lpstr>
      <vt:lpstr>EPLI210</vt:lpstr>
      <vt:lpstr>EPLI211</vt:lpstr>
      <vt:lpstr>EPLI212</vt:lpstr>
      <vt:lpstr>EPLI213</vt:lpstr>
      <vt:lpstr>EPLI214</vt:lpstr>
      <vt:lpstr>EPLI215</vt:lpstr>
      <vt:lpstr>EPLI22</vt:lpstr>
      <vt:lpstr>EPLI23</vt:lpstr>
      <vt:lpstr>EPLI24</vt:lpstr>
      <vt:lpstr>EPLI25</vt:lpstr>
      <vt:lpstr>EPLI26</vt:lpstr>
      <vt:lpstr>EPLI27</vt:lpstr>
      <vt:lpstr>EPLI28</vt:lpstr>
      <vt:lpstr>EPLI29</vt:lpstr>
      <vt:lpstr>EPLI31</vt:lpstr>
      <vt:lpstr>EPLI32</vt:lpstr>
      <vt:lpstr>EPLI33</vt:lpstr>
      <vt:lpstr>EPLI34</vt:lpstr>
      <vt:lpstr>EPLI35</vt:lpstr>
      <vt:lpstr>EPLI36</vt:lpstr>
      <vt:lpstr>EPLI37</vt:lpstr>
      <vt:lpstr>EPLI38</vt:lpstr>
      <vt:lpstr>EplKYcouTx</vt:lpstr>
      <vt:lpstr>EplKYmunTax</vt:lpstr>
      <vt:lpstr>EplKYpb</vt:lpstr>
      <vt:lpstr>EPLlh</vt:lpstr>
      <vt:lpstr>EPLlh1</vt:lpstr>
      <vt:lpstr>EPLlmt</vt:lpstr>
      <vt:lpstr>EPLLmtCd</vt:lpstr>
      <vt:lpstr>EPLma</vt:lpstr>
      <vt:lpstr>EPLma1</vt:lpstr>
      <vt:lpstr>EPLms</vt:lpstr>
      <vt:lpstr>EPLms1</vt:lpstr>
      <vt:lpstr>EplNJpliga</vt:lpstr>
      <vt:lpstr>EPLno</vt:lpstr>
      <vt:lpstr>EPLno1</vt:lpstr>
      <vt:lpstr>EPLnoemp1</vt:lpstr>
      <vt:lpstr>EPLnyb</vt:lpstr>
      <vt:lpstr>EPLnyb1</vt:lpstr>
      <vt:lpstr>EPLoccLmt</vt:lpstr>
      <vt:lpstr>EPLpcl</vt:lpstr>
      <vt:lpstr>EPLpcl1</vt:lpstr>
      <vt:lpstr>EPLpoltype</vt:lpstr>
      <vt:lpstr>EPLpremium</vt:lpstr>
      <vt:lpstr>EPLret</vt:lpstr>
      <vt:lpstr>EPLret1</vt:lpstr>
      <vt:lpstr>EPLRtMod</vt:lpstr>
      <vt:lpstr>EPLschmod</vt:lpstr>
      <vt:lpstr>EPLschmod1</vt:lpstr>
      <vt:lpstr>EPLsdAggLmt</vt:lpstr>
      <vt:lpstr>EPLsdcPrm</vt:lpstr>
      <vt:lpstr>EPLsdcPrm1</vt:lpstr>
      <vt:lpstr>EplSDEerrLmt</vt:lpstr>
      <vt:lpstr>EPLsdlc1</vt:lpstr>
      <vt:lpstr>EPLsdLmt</vt:lpstr>
      <vt:lpstr>EPLsdLmt1</vt:lpstr>
      <vt:lpstr>EPLsdLmtCd</vt:lpstr>
      <vt:lpstr>EPLslc1</vt:lpstr>
      <vt:lpstr>EPLste</vt:lpstr>
      <vt:lpstr>EPLste1</vt:lpstr>
      <vt:lpstr>EPLsubPrem</vt:lpstr>
      <vt:lpstr>EPLsubPrem1</vt:lpstr>
      <vt:lpstr>EPLterritory</vt:lpstr>
      <vt:lpstr>EPLtpe</vt:lpstr>
      <vt:lpstr>EPLtpe1</vt:lpstr>
      <vt:lpstr>EPLtpl</vt:lpstr>
      <vt:lpstr>EPLtpl1</vt:lpstr>
      <vt:lpstr>EPLwageLmt</vt:lpstr>
      <vt:lpstr>EPLwageLmt1</vt:lpstr>
      <vt:lpstr>EPLwkvLmt</vt:lpstr>
      <vt:lpstr>EPLwkvLmt1</vt:lpstr>
      <vt:lpstr>EPLwkvLmtCd</vt:lpstr>
      <vt:lpstr>EPLwpvPrm</vt:lpstr>
      <vt:lpstr>EPLwpvPrm1</vt:lpstr>
      <vt:lpstr>EplWVsur</vt:lpstr>
      <vt:lpstr>ERP</vt:lpstr>
      <vt:lpstr>ExCy1CB</vt:lpstr>
      <vt:lpstr>ExCy1scl</vt:lpstr>
      <vt:lpstr>ExCy1ssdcl</vt:lpstr>
      <vt:lpstr>ExCy1WP</vt:lpstr>
      <vt:lpstr>ExCy3scl</vt:lpstr>
      <vt:lpstr>ExCy3ssdcl</vt:lpstr>
      <vt:lpstr>ExDoDD</vt:lpstr>
      <vt:lpstr>ExDOscl</vt:lpstr>
      <vt:lpstr>ExDOssdcl</vt:lpstr>
      <vt:lpstr>ExELLDD</vt:lpstr>
      <vt:lpstr>ExELLssdcl</vt:lpstr>
      <vt:lpstr>ExELscl</vt:lpstr>
      <vt:lpstr>ExEplDD</vt:lpstr>
      <vt:lpstr>ExEPLscl</vt:lpstr>
      <vt:lpstr>ExEPLssdcl</vt:lpstr>
      <vt:lpstr>ExFidDD</vt:lpstr>
      <vt:lpstr>ExFidscl</vt:lpstr>
      <vt:lpstr>ExFidssdcl</vt:lpstr>
      <vt:lpstr>ExMiscscl</vt:lpstr>
      <vt:lpstr>ExMiscssdcl</vt:lpstr>
      <vt:lpstr>exp</vt:lpstr>
      <vt:lpstr>ExpDO</vt:lpstr>
      <vt:lpstr>ExpDt</vt:lpstr>
      <vt:lpstr>ExpDt2</vt:lpstr>
      <vt:lpstr>Fid502AggLmt</vt:lpstr>
      <vt:lpstr>FidacaAggLmt</vt:lpstr>
      <vt:lpstr>FidAcaLmt</vt:lpstr>
      <vt:lpstr>FidAcaLmt1</vt:lpstr>
      <vt:lpstr>FidAcaPrm</vt:lpstr>
      <vt:lpstr>FidAcaPrm1</vt:lpstr>
      <vt:lpstr>FidAddAggLmt</vt:lpstr>
      <vt:lpstr>FidAeLmt</vt:lpstr>
      <vt:lpstr>FidAeLmt1</vt:lpstr>
      <vt:lpstr>FidAePrm</vt:lpstr>
      <vt:lpstr>FidAePrm1</vt:lpstr>
      <vt:lpstr>FidAggLmt</vt:lpstr>
      <vt:lpstr>FidAsst1</vt:lpstr>
      <vt:lpstr>FidClassCode</vt:lpstr>
      <vt:lpstr>FidComm</vt:lpstr>
      <vt:lpstr>Fiddcl</vt:lpstr>
      <vt:lpstr>FidDed</vt:lpstr>
      <vt:lpstr>FidDedCd</vt:lpstr>
      <vt:lpstr>FIDdod</vt:lpstr>
      <vt:lpstr>FIDdod1</vt:lpstr>
      <vt:lpstr>FidDtD</vt:lpstr>
      <vt:lpstr>FIDef</vt:lpstr>
      <vt:lpstr>FIDef1</vt:lpstr>
      <vt:lpstr>FIDerodLmt</vt:lpstr>
      <vt:lpstr>FidErsaLmt</vt:lpstr>
      <vt:lpstr>FidErsaLmt1</vt:lpstr>
      <vt:lpstr>FidErsaPrm</vt:lpstr>
      <vt:lpstr>FidErsaPrm1</vt:lpstr>
      <vt:lpstr>FIDesop</vt:lpstr>
      <vt:lpstr>FIDesop1</vt:lpstr>
      <vt:lpstr>FidExp</vt:lpstr>
      <vt:lpstr>FidFsdb</vt:lpstr>
      <vt:lpstr>FidFsdb1</vt:lpstr>
      <vt:lpstr>FidHipLmt</vt:lpstr>
      <vt:lpstr>FidHipLmt1</vt:lpstr>
      <vt:lpstr>FidHippaAggLmt</vt:lpstr>
      <vt:lpstr>FidhippaPrem</vt:lpstr>
      <vt:lpstr>FidhippaPrem1</vt:lpstr>
      <vt:lpstr>FidIRCAggLmt</vt:lpstr>
      <vt:lpstr>FidIrcLmt</vt:lpstr>
      <vt:lpstr>FidIrcLmt1</vt:lpstr>
      <vt:lpstr>FidIrcPrm</vt:lpstr>
      <vt:lpstr>FidIrcPrm1</vt:lpstr>
      <vt:lpstr>FidKYcouTx</vt:lpstr>
      <vt:lpstr>FidKYmunTax</vt:lpstr>
      <vt:lpstr>FidKYpb</vt:lpstr>
      <vt:lpstr>FIDlh</vt:lpstr>
      <vt:lpstr>FIDlh1</vt:lpstr>
      <vt:lpstr>FidLmt</vt:lpstr>
      <vt:lpstr>FidLmt1</vt:lpstr>
      <vt:lpstr>FidLmtCd</vt:lpstr>
      <vt:lpstr>FidNJpliga</vt:lpstr>
      <vt:lpstr>FidNo</vt:lpstr>
      <vt:lpstr>FidNo1</vt:lpstr>
      <vt:lpstr>Fidnoyb</vt:lpstr>
      <vt:lpstr>Fidnoyb1</vt:lpstr>
      <vt:lpstr>FidOccLmt</vt:lpstr>
      <vt:lpstr>FidpenAggLmt</vt:lpstr>
      <vt:lpstr>FidPenLmt</vt:lpstr>
      <vt:lpstr>FidPenLmt1</vt:lpstr>
      <vt:lpstr>FidPenPrm</vt:lpstr>
      <vt:lpstr>FidPenPrm1</vt:lpstr>
      <vt:lpstr>FidPlnAst</vt:lpstr>
      <vt:lpstr>FIDplntyp</vt:lpstr>
      <vt:lpstr>FIDplntyp1</vt:lpstr>
      <vt:lpstr>FIDpoltype</vt:lpstr>
      <vt:lpstr>Fidpp</vt:lpstr>
      <vt:lpstr>Fidpp1</vt:lpstr>
      <vt:lpstr>FidPrem</vt:lpstr>
      <vt:lpstr>FidPrem1</vt:lpstr>
      <vt:lpstr>FIDpt</vt:lpstr>
      <vt:lpstr>FIDpt1</vt:lpstr>
      <vt:lpstr>FIDqdp</vt:lpstr>
      <vt:lpstr>FIDqdp1</vt:lpstr>
      <vt:lpstr>FidRet</vt:lpstr>
      <vt:lpstr>FidRet1</vt:lpstr>
      <vt:lpstr>FidRtMd</vt:lpstr>
      <vt:lpstr>FidSDAggLmt</vt:lpstr>
      <vt:lpstr>FidSDEerrLmt</vt:lpstr>
      <vt:lpstr>FIDsdlc1</vt:lpstr>
      <vt:lpstr>FidSdLmt</vt:lpstr>
      <vt:lpstr>FidSdLmt1</vt:lpstr>
      <vt:lpstr>FidSdPrm</vt:lpstr>
      <vt:lpstr>FidSdPrm1</vt:lpstr>
      <vt:lpstr>FIDslc1</vt:lpstr>
      <vt:lpstr>FIDsm</vt:lpstr>
      <vt:lpstr>FIDsm1</vt:lpstr>
      <vt:lpstr>FIDste</vt:lpstr>
      <vt:lpstr>FIDste1</vt:lpstr>
      <vt:lpstr>FidTerrCd</vt:lpstr>
      <vt:lpstr>Fidu21</vt:lpstr>
      <vt:lpstr>Fidu210</vt:lpstr>
      <vt:lpstr>Fidu211</vt:lpstr>
      <vt:lpstr>Fidu212</vt:lpstr>
      <vt:lpstr>Fidu213</vt:lpstr>
      <vt:lpstr>Fidu214</vt:lpstr>
      <vt:lpstr>Fidu215</vt:lpstr>
      <vt:lpstr>Fidu22</vt:lpstr>
      <vt:lpstr>Fidu23</vt:lpstr>
      <vt:lpstr>Fidu24</vt:lpstr>
      <vt:lpstr>Fidu25</vt:lpstr>
      <vt:lpstr>Fidu26</vt:lpstr>
      <vt:lpstr>Fidu27</vt:lpstr>
      <vt:lpstr>Fidu28</vt:lpstr>
      <vt:lpstr>Fidu29</vt:lpstr>
      <vt:lpstr>Fidu31</vt:lpstr>
      <vt:lpstr>Fidu32</vt:lpstr>
      <vt:lpstr>Fidu33</vt:lpstr>
      <vt:lpstr>Fidu34</vt:lpstr>
      <vt:lpstr>Fidu35</vt:lpstr>
      <vt:lpstr>Fidu36</vt:lpstr>
      <vt:lpstr>Fidu37</vt:lpstr>
      <vt:lpstr>Fidu38</vt:lpstr>
      <vt:lpstr>Fidu39</vt:lpstr>
      <vt:lpstr>'MPL and Law ILFs'!FiduBasic</vt:lpstr>
      <vt:lpstr>FiduBasic</vt:lpstr>
      <vt:lpstr>'MPL and Law ILFs'!FiduLimits</vt:lpstr>
      <vt:lpstr>FiduLimits</vt:lpstr>
      <vt:lpstr>FidvcAggLmt</vt:lpstr>
      <vt:lpstr>FidVcLmt</vt:lpstr>
      <vt:lpstr>FidVcLmt1</vt:lpstr>
      <vt:lpstr>FidVcpcPrem</vt:lpstr>
      <vt:lpstr>FidVcpcPrem1</vt:lpstr>
      <vt:lpstr>FidWVsur</vt:lpstr>
      <vt:lpstr>Hazard2</vt:lpstr>
      <vt:lpstr>InfoAdd1</vt:lpstr>
      <vt:lpstr>InfoAdd2</vt:lpstr>
      <vt:lpstr>InsAdd2</vt:lpstr>
      <vt:lpstr>InsNm</vt:lpstr>
      <vt:lpstr>InsType</vt:lpstr>
      <vt:lpstr>InsZip</vt:lpstr>
      <vt:lpstr>issco</vt:lpstr>
      <vt:lpstr>KandR21</vt:lpstr>
      <vt:lpstr>KandR22</vt:lpstr>
      <vt:lpstr>KandR23</vt:lpstr>
      <vt:lpstr>KandR24</vt:lpstr>
      <vt:lpstr>KandR25</vt:lpstr>
      <vt:lpstr>KandR26</vt:lpstr>
      <vt:lpstr>KRAgg</vt:lpstr>
      <vt:lpstr>KRded</vt:lpstr>
      <vt:lpstr>KreAggLmt1</vt:lpstr>
      <vt:lpstr>KreAggLmt2</vt:lpstr>
      <vt:lpstr>KreBiAggLmt</vt:lpstr>
      <vt:lpstr>KreBiAggLmt1</vt:lpstr>
      <vt:lpstr>KreBiLmt</vt:lpstr>
      <vt:lpstr>KreBiLmt1</vt:lpstr>
      <vt:lpstr>KreBiLmt2</vt:lpstr>
      <vt:lpstr>KreBiPrm</vt:lpstr>
      <vt:lpstr>KreBiPrm1</vt:lpstr>
      <vt:lpstr>KREClass</vt:lpstr>
      <vt:lpstr>KREcomm</vt:lpstr>
      <vt:lpstr>KREcoreLmt1</vt:lpstr>
      <vt:lpstr>KreDed</vt:lpstr>
      <vt:lpstr>KreDed1</vt:lpstr>
      <vt:lpstr>KreDisLmt</vt:lpstr>
      <vt:lpstr>KreDisLmt1</vt:lpstr>
      <vt:lpstr>KreDisLmt2</vt:lpstr>
      <vt:lpstr>KreDisPrm</vt:lpstr>
      <vt:lpstr>KreDisPrm1</vt:lpstr>
      <vt:lpstr>KREef</vt:lpstr>
      <vt:lpstr>KREef1</vt:lpstr>
      <vt:lpstr>KREempl</vt:lpstr>
      <vt:lpstr>KREempl1</vt:lpstr>
      <vt:lpstr>KreExAggLmt</vt:lpstr>
      <vt:lpstr>KreExAggLmt1</vt:lpstr>
      <vt:lpstr>KREfqtrvl</vt:lpstr>
      <vt:lpstr>KREfqtrvl1</vt:lpstr>
      <vt:lpstr>KREig</vt:lpstr>
      <vt:lpstr>KREig1</vt:lpstr>
      <vt:lpstr>KreKYcouTx</vt:lpstr>
      <vt:lpstr>KreKYmunTax</vt:lpstr>
      <vt:lpstr>KreKYpb</vt:lpstr>
      <vt:lpstr>KreNJpliga</vt:lpstr>
      <vt:lpstr>KREoccLmt</vt:lpstr>
      <vt:lpstr>KREPolType</vt:lpstr>
      <vt:lpstr>KREprdex</vt:lpstr>
      <vt:lpstr>KREprdex1</vt:lpstr>
      <vt:lpstr>KREprem</vt:lpstr>
      <vt:lpstr>KREprem1</vt:lpstr>
      <vt:lpstr>KrePremis</vt:lpstr>
      <vt:lpstr>KrePremis1</vt:lpstr>
      <vt:lpstr>KREpremium</vt:lpstr>
      <vt:lpstr>KRErct</vt:lpstr>
      <vt:lpstr>KRErct1</vt:lpstr>
      <vt:lpstr>KRErecallLmt</vt:lpstr>
      <vt:lpstr>KRErecallLmt1</vt:lpstr>
      <vt:lpstr>KreRePrem</vt:lpstr>
      <vt:lpstr>KreRePrem1</vt:lpstr>
      <vt:lpstr>KRErev1</vt:lpstr>
      <vt:lpstr>KREschedMod1</vt:lpstr>
      <vt:lpstr>KreSecLmt</vt:lpstr>
      <vt:lpstr>KreSecLmt1</vt:lpstr>
      <vt:lpstr>KreSecLmt2</vt:lpstr>
      <vt:lpstr>KreSecPrm</vt:lpstr>
      <vt:lpstr>KreSecPrm1</vt:lpstr>
      <vt:lpstr>KREsm</vt:lpstr>
      <vt:lpstr>KREsm1</vt:lpstr>
      <vt:lpstr>KREtap</vt:lpstr>
      <vt:lpstr>KREtap1</vt:lpstr>
      <vt:lpstr>KreThrtLmt</vt:lpstr>
      <vt:lpstr>KreThrtLmt1</vt:lpstr>
      <vt:lpstr>KreThrtLmt2</vt:lpstr>
      <vt:lpstr>KreThrtPrm</vt:lpstr>
      <vt:lpstr>KreThrtPrm1</vt:lpstr>
      <vt:lpstr>KREtotalMod</vt:lpstr>
      <vt:lpstr>KreTSLmt</vt:lpstr>
      <vt:lpstr>KreTSLmt1</vt:lpstr>
      <vt:lpstr>KreTSLmt2</vt:lpstr>
      <vt:lpstr>KreTSPrm</vt:lpstr>
      <vt:lpstr>KreTSPrm1</vt:lpstr>
      <vt:lpstr>KreTvlAggLmt</vt:lpstr>
      <vt:lpstr>KreTvlAggLmt1</vt:lpstr>
      <vt:lpstr>KreWVsur</vt:lpstr>
      <vt:lpstr>KRlmt</vt:lpstr>
      <vt:lpstr>KRRtMd</vt:lpstr>
      <vt:lpstr>KYcouTx</vt:lpstr>
      <vt:lpstr>KYmunTax</vt:lpstr>
      <vt:lpstr>KYpb</vt:lpstr>
      <vt:lpstr>Laweo21</vt:lpstr>
      <vt:lpstr>laweo210</vt:lpstr>
      <vt:lpstr>laweo22</vt:lpstr>
      <vt:lpstr>laweo23</vt:lpstr>
      <vt:lpstr>laweo24</vt:lpstr>
      <vt:lpstr>laweo25</vt:lpstr>
      <vt:lpstr>laweo26</vt:lpstr>
      <vt:lpstr>laweo27</vt:lpstr>
      <vt:lpstr>laweo28</vt:lpstr>
      <vt:lpstr>laweo29</vt:lpstr>
      <vt:lpstr>laweo31</vt:lpstr>
      <vt:lpstr>laweo32</vt:lpstr>
      <vt:lpstr>laweo33</vt:lpstr>
      <vt:lpstr>LmtCdDOL</vt:lpstr>
      <vt:lpstr>LmtDO</vt:lpstr>
      <vt:lpstr>LocAdd</vt:lpstr>
      <vt:lpstr>LocCtyst</vt:lpstr>
      <vt:lpstr>LocZip</vt:lpstr>
      <vt:lpstr>NAICS!MarkSeg</vt:lpstr>
      <vt:lpstr>MarkSeg</vt:lpstr>
      <vt:lpstr>MarkSegCML2</vt:lpstr>
      <vt:lpstr>MarkSegFI2</vt:lpstr>
      <vt:lpstr>MiscAggLmt</vt:lpstr>
      <vt:lpstr>MiscCI</vt:lpstr>
      <vt:lpstr>MiscCI1</vt:lpstr>
      <vt:lpstr>MiscClassCode</vt:lpstr>
      <vt:lpstr>MiscComm</vt:lpstr>
      <vt:lpstr>MiscCr</vt:lpstr>
      <vt:lpstr>MiscCr1</vt:lpstr>
      <vt:lpstr>Miscdcl</vt:lpstr>
      <vt:lpstr>MiscDedAmt</vt:lpstr>
      <vt:lpstr>MiscDedCd</vt:lpstr>
      <vt:lpstr>MiscDerodLmt</vt:lpstr>
      <vt:lpstr>MiscDod</vt:lpstr>
      <vt:lpstr>MiscDod1</vt:lpstr>
      <vt:lpstr>MiscDtDsf</vt:lpstr>
      <vt:lpstr>MiscEf</vt:lpstr>
      <vt:lpstr>MiscEf1</vt:lpstr>
      <vt:lpstr>MiscExp1</vt:lpstr>
      <vt:lpstr>MiscHistCd</vt:lpstr>
      <vt:lpstr>MiscKYcouTx</vt:lpstr>
      <vt:lpstr>MiscKYmunTax</vt:lpstr>
      <vt:lpstr>MiscKYpb</vt:lpstr>
      <vt:lpstr>MiscLmt</vt:lpstr>
      <vt:lpstr>MiscLmt1</vt:lpstr>
      <vt:lpstr>MiscLmt2</vt:lpstr>
      <vt:lpstr>MiscLmtCd</vt:lpstr>
      <vt:lpstr>MiscMlcf</vt:lpstr>
      <vt:lpstr>MiscMlcf1</vt:lpstr>
      <vt:lpstr>MiscNJpliga</vt:lpstr>
      <vt:lpstr>MiscOcc</vt:lpstr>
      <vt:lpstr>MiscOccLmt</vt:lpstr>
      <vt:lpstr>MiscPac</vt:lpstr>
      <vt:lpstr>MiscPac1</vt:lpstr>
      <vt:lpstr>MiscPe</vt:lpstr>
      <vt:lpstr>MiscPe1</vt:lpstr>
      <vt:lpstr>MiscPolType</vt:lpstr>
      <vt:lpstr>MiscPremium</vt:lpstr>
      <vt:lpstr>MiscPrm1</vt:lpstr>
      <vt:lpstr>MiscPrm2</vt:lpstr>
      <vt:lpstr>MiscRet</vt:lpstr>
      <vt:lpstr>MiscRev</vt:lpstr>
      <vt:lpstr>MiscRev1</vt:lpstr>
      <vt:lpstr>Miscrm</vt:lpstr>
      <vt:lpstr>Miscrm1</vt:lpstr>
      <vt:lpstr>MiscRtMd</vt:lpstr>
      <vt:lpstr>MiscSdAggLmt</vt:lpstr>
      <vt:lpstr>MiscSDEerrLmt</vt:lpstr>
      <vt:lpstr>MiscSDLC1</vt:lpstr>
      <vt:lpstr>MiscSdLmt</vt:lpstr>
      <vt:lpstr>MiscSDPrm</vt:lpstr>
      <vt:lpstr>MiscSDPrm1</vt:lpstr>
      <vt:lpstr>miscSlc1</vt:lpstr>
      <vt:lpstr>MiscSM</vt:lpstr>
      <vt:lpstr>MiscSM1</vt:lpstr>
      <vt:lpstr>MiscSP</vt:lpstr>
      <vt:lpstr>MiscSP1</vt:lpstr>
      <vt:lpstr>MiscTerrCd1</vt:lpstr>
      <vt:lpstr>MiscTO</vt:lpstr>
      <vt:lpstr>MiscTO1</vt:lpstr>
      <vt:lpstr>MiscWC</vt:lpstr>
      <vt:lpstr>MiscWC1</vt:lpstr>
      <vt:lpstr>MiscWVsur</vt:lpstr>
      <vt:lpstr>MiscYB</vt:lpstr>
      <vt:lpstr>MiscYB1</vt:lpstr>
      <vt:lpstr>MisDD</vt:lpstr>
      <vt:lpstr>MktSeg</vt:lpstr>
      <vt:lpstr>MktSegDesc</vt:lpstr>
      <vt:lpstr>MPLHaz</vt:lpstr>
      <vt:lpstr>MPLI21</vt:lpstr>
      <vt:lpstr>MPLI210</vt:lpstr>
      <vt:lpstr>MPLI22</vt:lpstr>
      <vt:lpstr>MPLI23</vt:lpstr>
      <vt:lpstr>MPLI24</vt:lpstr>
      <vt:lpstr>MPLI25</vt:lpstr>
      <vt:lpstr>MPLI26</vt:lpstr>
      <vt:lpstr>MPLI27</vt:lpstr>
      <vt:lpstr>MPLI28</vt:lpstr>
      <vt:lpstr>MPLI29</vt:lpstr>
      <vt:lpstr>MPLI31</vt:lpstr>
      <vt:lpstr>MPLI32</vt:lpstr>
      <vt:lpstr>MPLI33</vt:lpstr>
      <vt:lpstr>MPLsubTot</vt:lpstr>
      <vt:lpstr>NAIC</vt:lpstr>
      <vt:lpstr>NAICDesc</vt:lpstr>
      <vt:lpstr>NAICS</vt:lpstr>
      <vt:lpstr>NAICS2</vt:lpstr>
      <vt:lpstr>NAICSCd</vt:lpstr>
      <vt:lpstr>NFP</vt:lpstr>
      <vt:lpstr>NJpliga</vt:lpstr>
      <vt:lpstr>NmIns</vt:lpstr>
      <vt:lpstr>NmIns2</vt:lpstr>
      <vt:lpstr>NmInsCity</vt:lpstr>
      <vt:lpstr>NYFTZcd</vt:lpstr>
      <vt:lpstr>NYFTZcl</vt:lpstr>
      <vt:lpstr>OccLmtDO</vt:lpstr>
      <vt:lpstr>PayPlan</vt:lpstr>
      <vt:lpstr>pol</vt:lpstr>
      <vt:lpstr>PolNum</vt:lpstr>
      <vt:lpstr>PolNum2</vt:lpstr>
      <vt:lpstr>PolNumWins</vt:lpstr>
      <vt:lpstr>PolPrem</vt:lpstr>
      <vt:lpstr>PolRev1</vt:lpstr>
      <vt:lpstr>PolTot</vt:lpstr>
      <vt:lpstr>PremDOL</vt:lpstr>
      <vt:lpstr>PrePolNum</vt:lpstr>
      <vt:lpstr>PrePolNum2</vt:lpstr>
      <vt:lpstr>prevpol</vt:lpstr>
      <vt:lpstr>'K&amp;R ILFs'!Print_Area</vt:lpstr>
      <vt:lpstr>'MPL and Law ILFs'!Print_Area</vt:lpstr>
      <vt:lpstr>NAICS!Print_Titles</vt:lpstr>
      <vt:lpstr>Tables!Print_Titles</vt:lpstr>
      <vt:lpstr>'Crime ILFs'!Product</vt:lpstr>
      <vt:lpstr>'Cyber ILFs'!Product</vt:lpstr>
      <vt:lpstr>'D&amp;O-EPL-Crime-Fidu ILFs'!Product</vt:lpstr>
      <vt:lpstr>'K&amp;R ILFs'!Product</vt:lpstr>
      <vt:lpstr>'MPL and Law ILFs'!Product</vt:lpstr>
      <vt:lpstr>NAICS!Product</vt:lpstr>
      <vt:lpstr>Rater!Product</vt:lpstr>
      <vt:lpstr>States!Product</vt:lpstr>
      <vt:lpstr>Tables!Product</vt:lpstr>
      <vt:lpstr>Product</vt:lpstr>
      <vt:lpstr>RetDO</vt:lpstr>
      <vt:lpstr>'Crime ILFs'!Retention</vt:lpstr>
      <vt:lpstr>'Cyber ILFs'!Retention</vt:lpstr>
      <vt:lpstr>'D&amp;O-EPL-Crime-Fidu ILFs'!Retention</vt:lpstr>
      <vt:lpstr>'K&amp;R ILFs'!Retention</vt:lpstr>
      <vt:lpstr>'MPL and Law ILFs'!Retention</vt:lpstr>
      <vt:lpstr>RetroDt</vt:lpstr>
      <vt:lpstr>RtStCd</vt:lpstr>
      <vt:lpstr>SDEerrLmt</vt:lpstr>
      <vt:lpstr>SIC</vt:lpstr>
      <vt:lpstr>SICCd</vt:lpstr>
      <vt:lpstr>SICDESC</vt:lpstr>
      <vt:lpstr>SocialTxt</vt:lpstr>
      <vt:lpstr>st</vt:lpstr>
      <vt:lpstr>State</vt:lpstr>
      <vt:lpstr>NAICS!States</vt:lpstr>
      <vt:lpstr>Tables!States</vt:lpstr>
      <vt:lpstr>States</vt:lpstr>
      <vt:lpstr>sub</vt:lpstr>
      <vt:lpstr>Substat</vt:lpstr>
      <vt:lpstr>Trans</vt:lpstr>
      <vt:lpstr>transtype</vt:lpstr>
      <vt:lpstr>'Account Info'!Type</vt:lpstr>
      <vt:lpstr>ua</vt:lpstr>
      <vt:lpstr>Underwriter</vt:lpstr>
      <vt:lpstr>uw</vt:lpstr>
      <vt:lpstr>uwadd</vt:lpstr>
      <vt:lpstr>uwemail</vt:lpstr>
      <vt:lpstr>uwph</vt:lpstr>
      <vt:lpstr>uwtitle</vt:lpstr>
      <vt:lpstr>WaitPeriod</vt:lpstr>
      <vt:lpstr>WinsAudit</vt:lpstr>
      <vt:lpstr>WinsAuditFq</vt:lpstr>
      <vt:lpstr>WINSBusSeg</vt:lpstr>
      <vt:lpstr>WINScountry</vt:lpstr>
      <vt:lpstr>WinsCy</vt:lpstr>
      <vt:lpstr>WinsFEIN</vt:lpstr>
      <vt:lpstr>WinsInsType</vt:lpstr>
      <vt:lpstr>WinsPayPlan</vt:lpstr>
      <vt:lpstr>WinsRetroDt</vt:lpstr>
      <vt:lpstr>WVsur</vt:lpstr>
      <vt:lpstr>YN</vt:lpstr>
      <vt:lpstr>zip</vt:lpstr>
    </vt:vector>
  </TitlesOfParts>
  <Company>Everest Global Services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 De Simone</dc:creator>
  <cp:lastModifiedBy>Mohammed Juned Pasha</cp:lastModifiedBy>
  <dcterms:created xsi:type="dcterms:W3CDTF">2017-08-29T15:54:31Z</dcterms:created>
  <dcterms:modified xsi:type="dcterms:W3CDTF">2020-09-21T07:57:45Z</dcterms:modified>
</cp:coreProperties>
</file>